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ist" sheetId="1" r:id="rId4"/>
    <sheet state="visible" name="Likely Leaving" sheetId="2" r:id="rId5"/>
    <sheet state="visible" name="Xbox Game Studios" sheetId="3" r:id="rId6"/>
    <sheet state="visible" name="PC" sheetId="4" r:id="rId7"/>
    <sheet state="visible" name="xCloud" sheetId="5" r:id="rId8"/>
    <sheet state="visible" name="Leaving Soon" sheetId="6" r:id="rId9"/>
    <sheet state="visible" name="Returning Titles" sheetId="7" r:id="rId10"/>
    <sheet state="visible" name="Retro Classics" sheetId="8" r:id="rId11"/>
    <sheet state="visible" name="Game Pass Premium" sheetId="9" r:id="rId12"/>
    <sheet state="visible" name="Game Pass Essential" sheetId="10" r:id="rId13"/>
    <sheet state="visible" name="Suggestions" sheetId="11" r:id="rId14"/>
    <sheet state="visible" name="Cross Play" sheetId="12" r:id="rId15"/>
    <sheet state="visible" name="Upcoming" sheetId="13" r:id="rId16"/>
    <sheet state="visible" name="Series X|S" sheetId="14" r:id="rId17"/>
    <sheet state="visible" name="Xbox" sheetId="15" r:id="rId18"/>
    <sheet state="visible" name="Removed" sheetId="16" r:id="rId19"/>
    <sheet state="visible" name="EA Play" sheetId="17" r:id="rId20"/>
  </sheets>
  <definedNames>
    <definedName name="Lake">PC!$B$467</definedName>
    <definedName name="b">'Master List'!$A:$A</definedName>
    <definedName name="dragon">'Master List'!$A$1661</definedName>
    <definedName name="assass">'Master List'!$A$872</definedName>
    <definedName name="onrush">'Master List'!$A$1157</definedName>
    <definedName name="Tiny">'Xbox Game Studios'!$A$1</definedName>
    <definedName name="civ">PC!$A$1</definedName>
    <definedName name="gris">'Master List'!$A$1564</definedName>
    <definedName name="PC">'Master List'!$A$2</definedName>
    <definedName name="hellslinger">xCloud!$K$85</definedName>
    <definedName name="chain">'Master List'!$A$1</definedName>
    <definedName name="persona">Removed!$H$288:$H$295</definedName>
    <definedName localSheetId="15" name="banjo">Removed!$I$110</definedName>
    <definedName name="banjo">'Master List'!$I$1186</definedName>
    <definedName hidden="1" localSheetId="0" name="_xlnm._FilterDatabase">'Master List'!$A$2:$S$2121</definedName>
    <definedName hidden="1" localSheetId="3" name="_xlnm._FilterDatabase">PC!$A$2:$K$474</definedName>
    <definedName hidden="1" localSheetId="4" name="_xlnm._FilterDatabase">xCloud!$A$2:$L$173</definedName>
    <definedName hidden="1" localSheetId="6" name="_xlnm._FilterDatabase">'Returning Titles'!$A$2:$M$400</definedName>
    <definedName hidden="1" localSheetId="12" name="_xlnm._FilterDatabase">Upcoming!$A$2:$A$39</definedName>
    <definedName hidden="1" localSheetId="13" name="_xlnm._FilterDatabase">'Series X|S'!$A$2:$M$400</definedName>
    <definedName hidden="1" localSheetId="14" name="_xlnm._FilterDatabase">Xbox!$A$2:$M$400</definedName>
    <definedName hidden="1" localSheetId="15" name="_xlnm._FilterDatabase">Removed!$A$2:$L$863</definedName>
    <definedName hidden="1" localSheetId="16" name="_xlnm._FilterDatabase">'EA Play'!$A$1:$D$224</definedName>
    <definedName name="YEARDUR">LAMBDA(start, end, lambda(s, e, if(s &gt; e, -1 , 1 ) * yearfrac(s, e, 4))(if(isblank(start),today(),start), if(isblank(end),today(),end)))</definedName>
    <definedName name="MONTHDUR">LAMBDA(start, end, YEARDUR(start, end) * 12)</definedName>
    <definedName name="MY_FUNCTION1">LAMBDA(SORT(FILTER('Master List'!$A:$Q, 'Master List'!$D:$D="Active", ISNA(MATCH('Master List'!$A:$A, 'Xbox Game Studios'!$A:$A, 0)), ISNA(MATCH('Master List'!$A:$A, 'EA Play'!$A:$A, 0)), ('Master List'!$G:$G&gt;9.5)*('Master List'!$G:$G&lt;13) + ('Master List'!$G:$G&gt;22.5)*('Master List'!$G:$G&lt;25) + ('Master List'!$G:$G&gt;34.5)*('Master List'!$G:$G&lt;37) + ('Master List'!$G:$G&gt;46.5)*('Master List'!$G:$G&lt;49) + ('Master List'!$G:$G&gt;58.5)*('Master List'!$G:$G&lt;61) + ('Master List'!$G:$G&gt;70.5)*('Master List'!$G:$G&lt;73) + ('Master List'!$G:$G&gt;82.5)*('Master List'!$G:$G&lt;85)),7,1))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Goog work
	-Alexis Donoso
----
Removed List doesn't show any games (#REF!)
	-Karim O. Anwar
----
T
https://www.esrb.org/search/?searchKeyword=Thirsty+Suitors
	-Renato Mesquita
----
Pc
	-Kyle Hillan
----
I couldn't find grip combat racing on this list, I wanted to know when it left gamepass but couldn't find it.
	-Destiny Birkheimer
----
Everspace 2*
	-Christopher Truman
@yo
	-Anonymous</t>
      </text>
    </comment>
  </commentList>
</comments>
</file>

<file path=xl/sharedStrings.xml><?xml version="1.0" encoding="utf-8"?>
<sst xmlns="http://schemas.openxmlformats.org/spreadsheetml/2006/main" count="12412" uniqueCount="3806">
  <si>
    <t>Complete Game Pass Master List by u/ABattleVet</t>
  </si>
  <si>
    <t>Games with Gold</t>
  </si>
  <si>
    <t>GPU</t>
  </si>
  <si>
    <t>Playstation Plus</t>
  </si>
  <si>
    <t>See suggestions tab for color coding</t>
  </si>
  <si>
    <t>The community can add games to cross play/play anywhere</t>
  </si>
  <si>
    <t>Public Notes</t>
  </si>
  <si>
    <t>GP Premium (10/1/25 Standard 9/12/24)</t>
  </si>
  <si>
    <t>Game</t>
  </si>
  <si>
    <t>System</t>
  </si>
  <si>
    <t>xCloud</t>
  </si>
  <si>
    <t>Status</t>
  </si>
  <si>
    <t>Added</t>
  </si>
  <si>
    <t>Removed</t>
  </si>
  <si>
    <t>Months</t>
  </si>
  <si>
    <t>Release</t>
  </si>
  <si>
    <t>Age</t>
  </si>
  <si>
    <t>Metacritic</t>
  </si>
  <si>
    <t>Completion</t>
  </si>
  <si>
    <t>Genre</t>
  </si>
  <si>
    <t>Series X|S</t>
  </si>
  <si>
    <t>Owner Notes</t>
  </si>
  <si>
    <t>ESRB</t>
  </si>
  <si>
    <t>ESRB Content Descriptors</t>
  </si>
  <si>
    <t>Community Notes</t>
  </si>
  <si>
    <t>Delay</t>
  </si>
  <si>
    <t>The Outer Worlds 2</t>
  </si>
  <si>
    <t>Xbox / PC</t>
  </si>
  <si>
    <t>Yes</t>
  </si>
  <si>
    <t>RPG</t>
  </si>
  <si>
    <t>Exclusive</t>
  </si>
  <si>
    <t>Evil West</t>
  </si>
  <si>
    <t>Shooter</t>
  </si>
  <si>
    <t>Returning title: Joined 3/21/24, left 3/15/25</t>
  </si>
  <si>
    <t>M</t>
  </si>
  <si>
    <t>Blood and Gore, Intense Violence, Strong Language</t>
  </si>
  <si>
    <t>Ninja Gaiden 4</t>
  </si>
  <si>
    <t>Action-Adventure</t>
  </si>
  <si>
    <t>Keeper</t>
  </si>
  <si>
    <t>Pax Dei</t>
  </si>
  <si>
    <t>PC</t>
  </si>
  <si>
    <t>Ball x Pit</t>
  </si>
  <si>
    <t>Shoot-'Em-Up</t>
  </si>
  <si>
    <t>The Grinch: Christmas Adventures</t>
  </si>
  <si>
    <t>Platformer</t>
  </si>
  <si>
    <t>The Casting of Frank Stone</t>
  </si>
  <si>
    <t>Baldur's Gate and Baldur's Gate II: Enhanced Editions</t>
  </si>
  <si>
    <t>Little Rocket Lab</t>
  </si>
  <si>
    <t>Sandbox</t>
  </si>
  <si>
    <t>Supermarket Simulator</t>
  </si>
  <si>
    <t>Simulation</t>
  </si>
  <si>
    <t>Sopa: Tale of the Stolen Potato</t>
  </si>
  <si>
    <t>Hogwarts Legacy</t>
  </si>
  <si>
    <t>Ubisoft games joining with price increase</t>
  </si>
  <si>
    <t>Assassin's Creed II</t>
  </si>
  <si>
    <t>232</t>
  </si>
  <si>
    <t>Assassin's Creed III: Remastered</t>
  </si>
  <si>
    <t>Assassin's Creed IV Black Flag</t>
  </si>
  <si>
    <t>Assassin's Creed IV Black Flag: Freedom Cry</t>
  </si>
  <si>
    <t>Assassin's Creed Brotherhood</t>
  </si>
  <si>
    <t>Assassin's Creed Chronicles: China</t>
  </si>
  <si>
    <t>Assassin's Creed Chronicles: India</t>
  </si>
  <si>
    <t>Assassin's Creed Chronicles: Russia</t>
  </si>
  <si>
    <t>Assassin's Creed Liberation HD</t>
  </si>
  <si>
    <t>Assassin's Creed Revelations</t>
  </si>
  <si>
    <t>Assassin's Creed Rogue: Remastered</t>
  </si>
  <si>
    <t>Assassin's Creed Syndicate</t>
  </si>
  <si>
    <t>Assassin's Creed: The Ezio Collection</t>
  </si>
  <si>
    <t>Xbox</t>
  </si>
  <si>
    <t>Assassin's Creed Unity</t>
  </si>
  <si>
    <t>Child of Light</t>
  </si>
  <si>
    <t>Far Cry 3</t>
  </si>
  <si>
    <t>Far Cry 3: Blood Dragon</t>
  </si>
  <si>
    <t>Far Cry Primal</t>
  </si>
  <si>
    <t>Hungry Shark World</t>
  </si>
  <si>
    <t>Monopoly Madness</t>
  </si>
  <si>
    <t>Party</t>
  </si>
  <si>
    <t>Monopoly (2024)</t>
  </si>
  <si>
    <t>Board</t>
  </si>
  <si>
    <t>OddBallers</t>
  </si>
  <si>
    <t>Prince of Persia: The Lost Crown</t>
  </si>
  <si>
    <t>Metroidvania</t>
  </si>
  <si>
    <t>Rabbids Invasion: The Interactive TV Show</t>
  </si>
  <si>
    <t>Rabbids: Party of Legends</t>
  </si>
  <si>
    <t>Rayman Legends</t>
  </si>
  <si>
    <t>Risk: Urban Assault</t>
  </si>
  <si>
    <t>Scott Pilgrim vs. The World: The Game</t>
  </si>
  <si>
    <t>Beat-'Em-Up</t>
  </si>
  <si>
    <t>Skull and Bones</t>
  </si>
  <si>
    <t>South Park: The Stick of Truth</t>
  </si>
  <si>
    <t>Starlink: Battle for Atlas</t>
  </si>
  <si>
    <t>Steep</t>
  </si>
  <si>
    <t>Sports</t>
  </si>
  <si>
    <t>The Crew 2</t>
  </si>
  <si>
    <t>Racing</t>
  </si>
  <si>
    <t>The Settlers: New Allies</t>
  </si>
  <si>
    <t>Management</t>
  </si>
  <si>
    <t>Tom Clancy's Ghost Recon Breakpoint</t>
  </si>
  <si>
    <t>Tom Clancy's Rainbow Six: Extraction</t>
  </si>
  <si>
    <t>Returning game: added 1/20/22, left 4/15/23. Ubisoft Connect launcher. Ubisoft games joining with price increase</t>
  </si>
  <si>
    <t>Blood, Drug Reference, Strong Language, Violence</t>
  </si>
  <si>
    <t>Tom Clancy's The Division</t>
  </si>
  <si>
    <t>Trackmania Turbo</t>
  </si>
  <si>
    <t>Transference</t>
  </si>
  <si>
    <t>Trials Fusion</t>
  </si>
  <si>
    <t>Trials of the Blood Dragon</t>
  </si>
  <si>
    <t>Trials Rising</t>
  </si>
  <si>
    <t>Uno</t>
  </si>
  <si>
    <t>Valiant Hearts: The Great War</t>
  </si>
  <si>
    <t>Watch_Dogs</t>
  </si>
  <si>
    <t>Wheel of Fortune</t>
  </si>
  <si>
    <t>Trivia</t>
  </si>
  <si>
    <t>Zombi</t>
  </si>
  <si>
    <t>Survival</t>
  </si>
  <si>
    <t>Lara Croft and the Guardian of Light</t>
  </si>
  <si>
    <t>Peppa Pig: World Adventures</t>
  </si>
  <si>
    <t>Visions of Mana</t>
  </si>
  <si>
    <t>SWORN</t>
  </si>
  <si>
    <t>ENDLESS Legend 2 (Game Preview)</t>
  </si>
  <si>
    <t>Strategy</t>
  </si>
  <si>
    <t>Hades</t>
  </si>
  <si>
    <t>Touch Controls</t>
  </si>
  <si>
    <t>Action / RPG</t>
  </si>
  <si>
    <t>Optimized</t>
  </si>
  <si>
    <t>Game Pass Essential (10/1/25). Returning title: Joined 8/13/21, left 8/31/22</t>
  </si>
  <si>
    <t>T</t>
  </si>
  <si>
    <t>Blood, Suggestive Themes, Alcohol Reference, Mild Language, Violence</t>
  </si>
  <si>
    <t>Frostpunk 2</t>
  </si>
  <si>
    <t>Wobbly Life</t>
  </si>
  <si>
    <t>Deep Rock Galactic: Survivor</t>
  </si>
  <si>
    <t>PAW Patrol World</t>
  </si>
  <si>
    <t>Returning title: Joined 3/7/24, left 2/28/25</t>
  </si>
  <si>
    <t>E</t>
  </si>
  <si>
    <t>RoadCraft</t>
  </si>
  <si>
    <t>Hollow Knight: Silksong</t>
  </si>
  <si>
    <t>Cataclismo</t>
  </si>
  <si>
    <t>Defense</t>
  </si>
  <si>
    <t>I Am Your Beast</t>
  </si>
  <si>
    <t>Dragon Age: The Veilguard</t>
  </si>
  <si>
    <t>Gears of War: Reloaded</t>
  </si>
  <si>
    <t>Herdling</t>
  </si>
  <si>
    <t>The Rogue Prince of Persia</t>
  </si>
  <si>
    <t>Persona 4: Golden</t>
  </si>
  <si>
    <t>Returning title: Joined 1/19/23, left 1/15/24</t>
  </si>
  <si>
    <t>Alcohol Reference, Animated Blood, Language, Partial Nudity, Sexual Themes, Violence</t>
  </si>
  <si>
    <t>Blacksmith Master</t>
  </si>
  <si>
    <t>Tycoon</t>
  </si>
  <si>
    <t>VOID/BREAKER</t>
  </si>
  <si>
    <t>9 Kings (Game Preview)</t>
  </si>
  <si>
    <t>Card Battle</t>
  </si>
  <si>
    <t>Caesar III</t>
  </si>
  <si>
    <t>Retro Classics: Windows 9x</t>
  </si>
  <si>
    <t>Climber 5</t>
  </si>
  <si>
    <t>Retro Classics: Atari 2600</t>
  </si>
  <si>
    <t>The Colonel's Bequest</t>
  </si>
  <si>
    <t>Retro Classics: Amiga</t>
  </si>
  <si>
    <t>Private Eye</t>
  </si>
  <si>
    <t>Oystron</t>
  </si>
  <si>
    <t>Shootin' Gallery</t>
  </si>
  <si>
    <t>Wing War</t>
  </si>
  <si>
    <t>Aliens: Fireteam Elite</t>
  </si>
  <si>
    <t>Assassin's Creed Mirage</t>
  </si>
  <si>
    <t>Heretic + Hexen</t>
  </si>
  <si>
    <t>Compilation</t>
  </si>
  <si>
    <t>Rain World</t>
  </si>
  <si>
    <t>Farming Simulator 25</t>
  </si>
  <si>
    <t>Grounded 2 (Game Preview)</t>
  </si>
  <si>
    <t>WUCHANG: Fallen Feathers</t>
  </si>
  <si>
    <t>Wheel World</t>
  </si>
  <si>
    <t>Abiotic Factor</t>
  </si>
  <si>
    <t>Descenders Next (Game Preview)</t>
  </si>
  <si>
    <t>Caesar</t>
  </si>
  <si>
    <t>Conquests of Camelot: The Search for the Grail</t>
  </si>
  <si>
    <t>Gabriel Knight: Sins of the Fathers</t>
  </si>
  <si>
    <t>Retro Classics: DOS</t>
  </si>
  <si>
    <t>Hard Head</t>
  </si>
  <si>
    <t>Okie Dokie</t>
  </si>
  <si>
    <t>Skate Boardin'</t>
  </si>
  <si>
    <t>Skeleton+</t>
  </si>
  <si>
    <t>He Is Coming (Game Preview)</t>
  </si>
  <si>
    <t>RoboCop: Rogue City</t>
  </si>
  <si>
    <t>My Friendly Neighborhood</t>
  </si>
  <si>
    <t>High on Life</t>
  </si>
  <si>
    <t>M+KB</t>
  </si>
  <si>
    <t>First-Person Shooter</t>
  </si>
  <si>
    <t>Returning title: Joined 12/12/22, left 6/15/24</t>
  </si>
  <si>
    <t>Violence, Blood, Sexual Themes, Use of Drugs, Strong Language, Crude Humor</t>
  </si>
  <si>
    <t>Tony Hawk's Pro Skater 3 + 4</t>
  </si>
  <si>
    <t>Skating</t>
  </si>
  <si>
    <t>Minami Lane</t>
  </si>
  <si>
    <t>The Ascent</t>
  </si>
  <si>
    <t>Returning title: Joined 7/29/21, left 7/31/23</t>
  </si>
  <si>
    <t>Blood, Sexual Themes, Simulated Gambling, Strong Language, Violence</t>
  </si>
  <si>
    <t>Ultimate Chicken Horse</t>
  </si>
  <si>
    <t>Cosmic Commuter</t>
  </si>
  <si>
    <t>Heart of China</t>
  </si>
  <si>
    <t>Skiing</t>
  </si>
  <si>
    <t>Solar Storm</t>
  </si>
  <si>
    <t>Subterranea</t>
  </si>
  <si>
    <t>Little Nightmares II</t>
  </si>
  <si>
    <t>Rise of the Tomb Raider</t>
  </si>
  <si>
    <t>Shooter / Action-Adventure</t>
  </si>
  <si>
    <t>Returning title: Joined 12/5/23, left 12/15/24. Joined 3/1/18, left 5/15/20</t>
  </si>
  <si>
    <t>Call of Duty: WWII</t>
  </si>
  <si>
    <t>Warcraft I: Remastered</t>
  </si>
  <si>
    <t>Warcraft II: Remastered</t>
  </si>
  <si>
    <t>Warcraft III: Reforged</t>
  </si>
  <si>
    <t>Volcano Princess</t>
  </si>
  <si>
    <t>Rematch</t>
  </si>
  <si>
    <t>FBC: Firebreak</t>
  </si>
  <si>
    <t>Crash Bandicoot 4: It's About Time</t>
  </si>
  <si>
    <t>Plaformer</t>
  </si>
  <si>
    <t>Lost in Random: The Eternal Die</t>
  </si>
  <si>
    <t>The Alters</t>
  </si>
  <si>
    <t>EA Sports FC 25</t>
  </si>
  <si>
    <t>Barbie Project Friendship</t>
  </si>
  <si>
    <t>Warhammer 40,000: Space Marine - Master Crafted Edition</t>
  </si>
  <si>
    <t>Baldur's Gate: Enhanced Edition</t>
  </si>
  <si>
    <t>Baldur's Gate II: Enhanced Edition</t>
  </si>
  <si>
    <t>Symphonia (2024)</t>
  </si>
  <si>
    <t>Crypt Custodian</t>
  </si>
  <si>
    <t>Spray Paint Simulator</t>
  </si>
  <si>
    <t>Metaphor: ReFantazio</t>
  </si>
  <si>
    <t>To a T</t>
  </si>
  <si>
    <t>Tom Clancy's The Division 2</t>
  </si>
  <si>
    <t>Tales of Kenzera: ZAU</t>
  </si>
  <si>
    <t xml:space="preserve">Metroidvania </t>
  </si>
  <si>
    <t>Activision Prototype #1</t>
  </si>
  <si>
    <t>Retro Classics: Atari 2600, Publisher</t>
  </si>
  <si>
    <t>Atlantis</t>
  </si>
  <si>
    <t>Atlantis II</t>
  </si>
  <si>
    <t>Barnstorming</t>
  </si>
  <si>
    <t>Baseball</t>
  </si>
  <si>
    <t>Beamrider</t>
  </si>
  <si>
    <t>Bloody Human Freeway</t>
  </si>
  <si>
    <t>Boxing</t>
  </si>
  <si>
    <t>Bridge</t>
  </si>
  <si>
    <t>Caesar II</t>
  </si>
  <si>
    <t>Retro Classics: DOS, Sierra Entertainment (defunct) publisher</t>
  </si>
  <si>
    <t>Checkers</t>
  </si>
  <si>
    <t>Chopper Command</t>
  </si>
  <si>
    <t>Commando</t>
  </si>
  <si>
    <t>Conquests of the Longbow: The Legend of Robin Hood</t>
  </si>
  <si>
    <t>Cosmic Ark</t>
  </si>
  <si>
    <t>Crackpots</t>
  </si>
  <si>
    <t>Decathlon</t>
  </si>
  <si>
    <t>Demon Attack</t>
  </si>
  <si>
    <t>Dolphin</t>
  </si>
  <si>
    <t>Dragster</t>
  </si>
  <si>
    <t>Enduro</t>
  </si>
  <si>
    <t>Fathom</t>
  </si>
  <si>
    <t>Fire Fighter</t>
  </si>
  <si>
    <t>Fishing Derby</t>
  </si>
  <si>
    <t>Freddy Pharkas: Frontier Pharmacist</t>
  </si>
  <si>
    <t>Freeway</t>
  </si>
  <si>
    <t>Frostbite</t>
  </si>
  <si>
    <t>Grand Prix</t>
  </si>
  <si>
    <t>H.E.R.O.</t>
  </si>
  <si>
    <t>Kaboom!</t>
  </si>
  <si>
    <t>Laser Blast</t>
  </si>
  <si>
    <t>MechWarrior</t>
  </si>
  <si>
    <t>Retro Classics: SNES</t>
  </si>
  <si>
    <t>MechWarrior 2: 31st Century Combat</t>
  </si>
  <si>
    <t>Retro Classics: PSX</t>
  </si>
  <si>
    <t>Megamania</t>
  </si>
  <si>
    <t>Pitfall II: Lost Caverns</t>
  </si>
  <si>
    <t>Pitfall!</t>
  </si>
  <si>
    <t>Police Quest</t>
  </si>
  <si>
    <t>Retro Classics: Amiga, Sierra Entertainment (defunct) publisher</t>
  </si>
  <si>
    <t>Pressure Cooker</t>
  </si>
  <si>
    <t>Quest for Glory: So You Want to Be a Hero</t>
  </si>
  <si>
    <t>Riddle of the Sphinx</t>
  </si>
  <si>
    <t>River Raid</t>
  </si>
  <si>
    <t>River Raid II</t>
  </si>
  <si>
    <t>Robot Tank</t>
  </si>
  <si>
    <t>Sky Jinks</t>
  </si>
  <si>
    <t>Space Quest 2</t>
  </si>
  <si>
    <t>Space Quest 6</t>
  </si>
  <si>
    <t>Space Treat Deluxe</t>
  </si>
  <si>
    <t>Spider Fighter</t>
  </si>
  <si>
    <t>Star Voyager</t>
  </si>
  <si>
    <t>Tennis</t>
  </si>
  <si>
    <t>The Adventures of Willy Beamish</t>
  </si>
  <si>
    <t>The Dagger of Amon Ra</t>
  </si>
  <si>
    <t>Thwocker</t>
  </si>
  <si>
    <t>Title Match Pro Wrestling</t>
  </si>
  <si>
    <t>Torin's Passage</t>
  </si>
  <si>
    <t>Trick Shot</t>
  </si>
  <si>
    <t>Vault Assault</t>
  </si>
  <si>
    <t>Venetian Blinds</t>
  </si>
  <si>
    <t xml:space="preserve">Zork I: The Great Underground </t>
  </si>
  <si>
    <t>Text Adventure</t>
  </si>
  <si>
    <t>Zork Zero: The Revenge of Megaboz</t>
  </si>
  <si>
    <t>Monster Train 2</t>
  </si>
  <si>
    <t>DOOM: The Dark Ages</t>
  </si>
  <si>
    <t>Firefighting Simulator: The Squad</t>
  </si>
  <si>
    <t>Police Simulator: Patrol Officers</t>
  </si>
  <si>
    <t>Kulebra and the Souls of Limbo</t>
  </si>
  <si>
    <t>Warhammer: Vermintide 2</t>
  </si>
  <si>
    <t>Action / First-Person Shooter</t>
  </si>
  <si>
    <t>Returning title: joined 9/24/20, left 9/30/21. Left 7/1/19</t>
  </si>
  <si>
    <t>Revenge of the Savage Planet</t>
  </si>
  <si>
    <t>Dragon Ball Xenoverse 2</t>
  </si>
  <si>
    <t>Fighting</t>
  </si>
  <si>
    <t>DREDGE</t>
  </si>
  <si>
    <t>Anno 1800</t>
  </si>
  <si>
    <t>Call of Duty: Modern Warfare II</t>
  </si>
  <si>
    <t>Far Cry 4</t>
  </si>
  <si>
    <t>Towerborne (Game Preview)</t>
  </si>
  <si>
    <t xml:space="preserve">Beat-'Em-Up </t>
  </si>
  <si>
    <t>Clair Obscur: Expedition 33</t>
  </si>
  <si>
    <t>The Elder Scrolls IV: Oblivion - Remastered</t>
  </si>
  <si>
    <t>Crime Scene Cleaner</t>
  </si>
  <si>
    <t>Tempopo</t>
  </si>
  <si>
    <t>Acton Puzzle</t>
  </si>
  <si>
    <t>SpongeBob SquarePants: The Patrick Star Game</t>
  </si>
  <si>
    <t>Grand Theft Auto V</t>
  </si>
  <si>
    <t>Driving/Racing / Action-Adventure</t>
  </si>
  <si>
    <t>Returning title: returned 7/5/23, removed 1/5/24, returned 4/8/21, removed 8/8/21, joined 1/30/20, Removed 5/30/20,</t>
  </si>
  <si>
    <t>Blood and Gore, Intense Violence, Mature Humor, Nudity, Strong Language, Strong Sexual Content, Use of Drugs and Alcohol</t>
  </si>
  <si>
    <t>Blue Prince</t>
  </si>
  <si>
    <t>NHL 25</t>
  </si>
  <si>
    <t>Commandos: Origins</t>
  </si>
  <si>
    <t>Diablo III: Reaper of Souls - Ultimate Evil Edition</t>
  </si>
  <si>
    <t>South of Midnight</t>
  </si>
  <si>
    <t>Atomfall</t>
  </si>
  <si>
    <t>EA Sports College Football 25</t>
  </si>
  <si>
    <t>Blizzard Arcade Collection</t>
  </si>
  <si>
    <t>Blackthorne, The Lost Vikings, The Lost Vikings 2, Rock N Roll Racing, RPM Racing</t>
  </si>
  <si>
    <t>Mythwrecked: Ambrosia Island</t>
  </si>
  <si>
    <t>33 Immortals (Game Preview)</t>
  </si>
  <si>
    <t>Mullet Madjack</t>
  </si>
  <si>
    <t>Enter the Gungeon</t>
  </si>
  <si>
    <t>Returning title: Originally joined 9/12/19, left 5/15/22</t>
  </si>
  <si>
    <t>E10+</t>
  </si>
  <si>
    <t>Fantasy Violence, Use of Tobacco, Blood, Mild Language</t>
  </si>
  <si>
    <t>One Lonely Outpost</t>
  </si>
  <si>
    <t>Virtual Life</t>
  </si>
  <si>
    <t>Monster Train</t>
  </si>
  <si>
    <t>Returning title: Originally joined 12/7/20, left 12/31/23</t>
  </si>
  <si>
    <t>Mild Fantasy Violence</t>
  </si>
  <si>
    <t>Watch Dogs: Legion</t>
  </si>
  <si>
    <t>Balatro</t>
  </si>
  <si>
    <t>F1 24</t>
  </si>
  <si>
    <t>Warhammer 40,000: Rogue Trader</t>
  </si>
  <si>
    <t>Avowed</t>
  </si>
  <si>
    <t>Kingdom: Two Crowns</t>
  </si>
  <si>
    <t>Returning title: Originally joined 12/11/18, left 11/15/19 (console only). Joins PC 6/11/25</t>
  </si>
  <si>
    <t>Madden NFL 25 (2024)</t>
  </si>
  <si>
    <t>Far Cry: New Dawn</t>
  </si>
  <si>
    <t>Citizen Sleeper 2: Starward Vector</t>
  </si>
  <si>
    <t>Sniper Elite: Resistance</t>
  </si>
  <si>
    <t>Shady Part of Me</t>
  </si>
  <si>
    <t>Eternal Strands</t>
  </si>
  <si>
    <t>Orcs Must Die! Deathtrap</t>
  </si>
  <si>
    <t>Roguelike</t>
  </si>
  <si>
    <t>Ninja Gaiden II: Black</t>
  </si>
  <si>
    <t>Lonely Mountain: Snow Riders</t>
  </si>
  <si>
    <t>Biking</t>
  </si>
  <si>
    <t>Diablo</t>
  </si>
  <si>
    <t>EA Sports UFC 5</t>
  </si>
  <si>
    <t>Road 96</t>
  </si>
  <si>
    <t>Adventure</t>
  </si>
  <si>
    <t>Returning title: Originally joined 7/7/22, left 6/30/23</t>
  </si>
  <si>
    <t>Drug Reference, Language, Mild Blood, Suggestive Themes, Use of Alcohol and Tobacco, Violence</t>
  </si>
  <si>
    <t>Carrion</t>
  </si>
  <si>
    <t>Action</t>
  </si>
  <si>
    <t>Returning title: Originally joined 7/23/20, left 7/15/22</t>
  </si>
  <si>
    <t>Blood and Gore, Violence</t>
  </si>
  <si>
    <t>For The King II</t>
  </si>
  <si>
    <t>Hunt: Showdown 1896</t>
  </si>
  <si>
    <t>Joined PC 4/15/2025</t>
  </si>
  <si>
    <t>Wildfrost</t>
  </si>
  <si>
    <t>Indiana Jones and the Great Circle</t>
  </si>
  <si>
    <t>Coming to PS5 Spring 2025</t>
  </si>
  <si>
    <t>EA Sports WRC</t>
  </si>
  <si>
    <t>Overthrown (Game Preview)</t>
  </si>
  <si>
    <t>Crash Team Racing: Nitro-Fueled</t>
  </si>
  <si>
    <t>Game Pass Essential (12/4/24)</t>
  </si>
  <si>
    <t>Aliens: Dark Descent</t>
  </si>
  <si>
    <t>Nine Sols</t>
  </si>
  <si>
    <t>Joins GP in time for day one on console</t>
  </si>
  <si>
    <t>S.T.A.L.K.E.R. 2: Heart of Chornobyl</t>
  </si>
  <si>
    <t>Microsoft Flight Simulator 2024</t>
  </si>
  <si>
    <t>Spyro Reignited Trilogy</t>
  </si>
  <si>
    <t>Goat Simulator: Remastered</t>
  </si>
  <si>
    <t>Metal Slug: Tactics</t>
  </si>
  <si>
    <t>Starcraft: Remastered</t>
  </si>
  <si>
    <t>Starcraft II: Campaign Collection</t>
  </si>
  <si>
    <t>Call of Duty: Black Ops 6</t>
  </si>
  <si>
    <t>GP standard only users only have campaign access</t>
  </si>
  <si>
    <t>Ashen</t>
  </si>
  <si>
    <t>Action / RPG / Action-Adventure</t>
  </si>
  <si>
    <t>Returning title: Originally joined 12/31/18, left 12/1/19</t>
  </si>
  <si>
    <t>Call of Duty: Warzone</t>
  </si>
  <si>
    <t>Joins cloud on 10/25/24 (GPU only), free to play</t>
  </si>
  <si>
    <t>Donut County</t>
  </si>
  <si>
    <t>Returning title: Originally joined 1/21/21, left 1/31/23, Official PC Mod Support</t>
  </si>
  <si>
    <t>Mild Fantasy Violence, Comic Mischief</t>
  </si>
  <si>
    <t>Mechwarrior 5: Clans</t>
  </si>
  <si>
    <t>South Park: The Fractured but Whole</t>
  </si>
  <si>
    <t>Inscryption</t>
  </si>
  <si>
    <t>Mad Streets</t>
  </si>
  <si>
    <t>SIFU</t>
  </si>
  <si>
    <t>Legend of Mana (2021)</t>
  </si>
  <si>
    <t>Trials of Mana (2020)</t>
  </si>
  <si>
    <t>Ara: History Untold</t>
  </si>
  <si>
    <t>Joins console and cloud 9/18/25</t>
  </si>
  <si>
    <t>Overwatch 2</t>
  </si>
  <si>
    <t>Train Sim World 5</t>
  </si>
  <si>
    <t>Riders Republic</t>
  </si>
  <si>
    <t>Expeditions: A MudRunner Game</t>
  </si>
  <si>
    <t>Age of Mythology: Retold</t>
  </si>
  <si>
    <t>Star Trucker</t>
  </si>
  <si>
    <t>DOOM + DOOM II: Enhanced</t>
  </si>
  <si>
    <t>Enhanced versions</t>
  </si>
  <si>
    <t>Atlas Fallen: Reign of Sand</t>
  </si>
  <si>
    <t>Crash Bandicoot N. Sane Trilogy</t>
  </si>
  <si>
    <t>Creatures of Ava</t>
  </si>
  <si>
    <t>Call of Duty: Modern Warfare III</t>
  </si>
  <si>
    <t>Joins cloud on 10/25/24 (GPU only)</t>
  </si>
  <si>
    <t>Dungeons Of Hinterberg</t>
  </si>
  <si>
    <t>Joins xbox one 12/4/24 (series exclusive before)</t>
  </si>
  <si>
    <t>Flintlock: The Siege of Dawn</t>
  </si>
  <si>
    <t>Neon White</t>
  </si>
  <si>
    <t>Fantasy Violence, Language, Mild Blood, Mild Suggestive Themes, Use of Tobacco</t>
  </si>
  <si>
    <t>Cricket 24</t>
  </si>
  <si>
    <t>RP</t>
  </si>
  <si>
    <t>Nickelodeon All-Star Brawl 2</t>
  </si>
  <si>
    <t>Comic Mischief, Fantasy Violence</t>
  </si>
  <si>
    <t>EA Sports FC 24</t>
  </si>
  <si>
    <t>Still Wakes the Deep</t>
  </si>
  <si>
    <t>Blood and Gore, Strong Language, Violence</t>
  </si>
  <si>
    <t>Octopath Traveler</t>
  </si>
  <si>
    <t>Returning title: Originally joined 3/25/21, left 2/28/23</t>
  </si>
  <si>
    <t>Blood, Fantasy Violence, Mild Language, Suggestive Themes, Use of Alcohol</t>
  </si>
  <si>
    <t>Octopath Traveler II</t>
  </si>
  <si>
    <t>Fantasy Violence, Mild Blood, Mild Language, Suggestive Themes, Use of Alcohol and Tobacco</t>
  </si>
  <si>
    <t>Lords of the Fallen</t>
  </si>
  <si>
    <t>Blood and Gore, Partial Nudity, Strong Language, Violence</t>
  </si>
  <si>
    <t>Moving Out 2</t>
  </si>
  <si>
    <t>Crude Humor</t>
  </si>
  <si>
    <t>Galacticare</t>
  </si>
  <si>
    <t>Senua's Saga: Hellblade II</t>
  </si>
  <si>
    <t>Action / Action-Adventure</t>
  </si>
  <si>
    <t>Immortals of Aveum</t>
  </si>
  <si>
    <t>Blood, Strong Language, Violence</t>
  </si>
  <si>
    <t>Little Kitty, Big City</t>
  </si>
  <si>
    <t>Kona II: Brume</t>
  </si>
  <si>
    <t>Tomb Raider: Definitive Edition</t>
  </si>
  <si>
    <t>Shooter / Platformer / Action-Adventure</t>
  </si>
  <si>
    <t>FPS Boost</t>
  </si>
  <si>
    <t>Returning title: Added 1/1/19, left 1/15/20 (console only)</t>
  </si>
  <si>
    <t>Blood and Gore, Drug Reference, Intense Violence, Strong Language</t>
  </si>
  <si>
    <t>Have A Nice Death</t>
  </si>
  <si>
    <t>Alcohol and Tobacco Reference, Blood, Fantasy Violence, Mild Language</t>
  </si>
  <si>
    <t>The Rewinder</t>
  </si>
  <si>
    <t>Manor Lords (Game Preview)</t>
  </si>
  <si>
    <t>Another Crab's Treasure</t>
  </si>
  <si>
    <t>Star Wars Jedi: Survivor</t>
  </si>
  <si>
    <t>Joins last gen consoles on 9/17/24</t>
  </si>
  <si>
    <t>Mild Language, Violence</t>
  </si>
  <si>
    <t>Eiyuden Chronicle: Hundred Heroes</t>
  </si>
  <si>
    <t>NHL 24</t>
  </si>
  <si>
    <t>Joins cloud 5/16/24</t>
  </si>
  <si>
    <t>Mild Violence</t>
  </si>
  <si>
    <t>Populous: The Beginning</t>
  </si>
  <si>
    <t>Sid Meier's Alpha Centauri</t>
  </si>
  <si>
    <t>Mild Animated Violence</t>
  </si>
  <si>
    <t>SimCity 3000: Unlimited</t>
  </si>
  <si>
    <t>Shadow of the Tomb Raider: Definitive Edition</t>
  </si>
  <si>
    <t>Returning title: Added 2/1/19, left 2/15/20 (base game only)</t>
  </si>
  <si>
    <t>EA Sports PGA Tour</t>
  </si>
  <si>
    <t>Superhot: Mind Control Delete</t>
  </si>
  <si>
    <t>Game Pass Essential (4/23/24), Returning title: Added 12/10/20, left 5/31/22</t>
  </si>
  <si>
    <t>Violence</t>
  </si>
  <si>
    <t>Ark: Survival Ascended</t>
  </si>
  <si>
    <t>Language, Violence</t>
  </si>
  <si>
    <t>Diablo IV</t>
  </si>
  <si>
    <t>Blood and Gore, Intense Violence, Language</t>
  </si>
  <si>
    <t>Terra Invicta (Game Preview)</t>
  </si>
  <si>
    <t>Lightyear Frontier (Game Preview)</t>
  </si>
  <si>
    <t>Minecraft: Preview</t>
  </si>
  <si>
    <t>Fantasy Violence</t>
  </si>
  <si>
    <t>Control: Ultimate Edition</t>
  </si>
  <si>
    <t>Returning title: Joined 12/3/20, left 2/15/22 (base game)</t>
  </si>
  <si>
    <t>Bluey: The Videogame</t>
  </si>
  <si>
    <t>Dead Island 2</t>
  </si>
  <si>
    <t>Joins PC 10/31/24, Epic exclusive until April, hence no PC version yet</t>
  </si>
  <si>
    <t>Blood and Gore, Intense Violence, Strong Language, Suggestive Themes, Use of Drugs</t>
  </si>
  <si>
    <t>PlateUp!</t>
  </si>
  <si>
    <t>Alcohol Reference</t>
  </si>
  <si>
    <t>Resident Evil 3</t>
  </si>
  <si>
    <t>Madden NFL 24</t>
  </si>
  <si>
    <t>Sports / Football</t>
  </si>
  <si>
    <t>Mild Lyrics</t>
  </si>
  <si>
    <t>Brotato</t>
  </si>
  <si>
    <t>Go Mecha Ball</t>
  </si>
  <si>
    <t>Palworld (Game Preview)</t>
  </si>
  <si>
    <t>F1 23</t>
  </si>
  <si>
    <t>Driving/Racing</t>
  </si>
  <si>
    <t>Resident Evil 2 (2019)</t>
  </si>
  <si>
    <t>Super Mega Baseball 4</t>
  </si>
  <si>
    <t>Sports/Baseball</t>
  </si>
  <si>
    <t>We Happy Few</t>
  </si>
  <si>
    <t>Adventure / First-Person Shooter</t>
  </si>
  <si>
    <t>Returning title: Added 1/17/19, left 1/15/23</t>
  </si>
  <si>
    <t>Use Of Drugs And Alcohol, Blood, Suggestive Themes, Strong Language, Violence</t>
  </si>
  <si>
    <t>Assassin's Creed Valhalla</t>
  </si>
  <si>
    <t>RPG / Action-Adventure</t>
  </si>
  <si>
    <t>Ubisoft Connect launcher</t>
  </si>
  <si>
    <t>Hell Let Loose</t>
  </si>
  <si>
    <t>Action / First-Person Shooter / Vehicular Combat</t>
  </si>
  <si>
    <t>Far Cry 6</t>
  </si>
  <si>
    <t>Against the Storm</t>
  </si>
  <si>
    <t>Joins console 6/26/25</t>
  </si>
  <si>
    <t>Goat Simulator 3</t>
  </si>
  <si>
    <t>Clone Drone in the Danger Zone</t>
  </si>
  <si>
    <t>Action / Simulation / Fighting / Brawler</t>
  </si>
  <si>
    <t>World War Z: Aftermath</t>
  </si>
  <si>
    <t>Returning title: Joined 10/10/19, left 8/31/22 (original game)</t>
  </si>
  <si>
    <t>SteamWorld Build</t>
  </si>
  <si>
    <t>Strategy / Simulation</t>
  </si>
  <si>
    <t>Spirittea</t>
  </si>
  <si>
    <t>Strategy / Adventure / RPG / Simulation</t>
  </si>
  <si>
    <t>Wild Hearts</t>
  </si>
  <si>
    <t>Football Manager 2024</t>
  </si>
  <si>
    <t>Simulation / Soccer</t>
  </si>
  <si>
    <t>Thirsty Suitors</t>
  </si>
  <si>
    <t>Adventure / RPG</t>
  </si>
  <si>
    <t>Jusant</t>
  </si>
  <si>
    <t>Wartales</t>
  </si>
  <si>
    <t>Strategy / Adventure / RPG</t>
  </si>
  <si>
    <t>Joined xbox one ine June 2024</t>
  </si>
  <si>
    <t>Dead Space (2023)</t>
  </si>
  <si>
    <t>Cities: Skylines II</t>
  </si>
  <si>
    <t>Forza Motorsport (2023)</t>
  </si>
  <si>
    <t>Spiritfarer</t>
  </si>
  <si>
    <t>Game Pass Essential launch title (9/14/23), Returning title: Joined 8/18/20, left 8/31/22</t>
  </si>
  <si>
    <t>Language, Use of Tobacco, Violent References</t>
  </si>
  <si>
    <t>Starfield</t>
  </si>
  <si>
    <t>Blood, Strong Language, Suggestive Themes, Use of Drugs, Violence</t>
  </si>
  <si>
    <t>Call of the Wild: The Angler</t>
  </si>
  <si>
    <t>Sports / Fishing</t>
  </si>
  <si>
    <t>Mild Language, Tobacco Reference, Violent References</t>
  </si>
  <si>
    <t>Firewatch</t>
  </si>
  <si>
    <t>Game Pass Essential launch title (9/14/23), Returning title: Joined 2/16/21, left 12/15/22</t>
  </si>
  <si>
    <t>Nudity, Suggestive Themes, Alcohol Reference, Drug Reference, Strong Language</t>
  </si>
  <si>
    <t>Limbo</t>
  </si>
  <si>
    <t>Puzzle / Platformer</t>
  </si>
  <si>
    <t>Game Pass Essential launch title (9/14/23), Returning title: Joined 8/1/17, left 6/15/22</t>
  </si>
  <si>
    <t>Blood, Violence</t>
  </si>
  <si>
    <t>Celeste</t>
  </si>
  <si>
    <t>Game Pass Essential launch title (9/14/23), Returning title: Joined 11/5/20, left 10/31/21</t>
  </si>
  <si>
    <t>Alcohol Reference, Fantasy Violence, Mild Language</t>
  </si>
  <si>
    <t>Techtonica (Game Preview)</t>
  </si>
  <si>
    <t>The Cave</t>
  </si>
  <si>
    <t>Adventure / Platformer</t>
  </si>
  <si>
    <t>Fantasy Violence, Blood</t>
  </si>
  <si>
    <t>Need for Speed: Unbound</t>
  </si>
  <si>
    <t>Language, Mild Suggestive Themes, Mild Violence</t>
  </si>
  <si>
    <t>Stacking</t>
  </si>
  <si>
    <t>Adventure / Puzzle</t>
  </si>
  <si>
    <t>Returning title: Joined 6/1/17, left 1/15/19</t>
  </si>
  <si>
    <t>Crude Humor, Use of Tobacco, Mild Fantasy Violence, Mild Suggestive Themes</t>
  </si>
  <si>
    <t>Car Mechanic Simulator 2021</t>
  </si>
  <si>
    <t>Massive Chalice</t>
  </si>
  <si>
    <t>Strategy / RPG</t>
  </si>
  <si>
    <t>Returning title: Joined 6/1/17, left 2/1/19</t>
  </si>
  <si>
    <t>Fantasy Violence, Alcohol Reference, Language</t>
  </si>
  <si>
    <t>Planet of Lana</t>
  </si>
  <si>
    <t>Redfall</t>
  </si>
  <si>
    <t>Persistent online requirement, may be removed</t>
  </si>
  <si>
    <t>The Last Case of Benedict Fox</t>
  </si>
  <si>
    <t>Horror</t>
  </si>
  <si>
    <t>Minecraft: Legends</t>
  </si>
  <si>
    <t>Action / Strategy</t>
  </si>
  <si>
    <t>Mild Blood, Violence, Mild Suggestive Themes, Language</t>
  </si>
  <si>
    <t>Ghostwire: Tokyo</t>
  </si>
  <si>
    <t>NHL 23</t>
  </si>
  <si>
    <t>Sports / Hockey</t>
  </si>
  <si>
    <t>Iron Brigade</t>
  </si>
  <si>
    <t>Strategy / Shooter</t>
  </si>
  <si>
    <t>Returning title: Originally joined 6/1/17, left 7/15/19</t>
  </si>
  <si>
    <t>Language, Mild Suggestive Themes, Use of Tobacco, Violence</t>
  </si>
  <si>
    <t>Ni no Kuni II: Revenant Kingdom - The Prince's Edition</t>
  </si>
  <si>
    <t>Fantasy Violence, Mild Blood</t>
  </si>
  <si>
    <t>Mount &amp; Blade II: Bannerlord</t>
  </si>
  <si>
    <t>Action / Adventure / RPG / Simulation</t>
  </si>
  <si>
    <t>Madden NFL 23</t>
  </si>
  <si>
    <t>GoldenEye 007 (2023)</t>
  </si>
  <si>
    <t>Hi-Fi RUSH</t>
  </si>
  <si>
    <t>Action / Music/Rhythm</t>
  </si>
  <si>
    <t>Fantasy Violence, Language</t>
  </si>
  <si>
    <t>Crysis 2: Remastered</t>
  </si>
  <si>
    <t>Check the EA App for the remastered version</t>
  </si>
  <si>
    <t>Crysis 3: Remastered</t>
  </si>
  <si>
    <t>Crysis Trilogy: Remastered</t>
  </si>
  <si>
    <t>League of Legends</t>
  </si>
  <si>
    <t>MOBA</t>
  </si>
  <si>
    <t>LoL: Wild Rift (mobile game) perks included</t>
  </si>
  <si>
    <t>Blood, Language, Violence</t>
  </si>
  <si>
    <t>Riot Games and Xbox Game Pass Benefits | Riot Games | Riot Games</t>
  </si>
  <si>
    <t>Legends of Runeterra</t>
  </si>
  <si>
    <t>Card Game</t>
  </si>
  <si>
    <t>Mobile game perks included</t>
  </si>
  <si>
    <t>Alcohol Reference, Blood, Fantasy Violence, Mild Suggestive Themes</t>
  </si>
  <si>
    <t>Teamfight Tactics</t>
  </si>
  <si>
    <t>Strategy / Trivia/Board Game</t>
  </si>
  <si>
    <t>Violence, Blood, Suggestive Themes</t>
  </si>
  <si>
    <t>Valorant</t>
  </si>
  <si>
    <t>First-Person Shooter / MOBA</t>
  </si>
  <si>
    <t>LEGO Star Wars: The Skywalker Saga</t>
  </si>
  <si>
    <t>Shooter / Brawler / Action-Adventure</t>
  </si>
  <si>
    <t>Cartoon Violence, Comic Mischief</t>
  </si>
  <si>
    <t>The Walking Dead: The Final Season</t>
  </si>
  <si>
    <t>Left PC 11,33/24</t>
  </si>
  <si>
    <t>Warhammer 40,000: Darktide</t>
  </si>
  <si>
    <t>Game Pass Essential (10/1/25). Joined cloud and console 10/4/23</t>
  </si>
  <si>
    <t>Intense Violence, Blood and Gore</t>
  </si>
  <si>
    <t>Battlefield 2042</t>
  </si>
  <si>
    <t>Seperate Xbox Gen8 (Xbox One) and Gen9 (Xbox Series X|S) versions (Not Smart Delivery enabled)</t>
  </si>
  <si>
    <t>Pentiment</t>
  </si>
  <si>
    <t>Touch Controls, M+KB</t>
  </si>
  <si>
    <t>Blood and Gore, Sexual Themes, Strong Language, Violence</t>
  </si>
  <si>
    <t>Return to Monkey Island</t>
  </si>
  <si>
    <t>Alcohol Reference, Fantasy Violence</t>
  </si>
  <si>
    <t>A Plague Tale: Requiem</t>
  </si>
  <si>
    <t>Intense Violence, Blood, Language</t>
  </si>
  <si>
    <t>Costume Quest</t>
  </si>
  <si>
    <t>Fantasy Violence, Tobacco Reference</t>
  </si>
  <si>
    <t>Chivalry II</t>
  </si>
  <si>
    <t>Game Pass Essential (12/6/23)</t>
  </si>
  <si>
    <t>Use of Alcohol, Blood and Gore, Mild Sexual Themes, Language, Intense Violence</t>
  </si>
  <si>
    <t>DEATHLOOP</t>
  </si>
  <si>
    <t>Blood and Gore, Sexual Themes, Drug Reference, Strong Language, Intense Violence</t>
  </si>
  <si>
    <t>Assassin's Creed Odyssey</t>
  </si>
  <si>
    <t>Blood and Gore, Sexual Themes, Strong Language, Intense Violence</t>
  </si>
  <si>
    <t>Ni no Kuni: Wrath of the White Witch - Remastered</t>
  </si>
  <si>
    <t>Fantasy Violence, Mild Language, Simulated Gambling, Alcohol and Tobacco Reference</t>
  </si>
  <si>
    <t>Disney Dreamlight Valley: Founder's Edition</t>
  </si>
  <si>
    <t>Game Pass Essential (10/1/25)</t>
  </si>
  <si>
    <t>GRID: Legends</t>
  </si>
  <si>
    <t>Joined cloud 2/2/23</t>
  </si>
  <si>
    <t>Mild Language, Mild Suggestive Themes, Mild Violence</t>
  </si>
  <si>
    <t>Immortals Fenyx Rising</t>
  </si>
  <si>
    <t>Language, Suggestive Themes, Violence</t>
  </si>
  <si>
    <t>An Elder Scrolls Legend: Battlespire</t>
  </si>
  <si>
    <t>Animated Blood and Gore, Mature Sexual Themes</t>
  </si>
  <si>
    <t>The Elder Scrolls Adventures: Redguard</t>
  </si>
  <si>
    <t>Violence, Use of Alcohol And Tobacco</t>
  </si>
  <si>
    <t>Return to Castle Wolfenstein</t>
  </si>
  <si>
    <t>Quake 4</t>
  </si>
  <si>
    <t>Wolfenstein 3D</t>
  </si>
  <si>
    <t>Cooking Simulator</t>
  </si>
  <si>
    <t>Tom Clancy's Ghost Recon: Wildlands</t>
  </si>
  <si>
    <t>Blood and Gore, Intense Violence, Partial Nudity, Sexual Themes, Strong Language, Use of Drugs</t>
  </si>
  <si>
    <t>Inside</t>
  </si>
  <si>
    <t>Game Pass Essential launch title (9/14/23)</t>
  </si>
  <si>
    <t>As Dusk Falls</t>
  </si>
  <si>
    <t>Blood, Strong Language, Suggestive Themes, Use of Drugs and Alcohol, Violence</t>
  </si>
  <si>
    <t>Watch_Dogs 2</t>
  </si>
  <si>
    <t>Driving/Racing / Shooter / Action-Adventure</t>
  </si>
  <si>
    <t>Blood, Intense Violence, Nudity, Sexual Themes, Strong Language, Use of Drugs</t>
  </si>
  <si>
    <t>PowerWash Simulator</t>
  </si>
  <si>
    <t>Far Cry 5</t>
  </si>
  <si>
    <t>Blood and Gore, Intense Violence, Sexual Themes, Strong Language, Use of Drugs and Alcohol</t>
  </si>
  <si>
    <t>House Flipper</t>
  </si>
  <si>
    <t>Shadowrun Trilogy</t>
  </si>
  <si>
    <t>Joins PC 5/9/23</t>
  </si>
  <si>
    <t>Blood and Gore, Drug Reference, Sexual Themes, Strong Language, Violence</t>
  </si>
  <si>
    <t>Consists of three games (seperate listings, must be installed seperately); Shadowrun Returns, Shadowrun Dragonfall, Shadowrun Hong Kong</t>
  </si>
  <si>
    <t>Assassin's Creed Origins</t>
  </si>
  <si>
    <t>Blood and Gore, Drug Reference, Intense Violence, Nudity, Sexual Content, Strong Language, Use of Alcohol</t>
  </si>
  <si>
    <t>Sniper Elite 5</t>
  </si>
  <si>
    <t>Action / Shooter</t>
  </si>
  <si>
    <t>Blood and Gore, Language, Intense Violence</t>
  </si>
  <si>
    <t>Vampire Survivors</t>
  </si>
  <si>
    <t>Game Pass Essential launch title (9/14/23), Joins console 11/10/22</t>
  </si>
  <si>
    <t>Jurassic World Evolution 2</t>
  </si>
  <si>
    <t>Mild Blood, Violence</t>
  </si>
  <si>
    <t>Citizen Sleeper</t>
  </si>
  <si>
    <t>Fantasy Violence, Use of Alcohol, Language</t>
  </si>
  <si>
    <t>Fortnite</t>
  </si>
  <si>
    <t>M+KB (Browser)</t>
  </si>
  <si>
    <t>First free to play game on xCloud</t>
  </si>
  <si>
    <t>Teenage Mutant Ninja Turtles: Shredder's Revenge</t>
  </si>
  <si>
    <t>Brawler</t>
  </si>
  <si>
    <t>Lost In Random</t>
  </si>
  <si>
    <t>RPG / Card Game / Action-Adventure</t>
  </si>
  <si>
    <t>Fantasy Violence, Language, Use of Alcohol</t>
  </si>
  <si>
    <t>Tunic</t>
  </si>
  <si>
    <t>Game Pass Essential (3/26/25)</t>
  </si>
  <si>
    <t>Super Mega Baseball 3</t>
  </si>
  <si>
    <t>Sports / Baseball</t>
  </si>
  <si>
    <t>Roboquest (2020)</t>
  </si>
  <si>
    <t>Joined console 1/30/23, 1.0 launch 11/7/23</t>
  </si>
  <si>
    <t>Contrast</t>
  </si>
  <si>
    <t>Puzzle / Platformer / Action-Adventure</t>
  </si>
  <si>
    <t>Fantasy Violence, Suggestive Themes, Use of Tobacco</t>
  </si>
  <si>
    <t>Peggle Nights</t>
  </si>
  <si>
    <t>Puzzle / Pinball / Block-Breaking</t>
  </si>
  <si>
    <t>Mass Effect: Legendary Edition</t>
  </si>
  <si>
    <t>RPG / Shooter / Compilation</t>
  </si>
  <si>
    <t>Use of Alcohol, Blood, Sexual Content, Partial Nudity, Drug Reference, Strong Language, Violence</t>
  </si>
  <si>
    <t>If you encounter problems with HDR on Series X|S, try disabling Auto HDR in the game's compatibility settings (Mass Effect LE has a native HDR implementation)</t>
  </si>
  <si>
    <t>Broken Age</t>
  </si>
  <si>
    <t>Fantasy Violence, Crude Humor, Mild Blood, Mild Language</t>
  </si>
  <si>
    <t>Mortal Kombat 11</t>
  </si>
  <si>
    <t>Blood and Gore, Strong Language, Intense Violence</t>
  </si>
  <si>
    <t>The Gunk</t>
  </si>
  <si>
    <t>Puzzle / Action-Adventure</t>
  </si>
  <si>
    <t>Violence, Blood, Language</t>
  </si>
  <si>
    <t>Halo: Infinite</t>
  </si>
  <si>
    <t>Multiplayer beta available 11/15/21, Halo's and Xbox's 20th anniversary</t>
  </si>
  <si>
    <t>Violence, Blood, Mild Language</t>
  </si>
  <si>
    <t>Stardew Valley</t>
  </si>
  <si>
    <t>RPG / Simulation / Fishing / Action-Adventure</t>
  </si>
  <si>
    <t>Fantasy Violence, Mild Blood, Mild Language, Simulated Gambling, Use of Alcohol And Tobacco</t>
  </si>
  <si>
    <t>Forza Horizon 5</t>
  </si>
  <si>
    <t>It Takes Two</t>
  </si>
  <si>
    <t>Platformer / Action-Adventure</t>
  </si>
  <si>
    <t>Fantasy Violence, Comic Mischief, Language, Animated Blood</t>
  </si>
  <si>
    <t>Unpacking</t>
  </si>
  <si>
    <t>Simulation / Puzzle</t>
  </si>
  <si>
    <t>Age of Empires IV: Anniversary Edition</t>
  </si>
  <si>
    <t>Real-Time Strategy</t>
  </si>
  <si>
    <t>Joined PC and cloud 8/22/23</t>
  </si>
  <si>
    <t>Mild Blood, Mild Violence</t>
  </si>
  <si>
    <t>Crysis: Remastered</t>
  </si>
  <si>
    <t>Superliminal</t>
  </si>
  <si>
    <t>Puzzle</t>
  </si>
  <si>
    <t>Mild Blood</t>
  </si>
  <si>
    <t>Psychonauts 2</t>
  </si>
  <si>
    <t>Fantasy Violence, Crude Humor, Use of Tobacco, Alcohol Reference, Mild Language, Mild Suggestive Themes</t>
  </si>
  <si>
    <t>Quake</t>
  </si>
  <si>
    <t>Quake II</t>
  </si>
  <si>
    <t>Joined console 8/10/23</t>
  </si>
  <si>
    <t>Violence, Blood and Gore, Language</t>
  </si>
  <si>
    <t>Quake III: Arena</t>
  </si>
  <si>
    <t>Blood and Gore, Language, Violence</t>
  </si>
  <si>
    <t>Syndicate (1993)</t>
  </si>
  <si>
    <t>Action / Strategy / RPG</t>
  </si>
  <si>
    <t>Ultima Underworld 1</t>
  </si>
  <si>
    <t>Animated Violence</t>
  </si>
  <si>
    <t>Ultima Underworld 2</t>
  </si>
  <si>
    <t>Microsoft Solitaire Collection: Premium Edition</t>
  </si>
  <si>
    <t>Card Game / Minigame Collection</t>
  </si>
  <si>
    <t>DiRT Rally 2.0</t>
  </si>
  <si>
    <t>GP: Added 9/26/19, left 9/30/20</t>
  </si>
  <si>
    <t>Skate</t>
  </si>
  <si>
    <t>Sports / Simulation / Skateboarding</t>
  </si>
  <si>
    <t>Mild Violence, Crude Humor, Blood and Gore, Tobacco Reference, Language</t>
  </si>
  <si>
    <t>Crimson Skies: High Road to Revenge</t>
  </si>
  <si>
    <t>Flight Simulator / Vehicular Combat</t>
  </si>
  <si>
    <t>Xbox 360, PlayStation 3</t>
  </si>
  <si>
    <t>OG Xbox</t>
  </si>
  <si>
    <t>Blinx: The Time Sweeper</t>
  </si>
  <si>
    <t>EA Sports UFC 4</t>
  </si>
  <si>
    <t>Sports / Fighting</t>
  </si>
  <si>
    <t>Blood, Language, Mild Suggestive Themes, Violence</t>
  </si>
  <si>
    <t>Gang Beasts</t>
  </si>
  <si>
    <t>Cartoon Violence</t>
  </si>
  <si>
    <t>Need for Speed: Hot Pursuit - Remastered</t>
  </si>
  <si>
    <t>Mild Violence, Mild Lyrics</t>
  </si>
  <si>
    <t>Medieval Dynasty</t>
  </si>
  <si>
    <t>RPG / Simulation / Action-Adventure</t>
  </si>
  <si>
    <t>Joined console and cloud 10/6/22, left game preview 9/23/21, joined xbox one 4/20/23</t>
  </si>
  <si>
    <t>Use of Alcohol, Blood, Suggestive Themes, Mild Language, Violence</t>
  </si>
  <si>
    <t>Arx Fatalis</t>
  </si>
  <si>
    <t>Action / Adventure / RPG</t>
  </si>
  <si>
    <t>Official PC Mod Support</t>
  </si>
  <si>
    <t>Violence, Blood, Simulated Gambling</t>
  </si>
  <si>
    <t>Dishonored: Death of the Outsider</t>
  </si>
  <si>
    <t>Fallout</t>
  </si>
  <si>
    <t>Blood and Gore, Strong Language, Suggestive Themes, Violence</t>
  </si>
  <si>
    <t>Fallout 2</t>
  </si>
  <si>
    <t>Blood and Gore, Sexual Content, Strong Language, Violence</t>
  </si>
  <si>
    <t>Fallout Tactics: Brotherhood of Steel</t>
  </si>
  <si>
    <t>Violence, Blood, Strong Language</t>
  </si>
  <si>
    <t>The Evil Within 2</t>
  </si>
  <si>
    <t>Blood and Gore, Partial Nudity, Strong Language, Intense Violence</t>
  </si>
  <si>
    <t>For Honor: Marching Fire Edition</t>
  </si>
  <si>
    <t>Action / Strategy / Fighting / MOBA</t>
  </si>
  <si>
    <t>Ubisoft Connect launcher, Matching Fire Edition replaced standard version 6/1/22</t>
  </si>
  <si>
    <t>Blood and Gore, Intense Violence</t>
  </si>
  <si>
    <t>SnowRunner</t>
  </si>
  <si>
    <t>Driving/Racing / Simulation</t>
  </si>
  <si>
    <t>Psychonauts</t>
  </si>
  <si>
    <t>Crude Humor, Language, Cartoon Violence</t>
  </si>
  <si>
    <t>Zombie Army 4: Dead War</t>
  </si>
  <si>
    <t>First-Person Shooter / Action-Adventure</t>
  </si>
  <si>
    <t>Genesis Noir</t>
  </si>
  <si>
    <t>Mild Blood, Mild Violence, Sexual Themes, Use of Alcohol And Tobacco</t>
  </si>
  <si>
    <t>Command &amp; Conquer: Remastered Collection</t>
  </si>
  <si>
    <t>Action / Strategy / Shooter / Flight Simulator</t>
  </si>
  <si>
    <t>Blood, Mild Language, Use of Alcohol and Tobacco, Violence</t>
  </si>
  <si>
    <t>Dungeon Keeper</t>
  </si>
  <si>
    <t>Animated Violence, Animated Blood, Blood and Gore</t>
  </si>
  <si>
    <t>Dungeon Keeper 2</t>
  </si>
  <si>
    <t>Action / Real-Time Strategy</t>
  </si>
  <si>
    <t>Animated Blood, Blood and Gore, Animated Violence</t>
  </si>
  <si>
    <t>Jade Empire: Special Edition</t>
  </si>
  <si>
    <t>Blood and Gore, Intense Violence, Mild Language, Suggestive Themes</t>
  </si>
  <si>
    <t>Medal of Honor: Allied Assault - War Chest</t>
  </si>
  <si>
    <t>Need for Speed: Most Wanted</t>
  </si>
  <si>
    <t>Alcohol Reference, Comic Mischief, Violence</t>
  </si>
  <si>
    <t>Populous</t>
  </si>
  <si>
    <t>Populous II: Trials of the Olympian Gods</t>
  </si>
  <si>
    <t>Simulation / Real-Time Strategy</t>
  </si>
  <si>
    <t>Fantasy Violence, Partial Nudity</t>
  </si>
  <si>
    <t>Rebel Galaxy</t>
  </si>
  <si>
    <t>Removed 3/28/22</t>
  </si>
  <si>
    <t>Violence, Drug Reference, Language</t>
  </si>
  <si>
    <t>SimCity 2000: Special Edition</t>
  </si>
  <si>
    <t>SimCity 4: Deluxe Party Edition</t>
  </si>
  <si>
    <t>SimCity: Complete Edition</t>
  </si>
  <si>
    <t>SPORE</t>
  </si>
  <si>
    <t>Strategy / Adventure / Simulation</t>
  </si>
  <si>
    <t>Comic Mischief, Fantasy Violence, Animated Blood</t>
  </si>
  <si>
    <t>Star Wars Squadrons</t>
  </si>
  <si>
    <t>Action / Flight Simulator</t>
  </si>
  <si>
    <t>Added to cloud 4/7/22</t>
  </si>
  <si>
    <t>Fantasy Violence, Mild Language</t>
  </si>
  <si>
    <t>The Saboteur</t>
  </si>
  <si>
    <t>Blood, Intense Violence, Nudity, Sexual Themes, Strong Language</t>
  </si>
  <si>
    <t>The Sims 3</t>
  </si>
  <si>
    <t>Crude Humor, Sexual Themes, Violence</t>
  </si>
  <si>
    <t>Dishonored: Definitive Edition</t>
  </si>
  <si>
    <t>RPG / First-Person Shooter / Action-Adventure</t>
  </si>
  <si>
    <t>DOOM 3</t>
  </si>
  <si>
    <t>DOOM 64</t>
  </si>
  <si>
    <t>Violence, Blood and Gore</t>
  </si>
  <si>
    <t>Generation Zero</t>
  </si>
  <si>
    <t>Violence, Language</t>
  </si>
  <si>
    <t>The Elder Scrolls III: Morrowind</t>
  </si>
  <si>
    <t>The Evil Within</t>
  </si>
  <si>
    <t>Wolfenstein: The Old Blood</t>
  </si>
  <si>
    <t>DiRT 5</t>
  </si>
  <si>
    <t>Joined EA Play 8/10/21</t>
  </si>
  <si>
    <t>Pillars of Eternity II: Deadfire - Ultimate Edition</t>
  </si>
  <si>
    <t>Nudity, Blood and Gore, Sexual Themes, Strong Language, Violence</t>
  </si>
  <si>
    <t>Wreckfest</t>
  </si>
  <si>
    <t>Game Pass Essential (4/23/24)</t>
  </si>
  <si>
    <t>Injustice 2</t>
  </si>
  <si>
    <t>Blood, Suggestive Themes, Alcohol Reference, Violence, Language</t>
  </si>
  <si>
    <t>Among Us</t>
  </si>
  <si>
    <t>Game Pass Essential launch title (9/14/23), Joined console and cloud 12/14/21</t>
  </si>
  <si>
    <t>The Elder Scrolls V: Skyrim Special Edition</t>
  </si>
  <si>
    <t>Use of Alcohol, Blood and Gore, Sexual Themes, Language, Intense Violence</t>
  </si>
  <si>
    <t>Monster Sanctuary</t>
  </si>
  <si>
    <t>Fantasy Violence, Mild Blood, Tobacco Reference</t>
  </si>
  <si>
    <t>Starbound</t>
  </si>
  <si>
    <t>Official PC Mod Support, joins console and cloud 1/22/25</t>
  </si>
  <si>
    <t>Fantasy Violence, Crude Humor, Mild Blood, Alcohol Reference</t>
  </si>
  <si>
    <t>NHL 94 Rewind</t>
  </si>
  <si>
    <t>Sports / Soccer</t>
  </si>
  <si>
    <t>Halo 4</t>
  </si>
  <si>
    <t>Blood and Gore, Violence, Language</t>
  </si>
  <si>
    <t>A Way Out</t>
  </si>
  <si>
    <t>Nudity, Blood, Sexual Content, Strong Language, Intense Violence</t>
  </si>
  <si>
    <t>Alice: Madness Returns</t>
  </si>
  <si>
    <t>Joins PC 2/28/22</t>
  </si>
  <si>
    <t>Xbox 360</t>
  </si>
  <si>
    <t>Army of Two</t>
  </si>
  <si>
    <t>Blood, Strong Language, Intense Violence</t>
  </si>
  <si>
    <t>Battlefield 1: Revolution</t>
  </si>
  <si>
    <t>FPS Boost X Only</t>
  </si>
  <si>
    <t>Does not FPS boost on Series S</t>
  </si>
  <si>
    <t>Battlefield 3: Premium Edition</t>
  </si>
  <si>
    <t>First-Person Shooter / Vehicular Combat</t>
  </si>
  <si>
    <t>Enhanced edition only on PC</t>
  </si>
  <si>
    <t>Battlefield 4: Premium Edition</t>
  </si>
  <si>
    <t>Battlefield V: Year Two Edition</t>
  </si>
  <si>
    <t>Battlefield: Hardline - Ultimate Edition</t>
  </si>
  <si>
    <t>Blood and Gore, Use of Drugs, Strong Language, Intense Violence</t>
  </si>
  <si>
    <t>Bejeweled 2</t>
  </si>
  <si>
    <t>Bejeweled 3</t>
  </si>
  <si>
    <t>Strategy / Puzzle</t>
  </si>
  <si>
    <t>BLACK</t>
  </si>
  <si>
    <t>Strong Language, Violence</t>
  </si>
  <si>
    <t>Burnout: Paradise - Remastered</t>
  </si>
  <si>
    <t>Mild Violence, Mild Suggestive Themes</t>
  </si>
  <si>
    <t>Crysis</t>
  </si>
  <si>
    <t>Crysis 2: Maximum Edition</t>
  </si>
  <si>
    <t>Blood, Partial Nudity, Strong Language, Violence</t>
  </si>
  <si>
    <t>Crysis 3</t>
  </si>
  <si>
    <t>Dante's Inferno</t>
  </si>
  <si>
    <t>Blood and Gore, Intense Violence, Nudity, Sexual Content</t>
  </si>
  <si>
    <t>Dead Space</t>
  </si>
  <si>
    <t>Dead Space 2</t>
  </si>
  <si>
    <t>Joined cloud 3/9/23</t>
  </si>
  <si>
    <t>Dead Space 3</t>
  </si>
  <si>
    <t>Dead Space: Ignition</t>
  </si>
  <si>
    <t>Dragon Age II</t>
  </si>
  <si>
    <t>Blood and Gore, Sexual Content, Violence, Language</t>
  </si>
  <si>
    <t>Dragon Age: Inquisition - Game of the Year Edition</t>
  </si>
  <si>
    <t>Dragon Age: Origins - Ultimate Edition</t>
  </si>
  <si>
    <t>Blood, Intense Violence, Language, Partial Nudity, Sexual Themes</t>
  </si>
  <si>
    <t>Fe</t>
  </si>
  <si>
    <t>Feeding Frenzy</t>
  </si>
  <si>
    <t>Feeding Frenzy 2: Shipwreck Showdown</t>
  </si>
  <si>
    <t>Comic Mischief</t>
  </si>
  <si>
    <t>Fight Night: Champion</t>
  </si>
  <si>
    <t>Simulation / Fighting / Boxing</t>
  </si>
  <si>
    <t>Blood, Suggestive Themes, Strong Language, Violence</t>
  </si>
  <si>
    <t>Heavy Weapon</t>
  </si>
  <si>
    <t>Dual-Joystick Shooter</t>
  </si>
  <si>
    <t>Fantasy Violence, Use of Tobacco</t>
  </si>
  <si>
    <t>Mass Effect 2: Digital Deluxe Edition</t>
  </si>
  <si>
    <t>Blood, Sexual Content, Drug Reference, Strong Language, Violence</t>
  </si>
  <si>
    <t>Mass Effect 3: N7 Digital Deluxe Edition</t>
  </si>
  <si>
    <t>RPG / Shooter / Action-Adventure</t>
  </si>
  <si>
    <t>Blood, Sexual Content, Partial Nudity, Strong Language, Violence</t>
  </si>
  <si>
    <t>Mass Effect: Andromeda - Deluxe Edition</t>
  </si>
  <si>
    <t>Nudity, Blood, Strong Sexual Content, Strong Language, Violence</t>
  </si>
  <si>
    <t>Medal of Honor: Airborne</t>
  </si>
  <si>
    <t>Mirror's Edge</t>
  </si>
  <si>
    <t>Action / Platformer</t>
  </si>
  <si>
    <t>Blood, Violence, Language</t>
  </si>
  <si>
    <t>Mirror's Edge: Catalyst</t>
  </si>
  <si>
    <t>NBA LIVE 19</t>
  </si>
  <si>
    <t>Sports / Basketball</t>
  </si>
  <si>
    <t>Need for Speed: Deluxe Edition</t>
  </si>
  <si>
    <t>Mild Violence, Language</t>
  </si>
  <si>
    <t>Need for Speed: Heat - Deluxe Edition</t>
  </si>
  <si>
    <t>Need for Speed: Payback - Deluxe Edition</t>
  </si>
  <si>
    <t>Mild Violence, Mild Suggestive Themes, Language</t>
  </si>
  <si>
    <t>Need for Speed: Rivals - Complete Edition</t>
  </si>
  <si>
    <t>Peggle</t>
  </si>
  <si>
    <t>Puzzle / Block-Breaking</t>
  </si>
  <si>
    <t>Peggle 2</t>
  </si>
  <si>
    <t>Plants vs. Zombies: Game of the Year Edition</t>
  </si>
  <si>
    <t>Animated Blood, Cartoon Violence</t>
  </si>
  <si>
    <t>Plants vs. Zombies: Battle for Neighborville - Deluxe Edition</t>
  </si>
  <si>
    <t>Fantasy Violence, Comic Mischief</t>
  </si>
  <si>
    <t>Plants vs. Zombies: Garden Warfare</t>
  </si>
  <si>
    <t>Fantasy Violence, Crude Humor, Animated Blood</t>
  </si>
  <si>
    <t>Plants vs. Zombies: Garden Warfare 2 - Deluxe Edition</t>
  </si>
  <si>
    <t>Sea of Solitude</t>
  </si>
  <si>
    <t>Skate 3</t>
  </si>
  <si>
    <t>Skateboarding</t>
  </si>
  <si>
    <t>Crude Humor, Drug Reference, Language, Mild Violence, Suggestive Themes</t>
  </si>
  <si>
    <t>SSX</t>
  </si>
  <si>
    <t>Sports / Snowboarding/Skiing</t>
  </si>
  <si>
    <t>Mild Lyrics, Mild Violence</t>
  </si>
  <si>
    <t>Star Wars Battlefront: Ultimate Edition</t>
  </si>
  <si>
    <t>Star Wars Battlefront II: Celebration Edition</t>
  </si>
  <si>
    <t>Star Wars Jedi: Fallen Order</t>
  </si>
  <si>
    <t>The Sims 4: Deluxe Party Edition</t>
  </si>
  <si>
    <t>Titanfall 2: Ultimate Edition</t>
  </si>
  <si>
    <t>Unravel</t>
  </si>
  <si>
    <t>Unravel Two</t>
  </si>
  <si>
    <t>Zuma</t>
  </si>
  <si>
    <t>Zuma's Revenge!</t>
  </si>
  <si>
    <t>Mild Cartoon Violence</t>
  </si>
  <si>
    <t>Deep Rock Galactic</t>
  </si>
  <si>
    <t>Violence, Blood, Use of Alcohol, Language</t>
  </si>
  <si>
    <t>Day of the Tentacle Remastered</t>
  </si>
  <si>
    <t>Full Throttle Remastered</t>
  </si>
  <si>
    <t>Violence, Blood, Mild Language, Use of Alcohol and Tobacco</t>
  </si>
  <si>
    <t>Grim Fandango Remastered</t>
  </si>
  <si>
    <t>Crude Humor, Fantasy Violence, Mild Language, Mild Suggestive Themes, Use of Alcohol and Tobacco</t>
  </si>
  <si>
    <t>Tom Clancy's Rainbow Six: Siege - Deluxe Edition</t>
  </si>
  <si>
    <t>Ubisoft Connect launcher, joined PC 1/20/21</t>
  </si>
  <si>
    <t>Age of Empires III: Definitive Edition</t>
  </si>
  <si>
    <t>Strategy / Real-Time Strategy</t>
  </si>
  <si>
    <t>Brütal Legend</t>
  </si>
  <si>
    <t>Real-Time Strategy / Action-Adventure</t>
  </si>
  <si>
    <t>Blood and Gore, Intense Violence, Partial Nudity, Strong Language, Suggestive Themes</t>
  </si>
  <si>
    <t>DOOM Eternal</t>
  </si>
  <si>
    <t>Halo 3: ODST</t>
  </si>
  <si>
    <t>Crusader Kings III</t>
  </si>
  <si>
    <t>Joined Xbox 3/29/22</t>
  </si>
  <si>
    <t>Violence, Blood, Sexual Themes, Partial Nudity, Use of Drugs, Language</t>
  </si>
  <si>
    <t>Wasteland 3</t>
  </si>
  <si>
    <t>Blood and Gore, Sexual Content, Use of Drugs, Strong Language, Intense Violence</t>
  </si>
  <si>
    <t>Tell Me Why</t>
  </si>
  <si>
    <t>Mild Blood, Drug Reference, Strong Language, Violence</t>
  </si>
  <si>
    <t>Battletoads</t>
  </si>
  <si>
    <t>Crude Humor, Mild Language, Animated Blood, Cartoon Violence</t>
  </si>
  <si>
    <t>New Super Lucky's Tale</t>
  </si>
  <si>
    <t>Microsoft Flight Simulator (2020): Game of the Year Edition</t>
  </si>
  <si>
    <t>Simulation / Flight Simulator</t>
  </si>
  <si>
    <t>Exclusive, Optimized</t>
  </si>
  <si>
    <t>Joining Xbox Series X|S on 7/27/21, PC 3/1/22</t>
  </si>
  <si>
    <t>Trailmakers</t>
  </si>
  <si>
    <t>Grounded</t>
  </si>
  <si>
    <t>Game Pass Essential launch title (9/14/23), Game launches with campaign 9/27/22, game preview up until then</t>
  </si>
  <si>
    <t>Violence, Blood, Drug Reference, Language</t>
  </si>
  <si>
    <t>Halo 3</t>
  </si>
  <si>
    <t>Neon Abyss</t>
  </si>
  <si>
    <t>Blood and Gore, Simulated Gambling, Violence, Comic Mischief</t>
  </si>
  <si>
    <t>Fallout 76</t>
  </si>
  <si>
    <t>Sci-Fi / Alternate Historical / Post-Apocalyptic</t>
  </si>
  <si>
    <t>Game Pass Essential launch title (9/14/23), Official PC Mod Support</t>
  </si>
  <si>
    <t>Use of Alcohol, Blood and Gore, Suggestive Themes, Drug Reference, Strong Language, Intense Violence</t>
  </si>
  <si>
    <t>The Bard's Tale ARPG: Remastered and Resnarkled</t>
  </si>
  <si>
    <t>Blood, Mild Language, Suggestive Themes, Use of Alcohol, Violence</t>
  </si>
  <si>
    <t>BattleTech</t>
  </si>
  <si>
    <t>Violence, Use of Alcohol And Tobacco, Language</t>
  </si>
  <si>
    <t>No Man's Sky</t>
  </si>
  <si>
    <t>Simulation / Action-Adventure</t>
  </si>
  <si>
    <t>Fantasy Violence, Animated Blood</t>
  </si>
  <si>
    <t>Minecraft: Dungeons</t>
  </si>
  <si>
    <t>Golf With Your Friends</t>
  </si>
  <si>
    <t>Sports / Golf</t>
  </si>
  <si>
    <t>Mild Blood, Mild Fantasy Violence</t>
  </si>
  <si>
    <t>Halo 2: Anniversary</t>
  </si>
  <si>
    <t>DayZ</t>
  </si>
  <si>
    <t>RPG / Simulation / First-Person Shooter</t>
  </si>
  <si>
    <t>MechWarrior 5: Mercenaries</t>
  </si>
  <si>
    <t>Action / Simulation / Shooter</t>
  </si>
  <si>
    <t>Language, Mild Blood, Violence</t>
  </si>
  <si>
    <t>Gears Tactics</t>
  </si>
  <si>
    <t>Totally Reliable Delivery Service</t>
  </si>
  <si>
    <t>Action / Simulation</t>
  </si>
  <si>
    <t>Game Pass Essential (12/6/23), Joined PC 12/1/22</t>
  </si>
  <si>
    <t>Crude Humor, Mild Fantasy Violence</t>
  </si>
  <si>
    <t>Bleeding Edge</t>
  </si>
  <si>
    <t>Ori and the Will of the Wisps</t>
  </si>
  <si>
    <t>Halo: Combat Evolved - Anniversary</t>
  </si>
  <si>
    <t>Wasteland Remastered</t>
  </si>
  <si>
    <t>Violence, Blood, Sexual Content, Use of Alcohol, Simulated Gambling</t>
  </si>
  <si>
    <t>Wolfenstein: Youngblood</t>
  </si>
  <si>
    <t>Frostpunk</t>
  </si>
  <si>
    <t>Mild Violence, Blood, Mild Sexual Themes, Strong Language</t>
  </si>
  <si>
    <t>Phoenix Point</t>
  </si>
  <si>
    <t>Joined console 10/1/21</t>
  </si>
  <si>
    <t>Totally Accurate Battle Simulator</t>
  </si>
  <si>
    <t>Pillars of Eternity: Definitive Edition</t>
  </si>
  <si>
    <t>Upgraded from complete to definitive edition on 12/13/23</t>
  </si>
  <si>
    <t>Blood, Sexual Themes, Strong Language, Violence</t>
  </si>
  <si>
    <t>Overcooked! 2</t>
  </si>
  <si>
    <t>Halo: Reach</t>
  </si>
  <si>
    <t>Action / Shooter / First-Person Shooter</t>
  </si>
  <si>
    <t>Age of Empires II: Definitive Edition</t>
  </si>
  <si>
    <t>Joined console 1/31/23</t>
  </si>
  <si>
    <t>Mild Blood, Mild Language, Violence</t>
  </si>
  <si>
    <t>RAGE 2</t>
  </si>
  <si>
    <t>Blood and Gore, Suggestive Themes, Strong Language, Intense Violence</t>
  </si>
  <si>
    <t>The Outer Worlds</t>
  </si>
  <si>
    <t>RPG / First-Person Shooter</t>
  </si>
  <si>
    <t>Fallout: New Vegas - Ultimate Edition</t>
  </si>
  <si>
    <t>Official PC Mod Support, enhanced edition only on PC</t>
  </si>
  <si>
    <t>Blood and Gore, Intense Violence, Strong Language, Use of Drugs, Sexual Content</t>
  </si>
  <si>
    <t>Dishonored 2</t>
  </si>
  <si>
    <t>Gears 5: Game of the Year Edition</t>
  </si>
  <si>
    <t>Dead Cells</t>
  </si>
  <si>
    <t>Game Pass Essential launch title (9/14/23), Left EA Play 10/23/21</t>
  </si>
  <si>
    <t>The Bard's Tale IV: Director's Cut</t>
  </si>
  <si>
    <t>Use of Alcohol, Blood, Violence, Language</t>
  </si>
  <si>
    <t>Age of Empires: Definitive Edition</t>
  </si>
  <si>
    <t>Blood, Mild Violence</t>
  </si>
  <si>
    <t>Stellaris</t>
  </si>
  <si>
    <t>Violent References, Mild Language</t>
  </si>
  <si>
    <t>Slay the Spire</t>
  </si>
  <si>
    <t>Strategy / Card Game</t>
  </si>
  <si>
    <t>The Bard's Tale Trilogy</t>
  </si>
  <si>
    <t>Fantasy Violence, Use of Alcohol, Simulated Gambling</t>
  </si>
  <si>
    <t>Killer Instinct 2 Classic</t>
  </si>
  <si>
    <t>Blood and Gore, Suggestive Themes, Violence</t>
  </si>
  <si>
    <t>Killer Instinct Classic</t>
  </si>
  <si>
    <t>Blood and Gore, Suggestive Themes, Mild Crude Humor, Violence</t>
  </si>
  <si>
    <t>Killer Instinct (2013): Anniversary Edition</t>
  </si>
  <si>
    <t>Anniversary Edition added 11/28/23</t>
  </si>
  <si>
    <t>Blood and Gore, Suggestive Themes, Violence, Mild Language, Mild Crude Humor</t>
  </si>
  <si>
    <t>Middle-earth: Shadow of War</t>
  </si>
  <si>
    <t>Torment: Tides of Numenera</t>
  </si>
  <si>
    <t>Joined Xbox and cloud 7/21/22, originally only on PC</t>
  </si>
  <si>
    <t>Blood, Sexual Themes, Violence, Language</t>
  </si>
  <si>
    <t>Perfect Dark</t>
  </si>
  <si>
    <t>Rare Replay</t>
  </si>
  <si>
    <t>Violence, Blood, Language, Use of Alcohol, Use of Tobacco</t>
  </si>
  <si>
    <t>ASTRONEER</t>
  </si>
  <si>
    <t>Batman: Arkham Knight</t>
  </si>
  <si>
    <t>Blood, Suggestive Themes, Violence, Language</t>
  </si>
  <si>
    <t>Halo: Spartan Strike</t>
  </si>
  <si>
    <t>Action / Dual-Joystick Shooter</t>
  </si>
  <si>
    <t>Hollow Knight: Voidheart Edition</t>
  </si>
  <si>
    <t>Moonlighter</t>
  </si>
  <si>
    <t>Left EA Play 10/23/21</t>
  </si>
  <si>
    <t>Rise of Nations: Extended Edition</t>
  </si>
  <si>
    <t>Strategy / Real-Time Strategy / Trivia/Board Game</t>
  </si>
  <si>
    <t>Dead by Daylight: Special Edition</t>
  </si>
  <si>
    <t>Descenders</t>
  </si>
  <si>
    <t>Sports / Driving/Racing</t>
  </si>
  <si>
    <t>Wolfenstein II: The New Colossus</t>
  </si>
  <si>
    <t>Blood and Gore, Sexual Content, Partial Nudity, Use of Drugs, Strong Language, Intense Violence</t>
  </si>
  <si>
    <t>The Walking Dead: A New Frontier</t>
  </si>
  <si>
    <t>Joined PC 11/1/22, left 9/30/24</t>
  </si>
  <si>
    <t>Violence, Blood, Use of Drugs, Strong Language</t>
  </si>
  <si>
    <t>Prey</t>
  </si>
  <si>
    <t>Minecraft</t>
  </si>
  <si>
    <t>Joined PC 11/2/21 (Java and Bedrock Editions)</t>
  </si>
  <si>
    <t>Fallout 4</t>
  </si>
  <si>
    <t>RPG / Shooter</t>
  </si>
  <si>
    <t>The Walking Dead: Michonne</t>
  </si>
  <si>
    <t>Intense Violence, Blood, Use of Drugs, Language</t>
  </si>
  <si>
    <t>Crackdown 3</t>
  </si>
  <si>
    <t>Blood, Sexual Themes, Drug Reference, Strong Language, Violence</t>
  </si>
  <si>
    <t>The Walking Dead: The Complete First Season</t>
  </si>
  <si>
    <t>Light-Gun Shooter</t>
  </si>
  <si>
    <t>Joined PC 10/6/22, leaves PC 9/30/24</t>
  </si>
  <si>
    <t>The Walking Dead: Season Two</t>
  </si>
  <si>
    <t xml:space="preserve">ARK: Ultimate Survivor Edition </t>
  </si>
  <si>
    <t>New edition joins 2/14/22, Previously ARK: Survival Evolved - Explorer's Edition</t>
  </si>
  <si>
    <t>Use of Alcohol, Crude Humor, Blood, Violence</t>
  </si>
  <si>
    <t>Ori and the Blind Forest: Definitive Edition</t>
  </si>
  <si>
    <t>Hellblade: Senua's Sacrifice</t>
  </si>
  <si>
    <t>Wolfenstein: The New Order</t>
  </si>
  <si>
    <t>Blood and Gore, Strong Sexual Content, Use of Drugs, Strong Language, Intense Violence</t>
  </si>
  <si>
    <t>Halo: The Master Chief Collection</t>
  </si>
  <si>
    <t>Compilation / First-Person Shooter</t>
  </si>
  <si>
    <t>Quantum Break</t>
  </si>
  <si>
    <t>Joined 9/1/18, briefly left 4/15/23 due to licensing issues, PC added when game returned</t>
  </si>
  <si>
    <t>DOOM (2016)</t>
  </si>
  <si>
    <t>RAGE</t>
  </si>
  <si>
    <t>Rush: A Disney Pixar Adventure</t>
  </si>
  <si>
    <t>Minigame Collection / Platformer</t>
  </si>
  <si>
    <t>Ryse: Son of Rome</t>
  </si>
  <si>
    <t>Action / Brawler</t>
  </si>
  <si>
    <t>Joined cloud 2/18/25</t>
  </si>
  <si>
    <t>Blood and Gore, Sexual Content, Partial Nudity, Strong Language, Intense Violence</t>
  </si>
  <si>
    <t>Fallout 3: Game of the Year Edition</t>
  </si>
  <si>
    <t>Blood and Gore, Intense Violence, Sexual Themes, Strong Language, Use of Drugs</t>
  </si>
  <si>
    <t>Human: Fall Flat</t>
  </si>
  <si>
    <t>The Elder Scrolls IV: Oblivion</t>
  </si>
  <si>
    <t>Use of Alcohol, Blood and Gore, Sexual Themes, Violence, Language</t>
  </si>
  <si>
    <t>The Elder Scrolls Online</t>
  </si>
  <si>
    <t>MMORPG</t>
  </si>
  <si>
    <t>Game Pass Essential launch title (9/14/23), Temporarily removed from cloud 2/22/22 due to disconnect issues, reinstated 12/20/22</t>
  </si>
  <si>
    <t>Use of Alcohol, Blood and Gore, Sexual Themes, Violence</t>
  </si>
  <si>
    <t>Disneyland Adventures</t>
  </si>
  <si>
    <t>Adventure / Minigame Collection</t>
  </si>
  <si>
    <t>Wasteland 2: Director's Cut</t>
  </si>
  <si>
    <t>Blood and Gore, Sexual Content, Drug Reference, Strong Language, Violence</t>
  </si>
  <si>
    <t>State of Decay 2: Juggernaut Edition</t>
  </si>
  <si>
    <t>Blood and Gore, Drug Reference, Strong Language, Intense Violence</t>
  </si>
  <si>
    <t>Cities: Skylines - Remastered</t>
  </si>
  <si>
    <t>Game Pass Essential (10/1/25). Remasted coming to Xbox Series X|S and cloud exclusively beginning 2/15/23. PC version is not remastered</t>
  </si>
  <si>
    <t>theHunter: Call of the Wild</t>
  </si>
  <si>
    <t>Simulation / First-Person Shooter</t>
  </si>
  <si>
    <t>Joined PC 12/1/2021</t>
  </si>
  <si>
    <t>Sea of Thieves</t>
  </si>
  <si>
    <t>Use of Alcohol, Crude Humor, Violence</t>
  </si>
  <si>
    <t>Super Lucky's Tale</t>
  </si>
  <si>
    <t>Fable Anniversary</t>
  </si>
  <si>
    <t>Blood and Gore, Language, Use of Alcohol, Violence, Sexual Content</t>
  </si>
  <si>
    <t>Halo Wars 2</t>
  </si>
  <si>
    <t>Zoo Tycoon: Ultimate Animal Collection</t>
  </si>
  <si>
    <t>Gears of War 4</t>
  </si>
  <si>
    <t>Mass Effect</t>
  </si>
  <si>
    <t>Blood, Sexual Themes, Partial Nudity, Violence, Language</t>
  </si>
  <si>
    <t>Halo Wars: Definitive Edition</t>
  </si>
  <si>
    <t>Violence, Mild Blood, Mild Language</t>
  </si>
  <si>
    <t>Costume Quest 2</t>
  </si>
  <si>
    <t>State of Decay: Year One Survival Edition</t>
  </si>
  <si>
    <t>Strategy / Shooter / Action-Adventure</t>
  </si>
  <si>
    <t>Fable II</t>
  </si>
  <si>
    <t>Use of Alcohol, Blood, Sexual Themes, Violence, Language</t>
  </si>
  <si>
    <t>ReCore: Definitive Edition</t>
  </si>
  <si>
    <t>Banjo-Kazooie</t>
  </si>
  <si>
    <t>Banjo-Kazooie: Nuts &amp; Bolts</t>
  </si>
  <si>
    <t>Crude Humor, Cartoon Violence</t>
  </si>
  <si>
    <t>Banjo-Tooie</t>
  </si>
  <si>
    <t>Fable III</t>
  </si>
  <si>
    <t>Use of Alcohol, Blood, Sexual Content, Violence, Language</t>
  </si>
  <si>
    <t>Fuzion Frenzy</t>
  </si>
  <si>
    <t>Minigame Collection</t>
  </si>
  <si>
    <t>Gears of War</t>
  </si>
  <si>
    <t>Gears of War 2</t>
  </si>
  <si>
    <t>Gears of War 3</t>
  </si>
  <si>
    <t>Gears of War: Judgment</t>
  </si>
  <si>
    <t>Gears of War: Ultimate Edition</t>
  </si>
  <si>
    <t>Halo 5: Guardians</t>
  </si>
  <si>
    <t>Blood, Mild Language, Violence</t>
  </si>
  <si>
    <t>Halo: Spartan Assault</t>
  </si>
  <si>
    <t>Jetpac Refuelled</t>
  </si>
  <si>
    <t>Joy Ride Turbo</t>
  </si>
  <si>
    <t>Kameo: Elements of Power</t>
  </si>
  <si>
    <t>Max: The Curse of Brotherhood</t>
  </si>
  <si>
    <t>3</t>
  </si>
  <si>
    <t>Payday 2: Crimewave Edition</t>
  </si>
  <si>
    <t>Blood and Gore, Suggestive Themes, Drug Reference, Strong Language, Intense Violence</t>
  </si>
  <si>
    <t>Perfect Dark Zero</t>
  </si>
  <si>
    <t>ScreamRide</t>
  </si>
  <si>
    <t>Sunset Overdrive</t>
  </si>
  <si>
    <t>Blood and Gore, Sexual Themes, Drug Reference, Strong Language, Violence</t>
  </si>
  <si>
    <t>Terraria</t>
  </si>
  <si>
    <t>Use of Alcohol, Blood and Gore, Mild Suggestive Themes, Cartoon Violence</t>
  </si>
  <si>
    <t>Viva Piñata</t>
  </si>
  <si>
    <t>Crude Humor, Mild Cartoon Violence</t>
  </si>
  <si>
    <t>Viva Piñata: Trouble in Paradise</t>
  </si>
  <si>
    <t>Teenage Mutant Ninja Turtles: Mutants Unleashed</t>
  </si>
  <si>
    <t>Core Keeper</t>
  </si>
  <si>
    <t>Cocoon</t>
  </si>
  <si>
    <t>NINJA GAIDEN: Master Collection</t>
  </si>
  <si>
    <t>Action / Compilation</t>
  </si>
  <si>
    <t>All You Need Is Help</t>
  </si>
  <si>
    <t>We Love Katamari Reroll + Royal Reverie</t>
  </si>
  <si>
    <t>Wargroove 2</t>
  </si>
  <si>
    <t>Borderlands 3: Ultimate Edition</t>
  </si>
  <si>
    <t>Sea of Stars</t>
  </si>
  <si>
    <t>Fantasy Violence, Mild Blood, Mild Language</t>
  </si>
  <si>
    <t>This War of Mine: Final Cut</t>
  </si>
  <si>
    <t>Strategy / Adventure</t>
  </si>
  <si>
    <t>Blood, Mild Sexual Themes, Strong Language, Use of Alcohol and Tobacco, Violence</t>
  </si>
  <si>
    <t>Ben 10: Power Trip</t>
  </si>
  <si>
    <t>Brawler / Action-Adventure</t>
  </si>
  <si>
    <t>PAW Patrol Mighty Pups: Save Adventure Bay</t>
  </si>
  <si>
    <t>Persona 3: Reload</t>
  </si>
  <si>
    <t>Blood, Partial Nudity, Sexual Themes, Strong Language, Violence</t>
  </si>
  <si>
    <t>Farming Simulator 22</t>
  </si>
  <si>
    <t>Anthem</t>
  </si>
  <si>
    <t>Mild Blood, Use of Tobacco, Alcohol Reference, Violence, Language</t>
  </si>
  <si>
    <t>Gigantic: Rampage Edition</t>
  </si>
  <si>
    <t>Kunitsu-Gami: Path of the Goddess</t>
  </si>
  <si>
    <t>Turnip Boy Robs a Bank</t>
  </si>
  <si>
    <t>Mafia: Definitive Edition</t>
  </si>
  <si>
    <t>Flock (2024)</t>
  </si>
  <si>
    <t>Magical Delicacy</t>
  </si>
  <si>
    <t>Tchia</t>
  </si>
  <si>
    <t>Blood and Gore, Crude Humor, Language, Violence</t>
  </si>
  <si>
    <t>The Case of the Golden Idol</t>
  </si>
  <si>
    <t>Point and Click</t>
  </si>
  <si>
    <t>The Callisto Protocol</t>
  </si>
  <si>
    <t>Journey to the Savage Planet</t>
  </si>
  <si>
    <t>Returning title: Added 4/9/20, left 3/31/21 (xbox and cloud)</t>
  </si>
  <si>
    <t>Blood and Gore, Crude Humor, Language, Use of Drugs, Violence</t>
  </si>
  <si>
    <t>Robin Hood: Sherwood Builders</t>
  </si>
  <si>
    <t>SteamWorld Dig</t>
  </si>
  <si>
    <t>SteamWorld Dig 2</t>
  </si>
  <si>
    <t>Returning title: Originally joined 6/9/19, left 6/30/20</t>
  </si>
  <si>
    <t>Arcade Paradise</t>
  </si>
  <si>
    <t>Blood, Fantasy Violence, Lyrics</t>
  </si>
  <si>
    <t>My Friend Peppa Pig</t>
  </si>
  <si>
    <t>Educational</t>
  </si>
  <si>
    <t>Keplerth</t>
  </si>
  <si>
    <t>My Time at Sandrock</t>
  </si>
  <si>
    <t>Alcohol Reference, Comic Mischief, Fantasy Violence, Mild Language, Mild Suggestive Themes</t>
  </si>
  <si>
    <t>Isonzo</t>
  </si>
  <si>
    <t>Depersonalization</t>
  </si>
  <si>
    <t>Rolling Hills: Make Sushi, Make Friends</t>
  </si>
  <si>
    <t>Dordogne</t>
  </si>
  <si>
    <t>Mild Language</t>
  </si>
  <si>
    <t>Hypnospace Outlaw</t>
  </si>
  <si>
    <t>Adventure / Simulation / Puzzle</t>
  </si>
  <si>
    <t>Returning title: Joined 18/27/20, left 2/28/22</t>
  </si>
  <si>
    <t>Violence, Blood, Suggestive Themes, Drug Reference</t>
  </si>
  <si>
    <t>Firework</t>
  </si>
  <si>
    <t>Humanity</t>
  </si>
  <si>
    <t>Remnant II</t>
  </si>
  <si>
    <t>Action-Adventure / RPG / Shooter</t>
  </si>
  <si>
    <t>Region lock</t>
  </si>
  <si>
    <t>Slayers X: Terminal Aftermath - Vengance of the Slayer</t>
  </si>
  <si>
    <t>Cassette Beasts</t>
  </si>
  <si>
    <t>Joined console 5/25/23</t>
  </si>
  <si>
    <t>Hauntii</t>
  </si>
  <si>
    <t>Chants of Sennaar</t>
  </si>
  <si>
    <t>Brothers: A Tale of Two Sons</t>
  </si>
  <si>
    <t>Returning title: Added 6/1/17, left 5/31/20</t>
  </si>
  <si>
    <t>The Big Con</t>
  </si>
  <si>
    <t>Language, Drug Reference, Use of Tobacco</t>
  </si>
  <si>
    <t>Dune: Spice Wars</t>
  </si>
  <si>
    <t>Left Game Preview 9/14/23, joined cloud and console 11/28/23</t>
  </si>
  <si>
    <t>Fantasy Violence, Drug Reference</t>
  </si>
  <si>
    <t>Orcs Must Die! 3</t>
  </si>
  <si>
    <t>Harold Halibut</t>
  </si>
  <si>
    <t>Botany Manor</t>
  </si>
  <si>
    <t>Kona</t>
  </si>
  <si>
    <t>Returning title: Added 3/19/20, left 3/15/21</t>
  </si>
  <si>
    <t>Blood, Sexual Themes, Use of Alcohol and Tobacco, Violence</t>
  </si>
  <si>
    <t>Homestead Arcana</t>
  </si>
  <si>
    <t>Coral Island</t>
  </si>
  <si>
    <t>Joins cloud and console and leaves preview on 11/14/23</t>
  </si>
  <si>
    <t>Fantasy Violence, Alcohol Reference, Comic Mischief</t>
  </si>
  <si>
    <t>Turbo Golf Racing (Game Preview)</t>
  </si>
  <si>
    <t>Lil Gator Game</t>
  </si>
  <si>
    <t>Hot Wheels Unleashed 2: Turbocharged</t>
  </si>
  <si>
    <t>Open Roads</t>
  </si>
  <si>
    <t>Alcohol and Tobacco Reference, Language, Mild Blood, Mild Suggestive Themes</t>
  </si>
  <si>
    <t>MLB The Show 24</t>
  </si>
  <si>
    <t>Joined cloud 2/27/24</t>
  </si>
  <si>
    <t>The Lamplighters League</t>
  </si>
  <si>
    <t>Monster Hunter: Rise</t>
  </si>
  <si>
    <t>Alcohol Reference, Blood, Violence</t>
  </si>
  <si>
    <t>Yakuza 0</t>
  </si>
  <si>
    <t>RPG / Simulation / Brawler</t>
  </si>
  <si>
    <t>Returning title: Originally joined 2/26/20, left 12/31/21</t>
  </si>
  <si>
    <t>Blood, Intense Violence, Sexual Content, Strong Language, Use of Alcohol</t>
  </si>
  <si>
    <t>Yakuza Kiwami</t>
  </si>
  <si>
    <t>Returning title: Originally joined 4/22/20, left 12/31/21</t>
  </si>
  <si>
    <t>Blood, Intense Violence, Partial Nudity, Sexual Themes, Strong Language, Use of Alcohol</t>
  </si>
  <si>
    <t>Yakuza Kiwami 2</t>
  </si>
  <si>
    <t>Returning title: Originally joined 7/30/20, left 12/31/21</t>
  </si>
  <si>
    <t>Blood, Intense Violence, Sexual Themes, Strong Language, Use of Alcohol</t>
  </si>
  <si>
    <t>Yakuza: Like a Dragon</t>
  </si>
  <si>
    <t>Use of Alcohol, Blood, Sexual Themes, Strong Language, Intense Violence</t>
  </si>
  <si>
    <t>No More Heroes III</t>
  </si>
  <si>
    <t>Blood and Gore, Intense Violence, Strong Language, Suggestive Themes</t>
  </si>
  <si>
    <t>SpongeBob SquarePants: Battle for Bikini Bottom - Rehydrated</t>
  </si>
  <si>
    <t>Lies of P</t>
  </si>
  <si>
    <t>RPG  Action-Adventure</t>
  </si>
  <si>
    <t>Solar Ash</t>
  </si>
  <si>
    <t>Blood, Fantasy Violence, Mild Language</t>
  </si>
  <si>
    <t>Yakuza 6: The Song of Life</t>
  </si>
  <si>
    <t>RPG / Brawler / Action-Adventure</t>
  </si>
  <si>
    <t>Use of Alcohol, Blood, Sexual Content, Partial Nudity, Strong Language, Intense Violence</t>
  </si>
  <si>
    <t>Yakuza 5: Remastered</t>
  </si>
  <si>
    <t>Warhammer 40,000: Boltgun</t>
  </si>
  <si>
    <t>Space Engineers</t>
  </si>
  <si>
    <t>Drug Reference, Fantasy Violence, Mild Language</t>
  </si>
  <si>
    <t>Maneater</t>
  </si>
  <si>
    <t>Returning title: Added 5/25/21, left 6/15/23</t>
  </si>
  <si>
    <t>Blood and Gore, Mild Language, Drug Reference, Intense Violence, Mature Humor</t>
  </si>
  <si>
    <t>GRIS</t>
  </si>
  <si>
    <t>Returning title: Joined 1/16/20, left 1/29/21</t>
  </si>
  <si>
    <t>Wo Long: Fallen Dynasty</t>
  </si>
  <si>
    <t>Yakuza 3: Remastered</t>
  </si>
  <si>
    <t>Use of Alcohol, Blood, Sexual Themes, Strong Language, Violence</t>
  </si>
  <si>
    <t>Yakuza 4: Remastered</t>
  </si>
  <si>
    <t>F1 22</t>
  </si>
  <si>
    <t>Indivisible</t>
  </si>
  <si>
    <t>Returning title: Added 1/23/20, left 1/29/21</t>
  </si>
  <si>
    <t>Blood, Fantasy Violence, Suggestive Themes</t>
  </si>
  <si>
    <t>Return to Grace</t>
  </si>
  <si>
    <t>Tales of Arise</t>
  </si>
  <si>
    <t>Alcohol Reference, Blood, Language, Suggestive Themes, Violence</t>
  </si>
  <si>
    <t>A Little to the Left</t>
  </si>
  <si>
    <t>Bloodstained: Ritual of the Night</t>
  </si>
  <si>
    <t>RPG / Platformer / Action-Adventure</t>
  </si>
  <si>
    <t>Returning title: Added 9/19/19, left 3/15/21</t>
  </si>
  <si>
    <t>Blood, Partial Nudity, Violence</t>
  </si>
  <si>
    <t>Merge &amp; Blade</t>
  </si>
  <si>
    <t>EA Sports UFC 3</t>
  </si>
  <si>
    <t>Anuchard</t>
  </si>
  <si>
    <t>Broforce Forever</t>
  </si>
  <si>
    <t>Action / Shooter / Platformer</t>
  </si>
  <si>
    <t>Serious Sam: Siberian Mayhem</t>
  </si>
  <si>
    <t>Maquette</t>
  </si>
  <si>
    <t>Alcohol Reference, Lyrics</t>
  </si>
  <si>
    <t>Darkest Dungeon</t>
  </si>
  <si>
    <t>Returning title: Originally joined 6/10/21, left 6/15/22</t>
  </si>
  <si>
    <t>Fantasy Violence, Mild Blood, Sexual Themes, Partial Nudity</t>
  </si>
  <si>
    <t>Death's Door</t>
  </si>
  <si>
    <t>Blood, Fantasy Violence, Language, Use of Alcohol and Tobacco</t>
  </si>
  <si>
    <t>Those Who Remain</t>
  </si>
  <si>
    <t>Figment</t>
  </si>
  <si>
    <t>Exoprimal</t>
  </si>
  <si>
    <t>Common'hood</t>
  </si>
  <si>
    <t>Insurgency: Sandstorm</t>
  </si>
  <si>
    <t>Joined PC 7/11/23</t>
  </si>
  <si>
    <t>Escape Academy</t>
  </si>
  <si>
    <t>LEGO 2K Drive</t>
  </si>
  <si>
    <t>Close to the Sun</t>
  </si>
  <si>
    <t>Party Animals</t>
  </si>
  <si>
    <t>Fighting / Minigame Collection</t>
  </si>
  <si>
    <t>Cartoon Violence, Crude Humor, Suggestive Themes</t>
  </si>
  <si>
    <t>McPixel 3</t>
  </si>
  <si>
    <t>BlazBlue: Cross Tag Battle - Special Edition</t>
  </si>
  <si>
    <t>Humankind</t>
  </si>
  <si>
    <t>Joined cloud and console 8/22/23</t>
  </si>
  <si>
    <t>Mild Violence, Alcohol Reference, Mild Language</t>
  </si>
  <si>
    <t>The Quarry</t>
  </si>
  <si>
    <t>Blood and Gore, Intense Violence, Mild Sexual Themes, Strong Language</t>
  </si>
  <si>
    <t>Tin Hearts</t>
  </si>
  <si>
    <t>Amnesia: The Bunker</t>
  </si>
  <si>
    <t>Rainbow Billy: The Curse of the Leviathan</t>
  </si>
  <si>
    <t>Forager</t>
  </si>
  <si>
    <t>Fantasy Violence, Mild Blood, Crude Humor</t>
  </si>
  <si>
    <t>Forza Horizon 4</t>
  </si>
  <si>
    <t>While the Iron's Hot</t>
  </si>
  <si>
    <t>Spirit of the North: Enhanced Edition</t>
  </si>
  <si>
    <t>Remnant: From the Ashes</t>
  </si>
  <si>
    <t>Action / RPG / Shooter</t>
  </si>
  <si>
    <t>Returning title: Joined 11/14/19, left 5/15/22</t>
  </si>
  <si>
    <t>Rollerdrome</t>
  </si>
  <si>
    <t>Hello Neighbor 2</t>
  </si>
  <si>
    <t>Soccer Story</t>
  </si>
  <si>
    <t>RPG / Soccer</t>
  </si>
  <si>
    <t>Conan Exiles</t>
  </si>
  <si>
    <t>Nudity, Use of Alcohol, Blood and Gore, Language, Intense Violence</t>
  </si>
  <si>
    <t>Persona 5: Tactica</t>
  </si>
  <si>
    <t>Dungeons 4</t>
  </si>
  <si>
    <t>Like a Dragon Gaiden: The Man Who Erased His Name</t>
  </si>
  <si>
    <t>Like a Dragon: Ishin!</t>
  </si>
  <si>
    <t>Goat Simulator</t>
  </si>
  <si>
    <t>Game Pass Essential (12/4/24), Returning title: Joined 6/27/19, left 3/215/23</t>
  </si>
  <si>
    <t>Somerville</t>
  </si>
  <si>
    <t>Dicey Dungeons</t>
  </si>
  <si>
    <t>Headbangers: Rhythm Royale</t>
  </si>
  <si>
    <t>Minigame Collection / Music/Rhythm</t>
  </si>
  <si>
    <t>Mineko's Night Market</t>
  </si>
  <si>
    <t>Inkulinati (Game Preview)</t>
  </si>
  <si>
    <t>Mild Fantasy Violence, Mild Language, Comic Mischief</t>
  </si>
  <si>
    <t>Frog Detective: The Entire Mystery</t>
  </si>
  <si>
    <t>Adventure / Compilation</t>
  </si>
  <si>
    <t>Joined cloud and console 10/26/23</t>
  </si>
  <si>
    <t>Lonely Mountains: Downhill</t>
  </si>
  <si>
    <t>F1 Manager 2023</t>
  </si>
  <si>
    <t>From Space</t>
  </si>
  <si>
    <t>Scorn</t>
  </si>
  <si>
    <t>Intense Violence, Blood and Gore, Sexual Themes</t>
  </si>
  <si>
    <t>Dyson Sphere Program (Game Preview)</t>
  </si>
  <si>
    <t>Everspace 2</t>
  </si>
  <si>
    <t>Joins Xbox Series and cloud 8/15/23. 1.0 release 4/16/23 out of early accesss</t>
  </si>
  <si>
    <t>Gotham Knights</t>
  </si>
  <si>
    <t>Phoenix Wright: Ace Attorney Trilogy</t>
  </si>
  <si>
    <t>Adventure / Compilation / Puzzle</t>
  </si>
  <si>
    <t>Violence, Blood, Suggestive Themes, Use of Tobacco</t>
  </si>
  <si>
    <t>Loop Hero</t>
  </si>
  <si>
    <t>Fantasy Violence, Language, Mild Suggestive Themes</t>
  </si>
  <si>
    <t>PAW Patrol Grand Prix</t>
  </si>
  <si>
    <t>Let's Build A Zoo</t>
  </si>
  <si>
    <t>Alcohol Reference, Comic Mischief, Mild Blood, Mild Violence</t>
  </si>
  <si>
    <t>Valheim (Game Preview)</t>
  </si>
  <si>
    <t>Joined console 3/14/23</t>
  </si>
  <si>
    <t>Violence, Blood, Use of Alcohol, Crude Humor</t>
  </si>
  <si>
    <t>My Time at Portia</t>
  </si>
  <si>
    <t>RPG / Simulation</t>
  </si>
  <si>
    <t>Fantasy Violence, Crude Humor, Alcohol Reference, Mild Suggestive Themes</t>
  </si>
  <si>
    <t>PAYDAY 3</t>
  </si>
  <si>
    <t>FIFA 23</t>
  </si>
  <si>
    <t>Slime Rancher 2 (Game Preview)</t>
  </si>
  <si>
    <t>SpiderHeck</t>
  </si>
  <si>
    <t>You Suck at Parking</t>
  </si>
  <si>
    <t>Action / Driving/Racing</t>
  </si>
  <si>
    <t>Ashes of the Singularity: Escalation</t>
  </si>
  <si>
    <t>NBA 2K24</t>
  </si>
  <si>
    <t>Guilty Gear -Strive-</t>
  </si>
  <si>
    <t>Atomic Heart</t>
  </si>
  <si>
    <t>Intense Violence, Blood and Gore, Nudity, Language</t>
  </si>
  <si>
    <t>DOOM</t>
  </si>
  <si>
    <t>DOOM II: Hell on Earth</t>
  </si>
  <si>
    <t>The Texas Chainsaw Massacre</t>
  </si>
  <si>
    <t>Airborne Kingdom</t>
  </si>
  <si>
    <t>Shadow Warrior 3: Definitive Edition</t>
  </si>
  <si>
    <t>Offworld Trading Company</t>
  </si>
  <si>
    <t>Train Sim World 4</t>
  </si>
  <si>
    <t>A Short Hike</t>
  </si>
  <si>
    <t>Venba</t>
  </si>
  <si>
    <t>Figment 2: Creed Valley</t>
  </si>
  <si>
    <t>The Wandering Village</t>
  </si>
  <si>
    <t>TOEM</t>
  </si>
  <si>
    <t>Coffee Talk Episode 2: Hibiscus &amp; Butterfly</t>
  </si>
  <si>
    <t>Alcohol Reference, Language, Mild Suggestive Themes, Use of Tobacco</t>
  </si>
  <si>
    <t>Sins of a Solar Empire: Rebellion</t>
  </si>
  <si>
    <t>Cricket 22</t>
  </si>
  <si>
    <t>Sports / Cricket</t>
  </si>
  <si>
    <t>Sword and Fairy: Together Forever</t>
  </si>
  <si>
    <t>Blood, Language, Use of Alcohol, Violence</t>
  </si>
  <si>
    <t>Story of Seasons: Friends of Mineral Town</t>
  </si>
  <si>
    <t>Comic Mischief, Suggestive Themes, Use of Alcohol</t>
  </si>
  <si>
    <t>F.I.S.T.: Forged In Shadow Torch</t>
  </si>
  <si>
    <t>Brawler / Platformer / Action-Adventure</t>
  </si>
  <si>
    <t>Fantasy Violence, Language, Mild Suggestive Themes, Use of Alcohol</t>
  </si>
  <si>
    <t>Stranded Deep</t>
  </si>
  <si>
    <t>Adventure / Simulation</t>
  </si>
  <si>
    <t>Blood, Crude Humor, Mild Violence</t>
  </si>
  <si>
    <t>FIFA 22</t>
  </si>
  <si>
    <t>Bramble: The Mountain King</t>
  </si>
  <si>
    <t>Blood and Gore, Intense Violence, Partial Nudity</t>
  </si>
  <si>
    <t>The Bookwalker: Thief of Tales</t>
  </si>
  <si>
    <t>Rune Factory 4: Special</t>
  </si>
  <si>
    <t>Fantasy Violence, Mild Language, Mild Suggestive Themes, Use of Alcohol</t>
  </si>
  <si>
    <t>Spacelines from the Far Out</t>
  </si>
  <si>
    <t>Chicory: A Colorful Tale</t>
  </si>
  <si>
    <t>Farworld Pioneers</t>
  </si>
  <si>
    <t>Railway Empire 2</t>
  </si>
  <si>
    <t>JoJo's Bizarre Adventure: All-Star Battle R</t>
  </si>
  <si>
    <t>Language, Mild Blood, Suggestive Themes, Use of Tobacco, Violence</t>
  </si>
  <si>
    <t>Pac-Man Museum+</t>
  </si>
  <si>
    <t>Compilation / Platformer</t>
  </si>
  <si>
    <t>Mild Cartoon Violence, Comic Mischief</t>
  </si>
  <si>
    <t>Little Witch in the Woods (Game Preview)</t>
  </si>
  <si>
    <t>Eastern Exorcist</t>
  </si>
  <si>
    <t>Supraland: Six Inches Under</t>
  </si>
  <si>
    <t>Fuga: Melodies of Steel 2</t>
  </si>
  <si>
    <t>SD Gundam Battle Alliance</t>
  </si>
  <si>
    <t>Fantasy Violence, Mild Blood, Mild Language, Use of Alcohol</t>
  </si>
  <si>
    <t>Ghostlore</t>
  </si>
  <si>
    <t>Left game preview and joined console 5/17/23</t>
  </si>
  <si>
    <t>Eiyuden Chronicle: Rising</t>
  </si>
  <si>
    <t>Norco</t>
  </si>
  <si>
    <t>Joined cloud and console 11/17/22</t>
  </si>
  <si>
    <t>Violence, Blood, Drug Reference, Strong Language</t>
  </si>
  <si>
    <t>Just Cause 4: Reloaded</t>
  </si>
  <si>
    <t>Ravenlok</t>
  </si>
  <si>
    <t>Besiege</t>
  </si>
  <si>
    <t>Returning title: Joined 2/10/22, left 2/15/23 while in game preview, rejoins post full release</t>
  </si>
  <si>
    <t>NHL 22</t>
  </si>
  <si>
    <t>Loot River</t>
  </si>
  <si>
    <t>Violence, Blood</t>
  </si>
  <si>
    <t>7 Days to Die (Game Preview)</t>
  </si>
  <si>
    <t>Simulation / First-Person Shooter / Action-Adventure / Block-Breaking</t>
  </si>
  <si>
    <t>Pikuniku</t>
  </si>
  <si>
    <t>Mild Fantasy Violence, Mild Language</t>
  </si>
  <si>
    <t>Amnesia: Collection</t>
  </si>
  <si>
    <t>Violence, Blood and Gore, Nudity, Strong Language</t>
  </si>
  <si>
    <t>Amnesia: Rebirth</t>
  </si>
  <si>
    <t>Blood and Gore, Intense Violence, Nudity, Strong Language</t>
  </si>
  <si>
    <t>Phantom Abyss (Game Preview)</t>
  </si>
  <si>
    <t>SOMA</t>
  </si>
  <si>
    <t>Violence, Blood, Nudity, Strong Language</t>
  </si>
  <si>
    <t>Research and Destroy</t>
  </si>
  <si>
    <t>Back 4 Blood</t>
  </si>
  <si>
    <t>Intense Violence, Blood and Gore, Strong Language, Drug Reference</t>
  </si>
  <si>
    <t>Left 4 Dead successor</t>
  </si>
  <si>
    <t>INFINITE GUITARS</t>
  </si>
  <si>
    <t>RPG / Music/Rhythm</t>
  </si>
  <si>
    <t>MLB The Show 23</t>
  </si>
  <si>
    <t>Hot Wheels Unleashed: Game of the Year Edition</t>
  </si>
  <si>
    <t>Hardspace: Shipbreaker</t>
  </si>
  <si>
    <t>Joined Xbox Series and clod 9/20/22</t>
  </si>
  <si>
    <t>Shredders</t>
  </si>
  <si>
    <t>Soul Hackers 2</t>
  </si>
  <si>
    <t>Madden NFL 22</t>
  </si>
  <si>
    <t>Opus: Echo of Starsong - Full Bloom Edition</t>
  </si>
  <si>
    <t>Mild Language, Mild Violence</t>
  </si>
  <si>
    <t>Galactic Civilizations III</t>
  </si>
  <si>
    <t>Alcohol Reference, Fantasy Violence, Mild Suggestive Themes</t>
  </si>
  <si>
    <t>F1 2021</t>
  </si>
  <si>
    <t>HITMAN: World of Assassination</t>
  </si>
  <si>
    <t>Compilation / Action-Adventure</t>
  </si>
  <si>
    <t>Blood, Drug Reference, Intense Violence, Strong Language</t>
  </si>
  <si>
    <t>Persona 3: Portable</t>
  </si>
  <si>
    <t>Blood, Language, Partial Nudity, Sexual Themes, Violence</t>
  </si>
  <si>
    <t>MotoGP 22</t>
  </si>
  <si>
    <t>Mild Violence, Use of Alcohol</t>
  </si>
  <si>
    <t>Garden Story</t>
  </si>
  <si>
    <t>NARAKA: BLADEPOINT</t>
  </si>
  <si>
    <t>Potion Craft</t>
  </si>
  <si>
    <t>Violent References, Alcohol Reference</t>
  </si>
  <si>
    <t>Chained Echoes</t>
  </si>
  <si>
    <t>Opus Magnum</t>
  </si>
  <si>
    <t>Returning title: Joined 6/9/19, left 5/31/20</t>
  </si>
  <si>
    <t>Violent References, Suggestive Themes</t>
  </si>
  <si>
    <t>Rubber Bandits</t>
  </si>
  <si>
    <t>Eastward</t>
  </si>
  <si>
    <t>Blood, Fantasy Violence, Language, Suggestive Themes, Use of Alcohol</t>
  </si>
  <si>
    <t>Disc Room (2020)</t>
  </si>
  <si>
    <t>ANVIL: Vault Breaker (Game Preview)</t>
  </si>
  <si>
    <t>GRID (2019)</t>
  </si>
  <si>
    <t>Battlefield 1943</t>
  </si>
  <si>
    <t>Delisted 4/28/23</t>
  </si>
  <si>
    <t>Battlefield: Bad Company</t>
  </si>
  <si>
    <t>Alcohol Reference, Strong Language, Violence</t>
  </si>
  <si>
    <t>Battlefield: Bad Company 2</t>
  </si>
  <si>
    <t>Gungrave G.O.R.E</t>
  </si>
  <si>
    <t>Lapin (Game Preview)</t>
  </si>
  <si>
    <t>Football Manager 2023</t>
  </si>
  <si>
    <t>Sports / Simulation / Soccer</t>
  </si>
  <si>
    <t>Ghost Song</t>
  </si>
  <si>
    <t>Violence, Blood, Partial Nudity</t>
  </si>
  <si>
    <t>Exapunks</t>
  </si>
  <si>
    <t>Strong Language</t>
  </si>
  <si>
    <t>Coffee Talk</t>
  </si>
  <si>
    <t>Sexual Themes, Use of Tobacco, Language</t>
  </si>
  <si>
    <t>Townscaper</t>
  </si>
  <si>
    <t>Rocket Arena</t>
  </si>
  <si>
    <t>Gunfire Reborn</t>
  </si>
  <si>
    <t>Signalis</t>
  </si>
  <si>
    <t>Persona 5: Royal</t>
  </si>
  <si>
    <t>Blood, Drug Reference, Partial Nudity, Sexual Themes, Strong Language, Violence</t>
  </si>
  <si>
    <t>Kill It With Fire</t>
  </si>
  <si>
    <t>Solasta: Crown of the Magister</t>
  </si>
  <si>
    <t>Joined console and cloud on 7/18/22</t>
  </si>
  <si>
    <t>Violence, Blood, Suggestive Themes, Use of Alcohol, Language</t>
  </si>
  <si>
    <t>The Legend of Tianding</t>
  </si>
  <si>
    <t>Eville</t>
  </si>
  <si>
    <t>Shenzhen I/O</t>
  </si>
  <si>
    <t>Drug Reference, Mild Language</t>
  </si>
  <si>
    <t>Overwhelm</t>
  </si>
  <si>
    <t>Trek to Yomi</t>
  </si>
  <si>
    <t>Turnip Boy Commits Tax Evasion</t>
  </si>
  <si>
    <t>Action / Adventure</t>
  </si>
  <si>
    <t>Crude Humor, Fantasy Violence, Mild Language</t>
  </si>
  <si>
    <t>Despot's Game</t>
  </si>
  <si>
    <t>Moonscars</t>
  </si>
  <si>
    <t>Beacon Pines</t>
  </si>
  <si>
    <t>Language</t>
  </si>
  <si>
    <t>Last Call BBS</t>
  </si>
  <si>
    <t>Compilation / Puzzle</t>
  </si>
  <si>
    <t>Weird West: Definitive Edition</t>
  </si>
  <si>
    <t>Action / RPG / Simulation</t>
  </si>
  <si>
    <t>Xbox Series X|S versions available 5/8/23</t>
  </si>
  <si>
    <t>Prodeus</t>
  </si>
  <si>
    <t>Game left preview/launched 9/23/22</t>
  </si>
  <si>
    <t>Outriders</t>
  </si>
  <si>
    <t>Joined PC 10/19/21</t>
  </si>
  <si>
    <t>Sid Meier's Civilization VI</t>
  </si>
  <si>
    <t>Drug Reference, Language, Mild Violence, Suggestive Themes</t>
  </si>
  <si>
    <t>Danganronpa V3: Killing Harmony</t>
  </si>
  <si>
    <t>Adventure / Shooter / Music/Rhythm</t>
  </si>
  <si>
    <t>Blood, Drug Reference, Intense Violence, Partial Nudity, Sexual Themes, Strong Language</t>
  </si>
  <si>
    <t>Fuga: Melodies of Steel</t>
  </si>
  <si>
    <t>Fantasy Violence, Mild Blood, Suggestive Themes, Language</t>
  </si>
  <si>
    <t>Metal: Hellsinger</t>
  </si>
  <si>
    <t>Music/Rhythm / First-Person Shooter</t>
  </si>
  <si>
    <t>Joined last gen Xbox One on 12/8/22</t>
  </si>
  <si>
    <t>Violence, Blood, Use of Tobacco</t>
  </si>
  <si>
    <t>Amazing Cultivation Simulator</t>
  </si>
  <si>
    <t>DC League of Super-Pets: The Adventures of Krypto and Ace</t>
  </si>
  <si>
    <t>Flight Simulator / Shoot 'Em Up</t>
  </si>
  <si>
    <t>Train Sim World 3</t>
  </si>
  <si>
    <t>Tainted Grail: Conquest</t>
  </si>
  <si>
    <t>RPG / Card Game</t>
  </si>
  <si>
    <t>Aragami 2</t>
  </si>
  <si>
    <t>Blue Fire</t>
  </si>
  <si>
    <t>XB1/Series X|S</t>
  </si>
  <si>
    <t>GwG Temporary</t>
  </si>
  <si>
    <t>Backwards Compatible</t>
  </si>
  <si>
    <t>Inertial Drift</t>
  </si>
  <si>
    <t>Enhanced</t>
  </si>
  <si>
    <t>Commandos 3: HD Remaster</t>
  </si>
  <si>
    <t>Violence, Blood, Use of Alcohol And Tobacco</t>
  </si>
  <si>
    <t>"Commandos 3: Destination Berlin" metacritic score: 72</t>
  </si>
  <si>
    <t>Immortality</t>
  </si>
  <si>
    <t>Violence, Blood, Sexual Content, Nudity, Use of Drugs, Strong Language</t>
  </si>
  <si>
    <t>Tinykin</t>
  </si>
  <si>
    <t>Fantasy Violence, Mild Language, Comic Mischief</t>
  </si>
  <si>
    <t>Nuclear Throne</t>
  </si>
  <si>
    <t>Surgeon Simulator 2: Access All Areas</t>
  </si>
  <si>
    <t>Black Desert</t>
  </si>
  <si>
    <t>When the Past was Around</t>
  </si>
  <si>
    <t>DEATH STRANDING</t>
  </si>
  <si>
    <t>Blood, Intense Violence, Partial Nudity, Strong Language</t>
  </si>
  <si>
    <t>Midnight Fight Express</t>
  </si>
  <si>
    <t>Violence, Blood, Suggestive Themes, Strong Language</t>
  </si>
  <si>
    <t>Total War: Warhammer III</t>
  </si>
  <si>
    <t>Violence, Blood, Crude Humor</t>
  </si>
  <si>
    <t>Edge of Eternity</t>
  </si>
  <si>
    <t>Language, Mild Blood, Mild Suggestive Themes, Partial Nudity, Violence</t>
  </si>
  <si>
    <t>Darkwood</t>
  </si>
  <si>
    <t>Expeditions: Rome</t>
  </si>
  <si>
    <t>Two Point Campus</t>
  </si>
  <si>
    <t>Crude Humor, Mild Suggestive Themes</t>
  </si>
  <si>
    <t>Dreamscaper</t>
  </si>
  <si>
    <t>Fantasy Violence, Alcohol Reference, Mild Language, Mild Suggestive Themes</t>
  </si>
  <si>
    <t>Marvel's Avengers</t>
  </si>
  <si>
    <t>Action / RPG / Brawler</t>
  </si>
  <si>
    <t>The Vale: Shadow of the Crown</t>
  </si>
  <si>
    <t>PAW Patrol The Movie: Adventure City Calls</t>
  </si>
  <si>
    <t>Spelunky 2</t>
  </si>
  <si>
    <t>Exo One</t>
  </si>
  <si>
    <t>Adios</t>
  </si>
  <si>
    <t>DJMax Respect V</t>
  </si>
  <si>
    <t>Music/Rhythm</t>
  </si>
  <si>
    <t>Violence, Suggestive Themes</t>
  </si>
  <si>
    <t>Matchpoint: Tennis Championships</t>
  </si>
  <si>
    <t>Sports / Tennis</t>
  </si>
  <si>
    <t>OMORI</t>
  </si>
  <si>
    <t>Contains content which some viewers may find disturbing, viewer discretion advised (This game contains depictions of depression, anxiety, and suicide, and may not be suitable for all audiences. It also contains bright flashing imagery that may cause discomfort and/or seizures for those with photosensitive epilepsy. Viewer discretion is advised.)</t>
  </si>
  <si>
    <t>Olija</t>
  </si>
  <si>
    <t>Empire of Sin</t>
  </si>
  <si>
    <t>Blood, Sexual Themes, Alcohol Reference, Strong Language, Violence</t>
  </si>
  <si>
    <t>Hoa</t>
  </si>
  <si>
    <t>Mortal Shell: Enhanced Edition</t>
  </si>
  <si>
    <t>Returning title: Joined 11/23/21, left 11/30/22</t>
  </si>
  <si>
    <t>Total War: Three Kingdoms</t>
  </si>
  <si>
    <t>Chorus</t>
  </si>
  <si>
    <t>Serious Sam 4</t>
  </si>
  <si>
    <t>Intense Violence, Blood and Gore, Parital Nudity, Drug Reference, Language</t>
  </si>
  <si>
    <t>Bridge Constructor: Portal</t>
  </si>
  <si>
    <t>Star Wars Episode I Racer</t>
  </si>
  <si>
    <t>Floppy Knights</t>
  </si>
  <si>
    <t>Lawn Mowing Simulator</t>
  </si>
  <si>
    <t>Joined Xbox One 3/10/22</t>
  </si>
  <si>
    <t>Evil Genius 2: World Domination</t>
  </si>
  <si>
    <t>Satirical evil lair builder strategy game</t>
  </si>
  <si>
    <t>FIFA 21</t>
  </si>
  <si>
    <t>Europa Universalis IV</t>
  </si>
  <si>
    <t>Mild Violence, Mild Language, Drug Reference, Mild Sexual Themes</t>
  </si>
  <si>
    <t>Peaky Blinders: Mastermind</t>
  </si>
  <si>
    <t>Her Story</t>
  </si>
  <si>
    <t>Sexual Themes, Strong Language</t>
  </si>
  <si>
    <t>Umurangi Generation - Special Edition</t>
  </si>
  <si>
    <t>Danganronpa 2: Goodbye Despair - Anniversary Edition</t>
  </si>
  <si>
    <t>Before We Leave</t>
  </si>
  <si>
    <t>My Friend Pedro</t>
  </si>
  <si>
    <t>Returning title: Joined 12/5/19, left 1/15/21</t>
  </si>
  <si>
    <t>Hearts of Iron IV: Cadet Edition</t>
  </si>
  <si>
    <t>Violence, Blood, Use of Tobacco</t>
  </si>
  <si>
    <t>Out of Space: Couch Edition</t>
  </si>
  <si>
    <t>Bugsnax</t>
  </si>
  <si>
    <t>Animated Blood, Crude Humor, Fantasy Violence, Suggestive Themes</t>
  </si>
  <si>
    <t>Unsouled</t>
  </si>
  <si>
    <t>Dragon Quest Builders 2</t>
  </si>
  <si>
    <t>Alcohol Reference, Fantasy Violence, Mild Blood, Mild Language, Suggestive Themes, Comic Mischief</t>
  </si>
  <si>
    <t>Destroy All Humans! (2020)</t>
  </si>
  <si>
    <t>Crude Humor, Sexual Themes, Drug Reference, Violence, Language, Animated Blood</t>
  </si>
  <si>
    <t>NHL 21</t>
  </si>
  <si>
    <t>Tetris Effect: Connected</t>
  </si>
  <si>
    <t>Lamentum</t>
  </si>
  <si>
    <t>Life Is Strange: True Colors</t>
  </si>
  <si>
    <t>Use of Alcohol, Blood, Suggestive Themes, Drug Reference, Strong Language, Violence</t>
  </si>
  <si>
    <t/>
  </si>
  <si>
    <t>Panzer Corps 2</t>
  </si>
  <si>
    <t>Mild Violence, Mild Language</t>
  </si>
  <si>
    <t>The Dungeon of Naheulbeuk: The Amulet of Chaos</t>
  </si>
  <si>
    <t>Strategy / RPG / Action-Adventure</t>
  </si>
  <si>
    <t>Blood, Violence, Suggestive Themes, Strong Language</t>
  </si>
  <si>
    <t>Moonglow Bay</t>
  </si>
  <si>
    <t>Adventure / Fishing</t>
  </si>
  <si>
    <t>The Riftbreaker</t>
  </si>
  <si>
    <t>RTS/Twin stick shooter singleplayer</t>
  </si>
  <si>
    <t>The Long Dark</t>
  </si>
  <si>
    <t>Trüberbrook</t>
  </si>
  <si>
    <t>Sudden Strike 4 - Complete Collection</t>
  </si>
  <si>
    <t>Chinatown Detective Agency</t>
  </si>
  <si>
    <t>Violence, Blood, Suggestive Themes, Use of Alcohol And Tobacco, Language</t>
  </si>
  <si>
    <t>MLB The Show 22</t>
  </si>
  <si>
    <t>A Memoir Blue</t>
  </si>
  <si>
    <t>Kraken Academy!!</t>
  </si>
  <si>
    <t>Power Rangers: Battle for the Grid</t>
  </si>
  <si>
    <t>ClusterTruck</t>
  </si>
  <si>
    <t>Double Dragon Neon</t>
  </si>
  <si>
    <t>Fantasy Violence, Partial Nudity, Suggestive Themes</t>
  </si>
  <si>
    <t>Guts N Goals</t>
  </si>
  <si>
    <t>Zero Escape: The Nonary Games</t>
  </si>
  <si>
    <t>Blood, Drug Reference, Sexual Themes, Strong Language, Violence</t>
  </si>
  <si>
    <t>Paradise Killer</t>
  </si>
  <si>
    <t>Violence, Blood, Sexual Themes, Strong Language</t>
  </si>
  <si>
    <t>Kentucky Route Zero</t>
  </si>
  <si>
    <t>Language, Use of Drugs</t>
  </si>
  <si>
    <t>Marvel's Guardians of the Galaxy</t>
  </si>
  <si>
    <t>Language, Mild Blood, Mild Suggestive Themes, Use of Alcohol, Violence</t>
  </si>
  <si>
    <t>Young Souls</t>
  </si>
  <si>
    <t>Drug Reference, Fantasy Violence, Strong Language</t>
  </si>
  <si>
    <t>F1 2020</t>
  </si>
  <si>
    <t>Undertale</t>
  </si>
  <si>
    <t>Fantasy Violence, Mild Blood, Use of Tobacco, Mild Language, Simulated Gambling</t>
  </si>
  <si>
    <t>For the King</t>
  </si>
  <si>
    <t>Lightning Returns: Final Fantasy XIII</t>
  </si>
  <si>
    <t>FAR: Changing Tides</t>
  </si>
  <si>
    <t>Dragon Ball FighterZ</t>
  </si>
  <si>
    <t>Joined PC 2/24/22</t>
  </si>
  <si>
    <t>Cartoon Violence, Mild Language, Mild Suggestive Themes</t>
  </si>
  <si>
    <t>Crown Trick</t>
  </si>
  <si>
    <t>Fantasy Violence, Simulated Gambling</t>
  </si>
  <si>
    <t>Madden NFL 21</t>
  </si>
  <si>
    <t>Alien: Isolation</t>
  </si>
  <si>
    <t>Autonauts</t>
  </si>
  <si>
    <t>Infernax</t>
  </si>
  <si>
    <t>Blood and Gore, Violence, Partial Nudity</t>
  </si>
  <si>
    <t>CrossfireX</t>
  </si>
  <si>
    <t>2 campaigns, Operation Catalyst included, Operation Spectre not included. Multiplayer free</t>
  </si>
  <si>
    <t>Skul: The Hero Slayer</t>
  </si>
  <si>
    <t>The Last Kids on Earth and the Staff of Doom</t>
  </si>
  <si>
    <t>Recompile</t>
  </si>
  <si>
    <t>Iris Fall</t>
  </si>
  <si>
    <t>Telling Lies</t>
  </si>
  <si>
    <t>Drug Reference, Sexual Content, Strong Language, Violence</t>
  </si>
  <si>
    <t>Taiko no Tatsujin: The Drum Master</t>
  </si>
  <si>
    <t>Suggestive Themes, Drug Reference</t>
  </si>
  <si>
    <t>Worms W.M.D</t>
  </si>
  <si>
    <t>Cartoon Violence, Crude Humor, Language</t>
  </si>
  <si>
    <t>Bladed Fury</t>
  </si>
  <si>
    <t>Pupperazzi</t>
  </si>
  <si>
    <t>Windjammers 2</t>
  </si>
  <si>
    <t>Action / Sports</t>
  </si>
  <si>
    <t>Danganronpa: Trigger Happy Havoc - Anniversary Edition</t>
  </si>
  <si>
    <t>Blood, Intense Violence, Strong Language, Suggestive Themes</t>
  </si>
  <si>
    <t>Nobody Saves the World</t>
  </si>
  <si>
    <t>Violence, Blood, Sexual Themes, Language</t>
  </si>
  <si>
    <t>The Anacrusis (Game Preview)</t>
  </si>
  <si>
    <t>Colt Canyon</t>
  </si>
  <si>
    <t>Embr</t>
  </si>
  <si>
    <t>Mild Violence, Comic Mischief, Alcohol Reference</t>
  </si>
  <si>
    <t>Outer Wilds</t>
  </si>
  <si>
    <t>Returning title: Added 5/30/19, left 6/30/21</t>
  </si>
  <si>
    <t>Fantasy Violence, Alcohol Reference</t>
  </si>
  <si>
    <t>Gorogoa</t>
  </si>
  <si>
    <t>The Pedestrian</t>
  </si>
  <si>
    <t>Scarlet Nexus</t>
  </si>
  <si>
    <t>Alcohol Reference, Blood, Mild Language, Violence</t>
  </si>
  <si>
    <t>Immortal Realms: Vampire Wars</t>
  </si>
  <si>
    <t>Iron Harvest</t>
  </si>
  <si>
    <t>Tropico 6</t>
  </si>
  <si>
    <t>Removed from EA Play 5/20/21</t>
  </si>
  <si>
    <t>Mild Language, Drug Reference, Violence</t>
  </si>
  <si>
    <t>Secret Neighbor</t>
  </si>
  <si>
    <t>Dead End Job</t>
  </si>
  <si>
    <t>Lake</t>
  </si>
  <si>
    <t>Suggestive Themes, Use Of Drugs And Alcohol, Strong Language</t>
  </si>
  <si>
    <t>Race With Ryan</t>
  </si>
  <si>
    <t>also 3MGP's waifu</t>
  </si>
  <si>
    <t>Record of Lodoss War: Deedlit in Wonder Labyrinth</t>
  </si>
  <si>
    <t>3MGP's waifu</t>
  </si>
  <si>
    <t>Transformers: Battlegrounds</t>
  </si>
  <si>
    <t>One Piece: Pirate Warriors 4</t>
  </si>
  <si>
    <t>Suggestive Themes, Violence, Language, Use of Alcohol And Tobacco</t>
  </si>
  <si>
    <t>Breathedge</t>
  </si>
  <si>
    <t>EA Play: joined 3/18/21, left 3/29/21</t>
  </si>
  <si>
    <t>Blood, Crude Humor, Mild Language, Mild Violence, Suggestive Themes, Use of Alcohol And Tobacco</t>
  </si>
  <si>
    <t>Neoverse</t>
  </si>
  <si>
    <t>Strategy / RPG / Card Game</t>
  </si>
  <si>
    <t>Dragon Quest XI S: Echoes of an Elusive Age - Definitive Edition</t>
  </si>
  <si>
    <t>Use of Alcohol, Fantasy Violence, Crude Humor, Mild Blood, Suggestive Themes, Simulated Gambling</t>
  </si>
  <si>
    <t>Rory McIlroy PGA Tour</t>
  </si>
  <si>
    <t>Praetorians - HD Remaster</t>
  </si>
  <si>
    <t>Space Warlord Organ Trading Simulator</t>
  </si>
  <si>
    <t>Violence, Blood, Suggestive Themes, Drug Reference, Language</t>
  </si>
  <si>
    <t>Archvale</t>
  </si>
  <si>
    <t>Dual-Joystick Shooter / Action-Adventure</t>
  </si>
  <si>
    <t>Final Fantasy XIII-2</t>
  </si>
  <si>
    <t>Mild Language, Drug Reference, Violence, Simulated Gambline, Mild Suggestive Themes</t>
  </si>
  <si>
    <t>Warhammer 40,000: Battlesector</t>
  </si>
  <si>
    <t>Mind Scanners</t>
  </si>
  <si>
    <t>Adventure / RPG / Strategy / Simulation</t>
  </si>
  <si>
    <t>Blood, Sexual Themes, Strong Language, Use of Drugs, Violence</t>
  </si>
  <si>
    <t>DEEEER Simulator</t>
  </si>
  <si>
    <t>Undungeon</t>
  </si>
  <si>
    <t>Violence, Blood, Use of Tobacco, Language</t>
  </si>
  <si>
    <t>Bomber Crew Deluxe Edition</t>
  </si>
  <si>
    <t>Fae Tactics</t>
  </si>
  <si>
    <t>Next Space Rebels</t>
  </si>
  <si>
    <t>Suggestive Themes, Drug Reference, Strong Language</t>
  </si>
  <si>
    <t>Youtuber + Rocket Building Simulator</t>
  </si>
  <si>
    <t>One Step from Eden</t>
  </si>
  <si>
    <t>Action / Card Game</t>
  </si>
  <si>
    <t>Fantasy Violence, Mild Blood, Mild Language, Suggestive Themes</t>
  </si>
  <si>
    <t>art of rally</t>
  </si>
  <si>
    <t>Supraland</t>
  </si>
  <si>
    <t>Subnautica</t>
  </si>
  <si>
    <t>Football Manager 2022</t>
  </si>
  <si>
    <t>Windbound</t>
  </si>
  <si>
    <t>Alan Wake's American Nightmare</t>
  </si>
  <si>
    <t>Suggestive Themes, Violence, Blood, Language</t>
  </si>
  <si>
    <t>Bassmaster Fishing 2022</t>
  </si>
  <si>
    <t>Nongunz: Doppelganger Edition</t>
  </si>
  <si>
    <t>The Forgotten City</t>
  </si>
  <si>
    <t>Alcohol Reference, Blood, Mild Language, Suggestive Themes, Violence</t>
  </si>
  <si>
    <t>Based off of a popular Skyrim mod!</t>
  </si>
  <si>
    <t>Project Wingman</t>
  </si>
  <si>
    <t>Backbone</t>
  </si>
  <si>
    <t>Action / Adventure / RPG / Puzzle</t>
  </si>
  <si>
    <t>Joined console on 10/28</t>
  </si>
  <si>
    <t>Sexual Themes, Use of Drugs, Strong Language</t>
  </si>
  <si>
    <t>Second Extinction (Game Preview)</t>
  </si>
  <si>
    <t>Sniper Elite 4</t>
  </si>
  <si>
    <t>Action / Adventure / Shooter</t>
  </si>
  <si>
    <t>Double Kick Heroes</t>
  </si>
  <si>
    <t>Echo Generation</t>
  </si>
  <si>
    <t>Into the Pit</t>
  </si>
  <si>
    <t>The Good Life</t>
  </si>
  <si>
    <t>Blood, Violence, Use of Alcohol and Tobacco, Mild Language, Crude Humor</t>
  </si>
  <si>
    <t>Ring of Pain</t>
  </si>
  <si>
    <t>Sable</t>
  </si>
  <si>
    <t>Mild Language, Crude Humor</t>
  </si>
  <si>
    <t>Bloodroots</t>
  </si>
  <si>
    <t>Violence, Blood and Gore, Strong Language</t>
  </si>
  <si>
    <t>DiRT 4</t>
  </si>
  <si>
    <t>Sports / Driving/Racing / Simulation</t>
  </si>
  <si>
    <t>GP: Added 7/1/18, left 2/15/21</t>
  </si>
  <si>
    <t>DiRT Rally</t>
  </si>
  <si>
    <t>GP: Added 8/1/17, left 8/1/17</t>
  </si>
  <si>
    <t>Portal 2</t>
  </si>
  <si>
    <t>XB360/OG Xbox</t>
  </si>
  <si>
    <t>GwG Permanent</t>
  </si>
  <si>
    <t>Gods Will Fall</t>
  </si>
  <si>
    <t>The Procession to Calvary</t>
  </si>
  <si>
    <t>Visage</t>
  </si>
  <si>
    <t>Blood and Gore, Intense Violence, Strong Language, Use of Alcohol</t>
  </si>
  <si>
    <t>AI: The Somnium Files</t>
  </si>
  <si>
    <t>Astria Ascending</t>
  </si>
  <si>
    <t>Fantasy Violence, Suggestive Themes</t>
  </si>
  <si>
    <t>Publisher takes forever to patch this version vs other platforms</t>
  </si>
  <si>
    <t>Unsighted</t>
  </si>
  <si>
    <t>Dandy Ace</t>
  </si>
  <si>
    <t>Lemnis Gate</t>
  </si>
  <si>
    <t>Time travel shooter chess match</t>
  </si>
  <si>
    <t>Subnautica: Below Zero</t>
  </si>
  <si>
    <t>Animated Blood, Fantasy Violence, Mild Language</t>
  </si>
  <si>
    <t>Going Under</t>
  </si>
  <si>
    <t>Fantasy Violence, Mild Blood, Mild Language, Mild Suggestive Themes</t>
  </si>
  <si>
    <t>Slime Rancher</t>
  </si>
  <si>
    <t>ScourgeBringer</t>
  </si>
  <si>
    <t>Thrillville</t>
  </si>
  <si>
    <t>Mighty Goose</t>
  </si>
  <si>
    <t>Lost Words: Beyond the Page</t>
  </si>
  <si>
    <t>I Am Fish</t>
  </si>
  <si>
    <t>SkateBird</t>
  </si>
  <si>
    <t>Lyrics</t>
  </si>
  <si>
    <t>Flynn: Son of Crimson</t>
  </si>
  <si>
    <t>The Artful Escape</t>
  </si>
  <si>
    <t>Use of Tobacco, Alcohol Reference, Mild Suggestive Themes, Language</t>
  </si>
  <si>
    <t>Craftopia</t>
  </si>
  <si>
    <t>Violence, Crude Humor</t>
  </si>
  <si>
    <t>Final Fantasy XIII</t>
  </si>
  <si>
    <t>Suggestive Themes, Strong Language, Violence</t>
  </si>
  <si>
    <t>Bug Fables: The Everlasting Sapling</t>
  </si>
  <si>
    <t>A Plague Tale: Innocence</t>
  </si>
  <si>
    <t>Monaco: What's Yours is Mine</t>
  </si>
  <si>
    <t>Calico</t>
  </si>
  <si>
    <t>NBA 2K22</t>
  </si>
  <si>
    <t>Signs of the Sojourner</t>
  </si>
  <si>
    <t>Mild Language, Mild Violence, Alcohol And Tobacco Reference</t>
  </si>
  <si>
    <t>Myst (2021)</t>
  </si>
  <si>
    <t>Remake released first as VR experience on Oculus Quest, this is day and date for PC and Xbox release, though the dev confirmed Game Pass will not get the VR version</t>
  </si>
  <si>
    <t>Twelve Minutes</t>
  </si>
  <si>
    <t>Violence, Blood and Gore, Sexual Content, Strong Language</t>
  </si>
  <si>
    <t>Do yourself a favor and watch a playthrough instead of playing this game</t>
  </si>
  <si>
    <t>Elite Dangerous</t>
  </si>
  <si>
    <t>Action / Strategy / Simulation / Flight Simulator</t>
  </si>
  <si>
    <t>Violence, Drug Reference</t>
  </si>
  <si>
    <t>Two Point Hospital</t>
  </si>
  <si>
    <t>Crude Humor, Animated Blood</t>
  </si>
  <si>
    <t>What Remains of Edith Finch</t>
  </si>
  <si>
    <t>Blood, Drug Reference, Violence, Language</t>
  </si>
  <si>
    <t>Saints Row 2</t>
  </si>
  <si>
    <t>Relicta</t>
  </si>
  <si>
    <t>Train Sim World 2</t>
  </si>
  <si>
    <t>Boyfriend Dungeon</t>
  </si>
  <si>
    <t>Fantasy Violence, Language, Sexual Theme</t>
  </si>
  <si>
    <t>Library of Ruina</t>
  </si>
  <si>
    <t>Curse of the Dead Gods</t>
  </si>
  <si>
    <t>Starmancer (Game Preview)</t>
  </si>
  <si>
    <t>Fantasy Violence, Mild Blood, Use of Alcohol, Crude Humor</t>
  </si>
  <si>
    <t>Torchlight</t>
  </si>
  <si>
    <t>Beasts of Maravilla Island</t>
  </si>
  <si>
    <t>Dodgeball Academia</t>
  </si>
  <si>
    <t>Katamari Damacy Reroll</t>
  </si>
  <si>
    <t>Action / Puzzle</t>
  </si>
  <si>
    <t>Mild Fantasy Violence, Alcohol And Tobacco Reference</t>
  </si>
  <si>
    <t>Lumines: Remastered</t>
  </si>
  <si>
    <t>Strategy / Puzzle / Music/Rhythm</t>
  </si>
  <si>
    <t>OMNO</t>
  </si>
  <si>
    <t>Adventure / Puzzle / Platformer</t>
  </si>
  <si>
    <t>Raji: An Ancient Epic</t>
  </si>
  <si>
    <t>Thrillville: Off the Rails</t>
  </si>
  <si>
    <t>Project Highrise: Architect's Edition</t>
  </si>
  <si>
    <t>Lethal League Blaze</t>
  </si>
  <si>
    <t>Fighting / Baseball</t>
  </si>
  <si>
    <t>Atomicrops</t>
  </si>
  <si>
    <t>Fantasy Violence, Mild Blood, Comic Mischief</t>
  </si>
  <si>
    <t>Cris Tales</t>
  </si>
  <si>
    <t>Children of Morta</t>
  </si>
  <si>
    <t>FIFA 20</t>
  </si>
  <si>
    <t>Raskulls</t>
  </si>
  <si>
    <t>Aven Colony</t>
  </si>
  <si>
    <t>Last Stop</t>
  </si>
  <si>
    <t>Blood, Drug Reference, Language, Sexual Themes, Use of Alcohol, Violence</t>
  </si>
  <si>
    <t>ff</t>
  </si>
  <si>
    <t>Jurassic World Evolution</t>
  </si>
  <si>
    <t>MotoGP 20</t>
  </si>
  <si>
    <t>FPS Boost S Only</t>
  </si>
  <si>
    <t>Does not FPS boost on Series X</t>
  </si>
  <si>
    <t>Super Meat Boy</t>
  </si>
  <si>
    <t>The Inner World – The Last Wind Monk</t>
  </si>
  <si>
    <t>Worms Rumble</t>
  </si>
  <si>
    <t>Dungeons &amp; Dragons: Dark Alliance</t>
  </si>
  <si>
    <t>GreedFall</t>
  </si>
  <si>
    <t>Blood, Suggestive Themes, Partial Nudity, Violence, Language</t>
  </si>
  <si>
    <t>Capsized</t>
  </si>
  <si>
    <t>Cryptark</t>
  </si>
  <si>
    <t>Diluvion: Resubmerged</t>
  </si>
  <si>
    <t>Alcohol Reference, Fantasy Violence, Language</t>
  </si>
  <si>
    <t>Dungeons of Dredmor: Complete</t>
  </si>
  <si>
    <t>NR</t>
  </si>
  <si>
    <t>Epistory: Typing Chronicles</t>
  </si>
  <si>
    <t>Adventure / Educational / Text Adventure</t>
  </si>
  <si>
    <t>Alcohol Reference, Mild Fantasy Violence</t>
  </si>
  <si>
    <t>HIVESWAP: Act 1</t>
  </si>
  <si>
    <t>Alcohol Reference, Comic Mischief, Fantasy Violence, Language, Mild Blood, Suggestive Themes</t>
  </si>
  <si>
    <t>Stealth Bastard Deluxe</t>
  </si>
  <si>
    <t>Blood and Gore, Fantasy Violence, Language</t>
  </si>
  <si>
    <t>Viva Piñata: Party Animals</t>
  </si>
  <si>
    <t>Yoku's Island Express</t>
  </si>
  <si>
    <t>Farming Simulator 19</t>
  </si>
  <si>
    <t>SpellForce 3: Soul Harvest</t>
  </si>
  <si>
    <t>Strategy / RPG / Real-Time Strategy</t>
  </si>
  <si>
    <t>Knockout City</t>
  </si>
  <si>
    <t>Yes, Your Grace</t>
  </si>
  <si>
    <t>Adventure / RPG / Simulation</t>
  </si>
  <si>
    <t>Fantasy Violence, Sexual Content, Drug Reference</t>
  </si>
  <si>
    <t>NHL 20</t>
  </si>
  <si>
    <t>Resident Evil 7: Biohazard</t>
  </si>
  <si>
    <t>Hydro Thunder: Hurricane</t>
  </si>
  <si>
    <t>Hue</t>
  </si>
  <si>
    <t>The Catch: Carp &amp; Coarse Fishing</t>
  </si>
  <si>
    <t>The Wild at Heart</t>
  </si>
  <si>
    <t>Fantasy Violence, Language, Comic Mischief</t>
  </si>
  <si>
    <t>Final Fantasy X/X-2 HD Remaster</t>
  </si>
  <si>
    <t>RPG / Compilation</t>
  </si>
  <si>
    <t>Mild Blood, Suggestive Themes, Mild Language, Violence</t>
  </si>
  <si>
    <t>Grand Theft Auto: San Andreas - The Definitive Edition</t>
  </si>
  <si>
    <t>Driving/Racing / Compilation / Action-Adventure</t>
  </si>
  <si>
    <t>MX vs. ATV: Alive</t>
  </si>
  <si>
    <t>Another Sight</t>
  </si>
  <si>
    <t>Outlast 2</t>
  </si>
  <si>
    <t>Intense Violence, Blood and Gore, Sexual Content, Partial Nudity, Strong Language</t>
  </si>
  <si>
    <t>Cricket 19</t>
  </si>
  <si>
    <t>Streets of Rage 4</t>
  </si>
  <si>
    <t>Mild Language, Mild Suggestive Themes, Cartoon Violence</t>
  </si>
  <si>
    <t>F1 2019</t>
  </si>
  <si>
    <t>Joined EA Play 8/10</t>
  </si>
  <si>
    <t>Outpost Kaloki X</t>
  </si>
  <si>
    <t>Street Power Football</t>
  </si>
  <si>
    <t>MLB The Show 21</t>
  </si>
  <si>
    <t>Pathway</t>
  </si>
  <si>
    <t>Rain on Your Parade</t>
  </si>
  <si>
    <t>Destiny 2: Forsaken, Shadowkeep, Beyond Light</t>
  </si>
  <si>
    <t>Joined PC 10/12/21, Joined Xbox 9/22/20, Leaving Xbox and Cloud 12/8/21</t>
  </si>
  <si>
    <t>Spongebob's Truth or Square</t>
  </si>
  <si>
    <t>The Flame in the Flood</t>
  </si>
  <si>
    <t>Narita Boy</t>
  </si>
  <si>
    <t>Fighting / Puzzle / Platformer</t>
  </si>
  <si>
    <t>Blood, Crude Humor, Fantasy Violence, Language</t>
  </si>
  <si>
    <t>Madden NFL 20</t>
  </si>
  <si>
    <t>Shadow Warrior 2</t>
  </si>
  <si>
    <t>Intense Violence, Blood and Gore, Suggestive Themes, Partial Nudity, Strong Language</t>
  </si>
  <si>
    <t>Aragami</t>
  </si>
  <si>
    <t>Lost Castle</t>
  </si>
  <si>
    <t>Fantasy Violence, Mild Blood, Simulated Gambling</t>
  </si>
  <si>
    <t>The Sexy Brutale</t>
  </si>
  <si>
    <t>Blood, Mild Language, Use of Alcohol, Violence</t>
  </si>
  <si>
    <t>Sacred 2: Fallen Angel</t>
  </si>
  <si>
    <t>Aerial_Knight's Never Yield</t>
  </si>
  <si>
    <t>Torchlight III</t>
  </si>
  <si>
    <t>PHOGS!</t>
  </si>
  <si>
    <t>NieR Automata: Become as Gods Edition</t>
  </si>
  <si>
    <t>Joined PC 3/19/21</t>
  </si>
  <si>
    <t>The Surge 2</t>
  </si>
  <si>
    <t>Titanfall: Deluxe Edition</t>
  </si>
  <si>
    <t>Band of Bugs</t>
  </si>
  <si>
    <t>Broken Sword 5: The Serpent's Curse</t>
  </si>
  <si>
    <t>Killer Queen Black</t>
  </si>
  <si>
    <t>Action / Strategy / Platformer</t>
  </si>
  <si>
    <t>Touhou Luna Nights</t>
  </si>
  <si>
    <t>Kingdom Hearts III</t>
  </si>
  <si>
    <t>Stealth Inc 2: A Game of Clones</t>
  </si>
  <si>
    <t>Hydrophobia</t>
  </si>
  <si>
    <t>Aground</t>
  </si>
  <si>
    <t>Final Fantasy XII: The Zodiac Age</t>
  </si>
  <si>
    <t>Mild Blood, Suggestive Themes, Violence</t>
  </si>
  <si>
    <t>Project Winter</t>
  </si>
  <si>
    <t>Violence, Blood, Use of Alcohol</t>
  </si>
  <si>
    <t>The Falconeer</t>
  </si>
  <si>
    <t>The Medium</t>
  </si>
  <si>
    <t>Code Vein</t>
  </si>
  <si>
    <t>Control</t>
  </si>
  <si>
    <t>Furi</t>
  </si>
  <si>
    <t>Violence, Strong Language</t>
  </si>
  <si>
    <t>Space Invaders: Infinity Gene</t>
  </si>
  <si>
    <t>NeuroVoider</t>
  </si>
  <si>
    <t>Prison Architect</t>
  </si>
  <si>
    <t>Blood, Sexual Content, Partial Nudity, Drug Reference, Strong Language, Violence</t>
  </si>
  <si>
    <t>Cyber Shadow</t>
  </si>
  <si>
    <t>Xeno Crisis</t>
  </si>
  <si>
    <t>Nowhere Prophet</t>
  </si>
  <si>
    <t>Blood, Use of Tobacco, Violence</t>
  </si>
  <si>
    <t>LEGRAND LEGACY: Tale of the Fatebounds</t>
  </si>
  <si>
    <t>This War of Mine</t>
  </si>
  <si>
    <t>Torchlight II</t>
  </si>
  <si>
    <t>Trine 2: Complete Story</t>
  </si>
  <si>
    <t>Trine: Enchanted Edition</t>
  </si>
  <si>
    <t>Radiant Silvergun</t>
  </si>
  <si>
    <t>Tropico 5 – Penultimate Edition</t>
  </si>
  <si>
    <t>Ghost of a Tale</t>
  </si>
  <si>
    <t>Desperados III</t>
  </si>
  <si>
    <t>Action / Strategy / Real-Time Strategy</t>
  </si>
  <si>
    <t>YIIK: A Postmodern RPG</t>
  </si>
  <si>
    <t>Mount &amp; Blade: Warband</t>
  </si>
  <si>
    <t>Action / Strategy / RPG / Simulation</t>
  </si>
  <si>
    <t>Pandemic: The Board Game</t>
  </si>
  <si>
    <t>Trivia/Board Game</t>
  </si>
  <si>
    <t>PlayerUnknown's Battlegrounds</t>
  </si>
  <si>
    <t>Shooter / First-Person Shooter</t>
  </si>
  <si>
    <t>Going free to play 1/12/22</t>
  </si>
  <si>
    <t>Insanely Twisted Shadow Planet</t>
  </si>
  <si>
    <t>The Escapists 2</t>
  </si>
  <si>
    <t>eFootball PES 2021</t>
  </si>
  <si>
    <t>Soccer</t>
  </si>
  <si>
    <t>The Little Acre</t>
  </si>
  <si>
    <t>Orcs Must Die!</t>
  </si>
  <si>
    <t>Kingdom Two Crowns</t>
  </si>
  <si>
    <t>Beholder: Complete Edition</t>
  </si>
  <si>
    <t>Wilmot's Warehouse</t>
  </si>
  <si>
    <t>Yooka-Laylee and the Impossible Lair</t>
  </si>
  <si>
    <t>Unto the End</t>
  </si>
  <si>
    <t>The Dark Pictures Anthology: Man Of Medan</t>
  </si>
  <si>
    <t>Guacamelee! 2</t>
  </si>
  <si>
    <t>SUPERHOT</t>
  </si>
  <si>
    <t>Lego Batman 2 DC Super Heroes</t>
  </si>
  <si>
    <t>Moving Out</t>
  </si>
  <si>
    <t>Football Manager 2021</t>
  </si>
  <si>
    <t>Mørkredd</t>
  </si>
  <si>
    <t>Call of the Sea</t>
  </si>
  <si>
    <t>Haven</t>
  </si>
  <si>
    <t>Va-11 Hall-A: Cyberpunk Bartender Action</t>
  </si>
  <si>
    <t>FIFA 19</t>
  </si>
  <si>
    <t>Hello Neighbor</t>
  </si>
  <si>
    <t>SINNER: Sacrifice for Redemption</t>
  </si>
  <si>
    <t>Oxenfree</t>
  </si>
  <si>
    <t>Rocket Knight</t>
  </si>
  <si>
    <t>Hover</t>
  </si>
  <si>
    <t>River City Girls</t>
  </si>
  <si>
    <t>Star Renegades</t>
  </si>
  <si>
    <t>Final Fantasy VIII: Remastered</t>
  </si>
  <si>
    <t>Planet Coaster</t>
  </si>
  <si>
    <t>Streets of Rogue</t>
  </si>
  <si>
    <t>The Gardens Between</t>
  </si>
  <si>
    <t>Resident Evil Code: Veronica X</t>
  </si>
  <si>
    <t>Aaero</t>
  </si>
  <si>
    <t>Comanche</t>
  </si>
  <si>
    <t>Action / Shooter / First-Person Shooter / Vehicular Combat</t>
  </si>
  <si>
    <t>Eastshade</t>
  </si>
  <si>
    <t>Knights and Bikes</t>
  </si>
  <si>
    <t>Five Nights at Freddy's</t>
  </si>
  <si>
    <t>Five Nights at Freddy's 2</t>
  </si>
  <si>
    <t>Five Nights at Freddy's 3</t>
  </si>
  <si>
    <t>Five Nights at Freddy's 4</t>
  </si>
  <si>
    <t>Unruly Heroes</t>
  </si>
  <si>
    <t>Carto</t>
  </si>
  <si>
    <t>Home Behind</t>
  </si>
  <si>
    <t>Shio</t>
  </si>
  <si>
    <t>Shantae: Half-Genie Hero</t>
  </si>
  <si>
    <t>Castlevania: Harmony of Despair</t>
  </si>
  <si>
    <t>Mulaka</t>
  </si>
  <si>
    <t>GoNNER2</t>
  </si>
  <si>
    <t>Heave Ho</t>
  </si>
  <si>
    <t>Katana Zero</t>
  </si>
  <si>
    <t>Tales of Vesperia: Definitive Edition</t>
  </si>
  <si>
    <t>The Swords of Ditto: Mormo's Curse</t>
  </si>
  <si>
    <t>Samurai Shodown II</t>
  </si>
  <si>
    <t>Warhammer: Chaosbane</t>
  </si>
  <si>
    <t>Ikenfell</t>
  </si>
  <si>
    <t>Kathy Rain</t>
  </si>
  <si>
    <t>Night in the Woods</t>
  </si>
  <si>
    <t>Drake Hollow</t>
  </si>
  <si>
    <t>Zone of the Enders HD Collection</t>
  </si>
  <si>
    <t>Yooka-Laylee</t>
  </si>
  <si>
    <t>Forza Motorsport 7</t>
  </si>
  <si>
    <t>Company of Heroes 2: Complete Edition</t>
  </si>
  <si>
    <t>Disgaea 4 Complete+</t>
  </si>
  <si>
    <t>Hotshot Racing</t>
  </si>
  <si>
    <t>The Dark Crystal: Age of Resistance Tactics</t>
  </si>
  <si>
    <t>Thronebreaker: The Witcher Tales</t>
  </si>
  <si>
    <t>Red Dead Online</t>
  </si>
  <si>
    <t>Star Wars Battlefront (Classic)</t>
  </si>
  <si>
    <t>Star Wars Battlefront II (Classic)</t>
  </si>
  <si>
    <t>Star Wars Republic Commando</t>
  </si>
  <si>
    <t>Vambrace: Cold Soul</t>
  </si>
  <si>
    <t>Garou: Mark of the Wolves</t>
  </si>
  <si>
    <t>Darksiders III</t>
  </si>
  <si>
    <t>NBA 2K21</t>
  </si>
  <si>
    <t>Shooter / Music/Rhythm</t>
  </si>
  <si>
    <t>Stranger Things 3: The Game</t>
  </si>
  <si>
    <t>Blair Witch</t>
  </si>
  <si>
    <t>Pyre</t>
  </si>
  <si>
    <t>Dear Esther: Landmark Edition</t>
  </si>
  <si>
    <t>Mugsters</t>
  </si>
  <si>
    <t>Action / Puzzle / Platformer</t>
  </si>
  <si>
    <t>Nex Machina</t>
  </si>
  <si>
    <t>Shoot 'Em Up</t>
  </si>
  <si>
    <t>Overcooked: Gourmet Edition</t>
  </si>
  <si>
    <t>Renowned Explorers: International Society</t>
  </si>
  <si>
    <t>The Escapists</t>
  </si>
  <si>
    <t>Madden NFL 19</t>
  </si>
  <si>
    <t>Pinball / Platformer</t>
  </si>
  <si>
    <t>Removed from Game Pass 8/15/20</t>
  </si>
  <si>
    <t>Vampyr</t>
  </si>
  <si>
    <t>Lost Planet 3</t>
  </si>
  <si>
    <t>Rock of Ages 3: Make &amp; Break</t>
  </si>
  <si>
    <t>Don't Starve: Giant Edition</t>
  </si>
  <si>
    <t>Crossing Souls</t>
  </si>
  <si>
    <t>Final Fantasy VII</t>
  </si>
  <si>
    <t>Fantasy / Post-Apocalyptic</t>
  </si>
  <si>
    <t>Darksiders Genesis</t>
  </si>
  <si>
    <t>Train Sim World 2020</t>
  </si>
  <si>
    <t>Ape Out</t>
  </si>
  <si>
    <t>Midway Arcade Origins</t>
  </si>
  <si>
    <t>Planet Alpha</t>
  </si>
  <si>
    <t>It Lurks Below</t>
  </si>
  <si>
    <t>UnderMine</t>
  </si>
  <si>
    <t>The Touryst</t>
  </si>
  <si>
    <t>Conker: Live &amp; Reloaded</t>
  </si>
  <si>
    <t>Shadows: Awakening</t>
  </si>
  <si>
    <t>Endless Space 2: Deluxe Edition</t>
  </si>
  <si>
    <t>Downwell</t>
  </si>
  <si>
    <t>Platformer / Shoot 'Em Up</t>
  </si>
  <si>
    <t>CrossCode</t>
  </si>
  <si>
    <t>RPG / Dual-Joystick Shooter / Action-Adventure</t>
  </si>
  <si>
    <t>EA Sports UFC</t>
  </si>
  <si>
    <t>EA Sports UFC 2</t>
  </si>
  <si>
    <t>Injustice: Gods Among Us</t>
  </si>
  <si>
    <t>The King's Bird</t>
  </si>
  <si>
    <t>Out of the Park Baseball 21</t>
  </si>
  <si>
    <t>Strategy / Sports / Simulation / Baseball</t>
  </si>
  <si>
    <t>SoulCalibur VI</t>
  </si>
  <si>
    <t>MISTOVER</t>
  </si>
  <si>
    <t>Battle Chasers: Nightwar</t>
  </si>
  <si>
    <t>The Messenger</t>
  </si>
  <si>
    <t>Action / Platformer / Action-Adventure</t>
  </si>
  <si>
    <t>Monster Hunter: World</t>
  </si>
  <si>
    <t>Marvel vs. Capcom: Infinite</t>
  </si>
  <si>
    <t>NeoGeo Battle Coliseum</t>
  </si>
  <si>
    <t>Dungeons 3</t>
  </si>
  <si>
    <t>Observation</t>
  </si>
  <si>
    <t>West of Dead</t>
  </si>
  <si>
    <t>Action / Shooter / Dual-Joystick Shooter</t>
  </si>
  <si>
    <t>Ace Combat 7: Skies Unknown</t>
  </si>
  <si>
    <t>Flight Simulator</t>
  </si>
  <si>
    <t>Night Call</t>
  </si>
  <si>
    <t>Wizard of Legend</t>
  </si>
  <si>
    <t>Tropico 4</t>
  </si>
  <si>
    <t>Kingdom Hearts HD I.5 + II.5 ReMix</t>
  </si>
  <si>
    <t>Action / RPG / Compilation</t>
  </si>
  <si>
    <t>Kingdom Hearts HD II.8 Final Chapter Prologue</t>
  </si>
  <si>
    <t>Broforce</t>
  </si>
  <si>
    <t>Void Bastards</t>
  </si>
  <si>
    <t>Surviving Mars</t>
  </si>
  <si>
    <t>Armello</t>
  </si>
  <si>
    <t>Assetto Corsa</t>
  </si>
  <si>
    <t>Detention</t>
  </si>
  <si>
    <t>Lego Batman</t>
  </si>
  <si>
    <t>Truck Racing Championship</t>
  </si>
  <si>
    <t>Battlefleet Gothic: Armada II</t>
  </si>
  <si>
    <t>Dungeon of the Endless</t>
  </si>
  <si>
    <t>Plebby Quest: The Crusades</t>
  </si>
  <si>
    <t>Alan Wake</t>
  </si>
  <si>
    <t>Remedy Entertainment bought the IP from Microsoft</t>
  </si>
  <si>
    <t>Final Fantasy IX</t>
  </si>
  <si>
    <t>Hotline Miami</t>
  </si>
  <si>
    <t>FIFA 15</t>
  </si>
  <si>
    <t>FIFA 16</t>
  </si>
  <si>
    <t>FIFA 17</t>
  </si>
  <si>
    <t>FIFA 18</t>
  </si>
  <si>
    <t>NBA LIVE 15</t>
  </si>
  <si>
    <t>NBA LIVE 18: The One Edition</t>
  </si>
  <si>
    <t>Hard Corps: Uprising</t>
  </si>
  <si>
    <t>Vikings: Wolves of Midgard</t>
  </si>
  <si>
    <t>Fractured Minds</t>
  </si>
  <si>
    <t>Endless Legend</t>
  </si>
  <si>
    <t>Levelhead</t>
  </si>
  <si>
    <t>Thumper</t>
  </si>
  <si>
    <t>For The King</t>
  </si>
  <si>
    <t>Bomber Crew</t>
  </si>
  <si>
    <t>Madden NFL 15</t>
  </si>
  <si>
    <t>Madden NFL 16</t>
  </si>
  <si>
    <t>Madden NFL 17</t>
  </si>
  <si>
    <t>Madden NFL 18</t>
  </si>
  <si>
    <t>Madden NFL 25</t>
  </si>
  <si>
    <t>NHL 18</t>
  </si>
  <si>
    <t>NHL 19</t>
  </si>
  <si>
    <t>Dark Void</t>
  </si>
  <si>
    <t>Vicious Attack Llama Apocalypse</t>
  </si>
  <si>
    <t>Deliver Us the Moon</t>
  </si>
  <si>
    <t>Gato Roboto</t>
  </si>
  <si>
    <t>Wargroove</t>
  </si>
  <si>
    <t>Port Royale 3</t>
  </si>
  <si>
    <t>Warface: Breakout</t>
  </si>
  <si>
    <t>HyperDot</t>
  </si>
  <si>
    <t>Machinarium</t>
  </si>
  <si>
    <t>Apotheon</t>
  </si>
  <si>
    <t>Mutant Year Zero: Road to Eden</t>
  </si>
  <si>
    <t>Returning title: Joined 12/4/18, left 12/15/20 (console and PC)</t>
  </si>
  <si>
    <t>Shift Quantum</t>
  </si>
  <si>
    <t>Star Wars Episode I: Racer</t>
  </si>
  <si>
    <t>Star Wars Galactic Battlegrounds: Saga</t>
  </si>
  <si>
    <t>Strategy / Simulation / Real-Time Strategy</t>
  </si>
  <si>
    <t>Star Wars Jedi Knight: Mysteries of the Sith</t>
  </si>
  <si>
    <t>Star Wars Rebellion</t>
  </si>
  <si>
    <t>Star Wars Rogue Squadron 3D</t>
  </si>
  <si>
    <t>Star Wars Shadows of the Empire</t>
  </si>
  <si>
    <t>Star Wars Starfighter</t>
  </si>
  <si>
    <t>Star Wars X-Wing Alliance</t>
  </si>
  <si>
    <t>Star Wars Dark Forces</t>
  </si>
  <si>
    <t>Into the Breach</t>
  </si>
  <si>
    <t>Snake Pass</t>
  </si>
  <si>
    <t>Metal Slug 3</t>
  </si>
  <si>
    <t>Dandara: Trials of Fear Edition</t>
  </si>
  <si>
    <t>Alvastia Chronicles</t>
  </si>
  <si>
    <t>Astrologaster</t>
  </si>
  <si>
    <t>The Witcher 3: Wild Hunt</t>
  </si>
  <si>
    <t>Lost Planet 2</t>
  </si>
  <si>
    <t>Gears 5</t>
  </si>
  <si>
    <t>Resident Evil</t>
  </si>
  <si>
    <t>The Jackbox Party Pack 4</t>
  </si>
  <si>
    <t>Trivia/Board Game / Minigame Collection</t>
  </si>
  <si>
    <t>Mother Russia Bleeds</t>
  </si>
  <si>
    <t>Momodora: Reverie Under the Moonlight</t>
  </si>
  <si>
    <t>Shadows of the Damned</t>
  </si>
  <si>
    <t>Indiana Jones and the Emperor's Tomb</t>
  </si>
  <si>
    <t>Dead Rising</t>
  </si>
  <si>
    <t>Ninja Gaiden II</t>
  </si>
  <si>
    <t>World of Horror (Game Preview)</t>
  </si>
  <si>
    <t>de Blob</t>
  </si>
  <si>
    <t>Breakdown</t>
  </si>
  <si>
    <t>Little Nightmares</t>
  </si>
  <si>
    <t>Reigns: Game of Thrones</t>
  </si>
  <si>
    <t>Death Squared</t>
  </si>
  <si>
    <t>Strategy / Puzzle / Platformer</t>
  </si>
  <si>
    <t>Death's Gambit</t>
  </si>
  <si>
    <t>Final Fantasy XV</t>
  </si>
  <si>
    <t>Fishing Sim World: Pro Tour</t>
  </si>
  <si>
    <t>Fishing</t>
  </si>
  <si>
    <t>Sea Salt</t>
  </si>
  <si>
    <t>Action / Strategy / Action-Adventure</t>
  </si>
  <si>
    <t>Bleed 2</t>
  </si>
  <si>
    <t>The King of Fighters XIII</t>
  </si>
  <si>
    <t>Tekken 7</t>
  </si>
  <si>
    <t>Sword Art Online: Fatal Bullet</t>
  </si>
  <si>
    <t>FTL: Faster Than Light</t>
  </si>
  <si>
    <t>The Raven Remastered</t>
  </si>
  <si>
    <t>Football Manager 2020</t>
  </si>
  <si>
    <t>Farming Simulator 17</t>
  </si>
  <si>
    <t>Mortal Kombat X</t>
  </si>
  <si>
    <t>Saints Row: Gat Out of Hell</t>
  </si>
  <si>
    <t>Swimsanity!</t>
  </si>
  <si>
    <t>Infinifactory</t>
  </si>
  <si>
    <t>Untitled Goose Game</t>
  </si>
  <si>
    <t>Pathologic 2</t>
  </si>
  <si>
    <t>Ticket to Ride</t>
  </si>
  <si>
    <t>Naruto to Boruto: Shinobi Striker</t>
  </si>
  <si>
    <t>Age of Wonders: Planetfall</t>
  </si>
  <si>
    <t>The Turing Test</t>
  </si>
  <si>
    <t>MudRunner</t>
  </si>
  <si>
    <t>Metro: Last Light Redux</t>
  </si>
  <si>
    <t>eFootball PES 2020</t>
  </si>
  <si>
    <t>Demon's Tilt</t>
  </si>
  <si>
    <t>Pinball</t>
  </si>
  <si>
    <t>Wandersong</t>
  </si>
  <si>
    <t>Faeria</t>
  </si>
  <si>
    <t>Hatoful Boyfriend</t>
  </si>
  <si>
    <t>Adventure / Text Adventure</t>
  </si>
  <si>
    <t>Absolver</t>
  </si>
  <si>
    <t>Dead Island: Definitive Edition</t>
  </si>
  <si>
    <t>Lego Indiana Jones</t>
  </si>
  <si>
    <t>Aragami: Shadow Edition</t>
  </si>
  <si>
    <t>Munchkin: Quacked Quest</t>
  </si>
  <si>
    <t>Tracks: The Train Set Game</t>
  </si>
  <si>
    <t>The Talos Principle</t>
  </si>
  <si>
    <t>Full Spectrum Warrior</t>
  </si>
  <si>
    <t>Maid of Sker</t>
  </si>
  <si>
    <t>Slayaway Camp: Butcher's Cut</t>
  </si>
  <si>
    <t>The Lord of the Rings: Adventure Card Game</t>
  </si>
  <si>
    <t>Lego Star Wars III: The Clone Wars</t>
  </si>
  <si>
    <t>Afterparty</t>
  </si>
  <si>
    <t>The Red Strings Club</t>
  </si>
  <si>
    <t>Tacoma</t>
  </si>
  <si>
    <t>Rise &amp; Shine</t>
  </si>
  <si>
    <t>NBA LIVE 16</t>
  </si>
  <si>
    <t>Sphinx and the Cursed Mummy</t>
  </si>
  <si>
    <t>The Book of Unwritten Tales 2</t>
  </si>
  <si>
    <t>State of Mind</t>
  </si>
  <si>
    <t>Minit</t>
  </si>
  <si>
    <t>Felix the Reaper</t>
  </si>
  <si>
    <t>Metro 2033 Redux</t>
  </si>
  <si>
    <t>Saints Row IV: Re-Elected</t>
  </si>
  <si>
    <t>NHL 17</t>
  </si>
  <si>
    <t>Armed and Dangerous</t>
  </si>
  <si>
    <t>Panzer Dragoon Orta</t>
  </si>
  <si>
    <t>Bad North: Jotunn Edition</t>
  </si>
  <si>
    <t>Westerado: Double Barreled</t>
  </si>
  <si>
    <t>Rocket League</t>
  </si>
  <si>
    <t>Driving/Racing / Vehicular Combat / Soccer</t>
  </si>
  <si>
    <t>de Blob 2</t>
  </si>
  <si>
    <t>Override: Mech City Brawl</t>
  </si>
  <si>
    <t>NBA 2K20</t>
  </si>
  <si>
    <t>Jump Force</t>
  </si>
  <si>
    <t>GoNNER: Blueberry Edition</t>
  </si>
  <si>
    <t>Simulation / Music/Rhythm</t>
  </si>
  <si>
    <t>Red Dead Redemption 2</t>
  </si>
  <si>
    <t>Red Faction II</t>
  </si>
  <si>
    <t>Portal Knights</t>
  </si>
  <si>
    <t>The Jackbox Party Pack 3</t>
  </si>
  <si>
    <t>Creature in the Well</t>
  </si>
  <si>
    <t>Pinball / Action-Adventure</t>
  </si>
  <si>
    <t>Metal Gear Solid HD Edition: 2 &amp; 3</t>
  </si>
  <si>
    <t>Giana Sisters: Twisted Dreams - Director's Cut</t>
  </si>
  <si>
    <t>MX Unleashed</t>
  </si>
  <si>
    <t>Dunk Lords</t>
  </si>
  <si>
    <t>Kingdom Come: Deliverance</t>
  </si>
  <si>
    <t>Devil May Cry 5</t>
  </si>
  <si>
    <t>Space Hulk: Tactics</t>
  </si>
  <si>
    <t>Where The Water Tastes Like Wine</t>
  </si>
  <si>
    <t>F1 2018</t>
  </si>
  <si>
    <t>JUJU</t>
  </si>
  <si>
    <t>WRC 8 FIA World Rally Championship</t>
  </si>
  <si>
    <t>Ashes Cricket</t>
  </si>
  <si>
    <t>The Banner Saga 3</t>
  </si>
  <si>
    <t>RiME</t>
  </si>
  <si>
    <t>Metal Gear Solid V: The Phantom Pain</t>
  </si>
  <si>
    <t>Blazing Chrome</t>
  </si>
  <si>
    <t>Dead Rising 4</t>
  </si>
  <si>
    <t>Timespinner</t>
  </si>
  <si>
    <t>Unavowed</t>
  </si>
  <si>
    <t>Sine Mora</t>
  </si>
  <si>
    <t>Shantae and the Pirate's Curse</t>
  </si>
  <si>
    <t>Battlefleet Gothic: Armada</t>
  </si>
  <si>
    <t>ACA NeoGeo Metal Slug X</t>
  </si>
  <si>
    <t>Metro Exodus</t>
  </si>
  <si>
    <t>Neon Chrome</t>
  </si>
  <si>
    <t>Shadow Tactics: Blades of the Shogun</t>
  </si>
  <si>
    <t>Life is Strange 2</t>
  </si>
  <si>
    <t>Die for Valhalla!</t>
  </si>
  <si>
    <t>Destroy All Humans!</t>
  </si>
  <si>
    <t>Warhammer 40,000: Inquisitor - Martyr</t>
  </si>
  <si>
    <t>Resident Evil: Revelations</t>
  </si>
  <si>
    <t>Book of Demons</t>
  </si>
  <si>
    <t>Everspace</t>
  </si>
  <si>
    <t>Riverbond</t>
  </si>
  <si>
    <t>Samorost 3</t>
  </si>
  <si>
    <t>Supermarket Shriek</t>
  </si>
  <si>
    <t>The Last Door: Season 2 - Collector's Edition</t>
  </si>
  <si>
    <t>The Stillness of the Wind</t>
  </si>
  <si>
    <t>Riptide GP: Renegade</t>
  </si>
  <si>
    <t>Overlord II</t>
  </si>
  <si>
    <t>V-Rally 4</t>
  </si>
  <si>
    <t>Old Man's Journey</t>
  </si>
  <si>
    <t>#IDARB</t>
  </si>
  <si>
    <t>The King of Fighters '98 Ultimate Match (KOF98UM)</t>
  </si>
  <si>
    <t>Action / Fighting</t>
  </si>
  <si>
    <t>Sensible World of Soccer</t>
  </si>
  <si>
    <t>Knights of Pen and Paper Bundle</t>
  </si>
  <si>
    <t>The Lego Ninjago Movie Video Game</t>
  </si>
  <si>
    <t>Imperator: Rome</t>
  </si>
  <si>
    <t>West of Loathing</t>
  </si>
  <si>
    <t>Metal Gear Survive</t>
  </si>
  <si>
    <t>The Banner Saga</t>
  </si>
  <si>
    <t>Mega Man Legacy Collection 2</t>
  </si>
  <si>
    <t>Toybox Turbos</t>
  </si>
  <si>
    <t>Project CARS 2</t>
  </si>
  <si>
    <t>Silence: The Whispered World 2</t>
  </si>
  <si>
    <t>Smoke and Sacrifice</t>
  </si>
  <si>
    <t>Full Metal Furies</t>
  </si>
  <si>
    <t>The Banner Saga 2</t>
  </si>
  <si>
    <t>RUINER</t>
  </si>
  <si>
    <t>Braid</t>
  </si>
  <si>
    <t>FEZ</t>
  </si>
  <si>
    <t>Valkyria Chronicles</t>
  </si>
  <si>
    <t>Guacamelee! Super Turbo Championship Edition</t>
  </si>
  <si>
    <t>MX vs. ATV: Reflex</t>
  </si>
  <si>
    <t>Sonic Generations</t>
  </si>
  <si>
    <t>Batman: The Enemy Within</t>
  </si>
  <si>
    <t>Castlevania: Lords of Shadow 2</t>
  </si>
  <si>
    <t>Call of Cthulhu</t>
  </si>
  <si>
    <t>LEGO Worlds</t>
  </si>
  <si>
    <t>Apocalipsis</t>
  </si>
  <si>
    <t>Battle Chef Brigade</t>
  </si>
  <si>
    <t>Borderlands 2</t>
  </si>
  <si>
    <t>Borderlands: The Pre-Sequel!</t>
  </si>
  <si>
    <t>Kingsway</t>
  </si>
  <si>
    <t>Lichtspeer: Double Speer Edition</t>
  </si>
  <si>
    <t>Orwell: Keeping an Eye on You</t>
  </si>
  <si>
    <t>Shenmue</t>
  </si>
  <si>
    <t>Action-Adventure / RPG / Brawler</t>
  </si>
  <si>
    <t>Shenmue II</t>
  </si>
  <si>
    <t>Thimbleweed Park</t>
  </si>
  <si>
    <t>Titan-Quest: Anniversary Edition</t>
  </si>
  <si>
    <t>The Golf Club 2</t>
  </si>
  <si>
    <t>Golf</t>
  </si>
  <si>
    <t>Operencia: The Stolen Sun</t>
  </si>
  <si>
    <t>Deus Ex: Mankind Divided</t>
  </si>
  <si>
    <t>Star Wars Battlefront</t>
  </si>
  <si>
    <t>TT Isle of Man</t>
  </si>
  <si>
    <t>Fable Heroes</t>
  </si>
  <si>
    <t>Batman: The Telltale Series</t>
  </si>
  <si>
    <t>Disney Epic Mickey 2: The Power of Two</t>
  </si>
  <si>
    <t>Just Cause 4</t>
  </si>
  <si>
    <t>Batman: Arkham City</t>
  </si>
  <si>
    <t>The Jackbox Party Pack 2</t>
  </si>
  <si>
    <t>Batman: Arkham Asylum</t>
  </si>
  <si>
    <t>Pumped BMX Pro</t>
  </si>
  <si>
    <t>LEGO Star Wars II: The Original Trilogy</t>
  </si>
  <si>
    <t>Styx: Shards of Darkness</t>
  </si>
  <si>
    <t>Tekken 6</t>
  </si>
  <si>
    <t>LEGO City Undercover</t>
  </si>
  <si>
    <t>Driving/Racing / Action-Adventure / Platformer</t>
  </si>
  <si>
    <t>Resident Evil 4</t>
  </si>
  <si>
    <t>Just Cause 3</t>
  </si>
  <si>
    <t>Middle-earth: Shadow of Mordor - Game of the Year Edition</t>
  </si>
  <si>
    <t>Saints Row: The Third</t>
  </si>
  <si>
    <t>Action / Driving/Racing / Shooter</t>
  </si>
  <si>
    <t>Castlevania: Lords of Shadow - Mirror of Fate HD</t>
  </si>
  <si>
    <t>Insane Robots</t>
  </si>
  <si>
    <t>Toy Story 3</t>
  </si>
  <si>
    <t>The Final Station</t>
  </si>
  <si>
    <t>Headlander</t>
  </si>
  <si>
    <t>Life is Strange</t>
  </si>
  <si>
    <t>Life is Strange: Before the Storm</t>
  </si>
  <si>
    <t>Pro Evolution Soccer 2019</t>
  </si>
  <si>
    <t>Tecmo Bowl: Throwback</t>
  </si>
  <si>
    <t>Football</t>
  </si>
  <si>
    <t>Sherlock Holmes: The Devil's Daughter</t>
  </si>
  <si>
    <t>Robocraft Infinity</t>
  </si>
  <si>
    <t>Star Wars: Jedi Starfighter</t>
  </si>
  <si>
    <t>Friday the 13th: The Game</t>
  </si>
  <si>
    <t>Pony Island</t>
  </si>
  <si>
    <t>Adventure / Puzzle / Shoot 'Em Up</t>
  </si>
  <si>
    <t>Tyranny: Gold Edition</t>
  </si>
  <si>
    <t>Football Manager 2019</t>
  </si>
  <si>
    <t>Sports / Simulation</t>
  </si>
  <si>
    <t>LEGO Batman 3: Beyond Gotham</t>
  </si>
  <si>
    <t>The Surge</t>
  </si>
  <si>
    <t>Below</t>
  </si>
  <si>
    <t>Strange Brigade</t>
  </si>
  <si>
    <t>Agents of Mayhem</t>
  </si>
  <si>
    <t>MXGP3</t>
  </si>
  <si>
    <t>Thomas Was Alone</t>
  </si>
  <si>
    <t>ABZÛ</t>
  </si>
  <si>
    <t>Darksiders II: Deathinitive Edition</t>
  </si>
  <si>
    <t>Darksiders: Warmastered Edition</t>
  </si>
  <si>
    <t>GRID 2</t>
  </si>
  <si>
    <t>Ninja Gaiden 3: Razor's Edge</t>
  </si>
  <si>
    <t>Tembo the Badass Elephant</t>
  </si>
  <si>
    <t>Bolt</t>
  </si>
  <si>
    <t>We Were Here</t>
  </si>
  <si>
    <t>Resident Evil 5</t>
  </si>
  <si>
    <t>Dead Island: Riptide - Definitive Edition</t>
  </si>
  <si>
    <t>Action / First-Person Shooter / Brawler</t>
  </si>
  <si>
    <t>&gt;observer_</t>
  </si>
  <si>
    <t>Tekken Tag Tournament 2</t>
  </si>
  <si>
    <t>Hitman: The Complete First Season</t>
  </si>
  <si>
    <t>Earth Defense Force 2025</t>
  </si>
  <si>
    <t>Forza Motorsport 6</t>
  </si>
  <si>
    <t>LEGO Batman 2: DC Super Heroes</t>
  </si>
  <si>
    <t>LEGO Indiana Jones: The Original Adventures</t>
  </si>
  <si>
    <t>Split/Second</t>
  </si>
  <si>
    <t>Action / Driving/Racing / Vehicular Combat</t>
  </si>
  <si>
    <t>Onrush</t>
  </si>
  <si>
    <t>Ninja Gaiden Black</t>
  </si>
  <si>
    <t>Super Street Fighter IV: Arcade Edition</t>
  </si>
  <si>
    <t>'Splosion Man</t>
  </si>
  <si>
    <t>The Maw</t>
  </si>
  <si>
    <t>Action / Adventure / Platformer</t>
  </si>
  <si>
    <t>Castlevania: Lords of Shadow</t>
  </si>
  <si>
    <t>Big Crown: Showdown</t>
  </si>
  <si>
    <t>InnerSpace</t>
  </si>
  <si>
    <t>Adventure / Flight Simulator</t>
  </si>
  <si>
    <t>Manual Samuel</t>
  </si>
  <si>
    <t>Sky Force: Reloaded</t>
  </si>
  <si>
    <t>Graveyard Keeper</t>
  </si>
  <si>
    <t>Alien Hominid HD</t>
  </si>
  <si>
    <t>BattleBlock Theater</t>
  </si>
  <si>
    <t>A Kingdom for Keflings</t>
  </si>
  <si>
    <t>A World of Keflings</t>
  </si>
  <si>
    <t>CastleStorm</t>
  </si>
  <si>
    <t>Action / Strategy / Brawler</t>
  </si>
  <si>
    <t>Joe Danger 2: The Movie</t>
  </si>
  <si>
    <t>Driving/Racing / Platformer</t>
  </si>
  <si>
    <t>Joe Danger: Special Edition</t>
  </si>
  <si>
    <t>Monday Night Combat</t>
  </si>
  <si>
    <t>Shooter / MOBA</t>
  </si>
  <si>
    <t>N+</t>
  </si>
  <si>
    <t>Spelunky</t>
  </si>
  <si>
    <t>Toy Soldiers</t>
  </si>
  <si>
    <t>Vehicular Combat / Shooter / Real-Time Strategy</t>
  </si>
  <si>
    <t>Toy Soldiers: Cold War</t>
  </si>
  <si>
    <t>Meet the Robinsons</t>
  </si>
  <si>
    <t>INSIDE</t>
  </si>
  <si>
    <t>Castlevania: Symphony of the Night</t>
  </si>
  <si>
    <t>Rivals of Aether</t>
  </si>
  <si>
    <t>Aftercharge</t>
  </si>
  <si>
    <t>The LEGO Movie Videogame</t>
  </si>
  <si>
    <t>Dandara</t>
  </si>
  <si>
    <t>Dead Rising 2</t>
  </si>
  <si>
    <t>HITMAN</t>
  </si>
  <si>
    <t>Metal Slug XX</t>
  </si>
  <si>
    <t>Defense Grid: The Awakening</t>
  </si>
  <si>
    <t>Hexic 2</t>
  </si>
  <si>
    <t>Earth Defense Force 2017</t>
  </si>
  <si>
    <t>Portal: Still Alive</t>
  </si>
  <si>
    <t>The Golf Club 2019 featuring PGA Tour</t>
  </si>
  <si>
    <t>Ultimate Marvel vs. Capcom 3</t>
  </si>
  <si>
    <t>Shadow Complex: Remastered</t>
  </si>
  <si>
    <t>Zombie Army Trilogy</t>
  </si>
  <si>
    <t>Shooter / Compilation</t>
  </si>
  <si>
    <t>Next Up Hero</t>
  </si>
  <si>
    <t>Devil May Cry 4: Special Edition</t>
  </si>
  <si>
    <t>Comic Jumper</t>
  </si>
  <si>
    <t>Marooners</t>
  </si>
  <si>
    <t>Earth Defense Force: Insect Armageddon</t>
  </si>
  <si>
    <t>Outcast: Second Contact</t>
  </si>
  <si>
    <t>LEGO Star Wars: The Complete Saga</t>
  </si>
  <si>
    <t>STAR WARS: Knights of the Old Republic</t>
  </si>
  <si>
    <t>MotoGP 17</t>
  </si>
  <si>
    <t>Star Wars: The Force Unleashed</t>
  </si>
  <si>
    <t>Star Wars: The Force Unleashed II</t>
  </si>
  <si>
    <t>Laser League</t>
  </si>
  <si>
    <t>Dual-Joystick Shooter / Platformer</t>
  </si>
  <si>
    <t>D4: Dark Dreams Don't Die</t>
  </si>
  <si>
    <t>DmC: Devil May Cry - Definitive Edition</t>
  </si>
  <si>
    <t>JumpJet Rex</t>
  </si>
  <si>
    <t>Knight Squad</t>
  </si>
  <si>
    <t>Layers of Fear</t>
  </si>
  <si>
    <t>Mega Man Legacy Collection</t>
  </si>
  <si>
    <t>Action / Compilation / Platformer</t>
  </si>
  <si>
    <t>Ms. Splosion Man</t>
  </si>
  <si>
    <t>Super Mega Baseball: Extra Innings</t>
  </si>
  <si>
    <t>Super Time Force</t>
  </si>
  <si>
    <t>Tom Clancy's Ghost Recon Advanced Warfighter 2</t>
  </si>
  <si>
    <t>The Technomancer</t>
  </si>
  <si>
    <t>Star Wars: Battlefront II</t>
  </si>
  <si>
    <t>Plants vs. Zombies: Garden Warfare 2</t>
  </si>
  <si>
    <t>OlliOlli2: XL Edition</t>
  </si>
  <si>
    <t>Sheltered</t>
  </si>
  <si>
    <t>Outlast</t>
  </si>
  <si>
    <t>Homefront: The Revolution</t>
  </si>
  <si>
    <t>Sonic &amp; Knuckles</t>
  </si>
  <si>
    <t>Unmechanical: Extended Edition</t>
  </si>
  <si>
    <t>OlliOlli</t>
  </si>
  <si>
    <t>Pumped BMX +</t>
  </si>
  <si>
    <t>The Golf Club</t>
  </si>
  <si>
    <t>The Swapper</t>
  </si>
  <si>
    <t>Metal Gear Rising: Revengeance</t>
  </si>
  <si>
    <t>Adventure Time: Pirates of the Enchiridion</t>
  </si>
  <si>
    <t>Super Bomberman R</t>
  </si>
  <si>
    <t>Kingdom: New Lands</t>
  </si>
  <si>
    <t>Late Shift</t>
  </si>
  <si>
    <t>Sacred Citadel</t>
  </si>
  <si>
    <t>Star Wars Jedi Knight: Jedi Academy</t>
  </si>
  <si>
    <t>Bloodstained: Curse of the Moon</t>
  </si>
  <si>
    <t>F1 2015</t>
  </si>
  <si>
    <t>Assassin's Creed Rogue</t>
  </si>
  <si>
    <t>WRC 6</t>
  </si>
  <si>
    <t>Shadow Warrior</t>
  </si>
  <si>
    <t>Dovetail Games: Euro Fishing</t>
  </si>
  <si>
    <t>Resident Evil: Revelations 2</t>
  </si>
  <si>
    <t>Sonic CD</t>
  </si>
  <si>
    <t>Kyub</t>
  </si>
  <si>
    <t>Mega Coin Squad</t>
  </si>
  <si>
    <t>Far Cry 2</t>
  </si>
  <si>
    <t>Never Alone (Kishima Ingitchuna)</t>
  </si>
  <si>
    <t>The Escapists: The Walking Dead</t>
  </si>
  <si>
    <t>Letter Quest: Grimm's Journey - Remastered</t>
  </si>
  <si>
    <t>Dead Rising 3</t>
  </si>
  <si>
    <t>Electronic Super Joy</t>
  </si>
  <si>
    <t>Roundabout</t>
  </si>
  <si>
    <t>Steredenn</t>
  </si>
  <si>
    <t>Mercenaries: Playground of Destruction</t>
  </si>
  <si>
    <t>Q.U.B.E. 2</t>
  </si>
  <si>
    <t>Race the Sun</t>
  </si>
  <si>
    <t>Bayonetta</t>
  </si>
  <si>
    <t>Deadlight: Director's Cut</t>
  </si>
  <si>
    <t>Metal Gear Solid V: Ground Zeroes</t>
  </si>
  <si>
    <t>NBA Playgrounds</t>
  </si>
  <si>
    <t>WRC 5: FIA World Rally Championships</t>
  </si>
  <si>
    <t>Farming Simulator 15</t>
  </si>
  <si>
    <t>Battlefield 1</t>
  </si>
  <si>
    <t>Assassin's Creed</t>
  </si>
  <si>
    <t>Victor Vran</t>
  </si>
  <si>
    <t>Casey Powell Lacrosse 16</t>
  </si>
  <si>
    <t>Mega Man 10</t>
  </si>
  <si>
    <t>This War of Mine: The Little Ones</t>
  </si>
  <si>
    <t>Resident Evil Zero</t>
  </si>
  <si>
    <t>Hitman: Blood Money</t>
  </si>
  <si>
    <t>Overcooked!</t>
  </si>
  <si>
    <t>Stuntman: Ignition</t>
  </si>
  <si>
    <t>Livelock</t>
  </si>
  <si>
    <t>Oddworld: New 'n' Tasty</t>
  </si>
  <si>
    <t>Mega Man 9</t>
  </si>
  <si>
    <t>Sky Force: Anniversary</t>
  </si>
  <si>
    <t>Action / Shoot 'Em Up</t>
  </si>
  <si>
    <t>World of Van Helsing: Deathtrap</t>
  </si>
  <si>
    <t>Sega Vintage Collection: Monster World</t>
  </si>
  <si>
    <t>LEGO Star Wars III: The Clone Wars</t>
  </si>
  <si>
    <t>For Honor</t>
  </si>
  <si>
    <t>Maldita Castilla EX: Cursed Castilla</t>
  </si>
  <si>
    <t>The Bug Butcher</t>
  </si>
  <si>
    <t>Tower of Guns</t>
  </si>
  <si>
    <t>Epic Mickey 2: The Power of Two</t>
  </si>
  <si>
    <t>Forza Horizon 2</t>
  </si>
  <si>
    <t>Pro Evolution Soccer 2018</t>
  </si>
  <si>
    <t>10 Second Ninja X</t>
  </si>
  <si>
    <t>The Bridge</t>
  </si>
  <si>
    <t>Galaga Legions DX</t>
  </si>
  <si>
    <t>Pac-Man Museum</t>
  </si>
  <si>
    <t>SoulCalibur II HD Online</t>
  </si>
  <si>
    <t>Tom Clancy's Splinter Cell: Conviction</t>
  </si>
  <si>
    <t>Assault Android Cactus</t>
  </si>
  <si>
    <t>Virtua Fighter 5 Final Showdown</t>
  </si>
  <si>
    <t>Smite</t>
  </si>
  <si>
    <t>Pharaonic</t>
  </si>
  <si>
    <t>So Many Me</t>
  </si>
  <si>
    <t>Ultratron</t>
  </si>
  <si>
    <t>LEGO Indiana Jones 2: The Adventure Continues</t>
  </si>
  <si>
    <t>Sonic &amp; All-Stars Racing Transformed</t>
  </si>
  <si>
    <t>Bomberman Live: Battlefest</t>
  </si>
  <si>
    <t>Bard's Gold</t>
  </si>
  <si>
    <t>Resident Evil 6</t>
  </si>
  <si>
    <t>Action / Shooter / Brawler</t>
  </si>
  <si>
    <t>Vanquish</t>
  </si>
  <si>
    <t>Super Mega Baseball 2</t>
  </si>
  <si>
    <t>Sega Vintage Collection: Streets of Rage</t>
  </si>
  <si>
    <t>BioShock Infinite</t>
  </si>
  <si>
    <t>BioShock 2</t>
  </si>
  <si>
    <t>BioShock</t>
  </si>
  <si>
    <t>Age of Booty</t>
  </si>
  <si>
    <t>Bionic Commando: Rearmed 2</t>
  </si>
  <si>
    <t>Blood Bowl 2</t>
  </si>
  <si>
    <t>Strategy / RPG / Football</t>
  </si>
  <si>
    <t>Borderlands</t>
  </si>
  <si>
    <t>Action / RPG / First-Person Shooter</t>
  </si>
  <si>
    <t>Bound by Flame</t>
  </si>
  <si>
    <t>Dead Rising 2: Case Zero</t>
  </si>
  <si>
    <t>Defense Grid 2</t>
  </si>
  <si>
    <t>Dig Dug</t>
  </si>
  <si>
    <t>Final Fight: Double Impact</t>
  </si>
  <si>
    <t>LEGO Batman: The Videogame</t>
  </si>
  <si>
    <t>Mad Max</t>
  </si>
  <si>
    <t>Driving/Racing / Shooter / Vehicular Combat</t>
  </si>
  <si>
    <t>Operation Flashpoint: Dragon Rising</t>
  </si>
  <si>
    <t>Action / Strategy / First-Person Shooter</t>
  </si>
  <si>
    <t>Pac-Man Championship Edition DX</t>
  </si>
  <si>
    <t>Sacred 3</t>
  </si>
  <si>
    <t>Sam &amp; Max: Beyond Time and Space</t>
  </si>
  <si>
    <t>Sam &amp; Max: Save the World</t>
  </si>
  <si>
    <t>SEGA Vintage Collection: Alex Kidd &amp; Co.</t>
  </si>
  <si>
    <t>SEGA Vintage Collection: Golden Axe</t>
  </si>
  <si>
    <t>SoulCalibur</t>
  </si>
  <si>
    <t>XCOM: Enemy Within</t>
  </si>
  <si>
    <t>The Witness</t>
  </si>
  <si>
    <t>Lumo</t>
  </si>
  <si>
    <t>Cars 2: The Video Game</t>
  </si>
  <si>
    <t>Superhot</t>
  </si>
  <si>
    <t>NBA 2K17</t>
  </si>
  <si>
    <t>WWE 2K17</t>
  </si>
  <si>
    <t>Wrestling</t>
  </si>
  <si>
    <t>Quantum Conundrum</t>
  </si>
  <si>
    <t>Comix Zone</t>
  </si>
  <si>
    <t>Brave: The Video Game</t>
  </si>
  <si>
    <t>CAPCOM Arcade Cabinet</t>
  </si>
  <si>
    <t>Action / Compilation / Shoot 'Em Up</t>
  </si>
  <si>
    <t>FLOCK!</t>
  </si>
  <si>
    <t>SEGA Vintage Collection: Monster World</t>
  </si>
  <si>
    <t>SEGA Vintage Collection: Streets of Rage</t>
  </si>
  <si>
    <t>Strider</t>
  </si>
  <si>
    <t>Crazy Taxi</t>
  </si>
  <si>
    <t>The Incredible Adventures of Van Helsing III</t>
  </si>
  <si>
    <t>WWE 2K16</t>
  </si>
  <si>
    <t>Tomb Raider: Underworld</t>
  </si>
  <si>
    <t>Back to the Future: The Game 30th Anniversary Edition</t>
  </si>
  <si>
    <t>Marlow Briggs and the Mask of Death</t>
  </si>
  <si>
    <t>Warhammer: End Times - Vermintide</t>
  </si>
  <si>
    <t>NBA 2K16</t>
  </si>
  <si>
    <t>Child of Eden</t>
  </si>
  <si>
    <t>Tales from the Borderlands</t>
  </si>
  <si>
    <t>Deadfall Adventures</t>
  </si>
  <si>
    <t>NiGHTS into Dreams</t>
  </si>
  <si>
    <t>Gone Home: Console Edition</t>
  </si>
  <si>
    <t>Rayman 3 HD</t>
  </si>
  <si>
    <t>Battlefield 3</t>
  </si>
  <si>
    <t>Forza Motorsport 5</t>
  </si>
  <si>
    <t>Hydro Thunder Hurricane</t>
  </si>
  <si>
    <t>Red Faction: Armageddon</t>
  </si>
  <si>
    <t>Runbow</t>
  </si>
  <si>
    <t>Dungeons &amp; Dragons: Chronicles of Mystara</t>
  </si>
  <si>
    <t>Action / RPG / Brawler / Action-Adventure</t>
  </si>
  <si>
    <t>LEGO Pirates of the Caribbean: The Video Game</t>
  </si>
  <si>
    <t>Grow Up</t>
  </si>
  <si>
    <t>Kane &amp; Lynch 2: Dog Days</t>
  </si>
  <si>
    <t>WATCH_DOGS™</t>
  </si>
  <si>
    <t>Dragon Age: Origins</t>
  </si>
  <si>
    <t>SpeedRunners</t>
  </si>
  <si>
    <t>Assassin's Creed III</t>
  </si>
  <si>
    <t>Lara Croft and the Temple of Osiris</t>
  </si>
  <si>
    <t>Lego Star Wars: The Complete Saga</t>
  </si>
  <si>
    <t>Giana Sisters: Twisted Dreams – Director's Cut</t>
  </si>
  <si>
    <t>Darksiders</t>
  </si>
  <si>
    <t>Evolve: Ultimate Edition</t>
  </si>
  <si>
    <t>Project CARS</t>
  </si>
  <si>
    <t>Lovers in a Dangerous Spacetime</t>
  </si>
  <si>
    <t>Monkey Island 2 Special Edition: LeChuck's Revenge</t>
  </si>
  <si>
    <t>Killer Instinct Season 2 Ultra Edition</t>
  </si>
  <si>
    <t>Rayman Origins</t>
  </si>
  <si>
    <t>Burnout Paradise</t>
  </si>
  <si>
    <t>Sleeping Dogs: Definitive Edition</t>
  </si>
  <si>
    <t>Outland</t>
  </si>
  <si>
    <t>Murdered: Soul Suspect</t>
  </si>
  <si>
    <t>Super Dungeon Bros</t>
  </si>
  <si>
    <t>The Secret of Monkey Island: Special Edition</t>
  </si>
  <si>
    <t>I Am Alive</t>
  </si>
  <si>
    <t>MX vs. ATV Reflex</t>
  </si>
  <si>
    <t>Earthlock: Festival of Magic</t>
  </si>
  <si>
    <t>Forza Horizon</t>
  </si>
  <si>
    <t>Beyond Good &amp; Evil HD</t>
  </si>
  <si>
    <t>Warriors Orochi 3 Ultimate</t>
  </si>
  <si>
    <t>Tumblestone</t>
  </si>
  <si>
    <t>Tron: Evolution</t>
  </si>
  <si>
    <t>Tom Clancy's Rainbow Six: Vegas 2</t>
  </si>
  <si>
    <t>The Crew</t>
  </si>
  <si>
    <t>XCOM: Enemy Unknown</t>
  </si>
  <si>
    <t>Grid 2</t>
  </si>
  <si>
    <t>Saints Row IV</t>
  </si>
  <si>
    <t>The Wolf Among Us</t>
  </si>
  <si>
    <t>Sherlock Holmes: Crimes &amp; Punishments</t>
  </si>
  <si>
    <t>Supreme Commander 2</t>
  </si>
  <si>
    <t>Styx: Master of Shadows</t>
  </si>
  <si>
    <t>Hand of Fate</t>
  </si>
  <si>
    <t>Zheros</t>
  </si>
  <si>
    <t>Deus Ex: Human Revolution</t>
  </si>
  <si>
    <t>Killer Instinct Season 1 Ultra Edition</t>
  </si>
  <si>
    <t>DiRT Showdown</t>
  </si>
  <si>
    <t>Thief</t>
  </si>
  <si>
    <t>The Incredible Adventures of Van Helsing</t>
  </si>
  <si>
    <t>Dungeon Siege III</t>
  </si>
  <si>
    <t>Pneuma: Breath of Life</t>
  </si>
  <si>
    <t>DiRT 3</t>
  </si>
  <si>
    <t>The Deer God</t>
  </si>
  <si>
    <t>Battlestations: Pacific</t>
  </si>
  <si>
    <t>How To Survive: Storm Warning Edition</t>
  </si>
  <si>
    <t>Metro: Last Light</t>
  </si>
  <si>
    <t>Metro 2033</t>
  </si>
  <si>
    <t>Assassin's Creed IV: Black Flag</t>
  </si>
  <si>
    <t>Plants vs. Zombies</t>
  </si>
  <si>
    <t>Pool Nation FX</t>
  </si>
  <si>
    <t>Just Cause 2</t>
  </si>
  <si>
    <t>F1 2013</t>
  </si>
  <si>
    <t>CastleStorm: Definitive Edition</t>
  </si>
  <si>
    <t>Mafia II</t>
  </si>
  <si>
    <t>Army of Two: The Devil's Cartel</t>
  </si>
  <si>
    <t>Tomb Raider</t>
  </si>
  <si>
    <t>Sniper Elite V2</t>
  </si>
  <si>
    <t>Worms Battlegrounds</t>
  </si>
  <si>
    <t>The Witcher 2: Assassins of Kings</t>
  </si>
  <si>
    <t>MX vs. ATV Alive</t>
  </si>
  <si>
    <t>Völgarr the Viking</t>
  </si>
  <si>
    <t>The Raven: Legacy of a Master Thief</t>
  </si>
  <si>
    <t>Red Faction: Guerrilla</t>
  </si>
  <si>
    <t>Chariot</t>
  </si>
  <si>
    <t>Darksiders II</t>
  </si>
  <si>
    <t>Crimson Dragon</t>
  </si>
  <si>
    <t>Monaco: What's Yours Is Mine</t>
  </si>
  <si>
    <t>Dishonored</t>
  </si>
  <si>
    <t>Strike Suit Zero: Director's Cut</t>
  </si>
  <si>
    <t>Motocross Madness</t>
  </si>
  <si>
    <t>Gotham City Impostors</t>
  </si>
  <si>
    <t>Charlie Murder</t>
  </si>
  <si>
    <t>Dark Souls</t>
  </si>
  <si>
    <t>Dust: An Elysian Tail</t>
  </si>
  <si>
    <t>Deadlight</t>
  </si>
  <si>
    <t>Hitman: Absolution</t>
  </si>
  <si>
    <t>Dungeon Defenders</t>
  </si>
  <si>
    <t>Sid Meier's Civilization Revolution</t>
  </si>
  <si>
    <t>Dead Island</t>
  </si>
  <si>
    <t>Sleeping Dogs</t>
  </si>
  <si>
    <t>Shoot Many Robots</t>
  </si>
  <si>
    <t>Might &amp; Magic: Clash of Heroes</t>
  </si>
  <si>
    <t>Tom Clancy's Rainbow Six: Vegas</t>
  </si>
  <si>
    <t>Magic: The Gathering - Duels of the Planeswalkers 2013</t>
  </si>
  <si>
    <t>Crackdown</t>
  </si>
  <si>
    <t>https://www.trueachievements.com/gamer/Bloomy/blog</t>
  </si>
  <si>
    <t>l</t>
  </si>
  <si>
    <t>Genre (Giantbomb)</t>
  </si>
  <si>
    <t>Xbox Series X|S</t>
  </si>
  <si>
    <t>Published or Developed by Subsidiary</t>
  </si>
  <si>
    <t>Studio</t>
  </si>
  <si>
    <t>Platform</t>
  </si>
  <si>
    <t>Publisher</t>
  </si>
  <si>
    <t>Date</t>
  </si>
  <si>
    <t>Closed</t>
  </si>
  <si>
    <t>Obsidian Entertainment</t>
  </si>
  <si>
    <t>Xbox Game Studios Publishing</t>
  </si>
  <si>
    <t>Xbox Game Studios (Publisher)</t>
  </si>
  <si>
    <t>Turn 10 Studios</t>
  </si>
  <si>
    <t>The Coalition</t>
  </si>
  <si>
    <t>Rare</t>
  </si>
  <si>
    <t>343 Industries</t>
  </si>
  <si>
    <t>Mojang Studios</t>
  </si>
  <si>
    <t>Compulsion Games</t>
  </si>
  <si>
    <t>The Initiative</t>
  </si>
  <si>
    <t>inXile Entertainment</t>
  </si>
  <si>
    <t>Ninja Theory</t>
  </si>
  <si>
    <t>Raven Software (Activision Blizzard King)</t>
  </si>
  <si>
    <t>Playground Games</t>
  </si>
  <si>
    <t>Undead Labs</t>
  </si>
  <si>
    <t>Double Fine Productions</t>
  </si>
  <si>
    <t>World's Edge</t>
  </si>
  <si>
    <t>ZeniMax Media/Bethesda Softworks</t>
  </si>
  <si>
    <t>Bethesda Game Studios</t>
  </si>
  <si>
    <t>ZeniMax Online Studios</t>
  </si>
  <si>
    <t>Arkane Studios (Austin office closed 2024)</t>
  </si>
  <si>
    <t>id Software</t>
  </si>
  <si>
    <t>MachineGames</t>
  </si>
  <si>
    <t>Tango Gameworks</t>
  </si>
  <si>
    <t>Alpha Dog Games</t>
  </si>
  <si>
    <t>Roundhouse Studios (Absorbed by ZeniMax)</t>
  </si>
  <si>
    <t>Activision Blizzard King</t>
  </si>
  <si>
    <t>Infinity Ward</t>
  </si>
  <si>
    <t>Sledgehammer Games (Activision Blizzard King)</t>
  </si>
  <si>
    <t>Treyarch</t>
  </si>
  <si>
    <t>Blizzard Entertainment</t>
  </si>
  <si>
    <t>Sledgehammer Games</t>
  </si>
  <si>
    <t>Raven Software</t>
  </si>
  <si>
    <t>High Moon Studios</t>
  </si>
  <si>
    <t>Activision (Publisher)</t>
  </si>
  <si>
    <t>Beenox</t>
  </si>
  <si>
    <t>Toys For Bob (Activision Blizzard King)</t>
  </si>
  <si>
    <t>Digital Legends Entertainment (Mobile)</t>
  </si>
  <si>
    <t>Solid State Studios (Mobile)</t>
  </si>
  <si>
    <t>Radical Entertainment</t>
  </si>
  <si>
    <t>King (Mobile)</t>
  </si>
  <si>
    <t>Activision Games will not be on xCloud, Ubisoft controls cloud streaming rights as part of the merger</t>
  </si>
  <si>
    <t>Former</t>
  </si>
  <si>
    <t>Sold or spun off</t>
  </si>
  <si>
    <t>Access Software/Salt Lake Games Studio/Indie Games — Links series — Sold to Take-Two Interactive in 2004</t>
  </si>
  <si>
    <t>Bungie — Halo series — Spun off in 2007[110]</t>
  </si>
  <si>
    <t>Lift London — Removed from Microsoft's games business in 2019[111]</t>
  </si>
  <si>
    <t>Twisted Pixel Games — The Gunstringer, LocoCycle, The Maw, 'Splosion Man — Spun off in 2015</t>
  </si>
  <si>
    <t>WingNut Interactive — Peter Jackson's joint venture game studio — Sold to WingNut Films[112][113]</t>
  </si>
  <si>
    <t>Closed or consolidated</t>
  </si>
  <si>
    <t>Aces Game Studio — Microsoft Flight Simulator series — Closed</t>
  </si>
  <si>
    <t>BigPark — Kinect Joy Ride, Kinect Sports: Season Two, Joy Ride Turbo — Consolidated</t>
  </si>
  <si>
    <t>Carbonated Games — Closed</t>
  </si>
  <si>
    <t>Digital Anvil — Brute Force, Freelancer — Consolidated[114]</t>
  </si>
  <si>
    <t>Ensemble Studios — Age of Empires series, Age of Mythology series, Halo Wars — Closed</t>
  </si>
  <si>
    <t>FASA Studio — MechWarrior series, Shadowrun, Crimson Skies series — Closed</t>
  </si>
  <si>
    <t>Good Science Studio — Kinect Adventures, Kinect Fun Labs, Kinect Star Wars — Consolidated</t>
  </si>
  <si>
    <t>Hired Gun — Halo 2 PC port — Consolidated[115]</t>
  </si>
  <si>
    <t>Lionhead Studios — Fable series, Black &amp; White series — Closed</t>
  </si>
  <si>
    <t>Microsoft Studios Japan — Phantom Dust — Closed</t>
  </si>
  <si>
    <t>Microsoft Studios Victoria — Closed</t>
  </si>
  <si>
    <t>Press Play — Max: The Curse of Brotherhood, Kalimba — Closed</t>
  </si>
  <si>
    <t>Team Dakota — Project Spark — Consolidated</t>
  </si>
  <si>
    <t>Xbox Entertainment Studios — Closed</t>
  </si>
  <si>
    <t>Xbox Live Productions — Consolidated</t>
  </si>
  <si>
    <t>id Software (Bethesda Softworks)</t>
  </si>
  <si>
    <t>Infinity Ward (Activision Blizzard King)</t>
  </si>
  <si>
    <t>MachineGames (Bethesda Softworks)</t>
  </si>
  <si>
    <t>Beenox (Activision Blizzard King)</t>
  </si>
  <si>
    <t>Asobo Studio</t>
  </si>
  <si>
    <t>Insomniac Games (Activision Blizzard King)</t>
  </si>
  <si>
    <t>Blizzard Entertainment (Activision Blizzard King)</t>
  </si>
  <si>
    <t>Treyarch (Activision Blizzard King)</t>
  </si>
  <si>
    <t>Toys for Bob (Activision Blizzard King)</t>
  </si>
  <si>
    <t>Arkane Studios (Bethesda Softworks)</t>
  </si>
  <si>
    <t>Mojang</t>
  </si>
  <si>
    <t>Tango Gameworks (Bethesda Softworks)</t>
  </si>
  <si>
    <t>Black Isle Studios (Bethesda Softworks)</t>
  </si>
  <si>
    <t>Micro Forté Pty. Ltd. (Bethesda Softworks)</t>
  </si>
  <si>
    <t>Double Fine Productions (Bethesda Softworks)</t>
  </si>
  <si>
    <t>Forgotten Empires</t>
  </si>
  <si>
    <t>Playful Corp</t>
  </si>
  <si>
    <t>Don't Nod Entertainment</t>
  </si>
  <si>
    <t>Rare, DLaLa Studio</t>
  </si>
  <si>
    <t>Moon Studios</t>
  </si>
  <si>
    <t>Big Huge Games</t>
  </si>
  <si>
    <t>Sumo Digital</t>
  </si>
  <si>
    <t>Remedy Entertainment</t>
  </si>
  <si>
    <t>Crytek</t>
  </si>
  <si>
    <t>Bethesda Game Studios (Bethesda Softworks)</t>
  </si>
  <si>
    <t>ZeniMax Online Studios (Bethesda Softworks)</t>
  </si>
  <si>
    <t>Frontier Developments</t>
  </si>
  <si>
    <t>Vector Unit</t>
  </si>
  <si>
    <t>Lionhead Studios</t>
  </si>
  <si>
    <t xml:space="preserve">Frontier Developments	</t>
  </si>
  <si>
    <t>Comcept and Armature Studio</t>
  </si>
  <si>
    <t>BigPark (Consolidated)</t>
  </si>
  <si>
    <t>Press Play</t>
  </si>
  <si>
    <t>Insomniac Games</t>
  </si>
  <si>
    <t>PC Games by Metacritic Score</t>
  </si>
  <si>
    <t>xCloud Games by Metacritic Score</t>
  </si>
  <si>
    <t>Complete Game Pass List by u/ABattleVet</t>
  </si>
  <si>
    <t>Xbox Games by Metacritic Score</t>
  </si>
  <si>
    <t>Formerly Game Pass Standard</t>
  </si>
  <si>
    <t>Formerly Game Pass Core</t>
  </si>
  <si>
    <t>Coming Soon</t>
  </si>
  <si>
    <t>Leaving Soon</t>
  </si>
  <si>
    <t>Xbox Game Studios</t>
  </si>
  <si>
    <t>EA Play</t>
  </si>
  <si>
    <t>Day One</t>
  </si>
  <si>
    <t>Cross Play</t>
  </si>
  <si>
    <t>Play Anywhere</t>
  </si>
  <si>
    <t>Cross Play and Play Anywhere</t>
  </si>
  <si>
    <t>Username</t>
  </si>
  <si>
    <t>Suggestion</t>
  </si>
  <si>
    <t>Responses</t>
  </si>
  <si>
    <t>Destiny Mccloud</t>
  </si>
  <si>
    <t>Xbox One: Slime rancher, WWE 2K20, Far Cry 5, Friday The 13th</t>
  </si>
  <si>
    <t>Slime Rancher - Games with Gold
WWE 2K20 - xCloud
Far Cry 5 - Cannot find info about this
Friday The 13th - Games with Gold</t>
  </si>
  <si>
    <t>Dylan Girardot</t>
  </si>
  <si>
    <t>Xbox one: WWE 2K20, Far Cry 5, Minecraft, Hunter Call To The Wild, Slime Rancher, Resident Evil 3</t>
  </si>
  <si>
    <t>WWE 2K20 - Games with Gold
Far Cry 5 - Cannot find info about this
Minecraft - Already on list
Hunter Call To The Wild - Already on list
Slime Rancher - Games with Gold
Resident Evil 3 - Cannot find info about this</t>
  </si>
  <si>
    <t>Robert Joseph</t>
  </si>
  <si>
    <t>WWE 2K20 (XONE), Civilization 6 (Both), Tropico 6 (Both), MGS PW HD (XONE), Doom Eternal (Both)</t>
  </si>
  <si>
    <t>WWE 2K20 - Games with Gold
Civilization 6 - Cannot find info about this
Tropico 6 - Cannot find info about this
MGS PW HD - Cannot find info about this
Doom Eternal - Cannot find info about this</t>
  </si>
  <si>
    <t>Fabian Trejo</t>
  </si>
  <si>
    <t>eFootball PES 2020 (line 82) should be xbox one only, not pc only</t>
  </si>
  <si>
    <t>You can filter checking both PC and "Xbox/PC" and you will see all the PC games that way</t>
  </si>
  <si>
    <t>Henry</t>
  </si>
  <si>
    <t>Include price of the  who want to get the biggest bang for their buck. Also add a user score like the old excel sheet.</t>
  </si>
  <si>
    <t>I do not want to add user score because of review bombing, which does not happen at the critic level. I would probably need help for the price piece.</t>
  </si>
  <si>
    <t>cdytoby</t>
  </si>
  <si>
    <t>Sunset Overdrive is a Xbox Game Studio game.</t>
  </si>
  <si>
    <t>They no longer own the rights, Insomniac was purchased by Sony, who confirmed they own the rights. I don't know  how much longer it will remain on GP and would suggest those that want to play it to do so</t>
  </si>
  <si>
    <t>Brian</t>
  </si>
  <si>
    <t>Add column "Achievements" and place Console/PC depending on where they can occur.</t>
  </si>
  <si>
    <t>I think this would be too hard for me to do without others' help</t>
  </si>
  <si>
    <t>Spencer</t>
  </si>
  <si>
    <t>Add Satisfactory (PC) and The Witness (PC) please</t>
  </si>
  <si>
    <t>Cannot find info about this</t>
  </si>
  <si>
    <t>kel2342</t>
  </si>
  <si>
    <t>Add Wreckfest on Xbox One please</t>
  </si>
  <si>
    <t>TangoAK</t>
  </si>
  <si>
    <t>Add link to game's how long to beat and metacritic pages. Thanks for great list! :) Btw. is possible to make copy of the list and still get it updated? I would like to make my own notes.</t>
  </si>
  <si>
    <t>I think importrange can work? I'm not sure if this will require linking sheets, which I would like to try to avoid. I think I did this off of another google sheet (Playstation Now) and it worked fine</t>
  </si>
  <si>
    <t>dolfan058</t>
  </si>
  <si>
    <t>asdsaddsadsadasd</t>
  </si>
  <si>
    <t>Added, thank you!</t>
  </si>
  <si>
    <t>disgruntledJarl</t>
  </si>
  <si>
    <t>The Title 'Astroneer' has a small space in front of the word. This is fine except I am trying to extract this sheet via a script and it is causing issues. The Title currently says 'Astroneer '</t>
  </si>
  <si>
    <t>Fixed, thank you</t>
  </si>
  <si>
    <t>Dead by Daylight on Xbox Gamepass is not special Edition. It is included with Gamepass Ultimate but I feel like the base version should be mentioned in the title</t>
  </si>
  <si>
    <t>I am just going to show the most enhanced edition available for simplicity on my part</t>
  </si>
  <si>
    <t>Farming Simulator 17 should be on Xbox and PC. Right now, it is shown as available only on Xbox One</t>
  </si>
  <si>
    <t>Rush: A Disney Pixar Adeventure is misspelt. Adventure:-)</t>
  </si>
  <si>
    <t>Omen</t>
  </si>
  <si>
    <t>Kingdom Come Deliverence (PC &amp; Console) is leaving soon</t>
  </si>
  <si>
    <t>Where the Water Tastes Like Wine (PC) is leaving soon</t>
  </si>
  <si>
    <t>Space Hulk: Tactics (PC) is leaving soon</t>
  </si>
  <si>
    <t>Yoku's Island Express (PC &amp; Xbox) is leaving soon but</t>
  </si>
  <si>
    <t>Devil may Cry 5 (Console) is leaving soon</t>
  </si>
  <si>
    <t>Brent</t>
  </si>
  <si>
    <t>Move legend from top row to somewhere else</t>
  </si>
  <si>
    <t>I am not planning on doing this, many people only use the main tab and the legend is in a frozen row</t>
  </si>
  <si>
    <t>GG</t>
  </si>
  <si>
    <t xml:space="preserve">Streets of Rage 4 Crossplay is available. </t>
  </si>
  <si>
    <t>Sixel</t>
  </si>
  <si>
    <t>Hi! Is there any chance to have a "most likely leaving" list with "Active" games that have already exceeded the 13 months? Thank you very much for your work!</t>
  </si>
  <si>
    <t>Ron</t>
  </si>
  <si>
    <t>Is there any way to find out which publisher, by title?</t>
  </si>
  <si>
    <t>I think this would be too difficult to track</t>
  </si>
  <si>
    <t>loxim</t>
  </si>
  <si>
    <t>Is it possible to have a filter for genre without needing to do Cntrl+ F?</t>
  </si>
  <si>
    <t>Open on desktop browser, you can do a custom temporary filter.</t>
  </si>
  <si>
    <t>Strawberry_Automata</t>
  </si>
  <si>
    <t>Cris Tales and Haven were seen in GAMESCOM 2020 promo video. 1 year ago, it was announced that Cris Tales is coming to the service, but the twit not longer exists. to</t>
  </si>
  <si>
    <t>Cris Tales delayed to 2021</t>
  </si>
  <si>
    <t>Highlight Battletoads (it is an XGS game) and Halo 3</t>
  </si>
  <si>
    <t>Batman is missing</t>
  </si>
  <si>
    <t>This was originally leaving soon and back without an explanation, I have added it back</t>
  </si>
  <si>
    <r>
      <rPr>
        <rFont val="Arial"/>
      </rPr>
      <t xml:space="preserve">World War Z has Crossplay (Source </t>
    </r>
    <r>
      <rPr>
        <rFont val="Arial"/>
        <color rgb="FF1155CC"/>
        <u/>
      </rPr>
      <t>https://www.pcgamesn.com/world-war-z/full-cross-play)</t>
    </r>
  </si>
  <si>
    <t>Kel2342</t>
  </si>
  <si>
    <t xml:space="preserve">Add Rocket league in the cross play list
No need as RL will leave GP ;) </t>
  </si>
  <si>
    <t>No action</t>
  </si>
  <si>
    <t>Add the XCloud Games (list can be found at https://news.xbox.com/en-us/2020/09/14/cloud-gaming-with-xbox-game-pass-ultimate/ )</t>
  </si>
  <si>
    <t>Maybe change verbiage from XCloud to "Game Streaming" or just "Android" (as MS seems to be doing)</t>
  </si>
  <si>
    <t>Dawn Breaker</t>
  </si>
  <si>
    <t>Add a column info on Multiplayer on the local, lan, cross platform (PC/PS), "Multi local and online multi", "Single player local but online-only multiplayer"</t>
  </si>
  <si>
    <t>Too much work</t>
  </si>
  <si>
    <t>Evan</t>
  </si>
  <si>
    <t>Add "Android" or "Cloud" to System column on the Master list to reflect which games we can stream</t>
  </si>
  <si>
    <t>littleraldani</t>
  </si>
  <si>
    <t>On my dashboard I have available Company of Heroes 2 COmplete Collection for a few days, don't know if i'ts EU only but just to remind you</t>
  </si>
  <si>
    <t>Add Bethesda games to upcoming</t>
  </si>
  <si>
    <t>I am waiting to see which games will be on the service</t>
  </si>
  <si>
    <t>RadicalDog</t>
  </si>
  <si>
    <t>Metacritic scores for the following - a couple are the real scores, some of these are indies with 2-3 reviews averaged, Disgaea is using the average of other platforms since no-one seems to be reviewing it on PC. Point is, the better the score estimates, the stronger the Metacritic sheets are: 
Hotshot Racing 77 / Drake Hollow 78 / Disgaea 4 Complete+ 84 / Star Renegades 79 / Touhou Luna Nights 77 / It Lurks Below 45 / Trailmakers 70 / UnderMine 80 / HyperDot 73 / Levelhead 82 / Gris 84 (released 2018 - not 2004!)</t>
  </si>
  <si>
    <t>Updated, thank you</t>
  </si>
  <si>
    <r>
      <rPr>
        <rFont val="Arial"/>
      </rPr>
      <t xml:space="preserve">Add Destiny 2 PC version to "Coming Soon" (source: </t>
    </r>
    <r>
      <rPr>
        <rFont val="Arial"/>
        <color rgb="FF1155CC"/>
        <u/>
      </rPr>
      <t>https://gamerant.com/destiny-2-game-pass-pc/)</t>
    </r>
  </si>
  <si>
    <t>Added to section in my notes for changes coming at some point in the future</t>
  </si>
  <si>
    <t>RyZum</t>
  </si>
  <si>
    <r>
      <rPr>
        <rFont val="Arial"/>
      </rPr>
      <t xml:space="preserve">CrossCode is now available on console too : </t>
    </r>
    <r>
      <rPr>
        <rFont val="Arial"/>
        <color rgb="FF1155CC"/>
        <u/>
      </rPr>
      <t>https://www.windowscentral.com/crosscode-xbox-game-pass-has-more-players-other-consoles-combined</t>
    </r>
  </si>
  <si>
    <t>Remove Dishonored 2 from Leaving Soon</t>
  </si>
  <si>
    <t>Updated</t>
  </si>
  <si>
    <t>RAGE 2 should be highlighted since it's a Bethesda game and won't be removed anymore</t>
  </si>
  <si>
    <t>EA PLAY GAMES?</t>
  </si>
  <si>
    <t>I am waiting to see which games will be on the service, I'm not sure if all current ones will be</t>
  </si>
  <si>
    <t>size on disk?</t>
  </si>
  <si>
    <t>Too much work and I do not think this is relevant. Game sizes also change all the time</t>
  </si>
  <si>
    <t>Tarragon</t>
  </si>
  <si>
    <t>Probably not feasible, but I would dearly love to be able to have seperation of games by achievement lists. Games such as A Plague Tale, Talos Principle, many others, have seperate achievement lists on Xbox vs PC, and as an achievement hunter this is invaluable information. I note there is a similar suggestion above marked as too hard without help - I'd be happy to help here.  Edit/Update: TrueAchievements is probably the go to source here (although their game pass lists are often inaccurate), and I can help with identification.</t>
  </si>
  <si>
    <t>If I can have a source that displays what games have achievements with maybe some help in identifying which current games have them, I can do this</t>
  </si>
  <si>
    <t>Gears Tactics is also on console.</t>
  </si>
  <si>
    <t>andrenoboru</t>
  </si>
  <si>
    <t>https://news.xbox.com/en-us/2020/10/13/coming-soon-xbox-game-pass-october-2020-wave-2/</t>
  </si>
  <si>
    <t>I usually update the same day that news comes out, adding something like this to the suggestion sheet is completely unhelpful</t>
  </si>
  <si>
    <t>brynhh</t>
  </si>
  <si>
    <t>Metro LL Redux is an example that says it has left, but it's still on the xbox app on PC. Could these be marked slightly differently, instead of just "removed"?</t>
  </si>
  <si>
    <t>Fixed, thank you. I had asked this in the subreddit and forgot to check if it remained for PC. I have updated it now</t>
  </si>
  <si>
    <t>Re the above with alternate achievement lists: some games also have regional variants, which also have their own achievement lists. A current example is Resident Evil 7, this has a Japanese variant "Grotesque Ver" with it's own achievement list, which is also on Game Pass.
In the past, games like Bioshock/Bioshock 2 gave access to some of their regional variants, and the Dead Rising XBLA titles too. Tracking down historical data on this will be challenging.</t>
  </si>
  <si>
    <t>Waiting on list</t>
  </si>
  <si>
    <r>
      <rPr>
        <rFont val="Arial"/>
      </rPr>
      <t xml:space="preserve">NBA 2K16 was in GP at launch, referenced from Game Pass announcement videos and removal mentioned here </t>
    </r>
    <r>
      <rPr>
        <rFont val="Arial"/>
        <color rgb="FF1155CC"/>
        <u/>
      </rPr>
      <t>https://www.reddit.com/r/xboxone/comments/7lk2or/nba_2k16_leaves_xbox_game_pass_on_december_31st/</t>
    </r>
  </si>
  <si>
    <t>Added, thank you</t>
  </si>
  <si>
    <t>Vlad</t>
  </si>
  <si>
    <t>Torment: Tides of Numenera -- is not listed/highlighted as a Xbox Game Studios game. But it's an inXile Entertainment game. So, should be in pass forever (I hope). And thanks for this project. Really useful.</t>
  </si>
  <si>
    <t>Can someone held me understand if Microsoft owns all previous IPs and games form before the acquisition? I know Tides was released before the acquisition</t>
  </si>
  <si>
    <t>wartime</t>
  </si>
  <si>
    <t xml:space="preserve">GONNER2 - Xbox/PC, release 10/22, day 1. </t>
  </si>
  <si>
    <t>dumber</t>
  </si>
  <si>
    <t>How about a returned game list? (if theres any....idk...)</t>
  </si>
  <si>
    <t>There are less than 5</t>
  </si>
  <si>
    <t>ddd</t>
  </si>
  <si>
    <t>Release date of Infinifactory is wrong. It says Dec 20, 2004, it should be June 30, 2015 acording to wikipedia, or January 19, 2015 if you consider Early Access</t>
  </si>
  <si>
    <t>Gingerbread0Men</t>
  </si>
  <si>
    <t>What does the Completion column mean? Also, have you considered a sheet for non-Game Pass Free-to-Play games sorted by Metascore?</t>
  </si>
  <si>
    <r>
      <rPr>
        <rFont val="Arial"/>
      </rPr>
      <t xml:space="preserve">Generally for single player games, it is the hours to beat derived from </t>
    </r>
    <r>
      <rPr>
        <rFont val="Arial"/>
        <color rgb="FF1155CC"/>
        <u/>
      </rPr>
      <t>howlongtobeat.com</t>
    </r>
    <r>
      <rPr>
        <rFont val="Arial"/>
      </rPr>
      <t>. For non-story games, I still use the number on the website</t>
    </r>
  </si>
  <si>
    <t>Not Me</t>
  </si>
  <si>
    <t>Wolfenstein Youngblood should be highlighted since it's a Bethesda game and won't be removed anymore</t>
  </si>
  <si>
    <t>Chocosplitter</t>
  </si>
  <si>
    <t>Add 'Deep Rock Galactic' to Cross Play (Xbox / PC)</t>
  </si>
  <si>
    <t>packmanx5</t>
  </si>
  <si>
    <t>Add size of the games (GB)</t>
  </si>
  <si>
    <t>Suggested above, too much work and I do not think this is relevant. Game sizes also change all the time</t>
  </si>
  <si>
    <t>GHDpro</t>
  </si>
  <si>
    <t>Mass Effect listed twice (first game was already on Game Pass)</t>
  </si>
  <si>
    <t>I am aware but I am trying to figure out how I should handle this and The Bard's Tale Trilogy as they are on both services</t>
  </si>
  <si>
    <t>crush vanderspleen</t>
  </si>
  <si>
    <t>I apologize but think I somehow was able to rename this google sheet. thought I was saving/naming a personal copy using my phone. interface is awful there. but I think I might have renamed the OG list instead?</t>
  </si>
  <si>
    <t>No worries</t>
  </si>
  <si>
    <t>Rabus</t>
  </si>
  <si>
    <t>EA Games do not have metacritic score?</t>
  </si>
  <si>
    <t>I'm waiting to confirm which have PC versions (score is averaged). There are a few different EA offerings on PC</t>
  </si>
  <si>
    <t>MohandL3G</t>
  </si>
  <si>
    <r>
      <rPr>
        <rFont val="Arial"/>
      </rPr>
      <t xml:space="preserve">I found out this list of games that have XboxPlayAnywhere Feature: </t>
    </r>
    <r>
      <rPr>
        <rFont val="Arial"/>
        <color rgb="FF1155CC"/>
        <u/>
      </rPr>
      <t>https://www.pcgamingwiki.com/wiki/List_of_Xbox_Play_Anywhere_games</t>
    </r>
    <r>
      <rPr>
        <rFont val="Arial"/>
      </rPr>
      <t xml:space="preserve">
I just wanted to play Celeste, and in this Amazing List it's not listed with Xbox Play Anywhere games, not a problem, but then when I was reading about it on PCGamingWiki, I found out that it have Play Anywhere feature.
You can search for celeste here: </t>
    </r>
    <r>
      <rPr>
        <rFont val="Arial"/>
        <color rgb="FF1155CC"/>
        <u/>
      </rPr>
      <t>https://www.xbox.com/en-US/games/xbox-play-anywhere</t>
    </r>
    <r>
      <rPr>
        <rFont val="Arial"/>
      </rPr>
      <t xml:space="preserve"> and it's listed with the games that have this feature.
Thank you so much for this list BTW.</t>
    </r>
  </si>
  <si>
    <t>Wow, I think I added 39 new entries to the list, thank you!</t>
  </si>
  <si>
    <t>Malkair</t>
  </si>
  <si>
    <t>Tetris Effect: Connected is available for Xbox, it also appears as Upcoming</t>
  </si>
  <si>
    <t>Already listed for both</t>
  </si>
  <si>
    <t>Nier: Automata should have a note to say it's the best game. 
Just kidding, but did want to say thanks for keeping this maintained. Looking forward to digging back in once EA Play hits PC!</t>
  </si>
  <si>
    <t>Thank you and same!</t>
  </si>
  <si>
    <t>kimsim</t>
  </si>
  <si>
    <t>Leaving soon sheet</t>
  </si>
  <si>
    <t>I have a likely leaving sheet and the leaving soon games are between the active and removed games</t>
  </si>
  <si>
    <t>koltregaskes</t>
  </si>
  <si>
    <t>Add filters on each sheet.  Great list btw, thank you.  I've used Wikipedia to do something similar for mty personal games list.</t>
  </si>
  <si>
    <t>You should have an option to add temporary filters that you can use</t>
  </si>
  <si>
    <t>Appreciate your list</t>
  </si>
  <si>
    <t xml:space="preserve">What's the deal with the unrated games at the bottom? i think EA should be kept separate if you do add ratings on them since it's only with Ultimate. There are other games without ratings such as Tetris Effect for XSX. Thanks for everything!!! </t>
  </si>
  <si>
    <t>Iguajo</t>
  </si>
  <si>
    <t>What an interesting excel... Congrats! Frostpunk "Likely Leaving sheet" was not released on 2004. It seems to be released on 2018. Same for "indivisible" game</t>
  </si>
  <si>
    <t>Thank you, you helped me catch a lot of errors!</t>
  </si>
  <si>
    <t>Anony</t>
  </si>
  <si>
    <t>This is really awesome! I'm new to GamePass, and I really like the "Likely Leaving" category so I can catch up on games that might leave soon. I think a FAQ would be nice, especially regarding how long games ususally stay on the platform, what happens when games leave the service, and when announcements are usually made (ex: are they going to announce games they're going to remove tomorrow on the 15th? Where can I get this info?). Seriously tho, great work!</t>
  </si>
  <si>
    <t>Twice a month we get a list of upcoming games as well as those that are leaving. Working on getting likely leaving to have its own category</t>
  </si>
  <si>
    <t>Milk</t>
  </si>
  <si>
    <t>This is a really cool list and very well organized. I would personally suggest a "game predicitons" tab for us to put games we would predict would come to the service with a resonable explanation. Ex. - Publisher, Developer, Popular Game, etc.</t>
  </si>
  <si>
    <t>Created and removed as no one was using this</t>
  </si>
  <si>
    <t>Uliamar</t>
  </si>
  <si>
    <t>Would love to see the "cross play" attribute dissociated from "available on xcloud". This would help in few ways: get to know what games I can play with someone on other plateform without using xcloud. Also non-multiplayer games end up in the cross play tab despite not handling multiplayer: e.g. "Hello Neighbor"</t>
  </si>
  <si>
    <t>My cross play list is not associated to xCloud. I'm going off of official lists</t>
  </si>
  <si>
    <t>genail</t>
  </si>
  <si>
    <r>
      <rPr>
        <rFont val="Arial"/>
      </rPr>
      <t xml:space="preserve">Forza Horizon 4 supports cross play between XBox and PC </t>
    </r>
    <r>
      <rPr>
        <rFont val="Arial"/>
        <color rgb="FF1155CC"/>
        <u/>
      </rPr>
      <t>https://www.google.com/search?hl=&amp;site=&amp;q=forza+horizon+4+cross+play</t>
    </r>
  </si>
  <si>
    <t>Anonymous</t>
  </si>
  <si>
    <t>Add the number of players supported to aid multiplayer/coop arrangement</t>
  </si>
  <si>
    <t>This would be too much work with information that is not readily available / would take a time to upload and maintain for new games</t>
  </si>
  <si>
    <t>AmbassadorKingz</t>
  </si>
  <si>
    <t>To expand on Anon's suggestion, a field describing couch co-op vs. online co-op etc. would be great!</t>
  </si>
  <si>
    <t>In the master list, it might be useful to list the games with the status in the order of "Coming Soon", "Leaving Soon", and then "Active".</t>
  </si>
  <si>
    <t>I have items moved so they join the removed list in the right order. If you click in the removed column and hit ctrl + down, you will see / you can filter for leaving soon</t>
  </si>
  <si>
    <t>kauah</t>
  </si>
  <si>
    <t>add information if the game supports CO-OP</t>
  </si>
  <si>
    <t>defi</t>
  </si>
  <si>
    <t>Monster Train is also available on PC, just installed and played it on Gamepass Ultimate</t>
  </si>
  <si>
    <t>Kromis</t>
  </si>
  <si>
    <t xml:space="preserve">Add Publisher as a column to sort by. Reason for this is to see the general pattern of deals in place for certain publishers (e.g. X publisher generally puts games on the service for Y months so you can somewhat predict when a game is going to leave; also X publisher only has content on a specific platform like Capcom on console with RE7 being the exception with Play Anywhere support) </t>
  </si>
  <si>
    <t>fableton</t>
  </si>
  <si>
    <t>YIIK: A Postmodern RPG is already active</t>
  </si>
  <si>
    <r>
      <rPr>
        <rFont val="Arial"/>
      </rPr>
      <t xml:space="preserve">Apologies if I missed it, but I believe that Genesis Noir has been announced as being on Game Pass when it gets released
Source: </t>
    </r>
    <r>
      <rPr>
        <rFont val="Arial"/>
        <color rgb="FF1155CC"/>
        <u/>
      </rPr>
      <t>https://www.windowscentral.com/demons-tilt-genesis-noir-and-more-join-xbox-game-pass-soon</t>
    </r>
  </si>
  <si>
    <t>imo, for games that had different release dates on console vs pc, you should somehow note that. e.g. add an aditional column with a note "PC version released on XXX"
since just a few games have this case, it could be on a generic "comments" or "notes" column, where you could also add additional information.
Some games with this case are Doom Eternal and Control.</t>
  </si>
  <si>
    <t>I have considered this but it is just easier to use the first date a game was on Game Pass</t>
  </si>
  <si>
    <t>Trixxstrr</t>
  </si>
  <si>
    <t>Add something that shows optimized for Series X|S</t>
  </si>
  <si>
    <t>ZeroNow</t>
  </si>
  <si>
    <t>Project winter has cross-play</t>
  </si>
  <si>
    <t>Could you move the removed games to their own sheet? It almost doubles the amount of data to parse and isn't that useful of information. Also thanks for all your work on this!</t>
  </si>
  <si>
    <t>Added a removed sheet, you can create a temporary filter to exclude removed games</t>
  </si>
  <si>
    <t>Minecraft is Cross-play</t>
  </si>
  <si>
    <t>Need Metacritic scores for EA Play games</t>
  </si>
  <si>
    <t>Added, I had been waiting to fuse with PC scores but I am sick of waiting</t>
  </si>
  <si>
    <t>cbomb</t>
  </si>
  <si>
    <t>Halo MCC is crossplay and Play anywhere</t>
  </si>
  <si>
    <t>lemeinLetMeInLETME</t>
  </si>
  <si>
    <t>Can you highlight xCloud games that are not available on PC? This would be useful for people with GPU but do not have an Xbox</t>
  </si>
  <si>
    <t>You can create temporary filters on the xCloud tab</t>
  </si>
  <si>
    <t>OJ</t>
  </si>
  <si>
    <t>Note which xcloud games have touchscreen controls support</t>
  </si>
  <si>
    <t>Is there a maintained list of this?</t>
  </si>
  <si>
    <t>Remove duplicate Mass Effect entry</t>
  </si>
  <si>
    <t>I'm still trying to determine what to do for this and The Bard's Tale, 2 duplicated that were on the service before EA Play</t>
  </si>
  <si>
    <t>Lancerer</t>
  </si>
  <si>
    <t>CrossCode is duplicated</t>
  </si>
  <si>
    <t>Mount &amp; Blade: Warband
 is also on PC</t>
  </si>
  <si>
    <t>wolvshade</t>
  </si>
  <si>
    <t>Thanks Great Job. please Add Something to show series X/S exclusivity (for example for medium)
To help people without new generation of consoles</t>
  </si>
  <si>
    <t>Edu Moretti</t>
  </si>
  <si>
    <t>We have two different games: Football Manager 2021 Xbox Edition (for pc and Xbox - Play Anywhere) and Football Manager 2021 (just for pc).The games are different, although they are very similar.</t>
  </si>
  <si>
    <t>I'll just leave it as it is</t>
  </si>
  <si>
    <t>Sabaspep</t>
  </si>
  <si>
    <t>This is a fantastic list. I keep checking it when new info comes out, and you're all over it. Is there any chance to add a column, or indicator for Co-Op games?</t>
  </si>
  <si>
    <t>TimtheEnchanter</t>
  </si>
  <si>
    <t>Cricket 19 is down as xbox only when it is on PC too</t>
  </si>
  <si>
    <t>Halo Reach is missing (PC) - Joined Dec 2019</t>
  </si>
  <si>
    <t>Hypnospace is spelt Hypospace</t>
  </si>
  <si>
    <t>Grim Fandango is spelt Grim Fandago</t>
  </si>
  <si>
    <t>Prison Architect is missing (PC) - Joined Jan 2021</t>
  </si>
  <si>
    <t>The Elder Scrolls IV: Oblivion is down as Xbox only when it is on PC too</t>
  </si>
  <si>
    <t>Grounded is down as Xbox only when it is on PC too</t>
  </si>
  <si>
    <t>Updated, awesome catches, thank you so much :)</t>
  </si>
  <si>
    <t>gingerbread0men</t>
  </si>
  <si>
    <t>Can you make a highlight color for Xbox Series X/S Enhanced? Please and thanks</t>
  </si>
  <si>
    <t>Added as column</t>
  </si>
  <si>
    <t>Command and Conquered Remastered release date was actually Jun 5, 2020</t>
  </si>
  <si>
    <t>Anon</t>
  </si>
  <si>
    <t>Thank you so much for putting this together. I'd suggest creating a "How to read" page. It took me a while to figure out that row 1 is just a color guide that appears in various cells (right?). And I'm still not sure what "Both to Right" means.</t>
  </si>
  <si>
    <t>I moved the key/legend to this tab because too many people were confusing it with the columns</t>
  </si>
  <si>
    <t>khwarezm89</t>
  </si>
  <si>
    <t>Thanks a lot for your efforts here. I would suggest adding a tab for Games with gold since it's a benefit with Xbox Game Pass Ultimate.</t>
  </si>
  <si>
    <t>I don't think this would be helpful given the quality going down and many assuming it will go away</t>
  </si>
  <si>
    <t>ak56Lk</t>
  </si>
  <si>
    <t>A column with an URL to the image and maybe a column with a description</t>
  </si>
  <si>
    <t>SINNER is no longer on Game Pass for PC</t>
  </si>
  <si>
    <t>It is part of EA Play PC</t>
  </si>
  <si>
    <t>Totally Accurate Battle Simulator is no longer in early access.</t>
  </si>
  <si>
    <t>Lunki</t>
  </si>
  <si>
    <t>Streets of Rage 4 Crossplay PC &lt;-&gt; XBOX works.</t>
  </si>
  <si>
    <t>wilpz</t>
  </si>
  <si>
    <r>
      <rPr>
        <rFont val="Arial"/>
      </rPr>
      <t>Phogs is not included in XBOX Pass PC in Japan :(</t>
    </r>
    <r>
      <rPr>
        <rFont val="Arial"/>
        <color rgb="FF000000"/>
      </rPr>
      <t xml:space="preserve">
</t>
    </r>
    <r>
      <rPr>
        <rFont val="Arial"/>
        <color rgb="FF1155CC"/>
        <u/>
      </rPr>
      <t>https://www.microsoft.com/ja-jp/p/phogs/9P6X271HLG8Q?activetab=pivot:overviewtab</t>
    </r>
  </si>
  <si>
    <t>Not changing as it is included everywhere else</t>
  </si>
  <si>
    <t>thiagomda</t>
  </si>
  <si>
    <t>Torchlight 2 is not on Gamepass PC(or console), only Torchlight 3</t>
  </si>
  <si>
    <t>Trine 2, The Sexy Brutale are not on Gamepass PC. --They are thru EA Play.</t>
  </si>
  <si>
    <t>I am including EA play in this mater list as it is included with GamePass on PC and Ultimate</t>
  </si>
  <si>
    <t>Camaro6460</t>
  </si>
  <si>
    <t>OXENFREE is no longer on Game Pass, but still listed in the xCloud tab</t>
  </si>
  <si>
    <t>Possible to add details over time? i.e. resolution, hdr support, framerate? to create a true overall master database? thanks for your work</t>
  </si>
  <si>
    <t>In "Likely leaving" section "~2 Years" is broken</t>
  </si>
  <si>
    <t>Fixed</t>
  </si>
  <si>
    <t>mo</t>
  </si>
  <si>
    <t>outriders has cross play</t>
  </si>
  <si>
    <t>Trin</t>
  </si>
  <si>
    <t>Maybe highlight Series S|X enhanced and Series S|X exclusives</t>
  </si>
  <si>
    <t>Goik</t>
  </si>
  <si>
    <t>Remnant from the ashes supports cross-play between Xbox and Windows 10 now</t>
  </si>
  <si>
    <t>Seems like Trine: Enhanced Edition is actually Trine: Enchanted Edition</t>
  </si>
  <si>
    <t>"Steep" is xCloudable since I was able to play it on my phone tonight</t>
  </si>
  <si>
    <t>"Steep" is only available on Xbox Console, no PC version, at least for now</t>
  </si>
  <si>
    <t>Snow Runner is now on Gamepass</t>
  </si>
  <si>
    <t>Please give me a few days to add brand new games, this comment does not help</t>
  </si>
  <si>
    <t>Knockout City has got cross-play</t>
  </si>
  <si>
    <t>ronabs</t>
  </si>
  <si>
    <t>The "upcoming" list have some games that are not confirmed on Xbox Game Pass: 12 minutes, The Artful Escape, Lake, Last Stop, Mad Streets, Shredders, Song of Iron, The Big Con and Tunic.</t>
  </si>
  <si>
    <t>Most of these were from a showcase last year I believe where every game in the showcase was said to be coming to Game Pass</t>
  </si>
  <si>
    <t>oliver</t>
  </si>
  <si>
    <t>Monster Hunter World is available on cloud but is not in your list</t>
  </si>
  <si>
    <t>erick</t>
  </si>
  <si>
    <t>is outriders coming pc gamepass?</t>
  </si>
  <si>
    <t>I can almost guarantee it will not unfortunately (look at GTA V, RDR2, etc)</t>
  </si>
  <si>
    <t>sienok</t>
  </si>
  <si>
    <t>can't find vampyr on PC.</t>
  </si>
  <si>
    <t>It's part of EA Play</t>
  </si>
  <si>
    <t xml:space="preserve">Anonymous </t>
  </si>
  <si>
    <t>Can't find Undertale on Xbox</t>
  </si>
  <si>
    <t>It is there</t>
  </si>
  <si>
    <t>A flag if a game has touch controls or not</t>
  </si>
  <si>
    <t>Mutant Road Zero: Road to Eden name is incorrect, should be: Mutant Year Zero: Road to Eden</t>
  </si>
  <si>
    <t>Wargroove has been removed but still on the Cross Play tab</t>
  </si>
  <si>
    <t>It's fine to keep as is</t>
  </si>
  <si>
    <t>ArkJK</t>
  </si>
  <si>
    <r>
      <rPr>
        <rFont val="Arial"/>
      </rPr>
      <t xml:space="preserve">Missing: wolfenstein 2 (xbox/pc), fallout new vegas (now also on pc), fallout 1 2 tactics (pc), fallout 3 (xbox/pc), dishonored death of the outsider (xbox/pc), evil within 2 (xbox/pc), arx fatalis (pc), doom 2016 (xbox), rage (xbox).And all the future games announced in E3, I imagine. List with dates here </t>
    </r>
    <r>
      <rPr>
        <rFont val="Arial"/>
        <color rgb="FF1155CC"/>
        <u/>
      </rPr>
      <t>https://www.pcgamer.com/theres-a-whole-27-games-coming-day-one-on-game-pass-for-pc/.</t>
    </r>
    <r>
      <rPr>
        <rFont val="Arial"/>
      </rPr>
      <t xml:space="preserve"> (if they are also releasing on xbox would have to be manually checked). Thanks!</t>
    </r>
  </si>
  <si>
    <t>Please give me a few days to add brand new games</t>
  </si>
  <si>
    <t>Tzman</t>
  </si>
  <si>
    <t>Leaving soon games for June 2nd half</t>
  </si>
  <si>
    <t>What you think about a slack or discord channel (or whatever) to simplify discussions about releases etc.</t>
  </si>
  <si>
    <t>I mean we have the subreddit</t>
  </si>
  <si>
    <t>The Falconeer and Tetris Effect Connected can be removed from the Upcoming tab, both are already available on console/PC</t>
  </si>
  <si>
    <t>boltfan43</t>
  </si>
  <si>
    <t xml:space="preserve">The Ascent is listed twice. Just a heads up. </t>
  </si>
  <si>
    <t>FTL: Faster Than Light left game pass January 15 2021</t>
  </si>
  <si>
    <t>I thought it had been part of EA Play, guess it was just EA Play Pro</t>
  </si>
  <si>
    <t>rafaelgrn</t>
  </si>
  <si>
    <t>Missing Cris Tales - releases on Game Pass on July 20 2021</t>
  </si>
  <si>
    <t>Stewart</t>
  </si>
  <si>
    <r>
      <rPr>
        <rFont val="Arial"/>
      </rPr>
      <t xml:space="preserve">Dungeon Keeper Metacritic score is inaccurate. It says 42 but that score comes from an iOS game, not the PC game. The PC game has no critic score on Metacritic but is rated 8.8/10 by users. Arguably it should be marked here as 88: </t>
    </r>
    <r>
      <rPr>
        <rFont val="Arial"/>
        <color rgb="FF1155CC"/>
        <u/>
      </rPr>
      <t>https://www.metacritic.com/game/pc/dungeon-keeper</t>
    </r>
  </si>
  <si>
    <t>Payam</t>
  </si>
  <si>
    <t>Microsoft Flight Simulator is not in the coming soon list however, it releases to xbox game pass on July 27th as an xbox series x/s exclusive. Space Jam: A New Legacy has also been recently released.</t>
  </si>
  <si>
    <t>Updated Space Jam date. MFS is already on PC, I have a note at the top of when to add Xbox on the devices</t>
  </si>
  <si>
    <t>Banjo Kazooie has wrong metacritic score</t>
  </si>
  <si>
    <t>The score is correct, I start by using X360 scores</t>
  </si>
  <si>
    <t>Andrey</t>
  </si>
  <si>
    <t>What about a list of PC Games that are exclusive (or at least currently exclusive) to Xbox Game Pass / Microsoft Store? For example, Gears of War Ultimate, Gears of War 4, Halo Wars 2... Tetris Effect Connectted is releasing next month for other platforms, but it's currently exclusive to XGP on PC. That could be a good resource for PC players interested in getting XGP for the "exclusives".</t>
  </si>
  <si>
    <t>I don't think it makes sense for me to add unless someone wants to provide a complete list to me or if there is a resource I could reference</t>
  </si>
  <si>
    <t>Mag</t>
  </si>
  <si>
    <t>Yoku's Island Express has removed in Aug 2020, masterlist can be edited</t>
  </si>
  <si>
    <t>OXENFREE is no longer on Game Pass, but still listed in the PC tab</t>
  </si>
  <si>
    <t>It is part of EA Play</t>
  </si>
  <si>
    <t>SD</t>
  </si>
  <si>
    <t>These games were removed from EA Play PC (or now require Pro) and aren't available on Game Pass PC anymore and should be removed:
Star Wars X-Wing Alliance
Star Wars Episode I Racer
Star Wars Shadows of the Empire
Star Wars Galactic Battlegrounds
Star Wars Starfighter
Star Wars Jedi Knight: Mysteries of the Sith
Breathedge
Mutant Year Zero: Road to Eden
Shift Quantum
Into the Breach
Hue</t>
  </si>
  <si>
    <t>Frostpunk on PC is now available directly on Game Pass PC instead of EA Play (doesn't need highlighting for EA Play)</t>
  </si>
  <si>
    <t xml:space="preserve">These games will be leaving EA Play PC on August 20, 2021 so will be leaving Game Pass PC soon. It is listed on their pages (like https://www.origin.com/usa/en-us/store/nex-machina/nex-machina):
Overcooked: Gourmet Edition
Nex Machine
Yoku's Island Express
Dear Esther: Landmark Edition
Mugsters
The Escapists
</t>
  </si>
  <si>
    <t>Updated, thank you, it is much harder to keep track of EA Play without any announcements</t>
  </si>
  <si>
    <t>Peralta 80</t>
  </si>
  <si>
    <t>add the pc games that have achievements, either those that do not share them with the xbox ones, such as those that, being exclusively pc, have achievements (on pc it is not mandatory that they carry achievements)</t>
  </si>
  <si>
    <t>I am not going to include achievements on here</t>
  </si>
  <si>
    <t>F1 2020 is listed for Xbox, PC and xCloud but I think it's currently only available on Xbox console</t>
  </si>
  <si>
    <r>
      <rPr>
        <rFont val="Arial"/>
        <b/>
      </rPr>
      <t xml:space="preserve">Also a suggestion: can you add "FPS Boost" to the Xbox Series X|S column for games that support FPS Boost.  Here's a list of FPS Boost supported games: </t>
    </r>
    <r>
      <rPr>
        <rFont val="Arial"/>
        <b/>
        <color rgb="FF1155CC"/>
        <u/>
      </rPr>
      <t>https://majornelson.com/fpsboost/</t>
    </r>
  </si>
  <si>
    <t>Added, please let me know of any updates as a new suggestion</t>
  </si>
  <si>
    <t>anon</t>
  </si>
  <si>
    <t>Leaving soon list not updated</t>
  </si>
  <si>
    <t>It was, sometimes I need a day or 2 to get the updates in</t>
  </si>
  <si>
    <t>a better enphasis on games that support Play Anywhere (the list is not upadated-Hades, Like a Dragon, The Ascent, etc)</t>
  </si>
  <si>
    <t>Updated, most of my spreadhseet is manual, so I get most of that info from this tab</t>
  </si>
  <si>
    <t>A Dud3</t>
  </si>
  <si>
    <t>Bomber Crew was removed in April 30th 2020.</t>
  </si>
  <si>
    <t>canbi</t>
  </si>
  <si>
    <t>suggestion page should be protected.</t>
  </si>
  <si>
    <t>I cannot do that, otherwise people could nto add comments, the top and the response row is protected</t>
  </si>
  <si>
    <t>An easy way to confirm these is to do a Google search like https://www.google.com/search?q=%22This+game+will+be+leaving+EA+Play+on+September+9%2C+2021%22+site%3Aorigin.com
These games will be leaving EA Play PC on September 9, 2021:
STAR WARS™ Republic Commando™
Vambrace: Cold Soul
The Escapists 2
Ultimate Chicken Horse
Yooka-Laylee
STAR WARS™ Battlefront (Classic, 2004)
STAR WARS™ Battlefront II (Classic, 2005)
These games will be leaving EA Play PC on Oct 1, 2021:
FIFA 19
These games will be leaving EA Play PC on Oct 23, 2021:
Shio
Slay The Spire
Sudden Strike 4
Shantae: Half-Genie Hero
Dead Cells</t>
  </si>
  <si>
    <t>Updated,
This is amazing I would really appreciate if you could help share information of games that are leaving EA Play.
Ultimate Chicken Horse and Sudden Strike 4 are EA Play Pro, so those ar enot on my list</t>
  </si>
  <si>
    <t>zodiac</t>
  </si>
  <si>
    <t>ape out and crossing souls are still at 'Likely Leaving' page, but they already left.</t>
  </si>
  <si>
    <t>what about having platforms to Upcoming games? Like specify if it's coming on console or PC (or both). Another thing: coming soon games aren't updated to reflect the Ucoming entries. Thank you!!!</t>
  </si>
  <si>
    <t>I used to and there are a good amount of times where it is just not provided, I'm just going to leave it more barebones as it is easier to maintain</t>
  </si>
  <si>
    <t xml:space="preserve">Rosie </t>
  </si>
  <si>
    <t>Flag movies? was sad that there isnt a spacejam game :( and also this is an amazing spreadsheet, thank you!! :)</t>
  </si>
  <si>
    <t>Space Jam has a game</t>
  </si>
  <si>
    <t>Yatak31</t>
  </si>
  <si>
    <t>Ape Out , Crossing Souls, Apotheon is left. idk who you are but i love you!</t>
  </si>
  <si>
    <t>Speejays</t>
  </si>
  <si>
    <t>The list has Aragami 1, but it isn't on Game Pass</t>
  </si>
  <si>
    <t>PC EA Play</t>
  </si>
  <si>
    <t>Knice</t>
  </si>
  <si>
    <t>Elite Dangerous shouldn't have a ":" in the name. Also, it is available on xcloud</t>
  </si>
  <si>
    <t>Muzzle</t>
  </si>
  <si>
    <t>Metacritic scores (xbox):
Psychonauts 2: 87
Sable: 68
Aragami 2: 73
SkateBIRD: 61
The Artful Escape: 80 (PC, XBOX tbd)
Twelve Minutes: 74
Ancestors: The humankind odyssey: 72 (called "Humankind" in the Master List, L44)
Thank you for this incredible source of information</t>
  </si>
  <si>
    <t>Most of these are update to take teh average of the PC and Xbox scores.
Humankind is a separate game from Ancestors</t>
  </si>
  <si>
    <t>Moc</t>
  </si>
  <si>
    <t xml:space="preserve">Add meta data speifying PC Steam vs PC Windows cross-play. Many games are "Cross Play" (i.e. Astroneer, Deep Rock Galactic) but these are only cross play with the Windows Store version and not </t>
  </si>
  <si>
    <t>I just added a column O for public notes, feel free to add this information there, please let me know if this works</t>
  </si>
  <si>
    <t>J</t>
  </si>
  <si>
    <t>Sea of Thieves was added in March 2018, not 2019</t>
  </si>
  <si>
    <t>Snake Pass was removed March 2020</t>
  </si>
  <si>
    <t>Label "The Walking Dead: A Telltale Games Series" as "The Walking Dead: The Complete First Season" (as it appears on the Xbox Store) to prevent confusion; the final season isn't included</t>
  </si>
  <si>
    <t>The Walking Dead: Season Two was added in February 2019, not 2020</t>
  </si>
  <si>
    <t>Gears Tactics was added April 2020</t>
  </si>
  <si>
    <t>This is correct on the main list</t>
  </si>
  <si>
    <t>MechWarrior 5 was added May 2021, not 2020</t>
  </si>
  <si>
    <t>I believe this is when it was added to console, it joined PC in 2020</t>
  </si>
  <si>
    <t>Add Destiny 2: Forsaken and Shadowkeep (active since Sept 2020). Beyond Light was active since Nov 2020, not September.</t>
  </si>
  <si>
    <t>Updated the name to show all included expansions as well as first date hitting Game Pass (left as is)</t>
  </si>
  <si>
    <t>Star Renegades was added November 2020</t>
  </si>
  <si>
    <t>Chandler</t>
  </si>
  <si>
    <t>Possibly add a column for ESRB rating and content descriptors?</t>
  </si>
  <si>
    <t>Can we list mouse&amp;keyboard supported games? Thank you so much!</t>
  </si>
  <si>
    <t>Vordus</t>
  </si>
  <si>
    <t>Moonglow Bay was delayed(?) to Oct 26.</t>
  </si>
  <si>
    <r>
      <rPr>
        <rFont val="Arial"/>
      </rPr>
      <t xml:space="preserve">Unpacking's release date is </t>
    </r>
    <r>
      <rPr>
        <rFont val="Arial"/>
        <color rgb="FF1155CC"/>
        <u/>
      </rPr>
      <t>Nov 2, 2021</t>
    </r>
  </si>
  <si>
    <t>Pyre is no longer included in EA Play</t>
  </si>
  <si>
    <t>Oxenfree should not be fully capitalized</t>
  </si>
  <si>
    <t>Weapuh</t>
  </si>
  <si>
    <t>Outriders is also available for PC</t>
  </si>
  <si>
    <t>I'd like to help and mark games as Single-player only so people can filter the negation for possible Multiplayer games. As you've stated above, it's too much work to retreive the playercount for all the games, but marking things Single-player would likely eliminate a bunch of SP games for people looking for MP experiences such as myself.</t>
  </si>
  <si>
    <t>I've begun adding ESRB ratings to column O, but I feel like that column will get too full. It'd be nice if once I'm finished the ESRB ratings could move to their own column</t>
  </si>
  <si>
    <t>Sounds good to me if they get mostly filled in</t>
  </si>
  <si>
    <t>The application shows the "Pillars of Eternity: Hero Edition", while this document has the "Complete Edition". According to igdb the "Complete Edition" contains two expansion that the hero edition does not.</t>
  </si>
  <si>
    <t>Include in game pass</t>
  </si>
  <si>
    <t>You appear to be missing "Mighty Goose"</t>
  </si>
  <si>
    <t>ty_hot</t>
  </si>
  <si>
    <t>Back 4 Blood is crossplay (Xbox PC)</t>
  </si>
  <si>
    <t>Column or flag for games which are back compat from console? Thanks again for this resource!</t>
  </si>
  <si>
    <t>I think some people started populating this in the public notes column</t>
  </si>
  <si>
    <t>I think it would be more helpful if, on the master list sheet, under the age column, to reference the current month instead of the month it was added to Game Pass. This would show how old each game is instead of how old it was when Microsoft added it to Game Pass. I think this would be a better metric to keep track of. EDIT: Not sure we are talking about the same thing. I am talking specifically about the column titled "Age" on the master list. Which currently shows the age of the game when added to Game Pass. Is that what you are talking about? (Thank you for making this btw. It's very helpful!)</t>
  </si>
  <si>
    <t>I don't agree, especially considering most games are added for durations of 1, 2, or 3 years
EDIT: Now I see what you mean, I'll need to think about it, as it holds constant teh age of the game when it was added to gamepass vs today's date, but then it would be harder to show day one games</t>
  </si>
  <si>
    <t>Thiago</t>
  </si>
  <si>
    <r>
      <rPr>
        <rFont val="Arial"/>
      </rPr>
      <t xml:space="preserve">I made a simple website to better visualize what we have on this sheet.
It's updated once a day. 
I mentioned this sheet in the "About" page, but if someone wants their nominal credit please let me know who I should thank ;)
So it would be nice to have people's Twitter/Github/whatever here.
</t>
    </r>
    <r>
      <rPr>
        <rFont val="Arial"/>
        <color rgb="FF1155CC"/>
        <u/>
      </rPr>
      <t>https://gametracker.softr.app</t>
    </r>
  </si>
  <si>
    <t>I honestly would prefer if you had asked before using my work</t>
  </si>
  <si>
    <t>DEEER Simulator is actually named DEEEER Simulator, with 4 "E" :)</t>
  </si>
  <si>
    <t>Conan Exiles is available on PC gamepass</t>
  </si>
  <si>
    <t>Luis</t>
  </si>
  <si>
    <t>The Gunk will come to game pass on day 1 (16 December): 
https://gamerant.com/the-gunk-release-date-xbox-game-pass-day-one/</t>
  </si>
  <si>
    <t>Already on my list, but thank you</t>
  </si>
  <si>
    <t>Somewhere on the upcoming page, it would be nice to put a link to the source confirming that the game will come to gamepass instead of having people do it through public notes</t>
  </si>
  <si>
    <t>I ususally go through mobile for that sheet and find most of my info that is shared to the game pass sub on reddit</t>
  </si>
  <si>
    <t>Cyber Shadow can be removed from the upcoming page, it is already on gamepass</t>
  </si>
  <si>
    <t>Sort the Upcoming tab by release date then by name instead of just by name</t>
  </si>
  <si>
    <t>Most of the release dates are just years and we received info we would receive some games in 2020 that never materialized</t>
  </si>
  <si>
    <t>na</t>
  </si>
  <si>
    <t>Slay the Spire only left EA Play for PC, on Xbox it's still available. similar story with dead cells and maybe other EA Play titles?</t>
  </si>
  <si>
    <t>also sniper elite 4 vanished from the likely leaving list, albeit it's 36+ month stay (that is an auto generated list compiled from the oldest titles, excluding XGS games, right?</t>
  </si>
  <si>
    <t>Correct, I will add in 4 year variables</t>
  </si>
  <si>
    <t>maybe seperate entries for PC and Xbox titles would be helpful, cause Phoenix Point was just recently added to Xbox, but is still listed under likely leaving</t>
  </si>
  <si>
    <t>This is what I use the notes section for/it helps the users who were on the first platform, also this would misrepresent the total number of games</t>
  </si>
  <si>
    <t>I came to say the same thing as the previous comment. Other examples are Code Vein or Nier Automata, with different release dates for xbox and pc.</t>
  </si>
  <si>
    <t>See above</t>
  </si>
  <si>
    <t>I am not sure, but I believe Beholder is leaving soon for console only</t>
  </si>
  <si>
    <t>It was fully removed</t>
  </si>
  <si>
    <t>hkmthr</t>
  </si>
  <si>
    <t>slay the spire is still on game pass no?</t>
  </si>
  <si>
    <t>muzzle</t>
  </si>
  <si>
    <t>Title for GTA SA is wrong at the end || Grand Theft Auto: San Andreas - The Definitive Edition= Hgvb yb yb u ygfve egfv q</t>
  </si>
  <si>
    <t>Updated, must have been trying to do something else lol</t>
  </si>
  <si>
    <t>Wrong title for Townscraper ---&gt; Townscaper, without a R</t>
  </si>
  <si>
    <t>Before We Leave is present twice: line 22 and 26</t>
  </si>
  <si>
    <r>
      <rPr>
        <rFont val="Arial"/>
      </rPr>
      <t xml:space="preserve">The dates are weird for whatever this is under master list </t>
    </r>
    <r>
      <rPr>
        <rFont val="Arial"/>
        <color rgb="FF1155CC"/>
        <u/>
      </rPr>
      <t>https://i.imgur.com/2k7PI7V.png</t>
    </r>
  </si>
  <si>
    <t>I could not find an accurate date for when these were removed</t>
  </si>
  <si>
    <t>in the XGS list, the note regarding Sunset Overdrive is next to Pillars of Eternity</t>
  </si>
  <si>
    <t>It's just meant to be under the acquisitions of studios</t>
  </si>
  <si>
    <t>scorn was delayed to october 2022</t>
  </si>
  <si>
    <t>C</t>
  </si>
  <si>
    <t>Destiny 2 left game pass on 8 December. Thanks!</t>
  </si>
  <si>
    <t>It only left console, it was recently added for PC</t>
  </si>
  <si>
    <t>PUBG is listed as leaving on Jan 12, 2022</t>
  </si>
  <si>
    <t>Not exactly a suggestion but some useful information. If you look up a PC Game Pass game on the Microsoft Store desktop app, you can see a date that is possibly the date it leaves the service. The date only shows up if the game is currently not on sale though and instead has the 20% discount that you would normally get from the game being on the service for more than 90 days. For example, Greedfall shows it has 20% off until 6/1/2022 (18 months after it came to Game Pass) and The Forgotten City shows 11/1/2022 (1 year). Resident Evil 7 is currently on sale (as of 1/1/2022) but prior to being on sale it showed a 9/1/2022 date (2 years). Some games are weird and don't really show up on app unless you go digging for it, like Spiritfarer leaving in August and Middle Earth: Shadow of War not showing a date but the Definitive Edition shows a 2/1/2022 date.</t>
  </si>
  <si>
    <t>Great tip!</t>
  </si>
  <si>
    <t>DisCordyceps</t>
  </si>
  <si>
    <t>Grounded is crossplay</t>
  </si>
  <si>
    <t>Already on the list</t>
  </si>
  <si>
    <t xml:space="preserve">Games leaving on the 16th:
-Desperados 3 (Console, PC)
-Ghost Of A Tale (PC)
-Mount &amp; Blade: Warband (Console, PC)
-Pandemic: The Board Game (Console, PC)
-YIIK: A Postmodern RPG (PC)
Source: Game Pass app and also https://www.purexbox.com/news/2022/01/another-seven-games-will-leave-xbox-game-pass-soon-january-15
</t>
  </si>
  <si>
    <t>Please give me a few days to add brand new games
I'd prefer to not have to keep repeating, I nromally update within a few hours</t>
  </si>
  <si>
    <t>Outer Wilds is listed as Cloud, Console, and PC on the official announcement (I saw the note in the previous one, just wanted to point that out!)</t>
  </si>
  <si>
    <r>
      <rPr>
        <rFont val="Arial"/>
      </rPr>
      <t xml:space="preserve">FAR: Changing Tides is coming to gamepass day 1: </t>
    </r>
    <r>
      <rPr>
        <rFont val="Arial"/>
        <color rgb="FF1155CC"/>
        <u/>
      </rPr>
      <t>https://youtu.be/r1ye5cBgKoU?t=29</t>
    </r>
  </si>
  <si>
    <t>Matthew</t>
  </si>
  <si>
    <r>
      <rPr>
        <rFont val="Arial"/>
      </rPr>
      <t xml:space="preserve">S.T.A.L.K.E.R. 2 has now been delayed until 8th December - </t>
    </r>
    <r>
      <rPr>
        <rFont val="Arial"/>
        <color rgb="FF1155CC"/>
        <u/>
      </rPr>
      <t>https://www.eurogamer.net/articles/2022-01-12-stalker-2-delayed-until-december</t>
    </r>
  </si>
  <si>
    <t>Windjammers 2 releases on 1/20/2022</t>
  </si>
  <si>
    <t>Craftopia (Game Preview) has removed (Game Preview) from the name</t>
  </si>
  <si>
    <t>Broken Age should be marked as Xbox Game Studios (Double Fine)</t>
  </si>
  <si>
    <t>Starmancer should have (Game Preview) in its name</t>
  </si>
  <si>
    <t>I have finished adding in the ESRB ratings and content descriptors for every game currently on Gamepass to the Public Notes, and it would be great if these could move to their own column (Maybe even 2 columns: one for the rating and another for the content descriptors)</t>
  </si>
  <si>
    <r>
      <rPr>
        <rFont val="Arial"/>
        <color theme="1"/>
      </rPr>
      <t xml:space="preserve">Updated, you should be able to just add on, thank you for your help.
</t>
    </r>
    <r>
      <rPr>
        <rFont val="Arial"/>
        <b/>
        <color theme="1"/>
      </rPr>
      <t xml:space="preserve">
Edit: You are awesome, thank you!</t>
    </r>
  </si>
  <si>
    <t>https://news.xbox.com/en-us/2022/01/28/two-point-campus-coming-to-xbox-game-pass-on-day-one/</t>
  </si>
  <si>
    <t>The dates for Two Point Campus both have the wrong month (Should be May instead of February)</t>
  </si>
  <si>
    <t>Dexter</t>
  </si>
  <si>
    <t>Just Cause 4 is a Play Anywhere title and is missing from the list</t>
  </si>
  <si>
    <r>
      <rPr>
        <rFont val="Arial"/>
      </rPr>
      <t xml:space="preserve">Kingdom Hearts III is still on gamepass: </t>
    </r>
    <r>
      <rPr>
        <rFont val="Arial"/>
        <color rgb="FF1155CC"/>
        <u/>
      </rPr>
      <t>https://www.xbox.com/en-us/games/store/kingdom-hearts/c08mw8xhqn9g</t>
    </r>
  </si>
  <si>
    <t>Updated, still shows as leaving soon, updated for end of Feb</t>
  </si>
  <si>
    <r>
      <rPr>
        <rFont val="Arial"/>
      </rPr>
      <t xml:space="preserve">Edit for A Memoir Blue:
I accidentally posted the wrong link above, sorry!
The actual article still exists: </t>
    </r>
    <r>
      <rPr>
        <rFont val="Arial"/>
        <color rgb="FF1155CC"/>
        <u/>
      </rPr>
      <t>https://gamerant.com/a-memoir-blue-xbox-game-pass-march</t>
    </r>
  </si>
  <si>
    <t>alistair</t>
  </si>
  <si>
    <r>
      <rPr>
        <rFont val="Arial"/>
      </rPr>
      <t xml:space="preserve">I have added notes to the public notes column for games which don't FPS boost on series s (and the two games which only FPS boost on Series S). This should reduce the amount of confusion if someone notices they can't enable FPS boost on these games (compatibility options says fps boost isn't avaliable even if its on the fps boost list). I have used the list from here: </t>
    </r>
    <r>
      <rPr>
        <rFont val="Arial"/>
        <color rgb="FF1155CC"/>
        <u/>
      </rPr>
      <t>https://majornelson.com/fpsboost/</t>
    </r>
  </si>
  <si>
    <r>
      <rPr>
        <rFont val="Arial"/>
      </rPr>
      <t xml:space="preserve">The Elder Scrolls Online was temporarily removed from xcloud due to player disconnect issues </t>
    </r>
    <r>
      <rPr>
        <rFont val="Arial"/>
        <color rgb="FF1155CC"/>
        <u/>
      </rPr>
      <t>https://www.trueachievements.com/n48641/the-elder-scrolls-online-removed-from-xbox-cloud-gaming</t>
    </r>
  </si>
  <si>
    <r>
      <t xml:space="preserve">Destiny 2 expansions left console game pass &amp; xcloud 8 December (still on pc) however the master list still shows it being on xbox &amp; xcloud </t>
    </r>
    <r>
      <rPr>
        <rFont val="Arial"/>
        <color rgb="FF1155CC"/>
        <u/>
      </rPr>
      <t>https://help.bungie.net/hc/en-us/articles/360054430692</t>
    </r>
  </si>
  <si>
    <r>
      <rPr>
        <rFont val="Arial"/>
        <color rgb="FF1155CC"/>
        <u/>
      </rPr>
      <t xml:space="preserve">https://twitter.com/FellowTravellr/status/1504175386485456896
</t>
    </r>
    <r>
      <rPr>
        <rFont val="Arial"/>
        <color rgb="FF000000"/>
        <u/>
      </rPr>
      <t>Out of the four games mentioned in the linked Tweet and trailer: Paradise Killer is on the sheet already, Kraken Academy is the only one with a release date of March 22 coming day one to Game Pass, and the other 2 are confirmed for Game Pass without dates</t>
    </r>
  </si>
  <si>
    <r>
      <rPr>
        <rFont val="Arial"/>
      </rPr>
      <t xml:space="preserve">Aragami is leaving EA Play on March 28th
</t>
    </r>
    <r>
      <rPr>
        <rFont val="Arial"/>
        <color rgb="FF1155CC"/>
        <u/>
      </rPr>
      <t>https://www.origin.com/usa/en-us/store/aragami/aragami</t>
    </r>
  </si>
  <si>
    <t>Gert XBoxx</t>
  </si>
  <si>
    <t>someone alrdy asked for keyboard/mouse control support
you responded in column O, i can't see this column...</t>
  </si>
  <si>
    <t>Sorry this is not something that I am including, feel free to add to public notes</t>
  </si>
  <si>
    <t>Hot</t>
  </si>
  <si>
    <t>Regarding cell B1 in Master List, what is the reason it starts counting from row 69?</t>
  </si>
  <si>
    <t>Updated, this was due to inserting rows at the top for new games</t>
  </si>
  <si>
    <t>Great! Why do you subtract 1 in cell B1?</t>
  </si>
  <si>
    <t>To prevent missing new rows, I include the top row for the formula but I need to remove that from the count</t>
  </si>
  <si>
    <t>Killer instinct is listed 4 times in rows 429:432 but it seems to me that only the last one in row 432 is active on game pass.</t>
  </si>
  <si>
    <t>There are 4 different games on GP I believe</t>
  </si>
  <si>
    <t>B1: The top row does not have "Active" or "Leaving Soon" in it so it's not being counted. I don't see how 1 should be subtracted, am I missing something?</t>
  </si>
  <si>
    <t>Good point, thanks</t>
  </si>
  <si>
    <t>Marvel's Guardians of the Galaxy is a Play Anywhere game</t>
  </si>
  <si>
    <t>me</t>
  </si>
  <si>
    <r>
      <rPr>
        <rFont val="Arial"/>
      </rPr>
      <t xml:space="preserve">Townscaper now in Cloud :) </t>
    </r>
    <r>
      <rPr>
        <rFont val="Arial"/>
        <color rgb="FF1155CC"/>
        <u/>
      </rPr>
      <t>https://www.xbox.com/en-US/play/games/townscaper/9NFM39PSFXJD</t>
    </r>
  </si>
  <si>
    <t>leo</t>
  </si>
  <si>
    <t>Just post here to thank the author #ABattleVet#. This list helped me. It's MS's shame that players have to collect info by this mean. It looks like a huge workload to initiate these sheets and keep them updated.</t>
  </si>
  <si>
    <t>Ha, it was a huge amount of work but I really appreciate the kind words!</t>
  </si>
  <si>
    <t>Wondering why some games are not listed as "yes" for xCloud when they can be played via cloud, like MLB The Show 22?  Should that not say yes?</t>
  </si>
  <si>
    <t>Updated, give me any other specifics you find</t>
  </si>
  <si>
    <t>Jeffery</t>
  </si>
  <si>
    <t>Do you think Battlefield V would be removed anytime soon? Thinking about installing it but don't want to do it because its a BIG game (especially on data capped internet). Since F1 2019 was introduced in July 2020, and removed in April 22, maybe Battlefield V would be removed in August 22?</t>
  </si>
  <si>
    <t>They removed old sports games, I have not seen them remove any Battlefield titles yet</t>
  </si>
  <si>
    <t>Scram</t>
  </si>
  <si>
    <t>Would you guys consider adding a column for Opencritic scores?</t>
  </si>
  <si>
    <t>For now probabably not, it already takes quite a while to update the list</t>
  </si>
  <si>
    <t>NHL 94 Ruina and Library of Ruina are listed as a metacritic score of 100 and 95 respectively. Neither are accurate, neither even have metacritic scores.</t>
  </si>
  <si>
    <t>At the top you can see that boldened items are user scores</t>
  </si>
  <si>
    <t>Tunic is available on xCloud, but it's missing from the sheet</t>
  </si>
  <si>
    <t>Is there a way to add in xCloud games that have "native" touch controls? i.e. not just xbox buttons overlaid on screen. Nonary Games and Danganronpa are two examples of games with native touch and it makes the gameplay so much smoother. So I think marking this on the sheet somewhere would be good. I don't know if there's an easy way to find out which games support this though</t>
  </si>
  <si>
    <t>This is not published anywhere, feel free to use the public notes column</t>
  </si>
  <si>
    <t>Balderdash</t>
  </si>
  <si>
    <t>Possible to show the game's original platform (360, original Xbox, PC, etc.)?</t>
  </si>
  <si>
    <t>I think this is something others had started doing in the public notes</t>
  </si>
  <si>
    <t>Mini Metro is listed on master list but doesnt even exist on games pass or xbox lol</t>
  </si>
  <si>
    <t>Killer Instinct (2013) is called Killer Instinct: Definitive Edition on the Xbox Store so it would probably be more consistent to list it as such</t>
  </si>
  <si>
    <t>I alread had it, but I removed the redundant listing to only show the highest tiered game</t>
  </si>
  <si>
    <r>
      <rPr>
        <rFont val="Arial"/>
      </rPr>
      <t xml:space="preserve">Danganronpa 2, Research and Destroy, Tunic and Eiyuden Chronicle have Touch Controls but are not listed as so via </t>
    </r>
    <r>
      <rPr>
        <rFont val="Arial"/>
        <color rgb="FF1155CC"/>
        <u/>
      </rPr>
      <t>https://www.xbox.com/en-US/play/gallery/touch</t>
    </r>
  </si>
  <si>
    <r>
      <rPr>
        <rFont val="Arial"/>
        <color theme="1"/>
      </rPr>
      <t xml:space="preserve">A couple of Coming Soon games are missing from the list: </t>
    </r>
    <r>
      <rPr>
        <rFont val="Arial"/>
        <color theme="1"/>
        <u/>
      </rPr>
      <t>Shadowrun Trilogy</t>
    </r>
    <r>
      <rPr>
        <rFont val="Arial"/>
        <color theme="1"/>
      </rPr>
      <t xml:space="preserve">, June 21st - https://gamerant.com/xbox-game-pass-june-2022-games-shadowrun-trilogy/ 
</t>
    </r>
    <r>
      <rPr>
        <rFont val="Arial"/>
        <color theme="1"/>
        <u/>
      </rPr>
      <t>Matchpoint - Tennis Championships</t>
    </r>
    <r>
      <rPr>
        <rFont val="Arial"/>
        <color theme="1"/>
      </rPr>
      <t>, July 7th - https://matchpoint-game.com/ 
These games are also all listed under the Coming Soon section on the Game Pass website</t>
    </r>
  </si>
  <si>
    <t xml:space="preserve">thank you so much for this guys, I really appreciate it. </t>
  </si>
  <si>
    <t>You're welcome</t>
  </si>
  <si>
    <t>Wrong initial release dates for a group of games. 
Capsized, Cryptark, Shio, Pyre, Mugsters, Apotheon.
They all say Dec 2014 but they were all released years later.</t>
  </si>
  <si>
    <t>Unsouled, Umurangi Generation, Little Witch in the Woods, Sniper Elite 5, Cricket 22 are all available on Cloud</t>
  </si>
  <si>
    <t>LavosBR</t>
  </si>
  <si>
    <t>Sheet with games that leaved and returned to GP</t>
  </si>
  <si>
    <t>Only a handful hame, I have started adding notes in the owner notes for these</t>
  </si>
  <si>
    <t>These were on Game Pass in the past: 
Batman: Return to Arkham
Borderlands: The Handsome Collection
Disney Epic Mickey 2: The Power of Two
Euro Fishing
F1 2015
Final Fantasy 15
Robocraft Infinity
State of Decay 2
State of Decay 2: Heartland
Thief of Thieves
Some may be variants of others.  I wasn't sure of FF15?
In answer to someone above about IMPORTRANGE, yes this works.  I selected "Master List!A:Q" as the cell refs</t>
  </si>
  <si>
    <t xml:space="preserve">
Batman: Return to Arkham games split up, on list
Same for Borderlands: The Handsome Collection
Disney Epic Mickey 2: The Power of Two added
Euro Fishing on list as Dovetail Games: Euro Fishing
F1 2015 added
Final Fantasy 15 listed as Final Fantasy XV
Robocraft Infinity added
State of Decay 2 listed as SoD 2: Juggernaut Edition
SoD 2: Heartland listed as SoD 2: Juggernaut Edition
Thief of Thieves seems to have never been on GP
See above
Yup!
</t>
  </si>
  <si>
    <r>
      <rPr>
        <rFont val="Arial"/>
      </rPr>
      <t>Forza Horizon 3 was on Game Pass, removed on 27th-Sep-2020 when licence expired
Red Lantern *was* to premiere on Game Pass (PC only?).  I'm not sure if ever did?
EA Play list: I've found 76 titles that possible should be added to your list (via PC Gaming Wiki).  Let me know if you would like them?
Matchpoint: Tennis Championships is coming on 7th July
The following are coming on 21st June:
Shadowrun Returns
Shadownrun: Dragonfall
Shadownrun: Hong Kong
Worms W.M.D and Secret Neighbor are still available on Game Pass.  So is Long Dark, it was on the leaving list but never seem to actually leave
Lots of games announced in the last few days, here's a great list from Eurogamer</t>
    </r>
    <r>
      <rPr>
        <rFont val="Arial"/>
        <color rgb="FF000000"/>
      </rPr>
      <t xml:space="preserve">: </t>
    </r>
    <r>
      <rPr>
        <rFont val="Arial"/>
        <color rgb="FF1155CC"/>
        <u/>
      </rPr>
      <t>https://www.eurogamer.net/xbox-game-pass-games-list-this-month-price-6400</t>
    </r>
    <r>
      <rPr>
        <rFont val="Arial"/>
      </rPr>
      <t xml:space="preserve">  There are some new dates, e.g. for As Dusk Falls</t>
    </r>
  </si>
  <si>
    <t xml:space="preserve">I don't believe Forza Horizon 3 was ever on Game Pass
Red Lantern has not been on Game Pass
Can you provide the list?
Added
Added
Updated
Thank you
</t>
  </si>
  <si>
    <t>Vasilios</t>
  </si>
  <si>
    <t>Space Jam: A New Legacy - The Game appears in the list of Likely Leaving. This game is free, and it does not require Game Pass to own it.</t>
  </si>
  <si>
    <t>nmorelli</t>
  </si>
  <si>
    <t xml:space="preserve">Why in the likely leaving list are we seeing limitations on month values, like &gt;10.5 and  &lt;13, or  &gt;22.5 but  &lt;25. Why isn't it just anything greater than 12? </t>
  </si>
  <si>
    <t>It is normally based around 1 or 2 year incrmenets, not 1.5 years</t>
  </si>
  <si>
    <t>LavosTGR</t>
  </si>
  <si>
    <t>Leaving soon: Jurassic World Evolution -- console, cloud
Last Stop -- console, cloud, PC
MotoGP 20 -- console, cloud, PC</t>
  </si>
  <si>
    <t>As pointed out in the public notes, As Dusk Falls has a typo in the title (As DuCk Falls)</t>
  </si>
  <si>
    <t>Fixed lol thanks</t>
  </si>
  <si>
    <t>Tz</t>
  </si>
  <si>
    <t>Plague Tale Requiem Launch Date (18/10/22)</t>
  </si>
  <si>
    <t>Updated thanks!</t>
  </si>
  <si>
    <t>Complete Launch date (including day) at least in upcoming tab</t>
  </si>
  <si>
    <t>I removed this because so many have moved and some just have not come to game pass despite having been confirmed. I'll just add to the main tab when confirmed release dates are made</t>
  </si>
  <si>
    <t>The community editable fields are a great idea, thanks!</t>
  </si>
  <si>
    <t>Of course!</t>
  </si>
  <si>
    <t>Solasta: Crown of the Magister is now available on Xbox in addition to PC</t>
  </si>
  <si>
    <r>
      <rPr>
        <rFont val="Arial"/>
      </rPr>
      <t xml:space="preserve">Garden Story coming to gamepass: </t>
    </r>
    <r>
      <rPr>
        <rFont val="Arial"/>
        <color rgb="FF1155CC"/>
        <u/>
      </rPr>
      <t>https://twitter.com/gardenstorygame/status/1544444534339149824</t>
    </r>
  </si>
  <si>
    <r>
      <rPr>
        <rFont val="Arial"/>
      </rPr>
      <t xml:space="preserve">Upcoming Game Pass releases:
</t>
    </r>
    <r>
      <rPr>
        <rFont val="Arial"/>
        <u/>
      </rPr>
      <t>Disney Dreamlight Valley</t>
    </r>
    <r>
      <rPr>
        <rFont val="Arial"/>
      </rPr>
      <t xml:space="preserve">: September 6th, day one via </t>
    </r>
    <r>
      <rPr>
        <rFont val="Arial"/>
        <color rgb="FF1155CC"/>
        <u/>
      </rPr>
      <t>https://www.xbox.com/en-US/games/disney-dreamlight-valley</t>
    </r>
    <r>
      <rPr>
        <rFont val="Arial"/>
      </rPr>
      <t xml:space="preserve">
</t>
    </r>
    <r>
      <rPr>
        <rFont val="Arial"/>
        <u/>
      </rPr>
      <t>Midnight Fight Express</t>
    </r>
    <r>
      <rPr>
        <rFont val="Arial"/>
      </rPr>
      <t xml:space="preserve">: August 23rd, day one via its trailer and seen here </t>
    </r>
    <r>
      <rPr>
        <rFont val="Arial"/>
        <color rgb="FF1155CC"/>
        <u/>
      </rPr>
      <t xml:space="preserve">https://twitter.com/klobrille/status/1534976777847771136
</t>
    </r>
    <r>
      <rPr>
        <rFont val="Arial"/>
        <u/>
      </rPr>
      <t>Commandos 3 HD</t>
    </r>
    <r>
      <rPr>
        <rFont val="Arial"/>
      </rPr>
      <t xml:space="preserve">: September 1st,
</t>
    </r>
    <r>
      <rPr>
        <rFont val="Arial"/>
        <u/>
      </rPr>
      <t>Signalis</t>
    </r>
    <r>
      <rPr>
        <rFont val="Arial"/>
      </rPr>
      <t xml:space="preserve">: October 27th,
</t>
    </r>
    <r>
      <rPr>
        <rFont val="Arial"/>
        <u/>
      </rPr>
      <t>Immortality</t>
    </r>
    <r>
      <rPr>
        <rFont val="Arial"/>
      </rPr>
      <t>: July 26th, All three of the above vi</t>
    </r>
    <r>
      <rPr>
        <rFont val="Arial"/>
        <color rgb="FF000000"/>
      </rPr>
      <t xml:space="preserve">a </t>
    </r>
    <r>
      <rPr>
        <rFont val="Arial"/>
        <color rgb="FF1155CC"/>
        <u/>
      </rPr>
      <t xml:space="preserve">https://www.purexbox.com/news/2022/06/commandos-3-hd-signalis-and-more-announced-for-xbox-game-pass
</t>
    </r>
    <r>
      <rPr>
        <rFont val="Arial"/>
        <u/>
      </rPr>
      <t>Warhammer 40k: Darktide</t>
    </r>
    <r>
      <rPr>
        <rFont val="Arial"/>
      </rPr>
      <t>: September 13th, day one via</t>
    </r>
    <r>
      <rPr>
        <rFont val="Arial"/>
        <color rgb="FF000000"/>
      </rPr>
      <t xml:space="preserve"> </t>
    </r>
    <r>
      <rPr>
        <rFont val="Arial"/>
        <color rgb="FF1155CC"/>
        <u/>
      </rPr>
      <t xml:space="preserve">https://www.gamespot.com/articles/warhammer-40k-darktide-releasing-september-13-on-xbox-game-pass/1100-6504376/
</t>
    </r>
    <r>
      <rPr>
        <rFont val="Arial"/>
        <u/>
      </rPr>
      <t>Persona 5 Royal</t>
    </r>
    <r>
      <rPr>
        <rFont val="Arial"/>
      </rPr>
      <t>: October 21st via</t>
    </r>
    <r>
      <rPr>
        <rFont val="Arial"/>
        <color rgb="FF000000"/>
      </rPr>
      <t xml:space="preserve"> </t>
    </r>
    <r>
      <rPr>
        <rFont val="Arial"/>
        <color rgb="FF1155CC"/>
        <u/>
      </rPr>
      <t>https://news.xbox.com/en-us/2022/06/12/persona-series-coming-soon-to-xbox/</t>
    </r>
  </si>
  <si>
    <t>Updated
Immortality delayed</t>
  </si>
  <si>
    <t>"The Dungeon of Naheulbeuk: The Amulet of Chaos" is listed twice in the Master List</t>
  </si>
  <si>
    <t>Naraka Bladepoint is still listed in the upcoming section but it's already on game pass now</t>
  </si>
  <si>
    <t>This was always showing correctly, including yesterday</t>
  </si>
  <si>
    <t>Edgy</t>
  </si>
  <si>
    <t>Furi is mentioned as a game in PC gp but i cant find it anywhere and a quick google search suggests otherwise</t>
  </si>
  <si>
    <t>Back 4 Blood is leaving soon (74 days left)</t>
  </si>
  <si>
    <t>Did you get this form the microsoft store "leak?" It's not technically confirmed yet right?</t>
  </si>
  <si>
    <t>doucebrise</t>
  </si>
  <si>
    <r>
      <rPr>
        <rFont val="Arial"/>
        <color rgb="FF1155CC"/>
        <u/>
      </rPr>
      <t xml:space="preserve">signalis </t>
    </r>
    <r>
      <rPr>
        <rFont val="Arial"/>
        <color rgb="FF1155CC"/>
        <u/>
      </rPr>
      <t>(october 27th)</t>
    </r>
  </si>
  <si>
    <t>Okay, assuming there's not some kind of regional bullshit I'm unaware of, it looks like most of the third party games seem to have been removed from EA Play PC. This seems to include:
Capsized
Cryptark
Diluvion: Resubmerged
Dungeons of Dredmor: Complete
Epistory: Typing Chronicles
HIVESWAP: Act 1
Stealth Bastard Deluxe
Slay The Spire (No longer an EA Play title but still on Game Pass)
Worms W.M.D (ditto)
Moonlighter (thritto?)</t>
  </si>
  <si>
    <r>
      <rPr>
        <rFont val="Arial"/>
      </rPr>
      <t xml:space="preserve">Not listed: </t>
    </r>
    <r>
      <rPr>
        <rFont val="Arial"/>
        <color rgb="FF1155CC"/>
        <u/>
      </rPr>
      <t>Rebel Galaxy (EA Play PC)</t>
    </r>
  </si>
  <si>
    <r>
      <rPr>
        <rFont val="Arial"/>
      </rPr>
      <t xml:space="preserve">Not listed for PC: </t>
    </r>
    <r>
      <rPr>
        <rFont val="Arial"/>
        <color rgb="FF1155CC"/>
        <u/>
      </rPr>
      <t>Super Mega Baseball 3 (EA Play)</t>
    </r>
  </si>
  <si>
    <r>
      <rPr>
        <rFont val="Arial"/>
      </rPr>
      <t xml:space="preserve">Not listed: </t>
    </r>
    <r>
      <rPr>
        <rFont val="Arial"/>
        <color rgb="FF1155CC"/>
        <u/>
      </rPr>
      <t>Syndicate (1993) (EA Play PC)</t>
    </r>
  </si>
  <si>
    <r>
      <rPr>
        <rFont val="Arial"/>
      </rPr>
      <t xml:space="preserve">Not listed: </t>
    </r>
    <r>
      <rPr>
        <rFont val="Arial"/>
        <color rgb="FF1155CC"/>
        <u/>
      </rPr>
      <t>Ultima Underworld 1 (EA Play PC)</t>
    </r>
  </si>
  <si>
    <r>
      <rPr>
        <rFont val="Arial"/>
      </rPr>
      <t xml:space="preserve">Not listed: </t>
    </r>
    <r>
      <rPr>
        <rFont val="Arial"/>
        <color rgb="FF1155CC"/>
        <u/>
      </rPr>
      <t>Ultima Underworld 2 (EA Play PC)</t>
    </r>
  </si>
  <si>
    <r>
      <rPr>
        <rFont val="Arial"/>
      </rPr>
      <t xml:space="preserve">Upcoming Game Pass releases:
</t>
    </r>
    <r>
      <rPr>
        <rFont val="Arial"/>
        <u/>
      </rPr>
      <t>Moonscars</t>
    </r>
    <r>
      <rPr>
        <rFont val="Arial"/>
      </rPr>
      <t xml:space="preserve">: September 27th, </t>
    </r>
    <r>
      <rPr>
        <rFont val="Arial"/>
        <color rgb="FF1155CC"/>
        <u/>
      </rPr>
      <t xml:space="preserve">https://www.youtube.com/watch?v=2JQHg517Cz8
</t>
    </r>
    <r>
      <rPr>
        <rFont val="Arial"/>
        <u/>
      </rPr>
      <t>Train Sim World 3</t>
    </r>
    <r>
      <rPr>
        <rFont val="Arial"/>
      </rPr>
      <t xml:space="preserve">: September 6th, </t>
    </r>
    <r>
      <rPr>
        <rFont val="Arial"/>
        <color rgb="FF1155CC"/>
        <u/>
      </rPr>
      <t xml:space="preserve">https://news.xbox.com/en-us/2022/08/09/master-the-machine-with-train-sim-world-3-launching-september-6/
</t>
    </r>
    <r>
      <rPr>
        <rFont val="Arial"/>
        <u/>
      </rPr>
      <t>Beacon Pines</t>
    </r>
    <r>
      <rPr>
        <rFont val="Arial"/>
      </rPr>
      <t xml:space="preserve">: September 22nd, </t>
    </r>
    <r>
      <rPr>
        <rFont val="Arial"/>
        <color rgb="FF1155CC"/>
        <u/>
      </rPr>
      <t>https://twitter.com/BeaconPines/status/1560295461860347905</t>
    </r>
  </si>
  <si>
    <t>Geoffrey</t>
  </si>
  <si>
    <t>EA Play list:
- Games header should probably match the standard of "Game" like the rest of the lists
- Platform header has a typo, is currently "Platorm"</t>
  </si>
  <si>
    <t>High on Life releases on December 13th and will be Day One Gamepass
Slime Rancher 2 releases on September 22nd and will be Day One Gamepass</t>
  </si>
  <si>
    <t>I think we could clean up  / delete some old rows of this
table, old stuff you already implemented or answered to
make it clearer</t>
  </si>
  <si>
    <t>I like leaving it as a log for changes</t>
  </si>
  <si>
    <t>Tim</t>
  </si>
  <si>
    <t>Signs of the Sojourner is marked with xbox 360 in its note.</t>
  </si>
  <si>
    <t>That's fine, at some point someone from the community wanted to show the console each game launched on</t>
  </si>
  <si>
    <t>Microsoft Solitaire Collection is showing in the 'Likely Leaving' section. This seems unlikely as it's a first-party title. (see also: Crimson Skies, and possibly Blinx the Time Sweeper but who bloody knows with that one what with Artoon being super dead)</t>
  </si>
  <si>
    <r>
      <rPr>
        <rFont val="Arial"/>
      </rPr>
      <t xml:space="preserve">Tom Clancy's Rainbow Six Siege, Tom Clancy's Rainbow Six Extraction, Tetris Effect: Connected, Secret Neighbor, Realm Royale, Quake, Power Rangers: Battle for the Grid, Teenage Mutant Ninja Turtles: Shredder's Revenger, Among Us, Aragami 2, Black Desert, Bleeding Edge, Craftopia, Embr, For Honor, Halo Infinite, Killer Instinct (2013): Definitive Edition.MechWarrior 5: Mercenaries, Microsoft Flight Simulator, Minecraft Dungeons, MLB The Show 22, Monster Train, Mortal Kombat 11  they all have CROSSPLAY. https://1drv.ms/x/s!AqvH7IJ-eRvhhdlBrL0BG6M_ppq9PQ?e=AUxR18 </t>
    </r>
    <r>
      <rPr>
        <rFont val="Arial"/>
        <color rgb="FF1155CC"/>
        <u/>
      </rPr>
      <t>https://www.windowscentral.com/xbox-cross-play-games</t>
    </r>
  </si>
  <si>
    <t>Updated
Realm Royale is F2P</t>
  </si>
  <si>
    <t>Pentiment release date is November 15th (first party, day one gamepass)</t>
  </si>
  <si>
    <r>
      <rPr>
        <rFont val="Arial"/>
      </rPr>
      <t>Here's are the 76 EA Play games:
(from</t>
    </r>
    <r>
      <rPr>
        <rFont val="Arial"/>
        <color rgb="FF000000"/>
      </rPr>
      <t xml:space="preserve"> </t>
    </r>
    <r>
      <rPr>
        <rFont val="Arial"/>
        <color rgb="FF1155CC"/>
        <u/>
      </rPr>
      <t>https://www.pcgamingwiki.com/wiki/List_of_EA_Play_games)</t>
    </r>
    <r>
      <rPr>
        <rFont val="Arial"/>
      </rPr>
      <t xml:space="preserve">
Command &amp; Conquer 3: Tiberium Wars
Command &amp; Conquer 4: Tiberian Twilight
Command &amp; Conquer Remastered Collection
Command &amp; Conquer: Red Alert 2
Command &amp; Conquer: Red Alert 3
Command &amp; Conquer: Red Alert 3 - Uprising
Command &amp; Conquer: Renegade
Command &amp; Conquer: Tiberian Sun
FIFA 22
Syndicate
Battlefield 2042
GRID Legends
AO Tennis 2
Autonauts
Beholder 2
Biomutant
Breathedge
Command &amp; Conquer
Command &amp; Conquer: Generals
Command &amp; Conquer: Red Alert
Conan Chop Chop
Darkwood
Dead Cells
Dungeons 3
Endless Legend
Farmer's Dynasty
Fran Bow
Frostpunk
Ghost of a Tale
Gone Home
Halcyon 6: Lightspeed Edition
Hand of Fate
Hospital Tycoon
Hyper Light Drifter
Inside
Judgment
Kingdoms of Amalur: Re-Reckoning
Limbo
Mad Games Tycoon
Operation Flashpoint: Dragon Rising
Opus Magnum
Overlord (2007)
Overlord 2
Overlord: Fellowship of Evil
Project CARS
Project Highrise
Rise of the Argonauts
Shadow Tactics: Blades of the Shogun
Shenzhen I/O
Star Wars: Empire at War
Star Wars: Galactic Battlegrounds
Star Wars: Jedi Knight - Dark Forces 2
Star Wars: Jedi Knight - Jedi Academy
Star Wars: Jedi Knight 2 - Jedi Outcast
Star Wars: Knights of the Old Republic
Star Wars: Knights of the Old Republic 2 - The Sith Lords
Star Wars: Rebel Assault
Star Wars: Rebel Assault 2: The Hidden Empire
Star Wars: The Force Unleashed
Star Wars: The Force Unleashed 2
Star Wars: TIE Fighter
Star Wars: X-Wing
Star Wars: X-Wing vs. TIE Fighter
Sudden Strike 4
Super Mega Baseball 3
Sinking City
Solus Project
Surge
Surge 2
They Are Billions
Toybox Turbos
Trine 4: The Nightmare Prince
Turmoil
Two Point Hospital
Ultima Underworld 2: Labyrinth of Worlds
Ultima Underworld: The Stygian Abyss</t>
    </r>
  </si>
  <si>
    <t>This list is not correct</t>
  </si>
  <si>
    <r>
      <rPr>
        <rFont val="Arial"/>
        <color rgb="FF1155CC"/>
        <u/>
      </rPr>
      <t>https://www.gematsu.com/2022/08/ghost-song-launches-november-3-for-ps5-xbox-series-ps4-xbox-one-switch-and-pc</t>
    </r>
    <r>
      <rPr>
        <rFont val="Arial"/>
        <color rgb="FF000000"/>
        <u/>
      </rPr>
      <t xml:space="preserve"> Ghost Song, Day one Gamepass, November 3rd</t>
    </r>
  </si>
  <si>
    <t>AminZzZ</t>
  </si>
  <si>
    <r>
      <rPr>
        <rFont val="Arial"/>
      </rPr>
      <t xml:space="preserve">Metal: Hellsinger is NOT an Xbox exclusive </t>
    </r>
    <r>
      <rPr>
        <rFont val="Arial"/>
        <color rgb="FF1155CC"/>
        <u/>
      </rPr>
      <t>https://www.playstation.com/en-gb/games/metal-hellsinger/</t>
    </r>
    <r>
      <rPr>
        <rFont val="Arial"/>
      </rPr>
      <t xml:space="preserve"> - </t>
    </r>
    <r>
      <rPr>
        <rFont val="Arial"/>
      </rPr>
      <t>I9 cell is empty</t>
    </r>
  </si>
  <si>
    <t>The header for the exclusive column is not for that, uit is xbox one and/or xbox series x|s</t>
  </si>
  <si>
    <r>
      <rPr>
        <rFont val="Arial"/>
        <color rgb="FF071924"/>
        <u/>
      </rPr>
      <t xml:space="preserve">https://news.xbox.com/en-us/2022/09/07/gungrave-gore-launching-day-one-with-game-pass/
</t>
    </r>
    <r>
      <rPr>
        <rFont val="Arial"/>
        <color rgb="FF000000"/>
        <u/>
      </rPr>
      <t>Also it'd be really nice if you could remove (or somehow shrink) that giant list of EA Play games above from this sheet, as it makes it hard to navigate the suggestions</t>
    </r>
  </si>
  <si>
    <t>Added
Done</t>
  </si>
  <si>
    <t>"Turbo Golf Racing" should be titled "Turbo Golf Racing (Game Preview)"</t>
  </si>
  <si>
    <t>The Age cell for Ghost Song seems to be missing</t>
  </si>
  <si>
    <t>add languages</t>
  </si>
  <si>
    <t>That is too manual</t>
  </si>
  <si>
    <t>A Plague Tale: Requiem and S.T.A.L.K.E.R. 2: Heart of Chornobyl are Xbox series X|S exclusives
(will not be released on Xbox one)</t>
  </si>
  <si>
    <r>
      <rPr>
        <rFont val="Arial"/>
      </rPr>
      <t xml:space="preserve">Deathloop will be on gamepass on 9/20 Xbox series X|S exclusive </t>
    </r>
    <r>
      <rPr>
        <rFont val="Arial"/>
        <color rgb="FF1155CC"/>
        <u/>
      </rPr>
      <t>https://www.theverge.com/2022/9/15/23352606/deathloop-xbox-series-x-s-release-date-ps5-microsoft</t>
    </r>
  </si>
  <si>
    <r>
      <rPr>
        <rFont val="Arial"/>
      </rPr>
      <t xml:space="preserve">Upcoming Gamepass Releases: </t>
    </r>
    <r>
      <rPr>
        <rFont val="Arial"/>
        <color rgb="FF1155CC"/>
        <u/>
      </rPr>
      <t xml:space="preserve">
</t>
    </r>
    <r>
      <rPr>
        <rFont val="Arial"/>
        <u/>
      </rPr>
      <t>Coral Island</t>
    </r>
    <r>
      <rPr>
        <rFont val="Arial"/>
      </rPr>
      <t xml:space="preserve">: October 11th, </t>
    </r>
    <r>
      <rPr>
        <rFont val="Arial"/>
        <color rgb="FF1155CC"/>
        <u/>
      </rPr>
      <t xml:space="preserve">https://www.pcgamesn.com/coral-island/pc-game-pass-humble
</t>
    </r>
    <r>
      <rPr>
        <rFont val="Arial"/>
        <u/>
      </rPr>
      <t>Phantom Abyss</t>
    </r>
    <r>
      <rPr>
        <rFont val="Arial"/>
      </rPr>
      <t xml:space="preserve">: October 20th, </t>
    </r>
    <r>
      <rPr>
        <rFont val="Arial"/>
        <color rgb="FF1155CC"/>
        <u/>
      </rPr>
      <t>https://twitter.com/devolverdigital/status/1579849304746754048</t>
    </r>
    <r>
      <rPr>
        <rFont val="Arial"/>
      </rPr>
      <t xml:space="preserve">
</t>
    </r>
    <r>
      <rPr>
        <rFont val="Arial"/>
        <u/>
      </rPr>
      <t>Gunfire Reborn</t>
    </r>
    <r>
      <rPr>
        <rFont val="Arial"/>
      </rPr>
      <t>: October 27th,</t>
    </r>
    <r>
      <rPr>
        <rFont val="Arial"/>
        <color rgb="FF071924"/>
      </rPr>
      <t xml:space="preserve"> </t>
    </r>
    <r>
      <rPr>
        <rFont val="Arial"/>
        <color rgb="FF1155CC"/>
        <u/>
      </rPr>
      <t xml:space="preserve">https://twitter.com/505_Games/status/1570774627500048384
</t>
    </r>
    <r>
      <rPr>
        <rFont val="Arial"/>
        <u/>
      </rPr>
      <t>The Legend of Tianding</t>
    </r>
    <r>
      <rPr>
        <rFont val="Arial"/>
      </rPr>
      <t>: October 31st,</t>
    </r>
    <r>
      <rPr>
        <rFont val="Arial"/>
        <color rgb="FF071924"/>
      </rPr>
      <t xml:space="preserve"> </t>
    </r>
    <r>
      <rPr>
        <rFont val="Arial"/>
        <color rgb="FF1155CC"/>
        <u/>
      </rPr>
      <t>https://www.gematsu.com/2022/10/the-legend-of-tianding-for-ps5-xbox-series-ps4-and-xbox-one-launches-october-31-alongside-free-boss-rush-update</t>
    </r>
  </si>
  <si>
    <t>Updated, thank you for being amazing and providing links!!!</t>
  </si>
  <si>
    <r>
      <rPr>
        <rFont val="Arial"/>
      </rPr>
      <t xml:space="preserve">Slime Rancher leaving September 30th </t>
    </r>
    <r>
      <rPr>
        <rFont val="Arial"/>
        <color rgb="FF1155CC"/>
        <u/>
      </rPr>
      <t>https://www.trueachievements.com/n51131/xbox-game-pass-leaving-soon</t>
    </r>
  </si>
  <si>
    <t>Football Managager 2023 is misspelled</t>
  </si>
  <si>
    <r>
      <rPr>
        <rFont val="Arial"/>
      </rPr>
      <t xml:space="preserve">Despot's Game delayed to September 29th: </t>
    </r>
    <r>
      <rPr>
        <rFont val="Arial"/>
        <color rgb="FF1155CC"/>
        <u/>
      </rPr>
      <t>https://twitter.com/Despotism_3k/status/1569710108715765760</t>
    </r>
  </si>
  <si>
    <t>Danganronpa 3 is grossly misgenred. If you aren't going to manually change listed genres, I don't blame you</t>
  </si>
  <si>
    <t>Sorry I straight copy, paste from Giantbomb, if you want to tell me what it should be updated to, I would be happy to make the edits</t>
  </si>
  <si>
    <t>Kreeeee</t>
  </si>
  <si>
    <t>Leaving end of September 2022:
    AI: The Somnium Files
    Astria Ascending
    Dandy Ace
    Going Under
    Lemnis Gate
    Slime Rancher
    Subnautica: Below Zero
    The Procession to Calvary
    Unsighted
    Visage</t>
  </si>
  <si>
    <t>Laleth</t>
  </si>
  <si>
    <t>Despite being annonced leaving for the 15th of September, Aragami 2 is still present on the GP as of today (26/09) and I can play it on xCloud: maybe note it as Not Removed?</t>
  </si>
  <si>
    <t>Costume Quest is Xbox Game Studios from Double Fine</t>
  </si>
  <si>
    <t>Coral Island and Dyson Sphere Program are Game Previews</t>
  </si>
  <si>
    <t>Courtney</t>
  </si>
  <si>
    <t>Epic Mickey: The Power of Two is on the list twice as two titles - Disney Epic Mickey 2: The Power of Two &amp; Epic Mickey 2: The Power of Two</t>
  </si>
  <si>
    <t>Atomic Heart is day one Gamepass on February 21, 2023 (https://www.thegamer.com/atomic-heart-launches-february-21/)</t>
  </si>
  <si>
    <t>Wo Long should switch places with Persona 3 to be in order by date</t>
  </si>
  <si>
    <t xml:space="preserve">Return to Monkey Island is Series S/X exclusive (as in, only available to play on Xbox One via Cloud) </t>
  </si>
  <si>
    <t>Need to add subnautica to leaving soon and remove from likely leaving</t>
  </si>
  <si>
    <t>Lapin is a Game Preview</t>
  </si>
  <si>
    <t>CS Student</t>
  </si>
  <si>
    <t>I'm a student in comp sci, and therefore understand working on projects that are for passion, not reward. However, I'm sure there are at least a few others who would voluntarily donate either funds or time (here) or both. Do you have an option or plan on doing so? Totally understandable if not/too complicated. Thank you so very much for this either way! MS should be paying you!</t>
  </si>
  <si>
    <t>I would love to, I haven't had anyone offer help besides making suggestions and the help of adding retail prices for games whose names exactly match MS's store and I haven't figured a way for this to work for all</t>
  </si>
  <si>
    <t>Is there a bitly or linktree or QR code for this sheet? (the latter can usually be made by a browser in incognito mode so not to accidentally add editors)</t>
  </si>
  <si>
    <t>No, I'm not even too sure how to do this</t>
  </si>
  <si>
    <r>
      <rPr>
        <rFont val="Arial"/>
        <color theme="1"/>
      </rPr>
      <t xml:space="preserve">I believe there is a way to lock/backup this tab/sheet while </t>
    </r>
    <r>
      <rPr>
        <rFont val="Arial"/>
        <i/>
        <color theme="1"/>
      </rPr>
      <t xml:space="preserve">also still </t>
    </r>
    <r>
      <rPr>
        <rFont val="Arial"/>
        <color theme="1"/>
      </rPr>
      <t>allowing editing by anon users. I notice it allows someone to "delete" accidentally the entire sheet.</t>
    </r>
  </si>
  <si>
    <t>Can you please make a share request and provide your email so we can talk about this in an email?</t>
  </si>
  <si>
    <t>Miggi</t>
  </si>
  <si>
    <t>It would be nice to have a tab for Ubisoft games on Game Pass</t>
  </si>
  <si>
    <t>Just filter Owner Notes for Ubisoft Connect launcher</t>
  </si>
  <si>
    <t>Hioki</t>
  </si>
  <si>
    <t>ive noticed that silksong is not in upcoming</t>
  </si>
  <si>
    <t>are games in likely living tab added 12n±1 months ago?</t>
  </si>
  <si>
    <t>You can see the formula in A3 -1 &lt; x &lt; 1 around each year increment</t>
  </si>
  <si>
    <t>Maybe this is already known but Starfield was definitley confirmed for Game Pass in the Game awards.</t>
  </si>
  <si>
    <t>It's in upcoming, just shifted from the main sheet due to the delays</t>
  </si>
  <si>
    <t>gadelat</t>
  </si>
  <si>
    <t>Prodeus, Tainted Grail: Conquest are listed here as PC only, but store says it's Xbox / PC</t>
  </si>
  <si>
    <t>It doesn't look like Crysis: Remastered is part of game pass</t>
  </si>
  <si>
    <t>You need to use the EA Play app, not the Xbox app</t>
  </si>
  <si>
    <t>fuga melodies of steel, ni no kuni remastered, super mega baseball 3, are all on pc game pass, says only xbox, also shows syndicate 1993 and ultima underworld as available on pc gamepass but i cant find them</t>
  </si>
  <si>
    <t>Updated
You need to use the EA Play app, not the Xbox app</t>
  </si>
  <si>
    <r>
      <rPr>
        <rFont val="Arial"/>
      </rPr>
      <t xml:space="preserve">Elder scrolls online xcloud reinstated after removal in February 2022 (see b232) </t>
    </r>
    <r>
      <rPr>
        <rFont val="Arial"/>
        <color rgb="FF1155CC"/>
        <u/>
      </rPr>
      <t>https://www.trueachievements.com/n52349/xbox-cloud-gaming-the-elder-scrolls-online-game-pass-ultimate</t>
    </r>
  </si>
  <si>
    <t>RDS</t>
  </si>
  <si>
    <t>PEGI rating columns in the same format as ESRB in the main sheet?</t>
  </si>
  <si>
    <t>Too much clutter, there is already a lot of rating information</t>
  </si>
  <si>
    <t>runner</t>
  </si>
  <si>
    <t>ark is on game pass "perpetually" and ark 2 will be "at least three years" according to the devs - i would say ark is no longer "likely to be removed"</t>
  </si>
  <si>
    <t>I agree but that formula should not be changed for 1 exception that will go away automatically</t>
  </si>
  <si>
    <t>keyduq</t>
  </si>
  <si>
    <t>Dead Space has a wrong release date, it should be October 2008</t>
  </si>
  <si>
    <t>Medieval Dynasty seems to be duplicated since there is another one called Medieval Dynasty (Game Preview), I think the game is not in preview anymore.</t>
  </si>
  <si>
    <t>hioki</t>
  </si>
  <si>
    <t>xgs tab. e136 should be on e139 as of 1 feb 2023</t>
  </si>
  <si>
    <t>Removed the notes entirely</t>
  </si>
  <si>
    <t>KaykyEleuOreo</t>
  </si>
  <si>
    <t xml:space="preserve">Fuga Melodies of steel sequel is confirmed to come to gamepass, source: https://www.gematsu.com/2023/01/fuga-melodies-of-steel-2-launches-may-11 </t>
  </si>
  <si>
    <t>BeegTank</t>
  </si>
  <si>
    <t>Alien: Isolation is also leaving gamepass on 1st of March</t>
  </si>
  <si>
    <t>Age of empires 2:DE supports crossplay Xbox/PC</t>
  </si>
  <si>
    <t>uglygod</t>
  </si>
  <si>
    <t>why does everything clear out when I try to sort by Metacritic score on the "Removed" tab? It works for all the other tabs except "Removed". It looks like it hides the rows for some reason. idk maybe I'm an idiot with google sheets.</t>
  </si>
  <si>
    <t>Sorry no idea, can't help you here</t>
  </si>
  <si>
    <t xml:space="preserve">Clustertruck, Power Rangers, Kraken Academy, A Memoir Blue, Chinatown Detective Agency, Double Dragon Neon, MLB The Show 22 are leaving on April 1st </t>
  </si>
  <si>
    <t>Consider making the default sort Metascore on each tab. This is a really common request and you can see everyone trying to sort the tabs be Metacritic score all the time.</t>
  </si>
  <si>
    <t>I have it for the platform specific ones but I wnat the other tabs to go by when they were added</t>
  </si>
  <si>
    <t xml:space="preserve">Dragon age Inquisition seems to be missing from gamepass </t>
  </si>
  <si>
    <t>It's there</t>
  </si>
  <si>
    <t>vikingdog</t>
  </si>
  <si>
    <t>You could add which console it was originally released on, I know the official library has a classics but it would be nice to see the break down compared to new games. unless there is already something for that which I haven't been able to find. great work by the way!</t>
  </si>
  <si>
    <t>Some people have kind of added that in the past in the community notes but the best way to go by that is to just look at the release date/age</t>
  </si>
  <si>
    <t>AW</t>
  </si>
  <si>
    <t>add to crossplay: 
Anvil: Vault Breaker (Game Preview), Chivalry 2, Escape Academy, Gang Beasts, Gunfire Reborn, Human Fall Flat, Monster Hunter Rise, Naraka: Bladepoint, PowerWash Simulator, Sniper Elite 5, Star Wars: Squadrons, Valheim (Game Preview), Wo Long: Fallen Dynasty</t>
  </si>
  <si>
    <t>Updated, thank you so much for this!</t>
  </si>
  <si>
    <t>upcoming tab is outdated. inkluminati and mc legend were launched</t>
  </si>
  <si>
    <t>Haibohne</t>
  </si>
  <si>
    <t>Prodeus is available on xcloud</t>
  </si>
  <si>
    <t xml:space="preserve">CreeperChief </t>
  </si>
  <si>
    <t>Dordogne coming to Game Pass on June 13th. Also Hypnospace Outlaw coming to Game Pass in June 6th. Also a suggestion of adding Game Preview tab for games in Early Access (Game Preview)</t>
  </si>
  <si>
    <t>I'm not so sure adding a game preview tab would be helpful as games could be lacking in features and polish</t>
  </si>
  <si>
    <t>Farworld Pioneers has the incorrect date in the "Added" tab (Should be May 30th)</t>
  </si>
  <si>
    <t>the title of "Teenage Mutant Ninja Turtles: Shredder's Revenge" is misspelled (there's an extra r at the end)</t>
  </si>
  <si>
    <t>Leaving soon:
Omori
Olija
Road 96
Matchpoint - Tennis Championships
DJMAX RESPECT V
Empire of Sin</t>
  </si>
  <si>
    <t>B</t>
  </si>
  <si>
    <t>I started the poor attempt at the Multiplayer tab think it could be super useful to many players. I see now that others have mentioned this in this thread and it is too much work as there are no offical docs to scrape this info from. Perhaps I can organize some people to go through and test the library, or maybe see if co-optimus has an API</t>
  </si>
  <si>
    <t>That would be great, thank you!</t>
  </si>
  <si>
    <t>Inside is not likely leaving as it's been added to the Game Pass Core games list.</t>
  </si>
  <si>
    <t>In crossplay list but removed: The Ascent</t>
  </si>
  <si>
    <t>I don't update that list with removed games, it drives the colors for the main sheet</t>
  </si>
  <si>
    <t>Age of Empires IV is available on Xbox/PC now</t>
  </si>
  <si>
    <t>As Dusk Falls is published by Xbox game studios</t>
  </si>
  <si>
    <t>Sed</t>
  </si>
  <si>
    <t>Most games are hidden in the Master List, I think the filter for Game Pass Core is applied on it?</t>
  </si>
  <si>
    <t>Cocoon is Day One gamepass, releases September 29th</t>
  </si>
  <si>
    <r>
      <rPr>
        <rFont val="Arial"/>
        <color theme="1"/>
      </rPr>
      <t>Headbangers: Rhythm Royal should be
Headbangers: Rhythm Royal</t>
    </r>
    <r>
      <rPr>
        <rFont val="Arial"/>
        <i/>
        <color theme="1"/>
      </rPr>
      <t>e</t>
    </r>
  </si>
  <si>
    <t>test</t>
  </si>
  <si>
    <t>add How Long to Beat info if possible</t>
  </si>
  <si>
    <t>It is, it's the base game completion time</t>
  </si>
  <si>
    <t>J. Safir</t>
  </si>
  <si>
    <t>Is there a reason why certain old games are missing from the likely leaving tab? I noticed Coffee Talk, Cooking Simulator, Offworld Trading Company, the yakuza games, etc.</t>
  </si>
  <si>
    <t>The function is based on if a game is 1.5 months away from hitting yearly increments or 1 month over, if it is not in that range it won't be flagged</t>
  </si>
  <si>
    <t>Dunedain</t>
  </si>
  <si>
    <t>add to crossplay: Broforce, Minecraft Legends, Railway Empire 2, Redfall, Turbo Golf Racing, Techtonica, Payday 3, Party Animals</t>
  </si>
  <si>
    <t>Added, thanks I need people to tell me this as I don't check lists for this</t>
  </si>
  <si>
    <t>crossplay tab: spelling error - Teenage Mutant Ninja Turtles: Shredder's Revenge (says "Revenger" on tab)</t>
  </si>
  <si>
    <t>Hassan</t>
  </si>
  <si>
    <t>Starfield Metacritic Rating is 84, not 87</t>
  </si>
  <si>
    <t>s2</t>
  </si>
  <si>
    <t>leaving soon:
Eville
Overwhelm
Shenzen I/O
The Legend of Tianding
Trek to Yomi
Turnip Boy Commits Tax Evasion</t>
  </si>
  <si>
    <t>erick xbLiV</t>
  </si>
  <si>
    <t xml:space="preserve">Speaking of multiplayer, could we get another column for combo coop games? (Local + online) </t>
  </si>
  <si>
    <t>This is too much info for me to do on my own</t>
  </si>
  <si>
    <t xml:space="preserve">MozartDaniel </t>
  </si>
  <si>
    <t>Could it be possible to add a Publisher column? I'd like to try to decipher some publishers and how long do they tend to have their games on Game Pass.</t>
  </si>
  <si>
    <t>This is too much info for me to do on my own. Some poeple tend to enter info in the community notes column for this or used to</t>
  </si>
  <si>
    <t>Like a Dragon: Ishin! should be removed from "upcoming" tab as it is already availabe on Gamepass</t>
  </si>
  <si>
    <t>This is done automiatically and will not update if you are in a different timezone (the matter of so many hours)</t>
  </si>
  <si>
    <t>nadsAE</t>
  </si>
  <si>
    <r>
      <rPr>
        <rFont val="Arial"/>
      </rPr>
      <t xml:space="preserve">Add column for Geforcne Now compatibility games since more and more PC GP games can be accessed through them. Blogpost updates new additions every thursday Eg: </t>
    </r>
    <r>
      <rPr>
        <rFont val="Arial"/>
        <color rgb="FF1155CC"/>
        <u/>
      </rPr>
      <t>https://blogs.nvidia.com/blog/2023/08/24/geforce-now-thursday-aug-24/</t>
    </r>
  </si>
  <si>
    <t>crossplay:
add: Headbangers: Rhythm Royale, Gotham Knights, Texas Chainsaw Massacre, Warhammer 40,000: Darktide
remove: Tom Clancy's Rainbow Six: Extraction, Broforce</t>
  </si>
  <si>
    <t>Updated, you can manually enter these on the bottom of the crossplay tab (just make sure the nemaes exactly match how they are on the master list)</t>
  </si>
  <si>
    <t>OmniscientCajun</t>
  </si>
  <si>
    <t>Leaving Soon (12/31/23):
Grand Theft Auto V
Monster Train
Naraka: Bladepoint - Deluxe Edition</t>
  </si>
  <si>
    <t>Added (~12/13/23?):
Pillars of Eternity: Deluxe Edition (PC only)</t>
  </si>
  <si>
    <t>shazbot131</t>
  </si>
  <si>
    <t>Could you add a colum that tells us how many online coop players you can have.  always looking for LAN party games for 5-8 people</t>
  </si>
  <si>
    <t>tman</t>
  </si>
  <si>
    <r>
      <rPr>
        <rFont val="Arial"/>
      </rPr>
      <t xml:space="preserve">Roboquest left early access preview and v1.0 released in 11/2023.  Not sure how it affects likely leaving but good to add as details: </t>
    </r>
    <r>
      <rPr>
        <rFont val="Arial"/>
        <color rgb="FF1155CC"/>
        <u/>
      </rPr>
      <t>https://gamerant.com/xbox-game-pass-leaves-early-access-full-release/</t>
    </r>
  </si>
  <si>
    <t>noname</t>
  </si>
  <si>
    <t>Thanks for this useful spreadsheet
suggested edits:
Close to the Sun    System      Xbox / PC
Yakuza i    Game        Yakuza Kiwami
Series X exclusives:
Microsoft Flight Simulator (2020): Game of the Year Edition
This War of Mine: Final Cut</t>
  </si>
  <si>
    <t>drops</t>
  </si>
  <si>
    <t xml:space="preserve">1-"Massice Chalise" and "The Cave"  they have to be in yellow
2-"Ninja Gaiden II" should not be yellow
3-"Iron Brigade" was added on April 6, 2023 XBOX/CLOUD
4-"Minecraft Preview" available XBOX/PC
5-"Conan Chop Chop" it's on EA Play PC
6-"NBA Live 16"  was removed on October 19, 2020
7-"NHL 17"  was removed on October 13, 2020
8-"Tainted Grail: Conquest"  was removed on September 15, 2023
9-"Rocket Arena" was removed on November 14, 2023
10-Halo 2: Anniversary, Halo 3, Halo 3: ODST, Halo 4, Halo: Combat Evolved - Anniversary, Halo: Reach, Close to the Sun
and Rise of the Tomb Raider also available on Xbox
11-Cricket 22, Everspace 2, Mutant Year Zero: Road to Eden, Opus Magnum, Stacking and Tainted Grail: Conquest is duplicated
</t>
  </si>
  <si>
    <t>Updated
Thank you so so much, comments like these are absolutely amazing and ifnormative in order to keep this list perfect
I don't see Conan Chop Chop on the EA Play list, was that a limited run?</t>
  </si>
  <si>
    <t>ThoughtfulHedon</t>
  </si>
  <si>
    <t xml:space="preserve"> If we could add GeForce Now availability as another metric that'd be great, having a hard time finding a list over what's available on PCGP/GFN. Happy to help how I can</t>
  </si>
  <si>
    <t>If you can get me a full list and have the names correspond to what is in my sheet, I'll add a column, but then someone wold have to detail whenever they add new items too</t>
  </si>
  <si>
    <t>Bluebell</t>
  </si>
  <si>
    <t>Metacritic score for INFINITE GUITARS seems to be wrong. Says 85, should be 62.</t>
  </si>
  <si>
    <t>vbrison</t>
  </si>
  <si>
    <t>Age of Mythology: Retold confirmed to be coming out in 2024, should be updated on the upcoming tab.</t>
  </si>
  <si>
    <t>Updated, removed from teh upcoming tab and added to the master list</t>
  </si>
  <si>
    <r>
      <rPr>
        <rFont val="Arial"/>
        <color theme="1"/>
      </rPr>
      <t xml:space="preserve">A question, really: sometimes a game isn't listed as Play Anywhere </t>
    </r>
    <r>
      <rPr>
        <rFont val="Arial"/>
        <i/>
        <color theme="1"/>
      </rPr>
      <t>anywhere</t>
    </r>
    <r>
      <rPr>
        <rFont val="Arial"/>
        <color theme="1"/>
      </rPr>
      <t>, but it still allows for cross save (e.g. Soul Hackers 2). Are you putting those games on the Play Anywhere column? If not, how about adding a cross save column because for GP users that might be useful, knowing they can play a game on PC/console/cloud and the progress carries over between each platform.</t>
    </r>
  </si>
  <si>
    <t>Is there a list of these? I tried making a community section that people could edit but no one does</t>
  </si>
  <si>
    <t>"Control: ultimate edition" can be tagged as "returning title" since the standard edition was removed from gamepass about 2 yeas ago</t>
  </si>
  <si>
    <r>
      <rPr>
        <rFont val="Arial"/>
      </rPr>
      <t xml:space="preserve">Check the latest news report about game pass, Ni no kuni is no longer leaving: </t>
    </r>
    <r>
      <rPr>
        <rFont val="Arial"/>
        <color rgb="FF1155CC"/>
        <u/>
      </rPr>
      <t>https://news.xbox.com/en-us/2024/03/05/xbox-game-pass-new-for-march-2024/</t>
    </r>
  </si>
  <si>
    <t>Populous: The Beginning isn't present in EA Play</t>
  </si>
  <si>
    <t>Yes it is, check the EA Play app</t>
  </si>
  <si>
    <t>Just checked and The Quarry is not on game pass PC</t>
  </si>
  <si>
    <t>why is the layout of this page destroyed? On the edit history, you can see on May 14 someone deleted every cell in here I assume as a "prank" damn. I restored it, but somebody deleted again...mhh</t>
  </si>
  <si>
    <t>Fixed and locked</t>
  </si>
  <si>
    <t>Randy</t>
  </si>
  <si>
    <t>A bunch of #N/A errors in the upcoming tab. Not sure what exactly you were doing there of i would offfer a repair formula. Thanks for the work youre doing here</t>
  </si>
  <si>
    <t>This is on purpose to make sure I remove the games from the upcoming tab when they are on the master list</t>
  </si>
  <si>
    <t>Recster</t>
  </si>
  <si>
    <t>Since we have lists for Playstation Plus and Game Pass, why not create one for Ubisoft+?  That list is rather large, and may be starting to update more frequently.
(edit: at least a year hence, and no response.  why?)</t>
  </si>
  <si>
    <t>cdncowboy</t>
  </si>
  <si>
    <t>tab for game pass standard</t>
  </si>
  <si>
    <t>Zilvor Wolf</t>
  </si>
  <si>
    <t>Game Pass Core tab needing a little update as to extend the table</t>
  </si>
  <si>
    <t>I keep adding tabs, i don't see how helpful it is to keep adding in the last columns</t>
  </si>
  <si>
    <t>Danny</t>
  </si>
  <si>
    <t xml:space="preserve">Thanks for the work - I reference both your Xbox and PS sheets and reference errors come up with different naming conventions from official names. E.g., "Red Dead Redemption II" vs. "Red Dead Redemption 2", "Horizon: Forbidden West" vs. "Horizon Forbidden West", what's the best way to send you these suggested naming updates? </t>
  </si>
  <si>
    <t>Just adding them to the suggestions tab is best</t>
  </si>
  <si>
    <t>BornFey</t>
  </si>
  <si>
    <t>Starfield isnt included in Game Pass Standard, it should be removed</t>
  </si>
  <si>
    <t>Dannywq</t>
  </si>
  <si>
    <t>XGP / PS Plus Name Fixes
PS Plus
"Horizon Forbidden West" without : 
All "Assassin's Creed" titles without :
Game Pass
"Red Dead Redemption II" instead of 2 
All "Assassin's Creed" titles without :</t>
  </si>
  <si>
    <t>C-RAD</t>
  </si>
  <si>
    <t>please add thin colomn left of xcloud on master lst tab OR NEW TAB to show games playable on GEFORCENOW   ...  OR I can pay for a GEFORCENOW MASTER LIST WITH ONLY MINIMAL IMPORTANT INFOS. 5 COLUMNS : GAME NAME,STATUS,ADEED,REMOVED, FREE-2-PLAY</t>
  </si>
  <si>
    <t>Some corrections to be made
SteamWorld Dig 2 and Darkest Dungeon are duplicated
Ashen is also available on Pc
Valorant is also available on Xbox
Goat Simulator available on Xbox
Genshin Impact available on Xbox</t>
  </si>
  <si>
    <t>Willox</t>
  </si>
  <si>
    <t>Likely Leaving has disappeared and an empty Sheet581 appeared</t>
  </si>
  <si>
    <t>Walking Dead games not on PC Game Pass</t>
  </si>
  <si>
    <t>JLWavock</t>
  </si>
  <si>
    <t>Spyro Reignited Trilogy is on xCloud</t>
  </si>
  <si>
    <t>Are you sure? I don't see that</t>
  </si>
  <si>
    <t>Sid77</t>
  </si>
  <si>
    <t>First, congrats to this great work. What is the basic knowledge behind the "Likely Leaving" list? I understand that at least it must be related to the amount of months since it was added, but again we have titles added 50+, 60+ months ago and not listed as Likely Leaving. What else is considered to make this list?</t>
  </si>
  <si>
    <t>1.5 months on the service approaching yearly increments and 1 month after. This excludes EA play, first party titles, and Core titles</t>
  </si>
  <si>
    <t>A column grouping was added to the master list that makes columns B thru G unviewable, which are the most important columns.  The grouping is a protected item so it can't be opened by users. Can this be fixed?</t>
  </si>
  <si>
    <t>Sorry I collapse them for ease of adding in new lines and sometimes forget to out it back</t>
  </si>
  <si>
    <t>stan</t>
  </si>
  <si>
    <t>Have been removed
Madden NFL 23
NHL 23
The Last Case of Benedict Fox</t>
  </si>
  <si>
    <t>macael</t>
  </si>
  <si>
    <t>A column or filter to view games included in new Tiers (essential, premium, ultimate) to compare catalog included.</t>
  </si>
  <si>
    <t>Somebody</t>
  </si>
  <si>
    <t>Why is Hogwarts Legacy not included on the Master List?  Ultimate and Premium</t>
  </si>
  <si>
    <t>Crossplay Game</t>
  </si>
  <si>
    <t>Xbox Play Anywhere Game</t>
  </si>
  <si>
    <t>ARK: Survival Evolved</t>
  </si>
  <si>
    <t>Astroneer</t>
  </si>
  <si>
    <t>Gears 5: Ultimate Edition</t>
  </si>
  <si>
    <t>Grounded (Game Preview)</t>
  </si>
  <si>
    <t>World War Z</t>
  </si>
  <si>
    <t>Killer Instinct</t>
  </si>
  <si>
    <t>Killer Instinct: Definitive Edition</t>
  </si>
  <si>
    <t>Killer Instinct (2013): Definitive Edition</t>
  </si>
  <si>
    <t>MARVEL VS. CAPCOM: INFINITE</t>
  </si>
  <si>
    <t>Minecraft Dungeons</t>
  </si>
  <si>
    <t>Anvil: Vault Breaker (Game Preview)</t>
  </si>
  <si>
    <t>Chivalry 2</t>
  </si>
  <si>
    <t>Human Fall Flat</t>
  </si>
  <si>
    <t>Monster Hunter Rise</t>
  </si>
  <si>
    <t>Naraka: Bladepoint</t>
  </si>
  <si>
    <t>Ruiner</t>
  </si>
  <si>
    <t>Star Wars: Squadrons</t>
  </si>
  <si>
    <t>Minecraft Legends</t>
  </si>
  <si>
    <t>Turbo Golf Racing</t>
  </si>
  <si>
    <t>Techtonica</t>
  </si>
  <si>
    <t>Payday 3</t>
  </si>
  <si>
    <t>Totally Accurate Battle Simulator (Game Preview)</t>
  </si>
  <si>
    <t>Omno</t>
  </si>
  <si>
    <t>Microsoft Flight Simulator</t>
  </si>
  <si>
    <t>Community</t>
  </si>
  <si>
    <t>Additions</t>
  </si>
  <si>
    <t>Must match</t>
  </si>
  <si>
    <t>Neverwinter Nights: Enhanced Edition</t>
  </si>
  <si>
    <t>name on</t>
  </si>
  <si>
    <t>master list</t>
  </si>
  <si>
    <t>exactly, so</t>
  </si>
  <si>
    <r>
      <rPr>
        <rFont val="&quot;Google Sans&quot;, Roboto, sans-serif"/>
        <color rgb="FF1F1F1F"/>
        <sz val="9.0"/>
      </rPr>
      <t>Diablo IV</t>
    </r>
  </si>
  <si>
    <t>just copy</t>
  </si>
  <si>
    <t>As dusk falls</t>
  </si>
  <si>
    <t>and paste</t>
  </si>
  <si>
    <t>from there</t>
  </si>
  <si>
    <t>For the king 2</t>
  </si>
  <si>
    <t>Mortal kombat 1</t>
  </si>
  <si>
    <t>GP Date</t>
  </si>
  <si>
    <t>Ereban: Shadow Legacy</t>
  </si>
  <si>
    <t>2023 H1</t>
  </si>
  <si>
    <t>REPLACED</t>
  </si>
  <si>
    <t>Bounty Star: The Morose Tale of Graveyard Clem</t>
  </si>
  <si>
    <t>Bushiden</t>
  </si>
  <si>
    <t>Vapor World: Over the Mind</t>
  </si>
  <si>
    <t>33 Immortals</t>
  </si>
  <si>
    <t>ARK 2</t>
  </si>
  <si>
    <t>Dead Static Drive</t>
  </si>
  <si>
    <t>Sleight of Hand</t>
  </si>
  <si>
    <t>Mixtape</t>
  </si>
  <si>
    <t>2025 Summer</t>
  </si>
  <si>
    <t>Moonlighter 2: The Endless Vault</t>
  </si>
  <si>
    <t>Fable (2026)</t>
  </si>
  <si>
    <t>Clockwork Revolution</t>
  </si>
  <si>
    <t>Ragesquid</t>
  </si>
  <si>
    <t>Witchbrook</t>
  </si>
  <si>
    <t>Contraband</t>
  </si>
  <si>
    <t>TBC</t>
  </si>
  <si>
    <t>Everwild</t>
  </si>
  <si>
    <t>Exomecha</t>
  </si>
  <si>
    <t>Gears of War: E-Day</t>
  </si>
  <si>
    <t>Harmonium: The Musical</t>
  </si>
  <si>
    <t>Path of the Goddess</t>
  </si>
  <si>
    <t>Perfect Dark (Reboot)</t>
  </si>
  <si>
    <t>Pigeon Simulator</t>
  </si>
  <si>
    <t>Project GR</t>
  </si>
  <si>
    <t>Project: Mara</t>
  </si>
  <si>
    <t>ROUTINE</t>
  </si>
  <si>
    <t>She Dreams Elsewhere</t>
  </si>
  <si>
    <t>Song of Iron</t>
  </si>
  <si>
    <t>State of Decay 3</t>
  </si>
  <si>
    <t>The Elder Scolls VI</t>
  </si>
  <si>
    <t>Unexplored 2: The Wayfarer's Legacy</t>
  </si>
  <si>
    <t>Way to the Woods</t>
  </si>
  <si>
    <t>Winter Burrow</t>
  </si>
  <si>
    <t>Wuchang: Fallen Feathers</t>
  </si>
  <si>
    <t>Games</t>
  </si>
  <si>
    <t>Lost in Random</t>
  </si>
  <si>
    <t>FTL: Faster than Light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</si>
</sst>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yyyy"/>
    <numFmt numFmtId="165" formatCode="#"/>
    <numFmt numFmtId="166" formatCode="mmmm d"/>
    <numFmt numFmtId="167" formatCode="&quot;$&quot;#,##0.00"/>
  </numFmts>
  <fonts count="35">
    <font>
      <sz val="10.0"/>
      <color rgb="FF000000"/>
      <name val="Georgia"/>
      <scheme val="minor"/>
    </font>
    <font>
      <b/>
      <sz val="10.0"/>
      <color rgb="FFFFFFFF"/>
      <name val="Arial"/>
    </font>
    <font>
      <b/>
      <sz val="10.0"/>
      <color rgb="FFFFFF00"/>
      <name val="Arial"/>
    </font>
    <font>
      <b/>
      <u/>
      <sz val="10.0"/>
      <color rgb="FF00FF00"/>
      <name val="Arial"/>
    </font>
    <font>
      <b/>
      <sz val="10.0"/>
      <color rgb="FF000000"/>
      <name val="Arial"/>
    </font>
    <font>
      <sz val="10.0"/>
      <color rgb="FFFFFFFF"/>
      <name val="Arial"/>
    </font>
    <font>
      <sz val="10.0"/>
      <color theme="1"/>
      <name val="Arial"/>
    </font>
    <font>
      <color theme="1"/>
      <name val="Arial"/>
    </font>
    <font>
      <b/>
      <sz val="10.0"/>
      <color theme="1"/>
      <name val="Arial"/>
    </font>
    <font>
      <color theme="1"/>
      <name val="Georgia"/>
      <scheme val="minor"/>
    </font>
    <font>
      <u/>
      <sz val="10.0"/>
      <color rgb="FF0000FF"/>
      <name val="Arial"/>
    </font>
    <font>
      <u/>
      <sz val="10.0"/>
      <color rgb="FF0000FF"/>
      <name val="Arial"/>
    </font>
    <font>
      <color rgb="FF000000"/>
      <name val="Arial"/>
    </font>
    <font>
      <sz val="10.0"/>
      <color rgb="FF000000"/>
      <name val="Arial"/>
    </font>
    <font>
      <color rgb="FF000000"/>
      <name val="&quot;Arial&quot;"/>
    </font>
    <font>
      <b/>
      <u/>
      <sz val="10.0"/>
      <color rgb="FFFFFF00"/>
      <name val="Arial"/>
    </font>
    <font>
      <b/>
      <u/>
      <sz val="10.0"/>
      <color rgb="FFFFFF00"/>
      <name val="Arial"/>
    </font>
    <font>
      <b/>
      <color rgb="FFFFFFFF"/>
      <name val="Arial"/>
    </font>
    <font>
      <b/>
      <color theme="1"/>
      <name val="Arial"/>
    </font>
    <font>
      <u/>
      <color rgb="FF0000FF"/>
      <name val="Arial"/>
    </font>
    <font>
      <u/>
      <color rgb="FF0000FF"/>
      <name val="Arial"/>
    </font>
    <font>
      <b/>
      <color rgb="FFFFFFFF"/>
      <name val="Georgia"/>
      <scheme val="minor"/>
    </font>
    <font>
      <b/>
      <color rgb="FFFFFF00"/>
      <name val="Georgia"/>
      <scheme val="minor"/>
    </font>
    <font>
      <color rgb="FFFFFFFF"/>
      <name val="Arial"/>
    </font>
    <font>
      <color theme="1"/>
      <name val="Roboto"/>
    </font>
    <font>
      <b/>
      <color rgb="FF000000"/>
      <name val="Arial"/>
    </font>
    <font>
      <color rgb="FF383632"/>
      <name val="Arial"/>
    </font>
    <font>
      <u/>
      <color rgb="FF0000FF"/>
      <name val="Arial"/>
    </font>
    <font>
      <u/>
      <color rgb="FF1155CC"/>
      <name val="Arial"/>
    </font>
    <font>
      <u/>
      <color rgb="FF0000FF"/>
      <name val="Arial"/>
    </font>
    <font>
      <u/>
      <color rgb="FF0000FF"/>
      <name val="Arial"/>
    </font>
    <font>
      <b/>
      <u/>
      <color rgb="FF0000FF"/>
      <name val="Arial"/>
    </font>
    <font>
      <sz val="11.0"/>
      <color rgb="FF333333"/>
      <name val="Arial"/>
    </font>
    <font>
      <u/>
      <color rgb="FF0000FF"/>
      <name val="Arial"/>
    </font>
    <font>
      <u/>
      <color rgb="FF071924"/>
      <name val="Arial"/>
    </font>
  </fonts>
  <fills count="1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FFFF00"/>
        <bgColor rgb="FFFFFF00"/>
      </patternFill>
    </fill>
    <fill>
      <patternFill patternType="solid">
        <fgColor rgb="FFFCE8B2"/>
        <bgColor rgb="FFFCE8B2"/>
      </patternFill>
    </fill>
    <fill>
      <patternFill patternType="solid">
        <fgColor rgb="FFB7E1CD"/>
        <bgColor rgb="FFB7E1CD"/>
      </patternFill>
    </fill>
    <fill>
      <patternFill patternType="solid">
        <fgColor rgb="FFF9CB9C"/>
        <bgColor rgb="FFF9CB9C"/>
      </patternFill>
    </fill>
    <fill>
      <patternFill patternType="solid">
        <fgColor rgb="FFA4C2F4"/>
        <bgColor rgb="FFA4C2F4"/>
      </patternFill>
    </fill>
    <fill>
      <patternFill patternType="solid">
        <fgColor rgb="FFF4C7C3"/>
        <bgColor rgb="FFF4C7C3"/>
      </patternFill>
    </fill>
    <fill>
      <patternFill patternType="solid">
        <fgColor rgb="FF46BDC6"/>
        <bgColor rgb="FF46BDC6"/>
      </patternFill>
    </fill>
    <fill>
      <patternFill patternType="solid">
        <fgColor rgb="FFB4A7D6"/>
        <bgColor rgb="FFB4A7D6"/>
      </patternFill>
    </fill>
    <fill>
      <patternFill patternType="solid">
        <fgColor rgb="FF783F04"/>
        <bgColor rgb="FF783F04"/>
      </patternFill>
    </fill>
    <fill>
      <patternFill patternType="solid">
        <fgColor rgb="FFC27BA0"/>
        <bgColor rgb="FFC27BA0"/>
      </patternFill>
    </fill>
    <fill>
      <patternFill patternType="solid">
        <fgColor rgb="FF9FC5E8"/>
        <bgColor rgb="FF9FC5E8"/>
      </patternFill>
    </fill>
  </fills>
  <borders count="1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FFFFFF"/>
      </top>
      <bottom style="thin">
        <color rgb="FFFFFFFF"/>
      </bottom>
    </border>
    <border>
      <top style="thin">
        <color rgb="FFFFFFFF"/>
      </top>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right style="thin">
        <color rgb="FFFFFFFF"/>
      </right>
      <bottom style="thin">
        <color rgb="FFFFFFFF"/>
      </bottom>
    </border>
    <border>
      <left style="thin">
        <color rgb="FF000000"/>
      </left>
      <right style="thin">
        <color rgb="FF000000"/>
      </right>
      <top style="thin">
        <color rgb="FF000000"/>
      </top>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279">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xf>
    <xf borderId="0" fillId="2" fontId="2" numFmtId="49" xfId="0" applyAlignment="1" applyFont="1" applyNumberFormat="1">
      <alignment horizontal="left" readingOrder="0"/>
    </xf>
    <xf borderId="0" fillId="2" fontId="3" numFmtId="49" xfId="0" applyAlignment="1" applyFont="1" applyNumberFormat="1">
      <alignment horizontal="center" readingOrder="0"/>
    </xf>
    <xf borderId="1" fillId="2" fontId="1" numFmtId="49" xfId="0" applyAlignment="1" applyBorder="1" applyFont="1" applyNumberFormat="1">
      <alignment horizontal="center" readingOrder="0"/>
    </xf>
    <xf borderId="1" fillId="2" fontId="2" numFmtId="49" xfId="0" applyAlignment="1" applyBorder="1" applyFont="1" applyNumberFormat="1">
      <alignment horizontal="center" readingOrder="0"/>
    </xf>
    <xf borderId="1" fillId="2" fontId="4" numFmtId="49" xfId="0" applyAlignment="1" applyBorder="1" applyFont="1" applyNumberFormat="1">
      <alignment horizontal="center" readingOrder="0" vertical="bottom"/>
    </xf>
    <xf borderId="0" fillId="2" fontId="5" numFmtId="49" xfId="0" applyAlignment="1" applyFont="1" applyNumberFormat="1">
      <alignment horizontal="center" vertical="bottom"/>
    </xf>
    <xf borderId="1" fillId="2" fontId="1" numFmtId="49" xfId="0" applyAlignment="1" applyBorder="1" applyFont="1" applyNumberFormat="1">
      <alignment horizontal="center" vertical="bottom"/>
    </xf>
    <xf borderId="1" fillId="2" fontId="1" numFmtId="49" xfId="0" applyAlignment="1" applyBorder="1" applyFont="1" applyNumberFormat="1">
      <alignment horizontal="center" readingOrder="0" vertical="bottom"/>
    </xf>
    <xf borderId="1" fillId="2" fontId="1" numFmtId="4" xfId="0" applyAlignment="1" applyBorder="1" applyFont="1" applyNumberFormat="1">
      <alignment horizontal="center" vertical="bottom"/>
    </xf>
    <xf borderId="0" fillId="2" fontId="1" numFmtId="49" xfId="0" applyAlignment="1" applyFont="1" applyNumberFormat="1">
      <alignment horizontal="center" readingOrder="0" vertical="bottom"/>
    </xf>
    <xf borderId="1" fillId="2" fontId="2" numFmtId="49" xfId="0" applyAlignment="1" applyBorder="1" applyFont="1" applyNumberFormat="1">
      <alignment horizontal="center" readingOrder="0" vertical="top"/>
    </xf>
    <xf borderId="1" fillId="2" fontId="2" numFmtId="49" xfId="0" applyAlignment="1" applyBorder="1" applyFont="1" applyNumberFormat="1">
      <alignment horizontal="left" readingOrder="0" vertical="bottom"/>
    </xf>
    <xf borderId="1" fillId="2" fontId="2" numFmtId="49" xfId="0" applyAlignment="1" applyBorder="1" applyFont="1" applyNumberFormat="1">
      <alignment horizontal="center" readingOrder="0" vertical="bottom"/>
    </xf>
    <xf borderId="1" fillId="3" fontId="6" numFmtId="0" xfId="0" applyAlignment="1" applyBorder="1" applyFill="1" applyFont="1">
      <alignment readingOrder="0" vertical="bottom"/>
    </xf>
    <xf borderId="1" fillId="3" fontId="6" numFmtId="49" xfId="0" applyAlignment="1" applyBorder="1" applyFont="1" applyNumberFormat="1">
      <alignment horizontal="center" readingOrder="0" vertical="bottom"/>
    </xf>
    <xf borderId="1" fillId="3" fontId="6" numFmtId="49" xfId="0" applyAlignment="1" applyBorder="1" applyFont="1" applyNumberFormat="1">
      <alignment horizontal="center" vertical="bottom"/>
    </xf>
    <xf borderId="1" fillId="3" fontId="6" numFmtId="164" xfId="0" applyAlignment="1" applyBorder="1" applyFont="1" applyNumberFormat="1">
      <alignment horizontal="right" readingOrder="0" vertical="bottom"/>
    </xf>
    <xf borderId="2" fillId="3" fontId="6" numFmtId="164" xfId="0" applyAlignment="1" applyBorder="1" applyFont="1" applyNumberFormat="1">
      <alignment vertical="bottom"/>
    </xf>
    <xf borderId="1" fillId="3" fontId="6" numFmtId="4" xfId="0" applyAlignment="1" applyBorder="1" applyFont="1" applyNumberFormat="1">
      <alignment horizontal="right" vertical="bottom"/>
    </xf>
    <xf borderId="2" fillId="3" fontId="6" numFmtId="164" xfId="0" applyAlignment="1" applyBorder="1" applyFont="1" applyNumberFormat="1">
      <alignment horizontal="right" vertical="bottom"/>
    </xf>
    <xf borderId="2" fillId="3" fontId="6" numFmtId="165" xfId="0" applyAlignment="1" applyBorder="1" applyFont="1" applyNumberFormat="1">
      <alignment horizontal="center" vertical="bottom"/>
    </xf>
    <xf borderId="1" fillId="3" fontId="6" numFmtId="49" xfId="0" applyAlignment="1" applyBorder="1" applyFont="1" applyNumberFormat="1">
      <alignment horizontal="left" readingOrder="0" vertical="bottom"/>
    </xf>
    <xf borderId="2" fillId="3" fontId="6" numFmtId="49" xfId="0" applyAlignment="1" applyBorder="1" applyFont="1" applyNumberFormat="1">
      <alignment horizontal="left" vertical="bottom"/>
    </xf>
    <xf borderId="2" fillId="3" fontId="6" numFmtId="49" xfId="0" applyAlignment="1" applyBorder="1" applyFont="1" applyNumberFormat="1">
      <alignment horizontal="left" shrinkToFit="0" vertical="bottom" wrapText="0"/>
    </xf>
    <xf borderId="1" fillId="3" fontId="6" numFmtId="164" xfId="0" applyAlignment="1" applyBorder="1" applyFont="1" applyNumberFormat="1">
      <alignment horizontal="right" vertical="bottom"/>
    </xf>
    <xf borderId="1" fillId="4" fontId="6" numFmtId="0" xfId="0" applyAlignment="1" applyBorder="1" applyFill="1" applyFont="1">
      <alignment readingOrder="0" vertical="bottom"/>
    </xf>
    <xf borderId="1" fillId="4" fontId="6" numFmtId="49" xfId="0" applyAlignment="1" applyBorder="1" applyFont="1" applyNumberFormat="1">
      <alignment horizontal="center" readingOrder="0" vertical="bottom"/>
    </xf>
    <xf borderId="1" fillId="4" fontId="6" numFmtId="49" xfId="0" applyAlignment="1" applyBorder="1" applyFont="1" applyNumberFormat="1">
      <alignment horizontal="center" vertical="bottom"/>
    </xf>
    <xf borderId="1" fillId="4" fontId="6" numFmtId="164" xfId="0" applyAlignment="1" applyBorder="1" applyFont="1" applyNumberFormat="1">
      <alignment horizontal="right" readingOrder="0" vertical="bottom"/>
    </xf>
    <xf borderId="1" fillId="4" fontId="6" numFmtId="164" xfId="0" applyAlignment="1" applyBorder="1" applyFont="1" applyNumberFormat="1">
      <alignment readingOrder="0" vertical="bottom"/>
    </xf>
    <xf borderId="1" fillId="4" fontId="6" numFmtId="4" xfId="0" applyAlignment="1" applyBorder="1" applyFont="1" applyNumberFormat="1">
      <alignment horizontal="right" vertical="bottom"/>
    </xf>
    <xf borderId="1" fillId="4" fontId="6" numFmtId="164" xfId="0" applyAlignment="1" applyBorder="1" applyFont="1" applyNumberFormat="1">
      <alignment horizontal="right" readingOrder="0" vertical="bottom"/>
    </xf>
    <xf borderId="1" fillId="4" fontId="6" numFmtId="165" xfId="0" applyAlignment="1" applyBorder="1" applyFont="1" applyNumberFormat="1">
      <alignment horizontal="center" readingOrder="0" vertical="bottom"/>
    </xf>
    <xf borderId="1" fillId="4" fontId="6" numFmtId="49" xfId="0" applyAlignment="1" applyBorder="1" applyFont="1" applyNumberFormat="1">
      <alignment horizontal="left" readingOrder="0" vertical="bottom"/>
    </xf>
    <xf borderId="1" fillId="4" fontId="6" numFmtId="49" xfId="0" applyAlignment="1" applyBorder="1" applyFont="1" applyNumberFormat="1">
      <alignment horizontal="left" readingOrder="0" shrinkToFit="0" vertical="bottom" wrapText="0"/>
    </xf>
    <xf borderId="2" fillId="4" fontId="6" numFmtId="164" xfId="0" applyAlignment="1" applyBorder="1" applyFont="1" applyNumberFormat="1">
      <alignment vertical="bottom"/>
    </xf>
    <xf borderId="2" fillId="4" fontId="6" numFmtId="164" xfId="0" applyAlignment="1" applyBorder="1" applyFont="1" applyNumberFormat="1">
      <alignment horizontal="right" vertical="bottom"/>
    </xf>
    <xf borderId="2" fillId="4" fontId="6" numFmtId="165" xfId="0" applyAlignment="1" applyBorder="1" applyFont="1" applyNumberFormat="1">
      <alignment horizontal="center" vertical="bottom"/>
    </xf>
    <xf borderId="2" fillId="4" fontId="6" numFmtId="49" xfId="0" applyAlignment="1" applyBorder="1" applyFont="1" applyNumberFormat="1">
      <alignment horizontal="left" vertical="bottom"/>
    </xf>
    <xf borderId="2" fillId="4" fontId="6" numFmtId="49" xfId="0" applyAlignment="1" applyBorder="1" applyFont="1" applyNumberFormat="1">
      <alignment horizontal="left" shrinkToFit="0" vertical="bottom" wrapText="0"/>
    </xf>
    <xf borderId="1" fillId="4" fontId="6" numFmtId="164" xfId="0" applyAlignment="1" applyBorder="1" applyFont="1" applyNumberFormat="1">
      <alignment horizontal="right" vertical="bottom"/>
    </xf>
    <xf borderId="1" fillId="3" fontId="6" numFmtId="49" xfId="0" applyAlignment="1" applyBorder="1" applyFont="1" applyNumberFormat="1">
      <alignment horizontal="left" vertical="bottom"/>
    </xf>
    <xf borderId="1" fillId="4" fontId="6" numFmtId="49" xfId="0" applyAlignment="1" applyBorder="1" applyFont="1" applyNumberFormat="1">
      <alignment horizontal="left" vertical="bottom"/>
    </xf>
    <xf borderId="2" fillId="3" fontId="6" numFmtId="164" xfId="0" applyAlignment="1" applyBorder="1" applyFont="1" applyNumberFormat="1">
      <alignment horizontal="right" readingOrder="0" vertical="bottom"/>
    </xf>
    <xf borderId="2" fillId="3" fontId="6" numFmtId="165" xfId="0" applyAlignment="1" applyBorder="1" applyFont="1" applyNumberFormat="1">
      <alignment horizontal="center" readingOrder="0" vertical="bottom"/>
    </xf>
    <xf borderId="2" fillId="4" fontId="6" numFmtId="164" xfId="0" applyAlignment="1" applyBorder="1" applyFont="1" applyNumberFormat="1">
      <alignment horizontal="right" readingOrder="0" vertical="bottom"/>
    </xf>
    <xf borderId="2" fillId="4" fontId="6" numFmtId="165" xfId="0" applyAlignment="1" applyBorder="1" applyFont="1" applyNumberFormat="1">
      <alignment horizontal="center" readingOrder="0" vertical="bottom"/>
    </xf>
    <xf borderId="2" fillId="4" fontId="6" numFmtId="49" xfId="0" applyAlignment="1" applyBorder="1" applyFont="1" applyNumberFormat="1">
      <alignment horizontal="left" readingOrder="0" vertical="bottom"/>
    </xf>
    <xf borderId="2" fillId="3" fontId="6" numFmtId="49" xfId="0" applyAlignment="1" applyBorder="1" applyFont="1" applyNumberFormat="1">
      <alignment horizontal="left" readingOrder="0" vertical="bottom"/>
    </xf>
    <xf borderId="2" fillId="4" fontId="6" numFmtId="49" xfId="0" applyAlignment="1" applyBorder="1" applyFont="1" applyNumberFormat="1">
      <alignment horizontal="left" readingOrder="0" shrinkToFit="0" vertical="bottom" wrapText="0"/>
    </xf>
    <xf borderId="1" fillId="3" fontId="6" numFmtId="164" xfId="0" applyAlignment="1" applyBorder="1" applyFont="1" applyNumberFormat="1">
      <alignment readingOrder="0" vertical="bottom"/>
    </xf>
    <xf borderId="1" fillId="3" fontId="6" numFmtId="165" xfId="0" applyAlignment="1" applyBorder="1" applyFont="1" applyNumberFormat="1">
      <alignment horizontal="center" readingOrder="0" vertical="bottom"/>
    </xf>
    <xf borderId="1" fillId="3" fontId="6" numFmtId="49" xfId="0" applyAlignment="1" applyBorder="1" applyFont="1" applyNumberFormat="1">
      <alignment horizontal="left" readingOrder="0" shrinkToFit="0" vertical="bottom" wrapText="0"/>
    </xf>
    <xf borderId="1" fillId="3" fontId="7" numFmtId="49" xfId="0" applyAlignment="1" applyBorder="1" applyFont="1" applyNumberFormat="1">
      <alignment horizontal="center" vertical="bottom"/>
    </xf>
    <xf borderId="1" fillId="3" fontId="7" numFmtId="164" xfId="0" applyAlignment="1" applyBorder="1" applyFont="1" applyNumberFormat="1">
      <alignment horizontal="right" vertical="bottom"/>
    </xf>
    <xf borderId="2" fillId="3" fontId="6" numFmtId="49" xfId="0" applyAlignment="1" applyBorder="1" applyFont="1" applyNumberFormat="1">
      <alignment horizontal="left" readingOrder="0" shrinkToFit="0" vertical="bottom" wrapText="0"/>
    </xf>
    <xf borderId="2" fillId="4" fontId="6" numFmtId="164" xfId="0" applyAlignment="1" applyBorder="1" applyFont="1" applyNumberFormat="1">
      <alignment readingOrder="0" vertical="bottom"/>
    </xf>
    <xf borderId="1" fillId="4" fontId="7" numFmtId="49" xfId="0" applyAlignment="1" applyBorder="1" applyFont="1" applyNumberFormat="1">
      <alignment horizontal="center" vertical="bottom"/>
    </xf>
    <xf borderId="1" fillId="4" fontId="7" numFmtId="164" xfId="0" applyAlignment="1" applyBorder="1" applyFont="1" applyNumberFormat="1">
      <alignment horizontal="right" vertical="bottom"/>
    </xf>
    <xf borderId="2" fillId="5" fontId="6" numFmtId="164" xfId="0" applyAlignment="1" applyBorder="1" applyFill="1" applyFont="1" applyNumberFormat="1">
      <alignment horizontal="right" readingOrder="0" vertical="bottom"/>
    </xf>
    <xf borderId="1" fillId="3" fontId="6" numFmtId="164" xfId="0" applyAlignment="1" applyBorder="1" applyFont="1" applyNumberFormat="1">
      <alignment horizontal="right" readingOrder="0" vertical="bottom"/>
    </xf>
    <xf borderId="2" fillId="3" fontId="6" numFmtId="164" xfId="0" applyAlignment="1" applyBorder="1" applyFont="1" applyNumberFormat="1">
      <alignment readingOrder="0" vertical="bottom"/>
    </xf>
    <xf borderId="1" fillId="3" fontId="6" numFmtId="0" xfId="0" applyAlignment="1" applyBorder="1" applyFont="1">
      <alignment vertical="bottom"/>
    </xf>
    <xf borderId="1" fillId="3" fontId="6" numFmtId="165" xfId="0" applyAlignment="1" applyBorder="1" applyFont="1" applyNumberFormat="1">
      <alignment horizontal="center" vertical="bottom"/>
    </xf>
    <xf borderId="1" fillId="3" fontId="6" numFmtId="49" xfId="0" applyAlignment="1" applyBorder="1" applyFont="1" applyNumberFormat="1">
      <alignment horizontal="left" shrinkToFit="0" vertical="bottom" wrapText="0"/>
    </xf>
    <xf borderId="1" fillId="4" fontId="6" numFmtId="0" xfId="0" applyAlignment="1" applyBorder="1" applyFont="1">
      <alignment vertical="bottom"/>
    </xf>
    <xf borderId="1" fillId="5" fontId="6" numFmtId="49" xfId="0" applyAlignment="1" applyBorder="1" applyFont="1" applyNumberFormat="1">
      <alignment horizontal="center" readingOrder="0" vertical="bottom"/>
    </xf>
    <xf borderId="1" fillId="4" fontId="6" numFmtId="165" xfId="0" applyAlignment="1" applyBorder="1" applyFont="1" applyNumberFormat="1">
      <alignment horizontal="center" vertical="bottom"/>
    </xf>
    <xf borderId="1" fillId="4" fontId="6" numFmtId="164" xfId="0" applyAlignment="1" applyBorder="1" applyFont="1" applyNumberFormat="1">
      <alignment horizontal="right" vertical="bottom"/>
    </xf>
    <xf borderId="1" fillId="4" fontId="6" numFmtId="49" xfId="0" applyAlignment="1" applyBorder="1" applyFont="1" applyNumberFormat="1">
      <alignment horizontal="left" shrinkToFit="0" vertical="bottom" wrapText="0"/>
    </xf>
    <xf borderId="1" fillId="4" fontId="7" numFmtId="49" xfId="0" applyAlignment="1" applyBorder="1" applyFont="1" applyNumberFormat="1">
      <alignment readingOrder="0"/>
    </xf>
    <xf borderId="1" fillId="3" fontId="6" numFmtId="164" xfId="0" applyAlignment="1" applyBorder="1" applyFont="1" applyNumberFormat="1">
      <alignment vertical="bottom"/>
    </xf>
    <xf borderId="2" fillId="4" fontId="6" numFmtId="164" xfId="0" applyAlignment="1" applyBorder="1" applyFont="1" applyNumberFormat="1">
      <alignment horizontal="right" readingOrder="0" vertical="bottom"/>
    </xf>
    <xf borderId="2" fillId="3" fontId="6" numFmtId="164" xfId="0" applyAlignment="1" applyBorder="1" applyFont="1" applyNumberFormat="1">
      <alignment horizontal="right" readingOrder="0" vertical="bottom"/>
    </xf>
    <xf borderId="1" fillId="3" fontId="6" numFmtId="164" xfId="0" applyAlignment="1" applyBorder="1" applyFont="1" applyNumberFormat="1">
      <alignment horizontal="right" vertical="bottom"/>
    </xf>
    <xf borderId="1" fillId="6" fontId="7" numFmtId="0" xfId="0" applyAlignment="1" applyBorder="1" applyFill="1" applyFont="1">
      <alignment readingOrder="0" vertical="bottom"/>
    </xf>
    <xf borderId="1" fillId="3" fontId="7" numFmtId="164" xfId="0" applyAlignment="1" applyBorder="1" applyFont="1" applyNumberFormat="1">
      <alignment horizontal="right" readingOrder="0" vertical="bottom"/>
    </xf>
    <xf borderId="1" fillId="3" fontId="7" numFmtId="164" xfId="0" applyAlignment="1" applyBorder="1" applyFont="1" applyNumberFormat="1">
      <alignment horizontal="right" vertical="bottom"/>
    </xf>
    <xf borderId="1" fillId="7" fontId="7" numFmtId="165" xfId="0" applyAlignment="1" applyBorder="1" applyFill="1" applyFont="1" applyNumberFormat="1">
      <alignment horizontal="center" readingOrder="0" vertical="bottom"/>
    </xf>
    <xf borderId="1" fillId="3" fontId="7" numFmtId="165" xfId="0" applyAlignment="1" applyBorder="1" applyFont="1" applyNumberFormat="1">
      <alignment horizontal="center" readingOrder="0" vertical="bottom"/>
    </xf>
    <xf borderId="1" fillId="3" fontId="7" numFmtId="49" xfId="0" applyAlignment="1" applyBorder="1" applyFont="1" applyNumberFormat="1">
      <alignment vertical="bottom"/>
    </xf>
    <xf borderId="1" fillId="3" fontId="7" numFmtId="49" xfId="0" applyAlignment="1" applyBorder="1" applyFont="1" applyNumberFormat="1">
      <alignment readingOrder="0" vertical="bottom"/>
    </xf>
    <xf borderId="1" fillId="3" fontId="7" numFmtId="49" xfId="0" applyAlignment="1" applyBorder="1" applyFont="1" applyNumberFormat="1">
      <alignment shrinkToFit="0" vertical="bottom" wrapText="0"/>
    </xf>
    <xf borderId="2" fillId="4" fontId="7" numFmtId="49" xfId="0" applyAlignment="1" applyBorder="1" applyFont="1" applyNumberFormat="1">
      <alignment vertical="bottom"/>
    </xf>
    <xf borderId="1" fillId="3" fontId="7" numFmtId="0" xfId="0" applyAlignment="1" applyBorder="1" applyFont="1">
      <alignment readingOrder="0" vertical="bottom"/>
    </xf>
    <xf borderId="2" fillId="3" fontId="7" numFmtId="164" xfId="0" applyAlignment="1" applyBorder="1" applyFont="1" applyNumberFormat="1">
      <alignment vertical="bottom"/>
    </xf>
    <xf borderId="2" fillId="3" fontId="7" numFmtId="164" xfId="0" applyAlignment="1" applyBorder="1" applyFont="1" applyNumberFormat="1">
      <alignment readingOrder="0" vertical="bottom"/>
    </xf>
    <xf borderId="2" fillId="3" fontId="7" numFmtId="49" xfId="0" applyAlignment="1" applyBorder="1" applyFont="1" applyNumberFormat="1">
      <alignment vertical="bottom"/>
    </xf>
    <xf borderId="2" fillId="3" fontId="7" numFmtId="49" xfId="0" applyAlignment="1" applyBorder="1" applyFont="1" applyNumberFormat="1">
      <alignment readingOrder="0" vertical="bottom"/>
    </xf>
    <xf borderId="1" fillId="4" fontId="7" numFmtId="0" xfId="0" applyAlignment="1" applyBorder="1" applyFont="1">
      <alignment readingOrder="0" vertical="bottom"/>
    </xf>
    <xf borderId="2" fillId="4" fontId="7" numFmtId="49" xfId="0" applyAlignment="1" applyBorder="1" applyFont="1" applyNumberFormat="1">
      <alignment horizontal="center" vertical="bottom"/>
    </xf>
    <xf borderId="2" fillId="4" fontId="7" numFmtId="164" xfId="0" applyAlignment="1" applyBorder="1" applyFont="1" applyNumberFormat="1">
      <alignment horizontal="right" readingOrder="0" vertical="bottom"/>
    </xf>
    <xf borderId="2" fillId="4" fontId="7" numFmtId="164" xfId="0" applyAlignment="1" applyBorder="1" applyFont="1" applyNumberFormat="1">
      <alignment vertical="bottom"/>
    </xf>
    <xf borderId="2" fillId="4" fontId="7" numFmtId="164" xfId="0" applyAlignment="1" applyBorder="1" applyFont="1" applyNumberFormat="1">
      <alignment readingOrder="0" vertical="bottom"/>
    </xf>
    <xf borderId="2" fillId="4" fontId="7" numFmtId="49" xfId="0" applyAlignment="1" applyBorder="1" applyFont="1" applyNumberFormat="1">
      <alignment readingOrder="0" vertical="bottom"/>
    </xf>
    <xf borderId="2" fillId="4" fontId="6" numFmtId="164" xfId="0" applyAlignment="1" applyBorder="1" applyFont="1" applyNumberFormat="1">
      <alignment horizontal="right" vertical="bottom"/>
    </xf>
    <xf borderId="2" fillId="3" fontId="6" numFmtId="164" xfId="0" applyAlignment="1" applyBorder="1" applyFont="1" applyNumberFormat="1">
      <alignment horizontal="right" vertical="bottom"/>
    </xf>
    <xf borderId="2" fillId="3" fontId="6" numFmtId="49" xfId="0" applyAlignment="1" applyBorder="1" applyFont="1" applyNumberFormat="1">
      <alignment horizontal="center" readingOrder="0" vertical="bottom"/>
    </xf>
    <xf borderId="1" fillId="4" fontId="6" numFmtId="164" xfId="0" applyAlignment="1" applyBorder="1" applyFont="1" applyNumberFormat="1">
      <alignment vertical="bottom"/>
    </xf>
    <xf borderId="1" fillId="4" fontId="8" numFmtId="165" xfId="0" applyAlignment="1" applyBorder="1" applyFont="1" applyNumberFormat="1">
      <alignment horizontal="center" readingOrder="0" vertical="bottom"/>
    </xf>
    <xf borderId="2" fillId="4" fontId="7" numFmtId="164" xfId="0" applyAlignment="1" applyBorder="1" applyFont="1" applyNumberFormat="1">
      <alignment horizontal="right" readingOrder="0" vertical="bottom"/>
    </xf>
    <xf borderId="2" fillId="4" fontId="7" numFmtId="164" xfId="0" applyAlignment="1" applyBorder="1" applyFont="1" applyNumberFormat="1">
      <alignment horizontal="right" vertical="bottom"/>
    </xf>
    <xf borderId="2" fillId="4" fontId="7" numFmtId="165" xfId="0" applyAlignment="1" applyBorder="1" applyFont="1" applyNumberFormat="1">
      <alignment horizontal="center" vertical="bottom"/>
    </xf>
    <xf borderId="2" fillId="4" fontId="7" numFmtId="49" xfId="0" applyAlignment="1" applyBorder="1" applyFont="1" applyNumberFormat="1">
      <alignment shrinkToFit="0" vertical="bottom" wrapText="0"/>
    </xf>
    <xf borderId="0" fillId="4" fontId="9" numFmtId="0" xfId="0" applyAlignment="1" applyFont="1">
      <alignment readingOrder="0"/>
    </xf>
    <xf borderId="1" fillId="4" fontId="6" numFmtId="166" xfId="0" applyAlignment="1" applyBorder="1" applyFont="1" applyNumberFormat="1">
      <alignment readingOrder="0" vertical="bottom"/>
    </xf>
    <xf borderId="1" fillId="3" fontId="6" numFmtId="166" xfId="0" applyAlignment="1" applyBorder="1" applyFont="1" applyNumberFormat="1">
      <alignment readingOrder="0" vertical="bottom"/>
    </xf>
    <xf borderId="1" fillId="4" fontId="10" numFmtId="49" xfId="0" applyAlignment="1" applyBorder="1" applyFont="1" applyNumberFormat="1">
      <alignment horizontal="left" readingOrder="0" vertical="bottom"/>
    </xf>
    <xf borderId="1" fillId="3" fontId="11" numFmtId="49" xfId="0" applyAlignment="1" applyBorder="1" applyFont="1" applyNumberFormat="1">
      <alignment horizontal="left" readingOrder="0" vertical="bottom"/>
    </xf>
    <xf borderId="0" fillId="4" fontId="12" numFmtId="49" xfId="0" applyAlignment="1" applyFont="1" applyNumberFormat="1">
      <alignment horizontal="left" readingOrder="0"/>
    </xf>
    <xf borderId="0" fillId="3" fontId="9" numFmtId="0" xfId="0" applyAlignment="1" applyFont="1">
      <alignment horizontal="center" readingOrder="0"/>
    </xf>
    <xf borderId="1" fillId="4" fontId="6" numFmtId="3" xfId="0" applyAlignment="1" applyBorder="1" applyFont="1" applyNumberFormat="1">
      <alignment horizontal="center" readingOrder="0" vertical="bottom"/>
    </xf>
    <xf borderId="1" fillId="3" fontId="6" numFmtId="3" xfId="0" applyAlignment="1" applyBorder="1" applyFont="1" applyNumberFormat="1">
      <alignment horizontal="center" readingOrder="0" vertical="bottom"/>
    </xf>
    <xf borderId="1" fillId="3" fontId="7" numFmtId="49" xfId="0" applyAlignment="1" applyBorder="1" applyFont="1" applyNumberFormat="1">
      <alignment readingOrder="0"/>
    </xf>
    <xf borderId="1" fillId="3" fontId="8" numFmtId="165" xfId="0" applyAlignment="1" applyBorder="1" applyFont="1" applyNumberFormat="1">
      <alignment horizontal="center" readingOrder="0" vertical="bottom"/>
    </xf>
    <xf borderId="0" fillId="3" fontId="9" numFmtId="0" xfId="0" applyFont="1"/>
    <xf borderId="1" fillId="3" fontId="8" numFmtId="165" xfId="0" applyAlignment="1" applyBorder="1" applyFont="1" applyNumberFormat="1">
      <alignment horizontal="center" vertical="bottom"/>
    </xf>
    <xf borderId="1" fillId="4" fontId="8" numFmtId="165" xfId="0" applyAlignment="1" applyBorder="1" applyFont="1" applyNumberFormat="1">
      <alignment horizontal="center" vertical="bottom"/>
    </xf>
    <xf borderId="0" fillId="3" fontId="12" numFmtId="49" xfId="0" applyAlignment="1" applyFont="1" applyNumberFormat="1">
      <alignment horizontal="left" readingOrder="0"/>
    </xf>
    <xf borderId="1" fillId="3" fontId="13" numFmtId="49" xfId="0" applyAlignment="1" applyBorder="1" applyFont="1" applyNumberFormat="1">
      <alignment readingOrder="0"/>
    </xf>
    <xf borderId="1" fillId="4" fontId="6" numFmtId="0" xfId="0" applyAlignment="1" applyBorder="1" applyFont="1">
      <alignment readingOrder="0" vertical="bottom"/>
    </xf>
    <xf borderId="1" fillId="4" fontId="13" numFmtId="49" xfId="0" applyAlignment="1" applyBorder="1" applyFont="1" applyNumberFormat="1">
      <alignment readingOrder="0"/>
    </xf>
    <xf borderId="1" fillId="3" fontId="6" numFmtId="49" xfId="0" applyAlignment="1" applyBorder="1" applyFont="1" applyNumberFormat="1">
      <alignment horizontal="left" readingOrder="0" vertical="bottom"/>
    </xf>
    <xf borderId="0" fillId="4" fontId="9" numFmtId="0" xfId="0" applyFont="1"/>
    <xf borderId="0" fillId="3" fontId="9" numFmtId="49" xfId="0" applyFont="1" applyNumberFormat="1"/>
    <xf borderId="1" fillId="3" fontId="7" numFmtId="49" xfId="0" applyAlignment="1" applyBorder="1" applyFont="1" applyNumberFormat="1">
      <alignment horizontal="left" readingOrder="0" vertical="bottom"/>
    </xf>
    <xf borderId="2" fillId="4" fontId="7" numFmtId="164" xfId="0" applyAlignment="1" applyBorder="1" applyFont="1" applyNumberFormat="1">
      <alignment readingOrder="0" vertical="bottom"/>
    </xf>
    <xf borderId="0" fillId="5" fontId="12" numFmtId="49" xfId="0" applyAlignment="1" applyFont="1" applyNumberFormat="1">
      <alignment horizontal="left" readingOrder="0"/>
    </xf>
    <xf borderId="1" fillId="4" fontId="6" numFmtId="49" xfId="0" applyAlignment="1" applyBorder="1" applyFont="1" applyNumberFormat="1">
      <alignment horizontal="left" readingOrder="0" vertical="bottom"/>
    </xf>
    <xf borderId="2" fillId="4" fontId="7" numFmtId="49" xfId="0" applyAlignment="1" applyBorder="1" applyFont="1" applyNumberFormat="1">
      <alignment readingOrder="0" shrinkToFit="0" vertical="bottom" wrapText="0"/>
    </xf>
    <xf borderId="0" fillId="3" fontId="6" numFmtId="49" xfId="0" applyAlignment="1" applyFont="1" applyNumberFormat="1">
      <alignment horizontal="left" readingOrder="0" vertical="bottom"/>
    </xf>
    <xf borderId="1" fillId="4" fontId="12" numFmtId="49" xfId="0" applyAlignment="1" applyBorder="1" applyFont="1" applyNumberFormat="1">
      <alignment horizontal="left" readingOrder="0"/>
    </xf>
    <xf borderId="1" fillId="3" fontId="6" numFmtId="167" xfId="0" applyAlignment="1" applyBorder="1" applyFont="1" applyNumberFormat="1">
      <alignment horizontal="left" readingOrder="0" vertical="bottom"/>
    </xf>
    <xf borderId="2" fillId="4" fontId="7" numFmtId="165" xfId="0" applyAlignment="1" applyBorder="1" applyFont="1" applyNumberFormat="1">
      <alignment horizontal="center" readingOrder="0" vertical="bottom"/>
    </xf>
    <xf borderId="1" fillId="4" fontId="6" numFmtId="49" xfId="0" applyAlignment="1" applyBorder="1" applyFont="1" applyNumberFormat="1">
      <alignment horizontal="left" readingOrder="0" shrinkToFit="0" vertical="bottom" wrapText="0"/>
    </xf>
    <xf borderId="0" fillId="4" fontId="6" numFmtId="49" xfId="0" applyAlignment="1" applyFont="1" applyNumberFormat="1">
      <alignment horizontal="left" readingOrder="0" vertical="bottom"/>
    </xf>
    <xf borderId="1" fillId="4" fontId="14" numFmtId="49" xfId="0" applyAlignment="1" applyBorder="1" applyFont="1" applyNumberFormat="1">
      <alignment readingOrder="0"/>
    </xf>
    <xf borderId="1" fillId="3" fontId="6" numFmtId="49" xfId="0" applyAlignment="1" applyBorder="1" applyFont="1" applyNumberFormat="1">
      <alignment horizontal="left" readingOrder="0" vertical="bottom"/>
    </xf>
    <xf borderId="1" fillId="3" fontId="8" numFmtId="164" xfId="0" applyAlignment="1" applyBorder="1" applyFont="1" applyNumberFormat="1">
      <alignment horizontal="right" readingOrder="0" vertical="bottom"/>
    </xf>
    <xf borderId="0" fillId="3" fontId="6" numFmtId="49" xfId="0" applyAlignment="1" applyFont="1" applyNumberFormat="1">
      <alignment horizontal="left" vertical="bottom"/>
    </xf>
    <xf borderId="1" fillId="4" fontId="6" numFmtId="0" xfId="0" applyAlignment="1" applyBorder="1" applyFont="1">
      <alignment readingOrder="0"/>
    </xf>
    <xf borderId="1" fillId="4" fontId="6" numFmtId="0" xfId="0" applyAlignment="1" applyBorder="1" applyFont="1">
      <alignment readingOrder="0" shrinkToFit="0" vertical="bottom" wrapText="0"/>
    </xf>
    <xf borderId="1" fillId="3" fontId="12" numFmtId="49" xfId="0" applyAlignment="1" applyBorder="1" applyFont="1" applyNumberFormat="1">
      <alignment horizontal="left" readingOrder="0"/>
    </xf>
    <xf quotePrefix="1" borderId="1" fillId="4" fontId="6" numFmtId="0" xfId="0" applyAlignment="1" applyBorder="1" applyFont="1">
      <alignment readingOrder="0" vertical="bottom"/>
    </xf>
    <xf borderId="1" fillId="3" fontId="6" numFmtId="0" xfId="0" applyAlignment="1" applyBorder="1" applyFont="1">
      <alignment readingOrder="0"/>
    </xf>
    <xf borderId="1" fillId="3" fontId="6" numFmtId="0" xfId="0" applyAlignment="1" applyBorder="1" applyFont="1">
      <alignment readingOrder="0" shrinkToFit="0" vertical="bottom" wrapText="0"/>
    </xf>
    <xf borderId="0" fillId="2" fontId="15" numFmtId="49" xfId="0" applyAlignment="1" applyFont="1" applyNumberFormat="1">
      <alignment horizontal="left" readingOrder="0"/>
    </xf>
    <xf borderId="0" fillId="2" fontId="2" numFmtId="49" xfId="0" applyAlignment="1" applyFont="1" applyNumberFormat="1">
      <alignment horizontal="center" readingOrder="0"/>
    </xf>
    <xf borderId="0" fillId="2" fontId="16" numFmtId="49" xfId="0" applyAlignment="1" applyFont="1" applyNumberFormat="1">
      <alignment horizontal="center" readingOrder="0"/>
    </xf>
    <xf borderId="0" fillId="2" fontId="5" numFmtId="49" xfId="0" applyAlignment="1" applyFont="1" applyNumberFormat="1">
      <alignment horizontal="center" vertical="bottom"/>
    </xf>
    <xf borderId="1" fillId="2" fontId="1" numFmtId="49" xfId="0" applyAlignment="1" applyBorder="1" applyFont="1" applyNumberFormat="1">
      <alignment horizontal="center" vertical="bottom"/>
    </xf>
    <xf borderId="1" fillId="2" fontId="1" numFmtId="49" xfId="0" applyAlignment="1" applyBorder="1" applyFont="1" applyNumberFormat="1">
      <alignment horizontal="center" readingOrder="0" vertical="bottom"/>
    </xf>
    <xf borderId="1" fillId="2" fontId="1" numFmtId="4" xfId="0" applyAlignment="1" applyBorder="1" applyFont="1" applyNumberFormat="1">
      <alignment horizontal="center" vertical="bottom"/>
    </xf>
    <xf borderId="0" fillId="2" fontId="1" numFmtId="49" xfId="0" applyAlignment="1" applyFont="1" applyNumberFormat="1">
      <alignment horizontal="center" readingOrder="0" vertical="bottom"/>
    </xf>
    <xf borderId="1" fillId="2" fontId="2" numFmtId="49" xfId="0" applyAlignment="1" applyBorder="1" applyFont="1" applyNumberFormat="1">
      <alignment horizontal="center" readingOrder="0" vertical="bottom"/>
    </xf>
    <xf borderId="0" fillId="2" fontId="2" numFmtId="49" xfId="0" applyAlignment="1" applyFont="1" applyNumberFormat="1">
      <alignment horizontal="center" readingOrder="0" vertical="bottom"/>
    </xf>
    <xf borderId="1" fillId="0" fontId="7" numFmtId="49" xfId="0" applyBorder="1" applyFont="1" applyNumberFormat="1"/>
    <xf borderId="1" fillId="0" fontId="6" numFmtId="49" xfId="0" applyAlignment="1" applyBorder="1" applyFont="1" applyNumberFormat="1">
      <alignment horizontal="center" vertical="bottom"/>
    </xf>
    <xf borderId="2" fillId="0" fontId="7" numFmtId="164" xfId="0" applyAlignment="1" applyBorder="1" applyFont="1" applyNumberFormat="1">
      <alignment horizontal="right" readingOrder="0" vertical="bottom"/>
    </xf>
    <xf borderId="2" fillId="0" fontId="7" numFmtId="164" xfId="0" applyAlignment="1" applyBorder="1" applyFont="1" applyNumberFormat="1">
      <alignment horizontal="right" vertical="bottom"/>
    </xf>
    <xf borderId="1" fillId="0" fontId="6" numFmtId="4" xfId="0" applyAlignment="1" applyBorder="1" applyFont="1" applyNumberFormat="1">
      <alignment horizontal="right" vertical="bottom"/>
    </xf>
    <xf borderId="1" fillId="0" fontId="6" numFmtId="164" xfId="0" applyAlignment="1" applyBorder="1" applyFont="1" applyNumberFormat="1">
      <alignment horizontal="right" readingOrder="0" vertical="bottom"/>
    </xf>
    <xf borderId="1" fillId="0" fontId="6" numFmtId="165" xfId="0" applyAlignment="1" applyBorder="1" applyFont="1" applyNumberFormat="1">
      <alignment horizontal="center" readingOrder="0" vertical="bottom"/>
    </xf>
    <xf borderId="0" fillId="0" fontId="7" numFmtId="49" xfId="0" applyFont="1" applyNumberFormat="1"/>
    <xf borderId="0" fillId="0" fontId="7" numFmtId="164" xfId="0" applyAlignment="1" applyFont="1" applyNumberFormat="1">
      <alignment horizontal="right" readingOrder="0" vertical="bottom"/>
    </xf>
    <xf borderId="0" fillId="0" fontId="7" numFmtId="4" xfId="0" applyAlignment="1" applyFont="1" applyNumberFormat="1">
      <alignment horizontal="right" vertical="bottom"/>
    </xf>
    <xf borderId="0" fillId="0" fontId="7" numFmtId="165" xfId="0" applyAlignment="1" applyFont="1" applyNumberFormat="1">
      <alignment horizontal="center" readingOrder="0" vertical="bottom"/>
    </xf>
    <xf borderId="0" fillId="0" fontId="7" numFmtId="0" xfId="0" applyAlignment="1" applyFont="1">
      <alignment horizontal="center" readingOrder="0" vertical="bottom"/>
    </xf>
    <xf borderId="1" fillId="2" fontId="17" numFmtId="49" xfId="0" applyAlignment="1" applyBorder="1" applyFont="1" applyNumberFormat="1">
      <alignment horizontal="center" readingOrder="0" vertical="bottom"/>
    </xf>
    <xf borderId="1" fillId="2" fontId="17" numFmtId="49" xfId="0" applyAlignment="1" applyBorder="1" applyFont="1" applyNumberFormat="1">
      <alignment horizontal="center" vertical="bottom"/>
    </xf>
    <xf borderId="0" fillId="2" fontId="17" numFmtId="49" xfId="0" applyAlignment="1" applyFont="1" applyNumberFormat="1">
      <alignment horizontal="center" readingOrder="0" vertical="bottom"/>
    </xf>
    <xf borderId="1" fillId="0" fontId="7" numFmtId="0" xfId="0" applyBorder="1" applyFont="1"/>
    <xf borderId="1" fillId="0" fontId="7" numFmtId="0" xfId="0" applyBorder="1" applyFont="1"/>
    <xf borderId="1" fillId="0" fontId="7" numFmtId="49" xfId="0" applyAlignment="1" applyBorder="1" applyFont="1" applyNumberFormat="1">
      <alignment readingOrder="0"/>
    </xf>
    <xf borderId="1" fillId="0" fontId="7" numFmtId="164" xfId="0" applyAlignment="1" applyBorder="1" applyFont="1" applyNumberFormat="1">
      <alignment readingOrder="0"/>
    </xf>
    <xf borderId="0" fillId="0" fontId="7" numFmtId="0" xfId="0" applyAlignment="1" applyFont="1">
      <alignment readingOrder="0"/>
    </xf>
    <xf borderId="0" fillId="0" fontId="9" numFmtId="0" xfId="0" applyAlignment="1" applyFont="1">
      <alignment readingOrder="0"/>
    </xf>
    <xf borderId="1" fillId="5" fontId="7" numFmtId="0" xfId="0" applyAlignment="1" applyBorder="1" applyFont="1">
      <alignment readingOrder="0"/>
    </xf>
    <xf borderId="1" fillId="0" fontId="7" numFmtId="0" xfId="0" applyAlignment="1" applyBorder="1" applyFont="1">
      <alignment readingOrder="0"/>
    </xf>
    <xf borderId="0" fillId="0" fontId="7" numFmtId="0" xfId="0" applyFont="1"/>
    <xf borderId="1" fillId="5" fontId="7" numFmtId="49" xfId="0" applyAlignment="1" applyBorder="1" applyFont="1" applyNumberFormat="1">
      <alignment readingOrder="0"/>
    </xf>
    <xf borderId="0" fillId="5" fontId="9" numFmtId="0" xfId="0" applyAlignment="1" applyFont="1">
      <alignment readingOrder="0"/>
    </xf>
    <xf borderId="0" fillId="5" fontId="9" numFmtId="0" xfId="0" applyFont="1"/>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1" fillId="0" fontId="7" numFmtId="164" xfId="0" applyAlignment="1" applyBorder="1" applyFont="1" applyNumberFormat="1">
      <alignment readingOrder="0"/>
    </xf>
    <xf borderId="1" fillId="0" fontId="7" numFmtId="0" xfId="0" applyAlignment="1" applyBorder="1" applyFont="1">
      <alignment readingOrder="0"/>
    </xf>
    <xf borderId="1" fillId="0" fontId="7" numFmtId="0" xfId="0" applyAlignment="1" applyBorder="1" applyFont="1">
      <alignment readingOrder="0" vertical="bottom"/>
    </xf>
    <xf borderId="0" fillId="2" fontId="21" numFmtId="49" xfId="0" applyAlignment="1" applyFont="1" applyNumberFormat="1">
      <alignment horizontal="center" readingOrder="0"/>
    </xf>
    <xf borderId="0" fillId="2" fontId="22" numFmtId="49" xfId="0" applyAlignment="1" applyFont="1" applyNumberFormat="1">
      <alignment horizontal="left" readingOrder="0"/>
    </xf>
    <xf borderId="0" fillId="2" fontId="23" numFmtId="49" xfId="0" applyAlignment="1" applyFont="1" applyNumberFormat="1">
      <alignment horizontal="center" vertical="bottom"/>
    </xf>
    <xf borderId="1" fillId="2" fontId="17" numFmtId="4" xfId="0" applyAlignment="1" applyBorder="1" applyFont="1" applyNumberFormat="1">
      <alignment horizontal="center" vertical="bottom"/>
    </xf>
    <xf borderId="1" fillId="0" fontId="7" numFmtId="49" xfId="0" applyAlignment="1" applyBorder="1" applyFont="1" applyNumberFormat="1">
      <alignment horizontal="center" readingOrder="0" vertical="bottom"/>
    </xf>
    <xf borderId="1" fillId="0" fontId="7" numFmtId="49" xfId="0" applyAlignment="1" applyBorder="1" applyFont="1" applyNumberFormat="1">
      <alignment horizontal="center" vertical="bottom"/>
    </xf>
    <xf borderId="1" fillId="0" fontId="7" numFmtId="164" xfId="0" applyAlignment="1" applyBorder="1" applyFont="1" applyNumberFormat="1">
      <alignment horizontal="right" readingOrder="0" vertical="bottom"/>
    </xf>
    <xf borderId="1" fillId="0" fontId="7" numFmtId="164" xfId="0" applyAlignment="1" applyBorder="1" applyFont="1" applyNumberFormat="1">
      <alignment vertical="bottom"/>
    </xf>
    <xf borderId="1" fillId="0" fontId="7" numFmtId="4" xfId="0" applyAlignment="1" applyBorder="1" applyFont="1" applyNumberFormat="1">
      <alignment horizontal="right" vertical="bottom"/>
    </xf>
    <xf borderId="1" fillId="0" fontId="7" numFmtId="165" xfId="0" applyAlignment="1" applyBorder="1" applyFont="1" applyNumberFormat="1">
      <alignment horizontal="center" readingOrder="0" vertical="bottom"/>
    </xf>
    <xf borderId="1" fillId="0" fontId="7" numFmtId="49" xfId="0" applyAlignment="1" applyBorder="1" applyFont="1" applyNumberFormat="1">
      <alignment horizontal="left" readingOrder="0" vertical="bottom"/>
    </xf>
    <xf borderId="1" fillId="0" fontId="7" numFmtId="166" xfId="0" applyAlignment="1" applyBorder="1" applyFont="1" applyNumberFormat="1">
      <alignment readingOrder="0" vertical="bottom"/>
    </xf>
    <xf borderId="0" fillId="0" fontId="7" numFmtId="0" xfId="0" applyAlignment="1" applyFont="1">
      <alignment readingOrder="0" vertical="bottom"/>
    </xf>
    <xf borderId="0" fillId="0" fontId="7" numFmtId="49" xfId="0" applyAlignment="1" applyFont="1" applyNumberFormat="1">
      <alignment horizontal="center" readingOrder="0" vertical="bottom"/>
    </xf>
    <xf borderId="0" fillId="0" fontId="7" numFmtId="49" xfId="0" applyAlignment="1" applyFont="1" applyNumberFormat="1">
      <alignment horizontal="center" vertical="bottom"/>
    </xf>
    <xf borderId="0" fillId="0" fontId="7" numFmtId="164" xfId="0" applyAlignment="1" applyFont="1" applyNumberFormat="1">
      <alignment vertical="bottom"/>
    </xf>
    <xf borderId="0" fillId="0" fontId="7" numFmtId="49" xfId="0" applyAlignment="1" applyFont="1" applyNumberFormat="1">
      <alignment horizontal="left" readingOrder="0" vertical="bottom"/>
    </xf>
    <xf borderId="0" fillId="2" fontId="21" numFmtId="49" xfId="0" applyAlignment="1" applyFont="1" applyNumberFormat="1">
      <alignment horizontal="center"/>
    </xf>
    <xf borderId="1" fillId="0" fontId="24" numFmtId="164" xfId="0" applyAlignment="1" applyBorder="1" applyFont="1" applyNumberFormat="1">
      <alignment horizontal="right" readingOrder="0" vertical="bottom"/>
    </xf>
    <xf borderId="1" fillId="0" fontId="7" numFmtId="164" xfId="0" applyAlignment="1" applyBorder="1" applyFont="1" applyNumberFormat="1">
      <alignment horizontal="right" readingOrder="0" vertical="bottom"/>
    </xf>
    <xf borderId="1" fillId="0" fontId="7" numFmtId="0" xfId="0" applyAlignment="1" applyBorder="1" applyFont="1">
      <alignment horizontal="center" readingOrder="0" vertical="bottom"/>
    </xf>
    <xf borderId="0" fillId="0" fontId="24" numFmtId="164" xfId="0" applyAlignment="1" applyFont="1" applyNumberFormat="1">
      <alignment horizontal="right" readingOrder="0" vertical="bottom"/>
    </xf>
    <xf borderId="0" fillId="0" fontId="7" numFmtId="164" xfId="0" applyAlignment="1" applyFont="1" applyNumberFormat="1">
      <alignment horizontal="right" readingOrder="0" vertical="bottom"/>
    </xf>
    <xf borderId="0" fillId="2" fontId="1" numFmtId="49" xfId="0" applyAlignment="1" applyFont="1" applyNumberFormat="1">
      <alignment horizontal="left" readingOrder="0"/>
    </xf>
    <xf borderId="1" fillId="2" fontId="2" numFmtId="49" xfId="0" applyAlignment="1" applyBorder="1" applyFont="1" applyNumberFormat="1">
      <alignment horizontal="center" readingOrder="0" vertical="top"/>
    </xf>
    <xf borderId="1" fillId="0" fontId="8" numFmtId="4" xfId="0" applyAlignment="1" applyBorder="1" applyFont="1" applyNumberFormat="1">
      <alignment horizontal="right" vertical="bottom"/>
    </xf>
    <xf borderId="1" fillId="8" fontId="25" numFmtId="49" xfId="0" applyAlignment="1" applyBorder="1" applyFill="1" applyFont="1" applyNumberFormat="1">
      <alignment horizontal="center" readingOrder="0" vertical="bottom"/>
    </xf>
    <xf borderId="1" fillId="9" fontId="25" numFmtId="49" xfId="0" applyAlignment="1" applyBorder="1" applyFill="1" applyFont="1" applyNumberFormat="1">
      <alignment horizontal="center" readingOrder="0" vertical="bottom"/>
    </xf>
    <xf borderId="1" fillId="6" fontId="18" numFmtId="49" xfId="0" applyAlignment="1" applyBorder="1" applyFont="1" applyNumberFormat="1">
      <alignment horizontal="center" readingOrder="0" vertical="bottom"/>
    </xf>
    <xf borderId="1" fillId="7" fontId="18" numFmtId="49" xfId="0" applyAlignment="1" applyBorder="1" applyFont="1" applyNumberFormat="1">
      <alignment horizontal="center" vertical="bottom"/>
    </xf>
    <xf borderId="2" fillId="10" fontId="18" numFmtId="49" xfId="0" applyAlignment="1" applyBorder="1" applyFill="1" applyFont="1" applyNumberFormat="1">
      <alignment horizontal="center" vertical="bottom"/>
    </xf>
    <xf borderId="2" fillId="11" fontId="25" numFmtId="49" xfId="0" applyAlignment="1" applyBorder="1" applyFill="1" applyFont="1" applyNumberFormat="1">
      <alignment horizontal="center" vertical="bottom"/>
    </xf>
    <xf borderId="0" fillId="12" fontId="25" numFmtId="49" xfId="0" applyAlignment="1" applyFill="1" applyFont="1" applyNumberFormat="1">
      <alignment horizontal="center" readingOrder="0"/>
    </xf>
    <xf borderId="1" fillId="13" fontId="25" numFmtId="49" xfId="0" applyAlignment="1" applyBorder="1" applyFill="1" applyFont="1" applyNumberFormat="1">
      <alignment horizontal="center" readingOrder="0"/>
    </xf>
    <xf borderId="1" fillId="14" fontId="25" numFmtId="49" xfId="0" applyAlignment="1" applyBorder="1" applyFill="1" applyFont="1" applyNumberFormat="1">
      <alignment horizontal="center" readingOrder="0"/>
    </xf>
    <xf borderId="1" fillId="2" fontId="17" numFmtId="49" xfId="0" applyAlignment="1" applyBorder="1" applyFont="1" applyNumberFormat="1">
      <alignment horizontal="center" readingOrder="0" shrinkToFit="0" vertical="bottom" wrapText="1"/>
    </xf>
    <xf borderId="3" fillId="0" fontId="7" numFmtId="0" xfId="0" applyAlignment="1" applyBorder="1" applyFont="1">
      <alignment vertical="bottom"/>
    </xf>
    <xf borderId="3" fillId="0" fontId="7" numFmtId="0" xfId="0" applyAlignment="1" applyBorder="1" applyFont="1">
      <alignment shrinkToFit="0" vertical="bottom" wrapText="1"/>
    </xf>
    <xf borderId="1" fillId="10" fontId="7" numFmtId="0" xfId="0" applyAlignment="1" applyBorder="1" applyFont="1">
      <alignment readingOrder="0" shrinkToFit="0" wrapText="1"/>
    </xf>
    <xf borderId="4" fillId="0" fontId="7" numFmtId="0" xfId="0" applyAlignment="1" applyBorder="1" applyFont="1">
      <alignment vertical="bottom"/>
    </xf>
    <xf borderId="1" fillId="7" fontId="7" numFmtId="0" xfId="0" applyAlignment="1" applyBorder="1" applyFont="1">
      <alignment readingOrder="0" shrinkToFit="0" wrapText="1"/>
    </xf>
    <xf borderId="1" fillId="6" fontId="7" numFmtId="0" xfId="0" applyAlignment="1" applyBorder="1" applyFont="1">
      <alignment readingOrder="0" shrinkToFit="0" wrapText="1"/>
    </xf>
    <xf borderId="3" fillId="0" fontId="7" numFmtId="0" xfId="0" applyAlignment="1" applyBorder="1" applyFont="1">
      <alignment readingOrder="0" shrinkToFit="0" vertical="bottom" wrapText="1"/>
    </xf>
    <xf borderId="4" fillId="0" fontId="26" numFmtId="0" xfId="0" applyAlignment="1" applyBorder="1" applyFont="1">
      <alignment vertical="bottom"/>
    </xf>
    <xf borderId="1" fillId="15" fontId="7" numFmtId="0" xfId="0" applyAlignment="1" applyBorder="1" applyFill="1" applyFont="1">
      <alignment readingOrder="0" shrinkToFit="0" wrapText="1"/>
    </xf>
    <xf borderId="4" fillId="0" fontId="7" numFmtId="0" xfId="0" applyAlignment="1" applyBorder="1" applyFont="1">
      <alignment shrinkToFit="0" vertical="bottom" wrapText="1"/>
    </xf>
    <xf borderId="3" fillId="0" fontId="27" numFmtId="0" xfId="0" applyAlignment="1" applyBorder="1" applyFont="1">
      <alignment shrinkToFit="0" vertical="bottom" wrapText="1"/>
    </xf>
    <xf borderId="3" fillId="0" fontId="26" numFmtId="0" xfId="0" applyAlignment="1" applyBorder="1" applyFont="1">
      <alignment readingOrder="0" shrinkToFit="0" vertical="bottom" wrapText="1"/>
    </xf>
    <xf borderId="3" fillId="0" fontId="28" numFmtId="0" xfId="0" applyAlignment="1" applyBorder="1" applyFont="1">
      <alignment shrinkToFit="0" vertical="bottom" wrapText="1"/>
    </xf>
    <xf borderId="1" fillId="7" fontId="29" numFmtId="0" xfId="0" applyAlignment="1" applyBorder="1" applyFont="1">
      <alignment readingOrder="0" shrinkToFit="0" wrapText="1"/>
    </xf>
    <xf borderId="3" fillId="0" fontId="30" numFmtId="0" xfId="0" applyAlignment="1" applyBorder="1" applyFont="1">
      <alignment readingOrder="0" shrinkToFit="0" vertical="bottom" wrapText="1"/>
    </xf>
    <xf borderId="3" fillId="0" fontId="31" numFmtId="0" xfId="0" applyAlignment="1" applyBorder="1" applyFont="1">
      <alignment readingOrder="0" shrinkToFit="0" vertical="bottom" wrapText="1"/>
    </xf>
    <xf borderId="4" fillId="0" fontId="26" numFmtId="0" xfId="0" applyAlignment="1" applyBorder="1" applyFont="1">
      <alignment shrinkToFit="0" vertical="bottom" wrapText="1"/>
    </xf>
    <xf borderId="3" fillId="3" fontId="32" numFmtId="0" xfId="0" applyAlignment="1" applyBorder="1" applyFont="1">
      <alignment shrinkToFit="0" vertical="bottom" wrapText="1"/>
    </xf>
    <xf borderId="3" fillId="0" fontId="33" numFmtId="0" xfId="0" applyAlignment="1" applyBorder="1" applyFont="1">
      <alignment readingOrder="0" vertical="bottom"/>
    </xf>
    <xf borderId="3" fillId="0" fontId="34" numFmtId="0" xfId="0" applyAlignment="1" applyBorder="1" applyFont="1">
      <alignment readingOrder="0" shrinkToFit="0" vertical="bottom" wrapText="1"/>
    </xf>
    <xf borderId="3" fillId="0" fontId="7" numFmtId="0" xfId="0" applyAlignment="1" applyBorder="1" applyFont="1">
      <alignment readingOrder="0" vertical="bottom"/>
    </xf>
    <xf borderId="1" fillId="0" fontId="7" numFmtId="0" xfId="0" applyAlignment="1" applyBorder="1" applyFont="1">
      <alignment readingOrder="0" shrinkToFit="0" wrapText="1"/>
    </xf>
    <xf borderId="1" fillId="0" fontId="7" numFmtId="0" xfId="0" applyAlignment="1" applyBorder="1" applyFont="1">
      <alignment shrinkToFit="0" wrapText="1"/>
    </xf>
    <xf borderId="5" fillId="0" fontId="7" numFmtId="0" xfId="0" applyAlignment="1" applyBorder="1" applyFont="1">
      <alignment readingOrder="0"/>
    </xf>
    <xf borderId="6" fillId="0" fontId="7" numFmtId="0" xfId="0" applyAlignment="1" applyBorder="1" applyFont="1">
      <alignment readingOrder="0"/>
    </xf>
    <xf borderId="7" fillId="0" fontId="7" numFmtId="0" xfId="0" applyAlignment="1" applyBorder="1" applyFont="1">
      <alignment readingOrder="0"/>
    </xf>
    <xf borderId="8" fillId="0" fontId="7" numFmtId="0" xfId="0" applyAlignment="1" applyBorder="1" applyFont="1">
      <alignment readingOrder="0"/>
    </xf>
    <xf borderId="9" fillId="0" fontId="7" numFmtId="0" xfId="0" applyAlignment="1" applyBorder="1" applyFont="1">
      <alignment readingOrder="0"/>
    </xf>
    <xf borderId="9" fillId="5" fontId="18" numFmtId="0" xfId="0" applyAlignment="1" applyBorder="1" applyFont="1">
      <alignment readingOrder="0"/>
    </xf>
    <xf borderId="1" fillId="10" fontId="7" numFmtId="0" xfId="0" applyAlignment="1" applyBorder="1" applyFont="1">
      <alignment horizontal="left" readingOrder="0" vertical="bottom"/>
    </xf>
    <xf borderId="1" fillId="0" fontId="7" numFmtId="0" xfId="0" applyAlignment="1" applyBorder="1" applyFont="1">
      <alignment horizontal="left" readingOrder="0" vertical="bottom"/>
    </xf>
    <xf borderId="4" fillId="11" fontId="7" numFmtId="0" xfId="0" applyAlignment="1" applyBorder="1" applyFont="1">
      <alignment horizontal="left" readingOrder="0" vertical="bottom"/>
    </xf>
    <xf borderId="10" fillId="6" fontId="7" numFmtId="0" xfId="0" applyAlignment="1" applyBorder="1" applyFont="1">
      <alignment readingOrder="0" vertical="bottom"/>
    </xf>
    <xf borderId="10" fillId="0" fontId="7" numFmtId="0" xfId="0" applyAlignment="1" applyBorder="1" applyFont="1">
      <alignment readingOrder="0" vertical="bottom"/>
    </xf>
    <xf borderId="11" fillId="0" fontId="7" numFmtId="0" xfId="0" applyAlignment="1" applyBorder="1" applyFont="1">
      <alignment readingOrder="0" vertical="bottom"/>
    </xf>
    <xf borderId="11" fillId="11" fontId="7" numFmtId="0" xfId="0" applyAlignment="1" applyBorder="1" applyFont="1">
      <alignment horizontal="left" readingOrder="0" vertical="bottom"/>
    </xf>
    <xf borderId="11" fillId="0" fontId="7" numFmtId="0" xfId="0" applyAlignment="1" applyBorder="1" applyFont="1">
      <alignment horizontal="left" readingOrder="0" vertical="bottom"/>
    </xf>
    <xf borderId="1" fillId="11" fontId="7" numFmtId="0" xfId="0" applyAlignment="1" applyBorder="1" applyFont="1">
      <alignment horizontal="left" readingOrder="0" vertical="bottom"/>
    </xf>
    <xf borderId="1" fillId="0" fontId="7" numFmtId="49" xfId="0" applyAlignment="1" applyBorder="1" applyFont="1" applyNumberFormat="1">
      <alignment horizontal="left" vertical="bottom"/>
    </xf>
    <xf borderId="1" fillId="0" fontId="7" numFmtId="164" xfId="0" applyAlignment="1" applyBorder="1" applyFont="1" applyNumberFormat="1">
      <alignment readingOrder="0" vertical="bottom"/>
    </xf>
    <xf borderId="1" fillId="0" fontId="7" numFmtId="165" xfId="0" applyAlignment="1" applyBorder="1" applyFont="1" applyNumberFormat="1">
      <alignment horizontal="center" vertical="bottom"/>
    </xf>
    <xf borderId="1" fillId="0" fontId="7" numFmtId="167" xfId="0" applyAlignment="1" applyBorder="1" applyFont="1" applyNumberFormat="1">
      <alignment readingOrder="0" vertical="bottom"/>
    </xf>
    <xf borderId="1" fillId="0" fontId="7" numFmtId="0" xfId="0" applyAlignment="1" applyBorder="1" applyFont="1">
      <alignment vertical="bottom"/>
    </xf>
    <xf borderId="1" fillId="0" fontId="24" numFmtId="164" xfId="0" applyAlignment="1" applyBorder="1" applyFont="1" applyNumberFormat="1">
      <alignment horizontal="right" readingOrder="0" vertical="bottom"/>
    </xf>
    <xf borderId="1" fillId="0" fontId="7" numFmtId="164" xfId="0" applyAlignment="1" applyBorder="1" applyFont="1" applyNumberFormat="1">
      <alignment horizontal="right" vertical="bottom"/>
    </xf>
    <xf borderId="0" fillId="0" fontId="7" numFmtId="49" xfId="0" applyAlignment="1" applyFont="1" applyNumberFormat="1">
      <alignment horizontal="left" vertical="bottom"/>
    </xf>
    <xf borderId="1" fillId="0" fontId="24" numFmtId="0" xfId="0" applyAlignment="1" applyBorder="1" applyFont="1">
      <alignment vertical="bottom"/>
    </xf>
    <xf borderId="1" fillId="0" fontId="9" numFmtId="4" xfId="0" applyBorder="1" applyFont="1" applyNumberFormat="1"/>
    <xf borderId="1" fillId="0" fontId="9" numFmtId="49" xfId="0" applyAlignment="1" applyBorder="1" applyFont="1" applyNumberFormat="1">
      <alignment readingOrder="0"/>
    </xf>
    <xf borderId="0" fillId="0" fontId="7" numFmtId="164" xfId="0" applyAlignment="1" applyFont="1" applyNumberFormat="1">
      <alignment horizontal="right" vertical="bottom"/>
    </xf>
    <xf borderId="2" fillId="0" fontId="7" numFmtId="49" xfId="0" applyAlignment="1" applyBorder="1" applyFont="1" applyNumberFormat="1">
      <alignment vertical="bottom"/>
    </xf>
    <xf borderId="2" fillId="0" fontId="7" numFmtId="164" xfId="0" applyAlignment="1" applyBorder="1" applyFont="1" applyNumberFormat="1">
      <alignment horizontal="right" vertical="bottom"/>
    </xf>
  </cellXfs>
  <cellStyles count="1">
    <cellStyle xfId="0" name="Normal" builtinId="0"/>
  </cellStyles>
  <dxfs count="18">
    <dxf>
      <font/>
      <fill>
        <patternFill patternType="solid">
          <fgColor rgb="FF46BDC6"/>
          <bgColor rgb="FF46BDC6"/>
        </patternFill>
      </fill>
      <border/>
    </dxf>
    <dxf>
      <font/>
      <fill>
        <patternFill patternType="solid">
          <fgColor rgb="FFFCE8B2"/>
          <bgColor rgb="FFFCE8B2"/>
        </patternFill>
      </fill>
      <border/>
    </dxf>
    <dxf>
      <font/>
      <fill>
        <patternFill patternType="solid">
          <fgColor rgb="FFB7E1CD"/>
          <bgColor rgb="FFB7E1CD"/>
        </patternFill>
      </fill>
      <border/>
    </dxf>
    <dxf>
      <font/>
      <fill>
        <patternFill patternType="solid">
          <fgColor rgb="FFF9CB9C"/>
          <bgColor rgb="FFF9CB9C"/>
        </patternFill>
      </fill>
      <border/>
    </dxf>
    <dxf>
      <font/>
      <fill>
        <patternFill patternType="solid">
          <fgColor rgb="FFF4C7C3"/>
          <bgColor rgb="FFF4C7C3"/>
        </patternFill>
      </fill>
      <border/>
    </dxf>
    <dxf>
      <font/>
      <fill>
        <patternFill patternType="solid">
          <fgColor rgb="FFA4C2F4"/>
          <bgColor rgb="FFA4C2F4"/>
        </patternFill>
      </fill>
      <border/>
    </dxf>
    <dxf>
      <font/>
      <fill>
        <patternFill patternType="solid">
          <fgColor rgb="FFC27BA0"/>
          <bgColor rgb="FFC27BA0"/>
        </patternFill>
      </fill>
      <border/>
    </dxf>
    <dxf>
      <font/>
      <fill>
        <patternFill patternType="solid">
          <fgColor rgb="FFB4A7D6"/>
          <bgColor rgb="FFB4A7D6"/>
        </patternFill>
      </fill>
      <border/>
    </dxf>
    <dxf>
      <font/>
      <fill>
        <patternFill patternType="solid">
          <fgColor rgb="FF783F04"/>
          <bgColor rgb="FF783F04"/>
        </patternFill>
      </fill>
      <border/>
    </dxf>
    <dxf>
      <font/>
      <fill>
        <patternFill patternType="solid">
          <fgColor rgb="FF6AA84F"/>
          <bgColor rgb="FF6AA84F"/>
        </patternFill>
      </fill>
      <border/>
    </dxf>
    <dxf>
      <font/>
      <fill>
        <patternFill patternType="none"/>
      </fill>
      <border/>
    </dxf>
    <dxf>
      <font/>
      <fill>
        <patternFill patternType="solid">
          <fgColor rgb="FFFFFF00"/>
          <bgColor rgb="FFFFFF00"/>
        </patternFill>
      </fill>
      <border/>
    </dxf>
    <dxf>
      <font/>
      <fill>
        <patternFill patternType="solid">
          <fgColor rgb="FFF4CCCC"/>
          <bgColor rgb="FFF4CCCC"/>
        </patternFill>
      </fill>
      <border/>
    </dxf>
    <dxf>
      <font/>
      <fill>
        <patternFill patternType="none"/>
      </fill>
      <border/>
    </dxf>
    <dxf>
      <font/>
      <fill>
        <patternFill patternType="solid">
          <fgColor rgb="FF000000"/>
          <bgColor rgb="FF000000"/>
        </patternFill>
      </fill>
      <border/>
    </dxf>
    <dxf>
      <font/>
      <fill>
        <patternFill patternType="solid">
          <fgColor rgb="FFFFFFFF"/>
          <bgColor rgb="FFFFFFFF"/>
        </patternFill>
      </fill>
      <border/>
    </dxf>
    <dxf>
      <font/>
      <fill>
        <patternFill patternType="solid">
          <fgColor rgb="FFEFEFEF"/>
          <bgColor rgb="FFEFEFEF"/>
        </patternFill>
      </fill>
      <border/>
    </dxf>
    <dxf>
      <font/>
      <fill>
        <patternFill patternType="solid">
          <fgColor theme="9"/>
          <bgColor theme="9"/>
        </patternFill>
      </fill>
      <border/>
    </dxf>
  </dxfs>
  <tableStyles count="8">
    <tableStyle count="3" pivot="0" name="Likely Leaving-style">
      <tableStyleElement dxfId="14" type="headerRow"/>
      <tableStyleElement dxfId="15" type="firstRowStripe"/>
      <tableStyleElement dxfId="16" type="secondRowStripe"/>
    </tableStyle>
    <tableStyle count="2" pivot="0" name="Likely Leaving-style 2">
      <tableStyleElement dxfId="16" type="firstRowStripe"/>
      <tableStyleElement dxfId="15" type="secondRowStripe"/>
    </tableStyle>
    <tableStyle count="3" pivot="0" name="Retro Classics-style">
      <tableStyleElement dxfId="14" type="headerRow"/>
      <tableStyleElement dxfId="15" type="firstRowStripe"/>
      <tableStyleElement dxfId="16" type="secondRowStripe"/>
    </tableStyle>
    <tableStyle count="2" pivot="0" name="Retro Classics-style 2">
      <tableStyleElement dxfId="16" type="firstRowStripe"/>
      <tableStyleElement dxfId="15" type="secondRowStripe"/>
    </tableStyle>
    <tableStyle count="3" pivot="0" name="Game Pass Premium-style">
      <tableStyleElement dxfId="14" type="headerRow"/>
      <tableStyleElement dxfId="15" type="firstRowStripe"/>
      <tableStyleElement dxfId="16" type="secondRowStripe"/>
    </tableStyle>
    <tableStyle count="2" pivot="0" name="Game Pass Premium-style 2">
      <tableStyleElement dxfId="16" type="firstRowStripe"/>
      <tableStyleElement dxfId="15" type="secondRowStripe"/>
    </tableStyle>
    <tableStyle count="3" pivot="0" name="Game Pass Essential-style">
      <tableStyleElement dxfId="14" type="headerRow"/>
      <tableStyleElement dxfId="15" type="firstRowStripe"/>
      <tableStyleElement dxfId="16" type="secondRowStripe"/>
    </tableStyle>
    <tableStyle count="2" pivot="0" name="Game Pass Essential-style 2">
      <tableStyleElement dxfId="16" type="firstRowStripe"/>
      <tableStyleElement dxfId="1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AC2" displayName="Table_1" name="Table_1" id="1">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Likely Leaving-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D3:K59"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Likely Leaving-style 2" showColumnStripes="0" showFirstColumn="1" showLastColumn="1" showRowStripes="1"/>
</table>
</file>

<file path=xl/tables/table3.xml><?xml version="1.0" encoding="utf-8"?>
<table xmlns="http://schemas.openxmlformats.org/spreadsheetml/2006/main" headerRowCount="0" ref="A2:S2" displayName="Table_3" name="Table_3" id="3">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Retro Classics-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D3:K39"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Retro Classics-style 2" showColumnStripes="0" showFirstColumn="1" showLastColumn="1" showRowStripes="1"/>
</table>
</file>

<file path=xl/tables/table5.xml><?xml version="1.0" encoding="utf-8"?>
<table xmlns="http://schemas.openxmlformats.org/spreadsheetml/2006/main" headerRowCount="0" ref="A2:T2" displayName="Table_5" name="Table_5" id="5">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Game Pass Premium-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D3:K39"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Game Pass Premium-style 2" showColumnStripes="0" showFirstColumn="1" showLastColumn="1" showRowStripes="1"/>
</table>
</file>

<file path=xl/tables/table7.xml><?xml version="1.0" encoding="utf-8"?>
<table xmlns="http://schemas.openxmlformats.org/spreadsheetml/2006/main" headerRowCount="0" ref="A2:S2" displayName="Table_7" name="Table_7" id="7">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Game Pass Essential-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D3:K39" displayName="Table_8" name="Table_8"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Game Pass Essential-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9RorxFhWc2lHocg4c9zrVssSwZq1u2nPcpTsAvzdJQw" TargetMode="External"/><Relationship Id="rId3" Type="http://schemas.openxmlformats.org/officeDocument/2006/relationships/hyperlink" Target="https://www.riotgames.com/en/riot-game-pass-benefits" TargetMode="External"/><Relationship Id="rId4" Type="http://schemas.openxmlformats.org/officeDocument/2006/relationships/hyperlink" Target="https://www.riotgames.com/en/riot-game-pass-benefits" TargetMode="External"/><Relationship Id="rId5" Type="http://schemas.openxmlformats.org/officeDocument/2006/relationships/hyperlink" Target="https://www.riotgames.com/en/riot-game-pass-benefits" TargetMode="External"/><Relationship Id="rId6" Type="http://schemas.openxmlformats.org/officeDocument/2006/relationships/hyperlink" Target="https://www.riotgames.com/en/riot-game-pass-benefits"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rueachievements.com/gamer/Bloomy/blog" TargetMode="External"/><Relationship Id="rId2"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1" Type="http://schemas.openxmlformats.org/officeDocument/2006/relationships/hyperlink" Target="https://en.wikipedia.org/wiki/Kinect_Adventures" TargetMode="External"/><Relationship Id="rId10" Type="http://schemas.openxmlformats.org/officeDocument/2006/relationships/hyperlink" Target="https://en.wikipedia.org/wiki/FASA_Studio" TargetMode="External"/><Relationship Id="rId13" Type="http://schemas.openxmlformats.org/officeDocument/2006/relationships/hyperlink" Target="https://en.wikipedia.org/wiki/Lionhead_Studios" TargetMode="External"/><Relationship Id="rId12" Type="http://schemas.openxmlformats.org/officeDocument/2006/relationships/hyperlink" Target="https://en.wikipedia.org/wiki/Halo_2" TargetMode="External"/><Relationship Id="rId1" Type="http://schemas.openxmlformats.org/officeDocument/2006/relationships/hyperlink" Target="https://en.wikipedia.org/wiki/Access_Software" TargetMode="External"/><Relationship Id="rId2" Type="http://schemas.openxmlformats.org/officeDocument/2006/relationships/hyperlink" Target="https://en.wikipedia.org/wiki/Bungie" TargetMode="External"/><Relationship Id="rId3" Type="http://schemas.openxmlformats.org/officeDocument/2006/relationships/hyperlink" Target="https://en.wikipedia.org/wiki/Lift_London" TargetMode="External"/><Relationship Id="rId4" Type="http://schemas.openxmlformats.org/officeDocument/2006/relationships/hyperlink" Target="https://en.wikipedia.org/wiki/Twisted_Pixel_Games" TargetMode="External"/><Relationship Id="rId9" Type="http://schemas.openxmlformats.org/officeDocument/2006/relationships/hyperlink" Target="https://en.wikipedia.org/wiki/Ensemble_Studios" TargetMode="External"/><Relationship Id="rId15" Type="http://schemas.openxmlformats.org/officeDocument/2006/relationships/hyperlink" Target="https://en.wikipedia.org/wiki/Press_Play_(company)" TargetMode="External"/><Relationship Id="rId14" Type="http://schemas.openxmlformats.org/officeDocument/2006/relationships/hyperlink" Target="https://en.wikipedia.org/wiki/Phantom_Dust" TargetMode="External"/><Relationship Id="rId17" Type="http://schemas.openxmlformats.org/officeDocument/2006/relationships/hyperlink" Target="https://en.wikipedia.org/wiki/Xbox_Entertainment_Studios" TargetMode="External"/><Relationship Id="rId16" Type="http://schemas.openxmlformats.org/officeDocument/2006/relationships/hyperlink" Target="https://en.wikipedia.org/wiki/Project_Spark" TargetMode="External"/><Relationship Id="rId5" Type="http://schemas.openxmlformats.org/officeDocument/2006/relationships/hyperlink" Target="https://en.wikipedia.org/wiki/Peter_Jackson" TargetMode="External"/><Relationship Id="rId6" Type="http://schemas.openxmlformats.org/officeDocument/2006/relationships/hyperlink" Target="https://en.wikipedia.org/wiki/Aces_Game_Studio" TargetMode="External"/><Relationship Id="rId18" Type="http://schemas.openxmlformats.org/officeDocument/2006/relationships/drawing" Target="../drawings/drawing3.xml"/><Relationship Id="rId7" Type="http://schemas.openxmlformats.org/officeDocument/2006/relationships/hyperlink" Target="https://en.wikipedia.org/wiki/BigPark" TargetMode="External"/><Relationship Id="rId8" Type="http://schemas.openxmlformats.org/officeDocument/2006/relationships/hyperlink" Target="https://en.wikipedia.org/wiki/Digital_Anvi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3.xml"/><Relationship Id="rId5"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5.xml"/><Relationship Id="rId5"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7.xml"/><Relationship Id="rId5"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pcgamingwiki.com/wiki/List_of_EA_Play_games)" TargetMode="External"/><Relationship Id="rId42" Type="http://schemas.openxmlformats.org/officeDocument/2006/relationships/hyperlink" Target="https://www.playstation.com/en-gb/games/metal-hellsinger/" TargetMode="External"/><Relationship Id="rId41" Type="http://schemas.openxmlformats.org/officeDocument/2006/relationships/hyperlink" Target="https://www.gematsu.com/2022/08/ghost-song-launches-november-3-for-ps5-xbox-series-ps4-xbox-one-switch-and-pc" TargetMode="External"/><Relationship Id="rId44" Type="http://schemas.openxmlformats.org/officeDocument/2006/relationships/hyperlink" Target="https://www.theverge.com/2022/9/15/23352606/deathloop-xbox-series-x-s-release-date-ps5-microsoft" TargetMode="External"/><Relationship Id="rId43" Type="http://schemas.openxmlformats.org/officeDocument/2006/relationships/hyperlink" Target="https://news.xbox.com/en-us/2022/09/07/gungrave-gore-launching-day-one-with-game-pass/" TargetMode="External"/><Relationship Id="rId46" Type="http://schemas.openxmlformats.org/officeDocument/2006/relationships/hyperlink" Target="https://www.trueachievements.com/n51131/xbox-game-pass-leaving-soon" TargetMode="External"/><Relationship Id="rId45" Type="http://schemas.openxmlformats.org/officeDocument/2006/relationships/hyperlink" Target="https://www.trueachievements.com/n51135/eville-xbox-game-pas" TargetMode="External"/><Relationship Id="rId1" Type="http://schemas.openxmlformats.org/officeDocument/2006/relationships/hyperlink" Target="https://www.pcgamesn.com/world-war-z/full-cross-play)" TargetMode="External"/><Relationship Id="rId2" Type="http://schemas.openxmlformats.org/officeDocument/2006/relationships/hyperlink" Target="https://gamerant.com/destiny-2-game-pass-pc/)" TargetMode="External"/><Relationship Id="rId3" Type="http://schemas.openxmlformats.org/officeDocument/2006/relationships/hyperlink" Target="https://www.windowscentral.com/crosscode-xbox-game-pass-has-more-players-other-consoles-combined" TargetMode="External"/><Relationship Id="rId4" Type="http://schemas.openxmlformats.org/officeDocument/2006/relationships/hyperlink" Target="https://news.xbox.com/en-us/2020/10/13/coming-soon-xbox-game-pass-october-2020-wave-2/" TargetMode="External"/><Relationship Id="rId9" Type="http://schemas.openxmlformats.org/officeDocument/2006/relationships/hyperlink" Target="https://www.windowscentral.com/demons-tilt-genesis-noir-and-more-join-xbox-game-pass-soon" TargetMode="External"/><Relationship Id="rId48" Type="http://schemas.openxmlformats.org/officeDocument/2006/relationships/hyperlink" Target="https://www.trueachievements.com/n52349/xbox-cloud-gaming-the-elder-scrolls-online-game-pass-ultimate" TargetMode="External"/><Relationship Id="rId47" Type="http://schemas.openxmlformats.org/officeDocument/2006/relationships/hyperlink" Target="https://twitter.com/Despotism_3k/status/1569710108715765760" TargetMode="External"/><Relationship Id="rId49" Type="http://schemas.openxmlformats.org/officeDocument/2006/relationships/hyperlink" Target="https://blogs.nvidia.com/blog/2023/08/24/geforce-now-thursday-aug-24/" TargetMode="External"/><Relationship Id="rId5" Type="http://schemas.openxmlformats.org/officeDocument/2006/relationships/hyperlink" Target="https://www.reddit.com/r/xboxone/comments/7lk2or/nba_2k16_leaves_xbox_game_pass_on_december_31st/" TargetMode="External"/><Relationship Id="rId6" Type="http://schemas.openxmlformats.org/officeDocument/2006/relationships/hyperlink" Target="http://howlongtobeat.com/" TargetMode="External"/><Relationship Id="rId7" Type="http://schemas.openxmlformats.org/officeDocument/2006/relationships/hyperlink" Target="https://www.pcgamingwiki.com/wiki/List_of_Xbox_Play_Anywhere_games" TargetMode="External"/><Relationship Id="rId8" Type="http://schemas.openxmlformats.org/officeDocument/2006/relationships/hyperlink" Target="https://www.google.com/search?hl=&amp;site=&amp;q=forza+horizon+4+cross+play" TargetMode="External"/><Relationship Id="rId31" Type="http://schemas.openxmlformats.org/officeDocument/2006/relationships/hyperlink" Target="https://www.xbox.com/en-US/games/disney-dreamlight-valley" TargetMode="External"/><Relationship Id="rId30" Type="http://schemas.openxmlformats.org/officeDocument/2006/relationships/hyperlink" Target="https://twitter.com/gardenstorygame/status/1544444534339149824" TargetMode="External"/><Relationship Id="rId33" Type="http://schemas.openxmlformats.org/officeDocument/2006/relationships/hyperlink" Target="https://www.origin.com/esp/en-us/store/rebel-galaxy/rebel-galaxy" TargetMode="External"/><Relationship Id="rId32" Type="http://schemas.openxmlformats.org/officeDocument/2006/relationships/hyperlink" Target="https://www.youtube.com/watch?v=QgkiQn0XG4I" TargetMode="External"/><Relationship Id="rId35" Type="http://schemas.openxmlformats.org/officeDocument/2006/relationships/hyperlink" Target="https://www.origin.com/gbr/en-us/store/syndicate/syndicate-1993" TargetMode="External"/><Relationship Id="rId34" Type="http://schemas.openxmlformats.org/officeDocument/2006/relationships/hyperlink" Target="https://www.origin.com/gbr/en-us/store/super-mega-baseball/super-mega-baseball-3" TargetMode="External"/><Relationship Id="rId37" Type="http://schemas.openxmlformats.org/officeDocument/2006/relationships/hyperlink" Target="https://www.origin.com/gbr/en-us/store/ultima/ultima-underworld-ii-labyrinth-of-worlds" TargetMode="External"/><Relationship Id="rId36" Type="http://schemas.openxmlformats.org/officeDocument/2006/relationships/hyperlink" Target="https://www.origin.com/gbr/en-us/store/ultima/ultima-underworld-the-stygian-abyss" TargetMode="External"/><Relationship Id="rId39" Type="http://schemas.openxmlformats.org/officeDocument/2006/relationships/hyperlink" Target="https://www.windowscentral.com/xbox-cross-play-games" TargetMode="External"/><Relationship Id="rId38" Type="http://schemas.openxmlformats.org/officeDocument/2006/relationships/hyperlink" Target="https://www.youtube.com/watch?v=2JQHg517Cz8" TargetMode="External"/><Relationship Id="rId20" Type="http://schemas.openxmlformats.org/officeDocument/2006/relationships/hyperlink" Target="https://www.xbox.com/en-us/games/store/kingdom-hearts/c08mw8xhqn9g" TargetMode="External"/><Relationship Id="rId22" Type="http://schemas.openxmlformats.org/officeDocument/2006/relationships/hyperlink" Target="https://majornelson.com/fpsboost/" TargetMode="External"/><Relationship Id="rId21" Type="http://schemas.openxmlformats.org/officeDocument/2006/relationships/hyperlink" Target="https://gamerant.com/a-memoir-blue-xbox-game-pass-march" TargetMode="External"/><Relationship Id="rId24" Type="http://schemas.openxmlformats.org/officeDocument/2006/relationships/hyperlink" Target="https://help.bungie.net/hc/en-us/articles/360054430692" TargetMode="External"/><Relationship Id="rId23" Type="http://schemas.openxmlformats.org/officeDocument/2006/relationships/hyperlink" Target="https://www.trueachievements.com/n48641/the-elder-scrolls-online-removed-from-xbox-cloud-gaming" TargetMode="External"/><Relationship Id="rId26" Type="http://schemas.openxmlformats.org/officeDocument/2006/relationships/hyperlink" Target="https://www.origin.com/usa/en-us/store/aragami/aragami" TargetMode="External"/><Relationship Id="rId25" Type="http://schemas.openxmlformats.org/officeDocument/2006/relationships/hyperlink" Target="https://twitter.com/FellowTravellr/status/1504175386485456896" TargetMode="External"/><Relationship Id="rId28" Type="http://schemas.openxmlformats.org/officeDocument/2006/relationships/hyperlink" Target="https://www.xbox.com/en-US/play/gallery/touch" TargetMode="External"/><Relationship Id="rId27" Type="http://schemas.openxmlformats.org/officeDocument/2006/relationships/hyperlink" Target="https://www.xbox.com/en-US/play/games/townscaper/9NFM39PSFXJD" TargetMode="External"/><Relationship Id="rId29" Type="http://schemas.openxmlformats.org/officeDocument/2006/relationships/hyperlink" Target="https://www.eurogamer.net/xbox-game-pass-games-list-this-month-price-6400" TargetMode="External"/><Relationship Id="rId51" Type="http://schemas.openxmlformats.org/officeDocument/2006/relationships/hyperlink" Target="https://news.xbox.com/en-us/2024/03/05/xbox-game-pass-new-for-march-2024/" TargetMode="External"/><Relationship Id="rId50" Type="http://schemas.openxmlformats.org/officeDocument/2006/relationships/hyperlink" Target="https://gamerant.com/xbox-game-pass-leaves-early-access-full-release/" TargetMode="External"/><Relationship Id="rId52" Type="http://schemas.openxmlformats.org/officeDocument/2006/relationships/drawing" Target="../drawings/drawing11.xml"/><Relationship Id="rId11" Type="http://schemas.openxmlformats.org/officeDocument/2006/relationships/hyperlink" Target="https://www.pcgamer.com/theres-a-whole-27-games-coming-day-one-on-game-pass-for-pc/" TargetMode="External"/><Relationship Id="rId10" Type="http://schemas.openxmlformats.org/officeDocument/2006/relationships/hyperlink" Target="https://www.microsoft.com/ja-jp/p/phogs/9P6X271HLG8Q?activetab=pivot:overviewtab" TargetMode="External"/><Relationship Id="rId13" Type="http://schemas.openxmlformats.org/officeDocument/2006/relationships/hyperlink" Target="https://majornelson.com/fpsboost/" TargetMode="External"/><Relationship Id="rId12" Type="http://schemas.openxmlformats.org/officeDocument/2006/relationships/hyperlink" Target="https://www.metacritic.com/game/pc/dungeon-keeper" TargetMode="External"/><Relationship Id="rId15" Type="http://schemas.openxmlformats.org/officeDocument/2006/relationships/hyperlink" Target="https://gametracker.softr.app/" TargetMode="External"/><Relationship Id="rId14" Type="http://schemas.openxmlformats.org/officeDocument/2006/relationships/hyperlink" Target="https://twitter.com/UnpackingALife/status/1437832567303061507" TargetMode="External"/><Relationship Id="rId17" Type="http://schemas.openxmlformats.org/officeDocument/2006/relationships/hyperlink" Target="https://youtu.be/r1ye5cBgKoU?t=29" TargetMode="External"/><Relationship Id="rId16" Type="http://schemas.openxmlformats.org/officeDocument/2006/relationships/hyperlink" Target="https://i.imgur.com/2k7PI7V.png" TargetMode="External"/><Relationship Id="rId19" Type="http://schemas.openxmlformats.org/officeDocument/2006/relationships/hyperlink" Target="https://news.xbox.com/en-us/2022/01/28/two-point-campus-coming-to-xbox-game-pass-on-day-one/" TargetMode="External"/><Relationship Id="rId18" Type="http://schemas.openxmlformats.org/officeDocument/2006/relationships/hyperlink" Target="https://www.eurogamer.net/articles/2022-01-12-stalker-2-delayed-until-december"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2"/>
  <cols>
    <col customWidth="1" min="1" max="1" width="48.75"/>
    <col customWidth="1" min="2" max="2" width="12.63" outlineLevel="2"/>
    <col customWidth="1" min="3" max="3" width="17.38" outlineLevel="2"/>
    <col customWidth="1" min="4" max="4" width="13.0" outlineLevel="2"/>
    <col customWidth="1" min="5" max="5" width="8.63" outlineLevel="2"/>
    <col customWidth="1" min="6" max="6" width="11.0" outlineLevel="2"/>
    <col customWidth="1" min="7" max="7" width="9.38" outlineLevel="2"/>
    <col customWidth="1" min="8" max="8" width="11.5" outlineLevel="1"/>
    <col customWidth="1" min="9" max="9" width="6.63" outlineLevel="1"/>
    <col customWidth="1" min="10" max="10" width="11.25" outlineLevel="1"/>
    <col customWidth="1" min="11" max="11" width="12.5" outlineLevel="1"/>
    <col customWidth="1" min="12" max="12" width="18.75" outlineLevel="1"/>
    <col customWidth="1" min="13" max="13" width="11.75" outlineLevel="1"/>
    <col customWidth="1" min="14" max="14" width="33.25" outlineLevel="1"/>
    <col customWidth="1" min="15" max="15" width="8.13" outlineLevel="1"/>
    <col customWidth="1" min="16" max="16" width="22.75" outlineLevel="1"/>
    <col customWidth="1" min="17" max="17" width="20.13" outlineLevel="1"/>
    <col customWidth="1" min="18" max="20" width="11.13"/>
  </cols>
  <sheetData>
    <row r="1">
      <c r="A1" s="1" t="s">
        <v>0</v>
      </c>
      <c r="B1" s="2">
        <f>COUNTIFS(D2:D2121,"Active",B2:B2121,"&lt;&gt;")+COUNTIF(D2:D2121,"Leaving Soon")</f>
        <v>687</v>
      </c>
      <c r="C1" s="1" t="s">
        <v>1</v>
      </c>
      <c r="D1" s="1"/>
      <c r="E1" s="1" t="s">
        <v>2</v>
      </c>
      <c r="F1" s="1"/>
      <c r="G1" s="1"/>
      <c r="H1" s="3" t="s">
        <v>3</v>
      </c>
      <c r="I1" s="1"/>
      <c r="J1" s="1"/>
      <c r="K1" s="1"/>
      <c r="L1" s="1" t="s">
        <v>4</v>
      </c>
      <c r="M1" s="4"/>
      <c r="N1" s="5" t="s">
        <v>5</v>
      </c>
      <c r="O1" s="4"/>
      <c r="P1" s="6" t="s">
        <v>6</v>
      </c>
      <c r="Q1" s="4"/>
      <c r="R1" s="1" t="s">
        <v>7</v>
      </c>
    </row>
    <row r="2">
      <c r="A2" s="7" t="s">
        <v>8</v>
      </c>
      <c r="B2" s="8" t="s">
        <v>9</v>
      </c>
      <c r="C2" s="9" t="s">
        <v>10</v>
      </c>
      <c r="D2" s="8" t="s">
        <v>11</v>
      </c>
      <c r="E2" s="8" t="s">
        <v>12</v>
      </c>
      <c r="F2" s="9" t="s">
        <v>13</v>
      </c>
      <c r="G2" s="10" t="s">
        <v>14</v>
      </c>
      <c r="H2" s="11" t="s">
        <v>15</v>
      </c>
      <c r="I2" s="11" t="s">
        <v>16</v>
      </c>
      <c r="J2" s="11" t="s">
        <v>17</v>
      </c>
      <c r="K2" s="11" t="s">
        <v>18</v>
      </c>
      <c r="L2" s="11" t="s">
        <v>19</v>
      </c>
      <c r="M2" s="11" t="s">
        <v>20</v>
      </c>
      <c r="N2" s="9" t="s">
        <v>21</v>
      </c>
      <c r="O2" s="12" t="s">
        <v>22</v>
      </c>
      <c r="P2" s="13" t="s">
        <v>23</v>
      </c>
      <c r="Q2" s="14" t="s">
        <v>24</v>
      </c>
      <c r="R2" s="9" t="s">
        <v>11</v>
      </c>
      <c r="S2" s="8" t="s">
        <v>12</v>
      </c>
      <c r="T2" s="11" t="s">
        <v>25</v>
      </c>
    </row>
    <row r="3">
      <c r="A3" s="15" t="s">
        <v>26</v>
      </c>
      <c r="B3" s="16" t="s">
        <v>27</v>
      </c>
      <c r="C3" s="16" t="s">
        <v>28</v>
      </c>
      <c r="D3" s="17" t="str">
        <f t="shared" ref="D3:D955" si="1">IF(E3&gt;TODAY(),"Coming Soon",IF(F3="","Active",IF(F3&gt;TODAY(),"Leaving Soon","Removed")))</f>
        <v>Coming Soon</v>
      </c>
      <c r="E3" s="18">
        <v>45959.0</v>
      </c>
      <c r="F3" s="19"/>
      <c r="G3" s="20">
        <f t="shared" ref="G3:G2121" si="2">MONTHDUR(E3,F3)</f>
        <v>-0.4666666667</v>
      </c>
      <c r="H3" s="21">
        <f>E3</f>
        <v>45959</v>
      </c>
      <c r="I3" s="20">
        <f t="shared" ref="I3:I2121" si="3">YEARDUR(H3,E3)</f>
        <v>0</v>
      </c>
      <c r="J3" s="22"/>
      <c r="K3" s="22"/>
      <c r="L3" s="23" t="s">
        <v>29</v>
      </c>
      <c r="M3" s="23" t="s">
        <v>30</v>
      </c>
      <c r="N3" s="24"/>
      <c r="O3" s="24"/>
      <c r="P3" s="25"/>
      <c r="Q3" s="24"/>
      <c r="R3" s="17" t="str">
        <f t="shared" ref="R3:R841" si="4">IF(S3="","TBD",IF(S3&gt;TODAY(),"Coming Soon",IF(F3="","Active",IF(F3&gt;TODAY(),"Leaving Soon","Removed"))))</f>
        <v>TBD</v>
      </c>
      <c r="S3" s="26"/>
      <c r="T3" s="20">
        <f t="shared" ref="T3:T841" si="5">MONTHDUR(E3,S3)</f>
        <v>-0.4666666667</v>
      </c>
    </row>
    <row r="4">
      <c r="A4" s="27" t="s">
        <v>31</v>
      </c>
      <c r="B4" s="28" t="s">
        <v>27</v>
      </c>
      <c r="C4" s="28" t="s">
        <v>28</v>
      </c>
      <c r="D4" s="29" t="str">
        <f t="shared" si="1"/>
        <v>Coming Soon</v>
      </c>
      <c r="E4" s="30">
        <v>45951.0</v>
      </c>
      <c r="F4" s="31"/>
      <c r="G4" s="32">
        <f t="shared" si="2"/>
        <v>-0.2</v>
      </c>
      <c r="H4" s="33">
        <v>44887.0</v>
      </c>
      <c r="I4" s="32">
        <f t="shared" si="3"/>
        <v>2.913888889</v>
      </c>
      <c r="J4" s="34">
        <v>73.0</v>
      </c>
      <c r="K4" s="34">
        <v>11.0</v>
      </c>
      <c r="L4" s="35" t="s">
        <v>32</v>
      </c>
      <c r="M4" s="35"/>
      <c r="N4" s="35" t="s">
        <v>33</v>
      </c>
      <c r="O4" s="35" t="s">
        <v>34</v>
      </c>
      <c r="P4" s="36" t="s">
        <v>35</v>
      </c>
      <c r="Q4" s="35"/>
      <c r="R4" s="29" t="str">
        <f t="shared" si="4"/>
        <v>Active</v>
      </c>
      <c r="S4" s="33">
        <v>45547.0</v>
      </c>
      <c r="T4" s="32">
        <f t="shared" si="5"/>
        <v>-13.3</v>
      </c>
    </row>
    <row r="5">
      <c r="A5" s="15" t="s">
        <v>36</v>
      </c>
      <c r="B5" s="16" t="s">
        <v>27</v>
      </c>
      <c r="C5" s="16" t="s">
        <v>28</v>
      </c>
      <c r="D5" s="17" t="str">
        <f t="shared" si="1"/>
        <v>Coming Soon</v>
      </c>
      <c r="E5" s="18">
        <v>45951.0</v>
      </c>
      <c r="F5" s="19"/>
      <c r="G5" s="20">
        <f t="shared" si="2"/>
        <v>-0.2</v>
      </c>
      <c r="H5" s="21">
        <f t="shared" ref="H5:H8" si="6">E5</f>
        <v>45951</v>
      </c>
      <c r="I5" s="20">
        <f t="shared" si="3"/>
        <v>0</v>
      </c>
      <c r="J5" s="22"/>
      <c r="K5" s="22"/>
      <c r="L5" s="23" t="s">
        <v>37</v>
      </c>
      <c r="M5" s="23" t="s">
        <v>30</v>
      </c>
      <c r="N5" s="24"/>
      <c r="O5" s="24"/>
      <c r="P5" s="25"/>
      <c r="Q5" s="24"/>
      <c r="R5" s="17" t="str">
        <f t="shared" si="4"/>
        <v>TBD</v>
      </c>
      <c r="S5" s="26"/>
      <c r="T5" s="20">
        <f t="shared" si="5"/>
        <v>-0.2</v>
      </c>
    </row>
    <row r="6">
      <c r="A6" s="27" t="s">
        <v>38</v>
      </c>
      <c r="B6" s="28" t="s">
        <v>27</v>
      </c>
      <c r="C6" s="28" t="s">
        <v>28</v>
      </c>
      <c r="D6" s="29" t="str">
        <f t="shared" si="1"/>
        <v>Coming Soon</v>
      </c>
      <c r="E6" s="33">
        <v>45947.0</v>
      </c>
      <c r="F6" s="37"/>
      <c r="G6" s="32">
        <f t="shared" si="2"/>
        <v>-0.06666666667</v>
      </c>
      <c r="H6" s="38">
        <f t="shared" si="6"/>
        <v>45947</v>
      </c>
      <c r="I6" s="32">
        <f t="shared" si="3"/>
        <v>0</v>
      </c>
      <c r="J6" s="39"/>
      <c r="K6" s="39"/>
      <c r="L6" s="35" t="s">
        <v>37</v>
      </c>
      <c r="M6" s="35" t="s">
        <v>30</v>
      </c>
      <c r="N6" s="40"/>
      <c r="O6" s="40"/>
      <c r="P6" s="41"/>
      <c r="Q6" s="40"/>
      <c r="R6" s="29" t="str">
        <f t="shared" si="4"/>
        <v>TBD</v>
      </c>
      <c r="S6" s="42"/>
      <c r="T6" s="32">
        <f t="shared" si="5"/>
        <v>-0.06666666667</v>
      </c>
    </row>
    <row r="7">
      <c r="A7" s="15" t="s">
        <v>39</v>
      </c>
      <c r="B7" s="16" t="s">
        <v>40</v>
      </c>
      <c r="C7" s="16"/>
      <c r="D7" s="17" t="str">
        <f t="shared" si="1"/>
        <v>Coming Soon</v>
      </c>
      <c r="E7" s="18">
        <v>45946.0</v>
      </c>
      <c r="F7" s="19"/>
      <c r="G7" s="20">
        <f t="shared" si="2"/>
        <v>-0.03333333333</v>
      </c>
      <c r="H7" s="21">
        <f t="shared" si="6"/>
        <v>45946</v>
      </c>
      <c r="I7" s="20">
        <f t="shared" si="3"/>
        <v>0</v>
      </c>
      <c r="J7" s="22"/>
      <c r="K7" s="22"/>
      <c r="L7" s="23" t="s">
        <v>29</v>
      </c>
      <c r="M7" s="43"/>
      <c r="N7" s="24"/>
      <c r="O7" s="24"/>
      <c r="P7" s="25"/>
      <c r="Q7" s="24"/>
      <c r="R7" s="17" t="str">
        <f t="shared" si="4"/>
        <v>TBD</v>
      </c>
      <c r="S7" s="26"/>
      <c r="T7" s="20">
        <f t="shared" si="5"/>
        <v>-0.03333333333</v>
      </c>
    </row>
    <row r="8">
      <c r="A8" s="27" t="s">
        <v>41</v>
      </c>
      <c r="B8" s="28" t="s">
        <v>27</v>
      </c>
      <c r="C8" s="28" t="s">
        <v>28</v>
      </c>
      <c r="D8" s="29" t="str">
        <f t="shared" si="1"/>
        <v>Active</v>
      </c>
      <c r="E8" s="33">
        <v>45945.0</v>
      </c>
      <c r="F8" s="37"/>
      <c r="G8" s="32">
        <f t="shared" si="2"/>
        <v>0</v>
      </c>
      <c r="H8" s="38">
        <f t="shared" si="6"/>
        <v>45945</v>
      </c>
      <c r="I8" s="32">
        <f t="shared" si="3"/>
        <v>0</v>
      </c>
      <c r="J8" s="39"/>
      <c r="K8" s="39"/>
      <c r="L8" s="35" t="s">
        <v>42</v>
      </c>
      <c r="M8" s="44"/>
      <c r="N8" s="40"/>
      <c r="O8" s="40"/>
      <c r="P8" s="41"/>
      <c r="Q8" s="40"/>
      <c r="R8" s="29" t="str">
        <f t="shared" si="4"/>
        <v>TBD</v>
      </c>
      <c r="S8" s="42"/>
      <c r="T8" s="32">
        <f t="shared" si="5"/>
        <v>0</v>
      </c>
    </row>
    <row r="9">
      <c r="A9" s="15" t="s">
        <v>43</v>
      </c>
      <c r="B9" s="16" t="s">
        <v>27</v>
      </c>
      <c r="C9" s="16" t="s">
        <v>28</v>
      </c>
      <c r="D9" s="17" t="str">
        <f t="shared" si="1"/>
        <v>Active</v>
      </c>
      <c r="E9" s="18">
        <v>45945.0</v>
      </c>
      <c r="F9" s="19"/>
      <c r="G9" s="20">
        <f t="shared" si="2"/>
        <v>0</v>
      </c>
      <c r="H9" s="45">
        <v>45212.0</v>
      </c>
      <c r="I9" s="20">
        <f t="shared" si="3"/>
        <v>2.005555556</v>
      </c>
      <c r="J9" s="22">
        <f>average(50,75,80)</f>
        <v>68.33333333</v>
      </c>
      <c r="K9" s="46">
        <v>3.0</v>
      </c>
      <c r="L9" s="23" t="s">
        <v>44</v>
      </c>
      <c r="M9" s="43"/>
      <c r="N9" s="24"/>
      <c r="O9" s="24"/>
      <c r="P9" s="25"/>
      <c r="Q9" s="24"/>
      <c r="R9" s="17" t="str">
        <f t="shared" si="4"/>
        <v>TBD</v>
      </c>
      <c r="S9" s="26"/>
      <c r="T9" s="20">
        <f t="shared" si="5"/>
        <v>0</v>
      </c>
    </row>
    <row r="10">
      <c r="A10" s="27" t="s">
        <v>45</v>
      </c>
      <c r="B10" s="28" t="s">
        <v>27</v>
      </c>
      <c r="C10" s="28" t="s">
        <v>28</v>
      </c>
      <c r="D10" s="29" t="str">
        <f t="shared" si="1"/>
        <v>Active</v>
      </c>
      <c r="E10" s="33">
        <v>45944.0</v>
      </c>
      <c r="F10" s="37"/>
      <c r="G10" s="32">
        <f t="shared" si="2"/>
        <v>0.03333333333</v>
      </c>
      <c r="H10" s="47">
        <v>45538.0</v>
      </c>
      <c r="I10" s="32">
        <f t="shared" si="3"/>
        <v>1.113888889</v>
      </c>
      <c r="J10" s="48">
        <v>68.0</v>
      </c>
      <c r="K10" s="48">
        <v>6.0</v>
      </c>
      <c r="L10" s="35" t="s">
        <v>37</v>
      </c>
      <c r="M10" s="35" t="s">
        <v>30</v>
      </c>
      <c r="N10" s="40"/>
      <c r="O10" s="40"/>
      <c r="P10" s="41"/>
      <c r="Q10" s="40"/>
      <c r="R10" s="29" t="str">
        <f t="shared" si="4"/>
        <v>TBD</v>
      </c>
      <c r="S10" s="42"/>
      <c r="T10" s="32">
        <f t="shared" si="5"/>
        <v>0.03333333333</v>
      </c>
    </row>
    <row r="11">
      <c r="A11" s="15" t="s">
        <v>46</v>
      </c>
      <c r="B11" s="16" t="s">
        <v>40</v>
      </c>
      <c r="C11" s="16"/>
      <c r="D11" s="17" t="str">
        <f t="shared" si="1"/>
        <v>Active</v>
      </c>
      <c r="E11" s="18">
        <v>45939.0</v>
      </c>
      <c r="F11" s="19"/>
      <c r="G11" s="20">
        <f t="shared" si="2"/>
        <v>0.2</v>
      </c>
      <c r="H11" s="45">
        <v>43753.0</v>
      </c>
      <c r="I11" s="20">
        <f t="shared" si="3"/>
        <v>5.983333333</v>
      </c>
      <c r="J11" s="46">
        <v>72.0</v>
      </c>
      <c r="K11" s="22">
        <f>31+45</f>
        <v>76</v>
      </c>
      <c r="L11" s="23" t="s">
        <v>29</v>
      </c>
      <c r="M11" s="43"/>
      <c r="N11" s="24"/>
      <c r="O11" s="24"/>
      <c r="P11" s="25"/>
      <c r="Q11" s="24"/>
      <c r="R11" s="17" t="str">
        <f t="shared" si="4"/>
        <v>TBD</v>
      </c>
      <c r="S11" s="26"/>
      <c r="T11" s="20">
        <f t="shared" si="5"/>
        <v>0.2</v>
      </c>
    </row>
    <row r="12">
      <c r="A12" s="27" t="s">
        <v>47</v>
      </c>
      <c r="B12" s="28" t="s">
        <v>27</v>
      </c>
      <c r="C12" s="28" t="s">
        <v>28</v>
      </c>
      <c r="D12" s="29" t="str">
        <f t="shared" si="1"/>
        <v>Active</v>
      </c>
      <c r="E12" s="33">
        <v>45938.0</v>
      </c>
      <c r="F12" s="37"/>
      <c r="G12" s="32">
        <f t="shared" si="2"/>
        <v>0.2333333333</v>
      </c>
      <c r="H12" s="47">
        <v>45937.0</v>
      </c>
      <c r="I12" s="32">
        <f t="shared" si="3"/>
        <v>0.002777777778</v>
      </c>
      <c r="J12" s="48">
        <v>83.0</v>
      </c>
      <c r="K12" s="39"/>
      <c r="L12" s="35" t="s">
        <v>48</v>
      </c>
      <c r="M12" s="44"/>
      <c r="N12" s="40"/>
      <c r="O12" s="40"/>
      <c r="P12" s="41"/>
      <c r="Q12" s="40"/>
      <c r="R12" s="29" t="str">
        <f t="shared" si="4"/>
        <v>TBD</v>
      </c>
      <c r="S12" s="42"/>
      <c r="T12" s="32">
        <f t="shared" si="5"/>
        <v>0.2333333333</v>
      </c>
    </row>
    <row r="13">
      <c r="A13" s="15" t="s">
        <v>49</v>
      </c>
      <c r="B13" s="16" t="s">
        <v>27</v>
      </c>
      <c r="C13" s="16" t="s">
        <v>28</v>
      </c>
      <c r="D13" s="17" t="str">
        <f t="shared" si="1"/>
        <v>Active</v>
      </c>
      <c r="E13" s="18">
        <v>45938.0</v>
      </c>
      <c r="F13" s="19"/>
      <c r="G13" s="20">
        <f t="shared" si="2"/>
        <v>0.2333333333</v>
      </c>
      <c r="H13" s="45">
        <v>45827.0</v>
      </c>
      <c r="I13" s="20">
        <f t="shared" si="3"/>
        <v>0.3027777778</v>
      </c>
      <c r="J13" s="22"/>
      <c r="K13" s="22"/>
      <c r="L13" s="23" t="s">
        <v>50</v>
      </c>
      <c r="M13" s="43"/>
      <c r="N13" s="24"/>
      <c r="O13" s="24"/>
      <c r="P13" s="25"/>
      <c r="Q13" s="24"/>
      <c r="R13" s="17" t="str">
        <f t="shared" si="4"/>
        <v>TBD</v>
      </c>
      <c r="S13" s="26"/>
      <c r="T13" s="20">
        <f t="shared" si="5"/>
        <v>0.2333333333</v>
      </c>
    </row>
    <row r="14">
      <c r="A14" s="27" t="s">
        <v>51</v>
      </c>
      <c r="B14" s="28" t="s">
        <v>27</v>
      </c>
      <c r="C14" s="28" t="s">
        <v>28</v>
      </c>
      <c r="D14" s="29" t="str">
        <f t="shared" si="1"/>
        <v>Active</v>
      </c>
      <c r="E14" s="33">
        <v>45937.0</v>
      </c>
      <c r="F14" s="37"/>
      <c r="G14" s="32">
        <f t="shared" si="2"/>
        <v>0.2666666667</v>
      </c>
      <c r="H14" s="47">
        <v>45937.0</v>
      </c>
      <c r="I14" s="32">
        <f t="shared" si="3"/>
        <v>0</v>
      </c>
      <c r="J14" s="48">
        <v>79.0</v>
      </c>
      <c r="K14" s="48">
        <v>3.0</v>
      </c>
      <c r="L14" s="35" t="s">
        <v>37</v>
      </c>
      <c r="M14" s="44"/>
      <c r="N14" s="40"/>
      <c r="O14" s="49"/>
      <c r="P14" s="41"/>
      <c r="Q14" s="40"/>
      <c r="R14" s="29" t="str">
        <f t="shared" si="4"/>
        <v>TBD</v>
      </c>
      <c r="S14" s="42"/>
      <c r="T14" s="32">
        <f t="shared" si="5"/>
        <v>0.2666666667</v>
      </c>
    </row>
    <row r="15">
      <c r="A15" s="15" t="s">
        <v>52</v>
      </c>
      <c r="B15" s="16" t="s">
        <v>27</v>
      </c>
      <c r="C15" s="16" t="s">
        <v>28</v>
      </c>
      <c r="D15" s="17" t="str">
        <f t="shared" si="1"/>
        <v>Active</v>
      </c>
      <c r="E15" s="18">
        <v>45931.0</v>
      </c>
      <c r="F15" s="19"/>
      <c r="G15" s="20">
        <f t="shared" si="2"/>
        <v>0.4666666667</v>
      </c>
      <c r="H15" s="45">
        <v>44964.0</v>
      </c>
      <c r="I15" s="20">
        <f t="shared" si="3"/>
        <v>2.65</v>
      </c>
      <c r="J15" s="46">
        <v>84.0</v>
      </c>
      <c r="K15" s="46">
        <v>27.0</v>
      </c>
      <c r="L15" s="23" t="s">
        <v>37</v>
      </c>
      <c r="M15" s="43"/>
      <c r="N15" s="50" t="s">
        <v>53</v>
      </c>
      <c r="O15" s="24"/>
      <c r="P15" s="25"/>
      <c r="Q15" s="24"/>
      <c r="R15" s="17" t="str">
        <f t="shared" si="4"/>
        <v>Active</v>
      </c>
      <c r="S15" s="18">
        <v>45931.0</v>
      </c>
      <c r="T15" s="20">
        <f t="shared" si="5"/>
        <v>0</v>
      </c>
    </row>
    <row r="16">
      <c r="A16" s="27" t="s">
        <v>54</v>
      </c>
      <c r="B16" s="28" t="s">
        <v>40</v>
      </c>
      <c r="C16" s="28"/>
      <c r="D16" s="29" t="str">
        <f t="shared" si="1"/>
        <v>Active</v>
      </c>
      <c r="E16" s="33">
        <v>45931.0</v>
      </c>
      <c r="F16" s="37"/>
      <c r="G16" s="32">
        <f t="shared" si="2"/>
        <v>0.4666666667</v>
      </c>
      <c r="H16" s="47">
        <v>40134.0</v>
      </c>
      <c r="I16" s="32">
        <f t="shared" si="3"/>
        <v>15.87222222</v>
      </c>
      <c r="J16" s="48">
        <v>90.0</v>
      </c>
      <c r="K16" s="48">
        <v>19.0</v>
      </c>
      <c r="L16" s="35" t="s">
        <v>37</v>
      </c>
      <c r="M16" s="44"/>
      <c r="N16" s="49" t="s">
        <v>53</v>
      </c>
      <c r="O16" s="40"/>
      <c r="P16" s="51" t="s">
        <v>55</v>
      </c>
      <c r="Q16" s="40"/>
      <c r="R16" s="29" t="str">
        <f t="shared" si="4"/>
        <v>TBD</v>
      </c>
      <c r="S16" s="42"/>
      <c r="T16" s="32">
        <f t="shared" si="5"/>
        <v>0.4666666667</v>
      </c>
    </row>
    <row r="17">
      <c r="A17" s="15" t="s">
        <v>56</v>
      </c>
      <c r="B17" s="16" t="s">
        <v>27</v>
      </c>
      <c r="C17" s="16" t="s">
        <v>28</v>
      </c>
      <c r="D17" s="17" t="str">
        <f t="shared" si="1"/>
        <v>Active</v>
      </c>
      <c r="E17" s="18">
        <v>45931.0</v>
      </c>
      <c r="F17" s="19"/>
      <c r="G17" s="20">
        <f t="shared" si="2"/>
        <v>0.4666666667</v>
      </c>
      <c r="H17" s="45">
        <v>43553.0</v>
      </c>
      <c r="I17" s="20">
        <f t="shared" si="3"/>
        <v>6.505555556</v>
      </c>
      <c r="J17" s="46">
        <v>72.0</v>
      </c>
      <c r="K17" s="46">
        <v>15.0</v>
      </c>
      <c r="L17" s="23" t="s">
        <v>37</v>
      </c>
      <c r="M17" s="43"/>
      <c r="N17" s="50" t="s">
        <v>53</v>
      </c>
      <c r="O17" s="24"/>
      <c r="P17" s="25"/>
      <c r="Q17" s="24"/>
      <c r="R17" s="17" t="str">
        <f t="shared" si="4"/>
        <v>TBD</v>
      </c>
      <c r="S17" s="26"/>
      <c r="T17" s="20">
        <f t="shared" si="5"/>
        <v>0.4666666667</v>
      </c>
    </row>
    <row r="18">
      <c r="A18" s="27" t="s">
        <v>57</v>
      </c>
      <c r="B18" s="28" t="s">
        <v>27</v>
      </c>
      <c r="C18" s="28" t="s">
        <v>28</v>
      </c>
      <c r="D18" s="29" t="str">
        <f t="shared" si="1"/>
        <v>Active</v>
      </c>
      <c r="E18" s="33">
        <v>45931.0</v>
      </c>
      <c r="F18" s="37"/>
      <c r="G18" s="32">
        <f t="shared" si="2"/>
        <v>0.4666666667</v>
      </c>
      <c r="H18" s="47">
        <v>41576.0</v>
      </c>
      <c r="I18" s="32">
        <f t="shared" si="3"/>
        <v>11.92222222</v>
      </c>
      <c r="J18" s="48">
        <v>88.0</v>
      </c>
      <c r="K18" s="48">
        <v>24.0</v>
      </c>
      <c r="L18" s="35" t="s">
        <v>37</v>
      </c>
      <c r="M18" s="44"/>
      <c r="N18" s="49" t="s">
        <v>53</v>
      </c>
      <c r="O18" s="40"/>
      <c r="P18" s="41"/>
      <c r="Q18" s="40"/>
      <c r="R18" s="29" t="str">
        <f t="shared" si="4"/>
        <v>TBD</v>
      </c>
      <c r="S18" s="42"/>
      <c r="T18" s="32">
        <f t="shared" si="5"/>
        <v>0.4666666667</v>
      </c>
    </row>
    <row r="19">
      <c r="A19" s="15" t="s">
        <v>58</v>
      </c>
      <c r="B19" s="16" t="s">
        <v>40</v>
      </c>
      <c r="C19" s="16"/>
      <c r="D19" s="17" t="str">
        <f t="shared" si="1"/>
        <v>Active</v>
      </c>
      <c r="E19" s="18">
        <v>45931.0</v>
      </c>
      <c r="F19" s="19"/>
      <c r="G19" s="20">
        <f t="shared" si="2"/>
        <v>0.4666666667</v>
      </c>
      <c r="H19" s="45">
        <v>41626.0</v>
      </c>
      <c r="I19" s="20">
        <f t="shared" si="3"/>
        <v>11.78611111</v>
      </c>
      <c r="J19" s="46">
        <v>71.0</v>
      </c>
      <c r="K19" s="46">
        <v>4.0</v>
      </c>
      <c r="L19" s="23" t="s">
        <v>37</v>
      </c>
      <c r="M19" s="43"/>
      <c r="N19" s="50" t="s">
        <v>53</v>
      </c>
      <c r="O19" s="24"/>
      <c r="P19" s="25"/>
      <c r="Q19" s="24"/>
      <c r="R19" s="17" t="str">
        <f t="shared" si="4"/>
        <v>TBD</v>
      </c>
      <c r="S19" s="26"/>
      <c r="T19" s="20">
        <f t="shared" si="5"/>
        <v>0.4666666667</v>
      </c>
    </row>
    <row r="20">
      <c r="A20" s="27" t="s">
        <v>59</v>
      </c>
      <c r="B20" s="28" t="s">
        <v>40</v>
      </c>
      <c r="C20" s="28"/>
      <c r="D20" s="29" t="str">
        <f t="shared" si="1"/>
        <v>Active</v>
      </c>
      <c r="E20" s="33">
        <v>45931.0</v>
      </c>
      <c r="F20" s="37"/>
      <c r="G20" s="32">
        <f t="shared" si="2"/>
        <v>0.4666666667</v>
      </c>
      <c r="H20" s="47">
        <v>40498.0</v>
      </c>
      <c r="I20" s="32">
        <f t="shared" si="3"/>
        <v>14.875</v>
      </c>
      <c r="J20" s="48">
        <v>89.0</v>
      </c>
      <c r="K20" s="48">
        <v>15.0</v>
      </c>
      <c r="L20" s="35" t="s">
        <v>37</v>
      </c>
      <c r="M20" s="44"/>
      <c r="N20" s="49" t="s">
        <v>53</v>
      </c>
      <c r="O20" s="40"/>
      <c r="P20" s="41"/>
      <c r="Q20" s="40"/>
      <c r="R20" s="29" t="str">
        <f t="shared" si="4"/>
        <v>TBD</v>
      </c>
      <c r="S20" s="42"/>
      <c r="T20" s="32">
        <f t="shared" si="5"/>
        <v>0.4666666667</v>
      </c>
    </row>
    <row r="21">
      <c r="A21" s="15" t="s">
        <v>60</v>
      </c>
      <c r="B21" s="16" t="s">
        <v>27</v>
      </c>
      <c r="C21" s="16" t="s">
        <v>28</v>
      </c>
      <c r="D21" s="17" t="str">
        <f t="shared" si="1"/>
        <v>Active</v>
      </c>
      <c r="E21" s="18">
        <v>45931.0</v>
      </c>
      <c r="F21" s="19"/>
      <c r="G21" s="20">
        <f t="shared" si="2"/>
        <v>0.4666666667</v>
      </c>
      <c r="H21" s="45">
        <v>42115.0</v>
      </c>
      <c r="I21" s="20">
        <f t="shared" si="3"/>
        <v>10.44444444</v>
      </c>
      <c r="J21" s="46">
        <v>69.0</v>
      </c>
      <c r="K21" s="46">
        <v>6.0</v>
      </c>
      <c r="L21" s="23" t="s">
        <v>37</v>
      </c>
      <c r="M21" s="43"/>
      <c r="N21" s="50" t="s">
        <v>53</v>
      </c>
      <c r="O21" s="24"/>
      <c r="P21" s="25"/>
      <c r="Q21" s="24"/>
      <c r="R21" s="17" t="str">
        <f t="shared" si="4"/>
        <v>TBD</v>
      </c>
      <c r="S21" s="26"/>
      <c r="T21" s="20">
        <f t="shared" si="5"/>
        <v>0.4666666667</v>
      </c>
    </row>
    <row r="22">
      <c r="A22" s="27" t="s">
        <v>61</v>
      </c>
      <c r="B22" s="28" t="s">
        <v>27</v>
      </c>
      <c r="C22" s="28" t="s">
        <v>28</v>
      </c>
      <c r="D22" s="29" t="str">
        <f t="shared" si="1"/>
        <v>Active</v>
      </c>
      <c r="E22" s="33">
        <v>45931.0</v>
      </c>
      <c r="F22" s="37"/>
      <c r="G22" s="32">
        <f t="shared" si="2"/>
        <v>0.4666666667</v>
      </c>
      <c r="H22" s="47">
        <v>42382.0</v>
      </c>
      <c r="I22" s="32">
        <f t="shared" si="3"/>
        <v>9.716666667</v>
      </c>
      <c r="J22" s="48">
        <v>63.0</v>
      </c>
      <c r="K22" s="48">
        <v>6.0</v>
      </c>
      <c r="L22" s="35" t="s">
        <v>37</v>
      </c>
      <c r="M22" s="44"/>
      <c r="N22" s="49" t="s">
        <v>53</v>
      </c>
      <c r="O22" s="40"/>
      <c r="P22" s="41"/>
      <c r="Q22" s="40"/>
      <c r="R22" s="29" t="str">
        <f t="shared" si="4"/>
        <v>TBD</v>
      </c>
      <c r="S22" s="42"/>
      <c r="T22" s="32">
        <f t="shared" si="5"/>
        <v>0.4666666667</v>
      </c>
    </row>
    <row r="23">
      <c r="A23" s="15" t="s">
        <v>62</v>
      </c>
      <c r="B23" s="16" t="s">
        <v>27</v>
      </c>
      <c r="C23" s="16" t="s">
        <v>28</v>
      </c>
      <c r="D23" s="17" t="str">
        <f t="shared" si="1"/>
        <v>Active</v>
      </c>
      <c r="E23" s="18">
        <v>45931.0</v>
      </c>
      <c r="F23" s="19"/>
      <c r="G23" s="20">
        <f t="shared" si="2"/>
        <v>0.4666666667</v>
      </c>
      <c r="H23" s="45">
        <v>42409.0</v>
      </c>
      <c r="I23" s="20">
        <f t="shared" si="3"/>
        <v>9.644444444</v>
      </c>
      <c r="J23" s="46">
        <v>62.0</v>
      </c>
      <c r="K23" s="46">
        <v>7.0</v>
      </c>
      <c r="L23" s="23" t="s">
        <v>37</v>
      </c>
      <c r="M23" s="43"/>
      <c r="N23" s="50" t="s">
        <v>53</v>
      </c>
      <c r="O23" s="24"/>
      <c r="P23" s="25"/>
      <c r="Q23" s="24"/>
      <c r="R23" s="17" t="str">
        <f t="shared" si="4"/>
        <v>TBD</v>
      </c>
      <c r="S23" s="26"/>
      <c r="T23" s="20">
        <f t="shared" si="5"/>
        <v>0.4666666667</v>
      </c>
    </row>
    <row r="24">
      <c r="A24" s="27" t="s">
        <v>63</v>
      </c>
      <c r="B24" s="28" t="s">
        <v>40</v>
      </c>
      <c r="C24" s="28"/>
      <c r="D24" s="29" t="str">
        <f t="shared" si="1"/>
        <v>Active</v>
      </c>
      <c r="E24" s="33">
        <v>45931.0</v>
      </c>
      <c r="F24" s="37"/>
      <c r="G24" s="32">
        <f t="shared" si="2"/>
        <v>0.4666666667</v>
      </c>
      <c r="H24" s="47">
        <v>41654.0</v>
      </c>
      <c r="I24" s="32">
        <f t="shared" si="3"/>
        <v>11.71111111</v>
      </c>
      <c r="J24" s="48">
        <v>62.0</v>
      </c>
      <c r="K24" s="48">
        <v>8.0</v>
      </c>
      <c r="L24" s="35" t="s">
        <v>37</v>
      </c>
      <c r="M24" s="44"/>
      <c r="N24" s="49" t="s">
        <v>53</v>
      </c>
      <c r="O24" s="40"/>
      <c r="P24" s="41"/>
      <c r="Q24" s="40"/>
      <c r="R24" s="29" t="str">
        <f t="shared" si="4"/>
        <v>TBD</v>
      </c>
      <c r="S24" s="42"/>
      <c r="T24" s="32">
        <f t="shared" si="5"/>
        <v>0.4666666667</v>
      </c>
    </row>
    <row r="25">
      <c r="A25" s="15" t="s">
        <v>64</v>
      </c>
      <c r="B25" s="16" t="s">
        <v>40</v>
      </c>
      <c r="C25" s="16"/>
      <c r="D25" s="17" t="str">
        <f t="shared" si="1"/>
        <v>Active</v>
      </c>
      <c r="E25" s="18">
        <v>45931.0</v>
      </c>
      <c r="F25" s="19"/>
      <c r="G25" s="20">
        <f t="shared" si="2"/>
        <v>0.4666666667</v>
      </c>
      <c r="H25" s="45">
        <v>40862.0</v>
      </c>
      <c r="I25" s="20">
        <f t="shared" si="3"/>
        <v>13.87777778</v>
      </c>
      <c r="J25" s="46">
        <v>80.0</v>
      </c>
      <c r="K25" s="46">
        <v>13.0</v>
      </c>
      <c r="L25" s="23" t="s">
        <v>37</v>
      </c>
      <c r="M25" s="43"/>
      <c r="N25" s="50" t="s">
        <v>53</v>
      </c>
      <c r="O25" s="24"/>
      <c r="P25" s="25"/>
      <c r="Q25" s="24"/>
      <c r="R25" s="17" t="str">
        <f t="shared" si="4"/>
        <v>TBD</v>
      </c>
      <c r="S25" s="26"/>
      <c r="T25" s="20">
        <f t="shared" si="5"/>
        <v>0.4666666667</v>
      </c>
    </row>
    <row r="26">
      <c r="A26" s="27" t="s">
        <v>65</v>
      </c>
      <c r="B26" s="28" t="s">
        <v>27</v>
      </c>
      <c r="C26" s="28" t="s">
        <v>28</v>
      </c>
      <c r="D26" s="29" t="str">
        <f t="shared" si="1"/>
        <v>Active</v>
      </c>
      <c r="E26" s="33">
        <v>45931.0</v>
      </c>
      <c r="F26" s="37"/>
      <c r="G26" s="32">
        <f t="shared" si="2"/>
        <v>0.4666666667</v>
      </c>
      <c r="H26" s="47">
        <v>43179.0</v>
      </c>
      <c r="I26" s="32">
        <f t="shared" si="3"/>
        <v>7.530555556</v>
      </c>
      <c r="J26" s="48">
        <v>71.0</v>
      </c>
      <c r="K26" s="48">
        <v>11.0</v>
      </c>
      <c r="L26" s="35" t="s">
        <v>37</v>
      </c>
      <c r="M26" s="44"/>
      <c r="N26" s="49" t="s">
        <v>53</v>
      </c>
      <c r="O26" s="40"/>
      <c r="P26" s="41"/>
      <c r="Q26" s="40"/>
      <c r="R26" s="29" t="str">
        <f t="shared" si="4"/>
        <v>TBD</v>
      </c>
      <c r="S26" s="42"/>
      <c r="T26" s="32">
        <f t="shared" si="5"/>
        <v>0.4666666667</v>
      </c>
    </row>
    <row r="27">
      <c r="A27" s="15" t="s">
        <v>66</v>
      </c>
      <c r="B27" s="16" t="s">
        <v>27</v>
      </c>
      <c r="C27" s="16" t="s">
        <v>28</v>
      </c>
      <c r="D27" s="17" t="str">
        <f t="shared" si="1"/>
        <v>Active</v>
      </c>
      <c r="E27" s="18">
        <v>45931.0</v>
      </c>
      <c r="F27" s="19"/>
      <c r="G27" s="20">
        <f t="shared" si="2"/>
        <v>0.4666666667</v>
      </c>
      <c r="H27" s="45">
        <v>42300.0</v>
      </c>
      <c r="I27" s="20">
        <f t="shared" si="3"/>
        <v>9.938888889</v>
      </c>
      <c r="J27" s="46">
        <v>76.0</v>
      </c>
      <c r="K27" s="46">
        <v>19.0</v>
      </c>
      <c r="L27" s="23" t="s">
        <v>37</v>
      </c>
      <c r="M27" s="43"/>
      <c r="N27" s="50" t="s">
        <v>53</v>
      </c>
      <c r="O27" s="24"/>
      <c r="P27" s="25"/>
      <c r="Q27" s="24"/>
      <c r="R27" s="17" t="str">
        <f t="shared" si="4"/>
        <v>TBD</v>
      </c>
      <c r="S27" s="26"/>
      <c r="T27" s="20">
        <f t="shared" si="5"/>
        <v>0.4666666667</v>
      </c>
    </row>
    <row r="28">
      <c r="A28" s="27" t="s">
        <v>67</v>
      </c>
      <c r="B28" s="28" t="s">
        <v>68</v>
      </c>
      <c r="C28" s="28" t="s">
        <v>28</v>
      </c>
      <c r="D28" s="29" t="str">
        <f t="shared" si="1"/>
        <v>Active</v>
      </c>
      <c r="E28" s="33">
        <v>45931.0</v>
      </c>
      <c r="F28" s="37"/>
      <c r="G28" s="32">
        <f t="shared" si="2"/>
        <v>0.4666666667</v>
      </c>
      <c r="H28" s="47">
        <v>42689.0</v>
      </c>
      <c r="I28" s="32">
        <f t="shared" si="3"/>
        <v>8.877777778</v>
      </c>
      <c r="J28" s="48">
        <v>72.0</v>
      </c>
      <c r="K28" s="48">
        <v>72.0</v>
      </c>
      <c r="L28" s="35" t="s">
        <v>37</v>
      </c>
      <c r="M28" s="44"/>
      <c r="N28" s="49" t="s">
        <v>53</v>
      </c>
      <c r="O28" s="40"/>
      <c r="P28" s="41"/>
      <c r="Q28" s="40"/>
      <c r="R28" s="29" t="str">
        <f t="shared" si="4"/>
        <v>TBD</v>
      </c>
      <c r="S28" s="42"/>
      <c r="T28" s="32">
        <f t="shared" si="5"/>
        <v>0.4666666667</v>
      </c>
    </row>
    <row r="29">
      <c r="A29" s="15" t="s">
        <v>69</v>
      </c>
      <c r="B29" s="16" t="s">
        <v>27</v>
      </c>
      <c r="C29" s="16" t="s">
        <v>28</v>
      </c>
      <c r="D29" s="17" t="str">
        <f t="shared" si="1"/>
        <v>Active</v>
      </c>
      <c r="E29" s="18">
        <v>45931.0</v>
      </c>
      <c r="F29" s="19"/>
      <c r="G29" s="20">
        <f t="shared" si="2"/>
        <v>0.4666666667</v>
      </c>
      <c r="H29" s="45">
        <v>41954.0</v>
      </c>
      <c r="I29" s="20">
        <f t="shared" si="3"/>
        <v>10.88888889</v>
      </c>
      <c r="J29" s="46">
        <v>72.0</v>
      </c>
      <c r="K29" s="46">
        <v>17.0</v>
      </c>
      <c r="L29" s="23" t="s">
        <v>37</v>
      </c>
      <c r="M29" s="43"/>
      <c r="N29" s="50" t="s">
        <v>53</v>
      </c>
      <c r="O29" s="24"/>
      <c r="P29" s="25"/>
      <c r="Q29" s="24"/>
      <c r="R29" s="17" t="str">
        <f t="shared" si="4"/>
        <v>TBD</v>
      </c>
      <c r="S29" s="26"/>
      <c r="T29" s="20">
        <f t="shared" si="5"/>
        <v>0.4666666667</v>
      </c>
    </row>
    <row r="30">
      <c r="A30" s="27" t="s">
        <v>70</v>
      </c>
      <c r="B30" s="28" t="s">
        <v>27</v>
      </c>
      <c r="C30" s="28" t="s">
        <v>28</v>
      </c>
      <c r="D30" s="29" t="str">
        <f t="shared" si="1"/>
        <v>Active</v>
      </c>
      <c r="E30" s="33">
        <v>45931.0</v>
      </c>
      <c r="F30" s="37"/>
      <c r="G30" s="32">
        <f t="shared" si="2"/>
        <v>0.4666666667</v>
      </c>
      <c r="H30" s="47">
        <v>41758.0</v>
      </c>
      <c r="I30" s="32">
        <f t="shared" si="3"/>
        <v>11.42222222</v>
      </c>
      <c r="J30" s="48">
        <v>82.0</v>
      </c>
      <c r="K30" s="48">
        <v>11.0</v>
      </c>
      <c r="L30" s="35" t="s">
        <v>29</v>
      </c>
      <c r="M30" s="44"/>
      <c r="N30" s="49" t="s">
        <v>53</v>
      </c>
      <c r="O30" s="40"/>
      <c r="P30" s="41"/>
      <c r="Q30" s="40"/>
      <c r="R30" s="29" t="str">
        <f t="shared" si="4"/>
        <v>TBD</v>
      </c>
      <c r="S30" s="42"/>
      <c r="T30" s="32">
        <f t="shared" si="5"/>
        <v>0.4666666667</v>
      </c>
    </row>
    <row r="31">
      <c r="A31" s="15" t="s">
        <v>71</v>
      </c>
      <c r="B31" s="16" t="s">
        <v>27</v>
      </c>
      <c r="C31" s="16" t="s">
        <v>28</v>
      </c>
      <c r="D31" s="17" t="str">
        <f t="shared" si="1"/>
        <v>Active</v>
      </c>
      <c r="E31" s="18">
        <v>45931.0</v>
      </c>
      <c r="F31" s="19"/>
      <c r="G31" s="20">
        <f t="shared" si="2"/>
        <v>0.4666666667</v>
      </c>
      <c r="H31" s="45">
        <v>41247.0</v>
      </c>
      <c r="I31" s="20">
        <f t="shared" si="3"/>
        <v>12.825</v>
      </c>
      <c r="J31" s="46">
        <v>88.0</v>
      </c>
      <c r="K31" s="46">
        <v>16.0</v>
      </c>
      <c r="L31" s="23" t="s">
        <v>37</v>
      </c>
      <c r="M31" s="43"/>
      <c r="N31" s="50" t="s">
        <v>53</v>
      </c>
      <c r="O31" s="24"/>
      <c r="P31" s="25"/>
      <c r="Q31" s="24"/>
      <c r="R31" s="17" t="str">
        <f t="shared" si="4"/>
        <v>TBD</v>
      </c>
      <c r="S31" s="26"/>
      <c r="T31" s="20">
        <f t="shared" si="5"/>
        <v>0.4666666667</v>
      </c>
    </row>
    <row r="32">
      <c r="A32" s="27" t="s">
        <v>72</v>
      </c>
      <c r="B32" s="28" t="s">
        <v>27</v>
      </c>
      <c r="C32" s="28" t="s">
        <v>28</v>
      </c>
      <c r="D32" s="29" t="str">
        <f t="shared" si="1"/>
        <v>Active</v>
      </c>
      <c r="E32" s="33">
        <v>45931.0</v>
      </c>
      <c r="F32" s="37"/>
      <c r="G32" s="32">
        <f t="shared" si="2"/>
        <v>0.4666666667</v>
      </c>
      <c r="H32" s="47">
        <v>41395.0</v>
      </c>
      <c r="I32" s="32">
        <f t="shared" si="3"/>
        <v>12.41666667</v>
      </c>
      <c r="J32" s="48">
        <v>80.0</v>
      </c>
      <c r="K32" s="48">
        <v>5.0</v>
      </c>
      <c r="L32" s="35" t="s">
        <v>37</v>
      </c>
      <c r="M32" s="44"/>
      <c r="N32" s="49" t="s">
        <v>53</v>
      </c>
      <c r="O32" s="40"/>
      <c r="P32" s="41"/>
      <c r="Q32" s="40"/>
      <c r="R32" s="29" t="str">
        <f t="shared" si="4"/>
        <v>TBD</v>
      </c>
      <c r="S32" s="42"/>
      <c r="T32" s="32">
        <f t="shared" si="5"/>
        <v>0.4666666667</v>
      </c>
    </row>
    <row r="33">
      <c r="A33" s="15" t="s">
        <v>73</v>
      </c>
      <c r="B33" s="16" t="s">
        <v>27</v>
      </c>
      <c r="C33" s="16" t="s">
        <v>28</v>
      </c>
      <c r="D33" s="17" t="str">
        <f t="shared" si="1"/>
        <v>Active</v>
      </c>
      <c r="E33" s="18">
        <v>45931.0</v>
      </c>
      <c r="F33" s="19"/>
      <c r="G33" s="20">
        <f t="shared" si="2"/>
        <v>0.4666666667</v>
      </c>
      <c r="H33" s="45">
        <v>42423.0</v>
      </c>
      <c r="I33" s="20">
        <f t="shared" si="3"/>
        <v>9.605555556</v>
      </c>
      <c r="J33" s="46">
        <v>76.0</v>
      </c>
      <c r="K33" s="46">
        <v>15.0</v>
      </c>
      <c r="L33" s="23" t="s">
        <v>37</v>
      </c>
      <c r="M33" s="43"/>
      <c r="N33" s="50" t="s">
        <v>53</v>
      </c>
      <c r="O33" s="24"/>
      <c r="P33" s="25"/>
      <c r="Q33" s="24"/>
      <c r="R33" s="17" t="str">
        <f t="shared" si="4"/>
        <v>TBD</v>
      </c>
      <c r="S33" s="26"/>
      <c r="T33" s="20">
        <f t="shared" si="5"/>
        <v>0.4666666667</v>
      </c>
    </row>
    <row r="34">
      <c r="A34" s="27" t="s">
        <v>74</v>
      </c>
      <c r="B34" s="28" t="s">
        <v>27</v>
      </c>
      <c r="C34" s="28" t="s">
        <v>28</v>
      </c>
      <c r="D34" s="29" t="str">
        <f t="shared" si="1"/>
        <v>Active</v>
      </c>
      <c r="E34" s="33">
        <v>45931.0</v>
      </c>
      <c r="F34" s="37"/>
      <c r="G34" s="32">
        <f t="shared" si="2"/>
        <v>0.4666666667</v>
      </c>
      <c r="H34" s="47">
        <v>43298.0</v>
      </c>
      <c r="I34" s="32">
        <f t="shared" si="3"/>
        <v>7.205555556</v>
      </c>
      <c r="J34" s="48">
        <v>58.0</v>
      </c>
      <c r="K34" s="48">
        <v>8.0</v>
      </c>
      <c r="L34" s="35" t="s">
        <v>37</v>
      </c>
      <c r="M34" s="44"/>
      <c r="N34" s="49" t="s">
        <v>53</v>
      </c>
      <c r="O34" s="40"/>
      <c r="P34" s="41"/>
      <c r="Q34" s="40"/>
      <c r="R34" s="29" t="str">
        <f t="shared" si="4"/>
        <v>TBD</v>
      </c>
      <c r="S34" s="42"/>
      <c r="T34" s="32">
        <f t="shared" si="5"/>
        <v>0.4666666667</v>
      </c>
    </row>
    <row r="35">
      <c r="A35" s="15" t="s">
        <v>75</v>
      </c>
      <c r="B35" s="16" t="s">
        <v>27</v>
      </c>
      <c r="C35" s="16" t="s">
        <v>28</v>
      </c>
      <c r="D35" s="17" t="str">
        <f t="shared" si="1"/>
        <v>Active</v>
      </c>
      <c r="E35" s="18">
        <v>45931.0</v>
      </c>
      <c r="F35" s="19"/>
      <c r="G35" s="20">
        <f t="shared" si="2"/>
        <v>0.4666666667</v>
      </c>
      <c r="H35" s="45">
        <v>44914.0</v>
      </c>
      <c r="I35" s="20">
        <f t="shared" si="3"/>
        <v>2.783333333</v>
      </c>
      <c r="J35" s="46"/>
      <c r="K35" s="46">
        <v>6.0</v>
      </c>
      <c r="L35" s="23" t="s">
        <v>76</v>
      </c>
      <c r="M35" s="43"/>
      <c r="N35" s="50" t="s">
        <v>53</v>
      </c>
      <c r="O35" s="24"/>
      <c r="P35" s="25"/>
      <c r="Q35" s="24"/>
      <c r="R35" s="17" t="str">
        <f t="shared" si="4"/>
        <v>TBD</v>
      </c>
      <c r="S35" s="26"/>
      <c r="T35" s="20">
        <f t="shared" si="5"/>
        <v>0.4666666667</v>
      </c>
    </row>
    <row r="36">
      <c r="A36" s="27" t="s">
        <v>77</v>
      </c>
      <c r="B36" s="28" t="s">
        <v>27</v>
      </c>
      <c r="C36" s="28" t="s">
        <v>28</v>
      </c>
      <c r="D36" s="29" t="str">
        <f t="shared" si="1"/>
        <v>Active</v>
      </c>
      <c r="E36" s="33">
        <v>45931.0</v>
      </c>
      <c r="F36" s="37"/>
      <c r="G36" s="32">
        <f t="shared" si="2"/>
        <v>0.4666666667</v>
      </c>
      <c r="H36" s="47">
        <v>45561.0</v>
      </c>
      <c r="I36" s="32">
        <f t="shared" si="3"/>
        <v>1.013888889</v>
      </c>
      <c r="J36" s="48">
        <v>74.0</v>
      </c>
      <c r="K36" s="48">
        <v>14.0</v>
      </c>
      <c r="L36" s="35" t="s">
        <v>78</v>
      </c>
      <c r="M36" s="44"/>
      <c r="N36" s="49" t="s">
        <v>53</v>
      </c>
      <c r="O36" s="40"/>
      <c r="P36" s="41"/>
      <c r="Q36" s="40"/>
      <c r="R36" s="29" t="str">
        <f t="shared" si="4"/>
        <v>TBD</v>
      </c>
      <c r="S36" s="42"/>
      <c r="T36" s="32">
        <f t="shared" si="5"/>
        <v>0.4666666667</v>
      </c>
    </row>
    <row r="37">
      <c r="A37" s="15" t="s">
        <v>79</v>
      </c>
      <c r="B37" s="16" t="s">
        <v>27</v>
      </c>
      <c r="C37" s="16" t="s">
        <v>28</v>
      </c>
      <c r="D37" s="17" t="str">
        <f t="shared" si="1"/>
        <v>Active</v>
      </c>
      <c r="E37" s="18">
        <v>45931.0</v>
      </c>
      <c r="F37" s="19"/>
      <c r="G37" s="20">
        <f t="shared" si="2"/>
        <v>0.4666666667</v>
      </c>
      <c r="H37" s="45">
        <v>44952.0</v>
      </c>
      <c r="I37" s="20">
        <f t="shared" si="3"/>
        <v>2.680555556</v>
      </c>
      <c r="J37" s="46">
        <v>71.0</v>
      </c>
      <c r="K37" s="46">
        <v>8.0</v>
      </c>
      <c r="L37" s="23" t="s">
        <v>76</v>
      </c>
      <c r="M37" s="43"/>
      <c r="N37" s="50" t="s">
        <v>53</v>
      </c>
      <c r="O37" s="24"/>
      <c r="P37" s="25"/>
      <c r="Q37" s="24"/>
      <c r="R37" s="17" t="str">
        <f t="shared" si="4"/>
        <v>TBD</v>
      </c>
      <c r="S37" s="26"/>
      <c r="T37" s="20">
        <f t="shared" si="5"/>
        <v>0.4666666667</v>
      </c>
    </row>
    <row r="38">
      <c r="A38" s="27" t="s">
        <v>80</v>
      </c>
      <c r="B38" s="28" t="s">
        <v>27</v>
      </c>
      <c r="C38" s="28" t="s">
        <v>28</v>
      </c>
      <c r="D38" s="29" t="str">
        <f t="shared" si="1"/>
        <v>Active</v>
      </c>
      <c r="E38" s="33">
        <v>45931.0</v>
      </c>
      <c r="F38" s="37"/>
      <c r="G38" s="32">
        <f t="shared" si="2"/>
        <v>0.4666666667</v>
      </c>
      <c r="H38" s="47">
        <v>45309.0</v>
      </c>
      <c r="I38" s="32">
        <f t="shared" si="3"/>
        <v>1.702777778</v>
      </c>
      <c r="J38" s="48">
        <v>86.0</v>
      </c>
      <c r="K38" s="48">
        <v>17.0</v>
      </c>
      <c r="L38" s="35" t="s">
        <v>81</v>
      </c>
      <c r="M38" s="44"/>
      <c r="N38" s="49" t="s">
        <v>53</v>
      </c>
      <c r="O38" s="40"/>
      <c r="P38" s="41"/>
      <c r="Q38" s="40"/>
      <c r="R38" s="29" t="str">
        <f t="shared" si="4"/>
        <v>TBD</v>
      </c>
      <c r="S38" s="42"/>
      <c r="T38" s="32">
        <f t="shared" si="5"/>
        <v>0.4666666667</v>
      </c>
    </row>
    <row r="39">
      <c r="A39" s="15" t="s">
        <v>82</v>
      </c>
      <c r="B39" s="16" t="s">
        <v>68</v>
      </c>
      <c r="C39" s="16" t="s">
        <v>28</v>
      </c>
      <c r="D39" s="17" t="str">
        <f t="shared" si="1"/>
        <v>Active</v>
      </c>
      <c r="E39" s="18">
        <v>45931.0</v>
      </c>
      <c r="F39" s="19"/>
      <c r="G39" s="20">
        <f t="shared" si="2"/>
        <v>0.4666666667</v>
      </c>
      <c r="H39" s="45">
        <v>41951.0</v>
      </c>
      <c r="I39" s="20">
        <f t="shared" si="3"/>
        <v>10.89722222</v>
      </c>
      <c r="J39" s="46">
        <v>53.0</v>
      </c>
      <c r="K39" s="46">
        <v>10.0</v>
      </c>
      <c r="L39" s="23" t="s">
        <v>76</v>
      </c>
      <c r="M39" s="43"/>
      <c r="N39" s="50" t="s">
        <v>53</v>
      </c>
      <c r="O39" s="24"/>
      <c r="P39" s="25"/>
      <c r="Q39" s="24"/>
      <c r="R39" s="17" t="str">
        <f t="shared" si="4"/>
        <v>TBD</v>
      </c>
      <c r="S39" s="26"/>
      <c r="T39" s="20">
        <f t="shared" si="5"/>
        <v>0.4666666667</v>
      </c>
    </row>
    <row r="40">
      <c r="A40" s="27" t="s">
        <v>83</v>
      </c>
      <c r="B40" s="28" t="s">
        <v>27</v>
      </c>
      <c r="C40" s="28" t="s">
        <v>28</v>
      </c>
      <c r="D40" s="29" t="str">
        <f t="shared" si="1"/>
        <v>Active</v>
      </c>
      <c r="E40" s="33">
        <v>45931.0</v>
      </c>
      <c r="F40" s="37"/>
      <c r="G40" s="32">
        <f t="shared" si="2"/>
        <v>0.4666666667</v>
      </c>
      <c r="H40" s="47">
        <v>44742.0</v>
      </c>
      <c r="I40" s="32">
        <f t="shared" si="3"/>
        <v>3.252777778</v>
      </c>
      <c r="J40" s="48">
        <v>69.0</v>
      </c>
      <c r="K40" s="48">
        <v>3.0</v>
      </c>
      <c r="L40" s="35" t="s">
        <v>76</v>
      </c>
      <c r="M40" s="44"/>
      <c r="N40" s="49" t="s">
        <v>53</v>
      </c>
      <c r="O40" s="40"/>
      <c r="P40" s="41"/>
      <c r="Q40" s="40"/>
      <c r="R40" s="29" t="str">
        <f t="shared" si="4"/>
        <v>TBD</v>
      </c>
      <c r="S40" s="42"/>
      <c r="T40" s="32">
        <f t="shared" si="5"/>
        <v>0.4666666667</v>
      </c>
    </row>
    <row r="41">
      <c r="A41" s="15" t="s">
        <v>84</v>
      </c>
      <c r="B41" s="16" t="s">
        <v>27</v>
      </c>
      <c r="C41" s="16" t="s">
        <v>28</v>
      </c>
      <c r="D41" s="17" t="str">
        <f t="shared" si="1"/>
        <v>Active</v>
      </c>
      <c r="E41" s="18">
        <v>45931.0</v>
      </c>
      <c r="F41" s="19"/>
      <c r="G41" s="20">
        <f t="shared" si="2"/>
        <v>0.4666666667</v>
      </c>
      <c r="H41" s="45">
        <v>41520.0</v>
      </c>
      <c r="I41" s="20">
        <f t="shared" si="3"/>
        <v>12.07777778</v>
      </c>
      <c r="J41" s="46">
        <v>92.0</v>
      </c>
      <c r="K41" s="46">
        <v>10.0</v>
      </c>
      <c r="L41" s="23" t="s">
        <v>44</v>
      </c>
      <c r="M41" s="43"/>
      <c r="N41" s="50" t="s">
        <v>53</v>
      </c>
      <c r="O41" s="24"/>
      <c r="P41" s="25"/>
      <c r="Q41" s="24"/>
      <c r="R41" s="17" t="str">
        <f t="shared" si="4"/>
        <v>TBD</v>
      </c>
      <c r="S41" s="26"/>
      <c r="T41" s="20">
        <f t="shared" si="5"/>
        <v>0.4666666667</v>
      </c>
    </row>
    <row r="42">
      <c r="A42" s="27" t="s">
        <v>85</v>
      </c>
      <c r="B42" s="28" t="s">
        <v>68</v>
      </c>
      <c r="C42" s="28" t="s">
        <v>28</v>
      </c>
      <c r="D42" s="29" t="str">
        <f t="shared" si="1"/>
        <v>Active</v>
      </c>
      <c r="E42" s="33">
        <v>45931.0</v>
      </c>
      <c r="F42" s="37"/>
      <c r="G42" s="32">
        <f t="shared" si="2"/>
        <v>0.4666666667</v>
      </c>
      <c r="H42" s="47">
        <v>42584.0</v>
      </c>
      <c r="I42" s="32">
        <f t="shared" si="3"/>
        <v>9.163888889</v>
      </c>
      <c r="J42" s="48">
        <v>61.0</v>
      </c>
      <c r="K42" s="48">
        <v>4.0</v>
      </c>
      <c r="L42" s="35" t="s">
        <v>78</v>
      </c>
      <c r="M42" s="44"/>
      <c r="N42" s="49" t="s">
        <v>53</v>
      </c>
      <c r="O42" s="40"/>
      <c r="P42" s="41"/>
      <c r="Q42" s="40"/>
      <c r="R42" s="29" t="str">
        <f t="shared" si="4"/>
        <v>TBD</v>
      </c>
      <c r="S42" s="42"/>
      <c r="T42" s="32">
        <f t="shared" si="5"/>
        <v>0.4666666667</v>
      </c>
    </row>
    <row r="43">
      <c r="A43" s="15" t="s">
        <v>86</v>
      </c>
      <c r="B43" s="16" t="s">
        <v>27</v>
      </c>
      <c r="C43" s="16" t="s">
        <v>28</v>
      </c>
      <c r="D43" s="17" t="str">
        <f t="shared" si="1"/>
        <v>Active</v>
      </c>
      <c r="E43" s="18">
        <v>45931.0</v>
      </c>
      <c r="F43" s="19"/>
      <c r="G43" s="20">
        <f t="shared" si="2"/>
        <v>0.4666666667</v>
      </c>
      <c r="H43" s="45">
        <v>44210.0</v>
      </c>
      <c r="I43" s="20">
        <f t="shared" si="3"/>
        <v>4.713888889</v>
      </c>
      <c r="J43" s="46">
        <v>79.0</v>
      </c>
      <c r="K43" s="46">
        <v>5.0</v>
      </c>
      <c r="L43" s="23" t="s">
        <v>87</v>
      </c>
      <c r="M43" s="43"/>
      <c r="N43" s="50" t="s">
        <v>53</v>
      </c>
      <c r="O43" s="24"/>
      <c r="P43" s="25"/>
      <c r="Q43" s="24"/>
      <c r="R43" s="17" t="str">
        <f t="shared" si="4"/>
        <v>TBD</v>
      </c>
      <c r="S43" s="26"/>
      <c r="T43" s="20">
        <f t="shared" si="5"/>
        <v>0.4666666667</v>
      </c>
    </row>
    <row r="44">
      <c r="A44" s="27" t="s">
        <v>88</v>
      </c>
      <c r="B44" s="28" t="s">
        <v>27</v>
      </c>
      <c r="C44" s="28" t="s">
        <v>28</v>
      </c>
      <c r="D44" s="29" t="str">
        <f t="shared" si="1"/>
        <v>Active</v>
      </c>
      <c r="E44" s="33">
        <v>45931.0</v>
      </c>
      <c r="F44" s="37"/>
      <c r="G44" s="32">
        <f t="shared" si="2"/>
        <v>0.4666666667</v>
      </c>
      <c r="H44" s="47">
        <v>45338.0</v>
      </c>
      <c r="I44" s="32">
        <f t="shared" si="3"/>
        <v>1.625</v>
      </c>
      <c r="J44" s="48">
        <v>59.0</v>
      </c>
      <c r="K44" s="48">
        <v>32.0</v>
      </c>
      <c r="L44" s="35" t="s">
        <v>37</v>
      </c>
      <c r="M44" s="44"/>
      <c r="N44" s="49" t="s">
        <v>53</v>
      </c>
      <c r="O44" s="40"/>
      <c r="P44" s="41"/>
      <c r="Q44" s="40"/>
      <c r="R44" s="29" t="str">
        <f t="shared" si="4"/>
        <v>TBD</v>
      </c>
      <c r="S44" s="42"/>
      <c r="T44" s="32">
        <f t="shared" si="5"/>
        <v>0.4666666667</v>
      </c>
    </row>
    <row r="45">
      <c r="A45" s="15" t="s">
        <v>89</v>
      </c>
      <c r="B45" s="16" t="s">
        <v>27</v>
      </c>
      <c r="C45" s="16" t="s">
        <v>28</v>
      </c>
      <c r="D45" s="17" t="str">
        <f t="shared" si="1"/>
        <v>Active</v>
      </c>
      <c r="E45" s="18">
        <v>45931.0</v>
      </c>
      <c r="F45" s="19"/>
      <c r="G45" s="20">
        <f t="shared" si="2"/>
        <v>0.4666666667</v>
      </c>
      <c r="H45" s="45">
        <v>41702.0</v>
      </c>
      <c r="I45" s="20">
        <f t="shared" si="3"/>
        <v>11.575</v>
      </c>
      <c r="J45" s="46">
        <v>85.0</v>
      </c>
      <c r="K45" s="46">
        <v>12.0</v>
      </c>
      <c r="L45" s="23" t="s">
        <v>29</v>
      </c>
      <c r="M45" s="43"/>
      <c r="N45" s="50" t="s">
        <v>53</v>
      </c>
      <c r="O45" s="24"/>
      <c r="P45" s="25"/>
      <c r="Q45" s="24"/>
      <c r="R45" s="17" t="str">
        <f t="shared" si="4"/>
        <v>TBD</v>
      </c>
      <c r="S45" s="26"/>
      <c r="T45" s="20">
        <f t="shared" si="5"/>
        <v>0.4666666667</v>
      </c>
    </row>
    <row r="46">
      <c r="A46" s="27" t="s">
        <v>90</v>
      </c>
      <c r="B46" s="28" t="s">
        <v>27</v>
      </c>
      <c r="C46" s="28" t="s">
        <v>28</v>
      </c>
      <c r="D46" s="29" t="str">
        <f t="shared" si="1"/>
        <v>Active</v>
      </c>
      <c r="E46" s="33">
        <v>45931.0</v>
      </c>
      <c r="F46" s="37"/>
      <c r="G46" s="32">
        <f t="shared" si="2"/>
        <v>0.4666666667</v>
      </c>
      <c r="H46" s="47">
        <v>43389.0</v>
      </c>
      <c r="I46" s="32">
        <f t="shared" si="3"/>
        <v>6.958333333</v>
      </c>
      <c r="J46" s="48">
        <v>74.0</v>
      </c>
      <c r="K46" s="48">
        <v>15.0</v>
      </c>
      <c r="L46" s="35" t="s">
        <v>50</v>
      </c>
      <c r="M46" s="44"/>
      <c r="N46" s="49" t="s">
        <v>53</v>
      </c>
      <c r="O46" s="40"/>
      <c r="P46" s="41"/>
      <c r="Q46" s="40"/>
      <c r="R46" s="29" t="str">
        <f t="shared" si="4"/>
        <v>TBD</v>
      </c>
      <c r="S46" s="42"/>
      <c r="T46" s="32">
        <f t="shared" si="5"/>
        <v>0.4666666667</v>
      </c>
    </row>
    <row r="47">
      <c r="A47" s="15" t="s">
        <v>91</v>
      </c>
      <c r="B47" s="16" t="s">
        <v>27</v>
      </c>
      <c r="C47" s="16" t="s">
        <v>28</v>
      </c>
      <c r="D47" s="17" t="str">
        <f t="shared" si="1"/>
        <v>Active</v>
      </c>
      <c r="E47" s="18">
        <v>45931.0</v>
      </c>
      <c r="F47" s="19"/>
      <c r="G47" s="20">
        <f t="shared" si="2"/>
        <v>0.4666666667</v>
      </c>
      <c r="H47" s="45">
        <v>42703.0</v>
      </c>
      <c r="I47" s="20">
        <f t="shared" si="3"/>
        <v>8.838888889</v>
      </c>
      <c r="J47" s="46">
        <v>71.0</v>
      </c>
      <c r="K47" s="46">
        <v>12.0</v>
      </c>
      <c r="L47" s="23" t="s">
        <v>92</v>
      </c>
      <c r="M47" s="43"/>
      <c r="N47" s="50" t="s">
        <v>53</v>
      </c>
      <c r="O47" s="24"/>
      <c r="P47" s="25"/>
      <c r="Q47" s="24"/>
      <c r="R47" s="17" t="str">
        <f t="shared" si="4"/>
        <v>TBD</v>
      </c>
      <c r="S47" s="26"/>
      <c r="T47" s="20">
        <f t="shared" si="5"/>
        <v>0.4666666667</v>
      </c>
    </row>
    <row r="48">
      <c r="A48" s="27" t="s">
        <v>93</v>
      </c>
      <c r="B48" s="28" t="s">
        <v>27</v>
      </c>
      <c r="C48" s="28" t="s">
        <v>28</v>
      </c>
      <c r="D48" s="29" t="str">
        <f t="shared" si="1"/>
        <v>Active</v>
      </c>
      <c r="E48" s="33">
        <v>45931.0</v>
      </c>
      <c r="F48" s="37"/>
      <c r="G48" s="32">
        <f t="shared" si="2"/>
        <v>0.4666666667</v>
      </c>
      <c r="H48" s="47">
        <v>43277.0</v>
      </c>
      <c r="I48" s="32">
        <f t="shared" si="3"/>
        <v>7.263888889</v>
      </c>
      <c r="J48" s="48">
        <v>64.0</v>
      </c>
      <c r="K48" s="48">
        <v>21.0</v>
      </c>
      <c r="L48" s="35" t="s">
        <v>94</v>
      </c>
      <c r="M48" s="44"/>
      <c r="N48" s="49" t="s">
        <v>53</v>
      </c>
      <c r="O48" s="40"/>
      <c r="P48" s="41"/>
      <c r="Q48" s="40"/>
      <c r="R48" s="29" t="str">
        <f t="shared" si="4"/>
        <v>TBD</v>
      </c>
      <c r="S48" s="42"/>
      <c r="T48" s="32">
        <f t="shared" si="5"/>
        <v>0.4666666667</v>
      </c>
    </row>
    <row r="49">
      <c r="A49" s="15" t="s">
        <v>95</v>
      </c>
      <c r="B49" s="16" t="s">
        <v>27</v>
      </c>
      <c r="C49" s="16" t="s">
        <v>28</v>
      </c>
      <c r="D49" s="17" t="str">
        <f t="shared" si="1"/>
        <v>Active</v>
      </c>
      <c r="E49" s="18">
        <v>45931.0</v>
      </c>
      <c r="F49" s="19"/>
      <c r="G49" s="20">
        <f t="shared" si="2"/>
        <v>0.4666666667</v>
      </c>
      <c r="H49" s="45">
        <v>44974.0</v>
      </c>
      <c r="I49" s="20">
        <f t="shared" si="3"/>
        <v>2.622222222</v>
      </c>
      <c r="J49" s="46">
        <v>54.0</v>
      </c>
      <c r="K49" s="46">
        <v>35.0</v>
      </c>
      <c r="L49" s="23" t="s">
        <v>96</v>
      </c>
      <c r="M49" s="43"/>
      <c r="N49" s="50" t="s">
        <v>53</v>
      </c>
      <c r="O49" s="24"/>
      <c r="P49" s="25"/>
      <c r="Q49" s="24"/>
      <c r="R49" s="17" t="str">
        <f t="shared" si="4"/>
        <v>TBD</v>
      </c>
      <c r="S49" s="26"/>
      <c r="T49" s="20">
        <f t="shared" si="5"/>
        <v>0.4666666667</v>
      </c>
    </row>
    <row r="50">
      <c r="A50" s="27" t="s">
        <v>97</v>
      </c>
      <c r="B50" s="28" t="s">
        <v>27</v>
      </c>
      <c r="C50" s="28" t="s">
        <v>28</v>
      </c>
      <c r="D50" s="29" t="str">
        <f t="shared" si="1"/>
        <v>Active</v>
      </c>
      <c r="E50" s="33">
        <v>45931.0</v>
      </c>
      <c r="F50" s="37"/>
      <c r="G50" s="32">
        <f t="shared" si="2"/>
        <v>0.4666666667</v>
      </c>
      <c r="H50" s="47">
        <v>43739.0</v>
      </c>
      <c r="I50" s="32">
        <f t="shared" si="3"/>
        <v>6</v>
      </c>
      <c r="J50" s="48">
        <v>56.0</v>
      </c>
      <c r="K50" s="48">
        <v>23.0</v>
      </c>
      <c r="L50" s="35" t="s">
        <v>32</v>
      </c>
      <c r="M50" s="44"/>
      <c r="N50" s="49" t="s">
        <v>53</v>
      </c>
      <c r="O50" s="40"/>
      <c r="P50" s="41"/>
      <c r="Q50" s="40"/>
      <c r="R50" s="29" t="str">
        <f t="shared" si="4"/>
        <v>TBD</v>
      </c>
      <c r="S50" s="42"/>
      <c r="T50" s="32">
        <f t="shared" si="5"/>
        <v>0.4666666667</v>
      </c>
    </row>
    <row r="51">
      <c r="A51" s="15" t="s">
        <v>98</v>
      </c>
      <c r="B51" s="16" t="s">
        <v>27</v>
      </c>
      <c r="C51" s="16" t="s">
        <v>28</v>
      </c>
      <c r="D51" s="17" t="str">
        <f t="shared" si="1"/>
        <v>Active</v>
      </c>
      <c r="E51" s="18">
        <v>45931.0</v>
      </c>
      <c r="F51" s="52"/>
      <c r="G51" s="20">
        <f t="shared" si="2"/>
        <v>0.4666666667</v>
      </c>
      <c r="H51" s="45">
        <v>44581.0</v>
      </c>
      <c r="I51" s="20">
        <f t="shared" si="3"/>
        <v>3.697222222</v>
      </c>
      <c r="J51" s="53">
        <f>average(71,72)</f>
        <v>71.5</v>
      </c>
      <c r="K51" s="53">
        <v>8.0</v>
      </c>
      <c r="L51" s="23" t="s">
        <v>32</v>
      </c>
      <c r="M51" s="23"/>
      <c r="N51" s="23" t="s">
        <v>99</v>
      </c>
      <c r="O51" s="23" t="s">
        <v>34</v>
      </c>
      <c r="P51" s="54" t="s">
        <v>100</v>
      </c>
      <c r="Q51" s="23"/>
      <c r="R51" s="17" t="str">
        <f t="shared" si="4"/>
        <v>TBD</v>
      </c>
      <c r="S51" s="26"/>
      <c r="T51" s="20">
        <f t="shared" si="5"/>
        <v>0.4666666667</v>
      </c>
    </row>
    <row r="52">
      <c r="A52" s="27" t="s">
        <v>101</v>
      </c>
      <c r="B52" s="28" t="s">
        <v>27</v>
      </c>
      <c r="C52" s="28" t="s">
        <v>28</v>
      </c>
      <c r="D52" s="29" t="str">
        <f t="shared" si="1"/>
        <v>Active</v>
      </c>
      <c r="E52" s="33">
        <v>45931.0</v>
      </c>
      <c r="F52" s="37"/>
      <c r="G52" s="32">
        <f t="shared" si="2"/>
        <v>0.4666666667</v>
      </c>
      <c r="H52" s="47">
        <v>42437.0</v>
      </c>
      <c r="I52" s="32">
        <f t="shared" si="3"/>
        <v>9.563888889</v>
      </c>
      <c r="J52" s="48">
        <v>80.0</v>
      </c>
      <c r="K52" s="48">
        <v>24.0</v>
      </c>
      <c r="L52" s="35" t="s">
        <v>32</v>
      </c>
      <c r="M52" s="44"/>
      <c r="N52" s="49" t="s">
        <v>53</v>
      </c>
      <c r="O52" s="40"/>
      <c r="P52" s="41"/>
      <c r="Q52" s="40"/>
      <c r="R52" s="29" t="str">
        <f t="shared" si="4"/>
        <v>TBD</v>
      </c>
      <c r="S52" s="42"/>
      <c r="T52" s="32">
        <f t="shared" si="5"/>
        <v>0.4666666667</v>
      </c>
    </row>
    <row r="53">
      <c r="A53" s="15" t="s">
        <v>102</v>
      </c>
      <c r="B53" s="16" t="s">
        <v>27</v>
      </c>
      <c r="C53" s="16" t="s">
        <v>28</v>
      </c>
      <c r="D53" s="17" t="str">
        <f t="shared" si="1"/>
        <v>Active</v>
      </c>
      <c r="E53" s="18">
        <v>45931.0</v>
      </c>
      <c r="F53" s="19"/>
      <c r="G53" s="20">
        <f t="shared" si="2"/>
        <v>0.4666666667</v>
      </c>
      <c r="H53" s="45">
        <v>42451.0</v>
      </c>
      <c r="I53" s="20">
        <f t="shared" si="3"/>
        <v>9.525</v>
      </c>
      <c r="J53" s="46">
        <v>81.0</v>
      </c>
      <c r="K53" s="46">
        <v>13.0</v>
      </c>
      <c r="L53" s="23" t="s">
        <v>94</v>
      </c>
      <c r="M53" s="43"/>
      <c r="N53" s="50" t="s">
        <v>53</v>
      </c>
      <c r="O53" s="24"/>
      <c r="P53" s="25"/>
      <c r="Q53" s="24"/>
      <c r="R53" s="17" t="str">
        <f t="shared" si="4"/>
        <v>TBD</v>
      </c>
      <c r="S53" s="26"/>
      <c r="T53" s="20">
        <f t="shared" si="5"/>
        <v>0.4666666667</v>
      </c>
    </row>
    <row r="54">
      <c r="A54" s="27" t="s">
        <v>103</v>
      </c>
      <c r="B54" s="28" t="s">
        <v>68</v>
      </c>
      <c r="C54" s="28" t="s">
        <v>28</v>
      </c>
      <c r="D54" s="29" t="str">
        <f t="shared" si="1"/>
        <v>Active</v>
      </c>
      <c r="E54" s="33">
        <v>45931.0</v>
      </c>
      <c r="F54" s="37"/>
      <c r="G54" s="32">
        <f t="shared" si="2"/>
        <v>0.4666666667</v>
      </c>
      <c r="H54" s="47">
        <v>43361.0</v>
      </c>
      <c r="I54" s="32">
        <f t="shared" si="3"/>
        <v>7.036111111</v>
      </c>
      <c r="J54" s="48">
        <v>71.0</v>
      </c>
      <c r="K54" s="48">
        <v>2.0</v>
      </c>
      <c r="L54" s="35" t="s">
        <v>37</v>
      </c>
      <c r="M54" s="44"/>
      <c r="N54" s="49" t="s">
        <v>53</v>
      </c>
      <c r="O54" s="40"/>
      <c r="P54" s="41"/>
      <c r="Q54" s="40"/>
      <c r="R54" s="29" t="str">
        <f t="shared" si="4"/>
        <v>TBD</v>
      </c>
      <c r="S54" s="42"/>
      <c r="T54" s="32">
        <f t="shared" si="5"/>
        <v>0.4666666667</v>
      </c>
    </row>
    <row r="55">
      <c r="A55" s="15" t="s">
        <v>104</v>
      </c>
      <c r="B55" s="16" t="s">
        <v>27</v>
      </c>
      <c r="C55" s="16" t="s">
        <v>28</v>
      </c>
      <c r="D55" s="17" t="str">
        <f t="shared" si="1"/>
        <v>Active</v>
      </c>
      <c r="E55" s="18">
        <v>45931.0</v>
      </c>
      <c r="F55" s="19"/>
      <c r="G55" s="20">
        <f t="shared" si="2"/>
        <v>0.4666666667</v>
      </c>
      <c r="H55" s="45">
        <v>41744.0</v>
      </c>
      <c r="I55" s="20">
        <f t="shared" si="3"/>
        <v>11.46111111</v>
      </c>
      <c r="J55" s="46">
        <v>79.0</v>
      </c>
      <c r="K55" s="46">
        <v>7.0</v>
      </c>
      <c r="L55" s="23" t="s">
        <v>94</v>
      </c>
      <c r="M55" s="43"/>
      <c r="N55" s="50" t="s">
        <v>53</v>
      </c>
      <c r="O55" s="24"/>
      <c r="P55" s="25"/>
      <c r="Q55" s="24"/>
      <c r="R55" s="17" t="str">
        <f t="shared" si="4"/>
        <v>TBD</v>
      </c>
      <c r="S55" s="26"/>
      <c r="T55" s="20">
        <f t="shared" si="5"/>
        <v>0.4666666667</v>
      </c>
    </row>
    <row r="56">
      <c r="A56" s="27" t="s">
        <v>105</v>
      </c>
      <c r="B56" s="28" t="s">
        <v>27</v>
      </c>
      <c r="C56" s="28" t="s">
        <v>28</v>
      </c>
      <c r="D56" s="29" t="str">
        <f t="shared" si="1"/>
        <v>Active</v>
      </c>
      <c r="E56" s="33">
        <v>45931.0</v>
      </c>
      <c r="F56" s="37"/>
      <c r="G56" s="32">
        <f t="shared" si="2"/>
        <v>0.4666666667</v>
      </c>
      <c r="H56" s="47">
        <v>42534.0</v>
      </c>
      <c r="I56" s="32">
        <f t="shared" si="3"/>
        <v>9.3</v>
      </c>
      <c r="J56" s="48">
        <v>55.0</v>
      </c>
      <c r="K56" s="48">
        <v>3.0</v>
      </c>
      <c r="L56" s="35" t="s">
        <v>94</v>
      </c>
      <c r="M56" s="44"/>
      <c r="N56" s="49" t="s">
        <v>53</v>
      </c>
      <c r="O56" s="40"/>
      <c r="P56" s="41"/>
      <c r="Q56" s="40"/>
      <c r="R56" s="29" t="str">
        <f t="shared" si="4"/>
        <v>TBD</v>
      </c>
      <c r="S56" s="42"/>
      <c r="T56" s="32">
        <f t="shared" si="5"/>
        <v>0.4666666667</v>
      </c>
    </row>
    <row r="57">
      <c r="A57" s="15" t="s">
        <v>106</v>
      </c>
      <c r="B57" s="16" t="s">
        <v>27</v>
      </c>
      <c r="C57" s="16" t="s">
        <v>28</v>
      </c>
      <c r="D57" s="17" t="str">
        <f t="shared" si="1"/>
        <v>Active</v>
      </c>
      <c r="E57" s="18">
        <v>45931.0</v>
      </c>
      <c r="F57" s="19"/>
      <c r="G57" s="20">
        <f t="shared" si="2"/>
        <v>0.4666666667</v>
      </c>
      <c r="H57" s="45">
        <v>43522.0</v>
      </c>
      <c r="I57" s="20">
        <f t="shared" si="3"/>
        <v>6.597222222</v>
      </c>
      <c r="J57" s="46">
        <v>79.0</v>
      </c>
      <c r="K57" s="46">
        <v>18.0</v>
      </c>
      <c r="L57" s="23" t="s">
        <v>94</v>
      </c>
      <c r="M57" s="43"/>
      <c r="N57" s="50" t="s">
        <v>53</v>
      </c>
      <c r="O57" s="24"/>
      <c r="P57" s="25"/>
      <c r="Q57" s="24"/>
      <c r="R57" s="17" t="str">
        <f t="shared" si="4"/>
        <v>TBD</v>
      </c>
      <c r="S57" s="26"/>
      <c r="T57" s="20">
        <f t="shared" si="5"/>
        <v>0.4666666667</v>
      </c>
    </row>
    <row r="58">
      <c r="A58" s="27" t="s">
        <v>107</v>
      </c>
      <c r="B58" s="28" t="s">
        <v>27</v>
      </c>
      <c r="C58" s="28" t="s">
        <v>28</v>
      </c>
      <c r="D58" s="29" t="str">
        <f t="shared" si="1"/>
        <v>Active</v>
      </c>
      <c r="E58" s="33">
        <v>45931.0</v>
      </c>
      <c r="F58" s="37"/>
      <c r="G58" s="32">
        <f t="shared" si="2"/>
        <v>0.4666666667</v>
      </c>
      <c r="H58" s="47">
        <v>38846.0</v>
      </c>
      <c r="I58" s="32">
        <f t="shared" si="3"/>
        <v>19.39444444</v>
      </c>
      <c r="J58" s="48">
        <v>81.0</v>
      </c>
      <c r="K58" s="48">
        <v>3.0</v>
      </c>
      <c r="L58" s="35" t="s">
        <v>78</v>
      </c>
      <c r="M58" s="44"/>
      <c r="N58" s="49" t="s">
        <v>53</v>
      </c>
      <c r="O58" s="40"/>
      <c r="P58" s="41"/>
      <c r="Q58" s="40"/>
      <c r="R58" s="29" t="str">
        <f t="shared" si="4"/>
        <v>TBD</v>
      </c>
      <c r="S58" s="42"/>
      <c r="T58" s="32">
        <f t="shared" si="5"/>
        <v>0.4666666667</v>
      </c>
    </row>
    <row r="59">
      <c r="A59" s="15" t="s">
        <v>108</v>
      </c>
      <c r="B59" s="16" t="s">
        <v>27</v>
      </c>
      <c r="C59" s="16" t="s">
        <v>28</v>
      </c>
      <c r="D59" s="17" t="str">
        <f t="shared" si="1"/>
        <v>Active</v>
      </c>
      <c r="E59" s="18">
        <v>45931.0</v>
      </c>
      <c r="F59" s="19"/>
      <c r="G59" s="20">
        <f t="shared" si="2"/>
        <v>0.4666666667</v>
      </c>
      <c r="H59" s="45">
        <v>41814.0</v>
      </c>
      <c r="I59" s="20">
        <f t="shared" si="3"/>
        <v>11.26944444</v>
      </c>
      <c r="J59" s="46">
        <v>77.0</v>
      </c>
      <c r="K59" s="46">
        <v>7.0</v>
      </c>
      <c r="L59" s="23" t="s">
        <v>44</v>
      </c>
      <c r="M59" s="43"/>
      <c r="N59" s="50" t="s">
        <v>53</v>
      </c>
      <c r="O59" s="24"/>
      <c r="P59" s="25"/>
      <c r="Q59" s="24"/>
      <c r="R59" s="17" t="str">
        <f t="shared" si="4"/>
        <v>TBD</v>
      </c>
      <c r="S59" s="26"/>
      <c r="T59" s="20">
        <f t="shared" si="5"/>
        <v>0.4666666667</v>
      </c>
    </row>
    <row r="60">
      <c r="A60" s="27" t="s">
        <v>109</v>
      </c>
      <c r="B60" s="28" t="s">
        <v>27</v>
      </c>
      <c r="C60" s="28" t="s">
        <v>28</v>
      </c>
      <c r="D60" s="29" t="str">
        <f t="shared" si="1"/>
        <v>Active</v>
      </c>
      <c r="E60" s="33">
        <v>45931.0</v>
      </c>
      <c r="F60" s="37"/>
      <c r="G60" s="32">
        <f t="shared" si="2"/>
        <v>0.4666666667</v>
      </c>
      <c r="H60" s="47">
        <v>41786.0</v>
      </c>
      <c r="I60" s="32">
        <f t="shared" si="3"/>
        <v>11.34444444</v>
      </c>
      <c r="J60" s="48">
        <v>80.0</v>
      </c>
      <c r="K60" s="48">
        <v>20.0</v>
      </c>
      <c r="L60" s="35" t="s">
        <v>37</v>
      </c>
      <c r="M60" s="44"/>
      <c r="N60" s="49" t="s">
        <v>53</v>
      </c>
      <c r="O60" s="40"/>
      <c r="P60" s="41"/>
      <c r="Q60" s="40"/>
      <c r="R60" s="29" t="str">
        <f t="shared" si="4"/>
        <v>TBD</v>
      </c>
      <c r="S60" s="42"/>
      <c r="T60" s="32">
        <f t="shared" si="5"/>
        <v>0.4666666667</v>
      </c>
    </row>
    <row r="61">
      <c r="A61" s="15" t="s">
        <v>110</v>
      </c>
      <c r="B61" s="16" t="s">
        <v>68</v>
      </c>
      <c r="C61" s="16" t="s">
        <v>28</v>
      </c>
      <c r="D61" s="17" t="str">
        <f t="shared" si="1"/>
        <v>Active</v>
      </c>
      <c r="E61" s="18">
        <v>45931.0</v>
      </c>
      <c r="F61" s="19"/>
      <c r="G61" s="20">
        <f t="shared" si="2"/>
        <v>0.4666666667</v>
      </c>
      <c r="H61" s="45">
        <v>43046.0</v>
      </c>
      <c r="I61" s="20">
        <f t="shared" si="3"/>
        <v>7.9</v>
      </c>
      <c r="J61" s="46">
        <v>80.0</v>
      </c>
      <c r="K61" s="46">
        <v>2.0</v>
      </c>
      <c r="L61" s="23" t="s">
        <v>111</v>
      </c>
      <c r="M61" s="43"/>
      <c r="N61" s="50" t="s">
        <v>53</v>
      </c>
      <c r="O61" s="24"/>
      <c r="P61" s="25"/>
      <c r="Q61" s="24"/>
      <c r="R61" s="17" t="str">
        <f t="shared" si="4"/>
        <v>TBD</v>
      </c>
      <c r="S61" s="26"/>
      <c r="T61" s="20">
        <f t="shared" si="5"/>
        <v>0.4666666667</v>
      </c>
    </row>
    <row r="62">
      <c r="A62" s="27" t="s">
        <v>112</v>
      </c>
      <c r="B62" s="28" t="s">
        <v>27</v>
      </c>
      <c r="C62" s="28" t="s">
        <v>28</v>
      </c>
      <c r="D62" s="29" t="str">
        <f t="shared" si="1"/>
        <v>Active</v>
      </c>
      <c r="E62" s="33">
        <v>45931.0</v>
      </c>
      <c r="F62" s="37"/>
      <c r="G62" s="32">
        <f t="shared" si="2"/>
        <v>0.4666666667</v>
      </c>
      <c r="H62" s="47">
        <v>42234.0</v>
      </c>
      <c r="I62" s="32">
        <f t="shared" si="3"/>
        <v>10.11944444</v>
      </c>
      <c r="J62" s="48">
        <v>65.0</v>
      </c>
      <c r="K62" s="48">
        <v>12.0</v>
      </c>
      <c r="L62" s="35" t="s">
        <v>113</v>
      </c>
      <c r="M62" s="44"/>
      <c r="N62" s="49" t="s">
        <v>53</v>
      </c>
      <c r="O62" s="40"/>
      <c r="P62" s="41"/>
      <c r="Q62" s="40"/>
      <c r="R62" s="29" t="str">
        <f t="shared" si="4"/>
        <v>TBD</v>
      </c>
      <c r="S62" s="42"/>
      <c r="T62" s="32">
        <f t="shared" si="5"/>
        <v>0.4666666667</v>
      </c>
    </row>
    <row r="63">
      <c r="A63" s="15" t="s">
        <v>114</v>
      </c>
      <c r="B63" s="16" t="s">
        <v>27</v>
      </c>
      <c r="C63" s="16" t="s">
        <v>28</v>
      </c>
      <c r="D63" s="17" t="str">
        <f t="shared" si="1"/>
        <v>Active</v>
      </c>
      <c r="E63" s="18">
        <v>45930.0</v>
      </c>
      <c r="F63" s="19"/>
      <c r="G63" s="20">
        <f t="shared" si="2"/>
        <v>0.5</v>
      </c>
      <c r="H63" s="45">
        <v>42062.0</v>
      </c>
      <c r="I63" s="20">
        <f t="shared" si="3"/>
        <v>10.59166667</v>
      </c>
      <c r="J63" s="46">
        <v>84.0</v>
      </c>
      <c r="K63" s="46">
        <v>7.0</v>
      </c>
      <c r="L63" s="23" t="s">
        <v>37</v>
      </c>
      <c r="M63" s="43"/>
      <c r="N63" s="24"/>
      <c r="O63" s="24"/>
      <c r="P63" s="25"/>
      <c r="Q63" s="24"/>
      <c r="R63" s="17" t="str">
        <f t="shared" si="4"/>
        <v>Active</v>
      </c>
      <c r="S63" s="18">
        <f t="shared" ref="S63:S65" si="7">E63</f>
        <v>45930</v>
      </c>
      <c r="T63" s="20">
        <f t="shared" si="5"/>
        <v>0</v>
      </c>
    </row>
    <row r="64">
      <c r="A64" s="27" t="s">
        <v>115</v>
      </c>
      <c r="B64" s="28" t="s">
        <v>27</v>
      </c>
      <c r="C64" s="28" t="s">
        <v>28</v>
      </c>
      <c r="D64" s="29" t="str">
        <f t="shared" si="1"/>
        <v>Active</v>
      </c>
      <c r="E64" s="33">
        <v>45925.0</v>
      </c>
      <c r="F64" s="37"/>
      <c r="G64" s="32">
        <f t="shared" si="2"/>
        <v>0.6666666667</v>
      </c>
      <c r="H64" s="47">
        <v>45002.0</v>
      </c>
      <c r="I64" s="32">
        <f t="shared" si="3"/>
        <v>2.522222222</v>
      </c>
      <c r="J64" s="48">
        <v>72.0</v>
      </c>
      <c r="K64" s="48">
        <v>2.0</v>
      </c>
      <c r="L64" s="35" t="s">
        <v>37</v>
      </c>
      <c r="M64" s="35" t="s">
        <v>30</v>
      </c>
      <c r="N64" s="40"/>
      <c r="O64" s="40"/>
      <c r="P64" s="41"/>
      <c r="Q64" s="40"/>
      <c r="R64" s="29" t="str">
        <f t="shared" si="4"/>
        <v>Active</v>
      </c>
      <c r="S64" s="33">
        <f t="shared" si="7"/>
        <v>45925</v>
      </c>
      <c r="T64" s="32">
        <f t="shared" si="5"/>
        <v>0</v>
      </c>
    </row>
    <row r="65">
      <c r="A65" s="15" t="s">
        <v>116</v>
      </c>
      <c r="B65" s="16" t="s">
        <v>27</v>
      </c>
      <c r="C65" s="16" t="s">
        <v>28</v>
      </c>
      <c r="D65" s="17" t="str">
        <f t="shared" si="1"/>
        <v>Active</v>
      </c>
      <c r="E65" s="18">
        <v>45925.0</v>
      </c>
      <c r="F65" s="19"/>
      <c r="G65" s="20">
        <f t="shared" si="2"/>
        <v>0.6666666667</v>
      </c>
      <c r="H65" s="45">
        <v>45533.0</v>
      </c>
      <c r="I65" s="20">
        <f t="shared" si="3"/>
        <v>1.072222222</v>
      </c>
      <c r="J65" s="46">
        <v>75.0</v>
      </c>
      <c r="K65" s="46">
        <v>29.0</v>
      </c>
      <c r="L65" s="23" t="s">
        <v>29</v>
      </c>
      <c r="M65" s="23" t="s">
        <v>30</v>
      </c>
      <c r="N65" s="24"/>
      <c r="O65" s="24"/>
      <c r="P65" s="25"/>
      <c r="Q65" s="24"/>
      <c r="R65" s="17" t="str">
        <f t="shared" si="4"/>
        <v>Active</v>
      </c>
      <c r="S65" s="18">
        <f t="shared" si="7"/>
        <v>45925</v>
      </c>
      <c r="T65" s="20">
        <f t="shared" si="5"/>
        <v>0</v>
      </c>
    </row>
    <row r="66">
      <c r="A66" s="27" t="s">
        <v>117</v>
      </c>
      <c r="B66" s="28" t="s">
        <v>27</v>
      </c>
      <c r="C66" s="28" t="s">
        <v>28</v>
      </c>
      <c r="D66" s="29" t="str">
        <f t="shared" si="1"/>
        <v>Active</v>
      </c>
      <c r="E66" s="33">
        <v>45923.0</v>
      </c>
      <c r="F66" s="37"/>
      <c r="G66" s="32">
        <f t="shared" si="2"/>
        <v>0.7333333333</v>
      </c>
      <c r="H66" s="47">
        <v>45923.0</v>
      </c>
      <c r="I66" s="32">
        <f t="shared" si="3"/>
        <v>0</v>
      </c>
      <c r="J66" s="39"/>
      <c r="K66" s="39"/>
      <c r="L66" s="35" t="s">
        <v>29</v>
      </c>
      <c r="M66" s="35" t="s">
        <v>30</v>
      </c>
      <c r="N66" s="40"/>
      <c r="O66" s="40"/>
      <c r="P66" s="41"/>
      <c r="Q66" s="40"/>
      <c r="R66" s="29" t="str">
        <f t="shared" si="4"/>
        <v>Active</v>
      </c>
      <c r="S66" s="33">
        <v>45931.0</v>
      </c>
      <c r="T66" s="32">
        <f t="shared" si="5"/>
        <v>0.2666666667</v>
      </c>
    </row>
    <row r="67">
      <c r="A67" s="15" t="s">
        <v>118</v>
      </c>
      <c r="B67" s="16" t="s">
        <v>40</v>
      </c>
      <c r="C67" s="17"/>
      <c r="D67" s="17" t="str">
        <f t="shared" si="1"/>
        <v>Active</v>
      </c>
      <c r="E67" s="18">
        <v>45922.0</v>
      </c>
      <c r="F67" s="19"/>
      <c r="G67" s="20">
        <f t="shared" si="2"/>
        <v>0.7666666667</v>
      </c>
      <c r="H67" s="45">
        <v>45922.0</v>
      </c>
      <c r="I67" s="20">
        <f t="shared" si="3"/>
        <v>0</v>
      </c>
      <c r="J67" s="22"/>
      <c r="K67" s="22"/>
      <c r="L67" s="23" t="s">
        <v>119</v>
      </c>
      <c r="M67" s="43"/>
      <c r="N67" s="24"/>
      <c r="O67" s="24"/>
      <c r="P67" s="25"/>
      <c r="Q67" s="24"/>
      <c r="R67" s="17" t="str">
        <f t="shared" si="4"/>
        <v>TBD</v>
      </c>
      <c r="S67" s="18"/>
      <c r="T67" s="20">
        <f t="shared" si="5"/>
        <v>0.7666666667</v>
      </c>
    </row>
    <row r="68">
      <c r="A68" s="27" t="s">
        <v>120</v>
      </c>
      <c r="B68" s="28" t="s">
        <v>27</v>
      </c>
      <c r="C68" s="28" t="s">
        <v>121</v>
      </c>
      <c r="D68" s="29" t="str">
        <f t="shared" si="1"/>
        <v>Active</v>
      </c>
      <c r="E68" s="33">
        <v>45919.0</v>
      </c>
      <c r="F68" s="31"/>
      <c r="G68" s="32">
        <f t="shared" si="2"/>
        <v>0.8666666667</v>
      </c>
      <c r="H68" s="33">
        <v>43441.0</v>
      </c>
      <c r="I68" s="32">
        <f t="shared" si="3"/>
        <v>6.783333333</v>
      </c>
      <c r="J68" s="34">
        <f>(93+94)/2</f>
        <v>93.5</v>
      </c>
      <c r="K68" s="34">
        <v>21.0</v>
      </c>
      <c r="L68" s="35" t="s">
        <v>122</v>
      </c>
      <c r="M68" s="35" t="s">
        <v>123</v>
      </c>
      <c r="N68" s="35" t="s">
        <v>124</v>
      </c>
      <c r="O68" s="35" t="s">
        <v>125</v>
      </c>
      <c r="P68" s="36" t="s">
        <v>126</v>
      </c>
      <c r="Q68" s="35"/>
      <c r="R68" s="29" t="str">
        <f t="shared" si="4"/>
        <v>Active</v>
      </c>
      <c r="S68" s="33">
        <f>E68</f>
        <v>45919</v>
      </c>
      <c r="T68" s="32">
        <f t="shared" si="5"/>
        <v>0</v>
      </c>
    </row>
    <row r="69">
      <c r="A69" s="15" t="s">
        <v>127</v>
      </c>
      <c r="B69" s="16" t="s">
        <v>27</v>
      </c>
      <c r="C69" s="16"/>
      <c r="D69" s="17" t="str">
        <f t="shared" si="1"/>
        <v>Active</v>
      </c>
      <c r="E69" s="18">
        <v>45918.0</v>
      </c>
      <c r="F69" s="19"/>
      <c r="G69" s="20">
        <f t="shared" si="2"/>
        <v>0.9</v>
      </c>
      <c r="H69" s="45">
        <v>45552.0</v>
      </c>
      <c r="I69" s="20">
        <f t="shared" si="3"/>
        <v>1.002777778</v>
      </c>
      <c r="J69" s="46">
        <v>85.0</v>
      </c>
      <c r="K69" s="46">
        <v>12.0</v>
      </c>
      <c r="L69" s="23" t="s">
        <v>96</v>
      </c>
      <c r="M69" s="23" t="s">
        <v>30</v>
      </c>
      <c r="N69" s="24"/>
      <c r="O69" s="24"/>
      <c r="P69" s="25"/>
      <c r="Q69" s="24"/>
      <c r="R69" s="17" t="str">
        <f t="shared" si="4"/>
        <v>Active</v>
      </c>
      <c r="S69" s="18">
        <v>45931.0</v>
      </c>
      <c r="T69" s="20">
        <f t="shared" si="5"/>
        <v>0.4333333333</v>
      </c>
    </row>
    <row r="70">
      <c r="A70" s="27" t="s">
        <v>128</v>
      </c>
      <c r="B70" s="28" t="s">
        <v>27</v>
      </c>
      <c r="C70" s="28" t="s">
        <v>28</v>
      </c>
      <c r="D70" s="29" t="str">
        <f t="shared" si="1"/>
        <v>Active</v>
      </c>
      <c r="E70" s="33">
        <v>45918.0</v>
      </c>
      <c r="F70" s="37"/>
      <c r="G70" s="32">
        <f t="shared" si="2"/>
        <v>0.9</v>
      </c>
      <c r="H70" s="47">
        <v>45898.0</v>
      </c>
      <c r="I70" s="32">
        <f t="shared" si="3"/>
        <v>0.05277777778</v>
      </c>
      <c r="J70" s="48">
        <v>80.0</v>
      </c>
      <c r="K70" s="48">
        <v>3.0</v>
      </c>
      <c r="L70" s="35" t="s">
        <v>37</v>
      </c>
      <c r="M70" s="35" t="s">
        <v>30</v>
      </c>
      <c r="N70" s="40"/>
      <c r="O70" s="40"/>
      <c r="P70" s="41"/>
      <c r="Q70" s="40"/>
      <c r="R70" s="29" t="str">
        <f t="shared" si="4"/>
        <v>Active</v>
      </c>
      <c r="S70" s="33">
        <f>E70</f>
        <v>45918</v>
      </c>
      <c r="T70" s="32">
        <f t="shared" si="5"/>
        <v>0</v>
      </c>
    </row>
    <row r="71">
      <c r="A71" s="15" t="s">
        <v>129</v>
      </c>
      <c r="B71" s="16" t="s">
        <v>27</v>
      </c>
      <c r="C71" s="16" t="s">
        <v>28</v>
      </c>
      <c r="D71" s="17" t="str">
        <f t="shared" si="1"/>
        <v>Active</v>
      </c>
      <c r="E71" s="18">
        <v>45917.0</v>
      </c>
      <c r="F71" s="19"/>
      <c r="G71" s="20">
        <f t="shared" si="2"/>
        <v>0.9333333333</v>
      </c>
      <c r="H71" s="45">
        <v>45917.0</v>
      </c>
      <c r="I71" s="20">
        <f t="shared" si="3"/>
        <v>0</v>
      </c>
      <c r="J71" s="22"/>
      <c r="K71" s="46">
        <v>15.0</v>
      </c>
      <c r="L71" s="23" t="s">
        <v>32</v>
      </c>
      <c r="M71" s="23" t="s">
        <v>30</v>
      </c>
      <c r="N71" s="24"/>
      <c r="O71" s="24"/>
      <c r="P71" s="25"/>
      <c r="Q71" s="24"/>
      <c r="R71" s="55" t="str">
        <f t="shared" si="4"/>
        <v>Active</v>
      </c>
      <c r="S71" s="56">
        <v>45931.0</v>
      </c>
      <c r="T71" s="20">
        <f t="shared" si="5"/>
        <v>0.4666666667</v>
      </c>
    </row>
    <row r="72">
      <c r="A72" s="27" t="s">
        <v>130</v>
      </c>
      <c r="B72" s="28" t="s">
        <v>27</v>
      </c>
      <c r="C72" s="28" t="s">
        <v>28</v>
      </c>
      <c r="D72" s="29" t="str">
        <f t="shared" si="1"/>
        <v>Active</v>
      </c>
      <c r="E72" s="30">
        <v>45910.0</v>
      </c>
      <c r="F72" s="31"/>
      <c r="G72" s="32">
        <f t="shared" si="2"/>
        <v>1.166666667</v>
      </c>
      <c r="H72" s="33">
        <v>45198.0</v>
      </c>
      <c r="I72" s="32">
        <f t="shared" si="3"/>
        <v>1.947222222</v>
      </c>
      <c r="J72" s="34">
        <v>79.0</v>
      </c>
      <c r="K72" s="34">
        <v>7.0</v>
      </c>
      <c r="L72" s="35" t="s">
        <v>37</v>
      </c>
      <c r="M72" s="35"/>
      <c r="N72" s="35" t="s">
        <v>131</v>
      </c>
      <c r="O72" s="35" t="s">
        <v>132</v>
      </c>
      <c r="P72" s="36"/>
      <c r="Q72" s="35"/>
      <c r="R72" s="29" t="str">
        <f t="shared" si="4"/>
        <v>Active</v>
      </c>
      <c r="S72" s="33">
        <f t="shared" ref="S72:S73" si="8">E72</f>
        <v>45910</v>
      </c>
      <c r="T72" s="32">
        <f t="shared" si="5"/>
        <v>0</v>
      </c>
    </row>
    <row r="73">
      <c r="A73" s="15" t="s">
        <v>133</v>
      </c>
      <c r="B73" s="16" t="s">
        <v>68</v>
      </c>
      <c r="C73" s="16" t="s">
        <v>28</v>
      </c>
      <c r="D73" s="17" t="str">
        <f t="shared" si="1"/>
        <v>Active</v>
      </c>
      <c r="E73" s="18">
        <v>45916.0</v>
      </c>
      <c r="F73" s="19"/>
      <c r="G73" s="20">
        <f t="shared" si="2"/>
        <v>0.9666666667</v>
      </c>
      <c r="H73" s="45">
        <v>45797.0</v>
      </c>
      <c r="I73" s="20">
        <f t="shared" si="3"/>
        <v>0.3222222222</v>
      </c>
      <c r="J73" s="46">
        <v>77.0</v>
      </c>
      <c r="K73" s="46">
        <v>51.0</v>
      </c>
      <c r="L73" s="23" t="s">
        <v>94</v>
      </c>
      <c r="M73" s="23" t="s">
        <v>30</v>
      </c>
      <c r="N73" s="24"/>
      <c r="O73" s="24"/>
      <c r="P73" s="25"/>
      <c r="Q73" s="24"/>
      <c r="R73" s="17" t="str">
        <f t="shared" si="4"/>
        <v>Active</v>
      </c>
      <c r="S73" s="18">
        <f t="shared" si="8"/>
        <v>45916</v>
      </c>
      <c r="T73" s="20">
        <f t="shared" si="5"/>
        <v>0</v>
      </c>
    </row>
    <row r="74">
      <c r="A74" s="27" t="s">
        <v>134</v>
      </c>
      <c r="B74" s="28" t="s">
        <v>27</v>
      </c>
      <c r="C74" s="28" t="s">
        <v>28</v>
      </c>
      <c r="D74" s="29" t="str">
        <f t="shared" si="1"/>
        <v>Active</v>
      </c>
      <c r="E74" s="33">
        <v>45904.0</v>
      </c>
      <c r="F74" s="37"/>
      <c r="G74" s="32">
        <f t="shared" si="2"/>
        <v>1.366666667</v>
      </c>
      <c r="H74" s="47">
        <v>45904.0</v>
      </c>
      <c r="I74" s="32">
        <f t="shared" si="3"/>
        <v>0</v>
      </c>
      <c r="J74" s="39"/>
      <c r="K74" s="39"/>
      <c r="L74" s="35" t="s">
        <v>81</v>
      </c>
      <c r="M74" s="44"/>
      <c r="N74" s="40"/>
      <c r="O74" s="40"/>
      <c r="P74" s="41"/>
      <c r="Q74" s="40"/>
      <c r="R74" s="29" t="str">
        <f t="shared" si="4"/>
        <v>TBD</v>
      </c>
      <c r="S74" s="33"/>
      <c r="T74" s="32">
        <f t="shared" si="5"/>
        <v>1.366666667</v>
      </c>
    </row>
    <row r="75">
      <c r="A75" s="15" t="s">
        <v>135</v>
      </c>
      <c r="B75" s="16" t="s">
        <v>40</v>
      </c>
      <c r="C75" s="16"/>
      <c r="D75" s="17" t="str">
        <f t="shared" si="1"/>
        <v>Active</v>
      </c>
      <c r="E75" s="18">
        <v>45904.0</v>
      </c>
      <c r="F75" s="19"/>
      <c r="G75" s="20">
        <f t="shared" si="2"/>
        <v>1.366666667</v>
      </c>
      <c r="H75" s="45">
        <v>45736.0</v>
      </c>
      <c r="I75" s="20">
        <f t="shared" si="3"/>
        <v>0.4555555556</v>
      </c>
      <c r="J75" s="46">
        <v>82.0</v>
      </c>
      <c r="K75" s="46">
        <v>16.0</v>
      </c>
      <c r="L75" s="23" t="s">
        <v>136</v>
      </c>
      <c r="M75" s="43"/>
      <c r="N75" s="24"/>
      <c r="O75" s="24"/>
      <c r="P75" s="25"/>
      <c r="Q75" s="24"/>
      <c r="R75" s="55" t="str">
        <f t="shared" si="4"/>
        <v>Active</v>
      </c>
      <c r="S75" s="56">
        <v>45931.0</v>
      </c>
      <c r="T75" s="20">
        <f t="shared" si="5"/>
        <v>0.9</v>
      </c>
    </row>
    <row r="76">
      <c r="A76" s="27" t="s">
        <v>137</v>
      </c>
      <c r="B76" s="28" t="s">
        <v>27</v>
      </c>
      <c r="C76" s="28" t="s">
        <v>28</v>
      </c>
      <c r="D76" s="29" t="str">
        <f t="shared" si="1"/>
        <v>Active</v>
      </c>
      <c r="E76" s="33">
        <v>45901.0</v>
      </c>
      <c r="F76" s="37"/>
      <c r="G76" s="32">
        <f t="shared" si="2"/>
        <v>1.466666667</v>
      </c>
      <c r="H76" s="47">
        <v>45545.0</v>
      </c>
      <c r="I76" s="32">
        <f t="shared" si="3"/>
        <v>0.975</v>
      </c>
      <c r="J76" s="48">
        <v>79.0</v>
      </c>
      <c r="K76" s="48">
        <v>3.0</v>
      </c>
      <c r="L76" s="35" t="s">
        <v>32</v>
      </c>
      <c r="M76" s="35" t="s">
        <v>30</v>
      </c>
      <c r="N76" s="40"/>
      <c r="O76" s="40"/>
      <c r="P76" s="41"/>
      <c r="Q76" s="40"/>
      <c r="R76" s="29" t="str">
        <f t="shared" si="4"/>
        <v>Active</v>
      </c>
      <c r="S76" s="33">
        <f>E76</f>
        <v>45901</v>
      </c>
      <c r="T76" s="32">
        <f t="shared" si="5"/>
        <v>0</v>
      </c>
    </row>
    <row r="77">
      <c r="A77" s="15" t="s">
        <v>138</v>
      </c>
      <c r="B77" s="16" t="s">
        <v>27</v>
      </c>
      <c r="C77" s="16" t="s">
        <v>28</v>
      </c>
      <c r="D77" s="17" t="str">
        <f t="shared" si="1"/>
        <v>Active</v>
      </c>
      <c r="E77" s="18">
        <v>45897.0</v>
      </c>
      <c r="F77" s="19"/>
      <c r="G77" s="20">
        <f t="shared" si="2"/>
        <v>1.566666667</v>
      </c>
      <c r="H77" s="45">
        <v>45596.0</v>
      </c>
      <c r="I77" s="20">
        <f t="shared" si="3"/>
        <v>0.8277777778</v>
      </c>
      <c r="J77" s="46">
        <v>82.0</v>
      </c>
      <c r="K77" s="46">
        <v>29.0</v>
      </c>
      <c r="L77" s="23" t="s">
        <v>29</v>
      </c>
      <c r="M77" s="23" t="s">
        <v>30</v>
      </c>
      <c r="N77" s="50"/>
      <c r="O77" s="50"/>
      <c r="P77" s="57"/>
      <c r="Q77" s="50"/>
      <c r="R77" s="17" t="str">
        <f t="shared" si="4"/>
        <v>TBD</v>
      </c>
      <c r="S77" s="18"/>
      <c r="T77" s="20">
        <f t="shared" si="5"/>
        <v>1.566666667</v>
      </c>
    </row>
    <row r="78">
      <c r="A78" s="27" t="s">
        <v>139</v>
      </c>
      <c r="B78" s="28" t="s">
        <v>27</v>
      </c>
      <c r="C78" s="28" t="s">
        <v>28</v>
      </c>
      <c r="D78" s="29" t="str">
        <f t="shared" si="1"/>
        <v>Active</v>
      </c>
      <c r="E78" s="33">
        <v>45895.0</v>
      </c>
      <c r="F78" s="37"/>
      <c r="G78" s="32">
        <f t="shared" si="2"/>
        <v>1.633333333</v>
      </c>
      <c r="H78" s="47">
        <v>45895.0</v>
      </c>
      <c r="I78" s="32">
        <f t="shared" si="3"/>
        <v>0</v>
      </c>
      <c r="J78" s="48">
        <v>79.0</v>
      </c>
      <c r="K78" s="48">
        <v>7.0</v>
      </c>
      <c r="L78" s="35" t="s">
        <v>32</v>
      </c>
      <c r="M78" s="35" t="s">
        <v>30</v>
      </c>
      <c r="N78" s="49"/>
      <c r="O78" s="49"/>
      <c r="P78" s="51"/>
      <c r="Q78" s="49"/>
      <c r="R78" s="29" t="str">
        <f t="shared" si="4"/>
        <v>TBD</v>
      </c>
      <c r="S78" s="33"/>
      <c r="T78" s="32">
        <f t="shared" si="5"/>
        <v>1.633333333</v>
      </c>
    </row>
    <row r="79">
      <c r="A79" s="15" t="s">
        <v>140</v>
      </c>
      <c r="B79" s="16" t="s">
        <v>27</v>
      </c>
      <c r="C79" s="16" t="s">
        <v>28</v>
      </c>
      <c r="D79" s="17" t="str">
        <f t="shared" si="1"/>
        <v>Active</v>
      </c>
      <c r="E79" s="18">
        <v>45890.0</v>
      </c>
      <c r="F79" s="19"/>
      <c r="G79" s="20">
        <f t="shared" si="2"/>
        <v>1.8</v>
      </c>
      <c r="H79" s="45">
        <v>45890.0</v>
      </c>
      <c r="I79" s="20">
        <f t="shared" si="3"/>
        <v>0</v>
      </c>
      <c r="J79" s="46">
        <v>77.0</v>
      </c>
      <c r="K79" s="46">
        <v>4.0</v>
      </c>
      <c r="L79" s="23" t="s">
        <v>37</v>
      </c>
      <c r="M79" s="23" t="s">
        <v>30</v>
      </c>
      <c r="N79" s="50"/>
      <c r="O79" s="50"/>
      <c r="P79" s="57"/>
      <c r="Q79" s="50"/>
      <c r="R79" s="17" t="str">
        <f t="shared" si="4"/>
        <v>TBD</v>
      </c>
      <c r="S79" s="18"/>
      <c r="T79" s="20">
        <f t="shared" si="5"/>
        <v>1.8</v>
      </c>
    </row>
    <row r="80">
      <c r="A80" s="27" t="s">
        <v>141</v>
      </c>
      <c r="B80" s="28" t="s">
        <v>27</v>
      </c>
      <c r="C80" s="28" t="s">
        <v>28</v>
      </c>
      <c r="D80" s="29" t="str">
        <f t="shared" si="1"/>
        <v>Active</v>
      </c>
      <c r="E80" s="33">
        <v>45889.0</v>
      </c>
      <c r="F80" s="58"/>
      <c r="G80" s="32">
        <f t="shared" si="2"/>
        <v>1.833333333</v>
      </c>
      <c r="H80" s="47">
        <v>45889.0</v>
      </c>
      <c r="I80" s="32">
        <f t="shared" si="3"/>
        <v>0</v>
      </c>
      <c r="J80" s="48">
        <v>81.0</v>
      </c>
      <c r="K80" s="48">
        <v>8.0</v>
      </c>
      <c r="L80" s="35" t="s">
        <v>44</v>
      </c>
      <c r="M80" s="35"/>
      <c r="N80" s="49"/>
      <c r="O80" s="49"/>
      <c r="P80" s="51"/>
      <c r="Q80" s="49"/>
      <c r="R80" s="29" t="str">
        <f t="shared" si="4"/>
        <v>TBD</v>
      </c>
      <c r="S80" s="33"/>
      <c r="T80" s="32">
        <f t="shared" si="5"/>
        <v>1.833333333</v>
      </c>
    </row>
    <row r="81">
      <c r="A81" s="15" t="s">
        <v>142</v>
      </c>
      <c r="B81" s="16" t="s">
        <v>27</v>
      </c>
      <c r="C81" s="16" t="s">
        <v>28</v>
      </c>
      <c r="D81" s="17" t="str">
        <f t="shared" si="1"/>
        <v>Active</v>
      </c>
      <c r="E81" s="18">
        <v>45889.0</v>
      </c>
      <c r="F81" s="52"/>
      <c r="G81" s="20">
        <f t="shared" si="2"/>
        <v>1.833333333</v>
      </c>
      <c r="H81" s="18">
        <v>41074.0</v>
      </c>
      <c r="I81" s="20">
        <f t="shared" si="3"/>
        <v>13.18333333</v>
      </c>
      <c r="J81" s="53">
        <v>90.0</v>
      </c>
      <c r="K81" s="53">
        <v>68.5</v>
      </c>
      <c r="L81" s="23" t="s">
        <v>29</v>
      </c>
      <c r="M81" s="23"/>
      <c r="N81" s="23" t="s">
        <v>143</v>
      </c>
      <c r="O81" s="23" t="s">
        <v>34</v>
      </c>
      <c r="P81" s="54" t="s">
        <v>144</v>
      </c>
      <c r="Q81" s="23"/>
      <c r="R81" s="17" t="str">
        <f t="shared" si="4"/>
        <v>Active</v>
      </c>
      <c r="S81" s="18">
        <f>E81</f>
        <v>45889</v>
      </c>
      <c r="T81" s="20">
        <f t="shared" si="5"/>
        <v>0</v>
      </c>
    </row>
    <row r="82">
      <c r="A82" s="27" t="s">
        <v>145</v>
      </c>
      <c r="B82" s="28" t="s">
        <v>40</v>
      </c>
      <c r="C82" s="28"/>
      <c r="D82" s="29" t="str">
        <f t="shared" si="1"/>
        <v>Active</v>
      </c>
      <c r="E82" s="33">
        <v>45888.0</v>
      </c>
      <c r="F82" s="37"/>
      <c r="G82" s="32">
        <f t="shared" si="2"/>
        <v>1.866666667</v>
      </c>
      <c r="H82" s="47">
        <v>45792.0</v>
      </c>
      <c r="I82" s="32">
        <f t="shared" si="3"/>
        <v>0.2611111111</v>
      </c>
      <c r="J82" s="39"/>
      <c r="K82" s="48">
        <v>12.0</v>
      </c>
      <c r="L82" s="35" t="s">
        <v>146</v>
      </c>
      <c r="M82" s="44"/>
      <c r="N82" s="40"/>
      <c r="O82" s="40"/>
      <c r="P82" s="41"/>
      <c r="Q82" s="40"/>
      <c r="R82" s="59" t="str">
        <f t="shared" si="4"/>
        <v>Active</v>
      </c>
      <c r="S82" s="60">
        <v>45931.0</v>
      </c>
      <c r="T82" s="32">
        <f t="shared" si="5"/>
        <v>1.4</v>
      </c>
    </row>
    <row r="83">
      <c r="A83" s="15" t="s">
        <v>147</v>
      </c>
      <c r="B83" s="16" t="s">
        <v>40</v>
      </c>
      <c r="C83" s="16"/>
      <c r="D83" s="17" t="str">
        <f t="shared" si="1"/>
        <v>Active</v>
      </c>
      <c r="E83" s="18">
        <v>45888.0</v>
      </c>
      <c r="F83" s="19"/>
      <c r="G83" s="20">
        <f t="shared" si="2"/>
        <v>1.866666667</v>
      </c>
      <c r="H83" s="45">
        <v>45888.0</v>
      </c>
      <c r="I83" s="20">
        <f t="shared" si="3"/>
        <v>0</v>
      </c>
      <c r="J83" s="22"/>
      <c r="K83" s="46"/>
      <c r="L83" s="23" t="s">
        <v>32</v>
      </c>
      <c r="M83" s="43"/>
      <c r="N83" s="24"/>
      <c r="O83" s="24"/>
      <c r="P83" s="25"/>
      <c r="Q83" s="24"/>
      <c r="R83" s="17" t="str">
        <f t="shared" si="4"/>
        <v>TBD</v>
      </c>
      <c r="S83" s="18"/>
      <c r="T83" s="20">
        <f t="shared" si="5"/>
        <v>1.866666667</v>
      </c>
    </row>
    <row r="84">
      <c r="A84" s="27" t="s">
        <v>148</v>
      </c>
      <c r="B84" s="28" t="s">
        <v>40</v>
      </c>
      <c r="C84" s="29"/>
      <c r="D84" s="29" t="str">
        <f t="shared" si="1"/>
        <v>Active</v>
      </c>
      <c r="E84" s="33">
        <v>45883.0</v>
      </c>
      <c r="F84" s="37"/>
      <c r="G84" s="32">
        <f t="shared" si="2"/>
        <v>2.033333333</v>
      </c>
      <c r="H84" s="47">
        <v>45883.0</v>
      </c>
      <c r="I84" s="32">
        <f t="shared" si="3"/>
        <v>0</v>
      </c>
      <c r="J84" s="39"/>
      <c r="K84" s="48">
        <v>3.0</v>
      </c>
      <c r="L84" s="35" t="s">
        <v>149</v>
      </c>
      <c r="M84" s="44"/>
      <c r="N84" s="40"/>
      <c r="O84" s="40"/>
      <c r="P84" s="41"/>
      <c r="Q84" s="40"/>
      <c r="R84" s="29" t="str">
        <f t="shared" si="4"/>
        <v>Active</v>
      </c>
      <c r="S84" s="33">
        <v>45931.0</v>
      </c>
      <c r="T84" s="32">
        <f t="shared" si="5"/>
        <v>1.566666667</v>
      </c>
    </row>
    <row r="85">
      <c r="A85" s="15" t="s">
        <v>150</v>
      </c>
      <c r="B85" s="16" t="s">
        <v>27</v>
      </c>
      <c r="C85" s="16" t="s">
        <v>28</v>
      </c>
      <c r="D85" s="17" t="str">
        <f t="shared" si="1"/>
        <v>Active</v>
      </c>
      <c r="E85" s="18">
        <v>45883.0</v>
      </c>
      <c r="F85" s="19"/>
      <c r="G85" s="20">
        <f t="shared" si="2"/>
        <v>2.033333333</v>
      </c>
      <c r="H85" s="61">
        <v>36068.0</v>
      </c>
      <c r="I85" s="20">
        <f t="shared" si="3"/>
        <v>26.87222222</v>
      </c>
      <c r="J85" s="46"/>
      <c r="K85" s="46"/>
      <c r="L85" s="23"/>
      <c r="M85" s="43"/>
      <c r="N85" s="24" t="s">
        <v>151</v>
      </c>
      <c r="O85" s="24"/>
      <c r="P85" s="25"/>
      <c r="Q85" s="24"/>
      <c r="R85" s="17" t="str">
        <f t="shared" si="4"/>
        <v>Active</v>
      </c>
      <c r="S85" s="18">
        <f t="shared" ref="S85:S92" si="9">E85</f>
        <v>45883</v>
      </c>
      <c r="T85" s="20">
        <f t="shared" si="5"/>
        <v>0</v>
      </c>
    </row>
    <row r="86">
      <c r="A86" s="27" t="s">
        <v>152</v>
      </c>
      <c r="B86" s="28" t="s">
        <v>27</v>
      </c>
      <c r="C86" s="28" t="s">
        <v>28</v>
      </c>
      <c r="D86" s="29" t="str">
        <f t="shared" si="1"/>
        <v>Active</v>
      </c>
      <c r="E86" s="33">
        <v>45883.0</v>
      </c>
      <c r="F86" s="37"/>
      <c r="G86" s="32">
        <f t="shared" si="2"/>
        <v>2.033333333</v>
      </c>
      <c r="H86" s="61">
        <v>31778.0</v>
      </c>
      <c r="I86" s="32">
        <f t="shared" si="3"/>
        <v>38.61944444</v>
      </c>
      <c r="J86" s="48"/>
      <c r="K86" s="48"/>
      <c r="L86" s="35"/>
      <c r="M86" s="44"/>
      <c r="N86" s="40" t="s">
        <v>153</v>
      </c>
      <c r="O86" s="40"/>
      <c r="P86" s="41"/>
      <c r="Q86" s="40"/>
      <c r="R86" s="29" t="str">
        <f t="shared" si="4"/>
        <v>Active</v>
      </c>
      <c r="S86" s="33">
        <f t="shared" si="9"/>
        <v>45883</v>
      </c>
      <c r="T86" s="32">
        <f t="shared" si="5"/>
        <v>0</v>
      </c>
    </row>
    <row r="87">
      <c r="A87" s="15" t="s">
        <v>154</v>
      </c>
      <c r="B87" s="16" t="s">
        <v>27</v>
      </c>
      <c r="C87" s="16" t="s">
        <v>28</v>
      </c>
      <c r="D87" s="17" t="str">
        <f t="shared" si="1"/>
        <v>Active</v>
      </c>
      <c r="E87" s="18">
        <v>45883.0</v>
      </c>
      <c r="F87" s="19"/>
      <c r="G87" s="20">
        <f t="shared" si="2"/>
        <v>2.033333333</v>
      </c>
      <c r="H87" s="45">
        <v>32782.0</v>
      </c>
      <c r="I87" s="20">
        <f t="shared" si="3"/>
        <v>35.86944444</v>
      </c>
      <c r="J87" s="46"/>
      <c r="K87" s="46"/>
      <c r="L87" s="23"/>
      <c r="M87" s="43"/>
      <c r="N87" s="24" t="s">
        <v>155</v>
      </c>
      <c r="O87" s="24"/>
      <c r="P87" s="25"/>
      <c r="Q87" s="24"/>
      <c r="R87" s="17" t="str">
        <f t="shared" si="4"/>
        <v>Active</v>
      </c>
      <c r="S87" s="18">
        <f t="shared" si="9"/>
        <v>45883</v>
      </c>
      <c r="T87" s="20">
        <f t="shared" si="5"/>
        <v>0</v>
      </c>
    </row>
    <row r="88">
      <c r="A88" s="27" t="s">
        <v>156</v>
      </c>
      <c r="B88" s="28" t="s">
        <v>27</v>
      </c>
      <c r="C88" s="28" t="s">
        <v>28</v>
      </c>
      <c r="D88" s="29" t="str">
        <f t="shared" si="1"/>
        <v>Active</v>
      </c>
      <c r="E88" s="33">
        <v>45883.0</v>
      </c>
      <c r="F88" s="37"/>
      <c r="G88" s="32">
        <f t="shared" si="2"/>
        <v>2.033333333</v>
      </c>
      <c r="H88" s="47">
        <v>30713.0</v>
      </c>
      <c r="I88" s="32">
        <f t="shared" si="3"/>
        <v>41.53611111</v>
      </c>
      <c r="J88" s="48"/>
      <c r="K88" s="48"/>
      <c r="L88" s="35"/>
      <c r="M88" s="44"/>
      <c r="N88" s="40" t="s">
        <v>153</v>
      </c>
      <c r="O88" s="40"/>
      <c r="P88" s="41"/>
      <c r="Q88" s="40"/>
      <c r="R88" s="29" t="str">
        <f t="shared" si="4"/>
        <v>Active</v>
      </c>
      <c r="S88" s="33">
        <f t="shared" si="9"/>
        <v>45883</v>
      </c>
      <c r="T88" s="32">
        <f t="shared" si="5"/>
        <v>0</v>
      </c>
    </row>
    <row r="89">
      <c r="A89" s="15" t="s">
        <v>157</v>
      </c>
      <c r="B89" s="16" t="s">
        <v>27</v>
      </c>
      <c r="C89" s="16" t="s">
        <v>28</v>
      </c>
      <c r="D89" s="17" t="str">
        <f t="shared" si="1"/>
        <v>Active</v>
      </c>
      <c r="E89" s="18">
        <v>45883.0</v>
      </c>
      <c r="F89" s="19"/>
      <c r="G89" s="20">
        <f t="shared" si="2"/>
        <v>2.033333333</v>
      </c>
      <c r="H89" s="61">
        <v>35431.0</v>
      </c>
      <c r="I89" s="20">
        <f t="shared" si="3"/>
        <v>28.61944444</v>
      </c>
      <c r="J89" s="46"/>
      <c r="K89" s="46"/>
      <c r="L89" s="23"/>
      <c r="M89" s="43"/>
      <c r="N89" s="24" t="s">
        <v>153</v>
      </c>
      <c r="O89" s="24"/>
      <c r="P89" s="25"/>
      <c r="Q89" s="24"/>
      <c r="R89" s="17" t="str">
        <f t="shared" si="4"/>
        <v>Active</v>
      </c>
      <c r="S89" s="18">
        <f t="shared" si="9"/>
        <v>45883</v>
      </c>
      <c r="T89" s="20">
        <f t="shared" si="5"/>
        <v>0</v>
      </c>
    </row>
    <row r="90">
      <c r="A90" s="27" t="s">
        <v>158</v>
      </c>
      <c r="B90" s="28" t="s">
        <v>27</v>
      </c>
      <c r="C90" s="28" t="s">
        <v>28</v>
      </c>
      <c r="D90" s="29" t="str">
        <f t="shared" si="1"/>
        <v>Active</v>
      </c>
      <c r="E90" s="33">
        <v>45883.0</v>
      </c>
      <c r="F90" s="37"/>
      <c r="G90" s="32">
        <f t="shared" si="2"/>
        <v>2.033333333</v>
      </c>
      <c r="H90" s="61">
        <v>29952.0</v>
      </c>
      <c r="I90" s="32">
        <f t="shared" si="3"/>
        <v>43.61944444</v>
      </c>
      <c r="J90" s="48"/>
      <c r="K90" s="48"/>
      <c r="L90" s="35"/>
      <c r="M90" s="44"/>
      <c r="N90" s="40" t="s">
        <v>153</v>
      </c>
      <c r="O90" s="40"/>
      <c r="P90" s="41"/>
      <c r="Q90" s="40"/>
      <c r="R90" s="29" t="str">
        <f t="shared" si="4"/>
        <v>Active</v>
      </c>
      <c r="S90" s="33">
        <f t="shared" si="9"/>
        <v>45883</v>
      </c>
      <c r="T90" s="32">
        <f t="shared" si="5"/>
        <v>0</v>
      </c>
    </row>
    <row r="91">
      <c r="A91" s="15" t="s">
        <v>159</v>
      </c>
      <c r="B91" s="16" t="s">
        <v>27</v>
      </c>
      <c r="C91" s="16" t="s">
        <v>28</v>
      </c>
      <c r="D91" s="17" t="str">
        <f t="shared" si="1"/>
        <v>Active</v>
      </c>
      <c r="E91" s="18">
        <v>45883.0</v>
      </c>
      <c r="F91" s="19"/>
      <c r="G91" s="20">
        <f t="shared" si="2"/>
        <v>2.033333333</v>
      </c>
      <c r="H91" s="45">
        <v>30681.0</v>
      </c>
      <c r="I91" s="20">
        <f t="shared" si="3"/>
        <v>41.62222222</v>
      </c>
      <c r="J91" s="46"/>
      <c r="K91" s="46"/>
      <c r="L91" s="23"/>
      <c r="M91" s="43"/>
      <c r="N91" s="24" t="s">
        <v>153</v>
      </c>
      <c r="O91" s="24"/>
      <c r="P91" s="25"/>
      <c r="Q91" s="24"/>
      <c r="R91" s="17" t="str">
        <f t="shared" si="4"/>
        <v>Active</v>
      </c>
      <c r="S91" s="18">
        <f t="shared" si="9"/>
        <v>45883</v>
      </c>
      <c r="T91" s="20">
        <f t="shared" si="5"/>
        <v>0</v>
      </c>
    </row>
    <row r="92">
      <c r="A92" s="27" t="s">
        <v>160</v>
      </c>
      <c r="B92" s="28" t="s">
        <v>27</v>
      </c>
      <c r="C92" s="28" t="s">
        <v>28</v>
      </c>
      <c r="D92" s="29" t="str">
        <f t="shared" si="1"/>
        <v>Active</v>
      </c>
      <c r="E92" s="33">
        <v>45881.0</v>
      </c>
      <c r="F92" s="37"/>
      <c r="G92" s="32">
        <f t="shared" si="2"/>
        <v>2.1</v>
      </c>
      <c r="H92" s="47">
        <v>44803.0</v>
      </c>
      <c r="I92" s="32">
        <f t="shared" si="3"/>
        <v>2.95</v>
      </c>
      <c r="J92" s="48">
        <v>69.0</v>
      </c>
      <c r="K92" s="48">
        <v>9.0</v>
      </c>
      <c r="L92" s="35" t="s">
        <v>32</v>
      </c>
      <c r="M92" s="44"/>
      <c r="N92" s="40"/>
      <c r="O92" s="40"/>
      <c r="P92" s="41"/>
      <c r="Q92" s="40"/>
      <c r="R92" s="29" t="str">
        <f t="shared" si="4"/>
        <v>Active</v>
      </c>
      <c r="S92" s="33">
        <f t="shared" si="9"/>
        <v>45881</v>
      </c>
      <c r="T92" s="32">
        <f t="shared" si="5"/>
        <v>0</v>
      </c>
    </row>
    <row r="93">
      <c r="A93" s="15" t="s">
        <v>161</v>
      </c>
      <c r="B93" s="16" t="s">
        <v>27</v>
      </c>
      <c r="C93" s="16" t="s">
        <v>28</v>
      </c>
      <c r="D93" s="17" t="str">
        <f t="shared" si="1"/>
        <v>Active</v>
      </c>
      <c r="E93" s="18">
        <v>45876.0</v>
      </c>
      <c r="F93" s="19"/>
      <c r="G93" s="20">
        <f t="shared" si="2"/>
        <v>2.266666667</v>
      </c>
      <c r="H93" s="45">
        <v>45204.0</v>
      </c>
      <c r="I93" s="20">
        <f t="shared" si="3"/>
        <v>1.838888889</v>
      </c>
      <c r="J93" s="46">
        <v>76.0</v>
      </c>
      <c r="K93" s="46">
        <v>16.0</v>
      </c>
      <c r="L93" s="23" t="s">
        <v>29</v>
      </c>
      <c r="M93" s="43"/>
      <c r="N93" s="24"/>
      <c r="O93" s="24"/>
      <c r="P93" s="25"/>
      <c r="Q93" s="24"/>
      <c r="R93" s="17" t="str">
        <f t="shared" si="4"/>
        <v>TBD</v>
      </c>
      <c r="S93" s="26"/>
      <c r="T93" s="20">
        <f t="shared" si="5"/>
        <v>2.266666667</v>
      </c>
    </row>
    <row r="94">
      <c r="A94" s="27" t="s">
        <v>162</v>
      </c>
      <c r="B94" s="28" t="s">
        <v>27</v>
      </c>
      <c r="C94" s="28" t="s">
        <v>28</v>
      </c>
      <c r="D94" s="29" t="str">
        <f t="shared" si="1"/>
        <v>Active</v>
      </c>
      <c r="E94" s="33">
        <v>45876.0</v>
      </c>
      <c r="F94" s="37"/>
      <c r="G94" s="32">
        <f t="shared" si="2"/>
        <v>2.266666667</v>
      </c>
      <c r="H94" s="47">
        <v>45876.0</v>
      </c>
      <c r="I94" s="32">
        <f t="shared" si="3"/>
        <v>0</v>
      </c>
      <c r="J94" s="48">
        <v>82.0</v>
      </c>
      <c r="K94" s="48">
        <v>27.0</v>
      </c>
      <c r="L94" s="35" t="s">
        <v>163</v>
      </c>
      <c r="M94" s="44"/>
      <c r="N94" s="40"/>
      <c r="O94" s="40"/>
      <c r="P94" s="41"/>
      <c r="Q94" s="40"/>
      <c r="R94" s="29" t="str">
        <f t="shared" si="4"/>
        <v>TBD</v>
      </c>
      <c r="S94" s="42"/>
      <c r="T94" s="32">
        <f t="shared" si="5"/>
        <v>2.266666667</v>
      </c>
    </row>
    <row r="95">
      <c r="A95" s="15" t="s">
        <v>164</v>
      </c>
      <c r="B95" s="16" t="s">
        <v>27</v>
      </c>
      <c r="C95" s="16" t="s">
        <v>28</v>
      </c>
      <c r="D95" s="17" t="str">
        <f t="shared" si="1"/>
        <v>Active</v>
      </c>
      <c r="E95" s="18">
        <v>45874.0</v>
      </c>
      <c r="F95" s="19"/>
      <c r="G95" s="20">
        <f t="shared" si="2"/>
        <v>2.333333333</v>
      </c>
      <c r="H95" s="45">
        <v>42822.0</v>
      </c>
      <c r="I95" s="20">
        <f t="shared" si="3"/>
        <v>8.352777778</v>
      </c>
      <c r="J95" s="46">
        <v>59.0</v>
      </c>
      <c r="K95" s="46">
        <v>21.0</v>
      </c>
      <c r="L95" s="23" t="s">
        <v>44</v>
      </c>
      <c r="M95" s="43"/>
      <c r="N95" s="24"/>
      <c r="O95" s="24"/>
      <c r="P95" s="25"/>
      <c r="Q95" s="24"/>
      <c r="R95" s="17" t="str">
        <f t="shared" si="4"/>
        <v>Active</v>
      </c>
      <c r="S95" s="18">
        <f t="shared" ref="S95:S96" si="10">E95</f>
        <v>45874</v>
      </c>
      <c r="T95" s="20">
        <f t="shared" si="5"/>
        <v>0</v>
      </c>
    </row>
    <row r="96">
      <c r="A96" s="27" t="s">
        <v>165</v>
      </c>
      <c r="B96" s="28" t="s">
        <v>27</v>
      </c>
      <c r="C96" s="28" t="s">
        <v>28</v>
      </c>
      <c r="D96" s="29" t="str">
        <f t="shared" si="1"/>
        <v>Active</v>
      </c>
      <c r="E96" s="33">
        <v>45870.0</v>
      </c>
      <c r="F96" s="37"/>
      <c r="G96" s="32">
        <f t="shared" si="2"/>
        <v>2.466666667</v>
      </c>
      <c r="H96" s="47">
        <v>45608.0</v>
      </c>
      <c r="I96" s="32">
        <f t="shared" si="3"/>
        <v>0.7194444444</v>
      </c>
      <c r="J96" s="48">
        <v>75.0</v>
      </c>
      <c r="K96" s="39"/>
      <c r="L96" s="35" t="s">
        <v>50</v>
      </c>
      <c r="M96" s="44"/>
      <c r="N96" s="40"/>
      <c r="O96" s="40"/>
      <c r="P96" s="41"/>
      <c r="Q96" s="40"/>
      <c r="R96" s="29" t="str">
        <f t="shared" si="4"/>
        <v>Active</v>
      </c>
      <c r="S96" s="33">
        <f t="shared" si="10"/>
        <v>45870</v>
      </c>
      <c r="T96" s="32">
        <f t="shared" si="5"/>
        <v>0</v>
      </c>
    </row>
    <row r="97">
      <c r="A97" s="15" t="s">
        <v>166</v>
      </c>
      <c r="B97" s="16" t="s">
        <v>27</v>
      </c>
      <c r="C97" s="16" t="s">
        <v>28</v>
      </c>
      <c r="D97" s="17" t="str">
        <f t="shared" si="1"/>
        <v>Active</v>
      </c>
      <c r="E97" s="18">
        <v>45867.0</v>
      </c>
      <c r="F97" s="19"/>
      <c r="G97" s="20">
        <f t="shared" si="2"/>
        <v>2.533333333</v>
      </c>
      <c r="H97" s="45">
        <v>45867.0</v>
      </c>
      <c r="I97" s="20">
        <f t="shared" si="3"/>
        <v>0</v>
      </c>
      <c r="J97" s="22"/>
      <c r="K97" s="22"/>
      <c r="L97" s="23" t="s">
        <v>48</v>
      </c>
      <c r="M97" s="23" t="s">
        <v>30</v>
      </c>
      <c r="N97" s="24"/>
      <c r="O97" s="24"/>
      <c r="P97" s="25"/>
      <c r="Q97" s="24"/>
      <c r="R97" s="17" t="str">
        <f t="shared" si="4"/>
        <v>TBD</v>
      </c>
      <c r="S97" s="26"/>
      <c r="T97" s="20">
        <f t="shared" si="5"/>
        <v>2.533333333</v>
      </c>
    </row>
    <row r="98">
      <c r="A98" s="27" t="s">
        <v>167</v>
      </c>
      <c r="B98" s="28" t="s">
        <v>27</v>
      </c>
      <c r="C98" s="28" t="s">
        <v>28</v>
      </c>
      <c r="D98" s="29" t="str">
        <f t="shared" si="1"/>
        <v>Active</v>
      </c>
      <c r="E98" s="33">
        <v>45862.0</v>
      </c>
      <c r="F98" s="37"/>
      <c r="G98" s="32">
        <f t="shared" si="2"/>
        <v>2.7</v>
      </c>
      <c r="H98" s="47">
        <v>45862.0</v>
      </c>
      <c r="I98" s="32">
        <f t="shared" si="3"/>
        <v>0</v>
      </c>
      <c r="J98" s="48">
        <v>74.0</v>
      </c>
      <c r="K98" s="48">
        <v>32.0</v>
      </c>
      <c r="L98" s="35" t="s">
        <v>29</v>
      </c>
      <c r="M98" s="35" t="s">
        <v>30</v>
      </c>
      <c r="N98" s="40"/>
      <c r="O98" s="40"/>
      <c r="P98" s="41"/>
      <c r="Q98" s="40"/>
      <c r="R98" s="29" t="str">
        <f t="shared" si="4"/>
        <v>TBD</v>
      </c>
      <c r="S98" s="42"/>
      <c r="T98" s="32">
        <f t="shared" si="5"/>
        <v>2.7</v>
      </c>
    </row>
    <row r="99">
      <c r="A99" s="15" t="s">
        <v>168</v>
      </c>
      <c r="B99" s="16" t="s">
        <v>27</v>
      </c>
      <c r="C99" s="16" t="s">
        <v>28</v>
      </c>
      <c r="D99" s="17" t="str">
        <f t="shared" si="1"/>
        <v>Active</v>
      </c>
      <c r="E99" s="18">
        <v>45861.0</v>
      </c>
      <c r="F99" s="19"/>
      <c r="G99" s="20">
        <f t="shared" si="2"/>
        <v>2.733333333</v>
      </c>
      <c r="H99" s="45">
        <v>45861.0</v>
      </c>
      <c r="I99" s="20">
        <f t="shared" si="3"/>
        <v>0</v>
      </c>
      <c r="J99" s="46">
        <v>71.0</v>
      </c>
      <c r="K99" s="46">
        <v>5.0</v>
      </c>
      <c r="L99" s="23" t="s">
        <v>37</v>
      </c>
      <c r="M99" s="23" t="s">
        <v>30</v>
      </c>
      <c r="N99" s="24"/>
      <c r="O99" s="24"/>
      <c r="P99" s="25"/>
      <c r="Q99" s="24"/>
      <c r="R99" s="17" t="str">
        <f t="shared" si="4"/>
        <v>TBD</v>
      </c>
      <c r="S99" s="26"/>
      <c r="T99" s="20">
        <f t="shared" si="5"/>
        <v>2.733333333</v>
      </c>
    </row>
    <row r="100">
      <c r="A100" s="27" t="s">
        <v>169</v>
      </c>
      <c r="B100" s="28" t="s">
        <v>27</v>
      </c>
      <c r="C100" s="28" t="s">
        <v>28</v>
      </c>
      <c r="D100" s="29" t="str">
        <f t="shared" si="1"/>
        <v>Active</v>
      </c>
      <c r="E100" s="33">
        <v>45860.0</v>
      </c>
      <c r="F100" s="37"/>
      <c r="G100" s="32">
        <f t="shared" si="2"/>
        <v>2.766666667</v>
      </c>
      <c r="H100" s="47">
        <v>45860.0</v>
      </c>
      <c r="I100" s="32">
        <f t="shared" si="3"/>
        <v>0</v>
      </c>
      <c r="J100" s="48">
        <v>88.0</v>
      </c>
      <c r="K100" s="48">
        <v>33.0</v>
      </c>
      <c r="L100" s="35" t="s">
        <v>113</v>
      </c>
      <c r="M100" s="35" t="s">
        <v>30</v>
      </c>
      <c r="N100" s="40"/>
      <c r="O100" s="40"/>
      <c r="P100" s="41"/>
      <c r="Q100" s="40"/>
      <c r="R100" s="29" t="str">
        <f t="shared" si="4"/>
        <v>Active</v>
      </c>
      <c r="S100" s="33">
        <v>45931.0</v>
      </c>
      <c r="T100" s="32">
        <f t="shared" si="5"/>
        <v>2.3</v>
      </c>
    </row>
    <row r="101">
      <c r="A101" s="15" t="s">
        <v>170</v>
      </c>
      <c r="B101" s="16" t="s">
        <v>27</v>
      </c>
      <c r="C101" s="16" t="s">
        <v>28</v>
      </c>
      <c r="D101" s="17" t="str">
        <f t="shared" si="1"/>
        <v>Active</v>
      </c>
      <c r="E101" s="62">
        <v>45859.0</v>
      </c>
      <c r="F101" s="19"/>
      <c r="G101" s="20">
        <f t="shared" si="2"/>
        <v>2.8</v>
      </c>
      <c r="H101" s="45">
        <v>45859.0</v>
      </c>
      <c r="I101" s="20">
        <f t="shared" si="3"/>
        <v>0</v>
      </c>
      <c r="J101" s="22"/>
      <c r="K101" s="46"/>
      <c r="L101" s="23" t="s">
        <v>92</v>
      </c>
      <c r="M101" s="43"/>
      <c r="N101" s="24"/>
      <c r="O101" s="50"/>
      <c r="P101" s="57"/>
      <c r="Q101" s="50"/>
      <c r="R101" s="17" t="str">
        <f t="shared" si="4"/>
        <v>TBD</v>
      </c>
      <c r="S101" s="26"/>
      <c r="T101" s="20">
        <f t="shared" si="5"/>
        <v>2.8</v>
      </c>
    </row>
    <row r="102">
      <c r="A102" s="27" t="s">
        <v>171</v>
      </c>
      <c r="B102" s="28" t="s">
        <v>27</v>
      </c>
      <c r="C102" s="28" t="s">
        <v>28</v>
      </c>
      <c r="D102" s="29" t="str">
        <f t="shared" si="1"/>
        <v>Active</v>
      </c>
      <c r="E102" s="30">
        <v>45859.0</v>
      </c>
      <c r="F102" s="37"/>
      <c r="G102" s="32">
        <f t="shared" si="2"/>
        <v>2.8</v>
      </c>
      <c r="H102" s="61">
        <v>33604.0</v>
      </c>
      <c r="I102" s="32">
        <f t="shared" si="3"/>
        <v>33.55555556</v>
      </c>
      <c r="J102" s="39"/>
      <c r="K102" s="48"/>
      <c r="L102" s="35"/>
      <c r="M102" s="44"/>
      <c r="N102" s="49" t="s">
        <v>155</v>
      </c>
      <c r="O102" s="49"/>
      <c r="P102" s="51"/>
      <c r="Q102" s="49"/>
      <c r="R102" s="29" t="str">
        <f t="shared" si="4"/>
        <v>Active</v>
      </c>
      <c r="S102" s="33">
        <f t="shared" ref="S102:S108" si="11">E102</f>
        <v>45859</v>
      </c>
      <c r="T102" s="32">
        <f t="shared" si="5"/>
        <v>0</v>
      </c>
    </row>
    <row r="103">
      <c r="A103" s="15" t="s">
        <v>172</v>
      </c>
      <c r="B103" s="16" t="s">
        <v>27</v>
      </c>
      <c r="C103" s="16" t="s">
        <v>28</v>
      </c>
      <c r="D103" s="17" t="str">
        <f t="shared" si="1"/>
        <v>Active</v>
      </c>
      <c r="E103" s="62">
        <v>45859.0</v>
      </c>
      <c r="F103" s="19"/>
      <c r="G103" s="20">
        <f t="shared" si="2"/>
        <v>2.8</v>
      </c>
      <c r="H103" s="61">
        <v>32874.0</v>
      </c>
      <c r="I103" s="20">
        <f t="shared" si="3"/>
        <v>35.55555556</v>
      </c>
      <c r="J103" s="22"/>
      <c r="K103" s="46"/>
      <c r="L103" s="23"/>
      <c r="M103" s="43"/>
      <c r="N103" s="50" t="s">
        <v>155</v>
      </c>
      <c r="O103" s="50"/>
      <c r="P103" s="57"/>
      <c r="Q103" s="50"/>
      <c r="R103" s="17" t="str">
        <f t="shared" si="4"/>
        <v>Active</v>
      </c>
      <c r="S103" s="18">
        <f t="shared" si="11"/>
        <v>45859</v>
      </c>
      <c r="T103" s="20">
        <f t="shared" si="5"/>
        <v>0</v>
      </c>
    </row>
    <row r="104">
      <c r="A104" s="27" t="s">
        <v>173</v>
      </c>
      <c r="B104" s="28" t="s">
        <v>27</v>
      </c>
      <c r="C104" s="28" t="s">
        <v>28</v>
      </c>
      <c r="D104" s="29" t="str">
        <f t="shared" si="1"/>
        <v>Active</v>
      </c>
      <c r="E104" s="30">
        <v>45859.0</v>
      </c>
      <c r="F104" s="37"/>
      <c r="G104" s="32">
        <f t="shared" si="2"/>
        <v>2.8</v>
      </c>
      <c r="H104" s="61">
        <v>33970.0</v>
      </c>
      <c r="I104" s="32">
        <f t="shared" si="3"/>
        <v>32.55555556</v>
      </c>
      <c r="J104" s="39"/>
      <c r="K104" s="48"/>
      <c r="L104" s="35"/>
      <c r="M104" s="44"/>
      <c r="N104" s="49" t="s">
        <v>174</v>
      </c>
      <c r="O104" s="49"/>
      <c r="P104" s="51"/>
      <c r="Q104" s="49"/>
      <c r="R104" s="29" t="str">
        <f t="shared" si="4"/>
        <v>Active</v>
      </c>
      <c r="S104" s="33">
        <f t="shared" si="11"/>
        <v>45859</v>
      </c>
      <c r="T104" s="32">
        <f t="shared" si="5"/>
        <v>0</v>
      </c>
    </row>
    <row r="105">
      <c r="A105" s="15" t="s">
        <v>175</v>
      </c>
      <c r="B105" s="16" t="s">
        <v>27</v>
      </c>
      <c r="C105" s="16" t="s">
        <v>28</v>
      </c>
      <c r="D105" s="17" t="str">
        <f t="shared" si="1"/>
        <v>Active</v>
      </c>
      <c r="E105" s="62">
        <v>45859.0</v>
      </c>
      <c r="F105" s="19"/>
      <c r="G105" s="20">
        <f t="shared" si="2"/>
        <v>2.8</v>
      </c>
      <c r="H105" s="61">
        <v>30317.0</v>
      </c>
      <c r="I105" s="20">
        <f t="shared" si="3"/>
        <v>42.55555556</v>
      </c>
      <c r="J105" s="22"/>
      <c r="K105" s="46"/>
      <c r="L105" s="23"/>
      <c r="M105" s="43"/>
      <c r="N105" s="50" t="s">
        <v>153</v>
      </c>
      <c r="O105" s="50"/>
      <c r="P105" s="57"/>
      <c r="Q105" s="50"/>
      <c r="R105" s="17" t="str">
        <f t="shared" si="4"/>
        <v>Active</v>
      </c>
      <c r="S105" s="18">
        <f t="shared" si="11"/>
        <v>45859</v>
      </c>
      <c r="T105" s="20">
        <f t="shared" si="5"/>
        <v>0</v>
      </c>
    </row>
    <row r="106">
      <c r="A106" s="27" t="s">
        <v>176</v>
      </c>
      <c r="B106" s="28" t="s">
        <v>27</v>
      </c>
      <c r="C106" s="28" t="s">
        <v>28</v>
      </c>
      <c r="D106" s="29" t="str">
        <f t="shared" si="1"/>
        <v>Active</v>
      </c>
      <c r="E106" s="30">
        <v>45859.0</v>
      </c>
      <c r="F106" s="37"/>
      <c r="G106" s="32">
        <f t="shared" si="2"/>
        <v>2.8</v>
      </c>
      <c r="H106" s="61">
        <v>35065.0</v>
      </c>
      <c r="I106" s="32">
        <f t="shared" si="3"/>
        <v>29.55555556</v>
      </c>
      <c r="J106" s="39"/>
      <c r="K106" s="48"/>
      <c r="L106" s="35"/>
      <c r="M106" s="44"/>
      <c r="N106" s="49" t="s">
        <v>153</v>
      </c>
      <c r="O106" s="49"/>
      <c r="P106" s="51"/>
      <c r="Q106" s="49"/>
      <c r="R106" s="29" t="str">
        <f t="shared" si="4"/>
        <v>Active</v>
      </c>
      <c r="S106" s="33">
        <f t="shared" si="11"/>
        <v>45859</v>
      </c>
      <c r="T106" s="32">
        <f t="shared" si="5"/>
        <v>0</v>
      </c>
    </row>
    <row r="107">
      <c r="A107" s="15" t="s">
        <v>177</v>
      </c>
      <c r="B107" s="16" t="s">
        <v>27</v>
      </c>
      <c r="C107" s="16" t="s">
        <v>28</v>
      </c>
      <c r="D107" s="17" t="str">
        <f t="shared" si="1"/>
        <v>Active</v>
      </c>
      <c r="E107" s="62">
        <v>45859.0</v>
      </c>
      <c r="F107" s="19"/>
      <c r="G107" s="20">
        <f t="shared" si="2"/>
        <v>2.8</v>
      </c>
      <c r="H107" s="45">
        <v>31972.0</v>
      </c>
      <c r="I107" s="20">
        <f t="shared" si="3"/>
        <v>38.01944444</v>
      </c>
      <c r="J107" s="22"/>
      <c r="K107" s="46"/>
      <c r="L107" s="23"/>
      <c r="M107" s="43"/>
      <c r="N107" s="50" t="s">
        <v>153</v>
      </c>
      <c r="O107" s="50"/>
      <c r="P107" s="57"/>
      <c r="Q107" s="50"/>
      <c r="R107" s="17" t="str">
        <f t="shared" si="4"/>
        <v>Active</v>
      </c>
      <c r="S107" s="18">
        <f t="shared" si="11"/>
        <v>45859</v>
      </c>
      <c r="T107" s="20">
        <f t="shared" si="5"/>
        <v>0</v>
      </c>
    </row>
    <row r="108">
      <c r="A108" s="27" t="s">
        <v>178</v>
      </c>
      <c r="B108" s="28" t="s">
        <v>27</v>
      </c>
      <c r="C108" s="28" t="s">
        <v>28</v>
      </c>
      <c r="D108" s="29" t="str">
        <f t="shared" si="1"/>
        <v>Active</v>
      </c>
      <c r="E108" s="30">
        <v>45859.0</v>
      </c>
      <c r="F108" s="37"/>
      <c r="G108" s="32">
        <f t="shared" si="2"/>
        <v>2.8</v>
      </c>
      <c r="H108" s="61">
        <v>37622.0</v>
      </c>
      <c r="I108" s="32">
        <f t="shared" si="3"/>
        <v>22.55555556</v>
      </c>
      <c r="J108" s="39"/>
      <c r="K108" s="48"/>
      <c r="L108" s="35"/>
      <c r="M108" s="44"/>
      <c r="N108" s="49" t="s">
        <v>153</v>
      </c>
      <c r="O108" s="49"/>
      <c r="P108" s="51"/>
      <c r="Q108" s="49"/>
      <c r="R108" s="29" t="str">
        <f t="shared" si="4"/>
        <v>Active</v>
      </c>
      <c r="S108" s="33">
        <f t="shared" si="11"/>
        <v>45859</v>
      </c>
      <c r="T108" s="32">
        <f t="shared" si="5"/>
        <v>0</v>
      </c>
    </row>
    <row r="109">
      <c r="A109" s="15" t="s">
        <v>179</v>
      </c>
      <c r="B109" s="16" t="s">
        <v>40</v>
      </c>
      <c r="C109" s="16"/>
      <c r="D109" s="17" t="str">
        <f t="shared" si="1"/>
        <v>Active</v>
      </c>
      <c r="E109" s="62">
        <v>45855.0</v>
      </c>
      <c r="F109" s="19"/>
      <c r="G109" s="20">
        <f t="shared" si="2"/>
        <v>2.933333333</v>
      </c>
      <c r="H109" s="45">
        <v>45855.0</v>
      </c>
      <c r="I109" s="20">
        <f t="shared" si="3"/>
        <v>0</v>
      </c>
      <c r="J109" s="22"/>
      <c r="K109" s="46"/>
      <c r="L109" s="23" t="s">
        <v>29</v>
      </c>
      <c r="M109" s="43"/>
      <c r="N109" s="24"/>
      <c r="O109" s="50"/>
      <c r="P109" s="57"/>
      <c r="Q109" s="50"/>
      <c r="R109" s="17" t="str">
        <f t="shared" si="4"/>
        <v>Active</v>
      </c>
      <c r="S109" s="18">
        <v>45945.0</v>
      </c>
      <c r="T109" s="20">
        <f t="shared" si="5"/>
        <v>2.933333333</v>
      </c>
    </row>
    <row r="110">
      <c r="A110" s="27" t="s">
        <v>180</v>
      </c>
      <c r="B110" s="28" t="s">
        <v>27</v>
      </c>
      <c r="C110" s="28" t="s">
        <v>28</v>
      </c>
      <c r="D110" s="29" t="str">
        <f t="shared" si="1"/>
        <v>Active</v>
      </c>
      <c r="E110" s="33">
        <v>45855.0</v>
      </c>
      <c r="F110" s="37"/>
      <c r="G110" s="32">
        <f t="shared" si="2"/>
        <v>2.933333333</v>
      </c>
      <c r="H110" s="47">
        <v>45232.0</v>
      </c>
      <c r="I110" s="32">
        <f t="shared" si="3"/>
        <v>1.708333333</v>
      </c>
      <c r="J110" s="48">
        <v>72.0</v>
      </c>
      <c r="K110" s="48">
        <v>12.0</v>
      </c>
      <c r="L110" s="35" t="s">
        <v>32</v>
      </c>
      <c r="M110" s="35" t="s">
        <v>30</v>
      </c>
      <c r="N110" s="40"/>
      <c r="O110" s="40"/>
      <c r="P110" s="41"/>
      <c r="Q110" s="40"/>
      <c r="R110" s="29" t="str">
        <f t="shared" si="4"/>
        <v>Active</v>
      </c>
      <c r="S110" s="33">
        <f>E110</f>
        <v>45855</v>
      </c>
      <c r="T110" s="32">
        <f t="shared" si="5"/>
        <v>0</v>
      </c>
    </row>
    <row r="111">
      <c r="A111" s="15" t="s">
        <v>181</v>
      </c>
      <c r="B111" s="16" t="s">
        <v>27</v>
      </c>
      <c r="C111" s="16" t="s">
        <v>28</v>
      </c>
      <c r="D111" s="17" t="str">
        <f t="shared" si="1"/>
        <v>Active</v>
      </c>
      <c r="E111" s="18">
        <v>45855.0</v>
      </c>
      <c r="F111" s="19"/>
      <c r="G111" s="20">
        <f t="shared" si="2"/>
        <v>2.933333333</v>
      </c>
      <c r="H111" s="45">
        <v>45125.0</v>
      </c>
      <c r="I111" s="20">
        <f t="shared" si="3"/>
        <v>1.997222222</v>
      </c>
      <c r="J111" s="46">
        <v>81.0</v>
      </c>
      <c r="K111" s="46">
        <v>5.0</v>
      </c>
      <c r="L111" s="23" t="s">
        <v>113</v>
      </c>
      <c r="M111" s="43"/>
      <c r="N111" s="24"/>
      <c r="O111" s="24"/>
      <c r="P111" s="25"/>
      <c r="Q111" s="24"/>
      <c r="R111" s="17" t="str">
        <f t="shared" si="4"/>
        <v>Active</v>
      </c>
      <c r="S111" s="18">
        <v>45931.0</v>
      </c>
      <c r="T111" s="20">
        <f t="shared" si="5"/>
        <v>2.466666667</v>
      </c>
    </row>
    <row r="112">
      <c r="A112" s="27" t="s">
        <v>182</v>
      </c>
      <c r="B112" s="28" t="s">
        <v>27</v>
      </c>
      <c r="C112" s="28" t="s">
        <v>183</v>
      </c>
      <c r="D112" s="29" t="str">
        <f t="shared" si="1"/>
        <v>Active</v>
      </c>
      <c r="E112" s="33">
        <v>45853.0</v>
      </c>
      <c r="F112" s="31"/>
      <c r="G112" s="32">
        <f t="shared" si="2"/>
        <v>3</v>
      </c>
      <c r="H112" s="33">
        <v>44908.0</v>
      </c>
      <c r="I112" s="32">
        <f t="shared" si="3"/>
        <v>2.588888889</v>
      </c>
      <c r="J112" s="34">
        <v>67.0</v>
      </c>
      <c r="K112" s="34">
        <v>9.0</v>
      </c>
      <c r="L112" s="35" t="s">
        <v>184</v>
      </c>
      <c r="M112" s="35"/>
      <c r="N112" s="35" t="s">
        <v>185</v>
      </c>
      <c r="O112" s="35" t="s">
        <v>34</v>
      </c>
      <c r="P112" s="36" t="s">
        <v>186</v>
      </c>
      <c r="Q112" s="35"/>
      <c r="R112" s="29" t="str">
        <f t="shared" si="4"/>
        <v>Active</v>
      </c>
      <c r="S112" s="33">
        <f>E112</f>
        <v>45853</v>
      </c>
      <c r="T112" s="32">
        <f t="shared" si="5"/>
        <v>0</v>
      </c>
    </row>
    <row r="113">
      <c r="A113" s="15" t="s">
        <v>187</v>
      </c>
      <c r="B113" s="16" t="s">
        <v>27</v>
      </c>
      <c r="C113" s="16" t="s">
        <v>28</v>
      </c>
      <c r="D113" s="17" t="str">
        <f t="shared" si="1"/>
        <v>Active</v>
      </c>
      <c r="E113" s="18">
        <v>45849.0</v>
      </c>
      <c r="F113" s="63"/>
      <c r="G113" s="20">
        <f t="shared" si="2"/>
        <v>3.133333333</v>
      </c>
      <c r="H113" s="45">
        <v>45849.0</v>
      </c>
      <c r="I113" s="20">
        <f t="shared" si="3"/>
        <v>0</v>
      </c>
      <c r="J113" s="46">
        <v>82.0</v>
      </c>
      <c r="K113" s="46">
        <f>7+11</f>
        <v>18</v>
      </c>
      <c r="L113" s="23" t="s">
        <v>188</v>
      </c>
      <c r="M113" s="23"/>
      <c r="N113" s="50"/>
      <c r="O113" s="50"/>
      <c r="P113" s="57"/>
      <c r="Q113" s="50"/>
      <c r="R113" s="17" t="str">
        <f t="shared" si="4"/>
        <v>TBD</v>
      </c>
      <c r="S113" s="18"/>
      <c r="T113" s="20">
        <f t="shared" si="5"/>
        <v>3.133333333</v>
      </c>
    </row>
    <row r="114">
      <c r="A114" s="27" t="s">
        <v>189</v>
      </c>
      <c r="B114" s="28" t="s">
        <v>27</v>
      </c>
      <c r="C114" s="28" t="s">
        <v>28</v>
      </c>
      <c r="D114" s="29" t="str">
        <f t="shared" si="1"/>
        <v>Active</v>
      </c>
      <c r="E114" s="33">
        <v>45847.0</v>
      </c>
      <c r="F114" s="58"/>
      <c r="G114" s="32">
        <f t="shared" si="2"/>
        <v>3.2</v>
      </c>
      <c r="H114" s="47">
        <v>45350.0</v>
      </c>
      <c r="I114" s="32">
        <f t="shared" si="3"/>
        <v>1.363888889</v>
      </c>
      <c r="J114" s="48">
        <v>78.0</v>
      </c>
      <c r="K114" s="48">
        <v>3.0</v>
      </c>
      <c r="L114" s="35" t="s">
        <v>146</v>
      </c>
      <c r="M114" s="35"/>
      <c r="N114" s="49"/>
      <c r="O114" s="49"/>
      <c r="P114" s="51"/>
      <c r="Q114" s="49"/>
      <c r="R114" s="29" t="str">
        <f t="shared" si="4"/>
        <v>Active</v>
      </c>
      <c r="S114" s="33">
        <v>45931.0</v>
      </c>
      <c r="T114" s="32">
        <f t="shared" si="5"/>
        <v>2.733333333</v>
      </c>
    </row>
    <row r="115">
      <c r="A115" s="15" t="s">
        <v>190</v>
      </c>
      <c r="B115" s="16" t="s">
        <v>27</v>
      </c>
      <c r="C115" s="16" t="s">
        <v>121</v>
      </c>
      <c r="D115" s="17" t="str">
        <f t="shared" si="1"/>
        <v>Active</v>
      </c>
      <c r="E115" s="18">
        <v>45846.0</v>
      </c>
      <c r="F115" s="52"/>
      <c r="G115" s="20">
        <f t="shared" si="2"/>
        <v>3.233333333</v>
      </c>
      <c r="H115" s="18">
        <v>44406.0</v>
      </c>
      <c r="I115" s="20">
        <f t="shared" si="3"/>
        <v>3.941666667</v>
      </c>
      <c r="J115" s="53">
        <f>(65+74)/2</f>
        <v>69.5</v>
      </c>
      <c r="K115" s="53">
        <v>9.0</v>
      </c>
      <c r="L115" s="23" t="s">
        <v>122</v>
      </c>
      <c r="M115" s="23" t="s">
        <v>123</v>
      </c>
      <c r="N115" s="23" t="s">
        <v>191</v>
      </c>
      <c r="O115" s="23" t="s">
        <v>34</v>
      </c>
      <c r="P115" s="54" t="s">
        <v>192</v>
      </c>
      <c r="Q115" s="23"/>
      <c r="R115" s="17" t="str">
        <f t="shared" si="4"/>
        <v>Active</v>
      </c>
      <c r="S115" s="18">
        <f t="shared" ref="S115:S124" si="12">E115</f>
        <v>45846</v>
      </c>
      <c r="T115" s="20">
        <f t="shared" si="5"/>
        <v>0</v>
      </c>
    </row>
    <row r="116">
      <c r="A116" s="27" t="s">
        <v>193</v>
      </c>
      <c r="B116" s="28" t="s">
        <v>27</v>
      </c>
      <c r="C116" s="28" t="s">
        <v>28</v>
      </c>
      <c r="D116" s="29" t="str">
        <f t="shared" si="1"/>
        <v>Active</v>
      </c>
      <c r="E116" s="30">
        <v>45841.0</v>
      </c>
      <c r="F116" s="37"/>
      <c r="G116" s="32">
        <f t="shared" si="2"/>
        <v>3.4</v>
      </c>
      <c r="H116" s="47">
        <v>43368.0</v>
      </c>
      <c r="I116" s="32">
        <f t="shared" si="3"/>
        <v>6.772222222</v>
      </c>
      <c r="J116" s="48">
        <v>80.0</v>
      </c>
      <c r="K116" s="48">
        <v>7.0</v>
      </c>
      <c r="L116" s="35" t="s">
        <v>44</v>
      </c>
      <c r="M116" s="44"/>
      <c r="N116" s="49"/>
      <c r="O116" s="49"/>
      <c r="P116" s="51"/>
      <c r="Q116" s="49"/>
      <c r="R116" s="29" t="str">
        <f t="shared" si="4"/>
        <v>Active</v>
      </c>
      <c r="S116" s="33">
        <f t="shared" si="12"/>
        <v>45841</v>
      </c>
      <c r="T116" s="32">
        <f t="shared" si="5"/>
        <v>0</v>
      </c>
    </row>
    <row r="117">
      <c r="A117" s="15" t="s">
        <v>194</v>
      </c>
      <c r="B117" s="16" t="s">
        <v>27</v>
      </c>
      <c r="C117" s="16" t="s">
        <v>28</v>
      </c>
      <c r="D117" s="17" t="str">
        <f t="shared" si="1"/>
        <v>Active</v>
      </c>
      <c r="E117" s="62">
        <v>45839.0</v>
      </c>
      <c r="F117" s="19"/>
      <c r="G117" s="20">
        <f t="shared" si="2"/>
        <v>3.466666667</v>
      </c>
      <c r="H117" s="61">
        <v>31048.0</v>
      </c>
      <c r="I117" s="20">
        <f t="shared" si="3"/>
        <v>40.5</v>
      </c>
      <c r="J117" s="22"/>
      <c r="K117" s="22"/>
      <c r="L117" s="43"/>
      <c r="M117" s="43"/>
      <c r="N117" s="50" t="s">
        <v>153</v>
      </c>
      <c r="O117" s="50"/>
      <c r="P117" s="57"/>
      <c r="Q117" s="50"/>
      <c r="R117" s="17" t="str">
        <f t="shared" si="4"/>
        <v>Active</v>
      </c>
      <c r="S117" s="18">
        <f t="shared" si="12"/>
        <v>45839</v>
      </c>
      <c r="T117" s="20">
        <f t="shared" si="5"/>
        <v>0</v>
      </c>
    </row>
    <row r="118">
      <c r="A118" s="27" t="s">
        <v>195</v>
      </c>
      <c r="B118" s="28" t="s">
        <v>27</v>
      </c>
      <c r="C118" s="28" t="s">
        <v>28</v>
      </c>
      <c r="D118" s="29" t="str">
        <f t="shared" si="1"/>
        <v>Active</v>
      </c>
      <c r="E118" s="30">
        <v>45839.0</v>
      </c>
      <c r="F118" s="37"/>
      <c r="G118" s="32">
        <f t="shared" si="2"/>
        <v>3.466666667</v>
      </c>
      <c r="H118" s="61">
        <v>33239.0</v>
      </c>
      <c r="I118" s="32">
        <f t="shared" si="3"/>
        <v>34.5</v>
      </c>
      <c r="J118" s="39"/>
      <c r="K118" s="48">
        <v>4.0</v>
      </c>
      <c r="L118" s="44"/>
      <c r="M118" s="44"/>
      <c r="N118" s="49" t="s">
        <v>174</v>
      </c>
      <c r="O118" s="49"/>
      <c r="P118" s="51"/>
      <c r="Q118" s="49"/>
      <c r="R118" s="29" t="str">
        <f t="shared" si="4"/>
        <v>Active</v>
      </c>
      <c r="S118" s="33">
        <f t="shared" si="12"/>
        <v>45839</v>
      </c>
      <c r="T118" s="32">
        <f t="shared" si="5"/>
        <v>0</v>
      </c>
    </row>
    <row r="119">
      <c r="A119" s="15" t="s">
        <v>196</v>
      </c>
      <c r="B119" s="16" t="s">
        <v>27</v>
      </c>
      <c r="C119" s="16" t="s">
        <v>28</v>
      </c>
      <c r="D119" s="17" t="str">
        <f t="shared" si="1"/>
        <v>Active</v>
      </c>
      <c r="E119" s="62">
        <v>45839.0</v>
      </c>
      <c r="F119" s="19"/>
      <c r="G119" s="20">
        <f t="shared" si="2"/>
        <v>3.466666667</v>
      </c>
      <c r="H119" s="61">
        <v>29221.0</v>
      </c>
      <c r="I119" s="20">
        <f t="shared" si="3"/>
        <v>45.5</v>
      </c>
      <c r="J119" s="22"/>
      <c r="K119" s="46">
        <v>1.0</v>
      </c>
      <c r="L119" s="43"/>
      <c r="M119" s="43"/>
      <c r="N119" s="50" t="s">
        <v>153</v>
      </c>
      <c r="O119" s="50"/>
      <c r="P119" s="57"/>
      <c r="Q119" s="50"/>
      <c r="R119" s="17" t="str">
        <f t="shared" si="4"/>
        <v>Active</v>
      </c>
      <c r="S119" s="18">
        <f t="shared" si="12"/>
        <v>45839</v>
      </c>
      <c r="T119" s="20">
        <f t="shared" si="5"/>
        <v>0</v>
      </c>
    </row>
    <row r="120">
      <c r="A120" s="27" t="s">
        <v>197</v>
      </c>
      <c r="B120" s="28" t="s">
        <v>27</v>
      </c>
      <c r="C120" s="28" t="s">
        <v>28</v>
      </c>
      <c r="D120" s="29" t="str">
        <f t="shared" si="1"/>
        <v>Active</v>
      </c>
      <c r="E120" s="30">
        <v>45839.0</v>
      </c>
      <c r="F120" s="37"/>
      <c r="G120" s="32">
        <f t="shared" si="2"/>
        <v>3.466666667</v>
      </c>
      <c r="H120" s="61">
        <v>30317.0</v>
      </c>
      <c r="I120" s="32">
        <f t="shared" si="3"/>
        <v>42.5</v>
      </c>
      <c r="J120" s="39"/>
      <c r="K120" s="39"/>
      <c r="L120" s="44"/>
      <c r="M120" s="44"/>
      <c r="N120" s="49" t="s">
        <v>153</v>
      </c>
      <c r="O120" s="49"/>
      <c r="P120" s="51"/>
      <c r="Q120" s="49"/>
      <c r="R120" s="29" t="str">
        <f t="shared" si="4"/>
        <v>Active</v>
      </c>
      <c r="S120" s="33">
        <f t="shared" si="12"/>
        <v>45839</v>
      </c>
      <c r="T120" s="32">
        <f t="shared" si="5"/>
        <v>0</v>
      </c>
    </row>
    <row r="121">
      <c r="A121" s="15" t="s">
        <v>198</v>
      </c>
      <c r="B121" s="16" t="s">
        <v>27</v>
      </c>
      <c r="C121" s="16" t="s">
        <v>28</v>
      </c>
      <c r="D121" s="17" t="str">
        <f t="shared" si="1"/>
        <v>Active</v>
      </c>
      <c r="E121" s="62">
        <v>45839.0</v>
      </c>
      <c r="F121" s="19"/>
      <c r="G121" s="20">
        <f t="shared" si="2"/>
        <v>3.466666667</v>
      </c>
      <c r="H121" s="61">
        <v>30317.0</v>
      </c>
      <c r="I121" s="20">
        <f t="shared" si="3"/>
        <v>42.5</v>
      </c>
      <c r="J121" s="22"/>
      <c r="K121" s="22"/>
      <c r="L121" s="43"/>
      <c r="M121" s="43"/>
      <c r="N121" s="50" t="s">
        <v>153</v>
      </c>
      <c r="O121" s="50"/>
      <c r="P121" s="57"/>
      <c r="Q121" s="50"/>
      <c r="R121" s="17" t="str">
        <f t="shared" si="4"/>
        <v>Active</v>
      </c>
      <c r="S121" s="18">
        <f t="shared" si="12"/>
        <v>45839</v>
      </c>
      <c r="T121" s="20">
        <f t="shared" si="5"/>
        <v>0</v>
      </c>
    </row>
    <row r="122">
      <c r="A122" s="27" t="s">
        <v>199</v>
      </c>
      <c r="B122" s="28" t="s">
        <v>27</v>
      </c>
      <c r="C122" s="28" t="s">
        <v>28</v>
      </c>
      <c r="D122" s="29" t="str">
        <f t="shared" si="1"/>
        <v>Active</v>
      </c>
      <c r="E122" s="30">
        <v>45839.0</v>
      </c>
      <c r="F122" s="37"/>
      <c r="G122" s="32">
        <f t="shared" si="2"/>
        <v>3.466666667</v>
      </c>
      <c r="H122" s="47">
        <v>44238.0</v>
      </c>
      <c r="I122" s="32">
        <f t="shared" si="3"/>
        <v>4.388888889</v>
      </c>
      <c r="J122" s="48">
        <v>82.0</v>
      </c>
      <c r="K122" s="48">
        <v>6.0</v>
      </c>
      <c r="L122" s="35" t="s">
        <v>37</v>
      </c>
      <c r="M122" s="44"/>
      <c r="N122" s="49"/>
      <c r="O122" s="49"/>
      <c r="P122" s="51"/>
      <c r="Q122" s="49"/>
      <c r="R122" s="29" t="str">
        <f t="shared" si="4"/>
        <v>Active</v>
      </c>
      <c r="S122" s="33">
        <f t="shared" si="12"/>
        <v>45839</v>
      </c>
      <c r="T122" s="32">
        <f t="shared" si="5"/>
        <v>0</v>
      </c>
    </row>
    <row r="123">
      <c r="A123" s="64" t="s">
        <v>200</v>
      </c>
      <c r="B123" s="16" t="s">
        <v>27</v>
      </c>
      <c r="C123" s="16" t="s">
        <v>28</v>
      </c>
      <c r="D123" s="17" t="str">
        <f t="shared" si="1"/>
        <v>Active</v>
      </c>
      <c r="E123" s="18">
        <v>45839.0</v>
      </c>
      <c r="F123" s="52"/>
      <c r="G123" s="20">
        <f t="shared" si="2"/>
        <v>3.466666667</v>
      </c>
      <c r="H123" s="18">
        <v>42318.0</v>
      </c>
      <c r="I123" s="20">
        <f t="shared" si="3"/>
        <v>9.641666667</v>
      </c>
      <c r="J123" s="65">
        <v>86.0</v>
      </c>
      <c r="K123" s="53">
        <v>13.5</v>
      </c>
      <c r="L123" s="43" t="s">
        <v>201</v>
      </c>
      <c r="M123" s="43"/>
      <c r="N123" s="23" t="s">
        <v>202</v>
      </c>
      <c r="O123" s="43"/>
      <c r="P123" s="66"/>
      <c r="Q123" s="43"/>
      <c r="R123" s="17" t="str">
        <f t="shared" si="4"/>
        <v>Active</v>
      </c>
      <c r="S123" s="18">
        <f t="shared" si="12"/>
        <v>45839</v>
      </c>
      <c r="T123" s="20">
        <f t="shared" si="5"/>
        <v>0</v>
      </c>
    </row>
    <row r="124">
      <c r="A124" s="27" t="s">
        <v>203</v>
      </c>
      <c r="B124" s="28" t="s">
        <v>27</v>
      </c>
      <c r="C124" s="28"/>
      <c r="D124" s="29" t="str">
        <f t="shared" si="1"/>
        <v>Active</v>
      </c>
      <c r="E124" s="30">
        <v>45838.0</v>
      </c>
      <c r="F124" s="37"/>
      <c r="G124" s="32">
        <f t="shared" si="2"/>
        <v>3.5</v>
      </c>
      <c r="H124" s="47">
        <v>43042.0</v>
      </c>
      <c r="I124" s="32">
        <f t="shared" si="3"/>
        <v>7.658333333</v>
      </c>
      <c r="J124" s="48">
        <v>79.0</v>
      </c>
      <c r="K124" s="48">
        <v>7.0</v>
      </c>
      <c r="L124" s="35" t="s">
        <v>32</v>
      </c>
      <c r="M124" s="44"/>
      <c r="N124" s="49"/>
      <c r="O124" s="49"/>
      <c r="P124" s="51"/>
      <c r="Q124" s="49"/>
      <c r="R124" s="29" t="str">
        <f t="shared" si="4"/>
        <v>Active</v>
      </c>
      <c r="S124" s="33">
        <f t="shared" si="12"/>
        <v>45838</v>
      </c>
      <c r="T124" s="32">
        <f t="shared" si="5"/>
        <v>0</v>
      </c>
    </row>
    <row r="125">
      <c r="A125" s="15" t="s">
        <v>204</v>
      </c>
      <c r="B125" s="16" t="s">
        <v>40</v>
      </c>
      <c r="C125" s="16"/>
      <c r="D125" s="17" t="str">
        <f t="shared" si="1"/>
        <v>Active</v>
      </c>
      <c r="E125" s="62">
        <v>45834.0</v>
      </c>
      <c r="F125" s="19"/>
      <c r="G125" s="20">
        <f t="shared" si="2"/>
        <v>3.633333333</v>
      </c>
      <c r="H125" s="45">
        <v>45609.0</v>
      </c>
      <c r="I125" s="20">
        <f t="shared" si="3"/>
        <v>0.6194444444</v>
      </c>
      <c r="J125" s="22">
        <f>average(80,70,63)</f>
        <v>71</v>
      </c>
      <c r="K125" s="46">
        <v>15.0</v>
      </c>
      <c r="L125" s="23" t="s">
        <v>119</v>
      </c>
      <c r="M125" s="43"/>
      <c r="N125" s="24"/>
      <c r="O125" s="50"/>
      <c r="P125" s="57"/>
      <c r="Q125" s="50"/>
      <c r="R125" s="17" t="str">
        <f t="shared" si="4"/>
        <v>Active</v>
      </c>
      <c r="S125" s="18">
        <v>45931.0</v>
      </c>
      <c r="T125" s="20">
        <f t="shared" si="5"/>
        <v>3.166666667</v>
      </c>
    </row>
    <row r="126">
      <c r="A126" s="27" t="s">
        <v>205</v>
      </c>
      <c r="B126" s="28" t="s">
        <v>40</v>
      </c>
      <c r="C126" s="28"/>
      <c r="D126" s="29" t="str">
        <f t="shared" si="1"/>
        <v>Active</v>
      </c>
      <c r="E126" s="30">
        <v>45834.0</v>
      </c>
      <c r="F126" s="37"/>
      <c r="G126" s="32">
        <f t="shared" si="2"/>
        <v>3.633333333</v>
      </c>
      <c r="H126" s="47">
        <v>45609.0</v>
      </c>
      <c r="I126" s="32">
        <f t="shared" si="3"/>
        <v>0.6194444444</v>
      </c>
      <c r="J126" s="39">
        <f>average(63,80)</f>
        <v>71.5</v>
      </c>
      <c r="K126" s="48">
        <v>21.0</v>
      </c>
      <c r="L126" s="35" t="s">
        <v>119</v>
      </c>
      <c r="M126" s="44"/>
      <c r="N126" s="40"/>
      <c r="O126" s="49"/>
      <c r="P126" s="51"/>
      <c r="Q126" s="49"/>
      <c r="R126" s="29" t="str">
        <f t="shared" si="4"/>
        <v>Active</v>
      </c>
      <c r="S126" s="33">
        <v>45931.0</v>
      </c>
      <c r="T126" s="32">
        <f t="shared" si="5"/>
        <v>3.166666667</v>
      </c>
    </row>
    <row r="127">
      <c r="A127" s="15" t="s">
        <v>206</v>
      </c>
      <c r="B127" s="16" t="s">
        <v>40</v>
      </c>
      <c r="C127" s="16"/>
      <c r="D127" s="17" t="str">
        <f t="shared" si="1"/>
        <v>Active</v>
      </c>
      <c r="E127" s="62">
        <v>45834.0</v>
      </c>
      <c r="F127" s="19"/>
      <c r="G127" s="20">
        <f t="shared" si="2"/>
        <v>3.633333333</v>
      </c>
      <c r="H127" s="45">
        <v>43858.0</v>
      </c>
      <c r="I127" s="20">
        <f t="shared" si="3"/>
        <v>5.411111111</v>
      </c>
      <c r="J127" s="46">
        <v>59.0</v>
      </c>
      <c r="K127" s="46">
        <v>31.0</v>
      </c>
      <c r="L127" s="23" t="s">
        <v>119</v>
      </c>
      <c r="M127" s="43"/>
      <c r="N127" s="24"/>
      <c r="O127" s="50"/>
      <c r="P127" s="57"/>
      <c r="Q127" s="50"/>
      <c r="R127" s="17" t="str">
        <f t="shared" si="4"/>
        <v>Active</v>
      </c>
      <c r="S127" s="18">
        <v>45931.0</v>
      </c>
      <c r="T127" s="20">
        <f t="shared" si="5"/>
        <v>3.166666667</v>
      </c>
    </row>
    <row r="128">
      <c r="A128" s="27" t="s">
        <v>207</v>
      </c>
      <c r="B128" s="28" t="s">
        <v>27</v>
      </c>
      <c r="C128" s="28" t="s">
        <v>28</v>
      </c>
      <c r="D128" s="29" t="str">
        <f t="shared" si="1"/>
        <v>Active</v>
      </c>
      <c r="E128" s="30">
        <v>45832.0</v>
      </c>
      <c r="F128" s="37"/>
      <c r="G128" s="32">
        <f t="shared" si="2"/>
        <v>3.7</v>
      </c>
      <c r="H128" s="47">
        <v>45036.0</v>
      </c>
      <c r="I128" s="32">
        <f t="shared" si="3"/>
        <v>2.177777778</v>
      </c>
      <c r="J128" s="48">
        <v>80.0</v>
      </c>
      <c r="K128" s="48">
        <v>9.0</v>
      </c>
      <c r="L128" s="35" t="s">
        <v>29</v>
      </c>
      <c r="M128" s="44"/>
      <c r="N128" s="40"/>
      <c r="O128" s="49"/>
      <c r="P128" s="51"/>
      <c r="Q128" s="49"/>
      <c r="R128" s="29" t="str">
        <f t="shared" si="4"/>
        <v>Active</v>
      </c>
      <c r="S128" s="33">
        <v>45931.0</v>
      </c>
      <c r="T128" s="32">
        <f t="shared" si="5"/>
        <v>3.233333333</v>
      </c>
    </row>
    <row r="129">
      <c r="A129" s="15" t="s">
        <v>208</v>
      </c>
      <c r="B129" s="16" t="s">
        <v>27</v>
      </c>
      <c r="C129" s="16" t="s">
        <v>28</v>
      </c>
      <c r="D129" s="17" t="str">
        <f t="shared" si="1"/>
        <v>Active</v>
      </c>
      <c r="E129" s="62">
        <v>45827.0</v>
      </c>
      <c r="F129" s="19"/>
      <c r="G129" s="20">
        <f t="shared" si="2"/>
        <v>3.866666667</v>
      </c>
      <c r="H129" s="45">
        <v>45827.0</v>
      </c>
      <c r="I129" s="20">
        <f t="shared" si="3"/>
        <v>0</v>
      </c>
      <c r="J129" s="46">
        <v>78.0</v>
      </c>
      <c r="K129" s="46">
        <v>37.0</v>
      </c>
      <c r="L129" s="23" t="s">
        <v>92</v>
      </c>
      <c r="M129" s="23" t="s">
        <v>30</v>
      </c>
      <c r="N129" s="24"/>
      <c r="O129" s="50"/>
      <c r="P129" s="57"/>
      <c r="Q129" s="50"/>
      <c r="R129" s="17" t="str">
        <f t="shared" si="4"/>
        <v>TBD</v>
      </c>
      <c r="S129" s="18"/>
      <c r="T129" s="20">
        <f t="shared" si="5"/>
        <v>3.866666667</v>
      </c>
    </row>
    <row r="130">
      <c r="A130" s="27" t="s">
        <v>209</v>
      </c>
      <c r="B130" s="28" t="s">
        <v>27</v>
      </c>
      <c r="C130" s="28" t="s">
        <v>28</v>
      </c>
      <c r="D130" s="29" t="str">
        <f t="shared" si="1"/>
        <v>Active</v>
      </c>
      <c r="E130" s="30">
        <v>45825.0</v>
      </c>
      <c r="F130" s="37"/>
      <c r="G130" s="32">
        <f t="shared" si="2"/>
        <v>3.933333333</v>
      </c>
      <c r="H130" s="47">
        <v>45825.0</v>
      </c>
      <c r="I130" s="32">
        <f t="shared" si="3"/>
        <v>0</v>
      </c>
      <c r="J130" s="48">
        <v>64.0</v>
      </c>
      <c r="K130" s="48">
        <v>7.0</v>
      </c>
      <c r="L130" s="35" t="s">
        <v>32</v>
      </c>
      <c r="M130" s="44" t="s">
        <v>30</v>
      </c>
      <c r="N130" s="49"/>
      <c r="O130" s="49"/>
      <c r="P130" s="51"/>
      <c r="Q130" s="49"/>
      <c r="R130" s="29" t="str">
        <f t="shared" si="4"/>
        <v>TBD</v>
      </c>
      <c r="S130" s="33"/>
      <c r="T130" s="32">
        <f t="shared" si="5"/>
        <v>3.933333333</v>
      </c>
    </row>
    <row r="131">
      <c r="A131" s="15" t="s">
        <v>210</v>
      </c>
      <c r="B131" s="16" t="s">
        <v>27</v>
      </c>
      <c r="C131" s="16"/>
      <c r="D131" s="17" t="str">
        <f t="shared" si="1"/>
        <v>Active</v>
      </c>
      <c r="E131" s="62">
        <v>45825.0</v>
      </c>
      <c r="F131" s="19"/>
      <c r="G131" s="20">
        <f t="shared" si="2"/>
        <v>3.933333333</v>
      </c>
      <c r="H131" s="45">
        <v>44106.0</v>
      </c>
      <c r="I131" s="20">
        <f t="shared" si="3"/>
        <v>4.708333333</v>
      </c>
      <c r="J131" s="46">
        <v>85.0</v>
      </c>
      <c r="K131" s="46">
        <v>10.0</v>
      </c>
      <c r="L131" s="23" t="s">
        <v>211</v>
      </c>
      <c r="M131" s="43"/>
      <c r="N131" s="50"/>
      <c r="O131" s="50"/>
      <c r="P131" s="57"/>
      <c r="Q131" s="50"/>
      <c r="R131" s="17" t="str">
        <f t="shared" si="4"/>
        <v>Active</v>
      </c>
      <c r="S131" s="18">
        <f>E131</f>
        <v>45825</v>
      </c>
      <c r="T131" s="20">
        <f t="shared" si="5"/>
        <v>0</v>
      </c>
    </row>
    <row r="132">
      <c r="A132" s="27" t="s">
        <v>212</v>
      </c>
      <c r="B132" s="28" t="s">
        <v>27</v>
      </c>
      <c r="C132" s="28" t="s">
        <v>28</v>
      </c>
      <c r="D132" s="29" t="str">
        <f t="shared" si="1"/>
        <v>Active</v>
      </c>
      <c r="E132" s="30">
        <v>45825.0</v>
      </c>
      <c r="F132" s="37"/>
      <c r="G132" s="32">
        <f t="shared" si="2"/>
        <v>3.933333333</v>
      </c>
      <c r="H132" s="47">
        <v>45825.0</v>
      </c>
      <c r="I132" s="32">
        <f t="shared" si="3"/>
        <v>0</v>
      </c>
      <c r="J132" s="48">
        <v>78.0</v>
      </c>
      <c r="K132" s="48">
        <v>6.0</v>
      </c>
      <c r="L132" s="35" t="s">
        <v>37</v>
      </c>
      <c r="M132" s="44" t="s">
        <v>30</v>
      </c>
      <c r="N132" s="49"/>
      <c r="O132" s="49"/>
      <c r="P132" s="51"/>
      <c r="Q132" s="49"/>
      <c r="R132" s="29" t="str">
        <f t="shared" si="4"/>
        <v>TBD</v>
      </c>
      <c r="S132" s="33"/>
      <c r="T132" s="32">
        <f t="shared" si="5"/>
        <v>3.933333333</v>
      </c>
    </row>
    <row r="133">
      <c r="A133" s="15" t="s">
        <v>213</v>
      </c>
      <c r="B133" s="16" t="s">
        <v>27</v>
      </c>
      <c r="C133" s="16" t="s">
        <v>28</v>
      </c>
      <c r="D133" s="17" t="str">
        <f t="shared" si="1"/>
        <v>Active</v>
      </c>
      <c r="E133" s="62">
        <v>45821.0</v>
      </c>
      <c r="F133" s="19"/>
      <c r="G133" s="20">
        <f t="shared" si="2"/>
        <v>4.066666667</v>
      </c>
      <c r="H133" s="45">
        <v>45821.0</v>
      </c>
      <c r="I133" s="20">
        <f t="shared" si="3"/>
        <v>0</v>
      </c>
      <c r="J133" s="46">
        <v>84.0</v>
      </c>
      <c r="K133" s="46">
        <v>19.0</v>
      </c>
      <c r="L133" s="23" t="s">
        <v>113</v>
      </c>
      <c r="M133" s="43" t="s">
        <v>30</v>
      </c>
      <c r="N133" s="50"/>
      <c r="O133" s="50"/>
      <c r="P133" s="57"/>
      <c r="Q133" s="50"/>
      <c r="R133" s="17" t="str">
        <f t="shared" si="4"/>
        <v>TBD</v>
      </c>
      <c r="S133" s="18"/>
      <c r="T133" s="20">
        <f t="shared" si="5"/>
        <v>4.066666667</v>
      </c>
    </row>
    <row r="134">
      <c r="A134" s="27" t="s">
        <v>214</v>
      </c>
      <c r="B134" s="28" t="s">
        <v>27</v>
      </c>
      <c r="C134" s="28" t="s">
        <v>28</v>
      </c>
      <c r="D134" s="29" t="str">
        <f t="shared" si="1"/>
        <v>Active</v>
      </c>
      <c r="E134" s="30">
        <v>45820.0</v>
      </c>
      <c r="F134" s="37"/>
      <c r="G134" s="32">
        <f t="shared" si="2"/>
        <v>4.1</v>
      </c>
      <c r="H134" s="47">
        <v>45562.0</v>
      </c>
      <c r="I134" s="32">
        <f t="shared" si="3"/>
        <v>0.7083333333</v>
      </c>
      <c r="J134" s="48">
        <v>76.0</v>
      </c>
      <c r="K134" s="48">
        <v>35.0</v>
      </c>
      <c r="L134" s="35" t="s">
        <v>92</v>
      </c>
      <c r="M134" s="44"/>
      <c r="N134" s="49"/>
      <c r="O134" s="49"/>
      <c r="P134" s="51"/>
      <c r="Q134" s="49"/>
      <c r="R134" s="29" t="str">
        <f t="shared" si="4"/>
        <v>TBD</v>
      </c>
      <c r="S134" s="33"/>
      <c r="T134" s="32">
        <f t="shared" si="5"/>
        <v>4.1</v>
      </c>
    </row>
    <row r="135">
      <c r="A135" s="15" t="s">
        <v>215</v>
      </c>
      <c r="B135" s="16" t="s">
        <v>27</v>
      </c>
      <c r="C135" s="16" t="s">
        <v>28</v>
      </c>
      <c r="D135" s="17" t="str">
        <f t="shared" si="1"/>
        <v>Active</v>
      </c>
      <c r="E135" s="62">
        <v>45819.0</v>
      </c>
      <c r="F135" s="19"/>
      <c r="G135" s="20">
        <f t="shared" si="2"/>
        <v>4.133333333</v>
      </c>
      <c r="H135" s="45">
        <v>45590.0</v>
      </c>
      <c r="I135" s="20">
        <f t="shared" si="3"/>
        <v>0.6277777778</v>
      </c>
      <c r="J135" s="46">
        <v>80.0</v>
      </c>
      <c r="K135" s="46">
        <v>8.0</v>
      </c>
      <c r="L135" s="23" t="s">
        <v>37</v>
      </c>
      <c r="M135" s="43"/>
      <c r="N135" s="50"/>
      <c r="O135" s="50"/>
      <c r="P135" s="57"/>
      <c r="Q135" s="50"/>
      <c r="R135" s="17" t="str">
        <f t="shared" si="4"/>
        <v>Active</v>
      </c>
      <c r="S135" s="18">
        <f>E135</f>
        <v>45819</v>
      </c>
      <c r="T135" s="20">
        <f t="shared" si="5"/>
        <v>0</v>
      </c>
    </row>
    <row r="136">
      <c r="A136" s="27" t="s">
        <v>216</v>
      </c>
      <c r="B136" s="28" t="s">
        <v>27</v>
      </c>
      <c r="C136" s="28" t="s">
        <v>28</v>
      </c>
      <c r="D136" s="29" t="str">
        <f t="shared" si="1"/>
        <v>Active</v>
      </c>
      <c r="E136" s="30">
        <v>45818.0</v>
      </c>
      <c r="F136" s="37"/>
      <c r="G136" s="32">
        <f t="shared" si="2"/>
        <v>4.166666667</v>
      </c>
      <c r="H136" s="47">
        <v>40792.0</v>
      </c>
      <c r="I136" s="32">
        <f t="shared" si="3"/>
        <v>13.76111111</v>
      </c>
      <c r="J136" s="48">
        <v>76.0</v>
      </c>
      <c r="K136" s="48">
        <v>8.0</v>
      </c>
      <c r="L136" s="35" t="s">
        <v>32</v>
      </c>
      <c r="M136" s="44" t="s">
        <v>30</v>
      </c>
      <c r="N136" s="49"/>
      <c r="O136" s="49"/>
      <c r="P136" s="51"/>
      <c r="Q136" s="49"/>
      <c r="R136" s="29" t="str">
        <f t="shared" si="4"/>
        <v>TBD</v>
      </c>
      <c r="S136" s="33"/>
      <c r="T136" s="32">
        <f t="shared" si="5"/>
        <v>4.166666667</v>
      </c>
    </row>
    <row r="137">
      <c r="A137" s="15" t="s">
        <v>217</v>
      </c>
      <c r="B137" s="16" t="s">
        <v>68</v>
      </c>
      <c r="C137" s="16" t="s">
        <v>28</v>
      </c>
      <c r="D137" s="17" t="str">
        <f t="shared" si="1"/>
        <v>Active</v>
      </c>
      <c r="E137" s="62">
        <v>45813.0</v>
      </c>
      <c r="F137" s="19"/>
      <c r="G137" s="20">
        <f t="shared" si="2"/>
        <v>4.333333333</v>
      </c>
      <c r="H137" s="45">
        <v>41241.0</v>
      </c>
      <c r="I137" s="20">
        <f t="shared" si="3"/>
        <v>12.51944444</v>
      </c>
      <c r="J137" s="46">
        <v>78.0</v>
      </c>
      <c r="K137" s="46">
        <v>31.0</v>
      </c>
      <c r="L137" s="23" t="s">
        <v>29</v>
      </c>
      <c r="M137" s="43"/>
      <c r="N137" s="50"/>
      <c r="O137" s="50"/>
      <c r="P137" s="57"/>
      <c r="Q137" s="50"/>
      <c r="R137" s="17" t="str">
        <f t="shared" si="4"/>
        <v>Active</v>
      </c>
      <c r="S137" s="18">
        <f t="shared" ref="S137:S140" si="13">E137</f>
        <v>45813</v>
      </c>
      <c r="T137" s="20">
        <f t="shared" si="5"/>
        <v>0</v>
      </c>
    </row>
    <row r="138">
      <c r="A138" s="27" t="s">
        <v>218</v>
      </c>
      <c r="B138" s="28" t="s">
        <v>68</v>
      </c>
      <c r="C138" s="28" t="s">
        <v>28</v>
      </c>
      <c r="D138" s="29" t="str">
        <f t="shared" si="1"/>
        <v>Active</v>
      </c>
      <c r="E138" s="30">
        <v>45813.0</v>
      </c>
      <c r="F138" s="37"/>
      <c r="G138" s="32">
        <f t="shared" si="2"/>
        <v>4.333333333</v>
      </c>
      <c r="H138" s="47">
        <v>41593.0</v>
      </c>
      <c r="I138" s="32">
        <f t="shared" si="3"/>
        <v>11.55555556</v>
      </c>
      <c r="J138" s="48">
        <v>78.0</v>
      </c>
      <c r="K138" s="48">
        <v>45.0</v>
      </c>
      <c r="L138" s="35" t="s">
        <v>29</v>
      </c>
      <c r="M138" s="44"/>
      <c r="N138" s="49"/>
      <c r="O138" s="49"/>
      <c r="P138" s="51"/>
      <c r="Q138" s="49"/>
      <c r="R138" s="29" t="str">
        <f t="shared" si="4"/>
        <v>Active</v>
      </c>
      <c r="S138" s="33">
        <f t="shared" si="13"/>
        <v>45813</v>
      </c>
      <c r="T138" s="32">
        <f t="shared" si="5"/>
        <v>0</v>
      </c>
    </row>
    <row r="139">
      <c r="A139" s="15" t="s">
        <v>219</v>
      </c>
      <c r="B139" s="16" t="s">
        <v>27</v>
      </c>
      <c r="C139" s="16" t="s">
        <v>28</v>
      </c>
      <c r="D139" s="17" t="str">
        <f t="shared" si="1"/>
        <v>Active</v>
      </c>
      <c r="E139" s="62">
        <v>45811.0</v>
      </c>
      <c r="F139" s="19"/>
      <c r="G139" s="20">
        <f t="shared" si="2"/>
        <v>4.4</v>
      </c>
      <c r="H139" s="45">
        <v>45631.0</v>
      </c>
      <c r="I139" s="20">
        <f t="shared" si="3"/>
        <v>0.4944444444</v>
      </c>
      <c r="J139" s="46">
        <v>85.0</v>
      </c>
      <c r="K139" s="46">
        <v>5.0</v>
      </c>
      <c r="L139" s="23" t="s">
        <v>44</v>
      </c>
      <c r="M139" s="43"/>
      <c r="N139" s="50"/>
      <c r="O139" s="50"/>
      <c r="P139" s="57"/>
      <c r="Q139" s="50"/>
      <c r="R139" s="17" t="str">
        <f t="shared" si="4"/>
        <v>Active</v>
      </c>
      <c r="S139" s="18">
        <f t="shared" si="13"/>
        <v>45811</v>
      </c>
      <c r="T139" s="20">
        <f t="shared" si="5"/>
        <v>0</v>
      </c>
    </row>
    <row r="140">
      <c r="A140" s="27" t="s">
        <v>220</v>
      </c>
      <c r="B140" s="28" t="s">
        <v>27</v>
      </c>
      <c r="C140" s="28" t="s">
        <v>28</v>
      </c>
      <c r="D140" s="29" t="str">
        <f t="shared" si="1"/>
        <v>Active</v>
      </c>
      <c r="E140" s="30">
        <v>45811.0</v>
      </c>
      <c r="F140" s="37"/>
      <c r="G140" s="32">
        <f t="shared" si="2"/>
        <v>4.4</v>
      </c>
      <c r="H140" s="47">
        <v>45531.0</v>
      </c>
      <c r="I140" s="32">
        <f t="shared" si="3"/>
        <v>0.7666666667</v>
      </c>
      <c r="J140" s="48">
        <v>82.0</v>
      </c>
      <c r="K140" s="48">
        <v>10.0</v>
      </c>
      <c r="L140" s="35" t="s">
        <v>37</v>
      </c>
      <c r="M140" s="44"/>
      <c r="N140" s="49"/>
      <c r="O140" s="49"/>
      <c r="P140" s="51"/>
      <c r="Q140" s="49"/>
      <c r="R140" s="29" t="str">
        <f t="shared" si="4"/>
        <v>Active</v>
      </c>
      <c r="S140" s="33">
        <f t="shared" si="13"/>
        <v>45811</v>
      </c>
      <c r="T140" s="32">
        <f t="shared" si="5"/>
        <v>0</v>
      </c>
    </row>
    <row r="141">
      <c r="A141" s="15" t="s">
        <v>221</v>
      </c>
      <c r="B141" s="16" t="s">
        <v>27</v>
      </c>
      <c r="C141" s="16" t="s">
        <v>28</v>
      </c>
      <c r="D141" s="17" t="str">
        <f t="shared" si="1"/>
        <v>Active</v>
      </c>
      <c r="E141" s="62">
        <v>45806.0</v>
      </c>
      <c r="F141" s="19"/>
      <c r="G141" s="20">
        <f t="shared" si="2"/>
        <v>4.533333333</v>
      </c>
      <c r="H141" s="45">
        <v>45806.0</v>
      </c>
      <c r="I141" s="20">
        <f t="shared" si="3"/>
        <v>0</v>
      </c>
      <c r="J141" s="46">
        <v>78.0</v>
      </c>
      <c r="K141" s="46">
        <v>9.0</v>
      </c>
      <c r="L141" s="23" t="s">
        <v>50</v>
      </c>
      <c r="M141" s="23" t="s">
        <v>30</v>
      </c>
      <c r="N141" s="24"/>
      <c r="O141" s="50"/>
      <c r="P141" s="57"/>
      <c r="Q141" s="50"/>
      <c r="R141" s="17" t="str">
        <f t="shared" si="4"/>
        <v>TBD</v>
      </c>
      <c r="S141" s="18"/>
      <c r="T141" s="20">
        <f t="shared" si="5"/>
        <v>4.533333333</v>
      </c>
    </row>
    <row r="142">
      <c r="A142" s="27" t="s">
        <v>222</v>
      </c>
      <c r="B142" s="28" t="s">
        <v>27</v>
      </c>
      <c r="C142" s="28" t="s">
        <v>28</v>
      </c>
      <c r="D142" s="29" t="str">
        <f t="shared" si="1"/>
        <v>Active</v>
      </c>
      <c r="E142" s="30">
        <v>45806.0</v>
      </c>
      <c r="F142" s="37"/>
      <c r="G142" s="32">
        <f t="shared" si="2"/>
        <v>4.533333333</v>
      </c>
      <c r="H142" s="47">
        <v>45576.0</v>
      </c>
      <c r="I142" s="32">
        <f t="shared" si="3"/>
        <v>0.6333333333</v>
      </c>
      <c r="J142" s="48">
        <v>94.0</v>
      </c>
      <c r="K142" s="48">
        <v>66.0</v>
      </c>
      <c r="L142" s="35" t="s">
        <v>29</v>
      </c>
      <c r="M142" s="35" t="s">
        <v>30</v>
      </c>
      <c r="N142" s="49"/>
      <c r="O142" s="49"/>
      <c r="P142" s="51"/>
      <c r="Q142" s="49"/>
      <c r="R142" s="29" t="str">
        <f t="shared" si="4"/>
        <v>Active</v>
      </c>
      <c r="S142" s="33">
        <f>E142</f>
        <v>45806</v>
      </c>
      <c r="T142" s="32">
        <f t="shared" si="5"/>
        <v>0</v>
      </c>
    </row>
    <row r="143">
      <c r="A143" s="15" t="s">
        <v>223</v>
      </c>
      <c r="B143" s="16" t="s">
        <v>27</v>
      </c>
      <c r="C143" s="16" t="s">
        <v>28</v>
      </c>
      <c r="D143" s="17" t="str">
        <f t="shared" si="1"/>
        <v>Active</v>
      </c>
      <c r="E143" s="62">
        <v>45805.0</v>
      </c>
      <c r="F143" s="19"/>
      <c r="G143" s="20">
        <f t="shared" si="2"/>
        <v>4.566666667</v>
      </c>
      <c r="H143" s="45">
        <v>45805.0</v>
      </c>
      <c r="I143" s="20">
        <f t="shared" si="3"/>
        <v>0</v>
      </c>
      <c r="J143" s="46">
        <v>73.0</v>
      </c>
      <c r="K143" s="46">
        <v>6.0</v>
      </c>
      <c r="L143" s="23" t="s">
        <v>37</v>
      </c>
      <c r="M143" s="23" t="s">
        <v>30</v>
      </c>
      <c r="N143" s="24"/>
      <c r="O143" s="50"/>
      <c r="P143" s="57"/>
      <c r="Q143" s="50"/>
      <c r="R143" s="17" t="str">
        <f t="shared" si="4"/>
        <v>TBD</v>
      </c>
      <c r="S143" s="18"/>
      <c r="T143" s="20">
        <f t="shared" si="5"/>
        <v>4.566666667</v>
      </c>
    </row>
    <row r="144">
      <c r="A144" s="27" t="s">
        <v>224</v>
      </c>
      <c r="B144" s="28" t="s">
        <v>27</v>
      </c>
      <c r="C144" s="28" t="s">
        <v>28</v>
      </c>
      <c r="D144" s="29" t="str">
        <f t="shared" si="1"/>
        <v>Active</v>
      </c>
      <c r="E144" s="30">
        <v>45804.0</v>
      </c>
      <c r="F144" s="37"/>
      <c r="G144" s="32">
        <f t="shared" si="2"/>
        <v>4.6</v>
      </c>
      <c r="H144" s="47">
        <v>43536.0</v>
      </c>
      <c r="I144" s="32">
        <f t="shared" si="3"/>
        <v>6.208333333</v>
      </c>
      <c r="J144" s="48">
        <v>82.0</v>
      </c>
      <c r="K144" s="48">
        <v>26.0</v>
      </c>
      <c r="L144" s="35" t="s">
        <v>32</v>
      </c>
      <c r="M144" s="44"/>
      <c r="N144" s="49"/>
      <c r="O144" s="49"/>
      <c r="P144" s="51"/>
      <c r="Q144" s="49"/>
      <c r="R144" s="29" t="str">
        <f t="shared" si="4"/>
        <v>Active</v>
      </c>
      <c r="S144" s="33">
        <f>E144</f>
        <v>45804</v>
      </c>
      <c r="T144" s="32">
        <f t="shared" si="5"/>
        <v>0</v>
      </c>
    </row>
    <row r="145">
      <c r="A145" s="15" t="s">
        <v>225</v>
      </c>
      <c r="B145" s="16" t="s">
        <v>27</v>
      </c>
      <c r="C145" s="16" t="s">
        <v>28</v>
      </c>
      <c r="D145" s="17" t="str">
        <f t="shared" si="1"/>
        <v>Active</v>
      </c>
      <c r="E145" s="62">
        <v>45799.0</v>
      </c>
      <c r="F145" s="19"/>
      <c r="G145" s="20">
        <f t="shared" si="2"/>
        <v>4.766666667</v>
      </c>
      <c r="H145" s="45">
        <v>45405.0</v>
      </c>
      <c r="I145" s="20">
        <f t="shared" si="3"/>
        <v>1.080555556</v>
      </c>
      <c r="J145" s="46">
        <v>76.0</v>
      </c>
      <c r="K145" s="46">
        <v>8.0</v>
      </c>
      <c r="L145" s="23" t="s">
        <v>226</v>
      </c>
      <c r="M145" s="23" t="s">
        <v>30</v>
      </c>
      <c r="N145" s="24"/>
      <c r="O145" s="50"/>
      <c r="P145" s="57"/>
      <c r="Q145" s="50"/>
      <c r="R145" s="17" t="str">
        <f t="shared" si="4"/>
        <v>TBD</v>
      </c>
      <c r="S145" s="18"/>
      <c r="T145" s="20">
        <f t="shared" si="5"/>
        <v>4.766666667</v>
      </c>
    </row>
    <row r="146">
      <c r="A146" s="27" t="s">
        <v>227</v>
      </c>
      <c r="B146" s="28" t="s">
        <v>27</v>
      </c>
      <c r="C146" s="28" t="s">
        <v>28</v>
      </c>
      <c r="D146" s="29" t="str">
        <f t="shared" si="1"/>
        <v>Active</v>
      </c>
      <c r="E146" s="47">
        <v>45798.0</v>
      </c>
      <c r="F146" s="37"/>
      <c r="G146" s="32">
        <f t="shared" si="2"/>
        <v>4.8</v>
      </c>
      <c r="H146" s="61">
        <v>30317.0</v>
      </c>
      <c r="I146" s="32">
        <f t="shared" si="3"/>
        <v>42.38888889</v>
      </c>
      <c r="J146" s="48"/>
      <c r="K146" s="48"/>
      <c r="L146" s="35"/>
      <c r="M146" s="35"/>
      <c r="N146" s="49" t="s">
        <v>228</v>
      </c>
      <c r="O146" s="49"/>
      <c r="P146" s="51"/>
      <c r="Q146" s="49"/>
      <c r="R146" s="29" t="str">
        <f t="shared" si="4"/>
        <v>TBD</v>
      </c>
      <c r="S146" s="33"/>
      <c r="T146" s="32">
        <f t="shared" si="5"/>
        <v>4.8</v>
      </c>
    </row>
    <row r="147">
      <c r="A147" s="15" t="s">
        <v>229</v>
      </c>
      <c r="B147" s="16" t="s">
        <v>27</v>
      </c>
      <c r="C147" s="16" t="s">
        <v>28</v>
      </c>
      <c r="D147" s="17" t="str">
        <f t="shared" si="1"/>
        <v>Active</v>
      </c>
      <c r="E147" s="45">
        <v>45798.0</v>
      </c>
      <c r="F147" s="19"/>
      <c r="G147" s="20">
        <f t="shared" si="2"/>
        <v>4.8</v>
      </c>
      <c r="H147" s="45">
        <v>32255.0</v>
      </c>
      <c r="I147" s="20">
        <f t="shared" si="3"/>
        <v>37.08055556</v>
      </c>
      <c r="J147" s="46"/>
      <c r="K147" s="46"/>
      <c r="L147" s="23"/>
      <c r="M147" s="43"/>
      <c r="N147" s="50" t="s">
        <v>153</v>
      </c>
      <c r="O147" s="50"/>
      <c r="P147" s="57"/>
      <c r="Q147" s="50"/>
      <c r="R147" s="17" t="str">
        <f t="shared" si="4"/>
        <v>TBD</v>
      </c>
      <c r="S147" s="18"/>
      <c r="T147" s="20">
        <f t="shared" si="5"/>
        <v>4.8</v>
      </c>
    </row>
    <row r="148">
      <c r="A148" s="27" t="s">
        <v>230</v>
      </c>
      <c r="B148" s="28" t="s">
        <v>27</v>
      </c>
      <c r="C148" s="28" t="s">
        <v>28</v>
      </c>
      <c r="D148" s="29" t="str">
        <f t="shared" si="1"/>
        <v>Active</v>
      </c>
      <c r="E148" s="47">
        <v>45798.0</v>
      </c>
      <c r="F148" s="37"/>
      <c r="G148" s="32">
        <f t="shared" si="2"/>
        <v>4.8</v>
      </c>
      <c r="H148" s="47">
        <v>32255.0</v>
      </c>
      <c r="I148" s="32">
        <f t="shared" si="3"/>
        <v>37.08055556</v>
      </c>
      <c r="J148" s="48"/>
      <c r="K148" s="48">
        <v>7.0</v>
      </c>
      <c r="L148" s="35"/>
      <c r="M148" s="44"/>
      <c r="N148" s="49" t="s">
        <v>153</v>
      </c>
      <c r="O148" s="49"/>
      <c r="P148" s="51"/>
      <c r="Q148" s="49"/>
      <c r="R148" s="29" t="str">
        <f t="shared" si="4"/>
        <v>TBD</v>
      </c>
      <c r="S148" s="33"/>
      <c r="T148" s="32">
        <f t="shared" si="5"/>
        <v>4.8</v>
      </c>
    </row>
    <row r="149">
      <c r="A149" s="15" t="s">
        <v>231</v>
      </c>
      <c r="B149" s="16" t="s">
        <v>27</v>
      </c>
      <c r="C149" s="16" t="s">
        <v>28</v>
      </c>
      <c r="D149" s="17" t="str">
        <f t="shared" si="1"/>
        <v>Active</v>
      </c>
      <c r="E149" s="45">
        <v>45798.0</v>
      </c>
      <c r="F149" s="19"/>
      <c r="G149" s="20">
        <f t="shared" si="2"/>
        <v>4.8</v>
      </c>
      <c r="H149" s="45">
        <v>30011.0</v>
      </c>
      <c r="I149" s="20">
        <f t="shared" si="3"/>
        <v>43.22222222</v>
      </c>
      <c r="J149" s="46"/>
      <c r="K149" s="46"/>
      <c r="L149" s="23"/>
      <c r="M149" s="43"/>
      <c r="N149" s="50" t="s">
        <v>153</v>
      </c>
      <c r="O149" s="50"/>
      <c r="P149" s="57"/>
      <c r="Q149" s="50"/>
      <c r="R149" s="17" t="str">
        <f t="shared" si="4"/>
        <v>TBD</v>
      </c>
      <c r="S149" s="18"/>
      <c r="T149" s="20">
        <f t="shared" si="5"/>
        <v>4.8</v>
      </c>
    </row>
    <row r="150">
      <c r="A150" s="27" t="s">
        <v>232</v>
      </c>
      <c r="B150" s="28" t="s">
        <v>27</v>
      </c>
      <c r="C150" s="28" t="s">
        <v>28</v>
      </c>
      <c r="D150" s="29" t="str">
        <f t="shared" si="1"/>
        <v>Active</v>
      </c>
      <c r="E150" s="47">
        <v>45798.0</v>
      </c>
      <c r="F150" s="37"/>
      <c r="G150" s="32">
        <f t="shared" si="2"/>
        <v>4.8</v>
      </c>
      <c r="H150" s="47">
        <v>32214.0</v>
      </c>
      <c r="I150" s="32">
        <f t="shared" si="3"/>
        <v>37.19166667</v>
      </c>
      <c r="J150" s="48"/>
      <c r="K150" s="48"/>
      <c r="L150" s="35"/>
      <c r="M150" s="44"/>
      <c r="N150" s="49" t="s">
        <v>153</v>
      </c>
      <c r="O150" s="49"/>
      <c r="P150" s="51"/>
      <c r="Q150" s="49"/>
      <c r="R150" s="29" t="str">
        <f t="shared" si="4"/>
        <v>TBD</v>
      </c>
      <c r="S150" s="33"/>
      <c r="T150" s="32">
        <f t="shared" si="5"/>
        <v>4.8</v>
      </c>
    </row>
    <row r="151">
      <c r="A151" s="15" t="s">
        <v>233</v>
      </c>
      <c r="B151" s="16" t="s">
        <v>27</v>
      </c>
      <c r="C151" s="16" t="s">
        <v>28</v>
      </c>
      <c r="D151" s="17" t="str">
        <f t="shared" si="1"/>
        <v>Active</v>
      </c>
      <c r="E151" s="45">
        <v>45798.0</v>
      </c>
      <c r="F151" s="19"/>
      <c r="G151" s="20">
        <f t="shared" si="2"/>
        <v>4.8</v>
      </c>
      <c r="H151" s="45">
        <v>30705.0</v>
      </c>
      <c r="I151" s="20">
        <f t="shared" si="3"/>
        <v>41.325</v>
      </c>
      <c r="J151" s="46"/>
      <c r="K151" s="46"/>
      <c r="L151" s="23"/>
      <c r="M151" s="43"/>
      <c r="N151" s="50" t="s">
        <v>153</v>
      </c>
      <c r="O151" s="50"/>
      <c r="P151" s="57"/>
      <c r="Q151" s="50"/>
      <c r="R151" s="17" t="str">
        <f t="shared" si="4"/>
        <v>TBD</v>
      </c>
      <c r="S151" s="18"/>
      <c r="T151" s="20">
        <f t="shared" si="5"/>
        <v>4.8</v>
      </c>
    </row>
    <row r="152">
      <c r="A152" s="27" t="s">
        <v>234</v>
      </c>
      <c r="B152" s="28" t="s">
        <v>27</v>
      </c>
      <c r="C152" s="28" t="s">
        <v>28</v>
      </c>
      <c r="D152" s="29" t="str">
        <f t="shared" si="1"/>
        <v>Active</v>
      </c>
      <c r="E152" s="47">
        <v>45798.0</v>
      </c>
      <c r="F152" s="37"/>
      <c r="G152" s="32">
        <f t="shared" si="2"/>
        <v>4.8</v>
      </c>
      <c r="H152" s="47">
        <v>29768.0</v>
      </c>
      <c r="I152" s="32">
        <f t="shared" si="3"/>
        <v>43.88888889</v>
      </c>
      <c r="J152" s="48"/>
      <c r="K152" s="48"/>
      <c r="L152" s="35"/>
      <c r="M152" s="44"/>
      <c r="N152" s="49" t="s">
        <v>153</v>
      </c>
      <c r="O152" s="49"/>
      <c r="P152" s="51"/>
      <c r="Q152" s="49"/>
      <c r="R152" s="29" t="str">
        <f t="shared" si="4"/>
        <v>TBD</v>
      </c>
      <c r="S152" s="33"/>
      <c r="T152" s="32">
        <f t="shared" si="5"/>
        <v>4.8</v>
      </c>
    </row>
    <row r="153">
      <c r="A153" s="15" t="s">
        <v>235</v>
      </c>
      <c r="B153" s="16" t="s">
        <v>27</v>
      </c>
      <c r="C153" s="16" t="s">
        <v>28</v>
      </c>
      <c r="D153" s="17" t="str">
        <f t="shared" si="1"/>
        <v>Active</v>
      </c>
      <c r="E153" s="45">
        <v>45798.0</v>
      </c>
      <c r="F153" s="19"/>
      <c r="G153" s="20">
        <f t="shared" si="2"/>
        <v>4.8</v>
      </c>
      <c r="H153" s="45">
        <v>29403.0</v>
      </c>
      <c r="I153" s="20">
        <f t="shared" si="3"/>
        <v>44.88888889</v>
      </c>
      <c r="J153" s="46"/>
      <c r="K153" s="46"/>
      <c r="L153" s="23"/>
      <c r="M153" s="43"/>
      <c r="N153" s="50" t="s">
        <v>153</v>
      </c>
      <c r="O153" s="50"/>
      <c r="P153" s="57"/>
      <c r="Q153" s="50"/>
      <c r="R153" s="17" t="str">
        <f t="shared" si="4"/>
        <v>TBD</v>
      </c>
      <c r="S153" s="18"/>
      <c r="T153" s="20">
        <f t="shared" si="5"/>
        <v>4.8</v>
      </c>
    </row>
    <row r="154">
      <c r="A154" s="27" t="s">
        <v>236</v>
      </c>
      <c r="B154" s="28" t="s">
        <v>27</v>
      </c>
      <c r="C154" s="28" t="s">
        <v>28</v>
      </c>
      <c r="D154" s="29" t="str">
        <f t="shared" si="1"/>
        <v>Active</v>
      </c>
      <c r="E154" s="47">
        <v>45798.0</v>
      </c>
      <c r="F154" s="37"/>
      <c r="G154" s="32">
        <f t="shared" si="2"/>
        <v>4.8</v>
      </c>
      <c r="H154" s="47">
        <v>29556.0</v>
      </c>
      <c r="I154" s="32">
        <f t="shared" si="3"/>
        <v>44.47222222</v>
      </c>
      <c r="J154" s="48"/>
      <c r="K154" s="48"/>
      <c r="L154" s="35"/>
      <c r="M154" s="44"/>
      <c r="N154" s="49" t="s">
        <v>153</v>
      </c>
      <c r="O154" s="49"/>
      <c r="P154" s="51"/>
      <c r="Q154" s="49"/>
      <c r="R154" s="29" t="str">
        <f t="shared" si="4"/>
        <v>TBD</v>
      </c>
      <c r="S154" s="33"/>
      <c r="T154" s="32">
        <f t="shared" si="5"/>
        <v>4.8</v>
      </c>
    </row>
    <row r="155">
      <c r="A155" s="15" t="s">
        <v>237</v>
      </c>
      <c r="B155" s="16" t="s">
        <v>27</v>
      </c>
      <c r="C155" s="16" t="s">
        <v>28</v>
      </c>
      <c r="D155" s="17" t="str">
        <f t="shared" si="1"/>
        <v>Active</v>
      </c>
      <c r="E155" s="45">
        <v>45798.0</v>
      </c>
      <c r="F155" s="19"/>
      <c r="G155" s="20">
        <f t="shared" si="2"/>
        <v>4.8</v>
      </c>
      <c r="H155" s="61">
        <v>34700.0</v>
      </c>
      <c r="I155" s="20">
        <f t="shared" si="3"/>
        <v>30.38888889</v>
      </c>
      <c r="J155" s="46"/>
      <c r="K155" s="46">
        <v>7.0</v>
      </c>
      <c r="L155" s="23"/>
      <c r="M155" s="43"/>
      <c r="N155" s="50" t="s">
        <v>238</v>
      </c>
      <c r="O155" s="50"/>
      <c r="P155" s="57"/>
      <c r="Q155" s="50"/>
      <c r="R155" s="17" t="str">
        <f t="shared" si="4"/>
        <v>TBD</v>
      </c>
      <c r="S155" s="18"/>
      <c r="T155" s="20">
        <f t="shared" si="5"/>
        <v>4.8</v>
      </c>
    </row>
    <row r="156">
      <c r="A156" s="27" t="s">
        <v>239</v>
      </c>
      <c r="B156" s="28" t="s">
        <v>27</v>
      </c>
      <c r="C156" s="28" t="s">
        <v>28</v>
      </c>
      <c r="D156" s="29" t="str">
        <f t="shared" si="1"/>
        <v>Active</v>
      </c>
      <c r="E156" s="47">
        <v>45798.0</v>
      </c>
      <c r="F156" s="37"/>
      <c r="G156" s="32">
        <f t="shared" si="2"/>
        <v>4.8</v>
      </c>
      <c r="H156" s="47">
        <v>29403.0</v>
      </c>
      <c r="I156" s="32">
        <f t="shared" si="3"/>
        <v>44.88888889</v>
      </c>
      <c r="J156" s="48"/>
      <c r="K156" s="48"/>
      <c r="L156" s="35"/>
      <c r="M156" s="44"/>
      <c r="N156" s="49" t="s">
        <v>153</v>
      </c>
      <c r="O156" s="49"/>
      <c r="P156" s="51"/>
      <c r="Q156" s="49"/>
      <c r="R156" s="29" t="str">
        <f t="shared" si="4"/>
        <v>TBD</v>
      </c>
      <c r="S156" s="33"/>
      <c r="T156" s="32">
        <f t="shared" si="5"/>
        <v>4.8</v>
      </c>
    </row>
    <row r="157">
      <c r="A157" s="15" t="s">
        <v>240</v>
      </c>
      <c r="B157" s="16" t="s">
        <v>27</v>
      </c>
      <c r="C157" s="16" t="s">
        <v>28</v>
      </c>
      <c r="D157" s="17" t="str">
        <f t="shared" si="1"/>
        <v>Active</v>
      </c>
      <c r="E157" s="45">
        <v>45798.0</v>
      </c>
      <c r="F157" s="19"/>
      <c r="G157" s="20">
        <f t="shared" si="2"/>
        <v>4.8</v>
      </c>
      <c r="H157" s="45">
        <v>30072.0</v>
      </c>
      <c r="I157" s="20">
        <f t="shared" si="3"/>
        <v>43.05555556</v>
      </c>
      <c r="J157" s="46"/>
      <c r="K157" s="46"/>
      <c r="L157" s="23"/>
      <c r="M157" s="43"/>
      <c r="N157" s="50" t="s">
        <v>153</v>
      </c>
      <c r="O157" s="50"/>
      <c r="P157" s="57"/>
      <c r="Q157" s="50"/>
      <c r="R157" s="17" t="str">
        <f t="shared" si="4"/>
        <v>TBD</v>
      </c>
      <c r="S157" s="18"/>
      <c r="T157" s="20">
        <f t="shared" si="5"/>
        <v>4.8</v>
      </c>
    </row>
    <row r="158">
      <c r="A158" s="27" t="s">
        <v>241</v>
      </c>
      <c r="B158" s="28" t="s">
        <v>27</v>
      </c>
      <c r="C158" s="28" t="s">
        <v>28</v>
      </c>
      <c r="D158" s="29" t="str">
        <f t="shared" si="1"/>
        <v>Active</v>
      </c>
      <c r="E158" s="47">
        <v>45798.0</v>
      </c>
      <c r="F158" s="37"/>
      <c r="G158" s="32">
        <f t="shared" si="2"/>
        <v>4.8</v>
      </c>
      <c r="H158" s="47">
        <v>30393.0</v>
      </c>
      <c r="I158" s="32">
        <f t="shared" si="3"/>
        <v>42.175</v>
      </c>
      <c r="J158" s="48"/>
      <c r="K158" s="48"/>
      <c r="L158" s="35"/>
      <c r="M158" s="44"/>
      <c r="N158" s="49" t="s">
        <v>153</v>
      </c>
      <c r="O158" s="49"/>
      <c r="P158" s="51"/>
      <c r="Q158" s="49"/>
      <c r="R158" s="29" t="str">
        <f t="shared" si="4"/>
        <v>TBD</v>
      </c>
      <c r="S158" s="33"/>
      <c r="T158" s="32">
        <f t="shared" si="5"/>
        <v>4.8</v>
      </c>
    </row>
    <row r="159">
      <c r="A159" s="15" t="s">
        <v>242</v>
      </c>
      <c r="B159" s="16" t="s">
        <v>27</v>
      </c>
      <c r="C159" s="16" t="s">
        <v>28</v>
      </c>
      <c r="D159" s="17" t="str">
        <f t="shared" si="1"/>
        <v>Active</v>
      </c>
      <c r="E159" s="45">
        <v>45798.0</v>
      </c>
      <c r="F159" s="19"/>
      <c r="G159" s="20">
        <f t="shared" si="2"/>
        <v>4.8</v>
      </c>
      <c r="H159" s="61">
        <v>33239.0</v>
      </c>
      <c r="I159" s="20">
        <f t="shared" si="3"/>
        <v>34.38888889</v>
      </c>
      <c r="J159" s="46"/>
      <c r="K159" s="46">
        <v>6.0</v>
      </c>
      <c r="L159" s="23"/>
      <c r="M159" s="43"/>
      <c r="N159" s="50" t="s">
        <v>238</v>
      </c>
      <c r="O159" s="50"/>
      <c r="P159" s="57"/>
      <c r="Q159" s="50"/>
      <c r="R159" s="17" t="str">
        <f t="shared" si="4"/>
        <v>TBD</v>
      </c>
      <c r="S159" s="18"/>
      <c r="T159" s="20">
        <f t="shared" si="5"/>
        <v>4.8</v>
      </c>
    </row>
    <row r="160">
      <c r="A160" s="27" t="s">
        <v>243</v>
      </c>
      <c r="B160" s="28" t="s">
        <v>27</v>
      </c>
      <c r="C160" s="28" t="s">
        <v>28</v>
      </c>
      <c r="D160" s="29" t="str">
        <f t="shared" si="1"/>
        <v>Active</v>
      </c>
      <c r="E160" s="47">
        <v>45798.0</v>
      </c>
      <c r="F160" s="37"/>
      <c r="G160" s="32">
        <f t="shared" si="2"/>
        <v>4.8</v>
      </c>
      <c r="H160" s="47">
        <v>30164.0</v>
      </c>
      <c r="I160" s="32">
        <f t="shared" si="3"/>
        <v>42.80555556</v>
      </c>
      <c r="J160" s="48"/>
      <c r="K160" s="48"/>
      <c r="L160" s="35"/>
      <c r="M160" s="44"/>
      <c r="N160" s="49" t="s">
        <v>153</v>
      </c>
      <c r="O160" s="49"/>
      <c r="P160" s="51"/>
      <c r="Q160" s="49"/>
      <c r="R160" s="29" t="str">
        <f t="shared" si="4"/>
        <v>TBD</v>
      </c>
      <c r="S160" s="33"/>
      <c r="T160" s="32">
        <f t="shared" si="5"/>
        <v>4.8</v>
      </c>
    </row>
    <row r="161">
      <c r="A161" s="15" t="s">
        <v>244</v>
      </c>
      <c r="B161" s="16" t="s">
        <v>27</v>
      </c>
      <c r="C161" s="16" t="s">
        <v>28</v>
      </c>
      <c r="D161" s="17" t="str">
        <f t="shared" si="1"/>
        <v>Active</v>
      </c>
      <c r="E161" s="45">
        <v>45798.0</v>
      </c>
      <c r="F161" s="19"/>
      <c r="G161" s="20">
        <f t="shared" si="2"/>
        <v>4.8</v>
      </c>
      <c r="H161" s="45">
        <v>30452.0</v>
      </c>
      <c r="I161" s="20">
        <f t="shared" si="3"/>
        <v>42.01388889</v>
      </c>
      <c r="J161" s="46"/>
      <c r="K161" s="46"/>
      <c r="L161" s="23"/>
      <c r="M161" s="43"/>
      <c r="N161" s="50" t="s">
        <v>153</v>
      </c>
      <c r="O161" s="50"/>
      <c r="P161" s="57"/>
      <c r="Q161" s="50"/>
      <c r="R161" s="17" t="str">
        <f t="shared" si="4"/>
        <v>TBD</v>
      </c>
      <c r="S161" s="18"/>
      <c r="T161" s="20">
        <f t="shared" si="5"/>
        <v>4.8</v>
      </c>
    </row>
    <row r="162">
      <c r="A162" s="27" t="s">
        <v>245</v>
      </c>
      <c r="B162" s="28" t="s">
        <v>27</v>
      </c>
      <c r="C162" s="28" t="s">
        <v>28</v>
      </c>
      <c r="D162" s="29" t="str">
        <f t="shared" si="1"/>
        <v>Active</v>
      </c>
      <c r="E162" s="47">
        <v>45798.0</v>
      </c>
      <c r="F162" s="37"/>
      <c r="G162" s="32">
        <f t="shared" si="2"/>
        <v>4.8</v>
      </c>
      <c r="H162" s="47">
        <v>30393.0</v>
      </c>
      <c r="I162" s="32">
        <f t="shared" si="3"/>
        <v>42.175</v>
      </c>
      <c r="J162" s="48"/>
      <c r="K162" s="48"/>
      <c r="L162" s="35"/>
      <c r="M162" s="44"/>
      <c r="N162" s="49" t="s">
        <v>153</v>
      </c>
      <c r="O162" s="49"/>
      <c r="P162" s="51"/>
      <c r="Q162" s="49"/>
      <c r="R162" s="29" t="str">
        <f t="shared" si="4"/>
        <v>TBD</v>
      </c>
      <c r="S162" s="33"/>
      <c r="T162" s="32">
        <f t="shared" si="5"/>
        <v>4.8</v>
      </c>
    </row>
    <row r="163">
      <c r="A163" s="15" t="s">
        <v>246</v>
      </c>
      <c r="B163" s="16" t="s">
        <v>27</v>
      </c>
      <c r="C163" s="16" t="s">
        <v>28</v>
      </c>
      <c r="D163" s="17" t="str">
        <f t="shared" si="1"/>
        <v>Active</v>
      </c>
      <c r="E163" s="45">
        <v>45798.0</v>
      </c>
      <c r="F163" s="19"/>
      <c r="G163" s="20">
        <f t="shared" si="2"/>
        <v>4.8</v>
      </c>
      <c r="H163" s="45">
        <v>32255.0</v>
      </c>
      <c r="I163" s="20">
        <f t="shared" si="3"/>
        <v>37.08055556</v>
      </c>
      <c r="J163" s="46"/>
      <c r="K163" s="46"/>
      <c r="L163" s="23"/>
      <c r="M163" s="43"/>
      <c r="N163" s="50" t="s">
        <v>153</v>
      </c>
      <c r="O163" s="50"/>
      <c r="P163" s="57"/>
      <c r="Q163" s="50"/>
      <c r="R163" s="17" t="str">
        <f t="shared" si="4"/>
        <v>TBD</v>
      </c>
      <c r="S163" s="18"/>
      <c r="T163" s="20">
        <f t="shared" si="5"/>
        <v>4.8</v>
      </c>
    </row>
    <row r="164">
      <c r="A164" s="27" t="s">
        <v>247</v>
      </c>
      <c r="B164" s="28" t="s">
        <v>27</v>
      </c>
      <c r="C164" s="28" t="s">
        <v>28</v>
      </c>
      <c r="D164" s="29" t="str">
        <f t="shared" si="1"/>
        <v>Active</v>
      </c>
      <c r="E164" s="47">
        <v>45798.0</v>
      </c>
      <c r="F164" s="37"/>
      <c r="G164" s="32">
        <f t="shared" si="2"/>
        <v>4.8</v>
      </c>
      <c r="H164" s="47">
        <v>30677.0</v>
      </c>
      <c r="I164" s="32">
        <f t="shared" si="3"/>
        <v>41.4</v>
      </c>
      <c r="J164" s="48"/>
      <c r="K164" s="48"/>
      <c r="L164" s="35"/>
      <c r="M164" s="44"/>
      <c r="N164" s="49" t="s">
        <v>153</v>
      </c>
      <c r="O164" s="49"/>
      <c r="P164" s="51"/>
      <c r="Q164" s="49"/>
      <c r="R164" s="29" t="str">
        <f t="shared" si="4"/>
        <v>TBD</v>
      </c>
      <c r="S164" s="33"/>
      <c r="T164" s="32">
        <f t="shared" si="5"/>
        <v>4.8</v>
      </c>
    </row>
    <row r="165">
      <c r="A165" s="15" t="s">
        <v>248</v>
      </c>
      <c r="B165" s="16" t="s">
        <v>27</v>
      </c>
      <c r="C165" s="16" t="s">
        <v>28</v>
      </c>
      <c r="D165" s="17" t="str">
        <f t="shared" si="1"/>
        <v>Active</v>
      </c>
      <c r="E165" s="45">
        <v>45798.0</v>
      </c>
      <c r="F165" s="19"/>
      <c r="G165" s="20">
        <f t="shared" si="2"/>
        <v>4.8</v>
      </c>
      <c r="H165" s="45">
        <v>29403.0</v>
      </c>
      <c r="I165" s="20">
        <f t="shared" si="3"/>
        <v>44.88888889</v>
      </c>
      <c r="J165" s="46"/>
      <c r="K165" s="46"/>
      <c r="L165" s="23"/>
      <c r="M165" s="43"/>
      <c r="N165" s="50" t="s">
        <v>153</v>
      </c>
      <c r="O165" s="50"/>
      <c r="P165" s="57"/>
      <c r="Q165" s="50"/>
      <c r="R165" s="17" t="str">
        <f t="shared" si="4"/>
        <v>TBD</v>
      </c>
      <c r="S165" s="18"/>
      <c r="T165" s="20">
        <f t="shared" si="5"/>
        <v>4.8</v>
      </c>
    </row>
    <row r="166">
      <c r="A166" s="27" t="s">
        <v>249</v>
      </c>
      <c r="B166" s="28" t="s">
        <v>27</v>
      </c>
      <c r="C166" s="28" t="s">
        <v>28</v>
      </c>
      <c r="D166" s="29" t="str">
        <f t="shared" si="1"/>
        <v>Active</v>
      </c>
      <c r="E166" s="47">
        <v>45798.0</v>
      </c>
      <c r="F166" s="37"/>
      <c r="G166" s="32">
        <f t="shared" si="2"/>
        <v>4.8</v>
      </c>
      <c r="H166" s="47">
        <v>30348.0</v>
      </c>
      <c r="I166" s="32">
        <f t="shared" si="3"/>
        <v>42.30555556</v>
      </c>
      <c r="J166" s="48"/>
      <c r="K166" s="48"/>
      <c r="L166" s="35"/>
      <c r="M166" s="44"/>
      <c r="N166" s="49" t="s">
        <v>153</v>
      </c>
      <c r="O166" s="49"/>
      <c r="P166" s="51"/>
      <c r="Q166" s="49"/>
      <c r="R166" s="29" t="str">
        <f t="shared" si="4"/>
        <v>TBD</v>
      </c>
      <c r="S166" s="33"/>
      <c r="T166" s="32">
        <f t="shared" si="5"/>
        <v>4.8</v>
      </c>
    </row>
    <row r="167">
      <c r="A167" s="15" t="s">
        <v>250</v>
      </c>
      <c r="B167" s="16" t="s">
        <v>27</v>
      </c>
      <c r="C167" s="16" t="s">
        <v>28</v>
      </c>
      <c r="D167" s="17" t="str">
        <f t="shared" si="1"/>
        <v>Active</v>
      </c>
      <c r="E167" s="45">
        <v>45798.0</v>
      </c>
      <c r="F167" s="19"/>
      <c r="G167" s="20">
        <f t="shared" si="2"/>
        <v>4.8</v>
      </c>
      <c r="H167" s="45">
        <v>30529.0</v>
      </c>
      <c r="I167" s="20">
        <f t="shared" si="3"/>
        <v>41.80555556</v>
      </c>
      <c r="J167" s="46"/>
      <c r="K167" s="46"/>
      <c r="L167" s="23"/>
      <c r="M167" s="43"/>
      <c r="N167" s="50" t="s">
        <v>153</v>
      </c>
      <c r="O167" s="50"/>
      <c r="P167" s="57"/>
      <c r="Q167" s="50"/>
      <c r="R167" s="17" t="str">
        <f t="shared" si="4"/>
        <v>TBD</v>
      </c>
      <c r="S167" s="18"/>
      <c r="T167" s="20">
        <f t="shared" si="5"/>
        <v>4.8</v>
      </c>
    </row>
    <row r="168">
      <c r="A168" s="27" t="s">
        <v>251</v>
      </c>
      <c r="B168" s="28" t="s">
        <v>27</v>
      </c>
      <c r="C168" s="28" t="s">
        <v>28</v>
      </c>
      <c r="D168" s="29" t="str">
        <f t="shared" si="1"/>
        <v>Active</v>
      </c>
      <c r="E168" s="47">
        <v>45798.0</v>
      </c>
      <c r="F168" s="37"/>
      <c r="G168" s="32">
        <f t="shared" si="2"/>
        <v>4.8</v>
      </c>
      <c r="H168" s="47">
        <v>30195.0</v>
      </c>
      <c r="I168" s="32">
        <f t="shared" si="3"/>
        <v>42.72222222</v>
      </c>
      <c r="J168" s="48"/>
      <c r="K168" s="48"/>
      <c r="L168" s="35"/>
      <c r="M168" s="44"/>
      <c r="N168" s="49" t="s">
        <v>153</v>
      </c>
      <c r="O168" s="49"/>
      <c r="P168" s="51"/>
      <c r="Q168" s="49"/>
      <c r="R168" s="29" t="str">
        <f t="shared" si="4"/>
        <v>TBD</v>
      </c>
      <c r="S168" s="33"/>
      <c r="T168" s="32">
        <f t="shared" si="5"/>
        <v>4.8</v>
      </c>
    </row>
    <row r="169">
      <c r="A169" s="15" t="s">
        <v>252</v>
      </c>
      <c r="B169" s="16" t="s">
        <v>27</v>
      </c>
      <c r="C169" s="16" t="s">
        <v>28</v>
      </c>
      <c r="D169" s="17" t="str">
        <f t="shared" si="1"/>
        <v>Active</v>
      </c>
      <c r="E169" s="45">
        <v>45798.0</v>
      </c>
      <c r="F169" s="19"/>
      <c r="G169" s="20">
        <f t="shared" si="2"/>
        <v>4.8</v>
      </c>
      <c r="H169" s="45">
        <v>29403.0</v>
      </c>
      <c r="I169" s="20">
        <f t="shared" si="3"/>
        <v>44.88888889</v>
      </c>
      <c r="J169" s="46"/>
      <c r="K169" s="46"/>
      <c r="L169" s="23"/>
      <c r="M169" s="43"/>
      <c r="N169" s="50" t="s">
        <v>153</v>
      </c>
      <c r="O169" s="50"/>
      <c r="P169" s="57"/>
      <c r="Q169" s="50"/>
      <c r="R169" s="17" t="str">
        <f t="shared" si="4"/>
        <v>TBD</v>
      </c>
      <c r="S169" s="18"/>
      <c r="T169" s="20">
        <f t="shared" si="5"/>
        <v>4.8</v>
      </c>
    </row>
    <row r="170">
      <c r="A170" s="27" t="s">
        <v>253</v>
      </c>
      <c r="B170" s="28" t="s">
        <v>27</v>
      </c>
      <c r="C170" s="28" t="s">
        <v>28</v>
      </c>
      <c r="D170" s="29" t="str">
        <f t="shared" si="1"/>
        <v>Active</v>
      </c>
      <c r="E170" s="47">
        <v>45798.0</v>
      </c>
      <c r="F170" s="37"/>
      <c r="G170" s="32">
        <f t="shared" si="2"/>
        <v>4.8</v>
      </c>
      <c r="H170" s="61">
        <v>33970.0</v>
      </c>
      <c r="I170" s="32">
        <f t="shared" si="3"/>
        <v>32.38888889</v>
      </c>
      <c r="J170" s="48"/>
      <c r="K170" s="48"/>
      <c r="L170" s="35"/>
      <c r="M170" s="44"/>
      <c r="N170" s="49" t="s">
        <v>238</v>
      </c>
      <c r="O170" s="49"/>
      <c r="P170" s="51"/>
      <c r="Q170" s="49"/>
      <c r="R170" s="29" t="str">
        <f t="shared" si="4"/>
        <v>TBD</v>
      </c>
      <c r="S170" s="33"/>
      <c r="T170" s="32">
        <f t="shared" si="5"/>
        <v>4.8</v>
      </c>
    </row>
    <row r="171">
      <c r="A171" s="15" t="s">
        <v>254</v>
      </c>
      <c r="B171" s="16" t="s">
        <v>27</v>
      </c>
      <c r="C171" s="16" t="s">
        <v>28</v>
      </c>
      <c r="D171" s="17" t="str">
        <f t="shared" si="1"/>
        <v>Active</v>
      </c>
      <c r="E171" s="45">
        <v>45798.0</v>
      </c>
      <c r="F171" s="19"/>
      <c r="G171" s="20">
        <f t="shared" si="2"/>
        <v>4.8</v>
      </c>
      <c r="H171" s="45">
        <v>29768.0</v>
      </c>
      <c r="I171" s="20">
        <f t="shared" si="3"/>
        <v>43.88888889</v>
      </c>
      <c r="J171" s="46"/>
      <c r="K171" s="46"/>
      <c r="L171" s="23"/>
      <c r="M171" s="43"/>
      <c r="N171" s="50" t="s">
        <v>153</v>
      </c>
      <c r="O171" s="50"/>
      <c r="P171" s="57"/>
      <c r="Q171" s="50"/>
      <c r="R171" s="17" t="str">
        <f t="shared" si="4"/>
        <v>TBD</v>
      </c>
      <c r="S171" s="18"/>
      <c r="T171" s="20">
        <f t="shared" si="5"/>
        <v>4.8</v>
      </c>
    </row>
    <row r="172">
      <c r="A172" s="27" t="s">
        <v>255</v>
      </c>
      <c r="B172" s="28" t="s">
        <v>27</v>
      </c>
      <c r="C172" s="28" t="s">
        <v>28</v>
      </c>
      <c r="D172" s="29" t="str">
        <f t="shared" si="1"/>
        <v>Active</v>
      </c>
      <c r="E172" s="47">
        <v>45798.0</v>
      </c>
      <c r="F172" s="37"/>
      <c r="G172" s="32">
        <f t="shared" si="2"/>
        <v>4.8</v>
      </c>
      <c r="H172" s="47">
        <v>30542.0</v>
      </c>
      <c r="I172" s="32">
        <f t="shared" si="3"/>
        <v>41.76944444</v>
      </c>
      <c r="J172" s="48"/>
      <c r="K172" s="48"/>
      <c r="L172" s="35"/>
      <c r="M172" s="44"/>
      <c r="N172" s="49" t="s">
        <v>153</v>
      </c>
      <c r="O172" s="49"/>
      <c r="P172" s="51"/>
      <c r="Q172" s="49"/>
      <c r="R172" s="29" t="str">
        <f t="shared" si="4"/>
        <v>TBD</v>
      </c>
      <c r="S172" s="33"/>
      <c r="T172" s="32">
        <f t="shared" si="5"/>
        <v>4.8</v>
      </c>
    </row>
    <row r="173">
      <c r="A173" s="15" t="s">
        <v>256</v>
      </c>
      <c r="B173" s="16" t="s">
        <v>27</v>
      </c>
      <c r="C173" s="16" t="s">
        <v>28</v>
      </c>
      <c r="D173" s="17" t="str">
        <f t="shared" si="1"/>
        <v>Active</v>
      </c>
      <c r="E173" s="45">
        <v>45798.0</v>
      </c>
      <c r="F173" s="19"/>
      <c r="G173" s="20">
        <f t="shared" si="2"/>
        <v>4.8</v>
      </c>
      <c r="H173" s="45">
        <v>30011.0</v>
      </c>
      <c r="I173" s="20">
        <f t="shared" si="3"/>
        <v>43.22222222</v>
      </c>
      <c r="J173" s="46"/>
      <c r="K173" s="46"/>
      <c r="L173" s="23"/>
      <c r="M173" s="43"/>
      <c r="N173" s="50" t="s">
        <v>153</v>
      </c>
      <c r="O173" s="50"/>
      <c r="P173" s="57"/>
      <c r="Q173" s="50"/>
      <c r="R173" s="17" t="str">
        <f t="shared" si="4"/>
        <v>TBD</v>
      </c>
      <c r="S173" s="18"/>
      <c r="T173" s="20">
        <f t="shared" si="5"/>
        <v>4.8</v>
      </c>
    </row>
    <row r="174">
      <c r="A174" s="27" t="s">
        <v>257</v>
      </c>
      <c r="B174" s="28" t="s">
        <v>27</v>
      </c>
      <c r="C174" s="28" t="s">
        <v>28</v>
      </c>
      <c r="D174" s="29" t="str">
        <f t="shared" si="1"/>
        <v>Active</v>
      </c>
      <c r="E174" s="47">
        <v>45798.0</v>
      </c>
      <c r="F174" s="37"/>
      <c r="G174" s="32">
        <f t="shared" si="2"/>
        <v>4.8</v>
      </c>
      <c r="H174" s="47">
        <v>30764.0</v>
      </c>
      <c r="I174" s="32">
        <f t="shared" si="3"/>
        <v>41.16111111</v>
      </c>
      <c r="J174" s="48"/>
      <c r="K174" s="48"/>
      <c r="L174" s="35"/>
      <c r="M174" s="44"/>
      <c r="N174" s="49" t="s">
        <v>153</v>
      </c>
      <c r="O174" s="49"/>
      <c r="P174" s="51"/>
      <c r="Q174" s="49"/>
      <c r="R174" s="29" t="str">
        <f t="shared" si="4"/>
        <v>TBD</v>
      </c>
      <c r="S174" s="33"/>
      <c r="T174" s="32">
        <f t="shared" si="5"/>
        <v>4.8</v>
      </c>
    </row>
    <row r="175">
      <c r="A175" s="15" t="s">
        <v>258</v>
      </c>
      <c r="B175" s="16" t="s">
        <v>27</v>
      </c>
      <c r="C175" s="16" t="s">
        <v>28</v>
      </c>
      <c r="D175" s="17" t="str">
        <f t="shared" si="1"/>
        <v>Active</v>
      </c>
      <c r="E175" s="45">
        <v>45798.0</v>
      </c>
      <c r="F175" s="19"/>
      <c r="G175" s="20">
        <f t="shared" si="2"/>
        <v>4.8</v>
      </c>
      <c r="H175" s="61">
        <v>30682.0</v>
      </c>
      <c r="I175" s="20">
        <f t="shared" si="3"/>
        <v>41.38888889</v>
      </c>
      <c r="J175" s="46"/>
      <c r="K175" s="46"/>
      <c r="L175" s="23"/>
      <c r="M175" s="43"/>
      <c r="N175" s="50" t="s">
        <v>153</v>
      </c>
      <c r="O175" s="50"/>
      <c r="P175" s="57"/>
      <c r="Q175" s="50"/>
      <c r="R175" s="17" t="str">
        <f t="shared" si="4"/>
        <v>TBD</v>
      </c>
      <c r="S175" s="18"/>
      <c r="T175" s="20">
        <f t="shared" si="5"/>
        <v>4.8</v>
      </c>
    </row>
    <row r="176">
      <c r="A176" s="27" t="s">
        <v>259</v>
      </c>
      <c r="B176" s="28" t="s">
        <v>27</v>
      </c>
      <c r="C176" s="28" t="s">
        <v>28</v>
      </c>
      <c r="D176" s="29" t="str">
        <f t="shared" si="1"/>
        <v>Active</v>
      </c>
      <c r="E176" s="47">
        <v>45798.0</v>
      </c>
      <c r="F176" s="37"/>
      <c r="G176" s="32">
        <f t="shared" si="2"/>
        <v>4.8</v>
      </c>
      <c r="H176" s="47">
        <v>29646.0</v>
      </c>
      <c r="I176" s="32">
        <f t="shared" si="3"/>
        <v>44.22222222</v>
      </c>
      <c r="J176" s="48"/>
      <c r="K176" s="48"/>
      <c r="L176" s="35"/>
      <c r="M176" s="44"/>
      <c r="N176" s="49" t="s">
        <v>153</v>
      </c>
      <c r="O176" s="49"/>
      <c r="P176" s="51"/>
      <c r="Q176" s="49"/>
      <c r="R176" s="29" t="str">
        <f t="shared" si="4"/>
        <v>TBD</v>
      </c>
      <c r="S176" s="33"/>
      <c r="T176" s="32">
        <f t="shared" si="5"/>
        <v>4.8</v>
      </c>
    </row>
    <row r="177">
      <c r="A177" s="15" t="s">
        <v>260</v>
      </c>
      <c r="B177" s="16" t="s">
        <v>27</v>
      </c>
      <c r="C177" s="16" t="s">
        <v>28</v>
      </c>
      <c r="D177" s="17" t="str">
        <f t="shared" si="1"/>
        <v>Active</v>
      </c>
      <c r="E177" s="45">
        <v>45798.0</v>
      </c>
      <c r="F177" s="19"/>
      <c r="G177" s="20">
        <f t="shared" si="2"/>
        <v>4.8</v>
      </c>
      <c r="H177" s="45">
        <v>32843.0</v>
      </c>
      <c r="I177" s="20">
        <f t="shared" si="3"/>
        <v>35.47222222</v>
      </c>
      <c r="J177" s="46"/>
      <c r="K177" s="46"/>
      <c r="L177" s="23"/>
      <c r="M177" s="43"/>
      <c r="N177" s="50" t="s">
        <v>261</v>
      </c>
      <c r="O177" s="50"/>
      <c r="P177" s="57"/>
      <c r="Q177" s="50"/>
      <c r="R177" s="17" t="str">
        <f t="shared" si="4"/>
        <v>TBD</v>
      </c>
      <c r="S177" s="18"/>
      <c r="T177" s="20">
        <f t="shared" si="5"/>
        <v>4.8</v>
      </c>
    </row>
    <row r="178">
      <c r="A178" s="27" t="s">
        <v>262</v>
      </c>
      <c r="B178" s="28" t="s">
        <v>27</v>
      </c>
      <c r="C178" s="28" t="s">
        <v>28</v>
      </c>
      <c r="D178" s="29" t="str">
        <f t="shared" si="1"/>
        <v>Active</v>
      </c>
      <c r="E178" s="47">
        <v>45798.0</v>
      </c>
      <c r="F178" s="37"/>
      <c r="G178" s="32">
        <f t="shared" si="2"/>
        <v>4.8</v>
      </c>
      <c r="H178" s="47">
        <v>34904.0</v>
      </c>
      <c r="I178" s="32">
        <f t="shared" si="3"/>
        <v>29.825</v>
      </c>
      <c r="J178" s="48"/>
      <c r="K178" s="48"/>
      <c r="L178" s="35"/>
      <c r="M178" s="44"/>
      <c r="N178" s="49" t="s">
        <v>263</v>
      </c>
      <c r="O178" s="49"/>
      <c r="P178" s="51"/>
      <c r="Q178" s="49"/>
      <c r="R178" s="29" t="str">
        <f t="shared" si="4"/>
        <v>TBD</v>
      </c>
      <c r="S178" s="33"/>
      <c r="T178" s="32">
        <f t="shared" si="5"/>
        <v>4.8</v>
      </c>
    </row>
    <row r="179">
      <c r="A179" s="15" t="s">
        <v>264</v>
      </c>
      <c r="B179" s="16" t="s">
        <v>27</v>
      </c>
      <c r="C179" s="16" t="s">
        <v>28</v>
      </c>
      <c r="D179" s="17" t="str">
        <f t="shared" si="1"/>
        <v>Active</v>
      </c>
      <c r="E179" s="45">
        <v>45798.0</v>
      </c>
      <c r="F179" s="19"/>
      <c r="G179" s="20">
        <f t="shared" si="2"/>
        <v>4.8</v>
      </c>
      <c r="H179" s="45">
        <v>30050.0</v>
      </c>
      <c r="I179" s="20">
        <f t="shared" si="3"/>
        <v>43.11666667</v>
      </c>
      <c r="J179" s="46"/>
      <c r="K179" s="46"/>
      <c r="L179" s="23"/>
      <c r="M179" s="43"/>
      <c r="N179" s="50" t="s">
        <v>153</v>
      </c>
      <c r="O179" s="50"/>
      <c r="P179" s="57"/>
      <c r="Q179" s="50"/>
      <c r="R179" s="17" t="str">
        <f t="shared" si="4"/>
        <v>TBD</v>
      </c>
      <c r="S179" s="18"/>
      <c r="T179" s="20">
        <f t="shared" si="5"/>
        <v>4.8</v>
      </c>
    </row>
    <row r="180">
      <c r="A180" s="27" t="s">
        <v>265</v>
      </c>
      <c r="B180" s="28" t="s">
        <v>27</v>
      </c>
      <c r="C180" s="28" t="s">
        <v>28</v>
      </c>
      <c r="D180" s="29" t="str">
        <f t="shared" si="1"/>
        <v>Active</v>
      </c>
      <c r="E180" s="47">
        <v>45798.0</v>
      </c>
      <c r="F180" s="37"/>
      <c r="G180" s="32">
        <f t="shared" si="2"/>
        <v>4.8</v>
      </c>
      <c r="H180" s="47">
        <v>30575.0</v>
      </c>
      <c r="I180" s="32">
        <f t="shared" si="3"/>
        <v>41.68055556</v>
      </c>
      <c r="J180" s="48"/>
      <c r="K180" s="48"/>
      <c r="L180" s="35"/>
      <c r="M180" s="44"/>
      <c r="N180" s="49" t="s">
        <v>153</v>
      </c>
      <c r="O180" s="49"/>
      <c r="P180" s="51"/>
      <c r="Q180" s="49"/>
      <c r="R180" s="29" t="str">
        <f t="shared" si="4"/>
        <v>TBD</v>
      </c>
      <c r="S180" s="33"/>
      <c r="T180" s="32">
        <f t="shared" si="5"/>
        <v>4.8</v>
      </c>
    </row>
    <row r="181">
      <c r="A181" s="15" t="s">
        <v>266</v>
      </c>
      <c r="B181" s="16" t="s">
        <v>27</v>
      </c>
      <c r="C181" s="16" t="s">
        <v>28</v>
      </c>
      <c r="D181" s="17" t="str">
        <f t="shared" si="1"/>
        <v>Active</v>
      </c>
      <c r="E181" s="45">
        <v>45798.0</v>
      </c>
      <c r="F181" s="19"/>
      <c r="G181" s="20">
        <f t="shared" si="2"/>
        <v>4.8</v>
      </c>
      <c r="H181" s="45">
        <v>30061.0</v>
      </c>
      <c r="I181" s="20">
        <f t="shared" si="3"/>
        <v>43.08611111</v>
      </c>
      <c r="J181" s="46"/>
      <c r="K181" s="46"/>
      <c r="L181" s="23"/>
      <c r="M181" s="43"/>
      <c r="N181" s="50" t="s">
        <v>153</v>
      </c>
      <c r="O181" s="50"/>
      <c r="P181" s="57"/>
      <c r="Q181" s="50"/>
      <c r="R181" s="17" t="str">
        <f t="shared" si="4"/>
        <v>TBD</v>
      </c>
      <c r="S181" s="18"/>
      <c r="T181" s="20">
        <f t="shared" si="5"/>
        <v>4.8</v>
      </c>
    </row>
    <row r="182">
      <c r="A182" s="27" t="s">
        <v>267</v>
      </c>
      <c r="B182" s="28" t="s">
        <v>27</v>
      </c>
      <c r="C182" s="28" t="s">
        <v>28</v>
      </c>
      <c r="D182" s="29" t="str">
        <f t="shared" si="1"/>
        <v>Active</v>
      </c>
      <c r="E182" s="47">
        <v>45798.0</v>
      </c>
      <c r="F182" s="37"/>
      <c r="G182" s="32">
        <f t="shared" si="2"/>
        <v>4.8</v>
      </c>
      <c r="H182" s="61">
        <v>31778.0</v>
      </c>
      <c r="I182" s="32">
        <f t="shared" si="3"/>
        <v>38.38888889</v>
      </c>
      <c r="J182" s="48"/>
      <c r="K182" s="48"/>
      <c r="L182" s="35"/>
      <c r="M182" s="44"/>
      <c r="N182" s="49" t="s">
        <v>268</v>
      </c>
      <c r="O182" s="49"/>
      <c r="P182" s="51"/>
      <c r="Q182" s="49"/>
      <c r="R182" s="29" t="str">
        <f t="shared" si="4"/>
        <v>TBD</v>
      </c>
      <c r="S182" s="33"/>
      <c r="T182" s="32">
        <f t="shared" si="5"/>
        <v>4.8</v>
      </c>
    </row>
    <row r="183">
      <c r="A183" s="15" t="s">
        <v>269</v>
      </c>
      <c r="B183" s="16" t="s">
        <v>27</v>
      </c>
      <c r="C183" s="16" t="s">
        <v>28</v>
      </c>
      <c r="D183" s="17" t="str">
        <f t="shared" si="1"/>
        <v>Active</v>
      </c>
      <c r="E183" s="45">
        <v>45798.0</v>
      </c>
      <c r="F183" s="19"/>
      <c r="G183" s="20">
        <f t="shared" si="2"/>
        <v>4.8</v>
      </c>
      <c r="H183" s="45">
        <v>30369.0</v>
      </c>
      <c r="I183" s="20">
        <f t="shared" si="3"/>
        <v>42.24722222</v>
      </c>
      <c r="J183" s="46"/>
      <c r="K183" s="46"/>
      <c r="L183" s="23"/>
      <c r="M183" s="43"/>
      <c r="N183" s="50" t="s">
        <v>153</v>
      </c>
      <c r="O183" s="50"/>
      <c r="P183" s="57"/>
      <c r="Q183" s="50"/>
      <c r="R183" s="17" t="str">
        <f t="shared" si="4"/>
        <v>TBD</v>
      </c>
      <c r="S183" s="18"/>
      <c r="T183" s="20">
        <f t="shared" si="5"/>
        <v>4.8</v>
      </c>
    </row>
    <row r="184">
      <c r="A184" s="27" t="s">
        <v>270</v>
      </c>
      <c r="B184" s="28" t="s">
        <v>27</v>
      </c>
      <c r="C184" s="28" t="s">
        <v>28</v>
      </c>
      <c r="D184" s="29" t="str">
        <f t="shared" si="1"/>
        <v>Active</v>
      </c>
      <c r="E184" s="47">
        <v>45798.0</v>
      </c>
      <c r="F184" s="37"/>
      <c r="G184" s="32">
        <f t="shared" si="2"/>
        <v>4.8</v>
      </c>
      <c r="H184" s="47">
        <v>32782.0</v>
      </c>
      <c r="I184" s="32">
        <f t="shared" si="3"/>
        <v>35.63888889</v>
      </c>
      <c r="J184" s="48"/>
      <c r="K184" s="48"/>
      <c r="L184" s="35"/>
      <c r="M184" s="44"/>
      <c r="N184" s="49" t="s">
        <v>238</v>
      </c>
      <c r="O184" s="49"/>
      <c r="P184" s="51"/>
      <c r="Q184" s="49"/>
      <c r="R184" s="29" t="str">
        <f t="shared" si="4"/>
        <v>TBD</v>
      </c>
      <c r="S184" s="33"/>
      <c r="T184" s="32">
        <f t="shared" si="5"/>
        <v>4.8</v>
      </c>
    </row>
    <row r="185">
      <c r="A185" s="15" t="s">
        <v>271</v>
      </c>
      <c r="B185" s="16" t="s">
        <v>27</v>
      </c>
      <c r="C185" s="16" t="s">
        <v>28</v>
      </c>
      <c r="D185" s="17" t="str">
        <f t="shared" si="1"/>
        <v>Active</v>
      </c>
      <c r="E185" s="45">
        <v>45798.0</v>
      </c>
      <c r="F185" s="19"/>
      <c r="G185" s="20">
        <f t="shared" si="2"/>
        <v>4.8</v>
      </c>
      <c r="H185" s="61">
        <v>29952.0</v>
      </c>
      <c r="I185" s="20">
        <f t="shared" si="3"/>
        <v>43.38888889</v>
      </c>
      <c r="J185" s="46"/>
      <c r="K185" s="46"/>
      <c r="L185" s="23"/>
      <c r="M185" s="43"/>
      <c r="N185" s="50" t="s">
        <v>153</v>
      </c>
      <c r="O185" s="50"/>
      <c r="P185" s="57"/>
      <c r="Q185" s="50"/>
      <c r="R185" s="17" t="str">
        <f t="shared" si="4"/>
        <v>TBD</v>
      </c>
      <c r="S185" s="18"/>
      <c r="T185" s="20">
        <f t="shared" si="5"/>
        <v>4.8</v>
      </c>
    </row>
    <row r="186">
      <c r="A186" s="27" t="s">
        <v>272</v>
      </c>
      <c r="B186" s="28" t="s">
        <v>27</v>
      </c>
      <c r="C186" s="28" t="s">
        <v>28</v>
      </c>
      <c r="D186" s="29" t="str">
        <f t="shared" si="1"/>
        <v>Active</v>
      </c>
      <c r="E186" s="47">
        <v>45798.0</v>
      </c>
      <c r="F186" s="37"/>
      <c r="G186" s="32">
        <f t="shared" si="2"/>
        <v>4.8</v>
      </c>
      <c r="H186" s="47">
        <v>30164.0</v>
      </c>
      <c r="I186" s="32">
        <f t="shared" si="3"/>
        <v>42.80555556</v>
      </c>
      <c r="J186" s="48"/>
      <c r="K186" s="48"/>
      <c r="L186" s="35"/>
      <c r="M186" s="44"/>
      <c r="N186" s="49" t="s">
        <v>153</v>
      </c>
      <c r="O186" s="49"/>
      <c r="P186" s="51"/>
      <c r="Q186" s="49"/>
      <c r="R186" s="29" t="str">
        <f t="shared" si="4"/>
        <v>TBD</v>
      </c>
      <c r="S186" s="33"/>
      <c r="T186" s="32">
        <f t="shared" si="5"/>
        <v>4.8</v>
      </c>
    </row>
    <row r="187">
      <c r="A187" s="15" t="s">
        <v>273</v>
      </c>
      <c r="B187" s="16" t="s">
        <v>27</v>
      </c>
      <c r="C187" s="16" t="s">
        <v>28</v>
      </c>
      <c r="D187" s="17" t="str">
        <f t="shared" si="1"/>
        <v>Active</v>
      </c>
      <c r="E187" s="45">
        <v>45798.0</v>
      </c>
      <c r="F187" s="19"/>
      <c r="G187" s="20">
        <f t="shared" si="2"/>
        <v>4.8</v>
      </c>
      <c r="H187" s="45">
        <v>32352.0</v>
      </c>
      <c r="I187" s="20">
        <f t="shared" si="3"/>
        <v>36.81388889</v>
      </c>
      <c r="J187" s="46"/>
      <c r="K187" s="46"/>
      <c r="L187" s="23"/>
      <c r="M187" s="43"/>
      <c r="N187" s="50" t="s">
        <v>153</v>
      </c>
      <c r="O187" s="50"/>
      <c r="P187" s="57"/>
      <c r="Q187" s="50"/>
      <c r="R187" s="17" t="str">
        <f t="shared" si="4"/>
        <v>TBD</v>
      </c>
      <c r="S187" s="18"/>
      <c r="T187" s="20">
        <f t="shared" si="5"/>
        <v>4.8</v>
      </c>
    </row>
    <row r="188">
      <c r="A188" s="27" t="s">
        <v>274</v>
      </c>
      <c r="B188" s="28" t="s">
        <v>27</v>
      </c>
      <c r="C188" s="28" t="s">
        <v>28</v>
      </c>
      <c r="D188" s="29" t="str">
        <f t="shared" si="1"/>
        <v>Active</v>
      </c>
      <c r="E188" s="47">
        <v>45798.0</v>
      </c>
      <c r="F188" s="37"/>
      <c r="G188" s="32">
        <f t="shared" si="2"/>
        <v>4.8</v>
      </c>
      <c r="H188" s="47">
        <v>30399.0</v>
      </c>
      <c r="I188" s="32">
        <f t="shared" si="3"/>
        <v>42.15833333</v>
      </c>
      <c r="J188" s="48"/>
      <c r="K188" s="48"/>
      <c r="L188" s="35"/>
      <c r="M188" s="44"/>
      <c r="N188" s="49" t="s">
        <v>153</v>
      </c>
      <c r="O188" s="49"/>
      <c r="P188" s="51"/>
      <c r="Q188" s="49"/>
      <c r="R188" s="29" t="str">
        <f t="shared" si="4"/>
        <v>TBD</v>
      </c>
      <c r="S188" s="33"/>
      <c r="T188" s="32">
        <f t="shared" si="5"/>
        <v>4.8</v>
      </c>
    </row>
    <row r="189">
      <c r="A189" s="15" t="s">
        <v>275</v>
      </c>
      <c r="B189" s="16" t="s">
        <v>27</v>
      </c>
      <c r="C189" s="16" t="s">
        <v>28</v>
      </c>
      <c r="D189" s="17" t="str">
        <f t="shared" si="1"/>
        <v>Active</v>
      </c>
      <c r="E189" s="45">
        <v>45798.0</v>
      </c>
      <c r="F189" s="19"/>
      <c r="G189" s="20">
        <f t="shared" si="2"/>
        <v>4.8</v>
      </c>
      <c r="H189" s="45">
        <v>30256.0</v>
      </c>
      <c r="I189" s="20">
        <f t="shared" si="3"/>
        <v>42.55555556</v>
      </c>
      <c r="J189" s="46"/>
      <c r="K189" s="46"/>
      <c r="L189" s="23"/>
      <c r="M189" s="43"/>
      <c r="N189" s="50" t="s">
        <v>153</v>
      </c>
      <c r="O189" s="50"/>
      <c r="P189" s="57"/>
      <c r="Q189" s="50"/>
      <c r="R189" s="17" t="str">
        <f t="shared" si="4"/>
        <v>TBD</v>
      </c>
      <c r="S189" s="18"/>
      <c r="T189" s="20">
        <f t="shared" si="5"/>
        <v>4.8</v>
      </c>
    </row>
    <row r="190">
      <c r="A190" s="27" t="s">
        <v>276</v>
      </c>
      <c r="B190" s="28" t="s">
        <v>27</v>
      </c>
      <c r="C190" s="28" t="s">
        <v>28</v>
      </c>
      <c r="D190" s="29" t="str">
        <f t="shared" si="1"/>
        <v>Active</v>
      </c>
      <c r="E190" s="47">
        <v>45798.0</v>
      </c>
      <c r="F190" s="37"/>
      <c r="G190" s="32">
        <f t="shared" si="2"/>
        <v>4.8</v>
      </c>
      <c r="H190" s="61">
        <v>31778.0</v>
      </c>
      <c r="I190" s="32">
        <f t="shared" si="3"/>
        <v>38.38888889</v>
      </c>
      <c r="J190" s="48"/>
      <c r="K190" s="48"/>
      <c r="L190" s="35"/>
      <c r="M190" s="44"/>
      <c r="N190" s="49" t="s">
        <v>268</v>
      </c>
      <c r="O190" s="49"/>
      <c r="P190" s="51"/>
      <c r="Q190" s="49"/>
      <c r="R190" s="29" t="str">
        <f t="shared" si="4"/>
        <v>TBD</v>
      </c>
      <c r="S190" s="33"/>
      <c r="T190" s="32">
        <f t="shared" si="5"/>
        <v>4.8</v>
      </c>
    </row>
    <row r="191">
      <c r="A191" s="15" t="s">
        <v>277</v>
      </c>
      <c r="B191" s="16" t="s">
        <v>27</v>
      </c>
      <c r="C191" s="16" t="s">
        <v>28</v>
      </c>
      <c r="D191" s="17" t="str">
        <f t="shared" si="1"/>
        <v>Active</v>
      </c>
      <c r="E191" s="45">
        <v>45798.0</v>
      </c>
      <c r="F191" s="19"/>
      <c r="G191" s="20">
        <f t="shared" si="2"/>
        <v>4.8</v>
      </c>
      <c r="H191" s="61">
        <v>34700.0</v>
      </c>
      <c r="I191" s="20">
        <f t="shared" si="3"/>
        <v>30.38888889</v>
      </c>
      <c r="J191" s="46"/>
      <c r="K191" s="46"/>
      <c r="L191" s="23"/>
      <c r="M191" s="43"/>
      <c r="N191" s="50" t="s">
        <v>238</v>
      </c>
      <c r="O191" s="50"/>
      <c r="P191" s="57"/>
      <c r="Q191" s="50"/>
      <c r="R191" s="17" t="str">
        <f t="shared" si="4"/>
        <v>TBD</v>
      </c>
      <c r="S191" s="18"/>
      <c r="T191" s="20">
        <f t="shared" si="5"/>
        <v>4.8</v>
      </c>
    </row>
    <row r="192">
      <c r="A192" s="27" t="s">
        <v>278</v>
      </c>
      <c r="B192" s="28" t="s">
        <v>27</v>
      </c>
      <c r="C192" s="28" t="s">
        <v>28</v>
      </c>
      <c r="D192" s="29" t="str">
        <f t="shared" si="1"/>
        <v>Active</v>
      </c>
      <c r="E192" s="47">
        <v>45798.0</v>
      </c>
      <c r="F192" s="37"/>
      <c r="G192" s="32">
        <f t="shared" si="2"/>
        <v>4.8</v>
      </c>
      <c r="H192" s="47">
        <v>37714.0</v>
      </c>
      <c r="I192" s="32">
        <f t="shared" si="3"/>
        <v>22.13333333</v>
      </c>
      <c r="J192" s="48"/>
      <c r="K192" s="48"/>
      <c r="L192" s="35"/>
      <c r="M192" s="44"/>
      <c r="N192" s="49" t="s">
        <v>153</v>
      </c>
      <c r="O192" s="49"/>
      <c r="P192" s="51"/>
      <c r="Q192" s="49"/>
      <c r="R192" s="29" t="str">
        <f t="shared" si="4"/>
        <v>TBD</v>
      </c>
      <c r="S192" s="33"/>
      <c r="T192" s="32">
        <f t="shared" si="5"/>
        <v>4.8</v>
      </c>
    </row>
    <row r="193">
      <c r="A193" s="15" t="s">
        <v>279</v>
      </c>
      <c r="B193" s="16" t="s">
        <v>27</v>
      </c>
      <c r="C193" s="16" t="s">
        <v>28</v>
      </c>
      <c r="D193" s="17" t="str">
        <f t="shared" si="1"/>
        <v>Active</v>
      </c>
      <c r="E193" s="45">
        <v>45798.0</v>
      </c>
      <c r="F193" s="19"/>
      <c r="G193" s="20">
        <f t="shared" si="2"/>
        <v>4.8</v>
      </c>
      <c r="H193" s="45">
        <v>30317.0</v>
      </c>
      <c r="I193" s="20">
        <f t="shared" si="3"/>
        <v>42.38888889</v>
      </c>
      <c r="J193" s="46"/>
      <c r="K193" s="46"/>
      <c r="L193" s="23"/>
      <c r="M193" s="43"/>
      <c r="N193" s="50" t="s">
        <v>153</v>
      </c>
      <c r="O193" s="50"/>
      <c r="P193" s="57"/>
      <c r="Q193" s="50"/>
      <c r="R193" s="17" t="str">
        <f t="shared" si="4"/>
        <v>TBD</v>
      </c>
      <c r="S193" s="18"/>
      <c r="T193" s="20">
        <f t="shared" si="5"/>
        <v>4.8</v>
      </c>
    </row>
    <row r="194">
      <c r="A194" s="27" t="s">
        <v>280</v>
      </c>
      <c r="B194" s="28" t="s">
        <v>27</v>
      </c>
      <c r="C194" s="28" t="s">
        <v>28</v>
      </c>
      <c r="D194" s="29" t="str">
        <f t="shared" si="1"/>
        <v>Active</v>
      </c>
      <c r="E194" s="47">
        <v>45798.0</v>
      </c>
      <c r="F194" s="37"/>
      <c r="G194" s="32">
        <f t="shared" si="2"/>
        <v>4.8</v>
      </c>
      <c r="H194" s="47">
        <v>30042.0</v>
      </c>
      <c r="I194" s="32">
        <f t="shared" si="3"/>
        <v>43.13888889</v>
      </c>
      <c r="J194" s="48"/>
      <c r="K194" s="48"/>
      <c r="L194" s="35"/>
      <c r="M194" s="44"/>
      <c r="N194" s="49" t="s">
        <v>153</v>
      </c>
      <c r="O194" s="49"/>
      <c r="P194" s="51"/>
      <c r="Q194" s="49"/>
      <c r="R194" s="29" t="str">
        <f t="shared" si="4"/>
        <v>TBD</v>
      </c>
      <c r="S194" s="33"/>
      <c r="T194" s="32">
        <f t="shared" si="5"/>
        <v>4.8</v>
      </c>
    </row>
    <row r="195">
      <c r="A195" s="15" t="s">
        <v>281</v>
      </c>
      <c r="B195" s="16" t="s">
        <v>27</v>
      </c>
      <c r="C195" s="16" t="s">
        <v>28</v>
      </c>
      <c r="D195" s="17" t="str">
        <f t="shared" si="1"/>
        <v>Active</v>
      </c>
      <c r="E195" s="45">
        <v>45798.0</v>
      </c>
      <c r="F195" s="19"/>
      <c r="G195" s="20">
        <f t="shared" si="2"/>
        <v>4.8</v>
      </c>
      <c r="H195" s="45">
        <v>29646.0</v>
      </c>
      <c r="I195" s="20">
        <f t="shared" si="3"/>
        <v>44.22222222</v>
      </c>
      <c r="J195" s="46"/>
      <c r="K195" s="46"/>
      <c r="L195" s="23"/>
      <c r="M195" s="43"/>
      <c r="N195" s="50" t="s">
        <v>153</v>
      </c>
      <c r="O195" s="50"/>
      <c r="P195" s="57"/>
      <c r="Q195" s="50"/>
      <c r="R195" s="17" t="str">
        <f t="shared" si="4"/>
        <v>TBD</v>
      </c>
      <c r="S195" s="18"/>
      <c r="T195" s="20">
        <f t="shared" si="5"/>
        <v>4.8</v>
      </c>
    </row>
    <row r="196">
      <c r="A196" s="27" t="s">
        <v>282</v>
      </c>
      <c r="B196" s="28" t="s">
        <v>27</v>
      </c>
      <c r="C196" s="28" t="s">
        <v>28</v>
      </c>
      <c r="D196" s="29" t="str">
        <f t="shared" si="1"/>
        <v>Active</v>
      </c>
      <c r="E196" s="47">
        <v>45798.0</v>
      </c>
      <c r="F196" s="37"/>
      <c r="G196" s="32">
        <f t="shared" si="2"/>
        <v>4.8</v>
      </c>
      <c r="H196" s="61">
        <v>33239.0</v>
      </c>
      <c r="I196" s="32">
        <f t="shared" si="3"/>
        <v>34.38888889</v>
      </c>
      <c r="J196" s="48"/>
      <c r="K196" s="48"/>
      <c r="L196" s="35"/>
      <c r="M196" s="44"/>
      <c r="N196" s="49" t="s">
        <v>268</v>
      </c>
      <c r="O196" s="49"/>
      <c r="P196" s="51"/>
      <c r="Q196" s="49"/>
      <c r="R196" s="29" t="str">
        <f t="shared" si="4"/>
        <v>TBD</v>
      </c>
      <c r="S196" s="33"/>
      <c r="T196" s="32">
        <f t="shared" si="5"/>
        <v>4.8</v>
      </c>
    </row>
    <row r="197">
      <c r="A197" s="15" t="s">
        <v>283</v>
      </c>
      <c r="B197" s="16" t="s">
        <v>27</v>
      </c>
      <c r="C197" s="16" t="s">
        <v>28</v>
      </c>
      <c r="D197" s="17" t="str">
        <f t="shared" si="1"/>
        <v>Active</v>
      </c>
      <c r="E197" s="45">
        <v>45798.0</v>
      </c>
      <c r="F197" s="19"/>
      <c r="G197" s="20">
        <f t="shared" si="2"/>
        <v>4.8</v>
      </c>
      <c r="H197" s="61">
        <v>33604.0</v>
      </c>
      <c r="I197" s="20">
        <f t="shared" si="3"/>
        <v>33.38888889</v>
      </c>
      <c r="J197" s="46"/>
      <c r="K197" s="46"/>
      <c r="L197" s="23"/>
      <c r="M197" s="43"/>
      <c r="N197" s="50" t="s">
        <v>238</v>
      </c>
      <c r="O197" s="50"/>
      <c r="P197" s="57"/>
      <c r="Q197" s="50"/>
      <c r="R197" s="17" t="str">
        <f t="shared" si="4"/>
        <v>TBD</v>
      </c>
      <c r="S197" s="18"/>
      <c r="T197" s="20">
        <f t="shared" si="5"/>
        <v>4.8</v>
      </c>
    </row>
    <row r="198">
      <c r="A198" s="27" t="s">
        <v>284</v>
      </c>
      <c r="B198" s="28" t="s">
        <v>27</v>
      </c>
      <c r="C198" s="28" t="s">
        <v>28</v>
      </c>
      <c r="D198" s="29" t="str">
        <f t="shared" si="1"/>
        <v>Active</v>
      </c>
      <c r="E198" s="47">
        <v>45798.0</v>
      </c>
      <c r="F198" s="37"/>
      <c r="G198" s="32">
        <f t="shared" si="2"/>
        <v>4.8</v>
      </c>
      <c r="H198" s="61">
        <v>30682.0</v>
      </c>
      <c r="I198" s="32">
        <f t="shared" si="3"/>
        <v>41.38888889</v>
      </c>
      <c r="J198" s="48"/>
      <c r="K198" s="48"/>
      <c r="L198" s="35"/>
      <c r="M198" s="44"/>
      <c r="N198" s="49" t="s">
        <v>153</v>
      </c>
      <c r="O198" s="49"/>
      <c r="P198" s="51"/>
      <c r="Q198" s="49"/>
      <c r="R198" s="29" t="str">
        <f t="shared" si="4"/>
        <v>TBD</v>
      </c>
      <c r="S198" s="33"/>
      <c r="T198" s="32">
        <f t="shared" si="5"/>
        <v>4.8</v>
      </c>
    </row>
    <row r="199">
      <c r="A199" s="15" t="s">
        <v>285</v>
      </c>
      <c r="B199" s="16" t="s">
        <v>27</v>
      </c>
      <c r="C199" s="16" t="s">
        <v>28</v>
      </c>
      <c r="D199" s="17" t="str">
        <f t="shared" si="1"/>
        <v>Active</v>
      </c>
      <c r="E199" s="45">
        <v>45798.0</v>
      </c>
      <c r="F199" s="19"/>
      <c r="G199" s="20">
        <f t="shared" si="2"/>
        <v>4.8</v>
      </c>
      <c r="H199" s="45">
        <v>31972.0</v>
      </c>
      <c r="I199" s="20">
        <f t="shared" si="3"/>
        <v>37.85277778</v>
      </c>
      <c r="J199" s="46"/>
      <c r="K199" s="46"/>
      <c r="L199" s="23"/>
      <c r="M199" s="43"/>
      <c r="N199" s="50" t="s">
        <v>153</v>
      </c>
      <c r="O199" s="50"/>
      <c r="P199" s="57"/>
      <c r="Q199" s="50"/>
      <c r="R199" s="17" t="str">
        <f t="shared" si="4"/>
        <v>TBD</v>
      </c>
      <c r="S199" s="18"/>
      <c r="T199" s="20">
        <f t="shared" si="5"/>
        <v>4.8</v>
      </c>
    </row>
    <row r="200">
      <c r="A200" s="27" t="s">
        <v>286</v>
      </c>
      <c r="B200" s="28" t="s">
        <v>27</v>
      </c>
      <c r="C200" s="28" t="s">
        <v>28</v>
      </c>
      <c r="D200" s="29" t="str">
        <f t="shared" si="1"/>
        <v>Active</v>
      </c>
      <c r="E200" s="47">
        <v>45798.0</v>
      </c>
      <c r="F200" s="37"/>
      <c r="G200" s="32">
        <f t="shared" si="2"/>
        <v>4.8</v>
      </c>
      <c r="H200" s="47">
        <v>35003.0</v>
      </c>
      <c r="I200" s="32">
        <f t="shared" si="3"/>
        <v>29.55833333</v>
      </c>
      <c r="J200" s="48"/>
      <c r="K200" s="48"/>
      <c r="L200" s="35"/>
      <c r="M200" s="44"/>
      <c r="N200" s="49" t="s">
        <v>238</v>
      </c>
      <c r="O200" s="49"/>
      <c r="P200" s="51"/>
      <c r="Q200" s="49"/>
      <c r="R200" s="29" t="str">
        <f t="shared" si="4"/>
        <v>TBD</v>
      </c>
      <c r="S200" s="33"/>
      <c r="T200" s="32">
        <f t="shared" si="5"/>
        <v>4.8</v>
      </c>
    </row>
    <row r="201">
      <c r="A201" s="15" t="s">
        <v>287</v>
      </c>
      <c r="B201" s="16" t="s">
        <v>27</v>
      </c>
      <c r="C201" s="16" t="s">
        <v>28</v>
      </c>
      <c r="D201" s="17" t="str">
        <f t="shared" si="1"/>
        <v>Active</v>
      </c>
      <c r="E201" s="45">
        <v>45798.0</v>
      </c>
      <c r="F201" s="19"/>
      <c r="G201" s="20">
        <f t="shared" si="2"/>
        <v>4.8</v>
      </c>
      <c r="H201" s="61">
        <v>29952.0</v>
      </c>
      <c r="I201" s="20">
        <f t="shared" si="3"/>
        <v>43.38888889</v>
      </c>
      <c r="J201" s="46"/>
      <c r="K201" s="46"/>
      <c r="L201" s="23"/>
      <c r="M201" s="43"/>
      <c r="N201" s="50" t="s">
        <v>153</v>
      </c>
      <c r="O201" s="50"/>
      <c r="P201" s="57"/>
      <c r="Q201" s="50"/>
      <c r="R201" s="17" t="str">
        <f t="shared" si="4"/>
        <v>TBD</v>
      </c>
      <c r="S201" s="18"/>
      <c r="T201" s="20">
        <f t="shared" si="5"/>
        <v>4.8</v>
      </c>
    </row>
    <row r="202">
      <c r="A202" s="27" t="s">
        <v>288</v>
      </c>
      <c r="B202" s="28" t="s">
        <v>27</v>
      </c>
      <c r="C202" s="28" t="s">
        <v>28</v>
      </c>
      <c r="D202" s="29" t="str">
        <f t="shared" si="1"/>
        <v>Active</v>
      </c>
      <c r="E202" s="47">
        <v>45798.0</v>
      </c>
      <c r="F202" s="37"/>
      <c r="G202" s="32">
        <f t="shared" si="2"/>
        <v>4.8</v>
      </c>
      <c r="H202" s="47">
        <v>37114.0</v>
      </c>
      <c r="I202" s="32">
        <f t="shared" si="3"/>
        <v>23.77777778</v>
      </c>
      <c r="J202" s="48"/>
      <c r="K202" s="48"/>
      <c r="L202" s="35"/>
      <c r="M202" s="44"/>
      <c r="N202" s="49" t="s">
        <v>153</v>
      </c>
      <c r="O202" s="49"/>
      <c r="P202" s="51"/>
      <c r="Q202" s="49"/>
      <c r="R202" s="29" t="str">
        <f t="shared" si="4"/>
        <v>TBD</v>
      </c>
      <c r="S202" s="33"/>
      <c r="T202" s="32">
        <f t="shared" si="5"/>
        <v>4.8</v>
      </c>
    </row>
    <row r="203">
      <c r="A203" s="15" t="s">
        <v>289</v>
      </c>
      <c r="B203" s="16" t="s">
        <v>27</v>
      </c>
      <c r="C203" s="16" t="s">
        <v>28</v>
      </c>
      <c r="D203" s="17" t="str">
        <f t="shared" si="1"/>
        <v>Active</v>
      </c>
      <c r="E203" s="45">
        <v>45798.0</v>
      </c>
      <c r="F203" s="19"/>
      <c r="G203" s="20">
        <f t="shared" si="2"/>
        <v>4.8</v>
      </c>
      <c r="H203" s="61">
        <v>29587.0</v>
      </c>
      <c r="I203" s="20">
        <f t="shared" si="3"/>
        <v>44.38888889</v>
      </c>
      <c r="J203" s="46"/>
      <c r="K203" s="46"/>
      <c r="L203" s="23"/>
      <c r="M203" s="43"/>
      <c r="N203" s="50" t="s">
        <v>153</v>
      </c>
      <c r="O203" s="50"/>
      <c r="P203" s="57"/>
      <c r="Q203" s="50"/>
      <c r="R203" s="17" t="str">
        <f t="shared" si="4"/>
        <v>TBD</v>
      </c>
      <c r="S203" s="18"/>
      <c r="T203" s="20">
        <f t="shared" si="5"/>
        <v>4.8</v>
      </c>
    </row>
    <row r="204">
      <c r="A204" s="27" t="s">
        <v>290</v>
      </c>
      <c r="B204" s="28" t="s">
        <v>27</v>
      </c>
      <c r="C204" s="28" t="s">
        <v>28</v>
      </c>
      <c r="D204" s="29" t="str">
        <f t="shared" si="1"/>
        <v>Active</v>
      </c>
      <c r="E204" s="47">
        <v>45798.0</v>
      </c>
      <c r="F204" s="37"/>
      <c r="G204" s="32">
        <f t="shared" si="2"/>
        <v>4.8</v>
      </c>
      <c r="H204" s="61">
        <v>29221.0</v>
      </c>
      <c r="I204" s="32">
        <f t="shared" si="3"/>
        <v>45.38888889</v>
      </c>
      <c r="J204" s="48"/>
      <c r="K204" s="48"/>
      <c r="L204" s="35" t="s">
        <v>291</v>
      </c>
      <c r="M204" s="44"/>
      <c r="N204" s="49" t="s">
        <v>174</v>
      </c>
      <c r="O204" s="49"/>
      <c r="P204" s="51"/>
      <c r="Q204" s="49"/>
      <c r="R204" s="29" t="str">
        <f t="shared" si="4"/>
        <v>TBD</v>
      </c>
      <c r="S204" s="33"/>
      <c r="T204" s="32">
        <f t="shared" si="5"/>
        <v>4.8</v>
      </c>
    </row>
    <row r="205">
      <c r="A205" s="15" t="s">
        <v>292</v>
      </c>
      <c r="B205" s="16" t="s">
        <v>27</v>
      </c>
      <c r="C205" s="16" t="s">
        <v>28</v>
      </c>
      <c r="D205" s="17" t="str">
        <f t="shared" si="1"/>
        <v>Active</v>
      </c>
      <c r="E205" s="45">
        <v>45798.0</v>
      </c>
      <c r="F205" s="19"/>
      <c r="G205" s="20">
        <f t="shared" si="2"/>
        <v>4.8</v>
      </c>
      <c r="H205" s="45">
        <v>32435.0</v>
      </c>
      <c r="I205" s="20">
        <f t="shared" si="3"/>
        <v>36.58888889</v>
      </c>
      <c r="J205" s="46"/>
      <c r="K205" s="46"/>
      <c r="L205" s="23" t="s">
        <v>291</v>
      </c>
      <c r="M205" s="43"/>
      <c r="N205" s="50" t="s">
        <v>174</v>
      </c>
      <c r="O205" s="50"/>
      <c r="P205" s="57"/>
      <c r="Q205" s="50"/>
      <c r="R205" s="17" t="str">
        <f t="shared" si="4"/>
        <v>TBD</v>
      </c>
      <c r="S205" s="18"/>
      <c r="T205" s="20">
        <f t="shared" si="5"/>
        <v>4.8</v>
      </c>
    </row>
    <row r="206">
      <c r="A206" s="27" t="s">
        <v>293</v>
      </c>
      <c r="B206" s="28" t="s">
        <v>27</v>
      </c>
      <c r="C206" s="28" t="s">
        <v>28</v>
      </c>
      <c r="D206" s="29" t="str">
        <f t="shared" si="1"/>
        <v>Active</v>
      </c>
      <c r="E206" s="30">
        <v>45798.0</v>
      </c>
      <c r="F206" s="37"/>
      <c r="G206" s="32">
        <f t="shared" si="2"/>
        <v>4.8</v>
      </c>
      <c r="H206" s="47">
        <v>45798.0</v>
      </c>
      <c r="I206" s="32">
        <f t="shared" si="3"/>
        <v>0</v>
      </c>
      <c r="J206" s="48">
        <v>90.0</v>
      </c>
      <c r="K206" s="48">
        <v>6.0</v>
      </c>
      <c r="L206" s="35" t="s">
        <v>149</v>
      </c>
      <c r="M206" s="35" t="s">
        <v>30</v>
      </c>
      <c r="N206" s="40"/>
      <c r="O206" s="49"/>
      <c r="P206" s="51"/>
      <c r="Q206" s="49"/>
      <c r="R206" s="29" t="str">
        <f t="shared" si="4"/>
        <v>TBD</v>
      </c>
      <c r="S206" s="33"/>
      <c r="T206" s="32">
        <f t="shared" si="5"/>
        <v>4.8</v>
      </c>
    </row>
    <row r="207">
      <c r="A207" s="15" t="s">
        <v>294</v>
      </c>
      <c r="B207" s="16" t="s">
        <v>27</v>
      </c>
      <c r="C207" s="16" t="s">
        <v>28</v>
      </c>
      <c r="D207" s="17" t="str">
        <f t="shared" si="1"/>
        <v>Active</v>
      </c>
      <c r="E207" s="18">
        <v>45792.0</v>
      </c>
      <c r="F207" s="63"/>
      <c r="G207" s="20">
        <f t="shared" si="2"/>
        <v>5</v>
      </c>
      <c r="H207" s="45">
        <v>45792.0</v>
      </c>
      <c r="I207" s="20">
        <f t="shared" si="3"/>
        <v>0</v>
      </c>
      <c r="J207" s="46">
        <v>85.0</v>
      </c>
      <c r="K207" s="46">
        <v>13.0</v>
      </c>
      <c r="L207" s="23" t="s">
        <v>32</v>
      </c>
      <c r="M207" s="23" t="s">
        <v>30</v>
      </c>
      <c r="N207" s="50"/>
      <c r="O207" s="50"/>
      <c r="P207" s="57"/>
      <c r="Q207" s="50"/>
      <c r="R207" s="17" t="str">
        <f t="shared" si="4"/>
        <v>TBD</v>
      </c>
      <c r="S207" s="18"/>
      <c r="T207" s="20">
        <f t="shared" si="5"/>
        <v>5</v>
      </c>
    </row>
    <row r="208">
      <c r="A208" s="27" t="s">
        <v>295</v>
      </c>
      <c r="B208" s="28" t="s">
        <v>27</v>
      </c>
      <c r="C208" s="28" t="s">
        <v>28</v>
      </c>
      <c r="D208" s="29" t="str">
        <f t="shared" si="1"/>
        <v>Active</v>
      </c>
      <c r="E208" s="30">
        <v>45797.0</v>
      </c>
      <c r="F208" s="31"/>
      <c r="G208" s="32">
        <f t="shared" si="2"/>
        <v>4.833333333</v>
      </c>
      <c r="H208" s="33">
        <v>44901.0</v>
      </c>
      <c r="I208" s="32">
        <f t="shared" si="3"/>
        <v>2.455555556</v>
      </c>
      <c r="J208" s="34">
        <v>60.0</v>
      </c>
      <c r="K208" s="34">
        <v>10.0</v>
      </c>
      <c r="L208" s="35" t="s">
        <v>50</v>
      </c>
      <c r="M208" s="35"/>
      <c r="N208" s="35"/>
      <c r="O208" s="35"/>
      <c r="P208" s="36"/>
      <c r="Q208" s="35"/>
      <c r="R208" s="29" t="str">
        <f t="shared" si="4"/>
        <v>Active</v>
      </c>
      <c r="S208" s="33">
        <f t="shared" ref="S208:S209" si="14">E208</f>
        <v>45797</v>
      </c>
      <c r="T208" s="32">
        <f t="shared" si="5"/>
        <v>0</v>
      </c>
    </row>
    <row r="209">
      <c r="A209" s="15" t="s">
        <v>296</v>
      </c>
      <c r="B209" s="16" t="s">
        <v>27</v>
      </c>
      <c r="C209" s="16" t="s">
        <v>28</v>
      </c>
      <c r="D209" s="17" t="str">
        <f t="shared" si="1"/>
        <v>Active</v>
      </c>
      <c r="E209" s="62">
        <v>45797.0</v>
      </c>
      <c r="F209" s="52"/>
      <c r="G209" s="20">
        <f t="shared" si="2"/>
        <v>4.833333333</v>
      </c>
      <c r="H209" s="18">
        <v>44875.0</v>
      </c>
      <c r="I209" s="20">
        <f t="shared" si="3"/>
        <v>2.527777778</v>
      </c>
      <c r="J209" s="53">
        <v>58.0</v>
      </c>
      <c r="K209" s="53">
        <v>16.0</v>
      </c>
      <c r="L209" s="23" t="s">
        <v>50</v>
      </c>
      <c r="M209" s="23"/>
      <c r="N209" s="23"/>
      <c r="O209" s="23"/>
      <c r="P209" s="54"/>
      <c r="Q209" s="23"/>
      <c r="R209" s="17" t="str">
        <f t="shared" si="4"/>
        <v>Active</v>
      </c>
      <c r="S209" s="18">
        <f t="shared" si="14"/>
        <v>45797</v>
      </c>
      <c r="T209" s="20">
        <f t="shared" si="5"/>
        <v>0</v>
      </c>
    </row>
    <row r="210">
      <c r="A210" s="27" t="s">
        <v>297</v>
      </c>
      <c r="B210" s="28" t="s">
        <v>27</v>
      </c>
      <c r="C210" s="28" t="s">
        <v>28</v>
      </c>
      <c r="D210" s="29" t="str">
        <f t="shared" si="1"/>
        <v>Active</v>
      </c>
      <c r="E210" s="30">
        <v>45793.0</v>
      </c>
      <c r="F210" s="31"/>
      <c r="G210" s="32">
        <f t="shared" si="2"/>
        <v>4.966666667</v>
      </c>
      <c r="H210" s="33">
        <v>45793.0</v>
      </c>
      <c r="I210" s="32">
        <f t="shared" si="3"/>
        <v>0</v>
      </c>
      <c r="J210" s="34">
        <v>73.0</v>
      </c>
      <c r="K210" s="34">
        <v>10.0</v>
      </c>
      <c r="L210" s="35" t="s">
        <v>37</v>
      </c>
      <c r="M210" s="35"/>
      <c r="N210" s="35"/>
      <c r="O210" s="35"/>
      <c r="P210" s="36"/>
      <c r="Q210" s="35"/>
      <c r="R210" s="29" t="str">
        <f t="shared" si="4"/>
        <v>TBD</v>
      </c>
      <c r="S210" s="33"/>
      <c r="T210" s="32">
        <f t="shared" si="5"/>
        <v>4.966666667</v>
      </c>
    </row>
    <row r="211">
      <c r="A211" s="15" t="s">
        <v>298</v>
      </c>
      <c r="B211" s="16" t="s">
        <v>68</v>
      </c>
      <c r="C211" s="16" t="s">
        <v>28</v>
      </c>
      <c r="D211" s="17" t="str">
        <f t="shared" si="1"/>
        <v>Active</v>
      </c>
      <c r="E211" s="62">
        <v>45790.0</v>
      </c>
      <c r="F211" s="52"/>
      <c r="G211" s="20">
        <f t="shared" si="2"/>
        <v>5.066666667</v>
      </c>
      <c r="H211" s="18">
        <v>43167.0</v>
      </c>
      <c r="I211" s="20">
        <f t="shared" si="3"/>
        <v>7.180555556</v>
      </c>
      <c r="J211" s="53">
        <v>83.0</v>
      </c>
      <c r="K211" s="53">
        <v>20.0</v>
      </c>
      <c r="L211" s="23" t="s">
        <v>299</v>
      </c>
      <c r="M211" s="23" t="s">
        <v>123</v>
      </c>
      <c r="N211" s="23" t="s">
        <v>300</v>
      </c>
      <c r="O211" s="23"/>
      <c r="P211" s="54"/>
      <c r="Q211" s="23"/>
      <c r="R211" s="17" t="str">
        <f t="shared" si="4"/>
        <v>Active</v>
      </c>
      <c r="S211" s="18">
        <f t="shared" ref="S211:S215" si="15">E211</f>
        <v>45790</v>
      </c>
      <c r="T211" s="20">
        <f t="shared" si="5"/>
        <v>0</v>
      </c>
    </row>
    <row r="212">
      <c r="A212" s="27" t="s">
        <v>301</v>
      </c>
      <c r="B212" s="28" t="s">
        <v>27</v>
      </c>
      <c r="C212" s="28" t="s">
        <v>28</v>
      </c>
      <c r="D212" s="29" t="str">
        <f t="shared" si="1"/>
        <v>Active</v>
      </c>
      <c r="E212" s="33">
        <v>45785.0</v>
      </c>
      <c r="F212" s="37"/>
      <c r="G212" s="32">
        <f t="shared" si="2"/>
        <v>5.233333333</v>
      </c>
      <c r="H212" s="47">
        <v>45785.0</v>
      </c>
      <c r="I212" s="32">
        <f t="shared" si="3"/>
        <v>0</v>
      </c>
      <c r="J212" s="48">
        <v>77.0</v>
      </c>
      <c r="K212" s="48">
        <v>9.0</v>
      </c>
      <c r="L212" s="35" t="s">
        <v>37</v>
      </c>
      <c r="M212" s="35" t="s">
        <v>30</v>
      </c>
      <c r="N212" s="49"/>
      <c r="O212" s="49"/>
      <c r="P212" s="51"/>
      <c r="Q212" s="49"/>
      <c r="R212" s="29" t="str">
        <f t="shared" si="4"/>
        <v>Active</v>
      </c>
      <c r="S212" s="33">
        <f t="shared" si="15"/>
        <v>45785</v>
      </c>
      <c r="T212" s="32">
        <f t="shared" si="5"/>
        <v>0</v>
      </c>
    </row>
    <row r="213">
      <c r="A213" s="15" t="s">
        <v>302</v>
      </c>
      <c r="B213" s="16" t="s">
        <v>27</v>
      </c>
      <c r="C213" s="16" t="s">
        <v>28</v>
      </c>
      <c r="D213" s="17" t="str">
        <f t="shared" si="1"/>
        <v>Active</v>
      </c>
      <c r="E213" s="62">
        <v>45784.0</v>
      </c>
      <c r="F213" s="52"/>
      <c r="G213" s="20">
        <f t="shared" si="2"/>
        <v>5.266666667</v>
      </c>
      <c r="H213" s="18">
        <v>42668.0</v>
      </c>
      <c r="I213" s="20">
        <f t="shared" si="3"/>
        <v>8.533333333</v>
      </c>
      <c r="J213" s="53">
        <v>72.0</v>
      </c>
      <c r="K213" s="53">
        <v>20.0</v>
      </c>
      <c r="L213" s="23" t="s">
        <v>303</v>
      </c>
      <c r="M213" s="23"/>
      <c r="N213" s="23"/>
      <c r="O213" s="23"/>
      <c r="P213" s="54"/>
      <c r="Q213" s="23"/>
      <c r="R213" s="17" t="str">
        <f t="shared" si="4"/>
        <v>Active</v>
      </c>
      <c r="S213" s="18">
        <f t="shared" si="15"/>
        <v>45784</v>
      </c>
      <c r="T213" s="20">
        <f t="shared" si="5"/>
        <v>0</v>
      </c>
    </row>
    <row r="214">
      <c r="A214" s="27" t="s">
        <v>304</v>
      </c>
      <c r="B214" s="28" t="s">
        <v>27</v>
      </c>
      <c r="C214" s="28" t="s">
        <v>28</v>
      </c>
      <c r="D214" s="29" t="str">
        <f t="shared" si="1"/>
        <v>Active</v>
      </c>
      <c r="E214" s="33">
        <v>45783.0</v>
      </c>
      <c r="F214" s="37"/>
      <c r="G214" s="32">
        <f t="shared" si="2"/>
        <v>5.3</v>
      </c>
      <c r="H214" s="47">
        <v>45015.0</v>
      </c>
      <c r="I214" s="32">
        <f t="shared" si="3"/>
        <v>2.1</v>
      </c>
      <c r="J214" s="48">
        <v>80.0</v>
      </c>
      <c r="K214" s="48">
        <v>10.0</v>
      </c>
      <c r="L214" s="35" t="s">
        <v>37</v>
      </c>
      <c r="M214" s="35" t="s">
        <v>30</v>
      </c>
      <c r="N214" s="49"/>
      <c r="O214" s="49"/>
      <c r="P214" s="51"/>
      <c r="Q214" s="49"/>
      <c r="R214" s="29" t="str">
        <f t="shared" si="4"/>
        <v>Active</v>
      </c>
      <c r="S214" s="33">
        <f t="shared" si="15"/>
        <v>45783</v>
      </c>
      <c r="T214" s="32">
        <f t="shared" si="5"/>
        <v>0</v>
      </c>
    </row>
    <row r="215">
      <c r="A215" s="15" t="s">
        <v>305</v>
      </c>
      <c r="B215" s="16" t="s">
        <v>27</v>
      </c>
      <c r="C215" s="16" t="s">
        <v>28</v>
      </c>
      <c r="D215" s="17" t="str">
        <f t="shared" si="1"/>
        <v>Active</v>
      </c>
      <c r="E215" s="18">
        <v>45778.0</v>
      </c>
      <c r="F215" s="19"/>
      <c r="G215" s="20">
        <f t="shared" si="2"/>
        <v>5.466666667</v>
      </c>
      <c r="H215" s="45">
        <v>43571.0</v>
      </c>
      <c r="I215" s="20">
        <f t="shared" si="3"/>
        <v>6.041666667</v>
      </c>
      <c r="J215" s="46">
        <v>81.0</v>
      </c>
      <c r="K215" s="46">
        <v>15.0</v>
      </c>
      <c r="L215" s="23" t="s">
        <v>96</v>
      </c>
      <c r="M215" s="23" t="s">
        <v>30</v>
      </c>
      <c r="N215" s="50"/>
      <c r="O215" s="50"/>
      <c r="P215" s="57"/>
      <c r="Q215" s="50"/>
      <c r="R215" s="17" t="str">
        <f t="shared" si="4"/>
        <v>Active</v>
      </c>
      <c r="S215" s="18">
        <f t="shared" si="15"/>
        <v>45778</v>
      </c>
      <c r="T215" s="20">
        <f t="shared" si="5"/>
        <v>0</v>
      </c>
    </row>
    <row r="216">
      <c r="A216" s="27" t="s">
        <v>306</v>
      </c>
      <c r="B216" s="28" t="s">
        <v>27</v>
      </c>
      <c r="C216" s="28" t="s">
        <v>28</v>
      </c>
      <c r="D216" s="29" t="str">
        <f t="shared" si="1"/>
        <v>Active</v>
      </c>
      <c r="E216" s="33">
        <v>45778.0</v>
      </c>
      <c r="F216" s="37"/>
      <c r="G216" s="32">
        <f t="shared" si="2"/>
        <v>5.466666667</v>
      </c>
      <c r="H216" s="47">
        <v>44862.0</v>
      </c>
      <c r="I216" s="32">
        <f t="shared" si="3"/>
        <v>2.508333333</v>
      </c>
      <c r="J216" s="48">
        <v>75.0</v>
      </c>
      <c r="K216" s="48">
        <v>8.0</v>
      </c>
      <c r="L216" s="35" t="s">
        <v>32</v>
      </c>
      <c r="M216" s="35"/>
      <c r="N216" s="49"/>
      <c r="O216" s="49"/>
      <c r="P216" s="51"/>
      <c r="Q216" s="49"/>
      <c r="R216" s="29" t="str">
        <f t="shared" si="4"/>
        <v>Active</v>
      </c>
      <c r="S216" s="33">
        <v>45917.0</v>
      </c>
      <c r="T216" s="32">
        <f t="shared" si="5"/>
        <v>4.533333333</v>
      </c>
    </row>
    <row r="217">
      <c r="A217" s="15" t="s">
        <v>307</v>
      </c>
      <c r="B217" s="16" t="s">
        <v>27</v>
      </c>
      <c r="C217" s="16" t="s">
        <v>28</v>
      </c>
      <c r="D217" s="17" t="str">
        <f t="shared" si="1"/>
        <v>Active</v>
      </c>
      <c r="E217" s="18">
        <v>45777.0</v>
      </c>
      <c r="F217" s="19"/>
      <c r="G217" s="20">
        <f t="shared" si="2"/>
        <v>5.5</v>
      </c>
      <c r="H217" s="45">
        <v>41961.0</v>
      </c>
      <c r="I217" s="20">
        <f t="shared" si="3"/>
        <v>10.45</v>
      </c>
      <c r="J217" s="46">
        <v>85.0</v>
      </c>
      <c r="K217" s="46">
        <v>18.0</v>
      </c>
      <c r="L217" s="23" t="s">
        <v>32</v>
      </c>
      <c r="M217" s="23"/>
      <c r="N217" s="50"/>
      <c r="O217" s="50"/>
      <c r="P217" s="57"/>
      <c r="Q217" s="50"/>
      <c r="R217" s="17" t="str">
        <f t="shared" si="4"/>
        <v>Active</v>
      </c>
      <c r="S217" s="18">
        <f>E217</f>
        <v>45777</v>
      </c>
      <c r="T217" s="20">
        <f t="shared" si="5"/>
        <v>0</v>
      </c>
    </row>
    <row r="218">
      <c r="A218" s="27" t="s">
        <v>308</v>
      </c>
      <c r="B218" s="28" t="s">
        <v>27</v>
      </c>
      <c r="C218" s="28" t="s">
        <v>28</v>
      </c>
      <c r="D218" s="29" t="str">
        <f t="shared" si="1"/>
        <v>Active</v>
      </c>
      <c r="E218" s="33">
        <v>45776.0</v>
      </c>
      <c r="F218" s="37"/>
      <c r="G218" s="32">
        <f t="shared" si="2"/>
        <v>5.533333333</v>
      </c>
      <c r="H218" s="47">
        <v>45776.0</v>
      </c>
      <c r="I218" s="32">
        <f t="shared" si="3"/>
        <v>0</v>
      </c>
      <c r="J218" s="48"/>
      <c r="K218" s="48"/>
      <c r="L218" s="35" t="s">
        <v>309</v>
      </c>
      <c r="M218" s="35" t="s">
        <v>30</v>
      </c>
      <c r="N218" s="49"/>
      <c r="O218" s="49"/>
      <c r="P218" s="51"/>
      <c r="Q218" s="49"/>
      <c r="R218" s="29" t="str">
        <f t="shared" si="4"/>
        <v>TBD</v>
      </c>
      <c r="S218" s="33"/>
      <c r="T218" s="32">
        <f t="shared" si="5"/>
        <v>5.533333333</v>
      </c>
    </row>
    <row r="219">
      <c r="A219" s="15" t="s">
        <v>310</v>
      </c>
      <c r="B219" s="16" t="s">
        <v>27</v>
      </c>
      <c r="C219" s="16" t="s">
        <v>28</v>
      </c>
      <c r="D219" s="17" t="str">
        <f t="shared" si="1"/>
        <v>Active</v>
      </c>
      <c r="E219" s="18">
        <v>45771.0</v>
      </c>
      <c r="F219" s="19"/>
      <c r="G219" s="20">
        <f t="shared" si="2"/>
        <v>5.7</v>
      </c>
      <c r="H219" s="45">
        <v>45771.0</v>
      </c>
      <c r="I219" s="20">
        <f t="shared" si="3"/>
        <v>0</v>
      </c>
      <c r="J219" s="46">
        <v>92.0</v>
      </c>
      <c r="K219" s="46">
        <v>26.0</v>
      </c>
      <c r="L219" s="23" t="s">
        <v>29</v>
      </c>
      <c r="M219" s="23" t="s">
        <v>30</v>
      </c>
      <c r="N219" s="50"/>
      <c r="O219" s="50"/>
      <c r="P219" s="57"/>
      <c r="Q219" s="50"/>
      <c r="R219" s="17" t="str">
        <f t="shared" si="4"/>
        <v>TBD</v>
      </c>
      <c r="S219" s="18"/>
      <c r="T219" s="20">
        <f t="shared" si="5"/>
        <v>5.7</v>
      </c>
    </row>
    <row r="220">
      <c r="A220" s="27" t="s">
        <v>311</v>
      </c>
      <c r="B220" s="28" t="s">
        <v>27</v>
      </c>
      <c r="C220" s="28" t="s">
        <v>28</v>
      </c>
      <c r="D220" s="29" t="str">
        <f t="shared" si="1"/>
        <v>Active</v>
      </c>
      <c r="E220" s="33">
        <v>45769.0</v>
      </c>
      <c r="F220" s="37"/>
      <c r="G220" s="32">
        <f t="shared" si="2"/>
        <v>5.766666667</v>
      </c>
      <c r="H220" s="47">
        <v>45769.0</v>
      </c>
      <c r="I220" s="32">
        <f t="shared" si="3"/>
        <v>0</v>
      </c>
      <c r="J220" s="48">
        <v>82.0</v>
      </c>
      <c r="K220" s="48">
        <v>14.0</v>
      </c>
      <c r="L220" s="35" t="s">
        <v>29</v>
      </c>
      <c r="M220" s="35" t="s">
        <v>30</v>
      </c>
      <c r="N220" s="49"/>
      <c r="O220" s="49"/>
      <c r="P220" s="51"/>
      <c r="Q220" s="49"/>
      <c r="R220" s="29" t="str">
        <f t="shared" si="4"/>
        <v>TBD</v>
      </c>
      <c r="S220" s="33"/>
      <c r="T220" s="32">
        <f t="shared" si="5"/>
        <v>5.766666667</v>
      </c>
    </row>
    <row r="221">
      <c r="A221" s="15" t="s">
        <v>312</v>
      </c>
      <c r="B221" s="16" t="s">
        <v>27</v>
      </c>
      <c r="C221" s="16" t="s">
        <v>28</v>
      </c>
      <c r="D221" s="17" t="str">
        <f t="shared" si="1"/>
        <v>Active</v>
      </c>
      <c r="E221" s="18">
        <v>45764.0</v>
      </c>
      <c r="F221" s="19"/>
      <c r="G221" s="20">
        <f t="shared" si="2"/>
        <v>5.933333333</v>
      </c>
      <c r="H221" s="45">
        <v>45518.0</v>
      </c>
      <c r="I221" s="20">
        <f t="shared" si="3"/>
        <v>0.675</v>
      </c>
      <c r="J221" s="46">
        <f>AVERAGE(70,80,80)</f>
        <v>76.66666667</v>
      </c>
      <c r="K221" s="46">
        <v>13.0</v>
      </c>
      <c r="L221" s="23" t="s">
        <v>50</v>
      </c>
      <c r="M221" s="23" t="s">
        <v>30</v>
      </c>
      <c r="N221" s="50"/>
      <c r="O221" s="50"/>
      <c r="P221" s="57"/>
      <c r="Q221" s="50"/>
      <c r="R221" s="55" t="str">
        <f t="shared" si="4"/>
        <v>Active</v>
      </c>
      <c r="S221" s="56">
        <v>45931.0</v>
      </c>
      <c r="T221" s="20">
        <f t="shared" si="5"/>
        <v>5.466666667</v>
      </c>
    </row>
    <row r="222">
      <c r="A222" s="27" t="s">
        <v>313</v>
      </c>
      <c r="B222" s="28" t="s">
        <v>27</v>
      </c>
      <c r="C222" s="28" t="s">
        <v>28</v>
      </c>
      <c r="D222" s="29" t="str">
        <f t="shared" si="1"/>
        <v>Active</v>
      </c>
      <c r="E222" s="33">
        <v>45764.0</v>
      </c>
      <c r="F222" s="37"/>
      <c r="G222" s="32">
        <f t="shared" si="2"/>
        <v>5.933333333</v>
      </c>
      <c r="H222" s="47">
        <v>45764.0</v>
      </c>
      <c r="I222" s="32">
        <f t="shared" si="3"/>
        <v>0</v>
      </c>
      <c r="J222" s="48">
        <v>74.0</v>
      </c>
      <c r="K222" s="48">
        <v>5.0</v>
      </c>
      <c r="L222" s="35" t="s">
        <v>314</v>
      </c>
      <c r="M222" s="35"/>
      <c r="N222" s="49"/>
      <c r="O222" s="49"/>
      <c r="P222" s="51"/>
      <c r="Q222" s="49"/>
      <c r="R222" s="29" t="str">
        <f t="shared" si="4"/>
        <v>TBD</v>
      </c>
      <c r="S222" s="33"/>
      <c r="T222" s="32">
        <f t="shared" si="5"/>
        <v>5.933333333</v>
      </c>
    </row>
    <row r="223">
      <c r="A223" s="15" t="s">
        <v>315</v>
      </c>
      <c r="B223" s="16" t="s">
        <v>27</v>
      </c>
      <c r="C223" s="16" t="s">
        <v>28</v>
      </c>
      <c r="D223" s="17" t="str">
        <f t="shared" si="1"/>
        <v>Active</v>
      </c>
      <c r="E223" s="18">
        <v>45763.0</v>
      </c>
      <c r="F223" s="19"/>
      <c r="G223" s="20">
        <f t="shared" si="2"/>
        <v>5.966666667</v>
      </c>
      <c r="H223" s="45">
        <v>45569.0</v>
      </c>
      <c r="I223" s="20">
        <f t="shared" si="3"/>
        <v>0.5333333333</v>
      </c>
      <c r="J223" s="46">
        <v>67.0</v>
      </c>
      <c r="K223" s="46">
        <v>4.0</v>
      </c>
      <c r="L223" s="23" t="s">
        <v>44</v>
      </c>
      <c r="M223" s="23"/>
      <c r="N223" s="50"/>
      <c r="O223" s="50"/>
      <c r="P223" s="57"/>
      <c r="Q223" s="50"/>
      <c r="R223" s="17" t="str">
        <f t="shared" si="4"/>
        <v>Active</v>
      </c>
      <c r="S223" s="18">
        <f t="shared" ref="S223:S224" si="16">E223</f>
        <v>45763</v>
      </c>
      <c r="T223" s="20">
        <f t="shared" si="5"/>
        <v>0</v>
      </c>
    </row>
    <row r="224">
      <c r="A224" s="67" t="s">
        <v>316</v>
      </c>
      <c r="B224" s="28" t="s">
        <v>27</v>
      </c>
      <c r="C224" s="28" t="s">
        <v>28</v>
      </c>
      <c r="D224" s="29" t="str">
        <f t="shared" si="1"/>
        <v>Active</v>
      </c>
      <c r="E224" s="30">
        <v>45762.0</v>
      </c>
      <c r="F224" s="30"/>
      <c r="G224" s="32">
        <f t="shared" si="2"/>
        <v>6</v>
      </c>
      <c r="H224" s="33">
        <v>41534.0</v>
      </c>
      <c r="I224" s="32">
        <f t="shared" si="3"/>
        <v>11.57777778</v>
      </c>
      <c r="J224" s="34">
        <v>97.0</v>
      </c>
      <c r="K224" s="34">
        <v>31.5</v>
      </c>
      <c r="L224" s="35" t="s">
        <v>317</v>
      </c>
      <c r="M224" s="44"/>
      <c r="N224" s="35" t="s">
        <v>318</v>
      </c>
      <c r="O224" s="35" t="s">
        <v>34</v>
      </c>
      <c r="P224" s="36" t="s">
        <v>319</v>
      </c>
      <c r="Q224" s="35"/>
      <c r="R224" s="29" t="str">
        <f t="shared" si="4"/>
        <v>Active</v>
      </c>
      <c r="S224" s="33">
        <f t="shared" si="16"/>
        <v>45762</v>
      </c>
      <c r="T224" s="32">
        <f t="shared" si="5"/>
        <v>0</v>
      </c>
    </row>
    <row r="225">
      <c r="A225" s="15" t="s">
        <v>320</v>
      </c>
      <c r="B225" s="16" t="s">
        <v>27</v>
      </c>
      <c r="C225" s="16" t="s">
        <v>28</v>
      </c>
      <c r="D225" s="17" t="str">
        <f t="shared" si="1"/>
        <v>Active</v>
      </c>
      <c r="E225" s="18">
        <v>45757.0</v>
      </c>
      <c r="F225" s="19"/>
      <c r="G225" s="20">
        <f t="shared" si="2"/>
        <v>6.166666667</v>
      </c>
      <c r="H225" s="45">
        <v>45757.0</v>
      </c>
      <c r="I225" s="20">
        <f t="shared" si="3"/>
        <v>0</v>
      </c>
      <c r="J225" s="46">
        <v>93.0</v>
      </c>
      <c r="K225" s="46">
        <v>14.0</v>
      </c>
      <c r="L225" s="23" t="s">
        <v>37</v>
      </c>
      <c r="M225" s="23" t="s">
        <v>30</v>
      </c>
      <c r="N225" s="50"/>
      <c r="O225" s="50"/>
      <c r="P225" s="57"/>
      <c r="Q225" s="50"/>
      <c r="R225" s="17" t="str">
        <f t="shared" si="4"/>
        <v>TBD</v>
      </c>
      <c r="S225" s="18"/>
      <c r="T225" s="20">
        <f t="shared" si="5"/>
        <v>6.166666667</v>
      </c>
    </row>
    <row r="226">
      <c r="A226" s="27" t="s">
        <v>321</v>
      </c>
      <c r="B226" s="28" t="s">
        <v>68</v>
      </c>
      <c r="C226" s="68"/>
      <c r="D226" s="29" t="str">
        <f t="shared" si="1"/>
        <v>Active</v>
      </c>
      <c r="E226" s="33">
        <v>45762.0</v>
      </c>
      <c r="F226" s="37"/>
      <c r="G226" s="32">
        <f t="shared" si="2"/>
        <v>6</v>
      </c>
      <c r="H226" s="47">
        <v>45757.0</v>
      </c>
      <c r="I226" s="32">
        <f t="shared" si="3"/>
        <v>0.01388888889</v>
      </c>
      <c r="J226" s="48">
        <v>66.0</v>
      </c>
      <c r="K226" s="48">
        <v>15.0</v>
      </c>
      <c r="L226" s="35" t="s">
        <v>92</v>
      </c>
      <c r="M226" s="35"/>
      <c r="N226" s="49"/>
      <c r="O226" s="49"/>
      <c r="P226" s="51"/>
      <c r="Q226" s="49"/>
      <c r="R226" s="29" t="str">
        <f t="shared" si="4"/>
        <v>TBD</v>
      </c>
      <c r="S226" s="33"/>
      <c r="T226" s="32">
        <f t="shared" si="5"/>
        <v>6</v>
      </c>
    </row>
    <row r="227">
      <c r="A227" s="15" t="s">
        <v>322</v>
      </c>
      <c r="B227" s="16" t="s">
        <v>27</v>
      </c>
      <c r="C227" s="16" t="s">
        <v>28</v>
      </c>
      <c r="D227" s="17" t="str">
        <f t="shared" si="1"/>
        <v>Active</v>
      </c>
      <c r="E227" s="18">
        <v>45756.0</v>
      </c>
      <c r="F227" s="19"/>
      <c r="G227" s="20">
        <f t="shared" si="2"/>
        <v>6.2</v>
      </c>
      <c r="H227" s="45">
        <v>45756.0</v>
      </c>
      <c r="I227" s="20">
        <f t="shared" si="3"/>
        <v>0</v>
      </c>
      <c r="J227" s="46">
        <v>76.0</v>
      </c>
      <c r="K227" s="46">
        <v>31.0</v>
      </c>
      <c r="L227" s="23" t="s">
        <v>119</v>
      </c>
      <c r="M227" s="23" t="s">
        <v>30</v>
      </c>
      <c r="N227" s="50"/>
      <c r="O227" s="50"/>
      <c r="P227" s="57"/>
      <c r="Q227" s="50"/>
      <c r="R227" s="17" t="str">
        <f t="shared" si="4"/>
        <v>TBD</v>
      </c>
      <c r="S227" s="18"/>
      <c r="T227" s="20">
        <f t="shared" si="5"/>
        <v>6.2</v>
      </c>
    </row>
    <row r="228">
      <c r="A228" s="27" t="s">
        <v>323</v>
      </c>
      <c r="B228" s="28" t="s">
        <v>27</v>
      </c>
      <c r="C228" s="28"/>
      <c r="D228" s="29" t="str">
        <f t="shared" si="1"/>
        <v>Active</v>
      </c>
      <c r="E228" s="33">
        <v>45755.0</v>
      </c>
      <c r="F228" s="37"/>
      <c r="G228" s="32">
        <f t="shared" si="2"/>
        <v>6.233333333</v>
      </c>
      <c r="H228" s="47">
        <v>41870.0</v>
      </c>
      <c r="I228" s="32">
        <f t="shared" si="3"/>
        <v>10.63611111</v>
      </c>
      <c r="J228" s="48">
        <v>90.0</v>
      </c>
      <c r="K228" s="48">
        <v>19.0</v>
      </c>
      <c r="L228" s="35" t="s">
        <v>29</v>
      </c>
      <c r="M228" s="35"/>
      <c r="N228" s="49"/>
      <c r="O228" s="49"/>
      <c r="P228" s="51"/>
      <c r="Q228" s="49"/>
      <c r="R228" s="29" t="str">
        <f t="shared" si="4"/>
        <v>Active</v>
      </c>
      <c r="S228" s="33">
        <f>E228</f>
        <v>45755</v>
      </c>
      <c r="T228" s="32">
        <f t="shared" si="5"/>
        <v>0</v>
      </c>
    </row>
    <row r="229">
      <c r="A229" s="15" t="s">
        <v>324</v>
      </c>
      <c r="B229" s="16" t="s">
        <v>27</v>
      </c>
      <c r="C229" s="16"/>
      <c r="D229" s="17" t="str">
        <f t="shared" si="1"/>
        <v>Active</v>
      </c>
      <c r="E229" s="18">
        <v>45755.0</v>
      </c>
      <c r="F229" s="19"/>
      <c r="G229" s="20">
        <f t="shared" si="2"/>
        <v>6.233333333</v>
      </c>
      <c r="H229" s="45">
        <v>45755.0</v>
      </c>
      <c r="I229" s="20">
        <f t="shared" si="3"/>
        <v>0</v>
      </c>
      <c r="J229" s="46">
        <v>77.0</v>
      </c>
      <c r="K229" s="46">
        <v>10.0</v>
      </c>
      <c r="L229" s="23" t="s">
        <v>37</v>
      </c>
      <c r="M229" s="23" t="s">
        <v>30</v>
      </c>
      <c r="N229" s="50"/>
      <c r="O229" s="50"/>
      <c r="P229" s="57"/>
      <c r="Q229" s="50"/>
      <c r="R229" s="17" t="str">
        <f t="shared" si="4"/>
        <v>TBD</v>
      </c>
      <c r="S229" s="18"/>
      <c r="T229" s="20">
        <f t="shared" si="5"/>
        <v>6.233333333</v>
      </c>
    </row>
    <row r="230">
      <c r="A230" s="27" t="s">
        <v>325</v>
      </c>
      <c r="B230" s="28" t="s">
        <v>27</v>
      </c>
      <c r="C230" s="28" t="s">
        <v>28</v>
      </c>
      <c r="D230" s="29" t="str">
        <f t="shared" si="1"/>
        <v>Active</v>
      </c>
      <c r="E230" s="33">
        <v>45743.0</v>
      </c>
      <c r="F230" s="37"/>
      <c r="G230" s="32">
        <f t="shared" si="2"/>
        <v>6.6</v>
      </c>
      <c r="H230" s="47">
        <v>45743.0</v>
      </c>
      <c r="I230" s="32">
        <f t="shared" si="3"/>
        <v>0</v>
      </c>
      <c r="J230" s="48">
        <v>75.0</v>
      </c>
      <c r="K230" s="48">
        <v>9.0</v>
      </c>
      <c r="L230" s="35" t="s">
        <v>37</v>
      </c>
      <c r="M230" s="35"/>
      <c r="N230" s="49"/>
      <c r="O230" s="49"/>
      <c r="P230" s="51"/>
      <c r="Q230" s="49"/>
      <c r="R230" s="29" t="str">
        <f t="shared" si="4"/>
        <v>TBD</v>
      </c>
      <c r="S230" s="33"/>
      <c r="T230" s="32">
        <f t="shared" si="5"/>
        <v>6.6</v>
      </c>
    </row>
    <row r="231">
      <c r="A231" s="15" t="s">
        <v>326</v>
      </c>
      <c r="B231" s="16" t="s">
        <v>68</v>
      </c>
      <c r="C231" s="16" t="s">
        <v>28</v>
      </c>
      <c r="D231" s="17" t="str">
        <f t="shared" si="1"/>
        <v>Active</v>
      </c>
      <c r="E231" s="62">
        <v>45743.0</v>
      </c>
      <c r="F231" s="63"/>
      <c r="G231" s="20">
        <f t="shared" si="2"/>
        <v>6.6</v>
      </c>
      <c r="H231" s="45">
        <v>45492.0</v>
      </c>
      <c r="I231" s="20">
        <f t="shared" si="3"/>
        <v>0.6888888889</v>
      </c>
      <c r="J231" s="46">
        <v>83.0</v>
      </c>
      <c r="K231" s="46">
        <v>11.0</v>
      </c>
      <c r="L231" s="23" t="s">
        <v>92</v>
      </c>
      <c r="M231" s="23" t="s">
        <v>30</v>
      </c>
      <c r="N231" s="50"/>
      <c r="O231" s="50"/>
      <c r="P231" s="57"/>
      <c r="Q231" s="50"/>
      <c r="R231" s="17" t="str">
        <f t="shared" si="4"/>
        <v>TBD</v>
      </c>
      <c r="S231" s="18"/>
      <c r="T231" s="20">
        <f t="shared" si="5"/>
        <v>6.6</v>
      </c>
    </row>
    <row r="232">
      <c r="A232" s="27" t="s">
        <v>327</v>
      </c>
      <c r="B232" s="28" t="s">
        <v>27</v>
      </c>
      <c r="C232" s="28" t="s">
        <v>28</v>
      </c>
      <c r="D232" s="29" t="str">
        <f t="shared" si="1"/>
        <v>Active</v>
      </c>
      <c r="E232" s="33">
        <v>45741.0</v>
      </c>
      <c r="F232" s="58"/>
      <c r="G232" s="32">
        <f t="shared" si="2"/>
        <v>6.666666667</v>
      </c>
      <c r="H232" s="47">
        <v>44246.0</v>
      </c>
      <c r="I232" s="32">
        <f t="shared" si="3"/>
        <v>4.1</v>
      </c>
      <c r="J232" s="48">
        <v>75.0</v>
      </c>
      <c r="K232" s="48">
        <v>5.0</v>
      </c>
      <c r="L232" s="35" t="s">
        <v>163</v>
      </c>
      <c r="M232" s="35"/>
      <c r="N232" s="49" t="s">
        <v>328</v>
      </c>
      <c r="O232" s="49"/>
      <c r="P232" s="51"/>
      <c r="Q232" s="49"/>
      <c r="R232" s="29" t="str">
        <f t="shared" si="4"/>
        <v>Active</v>
      </c>
      <c r="S232" s="33">
        <f t="shared" ref="S232:S233" si="17">E232</f>
        <v>45741</v>
      </c>
      <c r="T232" s="32">
        <f t="shared" si="5"/>
        <v>0</v>
      </c>
    </row>
    <row r="233">
      <c r="A233" s="15" t="s">
        <v>329</v>
      </c>
      <c r="B233" s="16" t="s">
        <v>27</v>
      </c>
      <c r="C233" s="16" t="s">
        <v>28</v>
      </c>
      <c r="D233" s="17" t="str">
        <f t="shared" si="1"/>
        <v>Active</v>
      </c>
      <c r="E233" s="18">
        <v>45736.0</v>
      </c>
      <c r="F233" s="63"/>
      <c r="G233" s="20">
        <f t="shared" si="2"/>
        <v>6.833333333</v>
      </c>
      <c r="H233" s="45">
        <v>45631.0</v>
      </c>
      <c r="I233" s="20">
        <f t="shared" si="3"/>
        <v>0.2916666667</v>
      </c>
      <c r="J233" s="46">
        <v>62.0</v>
      </c>
      <c r="K233" s="46">
        <v>9.0</v>
      </c>
      <c r="L233" s="23" t="s">
        <v>37</v>
      </c>
      <c r="M233" s="23"/>
      <c r="N233" s="50"/>
      <c r="O233" s="50"/>
      <c r="P233" s="57"/>
      <c r="Q233" s="50"/>
      <c r="R233" s="17" t="str">
        <f t="shared" si="4"/>
        <v>Active</v>
      </c>
      <c r="S233" s="18">
        <f t="shared" si="17"/>
        <v>45736</v>
      </c>
      <c r="T233" s="20">
        <f t="shared" si="5"/>
        <v>0</v>
      </c>
    </row>
    <row r="234">
      <c r="A234" s="27" t="s">
        <v>330</v>
      </c>
      <c r="B234" s="28" t="s">
        <v>27</v>
      </c>
      <c r="C234" s="28" t="s">
        <v>28</v>
      </c>
      <c r="D234" s="29" t="str">
        <f t="shared" si="1"/>
        <v>Active</v>
      </c>
      <c r="E234" s="33">
        <v>45734.0</v>
      </c>
      <c r="F234" s="58"/>
      <c r="G234" s="32">
        <f t="shared" si="2"/>
        <v>6.9</v>
      </c>
      <c r="H234" s="47">
        <v>45734.0</v>
      </c>
      <c r="I234" s="32">
        <f t="shared" si="3"/>
        <v>0</v>
      </c>
      <c r="J234" s="39"/>
      <c r="K234" s="48">
        <v>5.0</v>
      </c>
      <c r="L234" s="35" t="s">
        <v>29</v>
      </c>
      <c r="M234" s="35" t="s">
        <v>30</v>
      </c>
      <c r="N234" s="49"/>
      <c r="O234" s="49"/>
      <c r="P234" s="51"/>
      <c r="Q234" s="49"/>
      <c r="R234" s="29" t="str">
        <f t="shared" si="4"/>
        <v>TBD</v>
      </c>
      <c r="S234" s="33"/>
      <c r="T234" s="32">
        <f t="shared" si="5"/>
        <v>6.9</v>
      </c>
    </row>
    <row r="235">
      <c r="A235" s="15" t="s">
        <v>331</v>
      </c>
      <c r="B235" s="16" t="s">
        <v>27</v>
      </c>
      <c r="C235" s="16" t="s">
        <v>28</v>
      </c>
      <c r="D235" s="17" t="str">
        <f t="shared" si="1"/>
        <v>Active</v>
      </c>
      <c r="E235" s="18">
        <v>45729.0</v>
      </c>
      <c r="F235" s="63"/>
      <c r="G235" s="20">
        <f t="shared" si="2"/>
        <v>7.066666667</v>
      </c>
      <c r="H235" s="45">
        <v>45427.0</v>
      </c>
      <c r="I235" s="20">
        <f t="shared" si="3"/>
        <v>0.8277777778</v>
      </c>
      <c r="J235" s="46">
        <v>88.0</v>
      </c>
      <c r="K235" s="46">
        <v>4.0</v>
      </c>
      <c r="L235" s="23" t="s">
        <v>32</v>
      </c>
      <c r="M235" s="23" t="s">
        <v>30</v>
      </c>
      <c r="N235" s="50"/>
      <c r="O235" s="50"/>
      <c r="P235" s="57"/>
      <c r="Q235" s="50"/>
      <c r="R235" s="17" t="str">
        <f t="shared" si="4"/>
        <v>Active</v>
      </c>
      <c r="S235" s="18">
        <v>45931.0</v>
      </c>
      <c r="T235" s="20">
        <f t="shared" si="5"/>
        <v>6.6</v>
      </c>
    </row>
    <row r="236">
      <c r="A236" s="67" t="s">
        <v>332</v>
      </c>
      <c r="B236" s="28" t="s">
        <v>27</v>
      </c>
      <c r="C236" s="28" t="s">
        <v>121</v>
      </c>
      <c r="D236" s="29" t="str">
        <f t="shared" si="1"/>
        <v>Active</v>
      </c>
      <c r="E236" s="30">
        <v>45727.0</v>
      </c>
      <c r="F236" s="31"/>
      <c r="G236" s="32">
        <f t="shared" si="2"/>
        <v>7.133333333</v>
      </c>
      <c r="H236" s="33">
        <v>42465.0</v>
      </c>
      <c r="I236" s="32">
        <f t="shared" si="3"/>
        <v>8.933333333</v>
      </c>
      <c r="J236" s="69">
        <v>85.0</v>
      </c>
      <c r="K236" s="34">
        <v>18.5</v>
      </c>
      <c r="L236" s="35" t="s">
        <v>37</v>
      </c>
      <c r="M236" s="44"/>
      <c r="N236" s="35" t="s">
        <v>333</v>
      </c>
      <c r="O236" s="35" t="s">
        <v>334</v>
      </c>
      <c r="P236" s="36" t="s">
        <v>335</v>
      </c>
      <c r="Q236" s="35"/>
      <c r="R236" s="29" t="str">
        <f t="shared" si="4"/>
        <v>Active</v>
      </c>
      <c r="S236" s="33">
        <f>E236</f>
        <v>45727</v>
      </c>
      <c r="T236" s="32">
        <f t="shared" si="5"/>
        <v>0</v>
      </c>
    </row>
    <row r="237">
      <c r="A237" s="15" t="s">
        <v>336</v>
      </c>
      <c r="B237" s="16" t="s">
        <v>27</v>
      </c>
      <c r="C237" s="16" t="s">
        <v>28</v>
      </c>
      <c r="D237" s="17" t="str">
        <f t="shared" si="1"/>
        <v>Active</v>
      </c>
      <c r="E237" s="18">
        <v>45722.0</v>
      </c>
      <c r="F237" s="63"/>
      <c r="G237" s="20">
        <f t="shared" si="2"/>
        <v>7.3</v>
      </c>
      <c r="H237" s="45">
        <v>45103.0</v>
      </c>
      <c r="I237" s="20">
        <f t="shared" si="3"/>
        <v>1.694444444</v>
      </c>
      <c r="J237" s="46">
        <v>60.0</v>
      </c>
      <c r="K237" s="46"/>
      <c r="L237" s="23" t="s">
        <v>337</v>
      </c>
      <c r="M237" s="23"/>
      <c r="N237" s="50"/>
      <c r="O237" s="50"/>
      <c r="P237" s="57"/>
      <c r="Q237" s="50"/>
      <c r="R237" s="17" t="str">
        <f t="shared" si="4"/>
        <v>Active</v>
      </c>
      <c r="S237" s="18">
        <v>45931.0</v>
      </c>
      <c r="T237" s="20">
        <f t="shared" si="5"/>
        <v>6.833333333</v>
      </c>
    </row>
    <row r="238">
      <c r="A238" s="27" t="s">
        <v>338</v>
      </c>
      <c r="B238" s="28" t="s">
        <v>27</v>
      </c>
      <c r="C238" s="28" t="s">
        <v>121</v>
      </c>
      <c r="D238" s="29" t="str">
        <f t="shared" si="1"/>
        <v>Active</v>
      </c>
      <c r="E238" s="33">
        <v>45720.0</v>
      </c>
      <c r="F238" s="31"/>
      <c r="G238" s="32">
        <f t="shared" si="2"/>
        <v>7.366666667</v>
      </c>
      <c r="H238" s="33">
        <v>43972.0</v>
      </c>
      <c r="I238" s="32">
        <f t="shared" si="3"/>
        <v>4.786111111</v>
      </c>
      <c r="J238" s="34">
        <v>85.0</v>
      </c>
      <c r="K238" s="34">
        <v>1.5</v>
      </c>
      <c r="L238" s="35" t="s">
        <v>119</v>
      </c>
      <c r="M238" s="35"/>
      <c r="N238" s="35" t="s">
        <v>339</v>
      </c>
      <c r="O238" s="35" t="s">
        <v>132</v>
      </c>
      <c r="P238" s="36" t="s">
        <v>340</v>
      </c>
      <c r="Q238" s="35"/>
      <c r="R238" s="29" t="str">
        <f t="shared" si="4"/>
        <v>Active</v>
      </c>
      <c r="S238" s="33">
        <f t="shared" ref="S238:S240" si="18">E238</f>
        <v>45720</v>
      </c>
      <c r="T238" s="32">
        <f t="shared" si="5"/>
        <v>0</v>
      </c>
    </row>
    <row r="239">
      <c r="A239" s="15" t="s">
        <v>341</v>
      </c>
      <c r="B239" s="16" t="s">
        <v>27</v>
      </c>
      <c r="C239" s="16" t="s">
        <v>28</v>
      </c>
      <c r="D239" s="17" t="str">
        <f t="shared" si="1"/>
        <v>Active</v>
      </c>
      <c r="E239" s="18">
        <v>45713.0</v>
      </c>
      <c r="F239" s="63"/>
      <c r="G239" s="20">
        <f t="shared" si="2"/>
        <v>7.666666667</v>
      </c>
      <c r="H239" s="45">
        <v>44133.0</v>
      </c>
      <c r="I239" s="20">
        <f t="shared" si="3"/>
        <v>4.322222222</v>
      </c>
      <c r="J239" s="46">
        <v>76.0</v>
      </c>
      <c r="K239" s="46">
        <v>18.0</v>
      </c>
      <c r="L239" s="23" t="s">
        <v>37</v>
      </c>
      <c r="M239" s="23"/>
      <c r="N239" s="50"/>
      <c r="O239" s="50"/>
      <c r="P239" s="57"/>
      <c r="Q239" s="50"/>
      <c r="R239" s="17" t="str">
        <f t="shared" si="4"/>
        <v>Active</v>
      </c>
      <c r="S239" s="18">
        <f t="shared" si="18"/>
        <v>45713</v>
      </c>
      <c r="T239" s="20">
        <f t="shared" si="5"/>
        <v>0</v>
      </c>
    </row>
    <row r="240">
      <c r="A240" s="27" t="s">
        <v>342</v>
      </c>
      <c r="B240" s="28" t="s">
        <v>27</v>
      </c>
      <c r="C240" s="28" t="s">
        <v>28</v>
      </c>
      <c r="D240" s="29" t="str">
        <f t="shared" si="1"/>
        <v>Active</v>
      </c>
      <c r="E240" s="33">
        <v>45712.0</v>
      </c>
      <c r="F240" s="58"/>
      <c r="G240" s="32">
        <f t="shared" si="2"/>
        <v>7.7</v>
      </c>
      <c r="H240" s="47">
        <v>45616.0</v>
      </c>
      <c r="I240" s="32">
        <f t="shared" si="3"/>
        <v>0.2611111111</v>
      </c>
      <c r="J240" s="48">
        <v>90.0</v>
      </c>
      <c r="K240" s="34">
        <v>7.0</v>
      </c>
      <c r="L240" s="35" t="s">
        <v>149</v>
      </c>
      <c r="M240" s="35"/>
      <c r="N240" s="49"/>
      <c r="O240" s="49"/>
      <c r="P240" s="51"/>
      <c r="Q240" s="49"/>
      <c r="R240" s="29" t="str">
        <f t="shared" si="4"/>
        <v>Active</v>
      </c>
      <c r="S240" s="33">
        <f t="shared" si="18"/>
        <v>45712</v>
      </c>
      <c r="T240" s="32">
        <f t="shared" si="5"/>
        <v>0</v>
      </c>
    </row>
    <row r="241">
      <c r="A241" s="15" t="s">
        <v>343</v>
      </c>
      <c r="B241" s="16" t="s">
        <v>27</v>
      </c>
      <c r="C241" s="16" t="s">
        <v>28</v>
      </c>
      <c r="D241" s="17" t="str">
        <f t="shared" si="1"/>
        <v>Active</v>
      </c>
      <c r="E241" s="18">
        <v>45708.0</v>
      </c>
      <c r="F241" s="63"/>
      <c r="G241" s="20">
        <f t="shared" si="2"/>
        <v>7.833333333</v>
      </c>
      <c r="H241" s="45">
        <v>45443.0</v>
      </c>
      <c r="I241" s="20">
        <f t="shared" si="3"/>
        <v>0.7222222222</v>
      </c>
      <c r="J241" s="46">
        <v>72.0</v>
      </c>
      <c r="K241" s="46">
        <v>7.0</v>
      </c>
      <c r="L241" s="23" t="s">
        <v>94</v>
      </c>
      <c r="M241" s="23"/>
      <c r="N241" s="50"/>
      <c r="O241" s="50"/>
      <c r="P241" s="57"/>
      <c r="Q241" s="50"/>
      <c r="R241" s="17" t="str">
        <f t="shared" si="4"/>
        <v>TBD</v>
      </c>
      <c r="S241" s="18"/>
      <c r="T241" s="20">
        <f t="shared" si="5"/>
        <v>7.833333333</v>
      </c>
    </row>
    <row r="242">
      <c r="A242" s="27" t="s">
        <v>344</v>
      </c>
      <c r="B242" s="28" t="s">
        <v>27</v>
      </c>
      <c r="C242" s="28" t="s">
        <v>28</v>
      </c>
      <c r="D242" s="29" t="str">
        <f t="shared" si="1"/>
        <v>Active</v>
      </c>
      <c r="E242" s="33">
        <v>45708.0</v>
      </c>
      <c r="F242" s="58"/>
      <c r="G242" s="32">
        <f t="shared" si="2"/>
        <v>7.833333333</v>
      </c>
      <c r="H242" s="47">
        <v>45559.0</v>
      </c>
      <c r="I242" s="32">
        <f t="shared" si="3"/>
        <v>0.4055555556</v>
      </c>
      <c r="J242" s="48">
        <v>86.0</v>
      </c>
      <c r="K242" s="48">
        <v>65.0</v>
      </c>
      <c r="L242" s="35" t="s">
        <v>29</v>
      </c>
      <c r="M242" s="35" t="s">
        <v>30</v>
      </c>
      <c r="N242" s="49"/>
      <c r="O242" s="49"/>
      <c r="P242" s="51"/>
      <c r="Q242" s="49"/>
      <c r="R242" s="29" t="str">
        <f t="shared" si="4"/>
        <v>Active</v>
      </c>
      <c r="S242" s="33">
        <f>E242</f>
        <v>45708</v>
      </c>
      <c r="T242" s="32">
        <f t="shared" si="5"/>
        <v>0</v>
      </c>
    </row>
    <row r="243">
      <c r="A243" s="15" t="s">
        <v>345</v>
      </c>
      <c r="B243" s="16" t="s">
        <v>27</v>
      </c>
      <c r="C243" s="16" t="s">
        <v>28</v>
      </c>
      <c r="D243" s="17" t="str">
        <f t="shared" si="1"/>
        <v>Active</v>
      </c>
      <c r="E243" s="18">
        <v>45706.0</v>
      </c>
      <c r="F243" s="63"/>
      <c r="G243" s="20">
        <f t="shared" si="2"/>
        <v>7.9</v>
      </c>
      <c r="H243" s="45">
        <v>45706.0</v>
      </c>
      <c r="I243" s="20">
        <f t="shared" si="3"/>
        <v>0</v>
      </c>
      <c r="J243" s="46">
        <v>81.0</v>
      </c>
      <c r="K243" s="46">
        <v>17.0</v>
      </c>
      <c r="L243" s="23" t="s">
        <v>29</v>
      </c>
      <c r="M243" s="23" t="s">
        <v>30</v>
      </c>
      <c r="N243" s="50"/>
      <c r="O243" s="50"/>
      <c r="P243" s="57"/>
      <c r="Q243" s="50"/>
      <c r="R243" s="17" t="str">
        <f t="shared" si="4"/>
        <v>TBD</v>
      </c>
      <c r="S243" s="18"/>
      <c r="T243" s="20">
        <f t="shared" si="5"/>
        <v>7.9</v>
      </c>
    </row>
    <row r="244">
      <c r="A244" s="27" t="s">
        <v>346</v>
      </c>
      <c r="B244" s="28" t="s">
        <v>27</v>
      </c>
      <c r="C244" s="28" t="s">
        <v>28</v>
      </c>
      <c r="D244" s="29" t="str">
        <f t="shared" si="1"/>
        <v>Active</v>
      </c>
      <c r="E244" s="30">
        <v>45701.0</v>
      </c>
      <c r="F244" s="70"/>
      <c r="G244" s="32">
        <f t="shared" si="2"/>
        <v>8.066666667</v>
      </c>
      <c r="H244" s="33">
        <v>43445.0</v>
      </c>
      <c r="I244" s="32">
        <f t="shared" si="3"/>
        <v>6.172222222</v>
      </c>
      <c r="J244" s="34">
        <v>84.0</v>
      </c>
      <c r="K244" s="34">
        <v>28.5</v>
      </c>
      <c r="L244" s="35" t="s">
        <v>119</v>
      </c>
      <c r="M244" s="44"/>
      <c r="N244" s="35" t="s">
        <v>347</v>
      </c>
      <c r="O244" s="44"/>
      <c r="P244" s="71"/>
      <c r="Q244" s="44"/>
      <c r="R244" s="29" t="str">
        <f t="shared" si="4"/>
        <v>TBD</v>
      </c>
      <c r="S244" s="33"/>
      <c r="T244" s="32">
        <f t="shared" si="5"/>
        <v>8.066666667</v>
      </c>
    </row>
    <row r="245">
      <c r="A245" s="15" t="s">
        <v>348</v>
      </c>
      <c r="B245" s="16" t="s">
        <v>27</v>
      </c>
      <c r="C245" s="16" t="s">
        <v>28</v>
      </c>
      <c r="D245" s="17" t="str">
        <f t="shared" si="1"/>
        <v>Active</v>
      </c>
      <c r="E245" s="18">
        <v>45694.0</v>
      </c>
      <c r="F245" s="63"/>
      <c r="G245" s="20">
        <f t="shared" si="2"/>
        <v>8.3</v>
      </c>
      <c r="H245" s="45">
        <v>45520.0</v>
      </c>
      <c r="I245" s="20">
        <f t="shared" si="3"/>
        <v>0.4722222222</v>
      </c>
      <c r="J245" s="46">
        <v>70.0</v>
      </c>
      <c r="K245" s="46">
        <v>3.1</v>
      </c>
      <c r="L245" s="23" t="s">
        <v>92</v>
      </c>
      <c r="M245" s="23"/>
      <c r="N245" s="50"/>
      <c r="O245" s="50"/>
      <c r="P245" s="57"/>
      <c r="Q245" s="50"/>
      <c r="R245" s="17" t="str">
        <f t="shared" si="4"/>
        <v>TBD</v>
      </c>
      <c r="S245" s="18"/>
      <c r="T245" s="20">
        <f t="shared" si="5"/>
        <v>8.3</v>
      </c>
    </row>
    <row r="246">
      <c r="A246" s="27" t="s">
        <v>349</v>
      </c>
      <c r="B246" s="28" t="s">
        <v>27</v>
      </c>
      <c r="C246" s="28" t="s">
        <v>28</v>
      </c>
      <c r="D246" s="29" t="str">
        <f t="shared" si="1"/>
        <v>Active</v>
      </c>
      <c r="E246" s="33">
        <v>45692.0</v>
      </c>
      <c r="F246" s="58"/>
      <c r="G246" s="32">
        <f t="shared" si="2"/>
        <v>8.366666667</v>
      </c>
      <c r="H246" s="47">
        <v>43511.0</v>
      </c>
      <c r="I246" s="32">
        <f t="shared" si="3"/>
        <v>5.969444444</v>
      </c>
      <c r="J246" s="48">
        <v>71.0</v>
      </c>
      <c r="K246" s="48">
        <v>11.0</v>
      </c>
      <c r="L246" s="35" t="s">
        <v>32</v>
      </c>
      <c r="M246" s="35"/>
      <c r="N246" s="49"/>
      <c r="O246" s="49"/>
      <c r="P246" s="51"/>
      <c r="Q246" s="49"/>
      <c r="R246" s="29" t="str">
        <f t="shared" si="4"/>
        <v>Active</v>
      </c>
      <c r="S246" s="33">
        <f>E246</f>
        <v>45692</v>
      </c>
      <c r="T246" s="32">
        <f t="shared" si="5"/>
        <v>0</v>
      </c>
    </row>
    <row r="247">
      <c r="A247" s="15" t="s">
        <v>350</v>
      </c>
      <c r="B247" s="16" t="s">
        <v>27</v>
      </c>
      <c r="C247" s="16" t="s">
        <v>28</v>
      </c>
      <c r="D247" s="17" t="str">
        <f t="shared" si="1"/>
        <v>Active</v>
      </c>
      <c r="E247" s="18">
        <v>45688.0</v>
      </c>
      <c r="F247" s="63"/>
      <c r="G247" s="20">
        <f t="shared" si="2"/>
        <v>8.5</v>
      </c>
      <c r="H247" s="45">
        <v>45688.0</v>
      </c>
      <c r="I247" s="20">
        <f t="shared" si="3"/>
        <v>0</v>
      </c>
      <c r="J247" s="46">
        <v>85.0</v>
      </c>
      <c r="K247" s="46">
        <v>10.0</v>
      </c>
      <c r="L247" s="23" t="s">
        <v>29</v>
      </c>
      <c r="M247" s="23" t="s">
        <v>30</v>
      </c>
      <c r="N247" s="50"/>
      <c r="O247" s="50"/>
      <c r="P247" s="57"/>
      <c r="Q247" s="50"/>
      <c r="R247" s="17" t="str">
        <f t="shared" si="4"/>
        <v>Active</v>
      </c>
      <c r="S247" s="18">
        <v>45875.0</v>
      </c>
      <c r="T247" s="20">
        <f t="shared" si="5"/>
        <v>6.2</v>
      </c>
    </row>
    <row r="248">
      <c r="A248" s="27" t="s">
        <v>351</v>
      </c>
      <c r="B248" s="28" t="s">
        <v>27</v>
      </c>
      <c r="C248" s="28" t="s">
        <v>28</v>
      </c>
      <c r="D248" s="29" t="str">
        <f t="shared" si="1"/>
        <v>Active</v>
      </c>
      <c r="E248" s="33">
        <v>45687.0</v>
      </c>
      <c r="F248" s="58"/>
      <c r="G248" s="32">
        <f t="shared" si="2"/>
        <v>8.5</v>
      </c>
      <c r="H248" s="47">
        <v>45687.0</v>
      </c>
      <c r="I248" s="32">
        <f t="shared" si="3"/>
        <v>0</v>
      </c>
      <c r="J248" s="48">
        <v>75.0</v>
      </c>
      <c r="K248" s="48">
        <v>9.0</v>
      </c>
      <c r="L248" s="35" t="s">
        <v>32</v>
      </c>
      <c r="M248" s="35"/>
      <c r="N248" s="49"/>
      <c r="O248" s="49"/>
      <c r="P248" s="51"/>
      <c r="Q248" s="49"/>
      <c r="R248" s="29" t="str">
        <f t="shared" si="4"/>
        <v>Active</v>
      </c>
      <c r="S248" s="33">
        <f t="shared" ref="S248:S249" si="19">E248</f>
        <v>45687</v>
      </c>
      <c r="T248" s="32">
        <f t="shared" si="5"/>
        <v>0</v>
      </c>
    </row>
    <row r="249">
      <c r="A249" s="15" t="s">
        <v>352</v>
      </c>
      <c r="B249" s="16" t="s">
        <v>27</v>
      </c>
      <c r="C249" s="16" t="s">
        <v>28</v>
      </c>
      <c r="D249" s="17" t="str">
        <f t="shared" si="1"/>
        <v>Active</v>
      </c>
      <c r="E249" s="18">
        <v>45686.0</v>
      </c>
      <c r="F249" s="63"/>
      <c r="G249" s="20">
        <f t="shared" si="2"/>
        <v>8.533333333</v>
      </c>
      <c r="H249" s="45">
        <v>44175.0</v>
      </c>
      <c r="I249" s="20">
        <f t="shared" si="3"/>
        <v>4.136111111</v>
      </c>
      <c r="J249" s="46">
        <v>78.0</v>
      </c>
      <c r="K249" s="46">
        <v>5.0</v>
      </c>
      <c r="L249" s="23" t="s">
        <v>37</v>
      </c>
      <c r="M249" s="23"/>
      <c r="N249" s="50"/>
      <c r="O249" s="50"/>
      <c r="P249" s="57"/>
      <c r="Q249" s="50"/>
      <c r="R249" s="17" t="str">
        <f t="shared" si="4"/>
        <v>Active</v>
      </c>
      <c r="S249" s="18">
        <f t="shared" si="19"/>
        <v>45686</v>
      </c>
      <c r="T249" s="20">
        <f t="shared" si="5"/>
        <v>0</v>
      </c>
    </row>
    <row r="250">
      <c r="A250" s="27" t="s">
        <v>353</v>
      </c>
      <c r="B250" s="28" t="s">
        <v>27</v>
      </c>
      <c r="C250" s="28" t="s">
        <v>28</v>
      </c>
      <c r="D250" s="29" t="str">
        <f t="shared" si="1"/>
        <v>Active</v>
      </c>
      <c r="E250" s="33">
        <v>45685.0</v>
      </c>
      <c r="F250" s="58"/>
      <c r="G250" s="32">
        <f t="shared" si="2"/>
        <v>8.566666667</v>
      </c>
      <c r="H250" s="47">
        <v>45685.0</v>
      </c>
      <c r="I250" s="32">
        <f t="shared" si="3"/>
        <v>0</v>
      </c>
      <c r="J250" s="48">
        <v>68.0</v>
      </c>
      <c r="K250" s="48">
        <v>18.0</v>
      </c>
      <c r="L250" s="35" t="s">
        <v>37</v>
      </c>
      <c r="M250" s="35"/>
      <c r="N250" s="49"/>
      <c r="O250" s="49"/>
      <c r="P250" s="51"/>
      <c r="Q250" s="49"/>
      <c r="R250" s="29" t="str">
        <f t="shared" si="4"/>
        <v>Active</v>
      </c>
      <c r="S250" s="33">
        <v>45945.0</v>
      </c>
      <c r="T250" s="32">
        <f t="shared" si="5"/>
        <v>8.566666667</v>
      </c>
    </row>
    <row r="251">
      <c r="A251" s="15" t="s">
        <v>354</v>
      </c>
      <c r="B251" s="16" t="s">
        <v>27</v>
      </c>
      <c r="C251" s="16" t="s">
        <v>28</v>
      </c>
      <c r="D251" s="17" t="str">
        <f t="shared" si="1"/>
        <v>Active</v>
      </c>
      <c r="E251" s="18">
        <v>45685.0</v>
      </c>
      <c r="F251" s="63"/>
      <c r="G251" s="20">
        <f t="shared" si="2"/>
        <v>8.566666667</v>
      </c>
      <c r="H251" s="45">
        <v>45685.0</v>
      </c>
      <c r="I251" s="20">
        <f t="shared" si="3"/>
        <v>0</v>
      </c>
      <c r="J251" s="46">
        <v>70.0</v>
      </c>
      <c r="K251" s="46">
        <v>21.0</v>
      </c>
      <c r="L251" s="23" t="s">
        <v>355</v>
      </c>
      <c r="M251" s="23" t="s">
        <v>30</v>
      </c>
      <c r="N251" s="50"/>
      <c r="O251" s="50"/>
      <c r="P251" s="57"/>
      <c r="Q251" s="50"/>
      <c r="R251" s="17" t="str">
        <f t="shared" si="4"/>
        <v>Active</v>
      </c>
      <c r="S251" s="18">
        <v>45875.0</v>
      </c>
      <c r="T251" s="20">
        <f t="shared" si="5"/>
        <v>6.266666667</v>
      </c>
    </row>
    <row r="252" ht="16.5" customHeight="1">
      <c r="A252" s="27" t="s">
        <v>356</v>
      </c>
      <c r="B252" s="28" t="s">
        <v>27</v>
      </c>
      <c r="C252" s="28" t="s">
        <v>28</v>
      </c>
      <c r="D252" s="29" t="str">
        <f t="shared" si="1"/>
        <v>Active</v>
      </c>
      <c r="E252" s="33">
        <v>45680.0</v>
      </c>
      <c r="F252" s="58"/>
      <c r="G252" s="32">
        <f t="shared" si="2"/>
        <v>8.733333333</v>
      </c>
      <c r="H252" s="47">
        <v>45680.0</v>
      </c>
      <c r="I252" s="32">
        <f t="shared" si="3"/>
        <v>0</v>
      </c>
      <c r="J252" s="48">
        <v>80.0</v>
      </c>
      <c r="K252" s="48">
        <v>10.0</v>
      </c>
      <c r="L252" s="35" t="s">
        <v>37</v>
      </c>
      <c r="M252" s="35"/>
      <c r="N252" s="49"/>
      <c r="O252" s="49"/>
      <c r="P252" s="51"/>
      <c r="Q252" s="49"/>
      <c r="R252" s="29" t="str">
        <f t="shared" si="4"/>
        <v>Active</v>
      </c>
      <c r="S252" s="33">
        <v>45945.0</v>
      </c>
      <c r="T252" s="32">
        <f t="shared" si="5"/>
        <v>8.733333333</v>
      </c>
    </row>
    <row r="253">
      <c r="A253" s="15" t="s">
        <v>357</v>
      </c>
      <c r="B253" s="16" t="s">
        <v>27</v>
      </c>
      <c r="C253" s="16" t="s">
        <v>28</v>
      </c>
      <c r="D253" s="17" t="str">
        <f t="shared" si="1"/>
        <v>Active</v>
      </c>
      <c r="E253" s="18">
        <v>45678.0</v>
      </c>
      <c r="F253" s="63"/>
      <c r="G253" s="20">
        <f t="shared" si="2"/>
        <v>8.8</v>
      </c>
      <c r="H253" s="45">
        <v>43958.0</v>
      </c>
      <c r="I253" s="20">
        <f t="shared" si="3"/>
        <v>4.705555556</v>
      </c>
      <c r="J253" s="46">
        <v>84.0</v>
      </c>
      <c r="K253" s="46">
        <v>3.0</v>
      </c>
      <c r="L253" s="23" t="s">
        <v>358</v>
      </c>
      <c r="M253" s="23" t="s">
        <v>30</v>
      </c>
      <c r="N253" s="50"/>
      <c r="O253" s="50"/>
      <c r="P253" s="57"/>
      <c r="Q253" s="50"/>
      <c r="R253" s="17" t="str">
        <f t="shared" si="4"/>
        <v>Active</v>
      </c>
      <c r="S253" s="18">
        <v>45875.0</v>
      </c>
      <c r="T253" s="20">
        <f t="shared" si="5"/>
        <v>6.5</v>
      </c>
    </row>
    <row r="254">
      <c r="A254" s="27" t="s">
        <v>359</v>
      </c>
      <c r="B254" s="28" t="s">
        <v>40</v>
      </c>
      <c r="C254" s="28"/>
      <c r="D254" s="29" t="str">
        <f t="shared" si="1"/>
        <v>Active</v>
      </c>
      <c r="E254" s="33">
        <v>45671.0</v>
      </c>
      <c r="F254" s="58"/>
      <c r="G254" s="32">
        <f t="shared" si="2"/>
        <v>9.033333333</v>
      </c>
      <c r="H254" s="47">
        <v>35430.0</v>
      </c>
      <c r="I254" s="32">
        <f t="shared" si="3"/>
        <v>28.03888889</v>
      </c>
      <c r="J254" s="48">
        <v>94.0</v>
      </c>
      <c r="K254" s="48">
        <v>7.0</v>
      </c>
      <c r="L254" s="35" t="s">
        <v>29</v>
      </c>
      <c r="M254" s="35"/>
      <c r="N254" s="49"/>
      <c r="O254" s="49"/>
      <c r="P254" s="51"/>
      <c r="Q254" s="49"/>
      <c r="R254" s="59" t="str">
        <f t="shared" si="4"/>
        <v>Active</v>
      </c>
      <c r="S254" s="60">
        <v>45931.0</v>
      </c>
      <c r="T254" s="32">
        <f t="shared" si="5"/>
        <v>8.566666667</v>
      </c>
    </row>
    <row r="255">
      <c r="A255" s="15" t="s">
        <v>360</v>
      </c>
      <c r="B255" s="16" t="s">
        <v>68</v>
      </c>
      <c r="C255" s="16" t="s">
        <v>28</v>
      </c>
      <c r="D255" s="17" t="str">
        <f t="shared" si="1"/>
        <v>Active</v>
      </c>
      <c r="E255" s="18">
        <v>45671.0</v>
      </c>
      <c r="F255" s="63"/>
      <c r="G255" s="20">
        <f t="shared" si="2"/>
        <v>9.033333333</v>
      </c>
      <c r="H255" s="45">
        <v>45226.0</v>
      </c>
      <c r="I255" s="20">
        <f t="shared" si="3"/>
        <v>1.213888889</v>
      </c>
      <c r="J255" s="46">
        <v>78.0</v>
      </c>
      <c r="K255" s="46">
        <v>14.0</v>
      </c>
      <c r="L255" s="23" t="s">
        <v>303</v>
      </c>
      <c r="M255" s="23" t="s">
        <v>30</v>
      </c>
      <c r="N255" s="50"/>
      <c r="O255" s="50"/>
      <c r="P255" s="57"/>
      <c r="Q255" s="50"/>
      <c r="R255" s="17" t="str">
        <f t="shared" si="4"/>
        <v>TBD</v>
      </c>
      <c r="S255" s="18"/>
      <c r="T255" s="20">
        <f t="shared" si="5"/>
        <v>9.033333333</v>
      </c>
    </row>
    <row r="256">
      <c r="A256" s="27" t="s">
        <v>361</v>
      </c>
      <c r="B256" s="28" t="s">
        <v>27</v>
      </c>
      <c r="C256" s="28" t="s">
        <v>121</v>
      </c>
      <c r="D256" s="29" t="str">
        <f t="shared" si="1"/>
        <v>Active</v>
      </c>
      <c r="E256" s="33">
        <v>45664.0</v>
      </c>
      <c r="F256" s="31"/>
      <c r="G256" s="32">
        <f t="shared" si="2"/>
        <v>9.266666667</v>
      </c>
      <c r="H256" s="33">
        <v>44424.0</v>
      </c>
      <c r="I256" s="32">
        <f t="shared" si="3"/>
        <v>3.391666667</v>
      </c>
      <c r="J256" s="34">
        <v>79.0</v>
      </c>
      <c r="K256" s="34">
        <v>7.5</v>
      </c>
      <c r="L256" s="35" t="s">
        <v>362</v>
      </c>
      <c r="M256" s="35"/>
      <c r="N256" s="35" t="s">
        <v>363</v>
      </c>
      <c r="O256" s="35" t="s">
        <v>125</v>
      </c>
      <c r="P256" s="36" t="s">
        <v>364</v>
      </c>
      <c r="Q256" s="35"/>
      <c r="R256" s="29" t="str">
        <f t="shared" si="4"/>
        <v>Active</v>
      </c>
      <c r="S256" s="33">
        <f t="shared" ref="S256:S257" si="20">E256</f>
        <v>45664</v>
      </c>
      <c r="T256" s="32">
        <f t="shared" si="5"/>
        <v>0</v>
      </c>
    </row>
    <row r="257">
      <c r="A257" s="15" t="s">
        <v>365</v>
      </c>
      <c r="B257" s="16" t="s">
        <v>27</v>
      </c>
      <c r="C257" s="16" t="s">
        <v>28</v>
      </c>
      <c r="D257" s="17" t="str">
        <f t="shared" si="1"/>
        <v>Active</v>
      </c>
      <c r="E257" s="62">
        <v>45659.0</v>
      </c>
      <c r="F257" s="52"/>
      <c r="G257" s="20">
        <f t="shared" si="2"/>
        <v>9.433333333</v>
      </c>
      <c r="H257" s="18">
        <v>44035.0</v>
      </c>
      <c r="I257" s="20">
        <f t="shared" si="3"/>
        <v>4.441666667</v>
      </c>
      <c r="J257" s="53">
        <v>76.0</v>
      </c>
      <c r="K257" s="53">
        <v>4.0</v>
      </c>
      <c r="L257" s="23" t="s">
        <v>366</v>
      </c>
      <c r="M257" s="23"/>
      <c r="N257" s="23" t="s">
        <v>367</v>
      </c>
      <c r="O257" s="23" t="s">
        <v>34</v>
      </c>
      <c r="P257" s="54" t="s">
        <v>368</v>
      </c>
      <c r="Q257" s="23"/>
      <c r="R257" s="17" t="str">
        <f t="shared" si="4"/>
        <v>Active</v>
      </c>
      <c r="S257" s="18">
        <f t="shared" si="20"/>
        <v>45659</v>
      </c>
      <c r="T257" s="20">
        <f t="shared" si="5"/>
        <v>0</v>
      </c>
    </row>
    <row r="258">
      <c r="A258" s="27" t="s">
        <v>369</v>
      </c>
      <c r="B258" s="28" t="s">
        <v>27</v>
      </c>
      <c r="C258" s="28" t="s">
        <v>28</v>
      </c>
      <c r="D258" s="29" t="str">
        <f t="shared" si="1"/>
        <v>Active</v>
      </c>
      <c r="E258" s="33">
        <v>45638.0</v>
      </c>
      <c r="F258" s="37"/>
      <c r="G258" s="32">
        <f t="shared" si="2"/>
        <v>10.1</v>
      </c>
      <c r="H258" s="33">
        <v>45232.0</v>
      </c>
      <c r="I258" s="32">
        <f t="shared" si="3"/>
        <v>1.111111111</v>
      </c>
      <c r="J258" s="48">
        <v>76.0</v>
      </c>
      <c r="K258" s="48">
        <v>15.0</v>
      </c>
      <c r="L258" s="35" t="s">
        <v>355</v>
      </c>
      <c r="M258" s="35"/>
      <c r="N258" s="49"/>
      <c r="O258" s="49"/>
      <c r="P258" s="51"/>
      <c r="Q258" s="49"/>
      <c r="R258" s="29" t="str">
        <f t="shared" si="4"/>
        <v>Active</v>
      </c>
      <c r="S258" s="33">
        <v>45917.0</v>
      </c>
      <c r="T258" s="32">
        <f t="shared" si="5"/>
        <v>9.166666667</v>
      </c>
    </row>
    <row r="259">
      <c r="A259" s="15" t="s">
        <v>370</v>
      </c>
      <c r="B259" s="16" t="s">
        <v>27</v>
      </c>
      <c r="C259" s="16" t="s">
        <v>28</v>
      </c>
      <c r="D259" s="17" t="str">
        <f t="shared" si="1"/>
        <v>Active</v>
      </c>
      <c r="E259" s="18">
        <v>45638.0</v>
      </c>
      <c r="F259" s="19"/>
      <c r="G259" s="20">
        <f t="shared" si="2"/>
        <v>10.1</v>
      </c>
      <c r="H259" s="18">
        <v>45519.0</v>
      </c>
      <c r="I259" s="20">
        <f t="shared" si="3"/>
        <v>0.325</v>
      </c>
      <c r="J259" s="46">
        <v>80.0</v>
      </c>
      <c r="K259" s="46">
        <v>41.0</v>
      </c>
      <c r="L259" s="23" t="s">
        <v>32</v>
      </c>
      <c r="M259" s="23" t="s">
        <v>30</v>
      </c>
      <c r="N259" s="50" t="s">
        <v>371</v>
      </c>
      <c r="O259" s="50"/>
      <c r="P259" s="57"/>
      <c r="Q259" s="50"/>
      <c r="R259" s="17" t="str">
        <f t="shared" si="4"/>
        <v>Active</v>
      </c>
      <c r="S259" s="18">
        <f>E259</f>
        <v>45638</v>
      </c>
      <c r="T259" s="20">
        <f t="shared" si="5"/>
        <v>0</v>
      </c>
    </row>
    <row r="260">
      <c r="A260" s="27" t="s">
        <v>372</v>
      </c>
      <c r="B260" s="28" t="s">
        <v>27</v>
      </c>
      <c r="C260" s="28" t="s">
        <v>28</v>
      </c>
      <c r="D260" s="29" t="str">
        <f t="shared" si="1"/>
        <v>Active</v>
      </c>
      <c r="E260" s="33">
        <v>45636.0</v>
      </c>
      <c r="F260" s="37"/>
      <c r="G260" s="32">
        <f t="shared" si="2"/>
        <v>10.16666667</v>
      </c>
      <c r="H260" s="33">
        <v>45028.0</v>
      </c>
      <c r="I260" s="32">
        <f t="shared" si="3"/>
        <v>1.661111111</v>
      </c>
      <c r="J260" s="48">
        <v>80.0</v>
      </c>
      <c r="K260" s="48">
        <v>13.0</v>
      </c>
      <c r="L260" s="35" t="s">
        <v>149</v>
      </c>
      <c r="M260" s="35"/>
      <c r="N260" s="49"/>
      <c r="O260" s="49"/>
      <c r="P260" s="51"/>
      <c r="Q260" s="49"/>
      <c r="R260" s="29" t="str">
        <f t="shared" si="4"/>
        <v>Active</v>
      </c>
      <c r="S260" s="33">
        <v>45826.0</v>
      </c>
      <c r="T260" s="32">
        <f t="shared" si="5"/>
        <v>6.266666667</v>
      </c>
    </row>
    <row r="261">
      <c r="A261" s="15" t="s">
        <v>373</v>
      </c>
      <c r="B261" s="16" t="s">
        <v>27</v>
      </c>
      <c r="C261" s="16" t="s">
        <v>28</v>
      </c>
      <c r="D261" s="17" t="str">
        <f t="shared" si="1"/>
        <v>Active</v>
      </c>
      <c r="E261" s="18">
        <v>45635.0</v>
      </c>
      <c r="F261" s="19"/>
      <c r="G261" s="20">
        <f t="shared" si="2"/>
        <v>10.2</v>
      </c>
      <c r="H261" s="18">
        <v>45635.0</v>
      </c>
      <c r="I261" s="20">
        <f t="shared" si="3"/>
        <v>0</v>
      </c>
      <c r="J261" s="46">
        <v>86.0</v>
      </c>
      <c r="K261" s="46">
        <v>15.0</v>
      </c>
      <c r="L261" s="23" t="s">
        <v>37</v>
      </c>
      <c r="M261" s="23" t="s">
        <v>30</v>
      </c>
      <c r="N261" s="50" t="s">
        <v>374</v>
      </c>
      <c r="O261" s="50"/>
      <c r="P261" s="57"/>
      <c r="Q261" s="50"/>
      <c r="R261" s="17" t="str">
        <f t="shared" si="4"/>
        <v>TBD</v>
      </c>
      <c r="S261" s="18"/>
      <c r="T261" s="20">
        <f t="shared" si="5"/>
        <v>10.2</v>
      </c>
    </row>
    <row r="262">
      <c r="A262" s="27" t="s">
        <v>375</v>
      </c>
      <c r="B262" s="28" t="s">
        <v>27</v>
      </c>
      <c r="C262" s="28" t="s">
        <v>28</v>
      </c>
      <c r="D262" s="29" t="str">
        <f t="shared" si="1"/>
        <v>Active</v>
      </c>
      <c r="E262" s="33">
        <v>45631.0</v>
      </c>
      <c r="F262" s="37"/>
      <c r="G262" s="32">
        <f t="shared" si="2"/>
        <v>10.33333333</v>
      </c>
      <c r="H262" s="33">
        <v>45233.0</v>
      </c>
      <c r="I262" s="32">
        <f t="shared" si="3"/>
        <v>1.088888889</v>
      </c>
      <c r="J262" s="48">
        <v>80.0</v>
      </c>
      <c r="K262" s="48">
        <v>11.0</v>
      </c>
      <c r="L262" s="35" t="s">
        <v>94</v>
      </c>
      <c r="M262" s="35" t="s">
        <v>30</v>
      </c>
      <c r="N262" s="49"/>
      <c r="O262" s="49"/>
      <c r="P262" s="51"/>
      <c r="Q262" s="49"/>
      <c r="R262" s="29" t="str">
        <f t="shared" si="4"/>
        <v>TBD</v>
      </c>
      <c r="S262" s="33"/>
      <c r="T262" s="32">
        <f t="shared" si="5"/>
        <v>10.33333333</v>
      </c>
    </row>
    <row r="263">
      <c r="A263" s="15" t="s">
        <v>376</v>
      </c>
      <c r="B263" s="16" t="s">
        <v>27</v>
      </c>
      <c r="C263" s="16" t="s">
        <v>28</v>
      </c>
      <c r="D263" s="17" t="str">
        <f t="shared" si="1"/>
        <v>Active</v>
      </c>
      <c r="E263" s="18">
        <v>45631.0</v>
      </c>
      <c r="F263" s="19"/>
      <c r="G263" s="20">
        <f t="shared" si="2"/>
        <v>10.33333333</v>
      </c>
      <c r="H263" s="18">
        <v>45631.0</v>
      </c>
      <c r="I263" s="20">
        <f t="shared" si="3"/>
        <v>0</v>
      </c>
      <c r="J263" s="46"/>
      <c r="K263" s="46"/>
      <c r="L263" s="23" t="s">
        <v>48</v>
      </c>
      <c r="M263" s="23" t="s">
        <v>30</v>
      </c>
      <c r="N263" s="50"/>
      <c r="O263" s="50"/>
      <c r="P263" s="57"/>
      <c r="Q263" s="50"/>
      <c r="R263" s="17" t="str">
        <f t="shared" si="4"/>
        <v>Active</v>
      </c>
      <c r="S263" s="18">
        <v>45917.0</v>
      </c>
      <c r="T263" s="20">
        <f t="shared" si="5"/>
        <v>9.4</v>
      </c>
    </row>
    <row r="264">
      <c r="A264" s="27" t="s">
        <v>377</v>
      </c>
      <c r="B264" s="28" t="s">
        <v>68</v>
      </c>
      <c r="C264" s="28"/>
      <c r="D264" s="29" t="str">
        <f t="shared" si="1"/>
        <v>Active</v>
      </c>
      <c r="E264" s="33">
        <v>45630.0</v>
      </c>
      <c r="F264" s="37"/>
      <c r="G264" s="32">
        <f t="shared" si="2"/>
        <v>10.36666667</v>
      </c>
      <c r="H264" s="33">
        <v>43637.0</v>
      </c>
      <c r="I264" s="32">
        <f t="shared" si="3"/>
        <v>5.452777778</v>
      </c>
      <c r="J264" s="48">
        <v>83.0</v>
      </c>
      <c r="K264" s="48">
        <v>6.0</v>
      </c>
      <c r="L264" s="35" t="s">
        <v>94</v>
      </c>
      <c r="M264" s="35"/>
      <c r="N264" s="72" t="s">
        <v>378</v>
      </c>
      <c r="O264" s="49"/>
      <c r="P264" s="51"/>
      <c r="Q264" s="49"/>
      <c r="R264" s="29" t="str">
        <f t="shared" si="4"/>
        <v>Active</v>
      </c>
      <c r="S264" s="33">
        <f t="shared" ref="S264:S265" si="21">E264</f>
        <v>45630</v>
      </c>
      <c r="T264" s="32">
        <f t="shared" si="5"/>
        <v>0</v>
      </c>
    </row>
    <row r="265">
      <c r="A265" s="15" t="s">
        <v>379</v>
      </c>
      <c r="B265" s="16" t="s">
        <v>27</v>
      </c>
      <c r="C265" s="16" t="s">
        <v>28</v>
      </c>
      <c r="D265" s="17" t="str">
        <f t="shared" si="1"/>
        <v>Active</v>
      </c>
      <c r="E265" s="18">
        <v>45623.0</v>
      </c>
      <c r="F265" s="19"/>
      <c r="G265" s="20">
        <f t="shared" si="2"/>
        <v>10.6</v>
      </c>
      <c r="H265" s="45">
        <v>45097.0</v>
      </c>
      <c r="I265" s="20">
        <f t="shared" si="3"/>
        <v>1.436111111</v>
      </c>
      <c r="J265" s="46">
        <v>75.0</v>
      </c>
      <c r="K265" s="46">
        <v>24.0</v>
      </c>
      <c r="L265" s="23" t="s">
        <v>119</v>
      </c>
      <c r="M265" s="23"/>
      <c r="N265" s="50"/>
      <c r="O265" s="50"/>
      <c r="P265" s="57"/>
      <c r="Q265" s="50"/>
      <c r="R265" s="17" t="str">
        <f t="shared" si="4"/>
        <v>Active</v>
      </c>
      <c r="S265" s="18">
        <f t="shared" si="21"/>
        <v>45623</v>
      </c>
      <c r="T265" s="20">
        <f t="shared" si="5"/>
        <v>0</v>
      </c>
    </row>
    <row r="266">
      <c r="A266" s="27" t="s">
        <v>380</v>
      </c>
      <c r="B266" s="28" t="s">
        <v>27</v>
      </c>
      <c r="C266" s="28" t="s">
        <v>28</v>
      </c>
      <c r="D266" s="29" t="str">
        <f t="shared" si="1"/>
        <v>Active</v>
      </c>
      <c r="E266" s="33">
        <v>45622.0</v>
      </c>
      <c r="F266" s="37"/>
      <c r="G266" s="32">
        <f t="shared" si="2"/>
        <v>10.63333333</v>
      </c>
      <c r="H266" s="47">
        <v>45440.0</v>
      </c>
      <c r="I266" s="32">
        <f t="shared" si="3"/>
        <v>0.4944444444</v>
      </c>
      <c r="J266" s="48">
        <v>83.0</v>
      </c>
      <c r="K266" s="48">
        <v>21.0</v>
      </c>
      <c r="L266" s="35" t="s">
        <v>44</v>
      </c>
      <c r="M266" s="35" t="s">
        <v>30</v>
      </c>
      <c r="N266" s="49" t="s">
        <v>381</v>
      </c>
      <c r="O266" s="49"/>
      <c r="P266" s="51"/>
      <c r="Q266" s="49"/>
      <c r="R266" s="29" t="str">
        <f t="shared" si="4"/>
        <v>Active</v>
      </c>
      <c r="S266" s="33">
        <v>45903.0</v>
      </c>
      <c r="T266" s="32">
        <f t="shared" si="5"/>
        <v>9.233333333</v>
      </c>
    </row>
    <row r="267">
      <c r="A267" s="15" t="s">
        <v>382</v>
      </c>
      <c r="B267" s="16" t="s">
        <v>27</v>
      </c>
      <c r="C267" s="16" t="s">
        <v>28</v>
      </c>
      <c r="D267" s="17" t="str">
        <f t="shared" si="1"/>
        <v>Active</v>
      </c>
      <c r="E267" s="18">
        <v>45616.0</v>
      </c>
      <c r="F267" s="73"/>
      <c r="G267" s="20">
        <f t="shared" si="2"/>
        <v>10.83333333</v>
      </c>
      <c r="H267" s="18">
        <v>45616.0</v>
      </c>
      <c r="I267" s="20">
        <f t="shared" si="3"/>
        <v>0</v>
      </c>
      <c r="J267" s="53">
        <v>73.0</v>
      </c>
      <c r="K267" s="53">
        <v>31.0</v>
      </c>
      <c r="L267" s="23" t="s">
        <v>37</v>
      </c>
      <c r="M267" s="23" t="s">
        <v>30</v>
      </c>
      <c r="N267" s="23"/>
      <c r="O267" s="23"/>
      <c r="P267" s="54"/>
      <c r="Q267" s="23"/>
      <c r="R267" s="17" t="str">
        <f t="shared" si="4"/>
        <v>Active</v>
      </c>
      <c r="S267" s="18">
        <v>45799.0</v>
      </c>
      <c r="T267" s="20">
        <f t="shared" si="5"/>
        <v>6.066666667</v>
      </c>
    </row>
    <row r="268">
      <c r="A268" s="27" t="s">
        <v>383</v>
      </c>
      <c r="B268" s="28" t="s">
        <v>27</v>
      </c>
      <c r="C268" s="28" t="s">
        <v>28</v>
      </c>
      <c r="D268" s="29" t="str">
        <f t="shared" si="1"/>
        <v>Active</v>
      </c>
      <c r="E268" s="33">
        <v>45615.0</v>
      </c>
      <c r="F268" s="37"/>
      <c r="G268" s="32">
        <f t="shared" si="2"/>
        <v>10.86666667</v>
      </c>
      <c r="H268" s="47">
        <v>45615.0</v>
      </c>
      <c r="I268" s="32">
        <f t="shared" si="3"/>
        <v>0</v>
      </c>
      <c r="J268" s="48">
        <v>78.0</v>
      </c>
      <c r="K268" s="48">
        <v>50.0</v>
      </c>
      <c r="L268" s="35" t="s">
        <v>50</v>
      </c>
      <c r="M268" s="35" t="s">
        <v>30</v>
      </c>
      <c r="N268" s="49"/>
      <c r="O268" s="49"/>
      <c r="P268" s="51"/>
      <c r="Q268" s="49"/>
      <c r="R268" s="29" t="str">
        <f t="shared" si="4"/>
        <v>TBD</v>
      </c>
      <c r="S268" s="33"/>
      <c r="T268" s="32">
        <f t="shared" si="5"/>
        <v>10.86666667</v>
      </c>
    </row>
    <row r="269">
      <c r="A269" s="15" t="s">
        <v>384</v>
      </c>
      <c r="B269" s="16" t="s">
        <v>27</v>
      </c>
      <c r="C269" s="16"/>
      <c r="D269" s="17" t="str">
        <f t="shared" si="1"/>
        <v>Active</v>
      </c>
      <c r="E269" s="18">
        <v>45608.0</v>
      </c>
      <c r="F269" s="63"/>
      <c r="G269" s="20">
        <f t="shared" si="2"/>
        <v>11.1</v>
      </c>
      <c r="H269" s="45">
        <v>43417.0</v>
      </c>
      <c r="I269" s="20">
        <f t="shared" si="3"/>
        <v>5.997222222</v>
      </c>
      <c r="J269" s="46">
        <v>82.0</v>
      </c>
      <c r="K269" s="46">
        <v>17.0</v>
      </c>
      <c r="L269" s="23" t="s">
        <v>44</v>
      </c>
      <c r="M269" s="23"/>
      <c r="N269" s="50"/>
      <c r="O269" s="24"/>
      <c r="P269" s="25"/>
      <c r="Q269" s="24"/>
      <c r="R269" s="17" t="str">
        <f t="shared" si="4"/>
        <v>Active</v>
      </c>
      <c r="S269" s="18">
        <f>E269</f>
        <v>45608</v>
      </c>
      <c r="T269" s="20">
        <f t="shared" si="5"/>
        <v>0</v>
      </c>
    </row>
    <row r="270">
      <c r="A270" s="27" t="s">
        <v>385</v>
      </c>
      <c r="B270" s="28" t="s">
        <v>27</v>
      </c>
      <c r="C270" s="28" t="s">
        <v>28</v>
      </c>
      <c r="D270" s="29" t="str">
        <f t="shared" si="1"/>
        <v>Active</v>
      </c>
      <c r="E270" s="74">
        <v>45603.0</v>
      </c>
      <c r="F270" s="58"/>
      <c r="G270" s="32">
        <f t="shared" si="2"/>
        <v>11.26666667</v>
      </c>
      <c r="H270" s="47">
        <v>45603.0</v>
      </c>
      <c r="I270" s="32">
        <f t="shared" si="3"/>
        <v>0</v>
      </c>
      <c r="J270" s="48">
        <v>65.0</v>
      </c>
      <c r="K270" s="48">
        <v>3.0</v>
      </c>
      <c r="L270" s="35" t="s">
        <v>37</v>
      </c>
      <c r="M270" s="35" t="s">
        <v>30</v>
      </c>
      <c r="N270" s="49"/>
      <c r="O270" s="40"/>
      <c r="P270" s="41"/>
      <c r="Q270" s="40"/>
      <c r="R270" s="29" t="str">
        <f t="shared" si="4"/>
        <v>Active</v>
      </c>
      <c r="S270" s="33">
        <v>45889.0</v>
      </c>
      <c r="T270" s="32">
        <f t="shared" si="5"/>
        <v>9.433333333</v>
      </c>
    </row>
    <row r="271">
      <c r="A271" s="15" t="s">
        <v>386</v>
      </c>
      <c r="B271" s="16" t="s">
        <v>27</v>
      </c>
      <c r="C271" s="16" t="s">
        <v>28</v>
      </c>
      <c r="D271" s="17" t="str">
        <f t="shared" si="1"/>
        <v>Active</v>
      </c>
      <c r="E271" s="75">
        <v>45601.0</v>
      </c>
      <c r="F271" s="63"/>
      <c r="G271" s="20">
        <f t="shared" si="2"/>
        <v>11.33333333</v>
      </c>
      <c r="H271" s="45">
        <v>45601.0</v>
      </c>
      <c r="I271" s="20">
        <f t="shared" si="3"/>
        <v>0</v>
      </c>
      <c r="J271" s="46">
        <v>79.0</v>
      </c>
      <c r="K271" s="46">
        <v>8.0</v>
      </c>
      <c r="L271" s="23" t="s">
        <v>119</v>
      </c>
      <c r="M271" s="43"/>
      <c r="N271" s="50"/>
      <c r="O271" s="24"/>
      <c r="P271" s="25"/>
      <c r="Q271" s="24"/>
      <c r="R271" s="17" t="str">
        <f t="shared" si="4"/>
        <v>Active</v>
      </c>
      <c r="S271" s="18">
        <v>45784.0</v>
      </c>
      <c r="T271" s="20">
        <f t="shared" si="5"/>
        <v>6.066666667</v>
      </c>
    </row>
    <row r="272">
      <c r="A272" s="27" t="s">
        <v>387</v>
      </c>
      <c r="B272" s="28" t="s">
        <v>40</v>
      </c>
      <c r="C272" s="28"/>
      <c r="D272" s="29" t="str">
        <f t="shared" si="1"/>
        <v>Active</v>
      </c>
      <c r="E272" s="74">
        <v>45601.0</v>
      </c>
      <c r="F272" s="58"/>
      <c r="G272" s="32">
        <f t="shared" si="2"/>
        <v>11.33333333</v>
      </c>
      <c r="H272" s="47">
        <v>42961.0</v>
      </c>
      <c r="I272" s="32">
        <f t="shared" si="3"/>
        <v>7.225</v>
      </c>
      <c r="J272" s="48">
        <v>85.0</v>
      </c>
      <c r="K272" s="48">
        <v>25.0</v>
      </c>
      <c r="L272" s="35" t="s">
        <v>119</v>
      </c>
      <c r="M272" s="44"/>
      <c r="N272" s="49"/>
      <c r="O272" s="40"/>
      <c r="P272" s="41"/>
      <c r="Q272" s="40"/>
      <c r="R272" s="29" t="str">
        <f t="shared" si="4"/>
        <v>TBD</v>
      </c>
      <c r="S272" s="33"/>
      <c r="T272" s="32">
        <f t="shared" si="5"/>
        <v>11.33333333</v>
      </c>
    </row>
    <row r="273">
      <c r="A273" s="15" t="s">
        <v>388</v>
      </c>
      <c r="B273" s="16" t="s">
        <v>40</v>
      </c>
      <c r="C273" s="16"/>
      <c r="D273" s="17" t="str">
        <f t="shared" si="1"/>
        <v>Active</v>
      </c>
      <c r="E273" s="75">
        <v>45601.0</v>
      </c>
      <c r="F273" s="63"/>
      <c r="G273" s="20">
        <f t="shared" si="2"/>
        <v>11.33333333</v>
      </c>
      <c r="H273" s="45">
        <v>45601.0</v>
      </c>
      <c r="I273" s="20">
        <f t="shared" si="3"/>
        <v>0</v>
      </c>
      <c r="J273" s="46">
        <v>85.0</v>
      </c>
      <c r="K273" s="46">
        <f>18+18+14+5</f>
        <v>55</v>
      </c>
      <c r="L273" s="23" t="s">
        <v>119</v>
      </c>
      <c r="M273" s="43"/>
      <c r="N273" s="50"/>
      <c r="O273" s="24"/>
      <c r="P273" s="25"/>
      <c r="Q273" s="24"/>
      <c r="R273" s="17" t="str">
        <f t="shared" si="4"/>
        <v>TBD</v>
      </c>
      <c r="S273" s="18"/>
      <c r="T273" s="20">
        <f t="shared" si="5"/>
        <v>11.33333333</v>
      </c>
    </row>
    <row r="274">
      <c r="A274" s="27" t="s">
        <v>389</v>
      </c>
      <c r="B274" s="28" t="s">
        <v>27</v>
      </c>
      <c r="C274" s="28" t="s">
        <v>28</v>
      </c>
      <c r="D274" s="29" t="str">
        <f t="shared" si="1"/>
        <v>Active</v>
      </c>
      <c r="E274" s="74">
        <v>45590.0</v>
      </c>
      <c r="F274" s="58"/>
      <c r="G274" s="32">
        <f t="shared" si="2"/>
        <v>11.66666667</v>
      </c>
      <c r="H274" s="47">
        <v>45590.0</v>
      </c>
      <c r="I274" s="32">
        <f t="shared" si="3"/>
        <v>0</v>
      </c>
      <c r="J274" s="48">
        <v>83.0</v>
      </c>
      <c r="K274" s="48">
        <v>9.0</v>
      </c>
      <c r="L274" s="35" t="s">
        <v>32</v>
      </c>
      <c r="M274" s="44"/>
      <c r="N274" s="49" t="s">
        <v>390</v>
      </c>
      <c r="O274" s="40"/>
      <c r="P274" s="41"/>
      <c r="Q274" s="40"/>
      <c r="R274" s="29" t="str">
        <f t="shared" si="4"/>
        <v>Active</v>
      </c>
      <c r="S274" s="33">
        <f t="shared" ref="S274:S275" si="22">E274</f>
        <v>45590</v>
      </c>
      <c r="T274" s="32">
        <f t="shared" si="5"/>
        <v>0</v>
      </c>
    </row>
    <row r="275">
      <c r="A275" s="64" t="s">
        <v>391</v>
      </c>
      <c r="B275" s="16" t="s">
        <v>27</v>
      </c>
      <c r="C275" s="17"/>
      <c r="D275" s="17" t="str">
        <f t="shared" si="1"/>
        <v>Active</v>
      </c>
      <c r="E275" s="62">
        <v>45594.0</v>
      </c>
      <c r="F275" s="76"/>
      <c r="G275" s="20">
        <f t="shared" si="2"/>
        <v>11.53333333</v>
      </c>
      <c r="H275" s="18">
        <v>43441.0</v>
      </c>
      <c r="I275" s="20">
        <f t="shared" si="3"/>
        <v>5.894444444</v>
      </c>
      <c r="J275" s="53">
        <v>78.0</v>
      </c>
      <c r="K275" s="53">
        <v>15.5</v>
      </c>
      <c r="L275" s="23" t="s">
        <v>392</v>
      </c>
      <c r="M275" s="43"/>
      <c r="N275" s="23" t="s">
        <v>393</v>
      </c>
      <c r="O275" s="43"/>
      <c r="P275" s="66"/>
      <c r="Q275" s="43"/>
      <c r="R275" s="17" t="str">
        <f t="shared" si="4"/>
        <v>Active</v>
      </c>
      <c r="S275" s="18">
        <f t="shared" si="22"/>
        <v>45594</v>
      </c>
      <c r="T275" s="20">
        <f t="shared" si="5"/>
        <v>0</v>
      </c>
    </row>
    <row r="276">
      <c r="A276" s="27" t="s">
        <v>394</v>
      </c>
      <c r="B276" s="28" t="s">
        <v>27</v>
      </c>
      <c r="C276" s="28" t="s">
        <v>28</v>
      </c>
      <c r="D276" s="29" t="str">
        <f t="shared" si="1"/>
        <v>Active</v>
      </c>
      <c r="E276" s="74">
        <v>45590.0</v>
      </c>
      <c r="F276" s="58"/>
      <c r="G276" s="32">
        <f t="shared" si="2"/>
        <v>11.66666667</v>
      </c>
      <c r="H276" s="47">
        <v>44881.0</v>
      </c>
      <c r="I276" s="32">
        <f t="shared" si="3"/>
        <v>1.941666667</v>
      </c>
      <c r="J276" s="48">
        <v>79.0</v>
      </c>
      <c r="K276" s="48">
        <v>99.0</v>
      </c>
      <c r="L276" s="35" t="s">
        <v>32</v>
      </c>
      <c r="M276" s="35"/>
      <c r="N276" s="49" t="s">
        <v>395</v>
      </c>
      <c r="O276" s="49"/>
      <c r="P276" s="51"/>
      <c r="Q276" s="49"/>
      <c r="R276" s="29" t="str">
        <f t="shared" si="4"/>
        <v>TBD</v>
      </c>
      <c r="S276" s="33"/>
      <c r="T276" s="32">
        <f t="shared" si="5"/>
        <v>11.66666667</v>
      </c>
    </row>
    <row r="277">
      <c r="A277" s="15" t="s">
        <v>396</v>
      </c>
      <c r="B277" s="16" t="s">
        <v>27</v>
      </c>
      <c r="C277" s="16" t="s">
        <v>121</v>
      </c>
      <c r="D277" s="17" t="str">
        <f t="shared" si="1"/>
        <v>Active</v>
      </c>
      <c r="E277" s="18">
        <v>45582.0</v>
      </c>
      <c r="F277" s="52"/>
      <c r="G277" s="20">
        <f t="shared" si="2"/>
        <v>11.93333333</v>
      </c>
      <c r="H277" s="18">
        <v>43340.0</v>
      </c>
      <c r="I277" s="20">
        <f t="shared" si="3"/>
        <v>6.136111111</v>
      </c>
      <c r="J277" s="53">
        <f>(77+87)/2</f>
        <v>82</v>
      </c>
      <c r="K277" s="53">
        <v>2.0</v>
      </c>
      <c r="L277" s="23" t="s">
        <v>366</v>
      </c>
      <c r="M277" s="23"/>
      <c r="N277" s="23" t="s">
        <v>397</v>
      </c>
      <c r="O277" s="23" t="s">
        <v>132</v>
      </c>
      <c r="P277" s="54" t="s">
        <v>398</v>
      </c>
      <c r="Q277" s="23"/>
      <c r="R277" s="17" t="str">
        <f t="shared" si="4"/>
        <v>Active</v>
      </c>
      <c r="S277" s="18">
        <f>E277</f>
        <v>45582</v>
      </c>
      <c r="T277" s="20">
        <f t="shared" si="5"/>
        <v>0</v>
      </c>
    </row>
    <row r="278">
      <c r="A278" s="27" t="s">
        <v>399</v>
      </c>
      <c r="B278" s="28" t="s">
        <v>27</v>
      </c>
      <c r="C278" s="28" t="s">
        <v>28</v>
      </c>
      <c r="D278" s="29" t="str">
        <f t="shared" si="1"/>
        <v>Active</v>
      </c>
      <c r="E278" s="33">
        <v>45582.0</v>
      </c>
      <c r="F278" s="58"/>
      <c r="G278" s="32">
        <f t="shared" si="2"/>
        <v>11.93333333</v>
      </c>
      <c r="H278" s="47">
        <v>45582.0</v>
      </c>
      <c r="I278" s="32">
        <f t="shared" si="3"/>
        <v>0</v>
      </c>
      <c r="J278" s="48">
        <v>79.0</v>
      </c>
      <c r="K278" s="48">
        <v>23.0</v>
      </c>
      <c r="L278" s="35" t="s">
        <v>50</v>
      </c>
      <c r="M278" s="35" t="s">
        <v>30</v>
      </c>
      <c r="N278" s="49"/>
      <c r="O278" s="49"/>
      <c r="P278" s="51"/>
      <c r="Q278" s="49"/>
      <c r="R278" s="29" t="str">
        <f t="shared" si="4"/>
        <v>Active</v>
      </c>
      <c r="S278" s="33">
        <v>45875.0</v>
      </c>
      <c r="T278" s="32">
        <f t="shared" si="5"/>
        <v>9.633333333</v>
      </c>
    </row>
    <row r="279">
      <c r="A279" s="15" t="s">
        <v>400</v>
      </c>
      <c r="B279" s="16" t="s">
        <v>27</v>
      </c>
      <c r="C279" s="16" t="s">
        <v>28</v>
      </c>
      <c r="D279" s="17" t="str">
        <f t="shared" si="1"/>
        <v>Active</v>
      </c>
      <c r="E279" s="18">
        <v>45581.0</v>
      </c>
      <c r="F279" s="63"/>
      <c r="G279" s="20">
        <f t="shared" si="2"/>
        <v>11.96666667</v>
      </c>
      <c r="H279" s="45">
        <v>43312.0</v>
      </c>
      <c r="I279" s="20">
        <f t="shared" si="3"/>
        <v>6.211111111</v>
      </c>
      <c r="J279" s="46">
        <v>75.0</v>
      </c>
      <c r="K279" s="46">
        <v>18.0</v>
      </c>
      <c r="L279" s="23" t="s">
        <v>29</v>
      </c>
      <c r="M279" s="23"/>
      <c r="N279" s="50"/>
      <c r="O279" s="50"/>
      <c r="P279" s="57"/>
      <c r="Q279" s="50"/>
      <c r="R279" s="17" t="str">
        <f t="shared" si="4"/>
        <v>TBD</v>
      </c>
      <c r="S279" s="18"/>
      <c r="T279" s="20">
        <f t="shared" si="5"/>
        <v>11.96666667</v>
      </c>
    </row>
    <row r="280">
      <c r="A280" s="27" t="s">
        <v>401</v>
      </c>
      <c r="B280" s="28" t="s">
        <v>27</v>
      </c>
      <c r="C280" s="28" t="s">
        <v>28</v>
      </c>
      <c r="D280" s="29" t="str">
        <f t="shared" si="1"/>
        <v>Active</v>
      </c>
      <c r="E280" s="33">
        <v>45575.0</v>
      </c>
      <c r="F280" s="58"/>
      <c r="G280" s="32">
        <f t="shared" si="2"/>
        <v>12.16666667</v>
      </c>
      <c r="H280" s="47">
        <v>44488.0</v>
      </c>
      <c r="I280" s="32">
        <f t="shared" si="3"/>
        <v>2.975</v>
      </c>
      <c r="J280" s="48">
        <v>85.0</v>
      </c>
      <c r="K280" s="48">
        <v>13.0</v>
      </c>
      <c r="L280" s="35" t="s">
        <v>149</v>
      </c>
      <c r="M280" s="35"/>
      <c r="N280" s="49"/>
      <c r="O280" s="49"/>
      <c r="P280" s="51"/>
      <c r="Q280" s="49"/>
      <c r="R280" s="29" t="str">
        <f t="shared" si="4"/>
        <v>Active</v>
      </c>
      <c r="S280" s="33">
        <f t="shared" ref="S280:S281" si="23">E280</f>
        <v>45575</v>
      </c>
      <c r="T280" s="32">
        <f t="shared" si="5"/>
        <v>0</v>
      </c>
    </row>
    <row r="281">
      <c r="A281" s="15" t="s">
        <v>402</v>
      </c>
      <c r="B281" s="16" t="s">
        <v>27</v>
      </c>
      <c r="C281" s="16" t="s">
        <v>28</v>
      </c>
      <c r="D281" s="17" t="str">
        <f t="shared" si="1"/>
        <v>Active</v>
      </c>
      <c r="E281" s="18">
        <v>45572.0</v>
      </c>
      <c r="F281" s="63"/>
      <c r="G281" s="20">
        <f t="shared" si="2"/>
        <v>12.26666667</v>
      </c>
      <c r="H281" s="45">
        <v>44435.0</v>
      </c>
      <c r="I281" s="20">
        <f t="shared" si="3"/>
        <v>3.111111111</v>
      </c>
      <c r="J281" s="46">
        <v>55.0</v>
      </c>
      <c r="K281" s="46">
        <v>2.0</v>
      </c>
      <c r="L281" s="23" t="s">
        <v>309</v>
      </c>
      <c r="M281" s="23"/>
      <c r="N281" s="50"/>
      <c r="O281" s="50"/>
      <c r="P281" s="57"/>
      <c r="Q281" s="50"/>
      <c r="R281" s="17" t="str">
        <f t="shared" si="4"/>
        <v>Active</v>
      </c>
      <c r="S281" s="18">
        <f t="shared" si="23"/>
        <v>45572</v>
      </c>
      <c r="T281" s="20">
        <f t="shared" si="5"/>
        <v>0</v>
      </c>
    </row>
    <row r="282">
      <c r="A282" s="27" t="s">
        <v>403</v>
      </c>
      <c r="B282" s="28" t="s">
        <v>27</v>
      </c>
      <c r="C282" s="28" t="s">
        <v>28</v>
      </c>
      <c r="D282" s="29" t="str">
        <f t="shared" si="1"/>
        <v>Active</v>
      </c>
      <c r="E282" s="33">
        <v>45567.0</v>
      </c>
      <c r="F282" s="58"/>
      <c r="G282" s="32">
        <f t="shared" si="2"/>
        <v>12.43333333</v>
      </c>
      <c r="H282" s="47">
        <v>44600.0</v>
      </c>
      <c r="I282" s="32">
        <f t="shared" si="3"/>
        <v>2.65</v>
      </c>
      <c r="J282" s="48">
        <v>81.0</v>
      </c>
      <c r="K282" s="48">
        <v>9.0</v>
      </c>
      <c r="L282" s="35" t="s">
        <v>27</v>
      </c>
      <c r="M282" s="35"/>
      <c r="N282" s="40"/>
      <c r="O282" s="49"/>
      <c r="P282" s="51"/>
      <c r="Q282" s="49"/>
      <c r="R282" s="29" t="str">
        <f t="shared" si="4"/>
        <v>TBD</v>
      </c>
      <c r="S282" s="33"/>
      <c r="T282" s="32">
        <f t="shared" si="5"/>
        <v>12.43333333</v>
      </c>
    </row>
    <row r="283">
      <c r="A283" s="15" t="s">
        <v>404</v>
      </c>
      <c r="B283" s="16" t="s">
        <v>27</v>
      </c>
      <c r="C283" s="16" t="s">
        <v>28</v>
      </c>
      <c r="D283" s="17" t="str">
        <f t="shared" si="1"/>
        <v>Active</v>
      </c>
      <c r="E283" s="18">
        <v>45561.0</v>
      </c>
      <c r="F283" s="63"/>
      <c r="G283" s="20">
        <f t="shared" si="2"/>
        <v>12.63333333</v>
      </c>
      <c r="H283" s="45">
        <v>44371.0</v>
      </c>
      <c r="I283" s="20">
        <f t="shared" si="3"/>
        <v>3.255555556</v>
      </c>
      <c r="J283" s="46">
        <v>72.0</v>
      </c>
      <c r="K283" s="46">
        <v>18.0</v>
      </c>
      <c r="L283" s="23" t="s">
        <v>29</v>
      </c>
      <c r="M283" s="23"/>
      <c r="N283" s="50"/>
      <c r="O283" s="50"/>
      <c r="P283" s="57"/>
      <c r="Q283" s="50"/>
      <c r="R283" s="17" t="str">
        <f t="shared" si="4"/>
        <v>Active</v>
      </c>
      <c r="S283" s="18">
        <v>45840.0</v>
      </c>
      <c r="T283" s="20">
        <f t="shared" si="5"/>
        <v>9.2</v>
      </c>
    </row>
    <row r="284">
      <c r="A284" s="27" t="s">
        <v>405</v>
      </c>
      <c r="B284" s="28" t="s">
        <v>27</v>
      </c>
      <c r="C284" s="28" t="s">
        <v>28</v>
      </c>
      <c r="D284" s="29" t="str">
        <f t="shared" si="1"/>
        <v>Active</v>
      </c>
      <c r="E284" s="33">
        <v>45561.0</v>
      </c>
      <c r="F284" s="58"/>
      <c r="G284" s="32">
        <f t="shared" si="2"/>
        <v>12.63333333</v>
      </c>
      <c r="H284" s="47">
        <v>43945.0</v>
      </c>
      <c r="I284" s="32">
        <f t="shared" si="3"/>
        <v>4.422222222</v>
      </c>
      <c r="J284" s="48">
        <v>76.0</v>
      </c>
      <c r="K284" s="48">
        <v>21.0</v>
      </c>
      <c r="L284" s="35" t="s">
        <v>29</v>
      </c>
      <c r="M284" s="35"/>
      <c r="N284" s="49"/>
      <c r="O284" s="49"/>
      <c r="P284" s="51"/>
      <c r="Q284" s="49"/>
      <c r="R284" s="29" t="str">
        <f t="shared" si="4"/>
        <v>Active</v>
      </c>
      <c r="S284" s="33">
        <v>45840.0</v>
      </c>
      <c r="T284" s="32">
        <f t="shared" si="5"/>
        <v>9.2</v>
      </c>
    </row>
    <row r="285">
      <c r="A285" s="15" t="s">
        <v>406</v>
      </c>
      <c r="B285" s="16" t="s">
        <v>40</v>
      </c>
      <c r="C285" s="16"/>
      <c r="D285" s="17" t="str">
        <f t="shared" si="1"/>
        <v>Active</v>
      </c>
      <c r="E285" s="18">
        <v>45559.0</v>
      </c>
      <c r="F285" s="63"/>
      <c r="G285" s="20">
        <f t="shared" si="2"/>
        <v>12.7</v>
      </c>
      <c r="H285" s="45">
        <v>45559.0</v>
      </c>
      <c r="I285" s="20">
        <f t="shared" si="3"/>
        <v>0</v>
      </c>
      <c r="J285" s="46">
        <v>76.0</v>
      </c>
      <c r="K285" s="46">
        <v>13.0</v>
      </c>
      <c r="L285" s="23" t="s">
        <v>119</v>
      </c>
      <c r="M285" s="23"/>
      <c r="N285" s="50"/>
      <c r="O285" s="50"/>
      <c r="P285" s="57"/>
      <c r="Q285" s="50"/>
      <c r="R285" s="55" t="str">
        <f t="shared" si="4"/>
        <v>Active</v>
      </c>
      <c r="S285" s="56">
        <v>45931.0</v>
      </c>
      <c r="T285" s="20">
        <f t="shared" si="5"/>
        <v>12.23333333</v>
      </c>
    </row>
    <row r="286">
      <c r="A286" s="27" t="s">
        <v>127</v>
      </c>
      <c r="B286" s="28" t="s">
        <v>27</v>
      </c>
      <c r="C286" s="28" t="s">
        <v>28</v>
      </c>
      <c r="D286" s="29" t="str">
        <f t="shared" si="1"/>
        <v>Active</v>
      </c>
      <c r="E286" s="33">
        <v>45555.0</v>
      </c>
      <c r="F286" s="31"/>
      <c r="G286" s="32">
        <f t="shared" si="2"/>
        <v>12.83333333</v>
      </c>
      <c r="H286" s="33">
        <v>45555.0</v>
      </c>
      <c r="I286" s="32">
        <f t="shared" si="3"/>
        <v>0</v>
      </c>
      <c r="J286" s="34">
        <v>86.0</v>
      </c>
      <c r="K286" s="34">
        <v>11.0</v>
      </c>
      <c r="L286" s="35" t="s">
        <v>50</v>
      </c>
      <c r="M286" s="35" t="s">
        <v>30</v>
      </c>
      <c r="N286" s="35" t="s">
        <v>407</v>
      </c>
      <c r="O286" s="35"/>
      <c r="P286" s="36"/>
      <c r="Q286" s="35"/>
      <c r="R286" s="29" t="str">
        <f t="shared" si="4"/>
        <v>TBD</v>
      </c>
      <c r="S286" s="33"/>
      <c r="T286" s="32">
        <f t="shared" si="5"/>
        <v>12.83333333</v>
      </c>
    </row>
    <row r="287">
      <c r="A287" s="15" t="s">
        <v>408</v>
      </c>
      <c r="B287" s="16" t="s">
        <v>27</v>
      </c>
      <c r="C287" s="16"/>
      <c r="D287" s="17" t="str">
        <f t="shared" si="1"/>
        <v>Active</v>
      </c>
      <c r="E287" s="18">
        <v>45552.0</v>
      </c>
      <c r="F287" s="52"/>
      <c r="G287" s="20">
        <f t="shared" si="2"/>
        <v>12.93333333</v>
      </c>
      <c r="H287" s="18">
        <v>45148.0</v>
      </c>
      <c r="I287" s="20">
        <f t="shared" si="3"/>
        <v>1.102777778</v>
      </c>
      <c r="J287" s="53">
        <v>79.0</v>
      </c>
      <c r="K287" s="53">
        <v>57.0</v>
      </c>
      <c r="L287" s="23" t="s">
        <v>32</v>
      </c>
      <c r="M287" s="23"/>
      <c r="N287" s="23"/>
      <c r="O287" s="23"/>
      <c r="P287" s="54"/>
      <c r="Q287" s="23"/>
      <c r="R287" s="17" t="str">
        <f t="shared" si="4"/>
        <v>TBD</v>
      </c>
      <c r="S287" s="18"/>
      <c r="T287" s="20">
        <f t="shared" si="5"/>
        <v>12.93333333</v>
      </c>
    </row>
    <row r="288">
      <c r="A288" s="27" t="s">
        <v>409</v>
      </c>
      <c r="B288" s="28" t="s">
        <v>27</v>
      </c>
      <c r="C288" s="28" t="s">
        <v>28</v>
      </c>
      <c r="D288" s="29" t="str">
        <f t="shared" si="1"/>
        <v>Active</v>
      </c>
      <c r="E288" s="33">
        <v>45552.0</v>
      </c>
      <c r="F288" s="31"/>
      <c r="G288" s="32">
        <f t="shared" si="2"/>
        <v>12.93333333</v>
      </c>
      <c r="H288" s="33">
        <v>45195.0</v>
      </c>
      <c r="I288" s="32">
        <f t="shared" si="3"/>
        <v>0.975</v>
      </c>
      <c r="J288" s="34">
        <v>77.0</v>
      </c>
      <c r="K288" s="34"/>
      <c r="L288" s="35" t="s">
        <v>50</v>
      </c>
      <c r="M288" s="35"/>
      <c r="N288" s="35"/>
      <c r="O288" s="35"/>
      <c r="P288" s="36"/>
      <c r="Q288" s="35"/>
      <c r="R288" s="29" t="str">
        <f t="shared" si="4"/>
        <v>Active</v>
      </c>
      <c r="S288" s="33">
        <v>45735.0</v>
      </c>
      <c r="T288" s="32">
        <f t="shared" si="5"/>
        <v>6.066666667</v>
      </c>
    </row>
    <row r="289">
      <c r="A289" s="15" t="s">
        <v>410</v>
      </c>
      <c r="B289" s="16" t="s">
        <v>27</v>
      </c>
      <c r="C289" s="16" t="s">
        <v>28</v>
      </c>
      <c r="D289" s="17" t="str">
        <f t="shared" si="1"/>
        <v>Active</v>
      </c>
      <c r="E289" s="18">
        <v>45546.0</v>
      </c>
      <c r="F289" s="52"/>
      <c r="G289" s="20">
        <f t="shared" si="2"/>
        <v>13.13333333</v>
      </c>
      <c r="H289" s="18">
        <v>44497.0</v>
      </c>
      <c r="I289" s="20">
        <f t="shared" si="3"/>
        <v>2.869444444</v>
      </c>
      <c r="J289" s="53">
        <v>77.0</v>
      </c>
      <c r="K289" s="53">
        <v>18.0</v>
      </c>
      <c r="L289" s="23" t="s">
        <v>92</v>
      </c>
      <c r="M289" s="23"/>
      <c r="N289" s="23"/>
      <c r="O289" s="23"/>
      <c r="P289" s="54"/>
      <c r="Q289" s="23"/>
      <c r="R289" s="17" t="str">
        <f t="shared" si="4"/>
        <v>Active</v>
      </c>
      <c r="S289" s="18">
        <v>45547.0</v>
      </c>
      <c r="T289" s="20">
        <f t="shared" si="5"/>
        <v>0.03333333333</v>
      </c>
    </row>
    <row r="290">
      <c r="A290" s="27" t="s">
        <v>411</v>
      </c>
      <c r="B290" s="28" t="s">
        <v>27</v>
      </c>
      <c r="C290" s="28" t="s">
        <v>28</v>
      </c>
      <c r="D290" s="29" t="str">
        <f t="shared" si="1"/>
        <v>Active</v>
      </c>
      <c r="E290" s="33">
        <v>45540.0</v>
      </c>
      <c r="F290" s="31"/>
      <c r="G290" s="32">
        <f t="shared" si="2"/>
        <v>13.33333333</v>
      </c>
      <c r="H290" s="33">
        <v>45356.0</v>
      </c>
      <c r="I290" s="32">
        <f t="shared" si="3"/>
        <v>0.5</v>
      </c>
      <c r="J290" s="34">
        <v>77.0</v>
      </c>
      <c r="K290" s="34">
        <v>50.0</v>
      </c>
      <c r="L290" s="35" t="s">
        <v>50</v>
      </c>
      <c r="M290" s="35"/>
      <c r="N290" s="35"/>
      <c r="O290" s="35"/>
      <c r="P290" s="36"/>
      <c r="Q290" s="35"/>
      <c r="R290" s="29" t="str">
        <f t="shared" si="4"/>
        <v>Active</v>
      </c>
      <c r="S290" s="33">
        <v>45547.0</v>
      </c>
      <c r="T290" s="32">
        <f t="shared" si="5"/>
        <v>0.2333333333</v>
      </c>
    </row>
    <row r="291">
      <c r="A291" s="15" t="s">
        <v>412</v>
      </c>
      <c r="B291" s="16" t="s">
        <v>27</v>
      </c>
      <c r="C291" s="16" t="s">
        <v>28</v>
      </c>
      <c r="D291" s="17" t="str">
        <f t="shared" si="1"/>
        <v>Active</v>
      </c>
      <c r="E291" s="18">
        <v>45539.0</v>
      </c>
      <c r="F291" s="52"/>
      <c r="G291" s="20">
        <f t="shared" si="2"/>
        <v>13.36666667</v>
      </c>
      <c r="H291" s="18">
        <v>45539.0</v>
      </c>
      <c r="I291" s="20">
        <f t="shared" si="3"/>
        <v>0</v>
      </c>
      <c r="J291" s="53">
        <v>84.0</v>
      </c>
      <c r="K291" s="53">
        <v>21.0</v>
      </c>
      <c r="L291" s="23" t="s">
        <v>119</v>
      </c>
      <c r="M291" s="23" t="s">
        <v>30</v>
      </c>
      <c r="N291" s="23"/>
      <c r="O291" s="23"/>
      <c r="P291" s="54"/>
      <c r="Q291" s="23"/>
      <c r="R291" s="55" t="str">
        <f t="shared" si="4"/>
        <v>Active</v>
      </c>
      <c r="S291" s="56">
        <v>45931.0</v>
      </c>
      <c r="T291" s="20">
        <f t="shared" si="5"/>
        <v>12.9</v>
      </c>
    </row>
    <row r="292">
      <c r="A292" s="27" t="s">
        <v>413</v>
      </c>
      <c r="B292" s="28" t="s">
        <v>27</v>
      </c>
      <c r="C292" s="28" t="s">
        <v>28</v>
      </c>
      <c r="D292" s="29" t="str">
        <f t="shared" si="1"/>
        <v>Active</v>
      </c>
      <c r="E292" s="33">
        <v>45538.0</v>
      </c>
      <c r="F292" s="31"/>
      <c r="G292" s="32">
        <f t="shared" si="2"/>
        <v>13.4</v>
      </c>
      <c r="H292" s="33">
        <v>45538.0</v>
      </c>
      <c r="I292" s="32">
        <f t="shared" si="3"/>
        <v>0</v>
      </c>
      <c r="J292" s="34">
        <v>74.0</v>
      </c>
      <c r="K292" s="34">
        <v>25.0</v>
      </c>
      <c r="L292" s="35" t="s">
        <v>50</v>
      </c>
      <c r="M292" s="35"/>
      <c r="N292" s="35"/>
      <c r="O292" s="35"/>
      <c r="P292" s="36"/>
      <c r="Q292" s="35"/>
      <c r="R292" s="29" t="str">
        <f t="shared" si="4"/>
        <v>Active</v>
      </c>
      <c r="S292" s="33">
        <v>45826.0</v>
      </c>
      <c r="T292" s="32">
        <f t="shared" si="5"/>
        <v>9.5</v>
      </c>
    </row>
    <row r="293">
      <c r="A293" s="77" t="s">
        <v>414</v>
      </c>
      <c r="B293" s="16" t="s">
        <v>27</v>
      </c>
      <c r="C293" s="16" t="s">
        <v>28</v>
      </c>
      <c r="D293" s="17" t="str">
        <f t="shared" si="1"/>
        <v>Active</v>
      </c>
      <c r="E293" s="78">
        <v>45512.0</v>
      </c>
      <c r="F293" s="79"/>
      <c r="G293" s="20">
        <f t="shared" si="2"/>
        <v>14.23333333</v>
      </c>
      <c r="H293" s="78">
        <v>45512.0</v>
      </c>
      <c r="I293" s="20">
        <f t="shared" si="3"/>
        <v>0</v>
      </c>
      <c r="J293" s="80">
        <v>82.0</v>
      </c>
      <c r="K293" s="81">
        <v>12.0</v>
      </c>
      <c r="L293" s="23" t="s">
        <v>32</v>
      </c>
      <c r="M293" s="82"/>
      <c r="N293" s="83" t="s">
        <v>415</v>
      </c>
      <c r="O293" s="82"/>
      <c r="P293" s="84"/>
      <c r="Q293" s="82"/>
      <c r="R293" s="17" t="str">
        <f t="shared" si="4"/>
        <v>Active</v>
      </c>
      <c r="S293" s="18">
        <v>45547.0</v>
      </c>
      <c r="T293" s="20">
        <f t="shared" si="5"/>
        <v>1.133333333</v>
      </c>
    </row>
    <row r="294">
      <c r="A294" s="27" t="s">
        <v>416</v>
      </c>
      <c r="B294" s="28" t="s">
        <v>27</v>
      </c>
      <c r="C294" s="28" t="s">
        <v>28</v>
      </c>
      <c r="D294" s="29" t="str">
        <f t="shared" si="1"/>
        <v>Active</v>
      </c>
      <c r="E294" s="33">
        <v>45526.0</v>
      </c>
      <c r="F294" s="31"/>
      <c r="G294" s="32">
        <f t="shared" si="2"/>
        <v>13.76666667</v>
      </c>
      <c r="H294" s="33">
        <v>45148.0</v>
      </c>
      <c r="I294" s="32">
        <f t="shared" si="3"/>
        <v>1.033333333</v>
      </c>
      <c r="J294" s="34">
        <v>64.0</v>
      </c>
      <c r="K294" s="34">
        <v>11.0</v>
      </c>
      <c r="L294" s="35" t="s">
        <v>29</v>
      </c>
      <c r="M294" s="35" t="s">
        <v>30</v>
      </c>
      <c r="N294" s="35"/>
      <c r="O294" s="35"/>
      <c r="P294" s="36"/>
      <c r="Q294" s="35"/>
      <c r="R294" s="29" t="str">
        <f t="shared" si="4"/>
        <v>Active</v>
      </c>
      <c r="S294" s="33">
        <v>45547.0</v>
      </c>
      <c r="T294" s="32">
        <f t="shared" si="5"/>
        <v>0.6666666667</v>
      </c>
    </row>
    <row r="295">
      <c r="A295" s="15" t="s">
        <v>417</v>
      </c>
      <c r="B295" s="16" t="s">
        <v>27</v>
      </c>
      <c r="C295" s="16" t="s">
        <v>28</v>
      </c>
      <c r="D295" s="17" t="str">
        <f t="shared" si="1"/>
        <v>Active</v>
      </c>
      <c r="E295" s="18">
        <v>45512.0</v>
      </c>
      <c r="F295" s="52"/>
      <c r="G295" s="20">
        <f t="shared" si="2"/>
        <v>14.23333333</v>
      </c>
      <c r="H295" s="18">
        <v>42916.0</v>
      </c>
      <c r="I295" s="20">
        <f t="shared" si="3"/>
        <v>7.105555556</v>
      </c>
      <c r="J295" s="53">
        <v>80.0</v>
      </c>
      <c r="K295" s="53">
        <v>15.0</v>
      </c>
      <c r="L295" s="23" t="s">
        <v>44</v>
      </c>
      <c r="M295" s="23"/>
      <c r="N295" s="23"/>
      <c r="O295" s="23"/>
      <c r="P295" s="54"/>
      <c r="Q295" s="23"/>
      <c r="R295" s="17" t="str">
        <f t="shared" si="4"/>
        <v>Active</v>
      </c>
      <c r="S295" s="18">
        <v>45547.0</v>
      </c>
      <c r="T295" s="20">
        <f t="shared" si="5"/>
        <v>1.133333333</v>
      </c>
    </row>
    <row r="296">
      <c r="A296" s="27" t="s">
        <v>418</v>
      </c>
      <c r="B296" s="28" t="s">
        <v>27</v>
      </c>
      <c r="C296" s="28" t="s">
        <v>28</v>
      </c>
      <c r="D296" s="29" t="str">
        <f t="shared" si="1"/>
        <v>Active</v>
      </c>
      <c r="E296" s="33">
        <v>45511.0</v>
      </c>
      <c r="F296" s="31"/>
      <c r="G296" s="32">
        <f t="shared" si="2"/>
        <v>14.26666667</v>
      </c>
      <c r="H296" s="33">
        <v>45511.0</v>
      </c>
      <c r="I296" s="32">
        <f t="shared" si="3"/>
        <v>0</v>
      </c>
      <c r="J296" s="34">
        <v>75.0</v>
      </c>
      <c r="K296" s="34">
        <v>9.0</v>
      </c>
      <c r="L296" s="35" t="s">
        <v>37</v>
      </c>
      <c r="M296" s="35" t="s">
        <v>30</v>
      </c>
      <c r="N296" s="35"/>
      <c r="O296" s="35"/>
      <c r="P296" s="36"/>
      <c r="Q296" s="35"/>
      <c r="R296" s="29" t="str">
        <f t="shared" si="4"/>
        <v>Active</v>
      </c>
      <c r="S296" s="33">
        <v>45799.0</v>
      </c>
      <c r="T296" s="32">
        <f t="shared" si="5"/>
        <v>9.5</v>
      </c>
    </row>
    <row r="297">
      <c r="A297" s="15" t="s">
        <v>419</v>
      </c>
      <c r="B297" s="16" t="s">
        <v>27</v>
      </c>
      <c r="C297" s="16" t="s">
        <v>28</v>
      </c>
      <c r="D297" s="17" t="str">
        <f t="shared" si="1"/>
        <v>Active</v>
      </c>
      <c r="E297" s="75">
        <v>45497.0</v>
      </c>
      <c r="F297" s="63"/>
      <c r="G297" s="20">
        <f t="shared" si="2"/>
        <v>14.7</v>
      </c>
      <c r="H297" s="45">
        <v>45211.0</v>
      </c>
      <c r="I297" s="20">
        <f t="shared" si="3"/>
        <v>0.7833333333</v>
      </c>
      <c r="J297" s="46">
        <v>56.0</v>
      </c>
      <c r="K297" s="46">
        <v>5.0</v>
      </c>
      <c r="L297" s="23" t="s">
        <v>32</v>
      </c>
      <c r="M297" s="23"/>
      <c r="N297" s="50" t="s">
        <v>420</v>
      </c>
      <c r="O297" s="24"/>
      <c r="P297" s="25"/>
      <c r="Q297" s="24"/>
      <c r="R297" s="17" t="str">
        <f t="shared" si="4"/>
        <v>TBD</v>
      </c>
      <c r="S297" s="18"/>
      <c r="T297" s="20">
        <f t="shared" si="5"/>
        <v>14.7</v>
      </c>
    </row>
    <row r="298">
      <c r="A298" s="27" t="s">
        <v>421</v>
      </c>
      <c r="B298" s="28" t="s">
        <v>27</v>
      </c>
      <c r="C298" s="28" t="s">
        <v>28</v>
      </c>
      <c r="D298" s="29" t="str">
        <f t="shared" si="1"/>
        <v>Active</v>
      </c>
      <c r="E298" s="74">
        <v>45491.0</v>
      </c>
      <c r="F298" s="58"/>
      <c r="G298" s="32">
        <f t="shared" si="2"/>
        <v>14.9</v>
      </c>
      <c r="H298" s="47">
        <v>45491.0</v>
      </c>
      <c r="I298" s="32">
        <f t="shared" si="3"/>
        <v>0</v>
      </c>
      <c r="J298" s="48">
        <v>82.0</v>
      </c>
      <c r="K298" s="48">
        <v>13.0</v>
      </c>
      <c r="L298" s="35" t="s">
        <v>37</v>
      </c>
      <c r="M298" s="35" t="s">
        <v>30</v>
      </c>
      <c r="N298" s="49" t="s">
        <v>422</v>
      </c>
      <c r="O298" s="40"/>
      <c r="P298" s="41"/>
      <c r="Q298" s="40"/>
      <c r="R298" s="29" t="str">
        <f t="shared" si="4"/>
        <v>Active</v>
      </c>
      <c r="S298" s="33">
        <v>45784.0</v>
      </c>
      <c r="T298" s="32">
        <f t="shared" si="5"/>
        <v>9.633333333</v>
      </c>
    </row>
    <row r="299">
      <c r="A299" s="15" t="s">
        <v>423</v>
      </c>
      <c r="B299" s="16" t="s">
        <v>27</v>
      </c>
      <c r="C299" s="16" t="s">
        <v>28</v>
      </c>
      <c r="D299" s="17" t="str">
        <f t="shared" si="1"/>
        <v>Active</v>
      </c>
      <c r="E299" s="75">
        <v>45491.0</v>
      </c>
      <c r="F299" s="63"/>
      <c r="G299" s="20">
        <f t="shared" si="2"/>
        <v>14.9</v>
      </c>
      <c r="H299" s="45">
        <v>45491.0</v>
      </c>
      <c r="I299" s="20">
        <f t="shared" si="3"/>
        <v>0</v>
      </c>
      <c r="J299" s="46">
        <v>71.0</v>
      </c>
      <c r="K299" s="46">
        <v>9.0</v>
      </c>
      <c r="L299" s="23" t="s">
        <v>37</v>
      </c>
      <c r="M299" s="23" t="s">
        <v>30</v>
      </c>
      <c r="N299" s="50"/>
      <c r="O299" s="24"/>
      <c r="P299" s="25"/>
      <c r="Q299" s="24"/>
      <c r="R299" s="17" t="str">
        <f t="shared" si="4"/>
        <v>Active</v>
      </c>
      <c r="S299" s="18">
        <v>45784.0</v>
      </c>
      <c r="T299" s="20">
        <f t="shared" si="5"/>
        <v>9.633333333</v>
      </c>
    </row>
    <row r="300">
      <c r="A300" s="27" t="s">
        <v>424</v>
      </c>
      <c r="B300" s="28" t="s">
        <v>27</v>
      </c>
      <c r="C300" s="28" t="s">
        <v>28</v>
      </c>
      <c r="D300" s="29" t="str">
        <f t="shared" si="1"/>
        <v>Active</v>
      </c>
      <c r="E300" s="30">
        <v>45484.0</v>
      </c>
      <c r="F300" s="58"/>
      <c r="G300" s="32">
        <f t="shared" si="2"/>
        <v>15.13333333</v>
      </c>
      <c r="H300" s="47">
        <v>44728.0</v>
      </c>
      <c r="I300" s="32">
        <f t="shared" si="3"/>
        <v>2.069444444</v>
      </c>
      <c r="J300" s="48">
        <v>89.0</v>
      </c>
      <c r="K300" s="48">
        <v>11.0</v>
      </c>
      <c r="L300" s="35" t="s">
        <v>184</v>
      </c>
      <c r="M300" s="44"/>
      <c r="N300" s="49"/>
      <c r="O300" s="49" t="s">
        <v>125</v>
      </c>
      <c r="P300" s="51" t="s">
        <v>425</v>
      </c>
      <c r="Q300" s="40"/>
      <c r="R300" s="29" t="str">
        <f t="shared" si="4"/>
        <v>Active</v>
      </c>
      <c r="S300" s="33">
        <v>45763.0</v>
      </c>
      <c r="T300" s="32">
        <f t="shared" si="5"/>
        <v>9.166666667</v>
      </c>
    </row>
    <row r="301">
      <c r="A301" s="15" t="s">
        <v>426</v>
      </c>
      <c r="B301" s="16" t="s">
        <v>27</v>
      </c>
      <c r="C301" s="16" t="s">
        <v>28</v>
      </c>
      <c r="D301" s="17" t="str">
        <f t="shared" si="1"/>
        <v>Active</v>
      </c>
      <c r="E301" s="62">
        <v>45482.0</v>
      </c>
      <c r="F301" s="63"/>
      <c r="G301" s="20">
        <f t="shared" si="2"/>
        <v>15.2</v>
      </c>
      <c r="H301" s="45">
        <v>45204.0</v>
      </c>
      <c r="I301" s="20">
        <f t="shared" si="3"/>
        <v>0.7611111111</v>
      </c>
      <c r="J301" s="46">
        <v>57.0</v>
      </c>
      <c r="K301" s="46">
        <v>15.0</v>
      </c>
      <c r="L301" s="23" t="s">
        <v>92</v>
      </c>
      <c r="M301" s="43"/>
      <c r="N301" s="50"/>
      <c r="O301" s="50" t="s">
        <v>427</v>
      </c>
      <c r="P301" s="25"/>
      <c r="Q301" s="24"/>
      <c r="R301" s="17" t="str">
        <f t="shared" si="4"/>
        <v>Active</v>
      </c>
      <c r="S301" s="18">
        <v>45547.0</v>
      </c>
      <c r="T301" s="20">
        <f t="shared" si="5"/>
        <v>2.1</v>
      </c>
    </row>
    <row r="302">
      <c r="A302" s="27" t="s">
        <v>428</v>
      </c>
      <c r="B302" s="28" t="s">
        <v>27</v>
      </c>
      <c r="C302" s="28" t="s">
        <v>28</v>
      </c>
      <c r="D302" s="29" t="str">
        <f t="shared" si="1"/>
        <v>Active</v>
      </c>
      <c r="E302" s="30">
        <v>45476.0</v>
      </c>
      <c r="F302" s="58"/>
      <c r="G302" s="32">
        <f t="shared" si="2"/>
        <v>15.4</v>
      </c>
      <c r="H302" s="47">
        <v>45237.0</v>
      </c>
      <c r="I302" s="32">
        <f t="shared" si="3"/>
        <v>0.6555555556</v>
      </c>
      <c r="J302" s="48">
        <v>77.0</v>
      </c>
      <c r="K302" s="48">
        <v>4.0</v>
      </c>
      <c r="L302" s="35" t="s">
        <v>303</v>
      </c>
      <c r="M302" s="44"/>
      <c r="N302" s="49"/>
      <c r="O302" s="85" t="s">
        <v>334</v>
      </c>
      <c r="P302" s="51" t="s">
        <v>429</v>
      </c>
      <c r="Q302" s="40"/>
      <c r="R302" s="29" t="str">
        <f t="shared" si="4"/>
        <v>Active</v>
      </c>
      <c r="S302" s="33">
        <v>45547.0</v>
      </c>
      <c r="T302" s="32">
        <f t="shared" si="5"/>
        <v>2.3</v>
      </c>
    </row>
    <row r="303">
      <c r="A303" s="15" t="s">
        <v>430</v>
      </c>
      <c r="B303" s="16" t="s">
        <v>27</v>
      </c>
      <c r="C303" s="16" t="s">
        <v>28</v>
      </c>
      <c r="D303" s="17" t="str">
        <f t="shared" si="1"/>
        <v>Active</v>
      </c>
      <c r="E303" s="75">
        <v>45468.0</v>
      </c>
      <c r="F303" s="63"/>
      <c r="G303" s="20">
        <f t="shared" si="2"/>
        <v>15.66666667</v>
      </c>
      <c r="H303" s="45">
        <v>45198.0</v>
      </c>
      <c r="I303" s="20">
        <f t="shared" si="3"/>
        <v>0.7388888889</v>
      </c>
      <c r="J303" s="46">
        <v>75.0</v>
      </c>
      <c r="K303" s="46">
        <v>34.0</v>
      </c>
      <c r="L303" s="23" t="s">
        <v>92</v>
      </c>
      <c r="M303" s="23"/>
      <c r="N303" s="50"/>
      <c r="O303" s="50" t="s">
        <v>132</v>
      </c>
      <c r="P303" s="25"/>
      <c r="Q303" s="24"/>
      <c r="R303" s="17" t="str">
        <f t="shared" si="4"/>
        <v>Active</v>
      </c>
      <c r="S303" s="18">
        <v>45547.0</v>
      </c>
      <c r="T303" s="20">
        <f t="shared" si="5"/>
        <v>2.566666667</v>
      </c>
    </row>
    <row r="304">
      <c r="A304" s="27" t="s">
        <v>431</v>
      </c>
      <c r="B304" s="28" t="s">
        <v>27</v>
      </c>
      <c r="C304" s="28" t="s">
        <v>28</v>
      </c>
      <c r="D304" s="29" t="str">
        <f t="shared" si="1"/>
        <v>Active</v>
      </c>
      <c r="E304" s="74">
        <v>45461.0</v>
      </c>
      <c r="F304" s="58"/>
      <c r="G304" s="32">
        <f t="shared" si="2"/>
        <v>15.9</v>
      </c>
      <c r="H304" s="47">
        <v>45461.0</v>
      </c>
      <c r="I304" s="32">
        <f t="shared" si="3"/>
        <v>0</v>
      </c>
      <c r="J304" s="48">
        <v>74.0</v>
      </c>
      <c r="K304" s="48">
        <v>5.0</v>
      </c>
      <c r="L304" s="35" t="s">
        <v>113</v>
      </c>
      <c r="M304" s="35" t="s">
        <v>30</v>
      </c>
      <c r="N304" s="49"/>
      <c r="O304" s="49" t="s">
        <v>34</v>
      </c>
      <c r="P304" s="51" t="s">
        <v>432</v>
      </c>
      <c r="Q304" s="40"/>
      <c r="R304" s="29" t="str">
        <f t="shared" si="4"/>
        <v>Active</v>
      </c>
      <c r="S304" s="33">
        <v>45750.0</v>
      </c>
      <c r="T304" s="32">
        <f t="shared" si="5"/>
        <v>9.5</v>
      </c>
    </row>
    <row r="305">
      <c r="A305" s="15" t="s">
        <v>433</v>
      </c>
      <c r="B305" s="16" t="s">
        <v>27</v>
      </c>
      <c r="C305" s="16" t="s">
        <v>121</v>
      </c>
      <c r="D305" s="17" t="str">
        <f t="shared" si="1"/>
        <v>Active</v>
      </c>
      <c r="E305" s="75">
        <v>45449.0</v>
      </c>
      <c r="F305" s="63"/>
      <c r="G305" s="20">
        <f t="shared" si="2"/>
        <v>16.3</v>
      </c>
      <c r="H305" s="45">
        <v>43293.0</v>
      </c>
      <c r="I305" s="20">
        <f t="shared" si="3"/>
        <v>5.9</v>
      </c>
      <c r="J305" s="46">
        <v>83.0</v>
      </c>
      <c r="K305" s="46">
        <v>61.0</v>
      </c>
      <c r="L305" s="23" t="s">
        <v>29</v>
      </c>
      <c r="M305" s="43"/>
      <c r="N305" s="50" t="s">
        <v>434</v>
      </c>
      <c r="O305" s="50" t="s">
        <v>125</v>
      </c>
      <c r="P305" s="57" t="s">
        <v>435</v>
      </c>
      <c r="Q305" s="24"/>
      <c r="R305" s="17" t="str">
        <f t="shared" si="4"/>
        <v>Active</v>
      </c>
      <c r="S305" s="18">
        <v>45547.0</v>
      </c>
      <c r="T305" s="20">
        <f t="shared" si="5"/>
        <v>3.2</v>
      </c>
    </row>
    <row r="306">
      <c r="A306" s="27" t="s">
        <v>436</v>
      </c>
      <c r="B306" s="28" t="s">
        <v>27</v>
      </c>
      <c r="C306" s="28" t="s">
        <v>28</v>
      </c>
      <c r="D306" s="29" t="str">
        <f t="shared" si="1"/>
        <v>Active</v>
      </c>
      <c r="E306" s="74">
        <v>45449.0</v>
      </c>
      <c r="F306" s="58"/>
      <c r="G306" s="32">
        <f t="shared" si="2"/>
        <v>16.3</v>
      </c>
      <c r="H306" s="47">
        <v>44981.0</v>
      </c>
      <c r="I306" s="32">
        <f t="shared" si="3"/>
        <v>1.283333333</v>
      </c>
      <c r="J306" s="48">
        <v>85.0</v>
      </c>
      <c r="K306" s="48">
        <v>61.0</v>
      </c>
      <c r="L306" s="35" t="s">
        <v>29</v>
      </c>
      <c r="M306" s="35" t="s">
        <v>30</v>
      </c>
      <c r="N306" s="49"/>
      <c r="O306" s="49" t="s">
        <v>125</v>
      </c>
      <c r="P306" s="51" t="s">
        <v>437</v>
      </c>
      <c r="Q306" s="40"/>
      <c r="R306" s="29" t="str">
        <f t="shared" si="4"/>
        <v>Active</v>
      </c>
      <c r="S306" s="33">
        <v>45735.0</v>
      </c>
      <c r="T306" s="32">
        <f t="shared" si="5"/>
        <v>9.433333333</v>
      </c>
    </row>
    <row r="307">
      <c r="A307" s="15" t="s">
        <v>438</v>
      </c>
      <c r="B307" s="16" t="s">
        <v>27</v>
      </c>
      <c r="C307" s="16" t="s">
        <v>28</v>
      </c>
      <c r="D307" s="17" t="str">
        <f t="shared" si="1"/>
        <v>Active</v>
      </c>
      <c r="E307" s="75">
        <v>45442.0</v>
      </c>
      <c r="F307" s="63"/>
      <c r="G307" s="20">
        <f t="shared" si="2"/>
        <v>16.5</v>
      </c>
      <c r="H307" s="45">
        <v>45212.0</v>
      </c>
      <c r="I307" s="20">
        <f t="shared" si="3"/>
        <v>0.6305555556</v>
      </c>
      <c r="J307" s="46">
        <v>75.0</v>
      </c>
      <c r="K307" s="46">
        <v>15.0</v>
      </c>
      <c r="L307" s="23" t="s">
        <v>29</v>
      </c>
      <c r="M307" s="23" t="s">
        <v>30</v>
      </c>
      <c r="N307" s="50"/>
      <c r="O307" s="50" t="s">
        <v>34</v>
      </c>
      <c r="P307" s="57" t="s">
        <v>439</v>
      </c>
      <c r="Q307" s="24"/>
      <c r="R307" s="17" t="str">
        <f t="shared" si="4"/>
        <v>Active</v>
      </c>
      <c r="S307" s="18">
        <v>45547.0</v>
      </c>
      <c r="T307" s="20">
        <f t="shared" si="5"/>
        <v>3.4</v>
      </c>
    </row>
    <row r="308">
      <c r="A308" s="27" t="s">
        <v>440</v>
      </c>
      <c r="B308" s="28" t="s">
        <v>27</v>
      </c>
      <c r="C308" s="28" t="s">
        <v>28</v>
      </c>
      <c r="D308" s="29" t="str">
        <f t="shared" si="1"/>
        <v>Active</v>
      </c>
      <c r="E308" s="74">
        <v>45440.0</v>
      </c>
      <c r="F308" s="58"/>
      <c r="G308" s="32">
        <f t="shared" si="2"/>
        <v>16.56666667</v>
      </c>
      <c r="H308" s="47">
        <v>45153.0</v>
      </c>
      <c r="I308" s="32">
        <f t="shared" si="3"/>
        <v>0.7861111111</v>
      </c>
      <c r="J308" s="48">
        <v>80.0</v>
      </c>
      <c r="K308" s="48">
        <v>10.0</v>
      </c>
      <c r="L308" s="35" t="s">
        <v>50</v>
      </c>
      <c r="M308" s="35" t="s">
        <v>30</v>
      </c>
      <c r="N308" s="49"/>
      <c r="O308" s="49" t="s">
        <v>132</v>
      </c>
      <c r="P308" s="51" t="s">
        <v>441</v>
      </c>
      <c r="Q308" s="40"/>
      <c r="R308" s="29" t="str">
        <f t="shared" si="4"/>
        <v>Active</v>
      </c>
      <c r="S308" s="33">
        <v>45547.0</v>
      </c>
      <c r="T308" s="32">
        <f t="shared" si="5"/>
        <v>3.466666667</v>
      </c>
    </row>
    <row r="309">
      <c r="A309" s="86" t="s">
        <v>442</v>
      </c>
      <c r="B309" s="16" t="s">
        <v>27</v>
      </c>
      <c r="C309" s="16" t="s">
        <v>28</v>
      </c>
      <c r="D309" s="17" t="str">
        <f t="shared" si="1"/>
        <v>Active</v>
      </c>
      <c r="E309" s="75">
        <v>45435.0</v>
      </c>
      <c r="F309" s="87"/>
      <c r="G309" s="20">
        <f t="shared" si="2"/>
        <v>16.73333333</v>
      </c>
      <c r="H309" s="88">
        <v>45435.0</v>
      </c>
      <c r="I309" s="20">
        <f t="shared" si="3"/>
        <v>0</v>
      </c>
      <c r="J309" s="46">
        <v>80.0</v>
      </c>
      <c r="K309" s="46">
        <v>20.0</v>
      </c>
      <c r="L309" s="23" t="s">
        <v>146</v>
      </c>
      <c r="M309" s="23" t="s">
        <v>30</v>
      </c>
      <c r="N309" s="89"/>
      <c r="O309" s="90"/>
      <c r="P309" s="89"/>
      <c r="Q309" s="89"/>
      <c r="R309" s="17" t="str">
        <f t="shared" si="4"/>
        <v>Active</v>
      </c>
      <c r="S309" s="18">
        <v>45721.0</v>
      </c>
      <c r="T309" s="20">
        <f t="shared" si="5"/>
        <v>9.4</v>
      </c>
    </row>
    <row r="310">
      <c r="A310" s="91" t="s">
        <v>443</v>
      </c>
      <c r="B310" s="92" t="s">
        <v>27</v>
      </c>
      <c r="C310" s="92" t="s">
        <v>28</v>
      </c>
      <c r="D310" s="92" t="str">
        <f t="shared" si="1"/>
        <v>Active</v>
      </c>
      <c r="E310" s="93">
        <v>45433.0</v>
      </c>
      <c r="F310" s="94"/>
      <c r="G310" s="32">
        <f t="shared" si="2"/>
        <v>16.8</v>
      </c>
      <c r="H310" s="95">
        <v>45433.0</v>
      </c>
      <c r="I310" s="32">
        <f t="shared" si="3"/>
        <v>0</v>
      </c>
      <c r="J310" s="48">
        <v>80.0</v>
      </c>
      <c r="K310" s="48">
        <v>7.0</v>
      </c>
      <c r="L310" s="44" t="s">
        <v>444</v>
      </c>
      <c r="M310" s="35" t="s">
        <v>30</v>
      </c>
      <c r="N310" s="85"/>
      <c r="O310" s="96" t="s">
        <v>34</v>
      </c>
      <c r="P310" s="96" t="s">
        <v>35</v>
      </c>
      <c r="Q310" s="85"/>
      <c r="R310" s="29" t="str">
        <f t="shared" si="4"/>
        <v>Active</v>
      </c>
      <c r="S310" s="33">
        <v>45931.0</v>
      </c>
      <c r="T310" s="32">
        <f t="shared" si="5"/>
        <v>16.33333333</v>
      </c>
    </row>
    <row r="311">
      <c r="A311" s="15" t="s">
        <v>445</v>
      </c>
      <c r="B311" s="16" t="s">
        <v>27</v>
      </c>
      <c r="C311" s="16" t="s">
        <v>28</v>
      </c>
      <c r="D311" s="17" t="str">
        <f t="shared" si="1"/>
        <v>Active</v>
      </c>
      <c r="E311" s="75">
        <v>45427.0</v>
      </c>
      <c r="F311" s="63"/>
      <c r="G311" s="20">
        <f t="shared" si="2"/>
        <v>17</v>
      </c>
      <c r="H311" s="45">
        <v>45160.0</v>
      </c>
      <c r="I311" s="20">
        <f t="shared" si="3"/>
        <v>0.7305555556</v>
      </c>
      <c r="J311" s="46">
        <v>69.0</v>
      </c>
      <c r="K311" s="46">
        <v>15.0</v>
      </c>
      <c r="L311" s="23" t="s">
        <v>32</v>
      </c>
      <c r="M311" s="23" t="s">
        <v>30</v>
      </c>
      <c r="N311" s="50"/>
      <c r="O311" s="50" t="s">
        <v>34</v>
      </c>
      <c r="P311" s="57" t="s">
        <v>446</v>
      </c>
      <c r="Q311" s="24"/>
      <c r="R311" s="17" t="str">
        <f t="shared" si="4"/>
        <v>Active</v>
      </c>
      <c r="S311" s="18">
        <v>45547.0</v>
      </c>
      <c r="T311" s="20">
        <f t="shared" si="5"/>
        <v>3.9</v>
      </c>
    </row>
    <row r="312">
      <c r="A312" s="27" t="s">
        <v>447</v>
      </c>
      <c r="B312" s="28" t="s">
        <v>27</v>
      </c>
      <c r="C312" s="28" t="s">
        <v>28</v>
      </c>
      <c r="D312" s="29" t="str">
        <f t="shared" si="1"/>
        <v>Active</v>
      </c>
      <c r="E312" s="30">
        <v>45421.0</v>
      </c>
      <c r="F312" s="97"/>
      <c r="G312" s="32">
        <f t="shared" si="2"/>
        <v>17.2</v>
      </c>
      <c r="H312" s="47">
        <v>45421.0</v>
      </c>
      <c r="I312" s="32">
        <f t="shared" si="3"/>
        <v>0</v>
      </c>
      <c r="J312" s="48">
        <v>79.0</v>
      </c>
      <c r="K312" s="48">
        <v>3.0</v>
      </c>
      <c r="L312" s="35" t="s">
        <v>37</v>
      </c>
      <c r="M312" s="35"/>
      <c r="N312" s="49"/>
      <c r="O312" s="49" t="s">
        <v>427</v>
      </c>
      <c r="P312" s="41"/>
      <c r="Q312" s="40"/>
      <c r="R312" s="29" t="str">
        <f t="shared" si="4"/>
        <v>Active</v>
      </c>
      <c r="S312" s="33">
        <v>45616.0</v>
      </c>
      <c r="T312" s="32">
        <f t="shared" si="5"/>
        <v>6.366666667</v>
      </c>
    </row>
    <row r="313">
      <c r="A313" s="15" t="s">
        <v>448</v>
      </c>
      <c r="B313" s="16" t="s">
        <v>27</v>
      </c>
      <c r="C313" s="16" t="s">
        <v>28</v>
      </c>
      <c r="D313" s="17" t="str">
        <f t="shared" si="1"/>
        <v>Active</v>
      </c>
      <c r="E313" s="62">
        <v>45419.0</v>
      </c>
      <c r="F313" s="98"/>
      <c r="G313" s="20">
        <f t="shared" si="2"/>
        <v>17.26666667</v>
      </c>
      <c r="H313" s="45">
        <v>45217.0</v>
      </c>
      <c r="I313" s="20">
        <f t="shared" si="3"/>
        <v>0.5527777778</v>
      </c>
      <c r="J313" s="46">
        <v>79.0</v>
      </c>
      <c r="K313" s="46">
        <v>8.0</v>
      </c>
      <c r="L313" s="23" t="s">
        <v>37</v>
      </c>
      <c r="M313" s="23"/>
      <c r="N313" s="50"/>
      <c r="O313" s="50" t="s">
        <v>427</v>
      </c>
      <c r="P313" s="25"/>
      <c r="Q313" s="24"/>
      <c r="R313" s="17" t="str">
        <f t="shared" si="4"/>
        <v>Active</v>
      </c>
      <c r="S313" s="18">
        <v>45547.0</v>
      </c>
      <c r="T313" s="20">
        <f t="shared" si="5"/>
        <v>4.166666667</v>
      </c>
    </row>
    <row r="314">
      <c r="A314" s="67" t="s">
        <v>449</v>
      </c>
      <c r="B314" s="28" t="s">
        <v>27</v>
      </c>
      <c r="C314" s="28" t="s">
        <v>28</v>
      </c>
      <c r="D314" s="29" t="str">
        <f t="shared" si="1"/>
        <v>Active</v>
      </c>
      <c r="E314" s="30">
        <v>45414.0</v>
      </c>
      <c r="F314" s="70"/>
      <c r="G314" s="32">
        <f t="shared" si="2"/>
        <v>17.43333333</v>
      </c>
      <c r="H314" s="33">
        <v>41338.0</v>
      </c>
      <c r="I314" s="32">
        <f t="shared" si="3"/>
        <v>11.15833333</v>
      </c>
      <c r="J314" s="34">
        <v>86.0</v>
      </c>
      <c r="K314" s="34">
        <v>11.5</v>
      </c>
      <c r="L314" s="44" t="s">
        <v>450</v>
      </c>
      <c r="M314" s="35" t="s">
        <v>451</v>
      </c>
      <c r="N314" s="35" t="s">
        <v>452</v>
      </c>
      <c r="O314" s="35" t="s">
        <v>34</v>
      </c>
      <c r="P314" s="36" t="s">
        <v>453</v>
      </c>
      <c r="Q314" s="44"/>
      <c r="R314" s="29" t="str">
        <f t="shared" si="4"/>
        <v>Active</v>
      </c>
      <c r="S314" s="33">
        <v>45547.0</v>
      </c>
      <c r="T314" s="32">
        <f t="shared" si="5"/>
        <v>4.333333333</v>
      </c>
    </row>
    <row r="315">
      <c r="A315" s="15" t="s">
        <v>454</v>
      </c>
      <c r="B315" s="16" t="s">
        <v>27</v>
      </c>
      <c r="C315" s="16" t="s">
        <v>28</v>
      </c>
      <c r="D315" s="17" t="str">
        <f t="shared" si="1"/>
        <v>Active</v>
      </c>
      <c r="E315" s="18">
        <v>45412.0</v>
      </c>
      <c r="F315" s="52"/>
      <c r="G315" s="20">
        <f t="shared" si="2"/>
        <v>17.5</v>
      </c>
      <c r="H315" s="18">
        <v>45007.0</v>
      </c>
      <c r="I315" s="20">
        <f t="shared" si="3"/>
        <v>1.105555556</v>
      </c>
      <c r="J315" s="53">
        <v>81.0</v>
      </c>
      <c r="K315" s="53">
        <v>9.0</v>
      </c>
      <c r="L315" s="23" t="s">
        <v>44</v>
      </c>
      <c r="M315" s="23"/>
      <c r="N315" s="23"/>
      <c r="O315" s="23" t="s">
        <v>125</v>
      </c>
      <c r="P315" s="54" t="s">
        <v>455</v>
      </c>
      <c r="Q315" s="23"/>
      <c r="R315" s="17" t="str">
        <f t="shared" si="4"/>
        <v>Active</v>
      </c>
      <c r="S315" s="18">
        <v>45547.0</v>
      </c>
      <c r="T315" s="20">
        <f t="shared" si="5"/>
        <v>4.4</v>
      </c>
    </row>
    <row r="316">
      <c r="A316" s="27" t="s">
        <v>456</v>
      </c>
      <c r="B316" s="28" t="s">
        <v>27</v>
      </c>
      <c r="C316" s="28" t="s">
        <v>28</v>
      </c>
      <c r="D316" s="29" t="str">
        <f t="shared" si="1"/>
        <v>Active</v>
      </c>
      <c r="E316" s="33">
        <v>45411.0</v>
      </c>
      <c r="F316" s="31"/>
      <c r="G316" s="32">
        <f t="shared" si="2"/>
        <v>17.53333333</v>
      </c>
      <c r="H316" s="33">
        <v>44449.0</v>
      </c>
      <c r="I316" s="32">
        <f t="shared" si="3"/>
        <v>2.636111111</v>
      </c>
      <c r="J316" s="34">
        <v>78.0</v>
      </c>
      <c r="K316" s="34">
        <v>5.0</v>
      </c>
      <c r="L316" s="35" t="s">
        <v>37</v>
      </c>
      <c r="M316" s="35"/>
      <c r="N316" s="35"/>
      <c r="O316" s="35" t="s">
        <v>427</v>
      </c>
      <c r="P316" s="36"/>
      <c r="Q316" s="35"/>
      <c r="R316" s="29" t="str">
        <f t="shared" si="4"/>
        <v>Active</v>
      </c>
      <c r="S316" s="33">
        <v>45602.0</v>
      </c>
      <c r="T316" s="32">
        <f t="shared" si="5"/>
        <v>6.233333333</v>
      </c>
    </row>
    <row r="317">
      <c r="A317" s="15" t="s">
        <v>457</v>
      </c>
      <c r="B317" s="16" t="s">
        <v>40</v>
      </c>
      <c r="C317" s="16"/>
      <c r="D317" s="17" t="str">
        <f t="shared" si="1"/>
        <v>Active</v>
      </c>
      <c r="E317" s="18">
        <v>45408.0</v>
      </c>
      <c r="F317" s="52"/>
      <c r="G317" s="20">
        <f t="shared" si="2"/>
        <v>17.63333333</v>
      </c>
      <c r="H317" s="18">
        <v>45408.0</v>
      </c>
      <c r="I317" s="20">
        <f t="shared" si="3"/>
        <v>0</v>
      </c>
      <c r="J317" s="53"/>
      <c r="K317" s="53">
        <v>7.0</v>
      </c>
      <c r="L317" s="23" t="s">
        <v>119</v>
      </c>
      <c r="M317" s="23"/>
      <c r="N317" s="23"/>
      <c r="O317" s="23" t="s">
        <v>427</v>
      </c>
      <c r="P317" s="54"/>
      <c r="Q317" s="23"/>
      <c r="R317" s="17" t="str">
        <f t="shared" si="4"/>
        <v>Active</v>
      </c>
      <c r="S317" s="18">
        <v>45931.0</v>
      </c>
      <c r="T317" s="20">
        <f t="shared" si="5"/>
        <v>17.16666667</v>
      </c>
    </row>
    <row r="318">
      <c r="A318" s="27" t="s">
        <v>458</v>
      </c>
      <c r="B318" s="28" t="s">
        <v>27</v>
      </c>
      <c r="C318" s="28" t="s">
        <v>28</v>
      </c>
      <c r="D318" s="29" t="str">
        <f t="shared" si="1"/>
        <v>Active</v>
      </c>
      <c r="E318" s="33">
        <v>45407.0</v>
      </c>
      <c r="F318" s="31"/>
      <c r="G318" s="32">
        <f t="shared" si="2"/>
        <v>17.66666667</v>
      </c>
      <c r="H318" s="33">
        <v>45407.0</v>
      </c>
      <c r="I318" s="32">
        <f t="shared" si="3"/>
        <v>0</v>
      </c>
      <c r="J318" s="34">
        <v>79.0</v>
      </c>
      <c r="K318" s="34">
        <v>12.0</v>
      </c>
      <c r="L318" s="35" t="s">
        <v>37</v>
      </c>
      <c r="M318" s="35"/>
      <c r="N318" s="35"/>
      <c r="O318" s="35" t="s">
        <v>427</v>
      </c>
      <c r="P318" s="36"/>
      <c r="Q318" s="35"/>
      <c r="R318" s="29" t="str">
        <f t="shared" si="4"/>
        <v>Active</v>
      </c>
      <c r="S318" s="33">
        <v>45693.0</v>
      </c>
      <c r="T318" s="32">
        <f t="shared" si="5"/>
        <v>9.333333333</v>
      </c>
    </row>
    <row r="319">
      <c r="A319" s="15" t="s">
        <v>459</v>
      </c>
      <c r="B319" s="16" t="s">
        <v>27</v>
      </c>
      <c r="C319" s="99"/>
      <c r="D319" s="17" t="str">
        <f t="shared" si="1"/>
        <v>Active</v>
      </c>
      <c r="E319" s="18">
        <v>45407.0</v>
      </c>
      <c r="F319" s="73"/>
      <c r="G319" s="20">
        <f t="shared" si="2"/>
        <v>17.66666667</v>
      </c>
      <c r="H319" s="18">
        <v>45044.0</v>
      </c>
      <c r="I319" s="20">
        <f t="shared" si="3"/>
        <v>0.9916666667</v>
      </c>
      <c r="J319" s="53">
        <v>85.0</v>
      </c>
      <c r="K319" s="53">
        <v>20.0</v>
      </c>
      <c r="L319" s="23" t="s">
        <v>37</v>
      </c>
      <c r="M319" s="23"/>
      <c r="N319" s="23" t="s">
        <v>460</v>
      </c>
      <c r="O319" s="23" t="s">
        <v>125</v>
      </c>
      <c r="P319" s="54" t="s">
        <v>461</v>
      </c>
      <c r="Q319" s="23"/>
      <c r="R319" s="17" t="str">
        <f t="shared" si="4"/>
        <v>Active</v>
      </c>
      <c r="S319" s="18">
        <v>45547.0</v>
      </c>
      <c r="T319" s="20">
        <f t="shared" si="5"/>
        <v>4.566666667</v>
      </c>
    </row>
    <row r="320">
      <c r="A320" s="27" t="s">
        <v>462</v>
      </c>
      <c r="B320" s="28" t="s">
        <v>27</v>
      </c>
      <c r="C320" s="28" t="s">
        <v>28</v>
      </c>
      <c r="D320" s="29" t="str">
        <f t="shared" si="1"/>
        <v>Active</v>
      </c>
      <c r="E320" s="33">
        <v>45405.0</v>
      </c>
      <c r="F320" s="100"/>
      <c r="G320" s="32">
        <f t="shared" si="2"/>
        <v>17.73333333</v>
      </c>
      <c r="H320" s="33">
        <v>45405.0</v>
      </c>
      <c r="I320" s="32">
        <f t="shared" si="3"/>
        <v>0</v>
      </c>
      <c r="J320" s="34">
        <v>79.0</v>
      </c>
      <c r="K320" s="34">
        <v>44.0</v>
      </c>
      <c r="L320" s="35" t="s">
        <v>29</v>
      </c>
      <c r="M320" s="35"/>
      <c r="N320" s="35"/>
      <c r="O320" s="35" t="s">
        <v>427</v>
      </c>
      <c r="P320" s="36"/>
      <c r="Q320" s="35"/>
      <c r="R320" s="29" t="str">
        <f t="shared" si="4"/>
        <v>Active</v>
      </c>
      <c r="S320" s="33">
        <v>45693.0</v>
      </c>
      <c r="T320" s="32">
        <f t="shared" si="5"/>
        <v>9.4</v>
      </c>
    </row>
    <row r="321">
      <c r="A321" s="15" t="s">
        <v>463</v>
      </c>
      <c r="B321" s="16" t="s">
        <v>68</v>
      </c>
      <c r="C321" s="16" t="s">
        <v>28</v>
      </c>
      <c r="D321" s="17" t="str">
        <f t="shared" si="1"/>
        <v>Active</v>
      </c>
      <c r="E321" s="18">
        <v>45400.0</v>
      </c>
      <c r="F321" s="52"/>
      <c r="G321" s="20">
        <f t="shared" si="2"/>
        <v>17.9</v>
      </c>
      <c r="H321" s="18">
        <v>45205.0</v>
      </c>
      <c r="I321" s="20">
        <f t="shared" si="3"/>
        <v>0.5333333333</v>
      </c>
      <c r="J321" s="53">
        <v>71.0</v>
      </c>
      <c r="K321" s="53"/>
      <c r="L321" s="23" t="s">
        <v>92</v>
      </c>
      <c r="M321" s="23"/>
      <c r="N321" s="23" t="s">
        <v>464</v>
      </c>
      <c r="O321" s="23" t="s">
        <v>334</v>
      </c>
      <c r="P321" s="54" t="s">
        <v>465</v>
      </c>
      <c r="Q321" s="23"/>
      <c r="R321" s="17" t="str">
        <f t="shared" si="4"/>
        <v>Active</v>
      </c>
      <c r="S321" s="18">
        <v>45547.0</v>
      </c>
      <c r="T321" s="20">
        <f t="shared" si="5"/>
        <v>4.8</v>
      </c>
    </row>
    <row r="322">
      <c r="A322" s="27" t="s">
        <v>466</v>
      </c>
      <c r="B322" s="28" t="s">
        <v>40</v>
      </c>
      <c r="C322" s="28"/>
      <c r="D322" s="29" t="str">
        <f t="shared" si="1"/>
        <v>Active</v>
      </c>
      <c r="E322" s="30">
        <v>45398.0</v>
      </c>
      <c r="F322" s="31"/>
      <c r="G322" s="32">
        <f t="shared" si="2"/>
        <v>17.96666667</v>
      </c>
      <c r="H322" s="33">
        <v>36129.0</v>
      </c>
      <c r="I322" s="32">
        <f t="shared" si="3"/>
        <v>25.37777778</v>
      </c>
      <c r="J322" s="101">
        <f>8.8*10</f>
        <v>88</v>
      </c>
      <c r="K322" s="34">
        <v>23.0</v>
      </c>
      <c r="L322" s="35" t="s">
        <v>119</v>
      </c>
      <c r="M322" s="35"/>
      <c r="N322" s="35"/>
      <c r="O322" s="35" t="s">
        <v>427</v>
      </c>
      <c r="P322" s="36"/>
      <c r="Q322" s="35"/>
      <c r="R322" s="29" t="str">
        <f t="shared" si="4"/>
        <v>TBD</v>
      </c>
      <c r="S322" s="33"/>
      <c r="T322" s="32">
        <f t="shared" si="5"/>
        <v>17.96666667</v>
      </c>
    </row>
    <row r="323">
      <c r="A323" s="15" t="s">
        <v>467</v>
      </c>
      <c r="B323" s="16" t="s">
        <v>40</v>
      </c>
      <c r="C323" s="16"/>
      <c r="D323" s="17" t="str">
        <f t="shared" si="1"/>
        <v>Active</v>
      </c>
      <c r="E323" s="62">
        <v>45398.0</v>
      </c>
      <c r="F323" s="52"/>
      <c r="G323" s="20">
        <f t="shared" si="2"/>
        <v>17.96666667</v>
      </c>
      <c r="H323" s="18">
        <v>36203.0</v>
      </c>
      <c r="I323" s="20">
        <f t="shared" si="3"/>
        <v>25.17777778</v>
      </c>
      <c r="J323" s="53">
        <v>92.0</v>
      </c>
      <c r="K323" s="53">
        <v>25.0</v>
      </c>
      <c r="L323" s="23" t="s">
        <v>119</v>
      </c>
      <c r="M323" s="23"/>
      <c r="N323" s="23"/>
      <c r="O323" s="23" t="s">
        <v>132</v>
      </c>
      <c r="P323" s="54" t="s">
        <v>468</v>
      </c>
      <c r="Q323" s="23"/>
      <c r="R323" s="17" t="str">
        <f t="shared" si="4"/>
        <v>TBD</v>
      </c>
      <c r="S323" s="18"/>
      <c r="T323" s="20">
        <f t="shared" si="5"/>
        <v>17.96666667</v>
      </c>
    </row>
    <row r="324">
      <c r="A324" s="27" t="s">
        <v>469</v>
      </c>
      <c r="B324" s="28" t="s">
        <v>40</v>
      </c>
      <c r="C324" s="28"/>
      <c r="D324" s="29" t="str">
        <f t="shared" si="1"/>
        <v>Active</v>
      </c>
      <c r="E324" s="30">
        <v>45398.0</v>
      </c>
      <c r="F324" s="31"/>
      <c r="G324" s="32">
        <f t="shared" si="2"/>
        <v>17.96666667</v>
      </c>
      <c r="H324" s="33">
        <v>36662.0</v>
      </c>
      <c r="I324" s="32">
        <f t="shared" si="3"/>
        <v>23.91666667</v>
      </c>
      <c r="J324" s="34">
        <v>77.0</v>
      </c>
      <c r="K324" s="34">
        <v>4.0</v>
      </c>
      <c r="L324" s="35" t="s">
        <v>119</v>
      </c>
      <c r="M324" s="35"/>
      <c r="N324" s="35"/>
      <c r="O324" s="35" t="s">
        <v>132</v>
      </c>
      <c r="P324" s="36"/>
      <c r="Q324" s="35"/>
      <c r="R324" s="29" t="str">
        <f t="shared" si="4"/>
        <v>TBD</v>
      </c>
      <c r="S324" s="33"/>
      <c r="T324" s="32">
        <f t="shared" si="5"/>
        <v>17.96666667</v>
      </c>
    </row>
    <row r="325">
      <c r="A325" s="15" t="s">
        <v>470</v>
      </c>
      <c r="B325" s="16" t="s">
        <v>27</v>
      </c>
      <c r="C325" s="16" t="s">
        <v>28</v>
      </c>
      <c r="D325" s="17" t="str">
        <f t="shared" si="1"/>
        <v>Active</v>
      </c>
      <c r="E325" s="62">
        <v>45393.0</v>
      </c>
      <c r="F325" s="76"/>
      <c r="G325" s="20">
        <f t="shared" si="2"/>
        <v>18.13333333</v>
      </c>
      <c r="H325" s="18">
        <v>43357.0</v>
      </c>
      <c r="I325" s="20">
        <f t="shared" si="3"/>
        <v>5.575</v>
      </c>
      <c r="J325" s="53">
        <v>82.0</v>
      </c>
      <c r="K325" s="53">
        <v>13.0</v>
      </c>
      <c r="L325" s="23" t="s">
        <v>37</v>
      </c>
      <c r="M325" s="43"/>
      <c r="N325" s="23" t="s">
        <v>471</v>
      </c>
      <c r="O325" s="23" t="s">
        <v>34</v>
      </c>
      <c r="P325" s="54" t="s">
        <v>35</v>
      </c>
      <c r="Q325" s="43"/>
      <c r="R325" s="17" t="str">
        <f t="shared" si="4"/>
        <v>Active</v>
      </c>
      <c r="S325" s="18">
        <v>45547.0</v>
      </c>
      <c r="T325" s="20">
        <f t="shared" si="5"/>
        <v>5.033333333</v>
      </c>
    </row>
    <row r="326">
      <c r="A326" s="27" t="s">
        <v>472</v>
      </c>
      <c r="B326" s="28" t="s">
        <v>27</v>
      </c>
      <c r="C326" s="28" t="s">
        <v>28</v>
      </c>
      <c r="D326" s="29" t="str">
        <f t="shared" si="1"/>
        <v>Active</v>
      </c>
      <c r="E326" s="33">
        <v>45386.0</v>
      </c>
      <c r="F326" s="31"/>
      <c r="G326" s="32">
        <f t="shared" si="2"/>
        <v>18.36666667</v>
      </c>
      <c r="H326" s="33">
        <v>45020.0</v>
      </c>
      <c r="I326" s="32">
        <f t="shared" si="3"/>
        <v>1</v>
      </c>
      <c r="J326" s="34">
        <v>76.0</v>
      </c>
      <c r="K326" s="34"/>
      <c r="L326" s="35" t="s">
        <v>92</v>
      </c>
      <c r="M326" s="35" t="s">
        <v>30</v>
      </c>
      <c r="N326" s="35"/>
      <c r="O326" s="35" t="s">
        <v>132</v>
      </c>
      <c r="P326" s="36"/>
      <c r="Q326" s="35"/>
      <c r="R326" s="29" t="str">
        <f t="shared" si="4"/>
        <v>Active</v>
      </c>
      <c r="S326" s="33">
        <v>45547.0</v>
      </c>
      <c r="T326" s="32">
        <f t="shared" si="5"/>
        <v>5.266666667</v>
      </c>
    </row>
    <row r="327">
      <c r="A327" s="15" t="s">
        <v>473</v>
      </c>
      <c r="B327" s="16" t="s">
        <v>27</v>
      </c>
      <c r="C327" s="16" t="s">
        <v>28</v>
      </c>
      <c r="D327" s="17" t="str">
        <f t="shared" si="1"/>
        <v>Active</v>
      </c>
      <c r="E327" s="18">
        <v>45384.0</v>
      </c>
      <c r="F327" s="52"/>
      <c r="G327" s="20">
        <f t="shared" si="2"/>
        <v>18.43333333</v>
      </c>
      <c r="H327" s="18">
        <v>44028.0</v>
      </c>
      <c r="I327" s="20">
        <f t="shared" si="3"/>
        <v>3.711111111</v>
      </c>
      <c r="J327" s="53">
        <v>82.0</v>
      </c>
      <c r="K327" s="53">
        <v>5.5</v>
      </c>
      <c r="L327" s="23" t="s">
        <v>184</v>
      </c>
      <c r="M327" s="23" t="s">
        <v>123</v>
      </c>
      <c r="N327" s="23" t="s">
        <v>474</v>
      </c>
      <c r="O327" s="23" t="s">
        <v>125</v>
      </c>
      <c r="P327" s="54" t="s">
        <v>475</v>
      </c>
      <c r="Q327" s="23"/>
      <c r="R327" s="17" t="str">
        <f t="shared" si="4"/>
        <v>Active</v>
      </c>
      <c r="S327" s="18">
        <v>45547.0</v>
      </c>
      <c r="T327" s="20">
        <f t="shared" si="5"/>
        <v>5.333333333</v>
      </c>
    </row>
    <row r="328">
      <c r="A328" s="27" t="s">
        <v>476</v>
      </c>
      <c r="B328" s="28" t="s">
        <v>27</v>
      </c>
      <c r="C328" s="28" t="s">
        <v>183</v>
      </c>
      <c r="D328" s="29" t="str">
        <f t="shared" si="1"/>
        <v>Active</v>
      </c>
      <c r="E328" s="30">
        <v>45383.0</v>
      </c>
      <c r="F328" s="100"/>
      <c r="G328" s="32">
        <f t="shared" si="2"/>
        <v>18.46666667</v>
      </c>
      <c r="H328" s="33">
        <v>45260.0</v>
      </c>
      <c r="I328" s="32">
        <f t="shared" si="3"/>
        <v>0.3361111111</v>
      </c>
      <c r="J328" s="34">
        <f>average(50,70,80)</f>
        <v>66.66666667</v>
      </c>
      <c r="K328" s="34">
        <v>380.0</v>
      </c>
      <c r="L328" s="35" t="s">
        <v>48</v>
      </c>
      <c r="M328" s="35" t="s">
        <v>30</v>
      </c>
      <c r="N328" s="35"/>
      <c r="O328" s="35" t="s">
        <v>125</v>
      </c>
      <c r="P328" s="36" t="s">
        <v>477</v>
      </c>
      <c r="Q328" s="35"/>
      <c r="R328" s="29" t="str">
        <f t="shared" si="4"/>
        <v>Active</v>
      </c>
      <c r="S328" s="33">
        <v>45547.0</v>
      </c>
      <c r="T328" s="32">
        <f t="shared" si="5"/>
        <v>5.366666667</v>
      </c>
    </row>
    <row r="329">
      <c r="A329" s="15" t="s">
        <v>478</v>
      </c>
      <c r="B329" s="16" t="s">
        <v>27</v>
      </c>
      <c r="C329" s="16"/>
      <c r="D329" s="17" t="str">
        <f t="shared" si="1"/>
        <v>Active</v>
      </c>
      <c r="E329" s="62">
        <v>45379.0</v>
      </c>
      <c r="F329" s="73"/>
      <c r="G329" s="20">
        <f t="shared" si="2"/>
        <v>18.56666667</v>
      </c>
      <c r="H329" s="18">
        <v>45078.0</v>
      </c>
      <c r="I329" s="20">
        <f t="shared" si="3"/>
        <v>0.825</v>
      </c>
      <c r="J329" s="53">
        <v>86.0</v>
      </c>
      <c r="K329" s="53">
        <v>27.0</v>
      </c>
      <c r="L329" s="23" t="s">
        <v>29</v>
      </c>
      <c r="M329" s="23"/>
      <c r="N329" s="23"/>
      <c r="O329" s="23" t="s">
        <v>34</v>
      </c>
      <c r="P329" s="54" t="s">
        <v>479</v>
      </c>
      <c r="Q329" s="23"/>
      <c r="R329" s="55" t="str">
        <f t="shared" si="4"/>
        <v>Active</v>
      </c>
      <c r="S329" s="56">
        <v>45931.0</v>
      </c>
      <c r="T329" s="20">
        <f t="shared" si="5"/>
        <v>18.1</v>
      </c>
    </row>
    <row r="330">
      <c r="A330" s="27" t="s">
        <v>480</v>
      </c>
      <c r="B330" s="28" t="s">
        <v>40</v>
      </c>
      <c r="C330" s="28"/>
      <c r="D330" s="29" t="str">
        <f t="shared" si="1"/>
        <v>Active</v>
      </c>
      <c r="E330" s="33">
        <v>45377.0</v>
      </c>
      <c r="F330" s="102"/>
      <c r="G330" s="32">
        <f t="shared" si="2"/>
        <v>18.63333333</v>
      </c>
      <c r="H330" s="33">
        <v>45260.0</v>
      </c>
      <c r="I330" s="32">
        <f t="shared" si="3"/>
        <v>0.3222222222</v>
      </c>
      <c r="J330" s="34"/>
      <c r="K330" s="34">
        <v>60.0</v>
      </c>
      <c r="L330" s="35" t="s">
        <v>119</v>
      </c>
      <c r="M330" s="35"/>
      <c r="N330" s="35"/>
      <c r="O330" s="35" t="s">
        <v>427</v>
      </c>
      <c r="P330" s="36"/>
      <c r="Q330" s="35"/>
      <c r="R330" s="29" t="str">
        <f t="shared" si="4"/>
        <v>Active</v>
      </c>
      <c r="S330" s="33">
        <v>45931.0</v>
      </c>
      <c r="T330" s="32">
        <f t="shared" si="5"/>
        <v>18.16666667</v>
      </c>
    </row>
    <row r="331">
      <c r="A331" s="15" t="s">
        <v>481</v>
      </c>
      <c r="B331" s="16" t="s">
        <v>27</v>
      </c>
      <c r="C331" s="16" t="s">
        <v>28</v>
      </c>
      <c r="D331" s="17" t="str">
        <f t="shared" si="1"/>
        <v>Active</v>
      </c>
      <c r="E331" s="62">
        <v>45370.0</v>
      </c>
      <c r="F331" s="73"/>
      <c r="G331" s="20">
        <f t="shared" si="2"/>
        <v>18.86666667</v>
      </c>
      <c r="H331" s="18">
        <v>45370.0</v>
      </c>
      <c r="I331" s="20">
        <f t="shared" si="3"/>
        <v>0</v>
      </c>
      <c r="J331" s="53"/>
      <c r="K331" s="53"/>
      <c r="L331" s="23" t="s">
        <v>48</v>
      </c>
      <c r="M331" s="23" t="s">
        <v>30</v>
      </c>
      <c r="N331" s="23"/>
      <c r="O331" s="23" t="s">
        <v>427</v>
      </c>
      <c r="P331" s="54"/>
      <c r="Q331" s="23"/>
      <c r="R331" s="17" t="str">
        <f t="shared" si="4"/>
        <v>Active</v>
      </c>
      <c r="S331" s="18">
        <v>45665.0</v>
      </c>
      <c r="T331" s="20">
        <f t="shared" si="5"/>
        <v>9.633333333</v>
      </c>
    </row>
    <row r="332">
      <c r="A332" s="91" t="s">
        <v>482</v>
      </c>
      <c r="B332" s="92" t="s">
        <v>27</v>
      </c>
      <c r="C332" s="85"/>
      <c r="D332" s="92" t="str">
        <f t="shared" si="1"/>
        <v>Active</v>
      </c>
      <c r="E332" s="102">
        <v>45368.0</v>
      </c>
      <c r="F332" s="94"/>
      <c r="G332" s="32">
        <f t="shared" si="2"/>
        <v>18.93333333</v>
      </c>
      <c r="H332" s="103">
        <v>40865.0</v>
      </c>
      <c r="I332" s="32">
        <f t="shared" si="3"/>
        <v>12.33055556</v>
      </c>
      <c r="J332" s="104">
        <v>88.0</v>
      </c>
      <c r="K332" s="104">
        <v>116.0</v>
      </c>
      <c r="L332" s="85" t="s">
        <v>37</v>
      </c>
      <c r="M332" s="85"/>
      <c r="N332" s="85"/>
      <c r="O332" s="85" t="s">
        <v>334</v>
      </c>
      <c r="P332" s="105" t="s">
        <v>483</v>
      </c>
      <c r="Q332" s="85"/>
      <c r="R332" s="29" t="str">
        <f t="shared" si="4"/>
        <v>Active</v>
      </c>
      <c r="S332" s="33">
        <v>45547.0</v>
      </c>
      <c r="T332" s="32">
        <f t="shared" si="5"/>
        <v>5.833333333</v>
      </c>
    </row>
    <row r="333">
      <c r="A333" s="15" t="s">
        <v>484</v>
      </c>
      <c r="B333" s="16" t="s">
        <v>27</v>
      </c>
      <c r="C333" s="16" t="s">
        <v>28</v>
      </c>
      <c r="D333" s="17" t="str">
        <f t="shared" si="1"/>
        <v>Active</v>
      </c>
      <c r="E333" s="62">
        <v>45364.0</v>
      </c>
      <c r="F333" s="73"/>
      <c r="G333" s="20">
        <f t="shared" si="2"/>
        <v>19.06666667</v>
      </c>
      <c r="H333" s="18">
        <v>44229.0</v>
      </c>
      <c r="I333" s="20">
        <f t="shared" si="3"/>
        <v>3.113888889</v>
      </c>
      <c r="J333" s="53">
        <v>85.0</v>
      </c>
      <c r="K333" s="53">
        <v>13.0</v>
      </c>
      <c r="L333" s="23" t="s">
        <v>366</v>
      </c>
      <c r="M333" s="23"/>
      <c r="N333" s="23" t="s">
        <v>485</v>
      </c>
      <c r="O333" s="23" t="s">
        <v>34</v>
      </c>
      <c r="P333" s="54" t="s">
        <v>446</v>
      </c>
      <c r="Q333" s="23"/>
      <c r="R333" s="17" t="str">
        <f t="shared" si="4"/>
        <v>Active</v>
      </c>
      <c r="S333" s="18">
        <v>45547.0</v>
      </c>
      <c r="T333" s="20">
        <f t="shared" si="5"/>
        <v>5.966666667</v>
      </c>
    </row>
    <row r="334">
      <c r="A334" s="27" t="s">
        <v>486</v>
      </c>
      <c r="B334" s="28" t="s">
        <v>27</v>
      </c>
      <c r="C334" s="28" t="s">
        <v>28</v>
      </c>
      <c r="D334" s="29" t="str">
        <f t="shared" si="1"/>
        <v>Active</v>
      </c>
      <c r="E334" s="30">
        <v>45344.0</v>
      </c>
      <c r="F334" s="100"/>
      <c r="G334" s="32">
        <f t="shared" si="2"/>
        <v>19.76666667</v>
      </c>
      <c r="H334" s="33">
        <v>45247.0</v>
      </c>
      <c r="I334" s="32">
        <f t="shared" si="3"/>
        <v>0.2638888889</v>
      </c>
      <c r="J334" s="34">
        <v>56.0</v>
      </c>
      <c r="K334" s="34">
        <v>1.0</v>
      </c>
      <c r="L334" s="35" t="s">
        <v>362</v>
      </c>
      <c r="M334" s="35"/>
      <c r="N334" s="35"/>
      <c r="O334" s="35" t="s">
        <v>132</v>
      </c>
      <c r="P334" s="36"/>
      <c r="Q334" s="35"/>
      <c r="R334" s="29" t="str">
        <f t="shared" si="4"/>
        <v>Active</v>
      </c>
      <c r="S334" s="33">
        <v>45547.0</v>
      </c>
      <c r="T334" s="32">
        <f t="shared" si="5"/>
        <v>6.666666667</v>
      </c>
    </row>
    <row r="335">
      <c r="A335" s="15" t="s">
        <v>487</v>
      </c>
      <c r="B335" s="16" t="s">
        <v>27</v>
      </c>
      <c r="C335" s="16" t="s">
        <v>28</v>
      </c>
      <c r="D335" s="17" t="str">
        <f t="shared" si="1"/>
        <v>Active</v>
      </c>
      <c r="E335" s="18">
        <v>45342.0</v>
      </c>
      <c r="F335" s="73"/>
      <c r="G335" s="20">
        <f t="shared" si="2"/>
        <v>19.83333333</v>
      </c>
      <c r="H335" s="18">
        <v>45037.0</v>
      </c>
      <c r="I335" s="20">
        <f t="shared" si="3"/>
        <v>0.8305555556</v>
      </c>
      <c r="J335" s="53">
        <v>73.0</v>
      </c>
      <c r="K335" s="53">
        <v>16.0</v>
      </c>
      <c r="L335" s="23" t="s">
        <v>32</v>
      </c>
      <c r="M335" s="23"/>
      <c r="N335" s="23" t="s">
        <v>488</v>
      </c>
      <c r="O335" s="23" t="s">
        <v>34</v>
      </c>
      <c r="P335" s="54" t="s">
        <v>489</v>
      </c>
      <c r="Q335" s="23"/>
      <c r="R335" s="17" t="str">
        <f t="shared" si="4"/>
        <v>Active</v>
      </c>
      <c r="S335" s="18">
        <v>45547.0</v>
      </c>
      <c r="T335" s="20">
        <f t="shared" si="5"/>
        <v>6.733333333</v>
      </c>
    </row>
    <row r="336">
      <c r="A336" s="27" t="s">
        <v>490</v>
      </c>
      <c r="B336" s="28" t="s">
        <v>27</v>
      </c>
      <c r="C336" s="28" t="s">
        <v>28</v>
      </c>
      <c r="D336" s="29" t="str">
        <f t="shared" si="1"/>
        <v>Active</v>
      </c>
      <c r="E336" s="30">
        <v>45337.0</v>
      </c>
      <c r="F336" s="100"/>
      <c r="G336" s="32">
        <f t="shared" si="2"/>
        <v>20</v>
      </c>
      <c r="H336" s="33">
        <v>44777.0</v>
      </c>
      <c r="I336" s="32">
        <f t="shared" si="3"/>
        <v>1.530555556</v>
      </c>
      <c r="J336" s="34">
        <v>73.0</v>
      </c>
      <c r="K336" s="34">
        <v>19.0</v>
      </c>
      <c r="L336" s="35" t="s">
        <v>119</v>
      </c>
      <c r="M336" s="35"/>
      <c r="N336" s="35"/>
      <c r="O336" s="35" t="s">
        <v>132</v>
      </c>
      <c r="P336" s="36" t="s">
        <v>491</v>
      </c>
      <c r="Q336" s="35"/>
      <c r="R336" s="29" t="str">
        <f t="shared" si="4"/>
        <v>Active</v>
      </c>
      <c r="S336" s="33">
        <v>45616.0</v>
      </c>
      <c r="T336" s="32">
        <f t="shared" si="5"/>
        <v>9.166666667</v>
      </c>
    </row>
    <row r="337">
      <c r="A337" s="15" t="s">
        <v>492</v>
      </c>
      <c r="B337" s="16" t="s">
        <v>27</v>
      </c>
      <c r="C337" s="16" t="s">
        <v>28</v>
      </c>
      <c r="D337" s="17" t="str">
        <f t="shared" si="1"/>
        <v>Active</v>
      </c>
      <c r="E337" s="18">
        <v>45335.0</v>
      </c>
      <c r="F337" s="73"/>
      <c r="G337" s="20">
        <f t="shared" si="2"/>
        <v>20.06666667</v>
      </c>
      <c r="H337" s="18">
        <v>43924.0</v>
      </c>
      <c r="I337" s="20">
        <f t="shared" si="3"/>
        <v>3.861111111</v>
      </c>
      <c r="J337" s="53">
        <v>79.0</v>
      </c>
      <c r="K337" s="53">
        <v>6.0</v>
      </c>
      <c r="L337" s="23" t="s">
        <v>201</v>
      </c>
      <c r="M337" s="23"/>
      <c r="N337" s="23"/>
      <c r="O337" s="23" t="s">
        <v>34</v>
      </c>
      <c r="P337" s="54" t="s">
        <v>35</v>
      </c>
      <c r="Q337" s="23"/>
      <c r="R337" s="17" t="str">
        <f t="shared" si="4"/>
        <v>Active</v>
      </c>
      <c r="S337" s="18">
        <v>45547.0</v>
      </c>
      <c r="T337" s="20">
        <f t="shared" si="5"/>
        <v>6.966666667</v>
      </c>
    </row>
    <row r="338">
      <c r="A338" s="27" t="s">
        <v>493</v>
      </c>
      <c r="B338" s="28" t="s">
        <v>27</v>
      </c>
      <c r="C338" s="28" t="s">
        <v>28</v>
      </c>
      <c r="D338" s="29" t="str">
        <f t="shared" si="1"/>
        <v>Active</v>
      </c>
      <c r="E338" s="33">
        <v>45330.0</v>
      </c>
      <c r="F338" s="100"/>
      <c r="G338" s="32">
        <f t="shared" si="2"/>
        <v>20.23333333</v>
      </c>
      <c r="H338" s="33">
        <v>45156.0</v>
      </c>
      <c r="I338" s="32">
        <f t="shared" si="3"/>
        <v>0.4722222222</v>
      </c>
      <c r="J338" s="34">
        <v>65.0</v>
      </c>
      <c r="K338" s="34">
        <v>14.0</v>
      </c>
      <c r="L338" s="35" t="s">
        <v>494</v>
      </c>
      <c r="M338" s="35"/>
      <c r="N338" s="35"/>
      <c r="O338" s="35" t="s">
        <v>132</v>
      </c>
      <c r="P338" s="106" t="s">
        <v>495</v>
      </c>
      <c r="Q338" s="35"/>
      <c r="R338" s="29" t="str">
        <f t="shared" si="4"/>
        <v>Active</v>
      </c>
      <c r="S338" s="33">
        <v>45547.0</v>
      </c>
      <c r="T338" s="32">
        <f t="shared" si="5"/>
        <v>7.133333333</v>
      </c>
    </row>
    <row r="339">
      <c r="A339" s="15" t="s">
        <v>496</v>
      </c>
      <c r="B339" s="16" t="s">
        <v>27</v>
      </c>
      <c r="C339" s="16" t="s">
        <v>28</v>
      </c>
      <c r="D339" s="17" t="str">
        <f t="shared" si="1"/>
        <v>Active</v>
      </c>
      <c r="E339" s="18">
        <v>45321.0</v>
      </c>
      <c r="F339" s="73"/>
      <c r="G339" s="20">
        <f t="shared" si="2"/>
        <v>20.5</v>
      </c>
      <c r="H339" s="18">
        <v>44619.0</v>
      </c>
      <c r="I339" s="20">
        <f t="shared" si="3"/>
        <v>1.925</v>
      </c>
      <c r="J339" s="53">
        <v>76.0</v>
      </c>
      <c r="K339" s="53">
        <v>5.0</v>
      </c>
      <c r="L339" s="23" t="s">
        <v>366</v>
      </c>
      <c r="M339" s="23"/>
      <c r="N339" s="23"/>
      <c r="O339" s="23" t="s">
        <v>427</v>
      </c>
      <c r="P339" s="54"/>
      <c r="Q339" s="23"/>
      <c r="R339" s="17" t="str">
        <f t="shared" si="4"/>
        <v>Active</v>
      </c>
      <c r="S339" s="18">
        <v>45547.0</v>
      </c>
      <c r="T339" s="20">
        <f t="shared" si="5"/>
        <v>7.4</v>
      </c>
    </row>
    <row r="340">
      <c r="A340" s="27" t="s">
        <v>497</v>
      </c>
      <c r="B340" s="28" t="s">
        <v>27</v>
      </c>
      <c r="C340" s="28" t="s">
        <v>28</v>
      </c>
      <c r="D340" s="29" t="str">
        <f t="shared" si="1"/>
        <v>Active</v>
      </c>
      <c r="E340" s="33">
        <v>45316.0</v>
      </c>
      <c r="F340" s="100"/>
      <c r="G340" s="32">
        <f t="shared" si="2"/>
        <v>20.66666667</v>
      </c>
      <c r="H340" s="33">
        <v>45316.0</v>
      </c>
      <c r="I340" s="32">
        <f t="shared" si="3"/>
        <v>0</v>
      </c>
      <c r="J340" s="34">
        <v>68.0</v>
      </c>
      <c r="K340" s="34">
        <v>3.0</v>
      </c>
      <c r="L340" s="35" t="s">
        <v>366</v>
      </c>
      <c r="M340" s="35"/>
      <c r="N340" s="35"/>
      <c r="O340" s="35" t="s">
        <v>427</v>
      </c>
      <c r="P340" s="36"/>
      <c r="Q340" s="35"/>
      <c r="R340" s="29" t="str">
        <f t="shared" si="4"/>
        <v>Active</v>
      </c>
      <c r="S340" s="33">
        <v>45602.0</v>
      </c>
      <c r="T340" s="32">
        <f t="shared" si="5"/>
        <v>9.366666667</v>
      </c>
    </row>
    <row r="341">
      <c r="A341" s="15" t="s">
        <v>498</v>
      </c>
      <c r="B341" s="16" t="s">
        <v>27</v>
      </c>
      <c r="C341" s="16" t="s">
        <v>28</v>
      </c>
      <c r="D341" s="17" t="str">
        <f t="shared" si="1"/>
        <v>Active</v>
      </c>
      <c r="E341" s="18">
        <v>45310.0</v>
      </c>
      <c r="F341" s="73"/>
      <c r="G341" s="20">
        <f t="shared" si="2"/>
        <v>20.86666667</v>
      </c>
      <c r="H341" s="18">
        <v>45310.0</v>
      </c>
      <c r="I341" s="20">
        <f t="shared" si="3"/>
        <v>0</v>
      </c>
      <c r="J341" s="53"/>
      <c r="K341" s="53">
        <v>31.0</v>
      </c>
      <c r="L341" s="23" t="s">
        <v>366</v>
      </c>
      <c r="M341" s="23"/>
      <c r="N341" s="23"/>
      <c r="O341" s="23" t="s">
        <v>427</v>
      </c>
      <c r="P341" s="54"/>
      <c r="Q341" s="23"/>
      <c r="R341" s="17" t="str">
        <f t="shared" si="4"/>
        <v>Active</v>
      </c>
      <c r="S341" s="18">
        <v>45547.0</v>
      </c>
      <c r="T341" s="20">
        <f t="shared" si="5"/>
        <v>7.766666667</v>
      </c>
    </row>
    <row r="342">
      <c r="A342" s="27" t="s">
        <v>499</v>
      </c>
      <c r="B342" s="28" t="s">
        <v>27</v>
      </c>
      <c r="C342" s="28" t="s">
        <v>28</v>
      </c>
      <c r="D342" s="29" t="str">
        <f t="shared" si="1"/>
        <v>Active</v>
      </c>
      <c r="E342" s="33">
        <v>45309.0</v>
      </c>
      <c r="F342" s="100"/>
      <c r="G342" s="32">
        <f t="shared" si="2"/>
        <v>20.9</v>
      </c>
      <c r="H342" s="33">
        <v>45093.0</v>
      </c>
      <c r="I342" s="32">
        <f t="shared" si="3"/>
        <v>0.5888888889</v>
      </c>
      <c r="J342" s="34">
        <v>82.0</v>
      </c>
      <c r="K342" s="34">
        <v>8.0</v>
      </c>
      <c r="L342" s="35" t="s">
        <v>500</v>
      </c>
      <c r="M342" s="35"/>
      <c r="N342" s="35"/>
      <c r="O342" s="35"/>
      <c r="P342" s="36"/>
      <c r="Q342" s="35"/>
      <c r="R342" s="29" t="str">
        <f t="shared" si="4"/>
        <v>Active</v>
      </c>
      <c r="S342" s="33">
        <v>45547.0</v>
      </c>
      <c r="T342" s="32">
        <f t="shared" si="5"/>
        <v>7.8</v>
      </c>
    </row>
    <row r="343">
      <c r="A343" s="15" t="s">
        <v>501</v>
      </c>
      <c r="B343" s="16" t="s">
        <v>27</v>
      </c>
      <c r="C343" s="16" t="s">
        <v>28</v>
      </c>
      <c r="D343" s="17" t="str">
        <f t="shared" si="1"/>
        <v>Active</v>
      </c>
      <c r="E343" s="18">
        <v>45307.0</v>
      </c>
      <c r="F343" s="73"/>
      <c r="G343" s="20">
        <f t="shared" si="2"/>
        <v>20.96666667</v>
      </c>
      <c r="H343" s="18">
        <v>43480.0</v>
      </c>
      <c r="I343" s="20">
        <f t="shared" si="3"/>
        <v>5.002777778</v>
      </c>
      <c r="J343" s="53">
        <v>91.0</v>
      </c>
      <c r="K343" s="53">
        <v>9.0</v>
      </c>
      <c r="L343" s="23" t="s">
        <v>201</v>
      </c>
      <c r="M343" s="23"/>
      <c r="N343" s="23"/>
      <c r="O343" s="23"/>
      <c r="P343" s="54"/>
      <c r="Q343" s="23"/>
      <c r="R343" s="17" t="str">
        <f t="shared" si="4"/>
        <v>Active</v>
      </c>
      <c r="S343" s="18">
        <v>45547.0</v>
      </c>
      <c r="T343" s="20">
        <f t="shared" si="5"/>
        <v>7.866666667</v>
      </c>
    </row>
    <row r="344">
      <c r="A344" s="27" t="s">
        <v>502</v>
      </c>
      <c r="B344" s="28" t="s">
        <v>27</v>
      </c>
      <c r="C344" s="28" t="s">
        <v>28</v>
      </c>
      <c r="D344" s="29" t="str">
        <f t="shared" si="1"/>
        <v>Active</v>
      </c>
      <c r="E344" s="33">
        <v>45302.0</v>
      </c>
      <c r="F344" s="100"/>
      <c r="G344" s="32">
        <f t="shared" si="2"/>
        <v>21.13333333</v>
      </c>
      <c r="H344" s="33">
        <v>45079.0</v>
      </c>
      <c r="I344" s="32">
        <f t="shared" si="3"/>
        <v>0.6083333333</v>
      </c>
      <c r="J344" s="34">
        <v>79.0</v>
      </c>
      <c r="K344" s="34"/>
      <c r="L344" s="35" t="s">
        <v>503</v>
      </c>
      <c r="M344" s="35"/>
      <c r="N344" s="35"/>
      <c r="O344" s="35"/>
      <c r="P344" s="36"/>
      <c r="Q344" s="35"/>
      <c r="R344" s="29" t="str">
        <f t="shared" si="4"/>
        <v>Active</v>
      </c>
      <c r="S344" s="33">
        <v>45547.0</v>
      </c>
      <c r="T344" s="32">
        <f t="shared" si="5"/>
        <v>8.033333333</v>
      </c>
    </row>
    <row r="345">
      <c r="A345" s="64" t="s">
        <v>504</v>
      </c>
      <c r="B345" s="16" t="s">
        <v>27</v>
      </c>
      <c r="C345" s="16" t="s">
        <v>28</v>
      </c>
      <c r="D345" s="17" t="str">
        <f t="shared" si="1"/>
        <v>Active</v>
      </c>
      <c r="E345" s="62">
        <v>45302.0</v>
      </c>
      <c r="F345" s="52"/>
      <c r="G345" s="20">
        <f t="shared" si="2"/>
        <v>21.13333333</v>
      </c>
      <c r="H345" s="18">
        <v>43322.0</v>
      </c>
      <c r="I345" s="20">
        <f t="shared" si="3"/>
        <v>5.419444444</v>
      </c>
      <c r="J345" s="65">
        <v>64.0</v>
      </c>
      <c r="K345" s="53">
        <v>21.0</v>
      </c>
      <c r="L345" s="43" t="s">
        <v>505</v>
      </c>
      <c r="M345" s="23" t="s">
        <v>123</v>
      </c>
      <c r="N345" s="23" t="s">
        <v>506</v>
      </c>
      <c r="O345" s="23" t="s">
        <v>34</v>
      </c>
      <c r="P345" s="54" t="s">
        <v>507</v>
      </c>
      <c r="Q345" s="23"/>
      <c r="R345" s="17" t="str">
        <f t="shared" si="4"/>
        <v>Active</v>
      </c>
      <c r="S345" s="18">
        <v>45547.0</v>
      </c>
      <c r="T345" s="20">
        <f t="shared" si="5"/>
        <v>8.033333333</v>
      </c>
    </row>
    <row r="346">
      <c r="A346" s="27" t="s">
        <v>508</v>
      </c>
      <c r="B346" s="28" t="s">
        <v>27</v>
      </c>
      <c r="C346" s="28" t="s">
        <v>28</v>
      </c>
      <c r="D346" s="29" t="str">
        <f t="shared" si="1"/>
        <v>Active</v>
      </c>
      <c r="E346" s="33">
        <v>45300.0</v>
      </c>
      <c r="F346" s="100"/>
      <c r="G346" s="32">
        <f t="shared" si="2"/>
        <v>21.2</v>
      </c>
      <c r="H346" s="33">
        <v>44145.0</v>
      </c>
      <c r="I346" s="32">
        <f t="shared" si="3"/>
        <v>3.163888889</v>
      </c>
      <c r="J346" s="34">
        <v>80.0</v>
      </c>
      <c r="K346" s="34">
        <v>61.0</v>
      </c>
      <c r="L346" s="35" t="s">
        <v>509</v>
      </c>
      <c r="M346" s="35"/>
      <c r="N346" s="35" t="s">
        <v>510</v>
      </c>
      <c r="O346" s="35"/>
      <c r="P346" s="36"/>
      <c r="Q346" s="35"/>
      <c r="R346" s="29" t="str">
        <f t="shared" si="4"/>
        <v>Active</v>
      </c>
      <c r="S346" s="33">
        <v>45547.0</v>
      </c>
      <c r="T346" s="32">
        <f t="shared" si="5"/>
        <v>8.1</v>
      </c>
    </row>
    <row r="347">
      <c r="A347" s="15" t="s">
        <v>511</v>
      </c>
      <c r="B347" s="16" t="s">
        <v>27</v>
      </c>
      <c r="C347" s="16" t="s">
        <v>28</v>
      </c>
      <c r="D347" s="17" t="str">
        <f t="shared" si="1"/>
        <v>Active</v>
      </c>
      <c r="E347" s="18">
        <v>45295.0</v>
      </c>
      <c r="F347" s="73"/>
      <c r="G347" s="20">
        <f t="shared" si="2"/>
        <v>21.36666667</v>
      </c>
      <c r="H347" s="18">
        <v>43622.0</v>
      </c>
      <c r="I347" s="20">
        <f t="shared" si="3"/>
        <v>4.577777778</v>
      </c>
      <c r="J347" s="53">
        <v>79.0</v>
      </c>
      <c r="K347" s="53">
        <v>30.0</v>
      </c>
      <c r="L347" s="23" t="s">
        <v>512</v>
      </c>
      <c r="M347" s="23" t="s">
        <v>30</v>
      </c>
      <c r="N347" s="23"/>
      <c r="O347" s="23"/>
      <c r="P347" s="54"/>
      <c r="Q347" s="23"/>
      <c r="R347" s="17" t="str">
        <f t="shared" si="4"/>
        <v>Active</v>
      </c>
      <c r="S347" s="18">
        <v>45547.0</v>
      </c>
      <c r="T347" s="20">
        <f t="shared" si="5"/>
        <v>8.266666667</v>
      </c>
    </row>
    <row r="348">
      <c r="A348" s="107" t="s">
        <v>513</v>
      </c>
      <c r="B348" s="28" t="s">
        <v>27</v>
      </c>
      <c r="C348" s="28" t="s">
        <v>28</v>
      </c>
      <c r="D348" s="29" t="str">
        <f t="shared" si="1"/>
        <v>Active</v>
      </c>
      <c r="E348" s="33">
        <v>45274.0</v>
      </c>
      <c r="F348" s="100"/>
      <c r="G348" s="32">
        <f t="shared" si="2"/>
        <v>22.03333333</v>
      </c>
      <c r="H348" s="33">
        <v>44476.0</v>
      </c>
      <c r="I348" s="32">
        <f t="shared" si="3"/>
        <v>2.186111111</v>
      </c>
      <c r="J348" s="34">
        <v>73.0</v>
      </c>
      <c r="K348" s="34">
        <v>24.0</v>
      </c>
      <c r="L348" s="35" t="s">
        <v>184</v>
      </c>
      <c r="M348" s="35"/>
      <c r="N348" s="35" t="s">
        <v>510</v>
      </c>
      <c r="O348" s="35"/>
      <c r="P348" s="36"/>
      <c r="Q348" s="35"/>
      <c r="R348" s="29" t="str">
        <f t="shared" si="4"/>
        <v>Active</v>
      </c>
      <c r="S348" s="33">
        <v>45547.0</v>
      </c>
      <c r="T348" s="32">
        <f t="shared" si="5"/>
        <v>8.933333333</v>
      </c>
    </row>
    <row r="349">
      <c r="A349" s="15" t="s">
        <v>514</v>
      </c>
      <c r="B349" s="16" t="s">
        <v>27</v>
      </c>
      <c r="C349" s="16"/>
      <c r="D349" s="17" t="str">
        <f t="shared" si="1"/>
        <v>Active</v>
      </c>
      <c r="E349" s="18">
        <v>45268.0</v>
      </c>
      <c r="F349" s="73"/>
      <c r="G349" s="20">
        <f t="shared" si="2"/>
        <v>22.23333333</v>
      </c>
      <c r="H349" s="18">
        <v>44487.0</v>
      </c>
      <c r="I349" s="20">
        <f t="shared" si="3"/>
        <v>2.138888889</v>
      </c>
      <c r="J349" s="53">
        <v>90.0</v>
      </c>
      <c r="K349" s="53">
        <v>93.0</v>
      </c>
      <c r="L349" s="23" t="s">
        <v>119</v>
      </c>
      <c r="M349" s="23"/>
      <c r="N349" s="23" t="s">
        <v>515</v>
      </c>
      <c r="O349" s="23"/>
      <c r="P349" s="54"/>
      <c r="Q349" s="23"/>
      <c r="R349" s="55" t="str">
        <f t="shared" si="4"/>
        <v>Active</v>
      </c>
      <c r="S349" s="56">
        <v>45931.0</v>
      </c>
      <c r="T349" s="20">
        <f t="shared" si="5"/>
        <v>21.76666667</v>
      </c>
    </row>
    <row r="350">
      <c r="A350" s="107" t="s">
        <v>516</v>
      </c>
      <c r="B350" s="28" t="s">
        <v>27</v>
      </c>
      <c r="C350" s="28" t="s">
        <v>28</v>
      </c>
      <c r="D350" s="29" t="str">
        <f t="shared" si="1"/>
        <v>Active</v>
      </c>
      <c r="E350" s="33">
        <v>45267.0</v>
      </c>
      <c r="F350" s="100"/>
      <c r="G350" s="32">
        <f t="shared" si="2"/>
        <v>22.26666667</v>
      </c>
      <c r="H350" s="33">
        <v>44882.0</v>
      </c>
      <c r="I350" s="32">
        <f t="shared" si="3"/>
        <v>1.055555556</v>
      </c>
      <c r="J350" s="34">
        <v>68.0</v>
      </c>
      <c r="K350" s="34">
        <v>8.0</v>
      </c>
      <c r="L350" s="35" t="s">
        <v>50</v>
      </c>
      <c r="M350" s="35" t="s">
        <v>30</v>
      </c>
      <c r="N350" s="35"/>
      <c r="O350" s="35"/>
      <c r="P350" s="36"/>
      <c r="Q350" s="35"/>
      <c r="R350" s="29" t="str">
        <f t="shared" si="4"/>
        <v>Active</v>
      </c>
      <c r="S350" s="33">
        <v>45547.0</v>
      </c>
      <c r="T350" s="32">
        <f t="shared" si="5"/>
        <v>9.166666667</v>
      </c>
    </row>
    <row r="351">
      <c r="A351" s="108" t="s">
        <v>517</v>
      </c>
      <c r="B351" s="16" t="s">
        <v>27</v>
      </c>
      <c r="C351" s="16" t="s">
        <v>28</v>
      </c>
      <c r="D351" s="17" t="str">
        <f t="shared" si="1"/>
        <v>Active</v>
      </c>
      <c r="E351" s="18">
        <v>45265.0</v>
      </c>
      <c r="F351" s="73"/>
      <c r="G351" s="20">
        <f t="shared" si="2"/>
        <v>22.33333333</v>
      </c>
      <c r="H351" s="18">
        <v>42702.0</v>
      </c>
      <c r="I351" s="20">
        <f t="shared" si="3"/>
        <v>7.019444444</v>
      </c>
      <c r="J351" s="53">
        <v>82.0</v>
      </c>
      <c r="K351" s="53">
        <v>2.0</v>
      </c>
      <c r="L351" s="23" t="s">
        <v>518</v>
      </c>
      <c r="M351" s="23" t="s">
        <v>30</v>
      </c>
      <c r="N351" s="23"/>
      <c r="O351" s="23"/>
      <c r="P351" s="54"/>
      <c r="Q351" s="23"/>
      <c r="R351" s="17" t="str">
        <f t="shared" si="4"/>
        <v>Active</v>
      </c>
      <c r="S351" s="18">
        <v>45547.0</v>
      </c>
      <c r="T351" s="20">
        <f t="shared" si="5"/>
        <v>9.233333333</v>
      </c>
    </row>
    <row r="352">
      <c r="A352" s="27" t="s">
        <v>519</v>
      </c>
      <c r="B352" s="28" t="s">
        <v>27</v>
      </c>
      <c r="C352" s="28" t="s">
        <v>28</v>
      </c>
      <c r="D352" s="29" t="str">
        <f t="shared" si="1"/>
        <v>Active</v>
      </c>
      <c r="E352" s="33">
        <v>45265.0</v>
      </c>
      <c r="F352" s="31"/>
      <c r="G352" s="32">
        <f t="shared" si="2"/>
        <v>22.33333333</v>
      </c>
      <c r="H352" s="33">
        <v>43571.0</v>
      </c>
      <c r="I352" s="32">
        <f t="shared" si="3"/>
        <v>4.636111111</v>
      </c>
      <c r="J352" s="69">
        <v>73.0</v>
      </c>
      <c r="K352" s="34">
        <v>7.0</v>
      </c>
      <c r="L352" s="44" t="s">
        <v>366</v>
      </c>
      <c r="M352" s="44"/>
      <c r="N352" s="35" t="s">
        <v>520</v>
      </c>
      <c r="O352" s="35" t="s">
        <v>34</v>
      </c>
      <c r="P352" s="36" t="s">
        <v>35</v>
      </c>
      <c r="Q352" s="35"/>
      <c r="R352" s="29" t="str">
        <f t="shared" si="4"/>
        <v>Active</v>
      </c>
      <c r="S352" s="33">
        <v>45547.0</v>
      </c>
      <c r="T352" s="32">
        <f t="shared" si="5"/>
        <v>9.233333333</v>
      </c>
    </row>
    <row r="353">
      <c r="A353" s="15" t="s">
        <v>521</v>
      </c>
      <c r="B353" s="16" t="s">
        <v>27</v>
      </c>
      <c r="C353" s="16" t="s">
        <v>28</v>
      </c>
      <c r="D353" s="17" t="str">
        <f t="shared" si="1"/>
        <v>Active</v>
      </c>
      <c r="E353" s="18">
        <v>45261.0</v>
      </c>
      <c r="F353" s="73"/>
      <c r="G353" s="20">
        <f t="shared" si="2"/>
        <v>22.46666667</v>
      </c>
      <c r="H353" s="18">
        <v>45261.0</v>
      </c>
      <c r="I353" s="20">
        <f t="shared" si="3"/>
        <v>0</v>
      </c>
      <c r="J353" s="53">
        <v>74.0</v>
      </c>
      <c r="K353" s="53">
        <v>9.0</v>
      </c>
      <c r="L353" s="23" t="s">
        <v>522</v>
      </c>
      <c r="M353" s="23"/>
      <c r="N353" s="23"/>
      <c r="O353" s="23"/>
      <c r="P353" s="54"/>
      <c r="Q353" s="23"/>
      <c r="R353" s="17" t="str">
        <f t="shared" si="4"/>
        <v>Active</v>
      </c>
      <c r="S353" s="18">
        <v>45547.0</v>
      </c>
      <c r="T353" s="20">
        <f t="shared" si="5"/>
        <v>9.366666667</v>
      </c>
    </row>
    <row r="354">
      <c r="A354" s="27" t="s">
        <v>523</v>
      </c>
      <c r="B354" s="28" t="s">
        <v>27</v>
      </c>
      <c r="C354" s="28" t="s">
        <v>28</v>
      </c>
      <c r="D354" s="29" t="str">
        <f t="shared" si="1"/>
        <v>Active</v>
      </c>
      <c r="E354" s="33">
        <v>45243.0</v>
      </c>
      <c r="F354" s="100"/>
      <c r="G354" s="32">
        <f t="shared" si="2"/>
        <v>23.06666667</v>
      </c>
      <c r="H354" s="33">
        <v>45243.0</v>
      </c>
      <c r="I354" s="32">
        <f t="shared" si="3"/>
        <v>0</v>
      </c>
      <c r="J354" s="34">
        <v>76.0</v>
      </c>
      <c r="K354" s="34">
        <v>33.0</v>
      </c>
      <c r="L354" s="35" t="s">
        <v>524</v>
      </c>
      <c r="M354" s="35"/>
      <c r="N354" s="35"/>
      <c r="O354" s="35"/>
      <c r="P354" s="36"/>
      <c r="Q354" s="35"/>
      <c r="R354" s="29" t="str">
        <f t="shared" si="4"/>
        <v>Active</v>
      </c>
      <c r="S354" s="33">
        <v>45547.0</v>
      </c>
      <c r="T354" s="32">
        <f t="shared" si="5"/>
        <v>9.966666667</v>
      </c>
    </row>
    <row r="355">
      <c r="A355" s="15" t="s">
        <v>525</v>
      </c>
      <c r="B355" s="16" t="s">
        <v>27</v>
      </c>
      <c r="C355" s="16" t="s">
        <v>28</v>
      </c>
      <c r="D355" s="17" t="str">
        <f t="shared" si="1"/>
        <v>Active</v>
      </c>
      <c r="E355" s="18">
        <v>45239.0</v>
      </c>
      <c r="F355" s="73"/>
      <c r="G355" s="20">
        <f t="shared" si="2"/>
        <v>23.2</v>
      </c>
      <c r="H355" s="18">
        <v>44974.0</v>
      </c>
      <c r="I355" s="20">
        <f t="shared" si="3"/>
        <v>0.7277777778</v>
      </c>
      <c r="J355" s="53">
        <v>79.0</v>
      </c>
      <c r="K355" s="53">
        <v>46.0</v>
      </c>
      <c r="L355" s="23" t="s">
        <v>37</v>
      </c>
      <c r="M355" s="23"/>
      <c r="N355" s="23"/>
      <c r="O355" s="23"/>
      <c r="P355" s="54"/>
      <c r="Q355" s="23"/>
      <c r="R355" s="17" t="str">
        <f t="shared" si="4"/>
        <v>Active</v>
      </c>
      <c r="S355" s="18">
        <v>45547.0</v>
      </c>
      <c r="T355" s="20">
        <f t="shared" si="5"/>
        <v>10.1</v>
      </c>
    </row>
    <row r="356">
      <c r="A356" s="27" t="s">
        <v>526</v>
      </c>
      <c r="B356" s="28" t="s">
        <v>27</v>
      </c>
      <c r="C356" s="28" t="s">
        <v>28</v>
      </c>
      <c r="D356" s="29" t="str">
        <f t="shared" si="1"/>
        <v>Active</v>
      </c>
      <c r="E356" s="33">
        <v>45236.0</v>
      </c>
      <c r="F356" s="100"/>
      <c r="G356" s="32">
        <f t="shared" si="2"/>
        <v>23.3</v>
      </c>
      <c r="H356" s="33">
        <v>45236.0</v>
      </c>
      <c r="I356" s="32">
        <f t="shared" si="3"/>
        <v>0</v>
      </c>
      <c r="J356" s="34">
        <v>84.0</v>
      </c>
      <c r="K356" s="34">
        <v>11.0</v>
      </c>
      <c r="L356" s="35" t="s">
        <v>527</v>
      </c>
      <c r="M356" s="35"/>
      <c r="N356" s="35"/>
      <c r="O356" s="35"/>
      <c r="P356" s="36"/>
      <c r="Q356" s="35"/>
      <c r="R356" s="29" t="str">
        <f t="shared" si="4"/>
        <v>Active</v>
      </c>
      <c r="S356" s="33">
        <v>45547.0</v>
      </c>
      <c r="T356" s="32">
        <f t="shared" si="5"/>
        <v>10.2</v>
      </c>
    </row>
    <row r="357">
      <c r="A357" s="15" t="s">
        <v>528</v>
      </c>
      <c r="B357" s="16" t="s">
        <v>27</v>
      </c>
      <c r="C357" s="16" t="s">
        <v>28</v>
      </c>
      <c r="D357" s="17" t="str">
        <f t="shared" si="1"/>
        <v>Active</v>
      </c>
      <c r="E357" s="18">
        <v>45232.0</v>
      </c>
      <c r="F357" s="73"/>
      <c r="G357" s="20">
        <f t="shared" si="2"/>
        <v>23.43333333</v>
      </c>
      <c r="H357" s="18">
        <v>45232.0</v>
      </c>
      <c r="I357" s="20">
        <f t="shared" si="3"/>
        <v>0</v>
      </c>
      <c r="J357" s="53">
        <v>80.0</v>
      </c>
      <c r="K357" s="53">
        <v>8.0</v>
      </c>
      <c r="L357" s="23" t="s">
        <v>529</v>
      </c>
      <c r="M357" s="23"/>
      <c r="N357" s="23"/>
      <c r="O357" s="23" t="s">
        <v>125</v>
      </c>
      <c r="P357" s="54"/>
      <c r="Q357" s="23"/>
      <c r="R357" s="17" t="str">
        <f t="shared" si="4"/>
        <v>Active</v>
      </c>
      <c r="S357" s="18">
        <v>45547.0</v>
      </c>
      <c r="T357" s="20">
        <f t="shared" si="5"/>
        <v>10.33333333</v>
      </c>
    </row>
    <row r="358">
      <c r="A358" s="27" t="s">
        <v>530</v>
      </c>
      <c r="B358" s="28" t="s">
        <v>27</v>
      </c>
      <c r="C358" s="28" t="s">
        <v>28</v>
      </c>
      <c r="D358" s="29" t="str">
        <f t="shared" si="1"/>
        <v>Active</v>
      </c>
      <c r="E358" s="33">
        <v>45230.0</v>
      </c>
      <c r="F358" s="100"/>
      <c r="G358" s="32">
        <f t="shared" si="2"/>
        <v>23.5</v>
      </c>
      <c r="H358" s="33">
        <v>45230.0</v>
      </c>
      <c r="I358" s="32">
        <f t="shared" si="3"/>
        <v>0</v>
      </c>
      <c r="J358" s="34">
        <v>83.0</v>
      </c>
      <c r="K358" s="34">
        <v>4.0</v>
      </c>
      <c r="L358" s="35" t="s">
        <v>362</v>
      </c>
      <c r="M358" s="35"/>
      <c r="N358" s="35"/>
      <c r="O358" s="35" t="s">
        <v>427</v>
      </c>
      <c r="P358" s="36"/>
      <c r="Q358" s="35"/>
      <c r="R358" s="29" t="str">
        <f t="shared" si="4"/>
        <v>Active</v>
      </c>
      <c r="S358" s="33">
        <v>45547.0</v>
      </c>
      <c r="T358" s="32">
        <f t="shared" si="5"/>
        <v>10.4</v>
      </c>
    </row>
    <row r="359">
      <c r="A359" s="15" t="s">
        <v>531</v>
      </c>
      <c r="B359" s="16" t="s">
        <v>27</v>
      </c>
      <c r="C359" s="16" t="s">
        <v>28</v>
      </c>
      <c r="D359" s="17" t="str">
        <f t="shared" si="1"/>
        <v>Active</v>
      </c>
      <c r="E359" s="18">
        <v>45230.0</v>
      </c>
      <c r="F359" s="73"/>
      <c r="G359" s="20">
        <f t="shared" si="2"/>
        <v>23.5</v>
      </c>
      <c r="H359" s="18">
        <v>44531.0</v>
      </c>
      <c r="I359" s="20">
        <f t="shared" si="3"/>
        <v>1.913888889</v>
      </c>
      <c r="J359" s="53">
        <v>80.0</v>
      </c>
      <c r="K359" s="53">
        <v>38.0</v>
      </c>
      <c r="L359" s="23" t="s">
        <v>532</v>
      </c>
      <c r="M359" s="23"/>
      <c r="N359" s="23" t="s">
        <v>533</v>
      </c>
      <c r="O359" s="23"/>
      <c r="P359" s="54"/>
      <c r="Q359" s="23"/>
      <c r="R359" s="17" t="str">
        <f t="shared" si="4"/>
        <v>Active</v>
      </c>
      <c r="S359" s="18">
        <v>45547.0</v>
      </c>
      <c r="T359" s="20">
        <f t="shared" si="5"/>
        <v>10.4</v>
      </c>
    </row>
    <row r="360">
      <c r="A360" s="27" t="s">
        <v>534</v>
      </c>
      <c r="B360" s="28" t="s">
        <v>27</v>
      </c>
      <c r="C360" s="28" t="s">
        <v>28</v>
      </c>
      <c r="D360" s="29" t="str">
        <f t="shared" si="1"/>
        <v>Active</v>
      </c>
      <c r="E360" s="33">
        <v>45225.0</v>
      </c>
      <c r="F360" s="100"/>
      <c r="G360" s="32">
        <f t="shared" si="2"/>
        <v>23.63333333</v>
      </c>
      <c r="H360" s="33">
        <v>44953.0</v>
      </c>
      <c r="I360" s="32">
        <f t="shared" si="3"/>
        <v>0.7472222222</v>
      </c>
      <c r="J360" s="34">
        <v>88.0</v>
      </c>
      <c r="K360" s="34">
        <v>12.0</v>
      </c>
      <c r="L360" s="35" t="s">
        <v>201</v>
      </c>
      <c r="M360" s="35" t="s">
        <v>30</v>
      </c>
      <c r="N360" s="35"/>
      <c r="O360" s="35" t="s">
        <v>34</v>
      </c>
      <c r="P360" s="36" t="s">
        <v>35</v>
      </c>
      <c r="Q360" s="35"/>
      <c r="R360" s="29" t="str">
        <f t="shared" si="4"/>
        <v>Active</v>
      </c>
      <c r="S360" s="33">
        <v>45547.0</v>
      </c>
      <c r="T360" s="32">
        <f t="shared" si="5"/>
        <v>10.53333333</v>
      </c>
    </row>
    <row r="361">
      <c r="A361" s="15" t="s">
        <v>535</v>
      </c>
      <c r="B361" s="16" t="s">
        <v>40</v>
      </c>
      <c r="C361" s="16"/>
      <c r="D361" s="17" t="str">
        <f t="shared" si="1"/>
        <v>Active</v>
      </c>
      <c r="E361" s="18">
        <v>45223.0</v>
      </c>
      <c r="F361" s="73"/>
      <c r="G361" s="20">
        <f t="shared" si="2"/>
        <v>23.7</v>
      </c>
      <c r="H361" s="18">
        <v>45223.0</v>
      </c>
      <c r="I361" s="20">
        <f t="shared" si="3"/>
        <v>0</v>
      </c>
      <c r="J361" s="53">
        <v>75.0</v>
      </c>
      <c r="K361" s="53">
        <v>25.0</v>
      </c>
      <c r="L361" s="23" t="s">
        <v>50</v>
      </c>
      <c r="M361" s="23"/>
      <c r="N361" s="23"/>
      <c r="O361" s="23" t="s">
        <v>427</v>
      </c>
      <c r="P361" s="54"/>
      <c r="Q361" s="23"/>
      <c r="R361" s="55" t="str">
        <f t="shared" si="4"/>
        <v>Active</v>
      </c>
      <c r="S361" s="56">
        <v>45931.0</v>
      </c>
      <c r="T361" s="20">
        <f t="shared" si="5"/>
        <v>23.23333333</v>
      </c>
    </row>
    <row r="362">
      <c r="A362" s="27" t="s">
        <v>536</v>
      </c>
      <c r="B362" s="28" t="s">
        <v>27</v>
      </c>
      <c r="C362" s="28" t="s">
        <v>28</v>
      </c>
      <c r="D362" s="29" t="str">
        <f t="shared" si="1"/>
        <v>Active</v>
      </c>
      <c r="E362" s="33">
        <v>45209.0</v>
      </c>
      <c r="F362" s="100"/>
      <c r="G362" s="32">
        <f t="shared" si="2"/>
        <v>24.16666667</v>
      </c>
      <c r="H362" s="33">
        <v>45209.0</v>
      </c>
      <c r="I362" s="32">
        <f t="shared" si="3"/>
        <v>0</v>
      </c>
      <c r="J362" s="34">
        <v>85.0</v>
      </c>
      <c r="K362" s="34">
        <v>8.0</v>
      </c>
      <c r="L362" s="35" t="s">
        <v>500</v>
      </c>
      <c r="M362" s="35" t="s">
        <v>30</v>
      </c>
      <c r="N362" s="35"/>
      <c r="O362" s="35" t="s">
        <v>427</v>
      </c>
      <c r="P362" s="36"/>
      <c r="Q362" s="35"/>
      <c r="R362" s="29" t="str">
        <f t="shared" si="4"/>
        <v>Active</v>
      </c>
      <c r="S362" s="33">
        <v>45630.0</v>
      </c>
      <c r="T362" s="32">
        <f t="shared" si="5"/>
        <v>13.8</v>
      </c>
    </row>
    <row r="363">
      <c r="A363" s="15" t="s">
        <v>537</v>
      </c>
      <c r="B363" s="16" t="s">
        <v>27</v>
      </c>
      <c r="C363" s="16" t="s">
        <v>121</v>
      </c>
      <c r="D363" s="17" t="str">
        <f t="shared" si="1"/>
        <v>Active</v>
      </c>
      <c r="E363" s="62">
        <v>45182.0</v>
      </c>
      <c r="F363" s="52"/>
      <c r="G363" s="20">
        <f t="shared" si="2"/>
        <v>25.06666667</v>
      </c>
      <c r="H363" s="18">
        <v>44061.0</v>
      </c>
      <c r="I363" s="20">
        <f t="shared" si="3"/>
        <v>3.069444444</v>
      </c>
      <c r="J363" s="53">
        <v>86.0</v>
      </c>
      <c r="K363" s="53">
        <v>21.0</v>
      </c>
      <c r="L363" s="23" t="s">
        <v>362</v>
      </c>
      <c r="M363" s="23"/>
      <c r="N363" s="23" t="s">
        <v>538</v>
      </c>
      <c r="O363" s="23" t="s">
        <v>125</v>
      </c>
      <c r="P363" s="54" t="s">
        <v>539</v>
      </c>
      <c r="Q363" s="23"/>
      <c r="R363" s="17" t="str">
        <f t="shared" si="4"/>
        <v>Active</v>
      </c>
      <c r="S363" s="18">
        <v>45547.0</v>
      </c>
      <c r="T363" s="20">
        <f t="shared" si="5"/>
        <v>11.96666667</v>
      </c>
    </row>
    <row r="364">
      <c r="A364" s="27" t="s">
        <v>540</v>
      </c>
      <c r="B364" s="28" t="s">
        <v>27</v>
      </c>
      <c r="C364" s="28" t="s">
        <v>28</v>
      </c>
      <c r="D364" s="29" t="str">
        <f t="shared" si="1"/>
        <v>Active</v>
      </c>
      <c r="E364" s="33">
        <v>45175.0</v>
      </c>
      <c r="F364" s="100"/>
      <c r="G364" s="32">
        <f t="shared" si="2"/>
        <v>25.3</v>
      </c>
      <c r="H364" s="33">
        <v>45175.0</v>
      </c>
      <c r="I364" s="32">
        <f t="shared" si="3"/>
        <v>0</v>
      </c>
      <c r="J364" s="34">
        <v>84.0</v>
      </c>
      <c r="K364" s="34">
        <v>20.0</v>
      </c>
      <c r="L364" s="35" t="s">
        <v>509</v>
      </c>
      <c r="M364" s="35" t="s">
        <v>30</v>
      </c>
      <c r="N364" s="35"/>
      <c r="O364" s="35" t="s">
        <v>34</v>
      </c>
      <c r="P364" s="36" t="s">
        <v>541</v>
      </c>
      <c r="Q364" s="35"/>
      <c r="R364" s="29" t="str">
        <f t="shared" si="4"/>
        <v>Active</v>
      </c>
      <c r="S364" s="33">
        <v>45693.0</v>
      </c>
      <c r="T364" s="32">
        <f t="shared" si="5"/>
        <v>16.96666667</v>
      </c>
    </row>
    <row r="365">
      <c r="A365" s="15" t="s">
        <v>542</v>
      </c>
      <c r="B365" s="16" t="s">
        <v>27</v>
      </c>
      <c r="C365" s="16"/>
      <c r="D365" s="17" t="str">
        <f t="shared" si="1"/>
        <v>Active</v>
      </c>
      <c r="E365" s="18">
        <v>45167.0</v>
      </c>
      <c r="F365" s="73"/>
      <c r="G365" s="20">
        <f t="shared" si="2"/>
        <v>25.53333333</v>
      </c>
      <c r="H365" s="18">
        <v>44804.0</v>
      </c>
      <c r="I365" s="20">
        <f t="shared" si="3"/>
        <v>0.9972222222</v>
      </c>
      <c r="J365" s="53">
        <v>63.0</v>
      </c>
      <c r="K365" s="53"/>
      <c r="L365" s="23" t="s">
        <v>543</v>
      </c>
      <c r="M365" s="23"/>
      <c r="N365" s="23"/>
      <c r="O365" s="23" t="s">
        <v>132</v>
      </c>
      <c r="P365" s="54" t="s">
        <v>544</v>
      </c>
      <c r="Q365" s="23"/>
      <c r="R365" s="17" t="str">
        <f t="shared" si="4"/>
        <v>Active</v>
      </c>
      <c r="S365" s="18">
        <v>45547.0</v>
      </c>
      <c r="T365" s="20">
        <f t="shared" si="5"/>
        <v>12.43333333</v>
      </c>
    </row>
    <row r="366">
      <c r="A366" s="27" t="s">
        <v>545</v>
      </c>
      <c r="B366" s="28" t="s">
        <v>27</v>
      </c>
      <c r="C366" s="28" t="s">
        <v>121</v>
      </c>
      <c r="D366" s="29" t="str">
        <f t="shared" si="1"/>
        <v>Active</v>
      </c>
      <c r="E366" s="33">
        <v>45155.0</v>
      </c>
      <c r="F366" s="31"/>
      <c r="G366" s="32">
        <f t="shared" si="2"/>
        <v>25.93333333</v>
      </c>
      <c r="H366" s="33">
        <v>42409.0</v>
      </c>
      <c r="I366" s="32">
        <f t="shared" si="3"/>
        <v>7.522222222</v>
      </c>
      <c r="J366" s="34">
        <f>(81+85)/2</f>
        <v>83</v>
      </c>
      <c r="K366" s="34">
        <v>4.0</v>
      </c>
      <c r="L366" s="35" t="s">
        <v>362</v>
      </c>
      <c r="M366" s="35"/>
      <c r="N366" s="35" t="s">
        <v>546</v>
      </c>
      <c r="O366" s="35" t="s">
        <v>34</v>
      </c>
      <c r="P366" s="36" t="s">
        <v>547</v>
      </c>
      <c r="Q366" s="35"/>
      <c r="R366" s="29" t="str">
        <f t="shared" si="4"/>
        <v>Active</v>
      </c>
      <c r="S366" s="33">
        <v>45547.0</v>
      </c>
      <c r="T366" s="32">
        <f t="shared" si="5"/>
        <v>12.83333333</v>
      </c>
    </row>
    <row r="367">
      <c r="A367" s="15" t="s">
        <v>548</v>
      </c>
      <c r="B367" s="16" t="s">
        <v>27</v>
      </c>
      <c r="C367" s="16" t="s">
        <v>28</v>
      </c>
      <c r="D367" s="17" t="str">
        <f t="shared" si="1"/>
        <v>Active</v>
      </c>
      <c r="E367" s="62">
        <v>45147.0</v>
      </c>
      <c r="F367" s="52"/>
      <c r="G367" s="20">
        <f t="shared" si="2"/>
        <v>26.2</v>
      </c>
      <c r="H367" s="18">
        <v>40380.0</v>
      </c>
      <c r="I367" s="20">
        <f t="shared" si="3"/>
        <v>13.05</v>
      </c>
      <c r="J367" s="53">
        <v>85.0</v>
      </c>
      <c r="K367" s="53">
        <v>3.5</v>
      </c>
      <c r="L367" s="43" t="s">
        <v>549</v>
      </c>
      <c r="M367" s="43"/>
      <c r="N367" s="23" t="s">
        <v>550</v>
      </c>
      <c r="O367" s="23" t="s">
        <v>125</v>
      </c>
      <c r="P367" s="54" t="s">
        <v>551</v>
      </c>
      <c r="Q367" s="23"/>
      <c r="R367" s="17" t="str">
        <f t="shared" si="4"/>
        <v>Active</v>
      </c>
      <c r="S367" s="18">
        <v>45547.0</v>
      </c>
      <c r="T367" s="20">
        <f t="shared" si="5"/>
        <v>13.1</v>
      </c>
    </row>
    <row r="368">
      <c r="A368" s="27" t="s">
        <v>552</v>
      </c>
      <c r="B368" s="28" t="s">
        <v>27</v>
      </c>
      <c r="C368" s="28" t="s">
        <v>121</v>
      </c>
      <c r="D368" s="29" t="str">
        <f t="shared" si="1"/>
        <v>Active</v>
      </c>
      <c r="E368" s="33">
        <v>45139.0</v>
      </c>
      <c r="F368" s="31"/>
      <c r="G368" s="32">
        <f t="shared" si="2"/>
        <v>26.46666667</v>
      </c>
      <c r="H368" s="33">
        <v>43125.0</v>
      </c>
      <c r="I368" s="32">
        <f t="shared" si="3"/>
        <v>5.516666667</v>
      </c>
      <c r="J368" s="34">
        <f>(88+94)/2</f>
        <v>91</v>
      </c>
      <c r="K368" s="34">
        <v>8.0</v>
      </c>
      <c r="L368" s="35" t="s">
        <v>44</v>
      </c>
      <c r="M368" s="35"/>
      <c r="N368" s="35" t="s">
        <v>553</v>
      </c>
      <c r="O368" s="35" t="s">
        <v>334</v>
      </c>
      <c r="P368" s="36" t="s">
        <v>554</v>
      </c>
      <c r="Q368" s="35"/>
      <c r="R368" s="29" t="str">
        <f t="shared" si="4"/>
        <v>Active</v>
      </c>
      <c r="S368" s="33">
        <v>45547.0</v>
      </c>
      <c r="T368" s="32">
        <f t="shared" si="5"/>
        <v>13.36666667</v>
      </c>
    </row>
    <row r="369">
      <c r="A369" s="15" t="s">
        <v>555</v>
      </c>
      <c r="B369" s="16" t="s">
        <v>27</v>
      </c>
      <c r="C369" s="16" t="s">
        <v>28</v>
      </c>
      <c r="D369" s="17" t="str">
        <f t="shared" si="1"/>
        <v>Active</v>
      </c>
      <c r="E369" s="18">
        <v>45125.0</v>
      </c>
      <c r="F369" s="73"/>
      <c r="G369" s="20">
        <f t="shared" si="2"/>
        <v>26.9</v>
      </c>
      <c r="H369" s="18">
        <v>45125.0</v>
      </c>
      <c r="I369" s="20">
        <f t="shared" si="3"/>
        <v>0</v>
      </c>
      <c r="J369" s="53"/>
      <c r="K369" s="53"/>
      <c r="L369" s="23" t="s">
        <v>522</v>
      </c>
      <c r="M369" s="23"/>
      <c r="N369" s="23"/>
      <c r="O369" s="23" t="s">
        <v>427</v>
      </c>
      <c r="P369" s="54"/>
      <c r="Q369" s="23"/>
      <c r="R369" s="17" t="str">
        <f t="shared" si="4"/>
        <v>Active</v>
      </c>
      <c r="S369" s="18">
        <v>45547.0</v>
      </c>
      <c r="T369" s="20">
        <f t="shared" si="5"/>
        <v>13.8</v>
      </c>
    </row>
    <row r="370">
      <c r="A370" s="27" t="s">
        <v>556</v>
      </c>
      <c r="B370" s="28" t="s">
        <v>68</v>
      </c>
      <c r="C370" s="28" t="s">
        <v>28</v>
      </c>
      <c r="D370" s="29" t="str">
        <f t="shared" si="1"/>
        <v>Active</v>
      </c>
      <c r="E370" s="33">
        <v>45125.0</v>
      </c>
      <c r="F370" s="100"/>
      <c r="G370" s="32">
        <f t="shared" si="2"/>
        <v>26.9</v>
      </c>
      <c r="H370" s="33">
        <v>41600.0</v>
      </c>
      <c r="I370" s="32">
        <f t="shared" si="3"/>
        <v>9.655555556</v>
      </c>
      <c r="J370" s="34">
        <v>69.0</v>
      </c>
      <c r="K370" s="34">
        <v>5.0</v>
      </c>
      <c r="L370" s="35" t="s">
        <v>557</v>
      </c>
      <c r="M370" s="35"/>
      <c r="N370" s="35"/>
      <c r="O370" s="35" t="s">
        <v>125</v>
      </c>
      <c r="P370" s="36" t="s">
        <v>558</v>
      </c>
      <c r="Q370" s="35"/>
      <c r="R370" s="29" t="str">
        <f t="shared" si="4"/>
        <v>Active</v>
      </c>
      <c r="S370" s="33">
        <v>45547.0</v>
      </c>
      <c r="T370" s="32">
        <f t="shared" si="5"/>
        <v>13.8</v>
      </c>
    </row>
    <row r="371">
      <c r="A371" s="15" t="s">
        <v>559</v>
      </c>
      <c r="B371" s="16" t="s">
        <v>27</v>
      </c>
      <c r="C371" s="16" t="s">
        <v>28</v>
      </c>
      <c r="D371" s="17" t="str">
        <f t="shared" si="1"/>
        <v>Active</v>
      </c>
      <c r="E371" s="18">
        <v>45099.0</v>
      </c>
      <c r="F371" s="73"/>
      <c r="G371" s="20">
        <f t="shared" si="2"/>
        <v>27.76666667</v>
      </c>
      <c r="H371" s="18">
        <v>44894.0</v>
      </c>
      <c r="I371" s="20">
        <f t="shared" si="3"/>
        <v>0.5638888889</v>
      </c>
      <c r="J371" s="53">
        <v>77.0</v>
      </c>
      <c r="K371" s="53">
        <v>23.0</v>
      </c>
      <c r="L371" s="23" t="s">
        <v>500</v>
      </c>
      <c r="M371" s="23" t="s">
        <v>30</v>
      </c>
      <c r="N371" s="23"/>
      <c r="O371" s="23" t="s">
        <v>125</v>
      </c>
      <c r="P371" s="54" t="s">
        <v>560</v>
      </c>
      <c r="Q371" s="23"/>
      <c r="R371" s="17" t="str">
        <f t="shared" si="4"/>
        <v>Active</v>
      </c>
      <c r="S371" s="18">
        <v>45547.0</v>
      </c>
      <c r="T371" s="20">
        <f t="shared" si="5"/>
        <v>14.66666667</v>
      </c>
    </row>
    <row r="372">
      <c r="A372" s="27" t="s">
        <v>561</v>
      </c>
      <c r="B372" s="28" t="s">
        <v>68</v>
      </c>
      <c r="C372" s="28" t="s">
        <v>28</v>
      </c>
      <c r="D372" s="29" t="str">
        <f t="shared" si="1"/>
        <v>Active</v>
      </c>
      <c r="E372" s="30">
        <v>45085.0</v>
      </c>
      <c r="F372" s="100"/>
      <c r="G372" s="32">
        <f t="shared" si="2"/>
        <v>28.23333333</v>
      </c>
      <c r="H372" s="33">
        <v>40582.0</v>
      </c>
      <c r="I372" s="32">
        <f t="shared" si="3"/>
        <v>12.33333333</v>
      </c>
      <c r="J372" s="34">
        <v>82.0</v>
      </c>
      <c r="K372" s="34">
        <v>4.0</v>
      </c>
      <c r="L372" s="35" t="s">
        <v>562</v>
      </c>
      <c r="M372" s="35"/>
      <c r="N372" s="35" t="s">
        <v>563</v>
      </c>
      <c r="O372" s="35" t="s">
        <v>334</v>
      </c>
      <c r="P372" s="36" t="s">
        <v>564</v>
      </c>
      <c r="Q372" s="35"/>
      <c r="R372" s="29" t="str">
        <f t="shared" si="4"/>
        <v>Active</v>
      </c>
      <c r="S372" s="33">
        <v>45547.0</v>
      </c>
      <c r="T372" s="32">
        <f t="shared" si="5"/>
        <v>15.13333333</v>
      </c>
    </row>
    <row r="373">
      <c r="A373" s="15" t="s">
        <v>565</v>
      </c>
      <c r="B373" s="16" t="s">
        <v>27</v>
      </c>
      <c r="C373" s="16" t="s">
        <v>28</v>
      </c>
      <c r="D373" s="17" t="str">
        <f t="shared" si="1"/>
        <v>Active</v>
      </c>
      <c r="E373" s="18">
        <v>45078.0</v>
      </c>
      <c r="F373" s="76"/>
      <c r="G373" s="20">
        <f t="shared" si="2"/>
        <v>28.46666667</v>
      </c>
      <c r="H373" s="18">
        <v>44419.0</v>
      </c>
      <c r="I373" s="20">
        <f t="shared" si="3"/>
        <v>1.805555556</v>
      </c>
      <c r="J373" s="53">
        <v>70.0</v>
      </c>
      <c r="K373" s="53">
        <v>23.0</v>
      </c>
      <c r="L373" s="23" t="s">
        <v>50</v>
      </c>
      <c r="M373" s="43"/>
      <c r="N373" s="23"/>
      <c r="O373" s="23" t="s">
        <v>132</v>
      </c>
      <c r="P373" s="66"/>
      <c r="Q373" s="43"/>
      <c r="R373" s="17" t="str">
        <f t="shared" si="4"/>
        <v>Active</v>
      </c>
      <c r="S373" s="18">
        <v>45547.0</v>
      </c>
      <c r="T373" s="20">
        <f t="shared" si="5"/>
        <v>15.36666667</v>
      </c>
    </row>
    <row r="374">
      <c r="A374" s="27" t="s">
        <v>566</v>
      </c>
      <c r="B374" s="28" t="s">
        <v>68</v>
      </c>
      <c r="C374" s="28" t="s">
        <v>28</v>
      </c>
      <c r="D374" s="29" t="str">
        <f t="shared" si="1"/>
        <v>Active</v>
      </c>
      <c r="E374" s="30">
        <v>45071.0</v>
      </c>
      <c r="F374" s="70"/>
      <c r="G374" s="32">
        <f t="shared" si="2"/>
        <v>28.66666667</v>
      </c>
      <c r="H374" s="33">
        <v>42156.0</v>
      </c>
      <c r="I374" s="32">
        <f t="shared" si="3"/>
        <v>7.983333333</v>
      </c>
      <c r="J374" s="34">
        <v>72.0</v>
      </c>
      <c r="K374" s="34">
        <v>15.5</v>
      </c>
      <c r="L374" s="35" t="s">
        <v>567</v>
      </c>
      <c r="M374" s="44"/>
      <c r="N374" s="35" t="s">
        <v>568</v>
      </c>
      <c r="O374" s="35" t="s">
        <v>125</v>
      </c>
      <c r="P374" s="36" t="s">
        <v>569</v>
      </c>
      <c r="Q374" s="44"/>
      <c r="R374" s="29" t="str">
        <f t="shared" si="4"/>
        <v>Active</v>
      </c>
      <c r="S374" s="33">
        <v>45547.0</v>
      </c>
      <c r="T374" s="32">
        <f t="shared" si="5"/>
        <v>15.56666667</v>
      </c>
    </row>
    <row r="375">
      <c r="A375" s="15" t="s">
        <v>570</v>
      </c>
      <c r="B375" s="16" t="s">
        <v>27</v>
      </c>
      <c r="C375" s="16" t="s">
        <v>28</v>
      </c>
      <c r="D375" s="17" t="str">
        <f t="shared" si="1"/>
        <v>Active</v>
      </c>
      <c r="E375" s="18">
        <v>45069.0</v>
      </c>
      <c r="F375" s="73"/>
      <c r="G375" s="20">
        <f t="shared" si="2"/>
        <v>28.73333333</v>
      </c>
      <c r="H375" s="18">
        <v>45069.0</v>
      </c>
      <c r="I375" s="20">
        <f t="shared" si="3"/>
        <v>0</v>
      </c>
      <c r="J375" s="53">
        <v>80.0</v>
      </c>
      <c r="K375" s="53">
        <v>5.0</v>
      </c>
      <c r="L375" s="23" t="s">
        <v>562</v>
      </c>
      <c r="M375" s="23"/>
      <c r="N375" s="23"/>
      <c r="O375" s="23" t="s">
        <v>427</v>
      </c>
      <c r="P375" s="54"/>
      <c r="Q375" s="23"/>
      <c r="R375" s="17" t="str">
        <f t="shared" si="4"/>
        <v>Active</v>
      </c>
      <c r="S375" s="18">
        <v>45547.0</v>
      </c>
      <c r="T375" s="20">
        <f t="shared" si="5"/>
        <v>15.63333333</v>
      </c>
    </row>
    <row r="376">
      <c r="A376" s="27" t="s">
        <v>571</v>
      </c>
      <c r="B376" s="28" t="s">
        <v>27</v>
      </c>
      <c r="C376" s="28" t="s">
        <v>28</v>
      </c>
      <c r="D376" s="29" t="str">
        <f t="shared" si="1"/>
        <v>Active</v>
      </c>
      <c r="E376" s="33">
        <v>45048.0</v>
      </c>
      <c r="F376" s="100"/>
      <c r="G376" s="32">
        <f t="shared" si="2"/>
        <v>29.43333333</v>
      </c>
      <c r="H376" s="33">
        <v>45048.0</v>
      </c>
      <c r="I376" s="32">
        <f t="shared" si="3"/>
        <v>0</v>
      </c>
      <c r="J376" s="34">
        <v>55.0</v>
      </c>
      <c r="K376" s="34">
        <v>11.0</v>
      </c>
      <c r="L376" s="35" t="s">
        <v>184</v>
      </c>
      <c r="M376" s="35" t="s">
        <v>30</v>
      </c>
      <c r="N376" s="35" t="s">
        <v>572</v>
      </c>
      <c r="O376" s="35" t="s">
        <v>34</v>
      </c>
      <c r="P376" s="36" t="s">
        <v>100</v>
      </c>
      <c r="Q376" s="35"/>
      <c r="R376" s="29" t="str">
        <f t="shared" si="4"/>
        <v>Active</v>
      </c>
      <c r="S376" s="33">
        <v>45547.0</v>
      </c>
      <c r="T376" s="32">
        <f t="shared" si="5"/>
        <v>16.33333333</v>
      </c>
    </row>
    <row r="377">
      <c r="A377" s="15" t="s">
        <v>573</v>
      </c>
      <c r="B377" s="16" t="s">
        <v>27</v>
      </c>
      <c r="C377" s="16"/>
      <c r="D377" s="17" t="str">
        <f t="shared" si="1"/>
        <v>Active</v>
      </c>
      <c r="E377" s="18">
        <v>45043.0</v>
      </c>
      <c r="F377" s="73"/>
      <c r="G377" s="20">
        <f t="shared" si="2"/>
        <v>29.6</v>
      </c>
      <c r="H377" s="18">
        <v>45043.0</v>
      </c>
      <c r="I377" s="20">
        <f t="shared" si="3"/>
        <v>0</v>
      </c>
      <c r="J377" s="53">
        <v>66.0</v>
      </c>
      <c r="K377" s="53">
        <v>11.0</v>
      </c>
      <c r="L377" s="23" t="s">
        <v>574</v>
      </c>
      <c r="M377" s="23"/>
      <c r="N377" s="23"/>
      <c r="O377" s="23" t="s">
        <v>427</v>
      </c>
      <c r="P377" s="54"/>
      <c r="Q377" s="23"/>
      <c r="R377" s="17" t="str">
        <f t="shared" si="4"/>
        <v>Active</v>
      </c>
      <c r="S377" s="18">
        <v>45547.0</v>
      </c>
      <c r="T377" s="20">
        <f t="shared" si="5"/>
        <v>16.5</v>
      </c>
    </row>
    <row r="378">
      <c r="A378" s="27" t="s">
        <v>575</v>
      </c>
      <c r="B378" s="28" t="s">
        <v>27</v>
      </c>
      <c r="C378" s="28" t="s">
        <v>28</v>
      </c>
      <c r="D378" s="29" t="str">
        <f t="shared" si="1"/>
        <v>Active</v>
      </c>
      <c r="E378" s="33">
        <v>45034.0</v>
      </c>
      <c r="F378" s="100"/>
      <c r="G378" s="32">
        <f t="shared" si="2"/>
        <v>29.9</v>
      </c>
      <c r="H378" s="33">
        <v>45034.0</v>
      </c>
      <c r="I378" s="32">
        <f t="shared" si="3"/>
        <v>0</v>
      </c>
      <c r="J378" s="34">
        <v>69.0</v>
      </c>
      <c r="K378" s="34">
        <v>8.0</v>
      </c>
      <c r="L378" s="35" t="s">
        <v>576</v>
      </c>
      <c r="M378" s="35" t="s">
        <v>30</v>
      </c>
      <c r="N378" s="35"/>
      <c r="O378" s="35" t="s">
        <v>334</v>
      </c>
      <c r="P378" s="36" t="s">
        <v>577</v>
      </c>
      <c r="Q378" s="35"/>
      <c r="R378" s="29" t="str">
        <f t="shared" si="4"/>
        <v>Active</v>
      </c>
      <c r="S378" s="33">
        <v>45547.0</v>
      </c>
      <c r="T378" s="32">
        <f t="shared" si="5"/>
        <v>16.8</v>
      </c>
    </row>
    <row r="379">
      <c r="A379" s="15" t="s">
        <v>578</v>
      </c>
      <c r="B379" s="16" t="s">
        <v>27</v>
      </c>
      <c r="C379" s="16" t="s">
        <v>28</v>
      </c>
      <c r="D379" s="17" t="str">
        <f t="shared" si="1"/>
        <v>Active</v>
      </c>
      <c r="E379" s="18">
        <v>45028.0</v>
      </c>
      <c r="F379" s="73"/>
      <c r="G379" s="20">
        <f t="shared" si="2"/>
        <v>30.1</v>
      </c>
      <c r="H379" s="18">
        <v>44645.0</v>
      </c>
      <c r="I379" s="20">
        <f t="shared" si="3"/>
        <v>1.047222222</v>
      </c>
      <c r="J379" s="53">
        <v>76.0</v>
      </c>
      <c r="K379" s="53">
        <v>11.0</v>
      </c>
      <c r="L379" s="23" t="s">
        <v>37</v>
      </c>
      <c r="M379" s="23" t="s">
        <v>30</v>
      </c>
      <c r="N379" s="23"/>
      <c r="O379" s="23" t="s">
        <v>125</v>
      </c>
      <c r="P379" s="54" t="s">
        <v>477</v>
      </c>
      <c r="Q379" s="23"/>
      <c r="R379" s="17" t="str">
        <f t="shared" si="4"/>
        <v>Active</v>
      </c>
      <c r="S379" s="18">
        <v>45547.0</v>
      </c>
      <c r="T379" s="20">
        <f t="shared" si="5"/>
        <v>17</v>
      </c>
    </row>
    <row r="380">
      <c r="A380" s="27" t="s">
        <v>579</v>
      </c>
      <c r="B380" s="28" t="s">
        <v>68</v>
      </c>
      <c r="C380" s="28"/>
      <c r="D380" s="29" t="str">
        <f t="shared" si="1"/>
        <v>Active</v>
      </c>
      <c r="E380" s="33">
        <v>45029.0</v>
      </c>
      <c r="F380" s="100"/>
      <c r="G380" s="32">
        <f t="shared" si="2"/>
        <v>30.06666667</v>
      </c>
      <c r="H380" s="33">
        <v>44845.0</v>
      </c>
      <c r="I380" s="32">
        <f t="shared" si="3"/>
        <v>0.5055555556</v>
      </c>
      <c r="J380" s="34">
        <v>71.0</v>
      </c>
      <c r="K380" s="34">
        <v>12.0</v>
      </c>
      <c r="L380" s="35" t="s">
        <v>580</v>
      </c>
      <c r="M380" s="35"/>
      <c r="N380" s="35"/>
      <c r="O380" s="35" t="s">
        <v>334</v>
      </c>
      <c r="P380" s="36" t="s">
        <v>465</v>
      </c>
      <c r="Q380" s="35"/>
      <c r="R380" s="29" t="str">
        <f t="shared" si="4"/>
        <v>Active</v>
      </c>
      <c r="S380" s="33">
        <v>45547.0</v>
      </c>
      <c r="T380" s="32">
        <f t="shared" si="5"/>
        <v>16.96666667</v>
      </c>
    </row>
    <row r="381">
      <c r="A381" s="64" t="s">
        <v>581</v>
      </c>
      <c r="B381" s="16" t="s">
        <v>68</v>
      </c>
      <c r="C381" s="17"/>
      <c r="D381" s="17" t="str">
        <f t="shared" si="1"/>
        <v>Active</v>
      </c>
      <c r="E381" s="62">
        <v>45022.0</v>
      </c>
      <c r="F381" s="76"/>
      <c r="G381" s="20">
        <f t="shared" si="2"/>
        <v>30.3</v>
      </c>
      <c r="H381" s="18">
        <v>40716.0</v>
      </c>
      <c r="I381" s="20">
        <f t="shared" si="3"/>
        <v>11.78888889</v>
      </c>
      <c r="J381" s="53">
        <v>82.0</v>
      </c>
      <c r="K381" s="53">
        <v>6.5</v>
      </c>
      <c r="L381" s="43" t="s">
        <v>582</v>
      </c>
      <c r="M381" s="43"/>
      <c r="N381" s="23" t="s">
        <v>583</v>
      </c>
      <c r="O381" s="23" t="s">
        <v>125</v>
      </c>
      <c r="P381" s="54" t="s">
        <v>584</v>
      </c>
      <c r="Q381" s="43"/>
      <c r="R381" s="17" t="str">
        <f t="shared" si="4"/>
        <v>Active</v>
      </c>
      <c r="S381" s="18">
        <v>45547.0</v>
      </c>
      <c r="T381" s="20">
        <f t="shared" si="5"/>
        <v>17.2</v>
      </c>
    </row>
    <row r="382">
      <c r="A382" s="27" t="s">
        <v>585</v>
      </c>
      <c r="B382" s="28" t="s">
        <v>27</v>
      </c>
      <c r="C382" s="28"/>
      <c r="D382" s="29" t="str">
        <f t="shared" si="1"/>
        <v>Active</v>
      </c>
      <c r="E382" s="33">
        <v>45006.0</v>
      </c>
      <c r="F382" s="100"/>
      <c r="G382" s="32">
        <f t="shared" si="2"/>
        <v>30.8</v>
      </c>
      <c r="H382" s="33">
        <v>43182.0</v>
      </c>
      <c r="I382" s="32">
        <f t="shared" si="3"/>
        <v>4.994444444</v>
      </c>
      <c r="J382" s="34">
        <v>81.0</v>
      </c>
      <c r="K382" s="34">
        <v>39.0</v>
      </c>
      <c r="L382" s="35" t="s">
        <v>122</v>
      </c>
      <c r="M382" s="35"/>
      <c r="N382" s="35"/>
      <c r="O382" s="35" t="s">
        <v>125</v>
      </c>
      <c r="P382" s="36" t="s">
        <v>586</v>
      </c>
      <c r="Q382" s="35"/>
      <c r="R382" s="29" t="str">
        <f t="shared" si="4"/>
        <v>Active</v>
      </c>
      <c r="S382" s="33">
        <v>45547.0</v>
      </c>
      <c r="T382" s="32">
        <f t="shared" si="5"/>
        <v>17.7</v>
      </c>
    </row>
    <row r="383">
      <c r="A383" s="15" t="s">
        <v>587</v>
      </c>
      <c r="B383" s="16" t="s">
        <v>27</v>
      </c>
      <c r="C383" s="16" t="s">
        <v>183</v>
      </c>
      <c r="D383" s="17" t="str">
        <f t="shared" si="1"/>
        <v>Active</v>
      </c>
      <c r="E383" s="18">
        <v>44971.0</v>
      </c>
      <c r="F383" s="73"/>
      <c r="G383" s="20">
        <f t="shared" si="2"/>
        <v>32.03333333</v>
      </c>
      <c r="H383" s="18">
        <v>43920.0</v>
      </c>
      <c r="I383" s="20">
        <f t="shared" si="3"/>
        <v>2.872222222</v>
      </c>
      <c r="J383" s="53">
        <v>75.0</v>
      </c>
      <c r="K383" s="53">
        <v>39.0</v>
      </c>
      <c r="L383" s="23" t="s">
        <v>588</v>
      </c>
      <c r="M383" s="23"/>
      <c r="N383" s="23"/>
      <c r="O383" s="23" t="s">
        <v>34</v>
      </c>
      <c r="P383" s="54" t="s">
        <v>551</v>
      </c>
      <c r="Q383" s="23"/>
      <c r="R383" s="17" t="str">
        <f t="shared" si="4"/>
        <v>Active</v>
      </c>
      <c r="S383" s="18">
        <v>45547.0</v>
      </c>
      <c r="T383" s="20">
        <f t="shared" si="5"/>
        <v>18.93333333</v>
      </c>
    </row>
    <row r="384">
      <c r="A384" s="27" t="s">
        <v>589</v>
      </c>
      <c r="B384" s="28" t="s">
        <v>27</v>
      </c>
      <c r="C384" s="28"/>
      <c r="D384" s="29" t="str">
        <f t="shared" si="1"/>
        <v>Active</v>
      </c>
      <c r="E384" s="33">
        <v>44966.0</v>
      </c>
      <c r="F384" s="100"/>
      <c r="G384" s="32">
        <f t="shared" si="2"/>
        <v>32.2</v>
      </c>
      <c r="H384" s="33">
        <v>44791.0</v>
      </c>
      <c r="I384" s="32">
        <f t="shared" si="3"/>
        <v>0.475</v>
      </c>
      <c r="J384" s="34">
        <v>69.0</v>
      </c>
      <c r="K384" s="34">
        <v>28.0</v>
      </c>
      <c r="L384" s="35" t="s">
        <v>494</v>
      </c>
      <c r="M384" s="35"/>
      <c r="N384" s="35"/>
      <c r="O384" s="35" t="s">
        <v>132</v>
      </c>
      <c r="P384" s="36" t="s">
        <v>495</v>
      </c>
      <c r="Q384" s="35"/>
      <c r="R384" s="29" t="str">
        <f t="shared" si="4"/>
        <v>Active</v>
      </c>
      <c r="S384" s="33">
        <v>45547.0</v>
      </c>
      <c r="T384" s="32">
        <f t="shared" si="5"/>
        <v>19.1</v>
      </c>
    </row>
    <row r="385">
      <c r="A385" s="15" t="s">
        <v>590</v>
      </c>
      <c r="B385" s="16" t="s">
        <v>68</v>
      </c>
      <c r="C385" s="16" t="s">
        <v>28</v>
      </c>
      <c r="D385" s="17" t="str">
        <f t="shared" si="1"/>
        <v>Active</v>
      </c>
      <c r="E385" s="18">
        <v>44953.0</v>
      </c>
      <c r="F385" s="73"/>
      <c r="G385" s="20">
        <f t="shared" si="2"/>
        <v>32.6</v>
      </c>
      <c r="H385" s="18">
        <v>44953.0</v>
      </c>
      <c r="I385" s="20">
        <f t="shared" si="3"/>
        <v>0</v>
      </c>
      <c r="J385" s="53">
        <v>96.0</v>
      </c>
      <c r="K385" s="53">
        <v>10.0</v>
      </c>
      <c r="L385" s="23" t="s">
        <v>184</v>
      </c>
      <c r="M385" s="23"/>
      <c r="N385" s="23"/>
      <c r="O385" s="23" t="s">
        <v>125</v>
      </c>
      <c r="P385" s="54"/>
      <c r="Q385" s="23"/>
      <c r="R385" s="17" t="str">
        <f t="shared" si="4"/>
        <v>Active</v>
      </c>
      <c r="S385" s="18">
        <v>45547.0</v>
      </c>
      <c r="T385" s="20">
        <f t="shared" si="5"/>
        <v>19.5</v>
      </c>
    </row>
    <row r="386">
      <c r="A386" s="27" t="s">
        <v>591</v>
      </c>
      <c r="B386" s="28" t="s">
        <v>27</v>
      </c>
      <c r="C386" s="28" t="s">
        <v>28</v>
      </c>
      <c r="D386" s="29" t="str">
        <f t="shared" si="1"/>
        <v>Active</v>
      </c>
      <c r="E386" s="33">
        <v>44951.0</v>
      </c>
      <c r="F386" s="100"/>
      <c r="G386" s="32">
        <f t="shared" si="2"/>
        <v>32.66666667</v>
      </c>
      <c r="H386" s="33">
        <v>44951.0</v>
      </c>
      <c r="I386" s="32">
        <f t="shared" si="3"/>
        <v>0</v>
      </c>
      <c r="J386" s="34">
        <v>89.0</v>
      </c>
      <c r="K386" s="34">
        <v>10.0</v>
      </c>
      <c r="L386" s="35" t="s">
        <v>592</v>
      </c>
      <c r="M386" s="35" t="s">
        <v>30</v>
      </c>
      <c r="N386" s="35"/>
      <c r="O386" s="35" t="s">
        <v>125</v>
      </c>
      <c r="P386" s="36" t="s">
        <v>593</v>
      </c>
      <c r="Q386" s="35"/>
      <c r="R386" s="29" t="str">
        <f t="shared" si="4"/>
        <v>Active</v>
      </c>
      <c r="S386" s="33">
        <v>45547.0</v>
      </c>
      <c r="T386" s="32">
        <f t="shared" si="5"/>
        <v>19.56666667</v>
      </c>
    </row>
    <row r="387">
      <c r="A387" s="15" t="s">
        <v>594</v>
      </c>
      <c r="B387" s="16" t="s">
        <v>40</v>
      </c>
      <c r="C387" s="16"/>
      <c r="D387" s="17" t="str">
        <f t="shared" si="1"/>
        <v>Active</v>
      </c>
      <c r="E387" s="18">
        <v>44901.0</v>
      </c>
      <c r="F387" s="73"/>
      <c r="G387" s="20">
        <f t="shared" si="2"/>
        <v>34.3</v>
      </c>
      <c r="H387" s="18">
        <v>44484.0</v>
      </c>
      <c r="I387" s="20">
        <f t="shared" si="3"/>
        <v>1.141666667</v>
      </c>
      <c r="J387" s="53">
        <v>70.0</v>
      </c>
      <c r="K387" s="53">
        <v>9.0</v>
      </c>
      <c r="L387" s="23" t="s">
        <v>299</v>
      </c>
      <c r="M387" s="23"/>
      <c r="N387" s="23"/>
      <c r="O387" s="23" t="s">
        <v>34</v>
      </c>
      <c r="P387" s="54" t="s">
        <v>446</v>
      </c>
      <c r="Q387" s="23" t="s">
        <v>595</v>
      </c>
      <c r="R387" s="17" t="str">
        <f t="shared" si="4"/>
        <v>TBD</v>
      </c>
      <c r="S387" s="18"/>
      <c r="T387" s="20">
        <f t="shared" si="5"/>
        <v>34.3</v>
      </c>
    </row>
    <row r="388">
      <c r="A388" s="27" t="s">
        <v>596</v>
      </c>
      <c r="B388" s="28" t="s">
        <v>40</v>
      </c>
      <c r="C388" s="28"/>
      <c r="D388" s="29" t="str">
        <f t="shared" si="1"/>
        <v>Active</v>
      </c>
      <c r="E388" s="33">
        <v>44901.0</v>
      </c>
      <c r="F388" s="100"/>
      <c r="G388" s="32">
        <f t="shared" si="2"/>
        <v>34.3</v>
      </c>
      <c r="H388" s="33">
        <v>44484.0</v>
      </c>
      <c r="I388" s="32">
        <f t="shared" si="3"/>
        <v>1.141666667</v>
      </c>
      <c r="J388" s="34">
        <v>80.0</v>
      </c>
      <c r="K388" s="34">
        <v>7.0</v>
      </c>
      <c r="L388" s="35" t="s">
        <v>299</v>
      </c>
      <c r="M388" s="35"/>
      <c r="N388" s="35"/>
      <c r="O388" s="35" t="s">
        <v>34</v>
      </c>
      <c r="P388" s="36" t="s">
        <v>446</v>
      </c>
      <c r="Q388" s="35" t="s">
        <v>595</v>
      </c>
      <c r="R388" s="29" t="str">
        <f t="shared" si="4"/>
        <v>TBD</v>
      </c>
      <c r="S388" s="33"/>
      <c r="T388" s="32">
        <f t="shared" si="5"/>
        <v>34.3</v>
      </c>
    </row>
    <row r="389">
      <c r="A389" s="15" t="s">
        <v>597</v>
      </c>
      <c r="B389" s="16" t="s">
        <v>40</v>
      </c>
      <c r="C389" s="16"/>
      <c r="D389" s="17" t="str">
        <f t="shared" si="1"/>
        <v>Active</v>
      </c>
      <c r="E389" s="18">
        <v>44901.0</v>
      </c>
      <c r="F389" s="73"/>
      <c r="G389" s="20">
        <f t="shared" si="2"/>
        <v>34.3</v>
      </c>
      <c r="H389" s="18">
        <v>44484.0</v>
      </c>
      <c r="I389" s="20">
        <f t="shared" si="3"/>
        <v>1.141666667</v>
      </c>
      <c r="J389" s="53">
        <v>80.0</v>
      </c>
      <c r="K389" s="53">
        <f>10+9+7</f>
        <v>26</v>
      </c>
      <c r="L389" s="23" t="s">
        <v>299</v>
      </c>
      <c r="M389" s="23"/>
      <c r="N389" s="23"/>
      <c r="O389" s="23" t="s">
        <v>34</v>
      </c>
      <c r="P389" s="54" t="s">
        <v>446</v>
      </c>
      <c r="Q389" s="23" t="s">
        <v>595</v>
      </c>
      <c r="R389" s="17" t="str">
        <f t="shared" si="4"/>
        <v>TBD</v>
      </c>
      <c r="S389" s="18"/>
      <c r="T389" s="20">
        <f t="shared" si="5"/>
        <v>34.3</v>
      </c>
    </row>
    <row r="390">
      <c r="A390" s="27" t="s">
        <v>598</v>
      </c>
      <c r="B390" s="28" t="s">
        <v>40</v>
      </c>
      <c r="C390" s="28"/>
      <c r="D390" s="29" t="str">
        <f t="shared" si="1"/>
        <v>Active</v>
      </c>
      <c r="E390" s="33">
        <v>44907.0</v>
      </c>
      <c r="F390" s="100"/>
      <c r="G390" s="32">
        <f t="shared" si="2"/>
        <v>34.1</v>
      </c>
      <c r="H390" s="33">
        <v>40113.0</v>
      </c>
      <c r="I390" s="32">
        <f t="shared" si="3"/>
        <v>13.125</v>
      </c>
      <c r="J390" s="34">
        <v>78.0</v>
      </c>
      <c r="K390" s="34">
        <v>1439.0</v>
      </c>
      <c r="L390" s="35" t="s">
        <v>599</v>
      </c>
      <c r="M390" s="35"/>
      <c r="N390" s="35" t="s">
        <v>600</v>
      </c>
      <c r="O390" s="35" t="s">
        <v>125</v>
      </c>
      <c r="P390" s="36" t="s">
        <v>601</v>
      </c>
      <c r="Q390" s="109" t="s">
        <v>602</v>
      </c>
      <c r="R390" s="29" t="str">
        <f t="shared" si="4"/>
        <v>TBD</v>
      </c>
      <c r="S390" s="33"/>
      <c r="T390" s="32">
        <f t="shared" si="5"/>
        <v>34.1</v>
      </c>
    </row>
    <row r="391">
      <c r="A391" s="15" t="s">
        <v>603</v>
      </c>
      <c r="B391" s="16" t="s">
        <v>40</v>
      </c>
      <c r="C391" s="16"/>
      <c r="D391" s="17" t="str">
        <f t="shared" si="1"/>
        <v>Active</v>
      </c>
      <c r="E391" s="18">
        <v>44907.0</v>
      </c>
      <c r="F391" s="73"/>
      <c r="G391" s="20">
        <f t="shared" si="2"/>
        <v>34.1</v>
      </c>
      <c r="H391" s="18">
        <v>43951.0</v>
      </c>
      <c r="I391" s="20">
        <f t="shared" si="3"/>
        <v>2.616666667</v>
      </c>
      <c r="J391" s="53">
        <v>87.0</v>
      </c>
      <c r="K391" s="53">
        <v>44.0</v>
      </c>
      <c r="L391" s="23" t="s">
        <v>604</v>
      </c>
      <c r="M391" s="23"/>
      <c r="N391" s="23" t="s">
        <v>605</v>
      </c>
      <c r="O391" s="23" t="s">
        <v>125</v>
      </c>
      <c r="P391" s="54" t="s">
        <v>606</v>
      </c>
      <c r="Q391" s="110" t="s">
        <v>602</v>
      </c>
      <c r="R391" s="17" t="str">
        <f t="shared" si="4"/>
        <v>TBD</v>
      </c>
      <c r="S391" s="18"/>
      <c r="T391" s="20">
        <f t="shared" si="5"/>
        <v>34.1</v>
      </c>
    </row>
    <row r="392">
      <c r="A392" s="27" t="s">
        <v>607</v>
      </c>
      <c r="B392" s="28" t="s">
        <v>40</v>
      </c>
      <c r="C392" s="28"/>
      <c r="D392" s="29" t="str">
        <f t="shared" si="1"/>
        <v>Active</v>
      </c>
      <c r="E392" s="33">
        <v>44907.0</v>
      </c>
      <c r="F392" s="100"/>
      <c r="G392" s="32">
        <f t="shared" si="2"/>
        <v>34.1</v>
      </c>
      <c r="H392" s="33">
        <v>43645.0</v>
      </c>
      <c r="I392" s="32">
        <f t="shared" si="3"/>
        <v>3.452777778</v>
      </c>
      <c r="J392" s="34">
        <v>79.0</v>
      </c>
      <c r="K392" s="34">
        <v>71.0</v>
      </c>
      <c r="L392" s="35" t="s">
        <v>608</v>
      </c>
      <c r="M392" s="35"/>
      <c r="N392" s="35" t="s">
        <v>605</v>
      </c>
      <c r="O392" s="111" t="s">
        <v>125</v>
      </c>
      <c r="P392" s="36" t="s">
        <v>609</v>
      </c>
      <c r="Q392" s="109" t="s">
        <v>602</v>
      </c>
      <c r="R392" s="29" t="str">
        <f t="shared" si="4"/>
        <v>TBD</v>
      </c>
      <c r="S392" s="33"/>
      <c r="T392" s="32">
        <f t="shared" si="5"/>
        <v>34.1</v>
      </c>
    </row>
    <row r="393">
      <c r="A393" s="15" t="s">
        <v>610</v>
      </c>
      <c r="B393" s="16" t="s">
        <v>27</v>
      </c>
      <c r="C393" s="16"/>
      <c r="D393" s="17" t="str">
        <f t="shared" si="1"/>
        <v>Active</v>
      </c>
      <c r="E393" s="18">
        <v>44907.0</v>
      </c>
      <c r="F393" s="73"/>
      <c r="G393" s="20">
        <f t="shared" si="2"/>
        <v>34.1</v>
      </c>
      <c r="H393" s="18">
        <v>43984.0</v>
      </c>
      <c r="I393" s="20">
        <f t="shared" si="3"/>
        <v>2.527777778</v>
      </c>
      <c r="J393" s="53">
        <v>80.0</v>
      </c>
      <c r="K393" s="53">
        <v>65.0</v>
      </c>
      <c r="L393" s="23" t="s">
        <v>611</v>
      </c>
      <c r="M393" s="23"/>
      <c r="N393" s="23"/>
      <c r="O393" s="23" t="s">
        <v>125</v>
      </c>
      <c r="P393" s="54" t="s">
        <v>601</v>
      </c>
      <c r="Q393" s="110" t="s">
        <v>602</v>
      </c>
      <c r="R393" s="17" t="str">
        <f t="shared" si="4"/>
        <v>TBD</v>
      </c>
      <c r="S393" s="18"/>
      <c r="T393" s="20">
        <f t="shared" si="5"/>
        <v>34.1</v>
      </c>
    </row>
    <row r="394">
      <c r="A394" s="27" t="s">
        <v>612</v>
      </c>
      <c r="B394" s="28" t="s">
        <v>27</v>
      </c>
      <c r="C394" s="28" t="s">
        <v>28</v>
      </c>
      <c r="D394" s="29" t="str">
        <f t="shared" si="1"/>
        <v>Active</v>
      </c>
      <c r="E394" s="33">
        <v>44901.0</v>
      </c>
      <c r="F394" s="100"/>
      <c r="G394" s="32">
        <f t="shared" si="2"/>
        <v>34.3</v>
      </c>
      <c r="H394" s="33">
        <v>44656.0</v>
      </c>
      <c r="I394" s="32">
        <f t="shared" si="3"/>
        <v>0.6694444444</v>
      </c>
      <c r="J394" s="34">
        <v>80.0</v>
      </c>
      <c r="K394" s="34">
        <v>19.0</v>
      </c>
      <c r="L394" s="35" t="s">
        <v>613</v>
      </c>
      <c r="M394" s="35"/>
      <c r="N394" s="35"/>
      <c r="O394" s="35" t="s">
        <v>334</v>
      </c>
      <c r="P394" s="36" t="s">
        <v>614</v>
      </c>
      <c r="Q394" s="35"/>
      <c r="R394" s="29" t="str">
        <f t="shared" si="4"/>
        <v>Active</v>
      </c>
      <c r="S394" s="33">
        <v>45547.0</v>
      </c>
      <c r="T394" s="32">
        <f t="shared" si="5"/>
        <v>21.2</v>
      </c>
    </row>
    <row r="395">
      <c r="A395" s="15" t="s">
        <v>615</v>
      </c>
      <c r="B395" s="16" t="s">
        <v>27</v>
      </c>
      <c r="C395" s="16" t="s">
        <v>28</v>
      </c>
      <c r="D395" s="17" t="str">
        <f t="shared" si="1"/>
        <v>Active</v>
      </c>
      <c r="E395" s="18">
        <v>44896.0</v>
      </c>
      <c r="F395" s="52"/>
      <c r="G395" s="20">
        <f t="shared" si="2"/>
        <v>34.46666667</v>
      </c>
      <c r="H395" s="18">
        <v>43325.0</v>
      </c>
      <c r="I395" s="20">
        <f t="shared" si="3"/>
        <v>4.3</v>
      </c>
      <c r="J395" s="53">
        <v>78.0</v>
      </c>
      <c r="K395" s="53">
        <v>10.0</v>
      </c>
      <c r="L395" s="23" t="s">
        <v>362</v>
      </c>
      <c r="M395" s="23"/>
      <c r="N395" s="23" t="s">
        <v>616</v>
      </c>
      <c r="O395" s="23" t="s">
        <v>34</v>
      </c>
      <c r="P395" s="54" t="s">
        <v>35</v>
      </c>
      <c r="Q395" s="23"/>
      <c r="R395" s="17" t="str">
        <f t="shared" si="4"/>
        <v>Active</v>
      </c>
      <c r="S395" s="18">
        <v>45547.0</v>
      </c>
      <c r="T395" s="20">
        <f t="shared" si="5"/>
        <v>21.36666667</v>
      </c>
    </row>
    <row r="396">
      <c r="A396" s="27" t="s">
        <v>617</v>
      </c>
      <c r="B396" s="59" t="s">
        <v>27</v>
      </c>
      <c r="C396" s="92" t="s">
        <v>28</v>
      </c>
      <c r="D396" s="29" t="str">
        <f t="shared" si="1"/>
        <v>Active</v>
      </c>
      <c r="E396" s="33">
        <v>44895.0</v>
      </c>
      <c r="F396" s="100"/>
      <c r="G396" s="32">
        <f t="shared" si="2"/>
        <v>34.5</v>
      </c>
      <c r="H396" s="33">
        <v>44895.0</v>
      </c>
      <c r="I396" s="32">
        <f t="shared" si="3"/>
        <v>0</v>
      </c>
      <c r="J396" s="34">
        <v>78.0</v>
      </c>
      <c r="K396" s="34">
        <v>41.0</v>
      </c>
      <c r="L396" s="35" t="s">
        <v>366</v>
      </c>
      <c r="M396" s="35" t="s">
        <v>30</v>
      </c>
      <c r="N396" s="35" t="s">
        <v>618</v>
      </c>
      <c r="O396" s="35" t="s">
        <v>34</v>
      </c>
      <c r="P396" s="36" t="s">
        <v>619</v>
      </c>
      <c r="Q396" s="35"/>
      <c r="R396" s="29" t="str">
        <f t="shared" si="4"/>
        <v>Active</v>
      </c>
      <c r="S396" s="33">
        <v>45547.0</v>
      </c>
      <c r="T396" s="32">
        <f t="shared" si="5"/>
        <v>21.4</v>
      </c>
    </row>
    <row r="397">
      <c r="A397" s="15" t="s">
        <v>620</v>
      </c>
      <c r="B397" s="16" t="s">
        <v>27</v>
      </c>
      <c r="C397" s="16" t="s">
        <v>28</v>
      </c>
      <c r="D397" s="17" t="str">
        <f t="shared" si="1"/>
        <v>Active</v>
      </c>
      <c r="E397" s="18">
        <v>44887.0</v>
      </c>
      <c r="F397" s="73"/>
      <c r="G397" s="20">
        <f t="shared" si="2"/>
        <v>34.76666667</v>
      </c>
      <c r="H397" s="18">
        <v>44512.0</v>
      </c>
      <c r="I397" s="20">
        <f t="shared" si="3"/>
        <v>1.027777778</v>
      </c>
      <c r="J397" s="53">
        <v>66.0</v>
      </c>
      <c r="K397" s="53">
        <v>58.0</v>
      </c>
      <c r="L397" s="23" t="s">
        <v>184</v>
      </c>
      <c r="M397" s="23"/>
      <c r="N397" s="23"/>
      <c r="O397" s="23" t="s">
        <v>34</v>
      </c>
      <c r="P397" s="54" t="s">
        <v>446</v>
      </c>
      <c r="Q397" s="23" t="s">
        <v>621</v>
      </c>
      <c r="R397" s="17" t="str">
        <f t="shared" si="4"/>
        <v>Active</v>
      </c>
      <c r="S397" s="18">
        <v>45547.0</v>
      </c>
      <c r="T397" s="20">
        <f t="shared" si="5"/>
        <v>21.66666667</v>
      </c>
    </row>
    <row r="398">
      <c r="A398" s="27" t="s">
        <v>622</v>
      </c>
      <c r="B398" s="28" t="s">
        <v>27</v>
      </c>
      <c r="C398" s="28" t="s">
        <v>623</v>
      </c>
      <c r="D398" s="29" t="str">
        <f t="shared" si="1"/>
        <v>Active</v>
      </c>
      <c r="E398" s="33">
        <v>44880.0</v>
      </c>
      <c r="F398" s="100"/>
      <c r="G398" s="32">
        <f t="shared" si="2"/>
        <v>35</v>
      </c>
      <c r="H398" s="33">
        <v>44880.0</v>
      </c>
      <c r="I398" s="32">
        <f t="shared" si="3"/>
        <v>0</v>
      </c>
      <c r="J398" s="34">
        <v>87.0</v>
      </c>
      <c r="K398" s="34">
        <v>18.5</v>
      </c>
      <c r="L398" s="35" t="s">
        <v>362</v>
      </c>
      <c r="M398" s="35"/>
      <c r="N398" s="35"/>
      <c r="O398" s="35" t="s">
        <v>34</v>
      </c>
      <c r="P398" s="36" t="s">
        <v>624</v>
      </c>
      <c r="Q398" s="35"/>
      <c r="R398" s="29" t="str">
        <f t="shared" si="4"/>
        <v>Active</v>
      </c>
      <c r="S398" s="33">
        <v>45547.0</v>
      </c>
      <c r="T398" s="32">
        <f t="shared" si="5"/>
        <v>21.9</v>
      </c>
    </row>
    <row r="399">
      <c r="A399" s="15" t="s">
        <v>625</v>
      </c>
      <c r="B399" s="16" t="s">
        <v>27</v>
      </c>
      <c r="C399" s="16" t="s">
        <v>28</v>
      </c>
      <c r="D399" s="17" t="str">
        <f t="shared" si="1"/>
        <v>Active</v>
      </c>
      <c r="E399" s="18">
        <v>44873.0</v>
      </c>
      <c r="F399" s="73"/>
      <c r="G399" s="20">
        <f t="shared" si="2"/>
        <v>35.23333333</v>
      </c>
      <c r="H399" s="18">
        <v>44823.0</v>
      </c>
      <c r="I399" s="20">
        <f t="shared" si="3"/>
        <v>0.1361111111</v>
      </c>
      <c r="J399" s="112">
        <v>87.0</v>
      </c>
      <c r="K399" s="53">
        <v>10.5</v>
      </c>
      <c r="L399" s="23" t="s">
        <v>362</v>
      </c>
      <c r="M399" s="23" t="s">
        <v>30</v>
      </c>
      <c r="N399" s="23"/>
      <c r="O399" s="23" t="s">
        <v>334</v>
      </c>
      <c r="P399" s="54" t="s">
        <v>626</v>
      </c>
      <c r="Q399" s="23"/>
      <c r="R399" s="17" t="str">
        <f t="shared" si="4"/>
        <v>Active</v>
      </c>
      <c r="S399" s="18">
        <v>45547.0</v>
      </c>
      <c r="T399" s="20">
        <f t="shared" si="5"/>
        <v>22.13333333</v>
      </c>
    </row>
    <row r="400">
      <c r="A400" s="27" t="s">
        <v>627</v>
      </c>
      <c r="B400" s="28" t="s">
        <v>27</v>
      </c>
      <c r="C400" s="28" t="s">
        <v>28</v>
      </c>
      <c r="D400" s="29" t="str">
        <f t="shared" si="1"/>
        <v>Active</v>
      </c>
      <c r="E400" s="33">
        <v>44852.0</v>
      </c>
      <c r="F400" s="100"/>
      <c r="G400" s="32">
        <f t="shared" si="2"/>
        <v>35.9</v>
      </c>
      <c r="H400" s="33">
        <v>44852.0</v>
      </c>
      <c r="I400" s="32">
        <f t="shared" si="3"/>
        <v>0</v>
      </c>
      <c r="J400" s="34">
        <v>85.0</v>
      </c>
      <c r="K400" s="34">
        <v>15.0</v>
      </c>
      <c r="L400" s="35" t="s">
        <v>37</v>
      </c>
      <c r="M400" s="35" t="s">
        <v>30</v>
      </c>
      <c r="N400" s="35"/>
      <c r="O400" s="35" t="s">
        <v>34</v>
      </c>
      <c r="P400" s="36" t="s">
        <v>628</v>
      </c>
      <c r="Q400" s="35"/>
      <c r="R400" s="29" t="str">
        <f t="shared" si="4"/>
        <v>Active</v>
      </c>
      <c r="S400" s="33">
        <v>45547.0</v>
      </c>
      <c r="T400" s="32">
        <f t="shared" si="5"/>
        <v>22.8</v>
      </c>
    </row>
    <row r="401">
      <c r="A401" s="15" t="s">
        <v>629</v>
      </c>
      <c r="B401" s="16" t="s">
        <v>68</v>
      </c>
      <c r="C401" s="16" t="s">
        <v>28</v>
      </c>
      <c r="D401" s="17" t="str">
        <f t="shared" si="1"/>
        <v>Active</v>
      </c>
      <c r="E401" s="18">
        <v>44845.0</v>
      </c>
      <c r="F401" s="73"/>
      <c r="G401" s="20">
        <f t="shared" si="2"/>
        <v>36.13333333</v>
      </c>
      <c r="H401" s="18">
        <v>40471.0</v>
      </c>
      <c r="I401" s="20">
        <f t="shared" si="3"/>
        <v>11.975</v>
      </c>
      <c r="J401" s="53">
        <v>74.0</v>
      </c>
      <c r="K401" s="53">
        <v>5.5</v>
      </c>
      <c r="L401" s="23" t="s">
        <v>29</v>
      </c>
      <c r="M401" s="23"/>
      <c r="N401" s="23"/>
      <c r="O401" s="23" t="s">
        <v>334</v>
      </c>
      <c r="P401" s="54" t="s">
        <v>630</v>
      </c>
      <c r="Q401" s="23"/>
      <c r="R401" s="17" t="str">
        <f t="shared" si="4"/>
        <v>Active</v>
      </c>
      <c r="S401" s="18">
        <v>45547.0</v>
      </c>
      <c r="T401" s="20">
        <f t="shared" si="5"/>
        <v>23.03333333</v>
      </c>
    </row>
    <row r="402">
      <c r="A402" s="27" t="s">
        <v>631</v>
      </c>
      <c r="B402" s="28" t="s">
        <v>27</v>
      </c>
      <c r="C402" s="28" t="s">
        <v>28</v>
      </c>
      <c r="D402" s="29" t="str">
        <f t="shared" si="1"/>
        <v>Active</v>
      </c>
      <c r="E402" s="33">
        <v>44838.0</v>
      </c>
      <c r="F402" s="100"/>
      <c r="G402" s="32">
        <f t="shared" si="2"/>
        <v>36.36666667</v>
      </c>
      <c r="H402" s="33">
        <v>44355.0</v>
      </c>
      <c r="I402" s="32">
        <f t="shared" si="3"/>
        <v>1.322222222</v>
      </c>
      <c r="J402" s="34">
        <v>82.0</v>
      </c>
      <c r="K402" s="34">
        <v>42.5</v>
      </c>
      <c r="L402" s="35" t="s">
        <v>366</v>
      </c>
      <c r="M402" s="35"/>
      <c r="N402" s="35" t="s">
        <v>632</v>
      </c>
      <c r="O402" s="35" t="s">
        <v>34</v>
      </c>
      <c r="P402" s="36" t="s">
        <v>633</v>
      </c>
      <c r="Q402" s="35"/>
      <c r="R402" s="29" t="str">
        <f t="shared" si="4"/>
        <v>Active</v>
      </c>
      <c r="S402" s="33">
        <v>45547.0</v>
      </c>
      <c r="T402" s="32">
        <f t="shared" si="5"/>
        <v>23.26666667</v>
      </c>
    </row>
    <row r="403">
      <c r="A403" s="15" t="s">
        <v>634</v>
      </c>
      <c r="B403" s="16" t="s">
        <v>27</v>
      </c>
      <c r="C403" s="16" t="s">
        <v>28</v>
      </c>
      <c r="D403" s="17" t="str">
        <f t="shared" si="1"/>
        <v>Active</v>
      </c>
      <c r="E403" s="18">
        <v>44824.0</v>
      </c>
      <c r="F403" s="73"/>
      <c r="G403" s="20">
        <f t="shared" si="2"/>
        <v>36.83333333</v>
      </c>
      <c r="H403" s="18">
        <v>44453.0</v>
      </c>
      <c r="I403" s="20">
        <f t="shared" si="3"/>
        <v>1.016666667</v>
      </c>
      <c r="J403" s="53">
        <v>89.0</v>
      </c>
      <c r="K403" s="53">
        <v>16.0</v>
      </c>
      <c r="L403" s="23" t="s">
        <v>576</v>
      </c>
      <c r="M403" s="23" t="s">
        <v>30</v>
      </c>
      <c r="N403" s="23"/>
      <c r="O403" s="23" t="s">
        <v>34</v>
      </c>
      <c r="P403" s="54" t="s">
        <v>635</v>
      </c>
      <c r="Q403" s="23"/>
      <c r="R403" s="17" t="str">
        <f t="shared" si="4"/>
        <v>Active</v>
      </c>
      <c r="S403" s="18">
        <v>45547.0</v>
      </c>
      <c r="T403" s="20">
        <f t="shared" si="5"/>
        <v>23.73333333</v>
      </c>
    </row>
    <row r="404">
      <c r="A404" s="27" t="s">
        <v>636</v>
      </c>
      <c r="B404" s="28" t="s">
        <v>27</v>
      </c>
      <c r="C404" s="28" t="s">
        <v>121</v>
      </c>
      <c r="D404" s="29" t="str">
        <f t="shared" si="1"/>
        <v>Active</v>
      </c>
      <c r="E404" s="33">
        <v>44819.0</v>
      </c>
      <c r="F404" s="100"/>
      <c r="G404" s="32">
        <f t="shared" si="2"/>
        <v>37</v>
      </c>
      <c r="H404" s="33">
        <v>43375.0</v>
      </c>
      <c r="I404" s="32">
        <f t="shared" si="3"/>
        <v>3.952777778</v>
      </c>
      <c r="J404" s="34">
        <v>87.0</v>
      </c>
      <c r="K404" s="34">
        <v>44.5</v>
      </c>
      <c r="L404" s="35" t="s">
        <v>509</v>
      </c>
      <c r="M404" s="35"/>
      <c r="N404" s="35" t="s">
        <v>510</v>
      </c>
      <c r="O404" s="35" t="s">
        <v>34</v>
      </c>
      <c r="P404" s="36" t="s">
        <v>637</v>
      </c>
      <c r="Q404" s="35"/>
      <c r="R404" s="29" t="str">
        <f t="shared" si="4"/>
        <v>Active</v>
      </c>
      <c r="S404" s="33">
        <v>45547.0</v>
      </c>
      <c r="T404" s="32">
        <f t="shared" si="5"/>
        <v>23.9</v>
      </c>
    </row>
    <row r="405">
      <c r="A405" s="15" t="s">
        <v>638</v>
      </c>
      <c r="B405" s="16" t="s">
        <v>27</v>
      </c>
      <c r="C405" s="16" t="s">
        <v>121</v>
      </c>
      <c r="D405" s="17" t="str">
        <f t="shared" si="1"/>
        <v>Active</v>
      </c>
      <c r="E405" s="18">
        <v>44819.0</v>
      </c>
      <c r="F405" s="52"/>
      <c r="G405" s="20">
        <f t="shared" si="2"/>
        <v>37</v>
      </c>
      <c r="H405" s="18">
        <v>43728.0</v>
      </c>
      <c r="I405" s="20">
        <f t="shared" si="3"/>
        <v>2.986111111</v>
      </c>
      <c r="J405" s="53">
        <v>82.0</v>
      </c>
      <c r="K405" s="53">
        <v>44.5</v>
      </c>
      <c r="L405" s="23" t="s">
        <v>509</v>
      </c>
      <c r="M405" s="23"/>
      <c r="N405" s="23"/>
      <c r="O405" s="23" t="s">
        <v>334</v>
      </c>
      <c r="P405" s="54" t="s">
        <v>639</v>
      </c>
      <c r="Q405" s="23"/>
      <c r="R405" s="17" t="str">
        <f t="shared" si="4"/>
        <v>Active</v>
      </c>
      <c r="S405" s="18">
        <v>45547.0</v>
      </c>
      <c r="T405" s="20">
        <f t="shared" si="5"/>
        <v>23.9</v>
      </c>
    </row>
    <row r="406">
      <c r="A406" s="27" t="s">
        <v>640</v>
      </c>
      <c r="B406" s="28" t="s">
        <v>27</v>
      </c>
      <c r="C406" s="28" t="s">
        <v>121</v>
      </c>
      <c r="D406" s="29" t="str">
        <f t="shared" si="1"/>
        <v>Active</v>
      </c>
      <c r="E406" s="33">
        <v>44810.0</v>
      </c>
      <c r="F406" s="100"/>
      <c r="G406" s="32">
        <f t="shared" si="2"/>
        <v>37.3</v>
      </c>
      <c r="H406" s="33">
        <v>44810.0</v>
      </c>
      <c r="I406" s="32">
        <f t="shared" si="3"/>
        <v>0</v>
      </c>
      <c r="J406" s="34">
        <v>75.0</v>
      </c>
      <c r="K406" s="34">
        <v>15.5</v>
      </c>
      <c r="L406" s="35" t="s">
        <v>50</v>
      </c>
      <c r="M406" s="35"/>
      <c r="N406" s="35" t="s">
        <v>641</v>
      </c>
      <c r="O406" s="35" t="s">
        <v>132</v>
      </c>
      <c r="P406" s="36"/>
      <c r="Q406" s="35"/>
      <c r="R406" s="29" t="str">
        <f t="shared" si="4"/>
        <v>Active</v>
      </c>
      <c r="S406" s="33">
        <v>45547.0</v>
      </c>
      <c r="T406" s="32">
        <f t="shared" si="5"/>
        <v>24.2</v>
      </c>
    </row>
    <row r="407">
      <c r="A407" s="15" t="s">
        <v>642</v>
      </c>
      <c r="B407" s="16" t="s">
        <v>27</v>
      </c>
      <c r="C407" s="16" t="s">
        <v>28</v>
      </c>
      <c r="D407" s="17" t="str">
        <f t="shared" si="1"/>
        <v>Active</v>
      </c>
      <c r="E407" s="18">
        <v>44805.0</v>
      </c>
      <c r="F407" s="73"/>
      <c r="G407" s="20">
        <f t="shared" si="2"/>
        <v>37.46666667</v>
      </c>
      <c r="H407" s="18">
        <v>44617.0</v>
      </c>
      <c r="I407" s="20">
        <f t="shared" si="3"/>
        <v>0.5166666667</v>
      </c>
      <c r="J407" s="53">
        <v>75.0</v>
      </c>
      <c r="K407" s="53">
        <v>6.0</v>
      </c>
      <c r="L407" s="23" t="s">
        <v>500</v>
      </c>
      <c r="M407" s="23"/>
      <c r="N407" s="23" t="s">
        <v>643</v>
      </c>
      <c r="O407" s="23" t="s">
        <v>334</v>
      </c>
      <c r="P407" s="54" t="s">
        <v>644</v>
      </c>
      <c r="Q407" s="23"/>
      <c r="R407" s="17" t="str">
        <f t="shared" si="4"/>
        <v>Active</v>
      </c>
      <c r="S407" s="18">
        <v>45547.0</v>
      </c>
      <c r="T407" s="20">
        <f t="shared" si="5"/>
        <v>24.36666667</v>
      </c>
    </row>
    <row r="408">
      <c r="A408" s="27" t="s">
        <v>645</v>
      </c>
      <c r="B408" s="28" t="s">
        <v>27</v>
      </c>
      <c r="C408" s="28" t="s">
        <v>121</v>
      </c>
      <c r="D408" s="29" t="str">
        <f t="shared" si="1"/>
        <v>Active</v>
      </c>
      <c r="E408" s="33">
        <v>44803.0</v>
      </c>
      <c r="F408" s="100"/>
      <c r="G408" s="32">
        <f t="shared" si="2"/>
        <v>37.5</v>
      </c>
      <c r="H408" s="33">
        <v>44168.0</v>
      </c>
      <c r="I408" s="32">
        <f t="shared" si="3"/>
        <v>1.741666667</v>
      </c>
      <c r="J408" s="113">
        <v>81.0</v>
      </c>
      <c r="K408" s="34">
        <v>25.5</v>
      </c>
      <c r="L408" s="35" t="s">
        <v>509</v>
      </c>
      <c r="M408" s="35"/>
      <c r="N408" s="35" t="s">
        <v>510</v>
      </c>
      <c r="O408" s="35" t="s">
        <v>125</v>
      </c>
      <c r="P408" s="36" t="s">
        <v>646</v>
      </c>
      <c r="Q408" s="35"/>
      <c r="R408" s="29" t="str">
        <f t="shared" si="4"/>
        <v>Active</v>
      </c>
      <c r="S408" s="33">
        <v>45547.0</v>
      </c>
      <c r="T408" s="32">
        <f t="shared" si="5"/>
        <v>24.4</v>
      </c>
    </row>
    <row r="409">
      <c r="A409" s="15" t="s">
        <v>647</v>
      </c>
      <c r="B409" s="16" t="s">
        <v>40</v>
      </c>
      <c r="C409" s="16"/>
      <c r="D409" s="17" t="str">
        <f t="shared" si="1"/>
        <v>Active</v>
      </c>
      <c r="E409" s="18">
        <v>44791.0</v>
      </c>
      <c r="F409" s="73"/>
      <c r="G409" s="20">
        <f t="shared" si="2"/>
        <v>37.9</v>
      </c>
      <c r="H409" s="18">
        <v>35764.0</v>
      </c>
      <c r="I409" s="20">
        <f t="shared" si="3"/>
        <v>24.71666667</v>
      </c>
      <c r="J409" s="53">
        <f>5.6*10</f>
        <v>56</v>
      </c>
      <c r="K409" s="53">
        <v>15.5</v>
      </c>
      <c r="L409" s="23" t="s">
        <v>122</v>
      </c>
      <c r="M409" s="23"/>
      <c r="N409" s="23"/>
      <c r="O409" s="23" t="s">
        <v>34</v>
      </c>
      <c r="P409" s="54" t="s">
        <v>648</v>
      </c>
      <c r="Q409" s="23"/>
      <c r="R409" s="55" t="str">
        <f t="shared" si="4"/>
        <v>Active</v>
      </c>
      <c r="S409" s="56">
        <v>45931.0</v>
      </c>
      <c r="T409" s="20">
        <f t="shared" si="5"/>
        <v>37.43333333</v>
      </c>
    </row>
    <row r="410">
      <c r="A410" s="27" t="s">
        <v>649</v>
      </c>
      <c r="B410" s="28" t="s">
        <v>40</v>
      </c>
      <c r="C410" s="28"/>
      <c r="D410" s="29" t="str">
        <f t="shared" si="1"/>
        <v>Active</v>
      </c>
      <c r="E410" s="33">
        <v>44791.0</v>
      </c>
      <c r="F410" s="100"/>
      <c r="G410" s="32">
        <f t="shared" si="2"/>
        <v>37.9</v>
      </c>
      <c r="H410" s="33">
        <v>36099.0</v>
      </c>
      <c r="I410" s="32">
        <f t="shared" si="3"/>
        <v>23.8</v>
      </c>
      <c r="J410" s="34">
        <f>7.3*10</f>
        <v>73</v>
      </c>
      <c r="K410" s="34">
        <v>17.0</v>
      </c>
      <c r="L410" s="35" t="s">
        <v>37</v>
      </c>
      <c r="M410" s="35"/>
      <c r="N410" s="35"/>
      <c r="O410" s="35" t="s">
        <v>125</v>
      </c>
      <c r="P410" s="36" t="s">
        <v>650</v>
      </c>
      <c r="Q410" s="35"/>
      <c r="R410" s="59" t="str">
        <f t="shared" si="4"/>
        <v>Active</v>
      </c>
      <c r="S410" s="60">
        <v>45931.0</v>
      </c>
      <c r="T410" s="32">
        <f t="shared" si="5"/>
        <v>37.43333333</v>
      </c>
    </row>
    <row r="411">
      <c r="A411" s="15" t="s">
        <v>651</v>
      </c>
      <c r="B411" s="16" t="s">
        <v>40</v>
      </c>
      <c r="C411" s="16"/>
      <c r="D411" s="17" t="str">
        <f t="shared" si="1"/>
        <v>Active</v>
      </c>
      <c r="E411" s="18">
        <v>44791.0</v>
      </c>
      <c r="F411" s="73"/>
      <c r="G411" s="20">
        <f t="shared" si="2"/>
        <v>37.9</v>
      </c>
      <c r="H411" s="18">
        <v>37214.0</v>
      </c>
      <c r="I411" s="20">
        <f t="shared" si="3"/>
        <v>20.74722222</v>
      </c>
      <c r="J411" s="53">
        <v>88.0</v>
      </c>
      <c r="K411" s="53">
        <v>8.0</v>
      </c>
      <c r="L411" s="23" t="s">
        <v>184</v>
      </c>
      <c r="M411" s="23"/>
      <c r="N411" s="23"/>
      <c r="O411" s="23" t="s">
        <v>34</v>
      </c>
      <c r="P411" s="54" t="s">
        <v>368</v>
      </c>
      <c r="Q411" s="23"/>
      <c r="R411" s="17" t="str">
        <f t="shared" si="4"/>
        <v>Active</v>
      </c>
      <c r="S411" s="18">
        <v>45931.0</v>
      </c>
      <c r="T411" s="20">
        <f t="shared" si="5"/>
        <v>37.43333333</v>
      </c>
    </row>
    <row r="412">
      <c r="A412" s="27" t="s">
        <v>652</v>
      </c>
      <c r="B412" s="28" t="s">
        <v>40</v>
      </c>
      <c r="C412" s="28"/>
      <c r="D412" s="29" t="str">
        <f t="shared" si="1"/>
        <v>Active</v>
      </c>
      <c r="E412" s="33">
        <v>44791.0</v>
      </c>
      <c r="F412" s="100"/>
      <c r="G412" s="32">
        <f t="shared" si="2"/>
        <v>37.9</v>
      </c>
      <c r="H412" s="33">
        <v>38643.0</v>
      </c>
      <c r="I412" s="32">
        <f t="shared" si="3"/>
        <v>16.83333333</v>
      </c>
      <c r="J412" s="34">
        <v>81.0</v>
      </c>
      <c r="K412" s="34">
        <v>8.0</v>
      </c>
      <c r="L412" s="35" t="s">
        <v>184</v>
      </c>
      <c r="M412" s="35"/>
      <c r="N412" s="35"/>
      <c r="O412" s="35" t="s">
        <v>34</v>
      </c>
      <c r="P412" s="36" t="s">
        <v>35</v>
      </c>
      <c r="Q412" s="35"/>
      <c r="R412" s="29" t="str">
        <f t="shared" si="4"/>
        <v>Active</v>
      </c>
      <c r="S412" s="33">
        <v>45931.0</v>
      </c>
      <c r="T412" s="32">
        <f t="shared" si="5"/>
        <v>37.43333333</v>
      </c>
    </row>
    <row r="413">
      <c r="A413" s="15" t="s">
        <v>653</v>
      </c>
      <c r="B413" s="16" t="s">
        <v>40</v>
      </c>
      <c r="C413" s="16"/>
      <c r="D413" s="17" t="str">
        <f t="shared" si="1"/>
        <v>Active</v>
      </c>
      <c r="E413" s="18">
        <v>44791.0</v>
      </c>
      <c r="F413" s="73"/>
      <c r="G413" s="20">
        <f t="shared" si="2"/>
        <v>37.9</v>
      </c>
      <c r="H413" s="18">
        <v>33729.0</v>
      </c>
      <c r="I413" s="20">
        <f t="shared" si="3"/>
        <v>30.28611111</v>
      </c>
      <c r="J413" s="53">
        <f>8.5*10</f>
        <v>85</v>
      </c>
      <c r="K413" s="53">
        <v>6.5</v>
      </c>
      <c r="L413" s="23" t="s">
        <v>299</v>
      </c>
      <c r="M413" s="23"/>
      <c r="N413" s="23"/>
      <c r="O413" s="23" t="s">
        <v>34</v>
      </c>
      <c r="P413" s="54" t="s">
        <v>368</v>
      </c>
      <c r="Q413" s="23"/>
      <c r="R413" s="17" t="str">
        <f t="shared" si="4"/>
        <v>Active</v>
      </c>
      <c r="S413" s="18">
        <v>45931.0</v>
      </c>
      <c r="T413" s="20">
        <f t="shared" si="5"/>
        <v>37.43333333</v>
      </c>
    </row>
    <row r="414">
      <c r="A414" s="27" t="s">
        <v>654</v>
      </c>
      <c r="B414" s="28" t="s">
        <v>27</v>
      </c>
      <c r="C414" s="28" t="s">
        <v>28</v>
      </c>
      <c r="D414" s="29" t="str">
        <f t="shared" si="1"/>
        <v>Active</v>
      </c>
      <c r="E414" s="33">
        <v>44784.0</v>
      </c>
      <c r="F414" s="100"/>
      <c r="G414" s="32">
        <f t="shared" si="2"/>
        <v>38.13333333</v>
      </c>
      <c r="H414" s="33">
        <v>43622.0</v>
      </c>
      <c r="I414" s="32">
        <f t="shared" si="3"/>
        <v>3.180555556</v>
      </c>
      <c r="J414" s="34">
        <v>64.0</v>
      </c>
      <c r="K414" s="34">
        <v>8.5</v>
      </c>
      <c r="L414" s="35" t="s">
        <v>50</v>
      </c>
      <c r="M414" s="35"/>
      <c r="N414" s="35"/>
      <c r="O414" s="35" t="s">
        <v>132</v>
      </c>
      <c r="P414" s="36" t="s">
        <v>491</v>
      </c>
      <c r="Q414" s="35"/>
      <c r="R414" s="29" t="str">
        <f t="shared" si="4"/>
        <v>Active</v>
      </c>
      <c r="S414" s="33">
        <v>45547.0</v>
      </c>
      <c r="T414" s="32">
        <f t="shared" si="5"/>
        <v>25.03333333</v>
      </c>
    </row>
    <row r="415">
      <c r="A415" s="15" t="s">
        <v>655</v>
      </c>
      <c r="B415" s="16" t="s">
        <v>27</v>
      </c>
      <c r="C415" s="16" t="s">
        <v>28</v>
      </c>
      <c r="D415" s="17" t="str">
        <f t="shared" si="1"/>
        <v>Active</v>
      </c>
      <c r="E415" s="18">
        <v>44774.0</v>
      </c>
      <c r="F415" s="73"/>
      <c r="G415" s="20">
        <f t="shared" si="2"/>
        <v>38.46666667</v>
      </c>
      <c r="H415" s="18">
        <v>42801.0</v>
      </c>
      <c r="I415" s="20">
        <f t="shared" si="3"/>
        <v>5.4</v>
      </c>
      <c r="J415" s="114">
        <v>76.0</v>
      </c>
      <c r="K415" s="53">
        <v>26.5</v>
      </c>
      <c r="L415" s="23" t="s">
        <v>32</v>
      </c>
      <c r="M415" s="23"/>
      <c r="N415" s="23" t="s">
        <v>510</v>
      </c>
      <c r="O415" s="23" t="s">
        <v>34</v>
      </c>
      <c r="P415" s="54" t="s">
        <v>656</v>
      </c>
      <c r="Q415" s="23"/>
      <c r="R415" s="17" t="str">
        <f t="shared" si="4"/>
        <v>Active</v>
      </c>
      <c r="S415" s="18">
        <v>45547.0</v>
      </c>
      <c r="T415" s="20">
        <f t="shared" si="5"/>
        <v>25.36666667</v>
      </c>
    </row>
    <row r="416">
      <c r="A416" s="27" t="s">
        <v>657</v>
      </c>
      <c r="B416" s="28" t="s">
        <v>27</v>
      </c>
      <c r="C416" s="28" t="s">
        <v>28</v>
      </c>
      <c r="D416" s="29" t="str">
        <f t="shared" si="1"/>
        <v>Active</v>
      </c>
      <c r="E416" s="33">
        <v>44763.0</v>
      </c>
      <c r="F416" s="100"/>
      <c r="G416" s="32">
        <f t="shared" si="2"/>
        <v>38.8</v>
      </c>
      <c r="H416" s="33">
        <v>42550.0</v>
      </c>
      <c r="I416" s="32">
        <f t="shared" si="3"/>
        <v>6.061111111</v>
      </c>
      <c r="J416" s="34">
        <v>93.0</v>
      </c>
      <c r="K416" s="34">
        <v>3.5</v>
      </c>
      <c r="L416" s="35" t="s">
        <v>549</v>
      </c>
      <c r="M416" s="35"/>
      <c r="N416" s="35" t="s">
        <v>658</v>
      </c>
      <c r="O416" s="35" t="s">
        <v>34</v>
      </c>
      <c r="P416" s="36" t="s">
        <v>368</v>
      </c>
      <c r="Q416" s="35"/>
      <c r="R416" s="29" t="str">
        <f t="shared" si="4"/>
        <v>Active</v>
      </c>
      <c r="S416" s="33">
        <v>45547.0</v>
      </c>
      <c r="T416" s="32">
        <f t="shared" si="5"/>
        <v>25.7</v>
      </c>
    </row>
    <row r="417">
      <c r="A417" s="15" t="s">
        <v>659</v>
      </c>
      <c r="B417" s="16" t="s">
        <v>27</v>
      </c>
      <c r="C417" s="16" t="s">
        <v>121</v>
      </c>
      <c r="D417" s="17" t="str">
        <f t="shared" si="1"/>
        <v>Active</v>
      </c>
      <c r="E417" s="18">
        <v>44761.0</v>
      </c>
      <c r="F417" s="73"/>
      <c r="G417" s="20">
        <f t="shared" si="2"/>
        <v>38.86666667</v>
      </c>
      <c r="H417" s="18">
        <v>44761.0</v>
      </c>
      <c r="I417" s="20">
        <f t="shared" si="3"/>
        <v>0</v>
      </c>
      <c r="J417" s="53">
        <v>78.0</v>
      </c>
      <c r="K417" s="53">
        <v>6.0</v>
      </c>
      <c r="L417" s="23" t="s">
        <v>362</v>
      </c>
      <c r="M417" s="23"/>
      <c r="N417" s="23"/>
      <c r="O417" s="23" t="s">
        <v>34</v>
      </c>
      <c r="P417" s="54" t="s">
        <v>660</v>
      </c>
      <c r="Q417" s="23"/>
      <c r="R417" s="17" t="str">
        <f t="shared" si="4"/>
        <v>Active</v>
      </c>
      <c r="S417" s="18">
        <v>45547.0</v>
      </c>
      <c r="T417" s="20">
        <f t="shared" si="5"/>
        <v>25.76666667</v>
      </c>
    </row>
    <row r="418">
      <c r="A418" s="27" t="s">
        <v>661</v>
      </c>
      <c r="B418" s="28" t="s">
        <v>27</v>
      </c>
      <c r="C418" s="28" t="s">
        <v>28</v>
      </c>
      <c r="D418" s="29" t="str">
        <f t="shared" si="1"/>
        <v>Active</v>
      </c>
      <c r="E418" s="33">
        <v>44761.0</v>
      </c>
      <c r="F418" s="100"/>
      <c r="G418" s="32">
        <f t="shared" si="2"/>
        <v>38.86666667</v>
      </c>
      <c r="H418" s="33">
        <v>42689.0</v>
      </c>
      <c r="I418" s="32">
        <f t="shared" si="3"/>
        <v>5.677777778</v>
      </c>
      <c r="J418" s="34">
        <v>78.0</v>
      </c>
      <c r="K418" s="34">
        <v>19.0</v>
      </c>
      <c r="L418" s="35" t="s">
        <v>662</v>
      </c>
      <c r="M418" s="35"/>
      <c r="N418" s="35"/>
      <c r="O418" s="35" t="s">
        <v>34</v>
      </c>
      <c r="P418" s="36" t="s">
        <v>663</v>
      </c>
      <c r="Q418" s="35"/>
      <c r="R418" s="29" t="str">
        <f t="shared" si="4"/>
        <v>Active</v>
      </c>
      <c r="S418" s="33">
        <v>45547.0</v>
      </c>
      <c r="T418" s="32">
        <f t="shared" si="5"/>
        <v>25.76666667</v>
      </c>
    </row>
    <row r="419">
      <c r="A419" s="15" t="s">
        <v>664</v>
      </c>
      <c r="B419" s="16" t="s">
        <v>27</v>
      </c>
      <c r="C419" s="16" t="s">
        <v>28</v>
      </c>
      <c r="D419" s="17" t="str">
        <f t="shared" si="1"/>
        <v>Active</v>
      </c>
      <c r="E419" s="18">
        <v>44756.0</v>
      </c>
      <c r="F419" s="73"/>
      <c r="G419" s="20">
        <f t="shared" si="2"/>
        <v>39.03333333</v>
      </c>
      <c r="H419" s="18">
        <v>44335.0</v>
      </c>
      <c r="I419" s="20">
        <f t="shared" si="3"/>
        <v>1.152777778</v>
      </c>
      <c r="J419" s="53">
        <v>76.0</v>
      </c>
      <c r="K419" s="53">
        <v>21.5</v>
      </c>
      <c r="L419" s="23" t="s">
        <v>50</v>
      </c>
      <c r="M419" s="23"/>
      <c r="N419" s="23" t="s">
        <v>658</v>
      </c>
      <c r="O419" s="23" t="s">
        <v>132</v>
      </c>
      <c r="P419" s="54"/>
      <c r="Q419" s="23"/>
      <c r="R419" s="17" t="str">
        <f t="shared" si="4"/>
        <v>Active</v>
      </c>
      <c r="S419" s="18">
        <v>45547.0</v>
      </c>
      <c r="T419" s="20">
        <f t="shared" si="5"/>
        <v>25.93333333</v>
      </c>
    </row>
    <row r="420">
      <c r="A420" s="27" t="s">
        <v>665</v>
      </c>
      <c r="B420" s="28" t="s">
        <v>27</v>
      </c>
      <c r="C420" s="28" t="s">
        <v>28</v>
      </c>
      <c r="D420" s="29" t="str">
        <f t="shared" si="1"/>
        <v>Active</v>
      </c>
      <c r="E420" s="33">
        <v>44743.0</v>
      </c>
      <c r="F420" s="100"/>
      <c r="G420" s="32">
        <f t="shared" si="2"/>
        <v>39.46666667</v>
      </c>
      <c r="H420" s="33">
        <v>43186.0</v>
      </c>
      <c r="I420" s="32">
        <f t="shared" si="3"/>
        <v>4.261111111</v>
      </c>
      <c r="J420" s="34">
        <f>average(78,82)</f>
        <v>80</v>
      </c>
      <c r="K420" s="34">
        <v>18.0</v>
      </c>
      <c r="L420" s="35" t="s">
        <v>184</v>
      </c>
      <c r="M420" s="35"/>
      <c r="N420" s="35"/>
      <c r="O420" s="35" t="s">
        <v>34</v>
      </c>
      <c r="P420" s="36" t="s">
        <v>666</v>
      </c>
      <c r="Q420" s="35"/>
      <c r="R420" s="29" t="str">
        <f t="shared" si="4"/>
        <v>Active</v>
      </c>
      <c r="S420" s="33">
        <v>45547.0</v>
      </c>
      <c r="T420" s="32">
        <f t="shared" si="5"/>
        <v>26.36666667</v>
      </c>
    </row>
    <row r="421">
      <c r="A421" s="15" t="s">
        <v>667</v>
      </c>
      <c r="B421" s="16" t="s">
        <v>27</v>
      </c>
      <c r="C421" s="16" t="s">
        <v>183</v>
      </c>
      <c r="D421" s="17" t="str">
        <f t="shared" si="1"/>
        <v>Active</v>
      </c>
      <c r="E421" s="18">
        <v>44742.0</v>
      </c>
      <c r="F421" s="73"/>
      <c r="G421" s="20">
        <f t="shared" si="2"/>
        <v>39.5</v>
      </c>
      <c r="H421" s="18">
        <v>43237.0</v>
      </c>
      <c r="I421" s="20">
        <f t="shared" si="3"/>
        <v>4.119444444</v>
      </c>
      <c r="J421" s="53">
        <v>68.0</v>
      </c>
      <c r="K421" s="53">
        <v>12.0</v>
      </c>
      <c r="L421" s="23" t="s">
        <v>50</v>
      </c>
      <c r="M421" s="23"/>
      <c r="N421" s="23"/>
      <c r="O421" s="23" t="s">
        <v>132</v>
      </c>
      <c r="P421" s="54"/>
      <c r="Q421" s="23"/>
      <c r="R421" s="17" t="str">
        <f t="shared" si="4"/>
        <v>Active</v>
      </c>
      <c r="S421" s="18">
        <v>45547.0</v>
      </c>
      <c r="T421" s="20">
        <f t="shared" si="5"/>
        <v>26.4</v>
      </c>
    </row>
    <row r="422">
      <c r="A422" s="27" t="s">
        <v>668</v>
      </c>
      <c r="B422" s="28" t="s">
        <v>27</v>
      </c>
      <c r="C422" s="28" t="s">
        <v>121</v>
      </c>
      <c r="D422" s="29" t="str">
        <f t="shared" si="1"/>
        <v>Active</v>
      </c>
      <c r="E422" s="33">
        <v>44733.0</v>
      </c>
      <c r="F422" s="100"/>
      <c r="G422" s="32">
        <f t="shared" si="2"/>
        <v>39.8</v>
      </c>
      <c r="H422" s="33">
        <v>42236.0</v>
      </c>
      <c r="I422" s="32">
        <f t="shared" si="3"/>
        <v>6.836111111</v>
      </c>
      <c r="J422" s="34">
        <f>average(76,81,81)</f>
        <v>79.33333333</v>
      </c>
      <c r="K422" s="34">
        <v>53.5</v>
      </c>
      <c r="L422" s="35" t="s">
        <v>567</v>
      </c>
      <c r="M422" s="35"/>
      <c r="N422" s="35" t="s">
        <v>669</v>
      </c>
      <c r="O422" s="35" t="s">
        <v>34</v>
      </c>
      <c r="P422" s="36" t="s">
        <v>670</v>
      </c>
      <c r="Q422" s="106" t="s">
        <v>671</v>
      </c>
      <c r="R422" s="29" t="str">
        <f t="shared" si="4"/>
        <v>Active</v>
      </c>
      <c r="S422" s="33">
        <v>45547.0</v>
      </c>
      <c r="T422" s="32">
        <f t="shared" si="5"/>
        <v>26.7</v>
      </c>
    </row>
    <row r="423">
      <c r="A423" s="15" t="s">
        <v>672</v>
      </c>
      <c r="B423" s="16" t="s">
        <v>27</v>
      </c>
      <c r="C423" s="16" t="s">
        <v>121</v>
      </c>
      <c r="D423" s="17" t="str">
        <f t="shared" si="1"/>
        <v>Active</v>
      </c>
      <c r="E423" s="18">
        <v>44719.0</v>
      </c>
      <c r="F423" s="73"/>
      <c r="G423" s="20">
        <f t="shared" si="2"/>
        <v>40.26666667</v>
      </c>
      <c r="H423" s="18">
        <v>43035.0</v>
      </c>
      <c r="I423" s="20">
        <f t="shared" si="3"/>
        <v>4.611111111</v>
      </c>
      <c r="J423" s="53">
        <f>average(84,85)</f>
        <v>84.5</v>
      </c>
      <c r="K423" s="53">
        <v>30.0</v>
      </c>
      <c r="L423" s="23" t="s">
        <v>509</v>
      </c>
      <c r="M423" s="23"/>
      <c r="N423" s="23" t="s">
        <v>510</v>
      </c>
      <c r="O423" s="23" t="s">
        <v>34</v>
      </c>
      <c r="P423" s="54" t="s">
        <v>673</v>
      </c>
      <c r="Q423" s="23"/>
      <c r="R423" s="17" t="str">
        <f t="shared" si="4"/>
        <v>Active</v>
      </c>
      <c r="S423" s="18">
        <v>45547.0</v>
      </c>
      <c r="T423" s="20">
        <f t="shared" si="5"/>
        <v>27.16666667</v>
      </c>
    </row>
    <row r="424">
      <c r="A424" s="27" t="s">
        <v>674</v>
      </c>
      <c r="B424" s="28" t="s">
        <v>27</v>
      </c>
      <c r="C424" s="28" t="s">
        <v>183</v>
      </c>
      <c r="D424" s="29" t="str">
        <f t="shared" si="1"/>
        <v>Active</v>
      </c>
      <c r="E424" s="33">
        <v>44707.0</v>
      </c>
      <c r="F424" s="100"/>
      <c r="G424" s="32">
        <f t="shared" si="2"/>
        <v>40.63333333</v>
      </c>
      <c r="H424" s="33">
        <v>44707.0</v>
      </c>
      <c r="I424" s="32">
        <f t="shared" si="3"/>
        <v>0</v>
      </c>
      <c r="J424" s="34">
        <v>77.0</v>
      </c>
      <c r="K424" s="34">
        <v>9.0</v>
      </c>
      <c r="L424" s="35" t="s">
        <v>675</v>
      </c>
      <c r="M424" s="35"/>
      <c r="N424" s="35"/>
      <c r="O424" s="35" t="s">
        <v>34</v>
      </c>
      <c r="P424" s="36" t="s">
        <v>676</v>
      </c>
      <c r="Q424" s="35"/>
      <c r="R424" s="29" t="str">
        <f t="shared" si="4"/>
        <v>Active</v>
      </c>
      <c r="S424" s="33">
        <v>45547.0</v>
      </c>
      <c r="T424" s="32">
        <f t="shared" si="5"/>
        <v>27.53333333</v>
      </c>
    </row>
    <row r="425">
      <c r="A425" s="15" t="s">
        <v>677</v>
      </c>
      <c r="B425" s="16" t="s">
        <v>27</v>
      </c>
      <c r="C425" s="16" t="s">
        <v>28</v>
      </c>
      <c r="D425" s="17" t="str">
        <f t="shared" si="1"/>
        <v>Active</v>
      </c>
      <c r="E425" s="18">
        <v>44700.0</v>
      </c>
      <c r="F425" s="73"/>
      <c r="G425" s="20">
        <f t="shared" si="2"/>
        <v>40.86666667</v>
      </c>
      <c r="H425" s="18">
        <v>44547.0</v>
      </c>
      <c r="I425" s="20">
        <f t="shared" si="3"/>
        <v>0.4222222222</v>
      </c>
      <c r="J425" s="53">
        <v>87.0</v>
      </c>
      <c r="K425" s="53">
        <v>4.5</v>
      </c>
      <c r="L425" s="23" t="s">
        <v>366</v>
      </c>
      <c r="M425" s="23"/>
      <c r="N425" s="23" t="s">
        <v>678</v>
      </c>
      <c r="O425" s="23" t="s">
        <v>334</v>
      </c>
      <c r="P425" s="54" t="s">
        <v>483</v>
      </c>
      <c r="Q425" s="23"/>
      <c r="R425" s="17" t="str">
        <f t="shared" si="4"/>
        <v>Active</v>
      </c>
      <c r="S425" s="18">
        <v>45547.0</v>
      </c>
      <c r="T425" s="20">
        <f t="shared" si="5"/>
        <v>27.76666667</v>
      </c>
    </row>
    <row r="426">
      <c r="A426" s="27" t="s">
        <v>679</v>
      </c>
      <c r="B426" s="28" t="s">
        <v>27</v>
      </c>
      <c r="C426" s="28" t="s">
        <v>28</v>
      </c>
      <c r="D426" s="29" t="str">
        <f t="shared" si="1"/>
        <v>Active</v>
      </c>
      <c r="E426" s="33">
        <v>44698.0</v>
      </c>
      <c r="F426" s="100"/>
      <c r="G426" s="32">
        <f t="shared" si="2"/>
        <v>40.93333333</v>
      </c>
      <c r="H426" s="33">
        <v>44509.0</v>
      </c>
      <c r="I426" s="32">
        <f t="shared" si="3"/>
        <v>0.5222222222</v>
      </c>
      <c r="J426" s="34">
        <f>average(77,81)</f>
        <v>79</v>
      </c>
      <c r="K426" s="34">
        <v>6.0</v>
      </c>
      <c r="L426" s="35" t="s">
        <v>50</v>
      </c>
      <c r="M426" s="35"/>
      <c r="N426" s="35"/>
      <c r="O426" s="35" t="s">
        <v>125</v>
      </c>
      <c r="P426" s="36" t="s">
        <v>680</v>
      </c>
      <c r="Q426" s="35"/>
      <c r="R426" s="29" t="str">
        <f t="shared" si="4"/>
        <v>Active</v>
      </c>
      <c r="S426" s="33">
        <v>45547.0</v>
      </c>
      <c r="T426" s="32">
        <f t="shared" si="5"/>
        <v>27.83333333</v>
      </c>
    </row>
    <row r="427">
      <c r="A427" s="15" t="s">
        <v>681</v>
      </c>
      <c r="B427" s="16" t="s">
        <v>27</v>
      </c>
      <c r="C427" s="16" t="s">
        <v>121</v>
      </c>
      <c r="D427" s="17" t="str">
        <f t="shared" si="1"/>
        <v>Active</v>
      </c>
      <c r="E427" s="18">
        <v>44686.0</v>
      </c>
      <c r="F427" s="73"/>
      <c r="G427" s="20">
        <f t="shared" si="2"/>
        <v>41.33333333</v>
      </c>
      <c r="H427" s="18">
        <v>44686.0</v>
      </c>
      <c r="I427" s="20">
        <f t="shared" si="3"/>
        <v>0</v>
      </c>
      <c r="J427" s="53">
        <v>82.0</v>
      </c>
      <c r="K427" s="53">
        <v>6.0</v>
      </c>
      <c r="L427" s="23" t="s">
        <v>529</v>
      </c>
      <c r="M427" s="23"/>
      <c r="N427" s="23"/>
      <c r="O427" s="23" t="s">
        <v>125</v>
      </c>
      <c r="P427" s="54" t="s">
        <v>682</v>
      </c>
      <c r="Q427" s="23"/>
      <c r="R427" s="17" t="str">
        <f t="shared" si="4"/>
        <v>Active</v>
      </c>
      <c r="S427" s="18">
        <v>45547.0</v>
      </c>
      <c r="T427" s="20">
        <f t="shared" si="5"/>
        <v>28.23333333</v>
      </c>
    </row>
    <row r="428">
      <c r="A428" s="27" t="s">
        <v>683</v>
      </c>
      <c r="B428" s="28"/>
      <c r="C428" s="28" t="s">
        <v>684</v>
      </c>
      <c r="D428" s="29" t="str">
        <f t="shared" si="1"/>
        <v>Active</v>
      </c>
      <c r="E428" s="33">
        <v>44686.0</v>
      </c>
      <c r="F428" s="100"/>
      <c r="G428" s="32">
        <f t="shared" si="2"/>
        <v>41.33333333</v>
      </c>
      <c r="H428" s="33">
        <v>42941.0</v>
      </c>
      <c r="I428" s="32">
        <f t="shared" si="3"/>
        <v>4.777777778</v>
      </c>
      <c r="J428" s="34">
        <v>83.0</v>
      </c>
      <c r="K428" s="34">
        <v>65.5</v>
      </c>
      <c r="L428" s="35" t="s">
        <v>32</v>
      </c>
      <c r="M428" s="35"/>
      <c r="N428" s="35" t="s">
        <v>685</v>
      </c>
      <c r="O428" s="35" t="s">
        <v>125</v>
      </c>
      <c r="P428" s="36" t="s">
        <v>475</v>
      </c>
      <c r="Q428" s="35"/>
      <c r="R428" s="29" t="str">
        <f t="shared" si="4"/>
        <v>Active</v>
      </c>
      <c r="S428" s="33">
        <v>45547.0</v>
      </c>
      <c r="T428" s="32">
        <f t="shared" si="5"/>
        <v>28.23333333</v>
      </c>
    </row>
    <row r="429">
      <c r="A429" s="15" t="s">
        <v>686</v>
      </c>
      <c r="B429" s="16" t="s">
        <v>27</v>
      </c>
      <c r="C429" s="16" t="s">
        <v>121</v>
      </c>
      <c r="D429" s="17" t="str">
        <f t="shared" si="1"/>
        <v>Active</v>
      </c>
      <c r="E429" s="18">
        <v>44728.0</v>
      </c>
      <c r="F429" s="73"/>
      <c r="G429" s="20">
        <f t="shared" si="2"/>
        <v>39.96666667</v>
      </c>
      <c r="H429" s="18">
        <v>44728.0</v>
      </c>
      <c r="I429" s="20">
        <f t="shared" si="3"/>
        <v>0</v>
      </c>
      <c r="J429" s="53">
        <v>86.0</v>
      </c>
      <c r="K429" s="53">
        <v>2.5</v>
      </c>
      <c r="L429" s="23" t="s">
        <v>687</v>
      </c>
      <c r="M429" s="23"/>
      <c r="N429" s="23" t="s">
        <v>658</v>
      </c>
      <c r="O429" s="23" t="s">
        <v>334</v>
      </c>
      <c r="P429" s="54" t="s">
        <v>483</v>
      </c>
      <c r="Q429" s="23"/>
      <c r="R429" s="17" t="str">
        <f t="shared" si="4"/>
        <v>Active</v>
      </c>
      <c r="S429" s="18">
        <v>45547.0</v>
      </c>
      <c r="T429" s="20">
        <f t="shared" si="5"/>
        <v>26.86666667</v>
      </c>
    </row>
    <row r="430">
      <c r="A430" s="27" t="s">
        <v>688</v>
      </c>
      <c r="B430" s="28" t="s">
        <v>27</v>
      </c>
      <c r="C430" s="28" t="s">
        <v>121</v>
      </c>
      <c r="D430" s="29" t="str">
        <f t="shared" si="1"/>
        <v>Active</v>
      </c>
      <c r="E430" s="33">
        <v>44663.0</v>
      </c>
      <c r="F430" s="100"/>
      <c r="G430" s="32">
        <f t="shared" si="2"/>
        <v>42.1</v>
      </c>
      <c r="H430" s="33">
        <v>44449.0</v>
      </c>
      <c r="I430" s="32">
        <f t="shared" si="3"/>
        <v>0.5888888889</v>
      </c>
      <c r="J430" s="34">
        <f>average(74,78)</f>
        <v>76</v>
      </c>
      <c r="K430" s="34">
        <v>11.5</v>
      </c>
      <c r="L430" s="35" t="s">
        <v>689</v>
      </c>
      <c r="M430" s="35"/>
      <c r="N430" s="35"/>
      <c r="O430" s="35" t="s">
        <v>334</v>
      </c>
      <c r="P430" s="36" t="s">
        <v>690</v>
      </c>
      <c r="Q430" s="35"/>
      <c r="R430" s="29" t="str">
        <f t="shared" si="4"/>
        <v>Active</v>
      </c>
      <c r="S430" s="33">
        <v>45547.0</v>
      </c>
      <c r="T430" s="32">
        <f t="shared" si="5"/>
        <v>29</v>
      </c>
    </row>
    <row r="431">
      <c r="A431" s="15" t="s">
        <v>691</v>
      </c>
      <c r="B431" s="16" t="s">
        <v>27</v>
      </c>
      <c r="C431" s="16" t="s">
        <v>28</v>
      </c>
      <c r="D431" s="17" t="str">
        <f t="shared" si="1"/>
        <v>Active</v>
      </c>
      <c r="E431" s="18">
        <v>44636.0</v>
      </c>
      <c r="F431" s="52"/>
      <c r="G431" s="20">
        <f t="shared" si="2"/>
        <v>42.96666667</v>
      </c>
      <c r="H431" s="18">
        <v>44636.0</v>
      </c>
      <c r="I431" s="20">
        <f t="shared" si="3"/>
        <v>0</v>
      </c>
      <c r="J431" s="53">
        <f>average(80,87)</f>
        <v>83.5</v>
      </c>
      <c r="K431" s="53">
        <v>12.0</v>
      </c>
      <c r="L431" s="23" t="s">
        <v>37</v>
      </c>
      <c r="M431" s="23"/>
      <c r="N431" s="115" t="s">
        <v>692</v>
      </c>
      <c r="O431" s="23" t="s">
        <v>334</v>
      </c>
      <c r="P431" s="54" t="s">
        <v>483</v>
      </c>
      <c r="Q431" s="23"/>
      <c r="R431" s="17" t="str">
        <f t="shared" si="4"/>
        <v>Active</v>
      </c>
      <c r="S431" s="18">
        <v>45547.0</v>
      </c>
      <c r="T431" s="20">
        <f t="shared" si="5"/>
        <v>29.86666667</v>
      </c>
    </row>
    <row r="432">
      <c r="A432" s="27" t="s">
        <v>693</v>
      </c>
      <c r="B432" s="28" t="s">
        <v>27</v>
      </c>
      <c r="C432" s="28" t="s">
        <v>121</v>
      </c>
      <c r="D432" s="29" t="str">
        <f t="shared" si="1"/>
        <v>Active</v>
      </c>
      <c r="E432" s="33">
        <v>44616.0</v>
      </c>
      <c r="F432" s="100"/>
      <c r="G432" s="32">
        <f t="shared" si="2"/>
        <v>43.7</v>
      </c>
      <c r="H432" s="33">
        <v>43964.0</v>
      </c>
      <c r="I432" s="32">
        <f t="shared" si="3"/>
        <v>1.780555556</v>
      </c>
      <c r="J432" s="34">
        <f>average(80,83)</f>
        <v>81.5</v>
      </c>
      <c r="K432" s="34">
        <v>24.0</v>
      </c>
      <c r="L432" s="35" t="s">
        <v>694</v>
      </c>
      <c r="M432" s="35"/>
      <c r="N432" s="35"/>
      <c r="O432" s="35" t="s">
        <v>132</v>
      </c>
      <c r="P432" s="36"/>
      <c r="Q432" s="35"/>
      <c r="R432" s="29" t="str">
        <f t="shared" si="4"/>
        <v>Active</v>
      </c>
      <c r="S432" s="33">
        <v>45547.0</v>
      </c>
      <c r="T432" s="32">
        <f t="shared" si="5"/>
        <v>30.6</v>
      </c>
    </row>
    <row r="433">
      <c r="A433" s="15" t="s">
        <v>695</v>
      </c>
      <c r="B433" s="16" t="s">
        <v>27</v>
      </c>
      <c r="C433" s="16"/>
      <c r="D433" s="17" t="str">
        <f t="shared" si="1"/>
        <v>Active</v>
      </c>
      <c r="E433" s="18">
        <v>44614.0</v>
      </c>
      <c r="F433" s="73"/>
      <c r="G433" s="20">
        <f t="shared" si="2"/>
        <v>43.76666667</v>
      </c>
      <c r="H433" s="18">
        <v>44063.0</v>
      </c>
      <c r="I433" s="20">
        <f t="shared" si="3"/>
        <v>1.505555556</v>
      </c>
      <c r="J433" s="53"/>
      <c r="K433" s="53">
        <v>6.0</v>
      </c>
      <c r="L433" s="23" t="s">
        <v>299</v>
      </c>
      <c r="M433" s="23"/>
      <c r="N433" s="23" t="s">
        <v>696</v>
      </c>
      <c r="O433" s="23" t="s">
        <v>334</v>
      </c>
      <c r="P433" s="54" t="s">
        <v>483</v>
      </c>
      <c r="Q433" s="23"/>
      <c r="R433" s="17" t="str">
        <f t="shared" si="4"/>
        <v>Active</v>
      </c>
      <c r="S433" s="18">
        <v>45547.0</v>
      </c>
      <c r="T433" s="20">
        <f t="shared" si="5"/>
        <v>30.66666667</v>
      </c>
    </row>
    <row r="434">
      <c r="A434" s="27" t="s">
        <v>697</v>
      </c>
      <c r="B434" s="28" t="s">
        <v>68</v>
      </c>
      <c r="C434" s="28" t="s">
        <v>121</v>
      </c>
      <c r="D434" s="29" t="str">
        <f t="shared" si="1"/>
        <v>Active</v>
      </c>
      <c r="E434" s="33">
        <v>44595.0</v>
      </c>
      <c r="F434" s="100"/>
      <c r="G434" s="32">
        <f t="shared" si="2"/>
        <v>44.4</v>
      </c>
      <c r="H434" s="33">
        <v>41593.0</v>
      </c>
      <c r="I434" s="32">
        <f t="shared" si="3"/>
        <v>8.216666667</v>
      </c>
      <c r="J434" s="34">
        <f>average(62,65)</f>
        <v>63.5</v>
      </c>
      <c r="K434" s="34">
        <v>3.5</v>
      </c>
      <c r="L434" s="35" t="s">
        <v>698</v>
      </c>
      <c r="M434" s="35"/>
      <c r="N434" s="35"/>
      <c r="O434" s="35" t="s">
        <v>125</v>
      </c>
      <c r="P434" s="36" t="s">
        <v>699</v>
      </c>
      <c r="Q434" s="35"/>
      <c r="R434" s="29" t="str">
        <f t="shared" si="4"/>
        <v>Active</v>
      </c>
      <c r="S434" s="33">
        <v>45547.0</v>
      </c>
      <c r="T434" s="32">
        <f t="shared" si="5"/>
        <v>31.3</v>
      </c>
    </row>
    <row r="435">
      <c r="A435" s="15" t="s">
        <v>700</v>
      </c>
      <c r="B435" s="16" t="s">
        <v>40</v>
      </c>
      <c r="C435" s="16"/>
      <c r="D435" s="17" t="str">
        <f t="shared" si="1"/>
        <v>Active</v>
      </c>
      <c r="E435" s="18">
        <v>44597.0</v>
      </c>
      <c r="F435" s="73"/>
      <c r="G435" s="20">
        <f t="shared" si="2"/>
        <v>44.33333333</v>
      </c>
      <c r="H435" s="18">
        <v>39708.0</v>
      </c>
      <c r="I435" s="20">
        <f t="shared" si="3"/>
        <v>13.38333333</v>
      </c>
      <c r="J435" s="53">
        <v>76.0</v>
      </c>
      <c r="K435" s="53">
        <v>3.5</v>
      </c>
      <c r="L435" s="23" t="s">
        <v>701</v>
      </c>
      <c r="M435" s="23"/>
      <c r="N435" s="23"/>
      <c r="O435" s="23" t="s">
        <v>132</v>
      </c>
      <c r="P435" s="54"/>
      <c r="Q435" s="23"/>
      <c r="R435" s="17" t="str">
        <f t="shared" si="4"/>
        <v>TBD</v>
      </c>
      <c r="S435" s="18"/>
      <c r="T435" s="20">
        <f t="shared" si="5"/>
        <v>44.33333333</v>
      </c>
    </row>
    <row r="436">
      <c r="A436" s="27" t="s">
        <v>702</v>
      </c>
      <c r="B436" s="28" t="s">
        <v>27</v>
      </c>
      <c r="C436" s="28" t="s">
        <v>28</v>
      </c>
      <c r="D436" s="29" t="str">
        <f t="shared" si="1"/>
        <v>Active</v>
      </c>
      <c r="E436" s="33">
        <v>44567.0</v>
      </c>
      <c r="F436" s="100"/>
      <c r="G436" s="32">
        <f t="shared" si="2"/>
        <v>45.3</v>
      </c>
      <c r="H436" s="33">
        <v>44330.0</v>
      </c>
      <c r="I436" s="32">
        <f t="shared" si="3"/>
        <v>0.6444444444</v>
      </c>
      <c r="J436" s="34">
        <f>(86+90)/2</f>
        <v>88</v>
      </c>
      <c r="K436" s="34">
        <v>106.0</v>
      </c>
      <c r="L436" s="35" t="s">
        <v>703</v>
      </c>
      <c r="M436" s="35"/>
      <c r="N436" s="35"/>
      <c r="O436" s="35" t="s">
        <v>34</v>
      </c>
      <c r="P436" s="36" t="s">
        <v>704</v>
      </c>
      <c r="Q436" s="35" t="s">
        <v>705</v>
      </c>
      <c r="R436" s="29" t="str">
        <f t="shared" si="4"/>
        <v>Active</v>
      </c>
      <c r="S436" s="33">
        <v>45547.0</v>
      </c>
      <c r="T436" s="32">
        <f t="shared" si="5"/>
        <v>32.2</v>
      </c>
    </row>
    <row r="437">
      <c r="A437" s="15" t="s">
        <v>706</v>
      </c>
      <c r="B437" s="16" t="s">
        <v>27</v>
      </c>
      <c r="C437" s="16" t="s">
        <v>121</v>
      </c>
      <c r="D437" s="17" t="str">
        <f t="shared" si="1"/>
        <v>Active</v>
      </c>
      <c r="E437" s="18">
        <v>44546.0</v>
      </c>
      <c r="F437" s="73"/>
      <c r="G437" s="20">
        <f t="shared" si="2"/>
        <v>45.96666667</v>
      </c>
      <c r="H437" s="18">
        <v>41653.0</v>
      </c>
      <c r="I437" s="20">
        <f t="shared" si="3"/>
        <v>7.922222222</v>
      </c>
      <c r="J437" s="53">
        <f>(76+78)/2</f>
        <v>77</v>
      </c>
      <c r="K437" s="53">
        <v>10.0</v>
      </c>
      <c r="L437" s="23" t="s">
        <v>362</v>
      </c>
      <c r="M437" s="23"/>
      <c r="N437" s="23"/>
      <c r="O437" s="23" t="s">
        <v>334</v>
      </c>
      <c r="P437" s="54" t="s">
        <v>707</v>
      </c>
      <c r="Q437" s="23"/>
      <c r="R437" s="17" t="str">
        <f t="shared" si="4"/>
        <v>Active</v>
      </c>
      <c r="S437" s="18">
        <v>45547.0</v>
      </c>
      <c r="T437" s="20">
        <f t="shared" si="5"/>
        <v>32.86666667</v>
      </c>
    </row>
    <row r="438">
      <c r="A438" s="27" t="s">
        <v>708</v>
      </c>
      <c r="B438" s="28" t="s">
        <v>27</v>
      </c>
      <c r="C438" s="28" t="s">
        <v>28</v>
      </c>
      <c r="D438" s="29" t="str">
        <f t="shared" si="1"/>
        <v>Active</v>
      </c>
      <c r="E438" s="33">
        <v>44546.0</v>
      </c>
      <c r="F438" s="100"/>
      <c r="G438" s="32">
        <f t="shared" si="2"/>
        <v>45.96666667</v>
      </c>
      <c r="H438" s="33">
        <v>43578.0</v>
      </c>
      <c r="I438" s="32">
        <f t="shared" si="3"/>
        <v>2.647222222</v>
      </c>
      <c r="J438" s="34">
        <f>(82+86)/2</f>
        <v>84</v>
      </c>
      <c r="K438" s="34">
        <v>6.0</v>
      </c>
      <c r="L438" s="35" t="s">
        <v>303</v>
      </c>
      <c r="M438" s="35"/>
      <c r="N438" s="35"/>
      <c r="O438" s="35" t="s">
        <v>34</v>
      </c>
      <c r="P438" s="36" t="s">
        <v>709</v>
      </c>
      <c r="Q438" s="35"/>
      <c r="R438" s="29" t="str">
        <f t="shared" si="4"/>
        <v>Active</v>
      </c>
      <c r="S438" s="33">
        <v>45547.0</v>
      </c>
      <c r="T438" s="32">
        <f t="shared" si="5"/>
        <v>32.86666667</v>
      </c>
    </row>
    <row r="439">
      <c r="A439" s="15" t="s">
        <v>710</v>
      </c>
      <c r="B439" s="16" t="s">
        <v>27</v>
      </c>
      <c r="C439" s="16" t="s">
        <v>121</v>
      </c>
      <c r="D439" s="17" t="str">
        <f t="shared" si="1"/>
        <v>Active</v>
      </c>
      <c r="E439" s="18">
        <v>44546.0</v>
      </c>
      <c r="F439" s="73"/>
      <c r="G439" s="20">
        <f t="shared" si="2"/>
        <v>45.96666667</v>
      </c>
      <c r="H439" s="18">
        <v>44546.0</v>
      </c>
      <c r="I439" s="20">
        <f t="shared" si="3"/>
        <v>0</v>
      </c>
      <c r="J439" s="53">
        <f>(65+69+71)/3</f>
        <v>68.33333333</v>
      </c>
      <c r="K439" s="53">
        <v>4.5</v>
      </c>
      <c r="L439" s="23" t="s">
        <v>711</v>
      </c>
      <c r="M439" s="23"/>
      <c r="N439" s="23"/>
      <c r="O439" s="23" t="s">
        <v>125</v>
      </c>
      <c r="P439" s="54" t="s">
        <v>712</v>
      </c>
      <c r="Q439" s="23"/>
      <c r="R439" s="17" t="str">
        <f t="shared" si="4"/>
        <v>Active</v>
      </c>
      <c r="S439" s="18">
        <v>45547.0</v>
      </c>
      <c r="T439" s="20">
        <f t="shared" si="5"/>
        <v>32.86666667</v>
      </c>
    </row>
    <row r="440">
      <c r="A440" s="27" t="s">
        <v>713</v>
      </c>
      <c r="B440" s="28" t="s">
        <v>27</v>
      </c>
      <c r="C440" s="28" t="s">
        <v>183</v>
      </c>
      <c r="D440" s="29" t="str">
        <f t="shared" si="1"/>
        <v>Active</v>
      </c>
      <c r="E440" s="33">
        <v>44538.0</v>
      </c>
      <c r="F440" s="100"/>
      <c r="G440" s="32">
        <f t="shared" si="2"/>
        <v>46.23333333</v>
      </c>
      <c r="H440" s="33">
        <v>44538.0</v>
      </c>
      <c r="I440" s="32">
        <f t="shared" si="3"/>
        <v>0</v>
      </c>
      <c r="J440" s="34">
        <f>(80+87)/2</f>
        <v>83.5</v>
      </c>
      <c r="K440" s="34">
        <v>10.0</v>
      </c>
      <c r="L440" s="35" t="s">
        <v>184</v>
      </c>
      <c r="M440" s="35"/>
      <c r="N440" s="35" t="s">
        <v>714</v>
      </c>
      <c r="O440" s="35" t="s">
        <v>125</v>
      </c>
      <c r="P440" s="36" t="s">
        <v>715</v>
      </c>
      <c r="Q440" s="35"/>
      <c r="R440" s="29" t="str">
        <f t="shared" si="4"/>
        <v>Active</v>
      </c>
      <c r="S440" s="33">
        <v>45547.0</v>
      </c>
      <c r="T440" s="32">
        <f t="shared" si="5"/>
        <v>33.13333333</v>
      </c>
    </row>
    <row r="441">
      <c r="A441" s="15" t="s">
        <v>716</v>
      </c>
      <c r="B441" s="16" t="s">
        <v>27</v>
      </c>
      <c r="C441" s="16" t="s">
        <v>121</v>
      </c>
      <c r="D441" s="17" t="str">
        <f t="shared" si="1"/>
        <v>Active</v>
      </c>
      <c r="E441" s="18">
        <v>44532.0</v>
      </c>
      <c r="F441" s="73"/>
      <c r="G441" s="20">
        <f t="shared" si="2"/>
        <v>46.43333333</v>
      </c>
      <c r="H441" s="18">
        <v>42426.0</v>
      </c>
      <c r="I441" s="20">
        <f t="shared" si="3"/>
        <v>5.766666667</v>
      </c>
      <c r="J441" s="53">
        <v>89.0</v>
      </c>
      <c r="K441" s="53">
        <v>52.5</v>
      </c>
      <c r="L441" s="23" t="s">
        <v>717</v>
      </c>
      <c r="M441" s="23"/>
      <c r="N441" s="23" t="s">
        <v>658</v>
      </c>
      <c r="O441" s="23" t="s">
        <v>334</v>
      </c>
      <c r="P441" s="54" t="s">
        <v>718</v>
      </c>
      <c r="Q441" s="23"/>
      <c r="R441" s="17" t="str">
        <f t="shared" si="4"/>
        <v>Active</v>
      </c>
      <c r="S441" s="18">
        <v>45547.0</v>
      </c>
      <c r="T441" s="20">
        <f t="shared" si="5"/>
        <v>33.33333333</v>
      </c>
    </row>
    <row r="442">
      <c r="A442" s="27" t="s">
        <v>719</v>
      </c>
      <c r="B442" s="28" t="s">
        <v>27</v>
      </c>
      <c r="C442" s="28" t="s">
        <v>28</v>
      </c>
      <c r="D442" s="29" t="str">
        <f t="shared" si="1"/>
        <v>Active</v>
      </c>
      <c r="E442" s="33">
        <v>44509.0</v>
      </c>
      <c r="F442" s="100"/>
      <c r="G442" s="32">
        <f t="shared" si="2"/>
        <v>47.2</v>
      </c>
      <c r="H442" s="33">
        <v>44509.0</v>
      </c>
      <c r="I442" s="32">
        <f t="shared" si="3"/>
        <v>0</v>
      </c>
      <c r="J442" s="34">
        <f>(91+92)/2</f>
        <v>91.5</v>
      </c>
      <c r="K442" s="34">
        <v>17.0</v>
      </c>
      <c r="L442" s="35" t="s">
        <v>500</v>
      </c>
      <c r="M442" s="35"/>
      <c r="N442" s="35"/>
      <c r="O442" s="35" t="s">
        <v>132</v>
      </c>
      <c r="P442" s="36"/>
      <c r="Q442" s="35"/>
      <c r="R442" s="29" t="str">
        <f t="shared" si="4"/>
        <v>Active</v>
      </c>
      <c r="S442" s="33">
        <v>45547.0</v>
      </c>
      <c r="T442" s="32">
        <f t="shared" si="5"/>
        <v>34.1</v>
      </c>
    </row>
    <row r="443">
      <c r="A443" s="15" t="s">
        <v>720</v>
      </c>
      <c r="B443" s="16" t="s">
        <v>27</v>
      </c>
      <c r="C443" s="16" t="s">
        <v>28</v>
      </c>
      <c r="D443" s="17" t="str">
        <f t="shared" si="1"/>
        <v>Active</v>
      </c>
      <c r="E443" s="18">
        <v>44504.0</v>
      </c>
      <c r="F443" s="73"/>
      <c r="G443" s="20">
        <f t="shared" si="2"/>
        <v>47.36666667</v>
      </c>
      <c r="H443" s="18">
        <v>44281.0</v>
      </c>
      <c r="I443" s="20">
        <f t="shared" si="3"/>
        <v>0.6055555556</v>
      </c>
      <c r="J443" s="53">
        <f>(88+89)/2</f>
        <v>88.5</v>
      </c>
      <c r="K443" s="53">
        <v>12.0</v>
      </c>
      <c r="L443" s="23" t="s">
        <v>721</v>
      </c>
      <c r="M443" s="23" t="s">
        <v>123</v>
      </c>
      <c r="N443" s="23"/>
      <c r="O443" s="23" t="s">
        <v>125</v>
      </c>
      <c r="P443" s="54" t="s">
        <v>722</v>
      </c>
      <c r="Q443" s="23"/>
      <c r="R443" s="17" t="str">
        <f t="shared" si="4"/>
        <v>Active</v>
      </c>
      <c r="S443" s="18">
        <v>45547.0</v>
      </c>
      <c r="T443" s="20">
        <f t="shared" si="5"/>
        <v>34.26666667</v>
      </c>
    </row>
    <row r="444">
      <c r="A444" s="27" t="s">
        <v>723</v>
      </c>
      <c r="B444" s="28" t="s">
        <v>27</v>
      </c>
      <c r="C444" s="28" t="s">
        <v>121</v>
      </c>
      <c r="D444" s="29" t="str">
        <f t="shared" si="1"/>
        <v>Active</v>
      </c>
      <c r="E444" s="33">
        <v>44502.0</v>
      </c>
      <c r="F444" s="100"/>
      <c r="G444" s="32">
        <f t="shared" si="2"/>
        <v>47.43333333</v>
      </c>
      <c r="H444" s="33">
        <v>44502.0</v>
      </c>
      <c r="I444" s="32">
        <f t="shared" si="3"/>
        <v>0</v>
      </c>
      <c r="J444" s="34">
        <f>(80+84)/2</f>
        <v>82</v>
      </c>
      <c r="K444" s="34">
        <v>3.5</v>
      </c>
      <c r="L444" s="35" t="s">
        <v>724</v>
      </c>
      <c r="M444" s="35"/>
      <c r="N444" s="35" t="s">
        <v>658</v>
      </c>
      <c r="O444" s="35" t="s">
        <v>132</v>
      </c>
      <c r="P444" s="36"/>
      <c r="Q444" s="35"/>
      <c r="R444" s="29" t="str">
        <f t="shared" si="4"/>
        <v>Active</v>
      </c>
      <c r="S444" s="33">
        <v>45547.0</v>
      </c>
      <c r="T444" s="32">
        <f t="shared" si="5"/>
        <v>34.33333333</v>
      </c>
    </row>
    <row r="445">
      <c r="A445" s="15" t="s">
        <v>725</v>
      </c>
      <c r="B445" s="16" t="s">
        <v>27</v>
      </c>
      <c r="C445" s="16" t="s">
        <v>28</v>
      </c>
      <c r="D445" s="17" t="str">
        <f t="shared" si="1"/>
        <v>Active</v>
      </c>
      <c r="E445" s="18">
        <v>44497.0</v>
      </c>
      <c r="F445" s="73"/>
      <c r="G445" s="20">
        <f t="shared" si="2"/>
        <v>47.56666667</v>
      </c>
      <c r="H445" s="18">
        <v>44497.0</v>
      </c>
      <c r="I445" s="20">
        <f t="shared" si="3"/>
        <v>0</v>
      </c>
      <c r="J445" s="53">
        <v>81.0</v>
      </c>
      <c r="K445" s="53">
        <v>24.5</v>
      </c>
      <c r="L445" s="23" t="s">
        <v>726</v>
      </c>
      <c r="M445" s="23"/>
      <c r="N445" s="23" t="s">
        <v>727</v>
      </c>
      <c r="O445" s="23" t="s">
        <v>125</v>
      </c>
      <c r="P445" s="54" t="s">
        <v>728</v>
      </c>
      <c r="Q445" s="23"/>
      <c r="R445" s="17" t="str">
        <f t="shared" si="4"/>
        <v>Active</v>
      </c>
      <c r="S445" s="18">
        <v>45547.0</v>
      </c>
      <c r="T445" s="20">
        <f t="shared" si="5"/>
        <v>34.46666667</v>
      </c>
    </row>
    <row r="446">
      <c r="A446" s="27" t="s">
        <v>729</v>
      </c>
      <c r="B446" s="28" t="s">
        <v>40</v>
      </c>
      <c r="C446" s="28"/>
      <c r="D446" s="29" t="str">
        <f t="shared" si="1"/>
        <v>Active</v>
      </c>
      <c r="E446" s="33">
        <v>44469.0</v>
      </c>
      <c r="F446" s="100"/>
      <c r="G446" s="32">
        <f t="shared" si="2"/>
        <v>48.5</v>
      </c>
      <c r="H446" s="33">
        <v>44092.0</v>
      </c>
      <c r="I446" s="32">
        <f t="shared" si="3"/>
        <v>1.033333333</v>
      </c>
      <c r="J446" s="34">
        <v>69.0</v>
      </c>
      <c r="K446" s="34">
        <v>10.0</v>
      </c>
      <c r="L446" s="35" t="s">
        <v>299</v>
      </c>
      <c r="M446" s="35"/>
      <c r="N446" s="35"/>
      <c r="O446" s="35" t="s">
        <v>34</v>
      </c>
      <c r="P446" s="36" t="s">
        <v>446</v>
      </c>
      <c r="Q446" s="35" t="s">
        <v>595</v>
      </c>
      <c r="R446" s="29" t="str">
        <f t="shared" si="4"/>
        <v>TBD</v>
      </c>
      <c r="S446" s="33"/>
      <c r="T446" s="32">
        <f t="shared" si="5"/>
        <v>48.5</v>
      </c>
    </row>
    <row r="447">
      <c r="A447" s="15" t="s">
        <v>730</v>
      </c>
      <c r="B447" s="16" t="s">
        <v>27</v>
      </c>
      <c r="C447" s="16" t="s">
        <v>121</v>
      </c>
      <c r="D447" s="17" t="str">
        <f t="shared" si="1"/>
        <v>Active</v>
      </c>
      <c r="E447" s="18">
        <v>44455.0</v>
      </c>
      <c r="F447" s="73"/>
      <c r="G447" s="20">
        <f t="shared" si="2"/>
        <v>48.96666667</v>
      </c>
      <c r="H447" s="18">
        <v>43781.0</v>
      </c>
      <c r="I447" s="20">
        <f t="shared" si="3"/>
        <v>1.844444444</v>
      </c>
      <c r="J447" s="53">
        <f>(74+80)/2</f>
        <v>77</v>
      </c>
      <c r="K447" s="53">
        <v>2.5</v>
      </c>
      <c r="L447" s="23" t="s">
        <v>731</v>
      </c>
      <c r="M447" s="23"/>
      <c r="N447" s="23" t="s">
        <v>658</v>
      </c>
      <c r="O447" s="23" t="s">
        <v>132</v>
      </c>
      <c r="P447" s="54" t="s">
        <v>732</v>
      </c>
      <c r="Q447" s="23"/>
      <c r="R447" s="17" t="str">
        <f t="shared" si="4"/>
        <v>Active</v>
      </c>
      <c r="S447" s="18">
        <v>45547.0</v>
      </c>
      <c r="T447" s="20">
        <f t="shared" si="5"/>
        <v>35.86666667</v>
      </c>
    </row>
    <row r="448">
      <c r="A448" s="27" t="s">
        <v>733</v>
      </c>
      <c r="B448" s="28" t="s">
        <v>27</v>
      </c>
      <c r="C448" s="28" t="s">
        <v>121</v>
      </c>
      <c r="D448" s="29" t="str">
        <f t="shared" si="1"/>
        <v>Active</v>
      </c>
      <c r="E448" s="33">
        <v>44433.0</v>
      </c>
      <c r="F448" s="100"/>
      <c r="G448" s="32">
        <f t="shared" si="2"/>
        <v>49.66666667</v>
      </c>
      <c r="H448" s="33">
        <v>44433.0</v>
      </c>
      <c r="I448" s="32">
        <f t="shared" si="3"/>
        <v>0</v>
      </c>
      <c r="J448" s="34">
        <f>(87+89+91)/3</f>
        <v>89</v>
      </c>
      <c r="K448" s="34">
        <v>14.0</v>
      </c>
      <c r="L448" s="35" t="s">
        <v>721</v>
      </c>
      <c r="M448" s="35"/>
      <c r="N448" s="35" t="s">
        <v>658</v>
      </c>
      <c r="O448" s="35" t="s">
        <v>125</v>
      </c>
      <c r="P448" s="36" t="s">
        <v>734</v>
      </c>
      <c r="Q448" s="35"/>
      <c r="R448" s="29" t="str">
        <f t="shared" si="4"/>
        <v>Active</v>
      </c>
      <c r="S448" s="33">
        <v>45547.0</v>
      </c>
      <c r="T448" s="32">
        <f t="shared" si="5"/>
        <v>36.56666667</v>
      </c>
    </row>
    <row r="449">
      <c r="A449" s="15" t="s">
        <v>735</v>
      </c>
      <c r="B449" s="16" t="s">
        <v>27</v>
      </c>
      <c r="C449" s="16" t="s">
        <v>183</v>
      </c>
      <c r="D449" s="17" t="str">
        <f t="shared" si="1"/>
        <v>Active</v>
      </c>
      <c r="E449" s="18">
        <v>44427.0</v>
      </c>
      <c r="F449" s="73"/>
      <c r="G449" s="20">
        <f t="shared" si="2"/>
        <v>49.86666667</v>
      </c>
      <c r="H449" s="18">
        <v>35269.0</v>
      </c>
      <c r="I449" s="20">
        <f t="shared" si="3"/>
        <v>25.07222222</v>
      </c>
      <c r="J449" s="53">
        <v>94.0</v>
      </c>
      <c r="K449" s="53">
        <v>5.5</v>
      </c>
      <c r="L449" s="23" t="s">
        <v>184</v>
      </c>
      <c r="M449" s="23"/>
      <c r="N449" s="23"/>
      <c r="O449" s="23" t="s">
        <v>34</v>
      </c>
      <c r="P449" s="54" t="s">
        <v>368</v>
      </c>
      <c r="Q449" s="23"/>
      <c r="R449" s="17" t="str">
        <f t="shared" si="4"/>
        <v>Active</v>
      </c>
      <c r="S449" s="18">
        <v>45547.0</v>
      </c>
      <c r="T449" s="20">
        <f t="shared" si="5"/>
        <v>36.76666667</v>
      </c>
    </row>
    <row r="450">
      <c r="A450" s="27" t="s">
        <v>736</v>
      </c>
      <c r="B450" s="28" t="s">
        <v>27</v>
      </c>
      <c r="C450" s="28" t="s">
        <v>183</v>
      </c>
      <c r="D450" s="29" t="str">
        <f t="shared" si="1"/>
        <v>Active</v>
      </c>
      <c r="E450" s="33">
        <v>44427.0</v>
      </c>
      <c r="F450" s="100"/>
      <c r="G450" s="32">
        <f t="shared" si="2"/>
        <v>49.86666667</v>
      </c>
      <c r="H450" s="33">
        <v>35773.0</v>
      </c>
      <c r="I450" s="32">
        <f t="shared" si="3"/>
        <v>23.69444444</v>
      </c>
      <c r="J450" s="101">
        <f>8.9*10</f>
        <v>89</v>
      </c>
      <c r="K450" s="34">
        <v>8.0</v>
      </c>
      <c r="L450" s="35" t="s">
        <v>299</v>
      </c>
      <c r="M450" s="35"/>
      <c r="N450" s="35" t="s">
        <v>737</v>
      </c>
      <c r="O450" s="35" t="s">
        <v>34</v>
      </c>
      <c r="P450" s="36" t="s">
        <v>738</v>
      </c>
      <c r="Q450" s="35"/>
      <c r="R450" s="29" t="str">
        <f t="shared" si="4"/>
        <v>Active</v>
      </c>
      <c r="S450" s="33">
        <v>45547.0</v>
      </c>
      <c r="T450" s="32">
        <f t="shared" si="5"/>
        <v>36.76666667</v>
      </c>
    </row>
    <row r="451">
      <c r="A451" s="15" t="s">
        <v>739</v>
      </c>
      <c r="B451" s="16" t="s">
        <v>40</v>
      </c>
      <c r="C451" s="16"/>
      <c r="D451" s="17" t="str">
        <f t="shared" si="1"/>
        <v>Active</v>
      </c>
      <c r="E451" s="18">
        <v>44427.0</v>
      </c>
      <c r="F451" s="73"/>
      <c r="G451" s="20">
        <f t="shared" si="2"/>
        <v>49.86666667</v>
      </c>
      <c r="H451" s="18">
        <v>36496.0</v>
      </c>
      <c r="I451" s="20">
        <f t="shared" si="3"/>
        <v>21.71388889</v>
      </c>
      <c r="J451" s="116">
        <f>9*10</f>
        <v>90</v>
      </c>
      <c r="K451" s="53">
        <v>5.5</v>
      </c>
      <c r="L451" s="23" t="s">
        <v>184</v>
      </c>
      <c r="M451" s="23"/>
      <c r="N451" s="23"/>
      <c r="O451" s="23" t="s">
        <v>34</v>
      </c>
      <c r="P451" s="54" t="s">
        <v>740</v>
      </c>
      <c r="Q451" s="23"/>
      <c r="R451" s="17" t="str">
        <f t="shared" si="4"/>
        <v>Active</v>
      </c>
      <c r="S451" s="18">
        <v>45931.0</v>
      </c>
      <c r="T451" s="20">
        <f t="shared" si="5"/>
        <v>49.4</v>
      </c>
    </row>
    <row r="452">
      <c r="A452" s="27" t="s">
        <v>741</v>
      </c>
      <c r="B452" s="28" t="s">
        <v>40</v>
      </c>
      <c r="C452" s="28"/>
      <c r="D452" s="29" t="str">
        <f t="shared" si="1"/>
        <v>Active</v>
      </c>
      <c r="E452" s="33">
        <v>44425.0</v>
      </c>
      <c r="F452" s="100"/>
      <c r="G452" s="32">
        <f t="shared" si="2"/>
        <v>49.93333333</v>
      </c>
      <c r="H452" s="33">
        <v>34129.0</v>
      </c>
      <c r="I452" s="32">
        <f t="shared" si="3"/>
        <v>28.18888889</v>
      </c>
      <c r="J452" s="101">
        <f>4.2/5*100</f>
        <v>84</v>
      </c>
      <c r="K452" s="34">
        <v>12.0</v>
      </c>
      <c r="L452" s="35" t="s">
        <v>742</v>
      </c>
      <c r="M452" s="35"/>
      <c r="N452" s="35"/>
      <c r="O452" s="35" t="s">
        <v>125</v>
      </c>
      <c r="P452" s="36"/>
      <c r="Q452" s="35"/>
      <c r="R452" s="29" t="str">
        <f t="shared" si="4"/>
        <v>TBD</v>
      </c>
      <c r="S452" s="33"/>
      <c r="T452" s="32">
        <f t="shared" si="5"/>
        <v>49.93333333</v>
      </c>
    </row>
    <row r="453">
      <c r="A453" s="15" t="s">
        <v>743</v>
      </c>
      <c r="B453" s="16" t="s">
        <v>40</v>
      </c>
      <c r="C453" s="16"/>
      <c r="D453" s="17" t="str">
        <f t="shared" si="1"/>
        <v>Active</v>
      </c>
      <c r="E453" s="18">
        <v>44425.0</v>
      </c>
      <c r="F453" s="73"/>
      <c r="G453" s="20">
        <f t="shared" si="2"/>
        <v>49.93333333</v>
      </c>
      <c r="H453" s="18">
        <v>33690.0</v>
      </c>
      <c r="I453" s="20">
        <f t="shared" si="3"/>
        <v>29.38888889</v>
      </c>
      <c r="J453" s="116">
        <f>4.7/5*100</f>
        <v>94</v>
      </c>
      <c r="K453" s="53">
        <v>19.5</v>
      </c>
      <c r="L453" s="23" t="s">
        <v>122</v>
      </c>
      <c r="M453" s="23"/>
      <c r="N453" s="23"/>
      <c r="O453" s="23" t="s">
        <v>132</v>
      </c>
      <c r="P453" s="54" t="s">
        <v>744</v>
      </c>
      <c r="Q453" s="23"/>
      <c r="R453" s="17" t="str">
        <f t="shared" si="4"/>
        <v>TBD</v>
      </c>
      <c r="S453" s="18"/>
      <c r="T453" s="20">
        <f t="shared" si="5"/>
        <v>49.93333333</v>
      </c>
    </row>
    <row r="454">
      <c r="A454" s="27" t="s">
        <v>745</v>
      </c>
      <c r="B454" s="28" t="s">
        <v>40</v>
      </c>
      <c r="C454" s="28"/>
      <c r="D454" s="29" t="str">
        <f t="shared" si="1"/>
        <v>Active</v>
      </c>
      <c r="E454" s="33">
        <v>44425.0</v>
      </c>
      <c r="F454" s="100"/>
      <c r="G454" s="32">
        <f t="shared" si="2"/>
        <v>49.93333333</v>
      </c>
      <c r="H454" s="33">
        <v>33970.0</v>
      </c>
      <c r="I454" s="32">
        <f t="shared" si="3"/>
        <v>28.62777778</v>
      </c>
      <c r="J454" s="101">
        <f>9*10</f>
        <v>90</v>
      </c>
      <c r="K454" s="34">
        <v>17.0</v>
      </c>
      <c r="L454" s="35" t="s">
        <v>122</v>
      </c>
      <c r="M454" s="35"/>
      <c r="N454" s="35"/>
      <c r="O454" s="35" t="s">
        <v>132</v>
      </c>
      <c r="P454" s="36" t="s">
        <v>744</v>
      </c>
      <c r="Q454" s="35"/>
      <c r="R454" s="29" t="str">
        <f t="shared" si="4"/>
        <v>TBD</v>
      </c>
      <c r="S454" s="33"/>
      <c r="T454" s="32">
        <f t="shared" si="5"/>
        <v>49.93333333</v>
      </c>
    </row>
    <row r="455">
      <c r="A455" s="15" t="s">
        <v>746</v>
      </c>
      <c r="B455" s="16" t="s">
        <v>40</v>
      </c>
      <c r="C455" s="16"/>
      <c r="D455" s="17" t="str">
        <f t="shared" si="1"/>
        <v>Active</v>
      </c>
      <c r="E455" s="18">
        <v>44425.0</v>
      </c>
      <c r="F455" s="73"/>
      <c r="G455" s="20">
        <f t="shared" si="2"/>
        <v>49.93333333</v>
      </c>
      <c r="H455" s="18">
        <v>41208.0</v>
      </c>
      <c r="I455" s="20">
        <f t="shared" si="3"/>
        <v>8.808333333</v>
      </c>
      <c r="J455" s="116">
        <f>7*10</f>
        <v>70</v>
      </c>
      <c r="K455" s="53">
        <v>80.0</v>
      </c>
      <c r="L455" s="23" t="s">
        <v>747</v>
      </c>
      <c r="M455" s="23"/>
      <c r="N455" s="23"/>
      <c r="O455" s="23" t="s">
        <v>132</v>
      </c>
      <c r="P455" s="54"/>
      <c r="Q455" s="23"/>
      <c r="R455" s="17" t="str">
        <f t="shared" si="4"/>
        <v>TBD</v>
      </c>
      <c r="S455" s="18"/>
      <c r="T455" s="20">
        <f t="shared" si="5"/>
        <v>49.93333333</v>
      </c>
    </row>
    <row r="456">
      <c r="A456" s="67" t="s">
        <v>748</v>
      </c>
      <c r="B456" s="28" t="s">
        <v>68</v>
      </c>
      <c r="C456" s="29"/>
      <c r="D456" s="29" t="str">
        <f t="shared" si="1"/>
        <v>Active</v>
      </c>
      <c r="E456" s="30">
        <v>44418.0</v>
      </c>
      <c r="F456" s="70"/>
      <c r="G456" s="32">
        <f t="shared" si="2"/>
        <v>50.16666667</v>
      </c>
      <c r="H456" s="33">
        <v>43522.0</v>
      </c>
      <c r="I456" s="32">
        <f t="shared" si="3"/>
        <v>2.455555556</v>
      </c>
      <c r="J456" s="69">
        <v>82.0</v>
      </c>
      <c r="K456" s="34">
        <v>10.0</v>
      </c>
      <c r="L456" s="44" t="s">
        <v>500</v>
      </c>
      <c r="M456" s="44"/>
      <c r="N456" s="35" t="s">
        <v>749</v>
      </c>
      <c r="O456" s="35" t="s">
        <v>132</v>
      </c>
      <c r="P456" s="36"/>
      <c r="Q456" s="35"/>
      <c r="R456" s="29" t="str">
        <f t="shared" si="4"/>
        <v>Active</v>
      </c>
      <c r="S456" s="33">
        <v>45547.0</v>
      </c>
      <c r="T456" s="32">
        <f t="shared" si="5"/>
        <v>37.06666667</v>
      </c>
    </row>
    <row r="457">
      <c r="A457" s="15" t="s">
        <v>750</v>
      </c>
      <c r="B457" s="16" t="s">
        <v>68</v>
      </c>
      <c r="C457" s="16" t="s">
        <v>121</v>
      </c>
      <c r="D457" s="17" t="str">
        <f t="shared" si="1"/>
        <v>Active</v>
      </c>
      <c r="E457" s="18">
        <v>44413.0</v>
      </c>
      <c r="F457" s="73"/>
      <c r="G457" s="20">
        <f t="shared" si="2"/>
        <v>50.33333333</v>
      </c>
      <c r="H457" s="18">
        <v>39339.0</v>
      </c>
      <c r="I457" s="20">
        <f t="shared" si="3"/>
        <v>13.89166667</v>
      </c>
      <c r="J457" s="53">
        <v>86.0</v>
      </c>
      <c r="K457" s="53">
        <v>11.5</v>
      </c>
      <c r="L457" s="23" t="s">
        <v>751</v>
      </c>
      <c r="M457" s="23"/>
      <c r="N457" s="23"/>
      <c r="O457" s="23" t="s">
        <v>125</v>
      </c>
      <c r="P457" s="54" t="s">
        <v>752</v>
      </c>
      <c r="Q457" s="117"/>
      <c r="R457" s="17" t="str">
        <f t="shared" si="4"/>
        <v>Active</v>
      </c>
      <c r="S457" s="18">
        <v>45547.0</v>
      </c>
      <c r="T457" s="20">
        <f t="shared" si="5"/>
        <v>37.23333333</v>
      </c>
    </row>
    <row r="458">
      <c r="A458" s="27" t="s">
        <v>753</v>
      </c>
      <c r="B458" s="28" t="s">
        <v>68</v>
      </c>
      <c r="C458" s="28" t="s">
        <v>121</v>
      </c>
      <c r="D458" s="29" t="str">
        <f t="shared" si="1"/>
        <v>Active</v>
      </c>
      <c r="E458" s="33">
        <v>44403.0</v>
      </c>
      <c r="F458" s="100"/>
      <c r="G458" s="32">
        <f t="shared" si="2"/>
        <v>50.63333333</v>
      </c>
      <c r="H458" s="33">
        <v>37915.0</v>
      </c>
      <c r="I458" s="32">
        <f t="shared" si="3"/>
        <v>17.76388889</v>
      </c>
      <c r="J458" s="34">
        <v>88.0</v>
      </c>
      <c r="K458" s="34">
        <v>8.0</v>
      </c>
      <c r="L458" s="35" t="s">
        <v>754</v>
      </c>
      <c r="M458" s="35"/>
      <c r="N458" s="35"/>
      <c r="O458" s="35" t="s">
        <v>125</v>
      </c>
      <c r="P458" s="35" t="s">
        <v>755</v>
      </c>
      <c r="Q458" s="35" t="s">
        <v>756</v>
      </c>
      <c r="R458" s="29" t="str">
        <f t="shared" si="4"/>
        <v>Active</v>
      </c>
      <c r="S458" s="33">
        <v>45547.0</v>
      </c>
      <c r="T458" s="32">
        <f t="shared" si="5"/>
        <v>37.53333333</v>
      </c>
    </row>
    <row r="459">
      <c r="A459" s="15" t="s">
        <v>757</v>
      </c>
      <c r="B459" s="16" t="s">
        <v>68</v>
      </c>
      <c r="C459" s="16" t="s">
        <v>121</v>
      </c>
      <c r="D459" s="17" t="str">
        <f t="shared" si="1"/>
        <v>Active</v>
      </c>
      <c r="E459" s="18">
        <v>44399.0</v>
      </c>
      <c r="F459" s="73"/>
      <c r="G459" s="20">
        <f t="shared" si="2"/>
        <v>50.76666667</v>
      </c>
      <c r="H459" s="18">
        <v>37536.0</v>
      </c>
      <c r="I459" s="20">
        <f t="shared" si="3"/>
        <v>18.79166667</v>
      </c>
      <c r="J459" s="53">
        <v>71.0</v>
      </c>
      <c r="K459" s="53">
        <v>10.0</v>
      </c>
      <c r="L459" s="23" t="s">
        <v>366</v>
      </c>
      <c r="M459" s="23"/>
      <c r="N459" s="23"/>
      <c r="O459" s="23" t="s">
        <v>132</v>
      </c>
      <c r="P459" s="54"/>
      <c r="Q459" s="23" t="s">
        <v>756</v>
      </c>
      <c r="R459" s="17" t="str">
        <f t="shared" si="4"/>
        <v>Active</v>
      </c>
      <c r="S459" s="18">
        <v>45547.0</v>
      </c>
      <c r="T459" s="20">
        <f t="shared" si="5"/>
        <v>37.66666667</v>
      </c>
    </row>
    <row r="460">
      <c r="A460" s="27" t="s">
        <v>758</v>
      </c>
      <c r="B460" s="28" t="s">
        <v>68</v>
      </c>
      <c r="C460" s="28"/>
      <c r="D460" s="29" t="str">
        <f t="shared" si="1"/>
        <v>Active</v>
      </c>
      <c r="E460" s="33">
        <v>44385.0</v>
      </c>
      <c r="F460" s="100"/>
      <c r="G460" s="32">
        <f t="shared" si="2"/>
        <v>51.23333333</v>
      </c>
      <c r="H460" s="33">
        <v>44057.0</v>
      </c>
      <c r="I460" s="32">
        <f t="shared" si="3"/>
        <v>0.9</v>
      </c>
      <c r="J460" s="34">
        <v>82.0</v>
      </c>
      <c r="K460" s="34">
        <v>12.0</v>
      </c>
      <c r="L460" s="35" t="s">
        <v>759</v>
      </c>
      <c r="M460" s="35" t="s">
        <v>451</v>
      </c>
      <c r="N460" s="35"/>
      <c r="O460" s="35" t="s">
        <v>125</v>
      </c>
      <c r="P460" s="36" t="s">
        <v>760</v>
      </c>
      <c r="Q460" s="35"/>
      <c r="R460" s="29" t="str">
        <f t="shared" si="4"/>
        <v>Active</v>
      </c>
      <c r="S460" s="33">
        <v>45547.0</v>
      </c>
      <c r="T460" s="32">
        <f t="shared" si="5"/>
        <v>38.13333333</v>
      </c>
    </row>
    <row r="461">
      <c r="A461" s="15" t="s">
        <v>761</v>
      </c>
      <c r="B461" s="16" t="s">
        <v>27</v>
      </c>
      <c r="C461" s="16" t="s">
        <v>28</v>
      </c>
      <c r="D461" s="17" t="str">
        <f t="shared" si="1"/>
        <v>Active</v>
      </c>
      <c r="E461" s="18">
        <v>44378.0</v>
      </c>
      <c r="F461" s="73"/>
      <c r="G461" s="20">
        <f t="shared" si="2"/>
        <v>51.46666667</v>
      </c>
      <c r="H461" s="18">
        <v>41880.0</v>
      </c>
      <c r="I461" s="20">
        <f t="shared" si="3"/>
        <v>6.838888889</v>
      </c>
      <c r="J461" s="53">
        <v>67.0</v>
      </c>
      <c r="K461" s="53">
        <v>3.5</v>
      </c>
      <c r="L461" s="23" t="s">
        <v>687</v>
      </c>
      <c r="M461" s="23"/>
      <c r="N461" s="23" t="s">
        <v>658</v>
      </c>
      <c r="O461" s="23" t="s">
        <v>334</v>
      </c>
      <c r="P461" s="54" t="s">
        <v>762</v>
      </c>
      <c r="Q461" s="23"/>
      <c r="R461" s="17" t="str">
        <f t="shared" si="4"/>
        <v>Active</v>
      </c>
      <c r="S461" s="18">
        <v>45547.0</v>
      </c>
      <c r="T461" s="20">
        <f t="shared" si="5"/>
        <v>38.36666667</v>
      </c>
    </row>
    <row r="462">
      <c r="A462" s="27" t="s">
        <v>763</v>
      </c>
      <c r="B462" s="28" t="s">
        <v>27</v>
      </c>
      <c r="C462" s="28" t="s">
        <v>121</v>
      </c>
      <c r="D462" s="29" t="str">
        <f t="shared" si="1"/>
        <v>Active</v>
      </c>
      <c r="E462" s="33">
        <v>44371.0</v>
      </c>
      <c r="F462" s="31"/>
      <c r="G462" s="32">
        <f t="shared" si="2"/>
        <v>51.7</v>
      </c>
      <c r="H462" s="33">
        <v>44141.0</v>
      </c>
      <c r="I462" s="32">
        <f t="shared" si="3"/>
        <v>0.6333333333</v>
      </c>
      <c r="J462" s="34">
        <f>(75+77)/2</f>
        <v>76</v>
      </c>
      <c r="K462" s="34">
        <v>15.5</v>
      </c>
      <c r="L462" s="35" t="s">
        <v>500</v>
      </c>
      <c r="M462" s="35"/>
      <c r="N462" s="35"/>
      <c r="O462" s="35" t="s">
        <v>334</v>
      </c>
      <c r="P462" s="36" t="s">
        <v>764</v>
      </c>
      <c r="Q462" s="35"/>
      <c r="R462" s="29" t="str">
        <f t="shared" si="4"/>
        <v>Active</v>
      </c>
      <c r="S462" s="33">
        <v>45547.0</v>
      </c>
      <c r="T462" s="32">
        <f t="shared" si="5"/>
        <v>38.6</v>
      </c>
    </row>
    <row r="463">
      <c r="A463" s="15" t="s">
        <v>765</v>
      </c>
      <c r="B463" s="16" t="s">
        <v>27</v>
      </c>
      <c r="C463" s="16" t="s">
        <v>28</v>
      </c>
      <c r="D463" s="17" t="str">
        <f t="shared" si="1"/>
        <v>Active</v>
      </c>
      <c r="E463" s="18">
        <v>44364.0</v>
      </c>
      <c r="F463" s="73"/>
      <c r="G463" s="20">
        <f t="shared" si="2"/>
        <v>51.93333333</v>
      </c>
      <c r="H463" s="18">
        <v>44091.0</v>
      </c>
      <c r="I463" s="20">
        <f t="shared" si="3"/>
        <v>0.75</v>
      </c>
      <c r="J463" s="53">
        <v>73.0</v>
      </c>
      <c r="K463" s="53">
        <v>29.5</v>
      </c>
      <c r="L463" s="23" t="s">
        <v>766</v>
      </c>
      <c r="M463" s="23"/>
      <c r="N463" s="23" t="s">
        <v>767</v>
      </c>
      <c r="O463" s="23" t="s">
        <v>125</v>
      </c>
      <c r="P463" s="54" t="s">
        <v>768</v>
      </c>
      <c r="Q463" s="23"/>
      <c r="R463" s="17" t="str">
        <f t="shared" si="4"/>
        <v>Active</v>
      </c>
      <c r="S463" s="18">
        <v>45547.0</v>
      </c>
      <c r="T463" s="20">
        <f t="shared" si="5"/>
        <v>38.83333333</v>
      </c>
    </row>
    <row r="464">
      <c r="A464" s="27" t="s">
        <v>769</v>
      </c>
      <c r="B464" s="28" t="s">
        <v>40</v>
      </c>
      <c r="C464" s="28"/>
      <c r="D464" s="29" t="str">
        <f t="shared" si="1"/>
        <v>Active</v>
      </c>
      <c r="E464" s="33">
        <v>44360.0</v>
      </c>
      <c r="F464" s="100"/>
      <c r="G464" s="32">
        <f t="shared" si="2"/>
        <v>52.06666667</v>
      </c>
      <c r="H464" s="33">
        <v>37571.0</v>
      </c>
      <c r="I464" s="32">
        <f t="shared" si="3"/>
        <v>18.58888889</v>
      </c>
      <c r="J464" s="34">
        <v>77.0</v>
      </c>
      <c r="K464" s="34">
        <v>20.0</v>
      </c>
      <c r="L464" s="35" t="s">
        <v>770</v>
      </c>
      <c r="M464" s="35"/>
      <c r="N464" s="35" t="s">
        <v>771</v>
      </c>
      <c r="O464" s="35" t="s">
        <v>34</v>
      </c>
      <c r="P464" s="36" t="s">
        <v>772</v>
      </c>
      <c r="Q464" s="35"/>
      <c r="R464" s="59" t="str">
        <f t="shared" si="4"/>
        <v>Active</v>
      </c>
      <c r="S464" s="60">
        <v>45931.0</v>
      </c>
      <c r="T464" s="32">
        <f t="shared" si="5"/>
        <v>51.6</v>
      </c>
    </row>
    <row r="465">
      <c r="A465" s="15" t="s">
        <v>773</v>
      </c>
      <c r="B465" s="16" t="s">
        <v>27</v>
      </c>
      <c r="C465" s="16" t="s">
        <v>28</v>
      </c>
      <c r="D465" s="17" t="str">
        <f t="shared" si="1"/>
        <v>Active</v>
      </c>
      <c r="E465" s="18">
        <v>44360.0</v>
      </c>
      <c r="F465" s="73"/>
      <c r="G465" s="20">
        <f t="shared" si="2"/>
        <v>52.06666667</v>
      </c>
      <c r="H465" s="18">
        <v>42993.0</v>
      </c>
      <c r="I465" s="20">
        <f t="shared" si="3"/>
        <v>3.744444444</v>
      </c>
      <c r="J465" s="53">
        <f>(81+84)/2</f>
        <v>82.5</v>
      </c>
      <c r="K465" s="53">
        <v>6.5</v>
      </c>
      <c r="L465" s="23" t="s">
        <v>37</v>
      </c>
      <c r="M465" s="23" t="s">
        <v>451</v>
      </c>
      <c r="N465" s="23"/>
      <c r="O465" s="23" t="s">
        <v>34</v>
      </c>
      <c r="P465" s="54" t="s">
        <v>709</v>
      </c>
      <c r="Q465" s="23"/>
      <c r="R465" s="17" t="str">
        <f t="shared" si="4"/>
        <v>Active</v>
      </c>
      <c r="S465" s="18">
        <v>45547.0</v>
      </c>
      <c r="T465" s="20">
        <f t="shared" si="5"/>
        <v>38.96666667</v>
      </c>
    </row>
    <row r="466">
      <c r="A466" s="27" t="s">
        <v>774</v>
      </c>
      <c r="B466" s="28" t="s">
        <v>40</v>
      </c>
      <c r="C466" s="28"/>
      <c r="D466" s="29" t="str">
        <f t="shared" si="1"/>
        <v>Active</v>
      </c>
      <c r="E466" s="33">
        <v>44360.0</v>
      </c>
      <c r="F466" s="100"/>
      <c r="G466" s="32">
        <f t="shared" si="2"/>
        <v>52.06666667</v>
      </c>
      <c r="H466" s="33">
        <v>35703.0</v>
      </c>
      <c r="I466" s="32">
        <f t="shared" si="3"/>
        <v>23.70277778</v>
      </c>
      <c r="J466" s="34">
        <v>89.0</v>
      </c>
      <c r="K466" s="34">
        <v>16.0</v>
      </c>
      <c r="L466" s="35" t="s">
        <v>29</v>
      </c>
      <c r="M466" s="35"/>
      <c r="N466" s="35" t="s">
        <v>771</v>
      </c>
      <c r="O466" s="35" t="s">
        <v>34</v>
      </c>
      <c r="P466" s="36" t="s">
        <v>775</v>
      </c>
      <c r="Q466" s="35"/>
      <c r="R466" s="59" t="str">
        <f t="shared" si="4"/>
        <v>Active</v>
      </c>
      <c r="S466" s="60">
        <v>45931.0</v>
      </c>
      <c r="T466" s="32">
        <f t="shared" si="5"/>
        <v>51.6</v>
      </c>
    </row>
    <row r="467">
      <c r="A467" s="15" t="s">
        <v>776</v>
      </c>
      <c r="B467" s="16" t="s">
        <v>40</v>
      </c>
      <c r="C467" s="16"/>
      <c r="D467" s="17" t="str">
        <f t="shared" si="1"/>
        <v>Active</v>
      </c>
      <c r="E467" s="18">
        <v>44360.0</v>
      </c>
      <c r="F467" s="73"/>
      <c r="G467" s="20">
        <f t="shared" si="2"/>
        <v>52.06666667</v>
      </c>
      <c r="H467" s="18">
        <v>36068.0</v>
      </c>
      <c r="I467" s="20">
        <f t="shared" si="3"/>
        <v>22.70277778</v>
      </c>
      <c r="J467" s="53">
        <v>86.0</v>
      </c>
      <c r="K467" s="53">
        <v>30.5</v>
      </c>
      <c r="L467" s="23" t="s">
        <v>29</v>
      </c>
      <c r="M467" s="23"/>
      <c r="N467" s="23" t="s">
        <v>771</v>
      </c>
      <c r="O467" s="23" t="s">
        <v>34</v>
      </c>
      <c r="P467" s="54" t="s">
        <v>777</v>
      </c>
      <c r="Q467" s="23"/>
      <c r="R467" s="55" t="str">
        <f t="shared" si="4"/>
        <v>Active</v>
      </c>
      <c r="S467" s="56">
        <v>45931.0</v>
      </c>
      <c r="T467" s="20">
        <f t="shared" si="5"/>
        <v>51.6</v>
      </c>
    </row>
    <row r="468">
      <c r="A468" s="27" t="s">
        <v>778</v>
      </c>
      <c r="B468" s="28" t="s">
        <v>40</v>
      </c>
      <c r="C468" s="28"/>
      <c r="D468" s="29" t="str">
        <f t="shared" si="1"/>
        <v>Active</v>
      </c>
      <c r="E468" s="33">
        <v>44360.0</v>
      </c>
      <c r="F468" s="100"/>
      <c r="G468" s="32">
        <f t="shared" si="2"/>
        <v>52.06666667</v>
      </c>
      <c r="H468" s="33">
        <v>36964.0</v>
      </c>
      <c r="I468" s="32">
        <f t="shared" si="3"/>
        <v>20.24722222</v>
      </c>
      <c r="J468" s="34">
        <v>82.0</v>
      </c>
      <c r="K468" s="34">
        <v>31.0</v>
      </c>
      <c r="L468" s="35" t="s">
        <v>742</v>
      </c>
      <c r="M468" s="35"/>
      <c r="N468" s="35" t="s">
        <v>771</v>
      </c>
      <c r="O468" s="35" t="s">
        <v>34</v>
      </c>
      <c r="P468" s="36" t="s">
        <v>779</v>
      </c>
      <c r="Q468" s="35"/>
      <c r="R468" s="59" t="str">
        <f t="shared" si="4"/>
        <v>Active</v>
      </c>
      <c r="S468" s="60">
        <v>45931.0</v>
      </c>
      <c r="T468" s="32">
        <f t="shared" si="5"/>
        <v>51.6</v>
      </c>
    </row>
    <row r="469">
      <c r="A469" s="15" t="s">
        <v>780</v>
      </c>
      <c r="B469" s="16" t="s">
        <v>27</v>
      </c>
      <c r="C469" s="16" t="s">
        <v>28</v>
      </c>
      <c r="D469" s="17" t="str">
        <f t="shared" si="1"/>
        <v>Active</v>
      </c>
      <c r="E469" s="18">
        <v>44360.0</v>
      </c>
      <c r="F469" s="73"/>
      <c r="G469" s="20">
        <f t="shared" si="2"/>
        <v>52.06666667</v>
      </c>
      <c r="H469" s="18">
        <v>43021.0</v>
      </c>
      <c r="I469" s="20">
        <f t="shared" si="3"/>
        <v>3.666666667</v>
      </c>
      <c r="J469" s="53">
        <f>(80+82)/2</f>
        <v>81</v>
      </c>
      <c r="K469" s="53">
        <v>13.5</v>
      </c>
      <c r="L469" s="23" t="s">
        <v>32</v>
      </c>
      <c r="M469" s="23" t="s">
        <v>451</v>
      </c>
      <c r="N469" s="23"/>
      <c r="O469" s="23" t="s">
        <v>34</v>
      </c>
      <c r="P469" s="54" t="s">
        <v>781</v>
      </c>
      <c r="Q469" s="23"/>
      <c r="R469" s="17" t="str">
        <f t="shared" si="4"/>
        <v>Active</v>
      </c>
      <c r="S469" s="18">
        <v>45547.0</v>
      </c>
      <c r="T469" s="20">
        <f t="shared" si="5"/>
        <v>38.96666667</v>
      </c>
    </row>
    <row r="470">
      <c r="A470" s="27" t="s">
        <v>782</v>
      </c>
      <c r="B470" s="28" t="s">
        <v>27</v>
      </c>
      <c r="C470" s="28" t="s">
        <v>28</v>
      </c>
      <c r="D470" s="29" t="str">
        <f t="shared" si="1"/>
        <v>Active</v>
      </c>
      <c r="E470" s="33">
        <v>44350.0</v>
      </c>
      <c r="F470" s="100"/>
      <c r="G470" s="32">
        <f t="shared" si="2"/>
        <v>52.4</v>
      </c>
      <c r="H470" s="33">
        <v>43083.0</v>
      </c>
      <c r="I470" s="32">
        <f t="shared" si="3"/>
        <v>3.469444444</v>
      </c>
      <c r="J470" s="34">
        <f>average(76,79)</f>
        <v>77.5</v>
      </c>
      <c r="K470" s="34">
        <v>7.0</v>
      </c>
      <c r="L470" s="35" t="s">
        <v>783</v>
      </c>
      <c r="M470" s="35" t="s">
        <v>123</v>
      </c>
      <c r="N470" s="35" t="s">
        <v>784</v>
      </c>
      <c r="O470" s="35" t="s">
        <v>34</v>
      </c>
      <c r="P470" s="36" t="s">
        <v>785</v>
      </c>
      <c r="Q470" s="35"/>
      <c r="R470" s="29" t="str">
        <f t="shared" si="4"/>
        <v>Active</v>
      </c>
      <c r="S470" s="33">
        <v>45547.0</v>
      </c>
      <c r="T470" s="32">
        <f t="shared" si="5"/>
        <v>39.3</v>
      </c>
    </row>
    <row r="471">
      <c r="A471" s="15" t="s">
        <v>786</v>
      </c>
      <c r="B471" s="16" t="s">
        <v>27</v>
      </c>
      <c r="C471" s="16" t="s">
        <v>28</v>
      </c>
      <c r="D471" s="17" t="str">
        <f t="shared" si="1"/>
        <v>Active</v>
      </c>
      <c r="E471" s="18">
        <v>44334.0</v>
      </c>
      <c r="F471" s="73"/>
      <c r="G471" s="20">
        <f t="shared" si="2"/>
        <v>52.9</v>
      </c>
      <c r="H471" s="18">
        <v>43949.0</v>
      </c>
      <c r="I471" s="20">
        <f t="shared" si="3"/>
        <v>1.055555556</v>
      </c>
      <c r="J471" s="53">
        <v>81.0</v>
      </c>
      <c r="K471" s="53">
        <v>90.0</v>
      </c>
      <c r="L471" s="23" t="s">
        <v>787</v>
      </c>
      <c r="M471" s="23"/>
      <c r="N471" s="23"/>
      <c r="O471" s="23" t="s">
        <v>132</v>
      </c>
      <c r="P471" s="54"/>
      <c r="Q471" s="23"/>
      <c r="R471" s="17" t="str">
        <f t="shared" si="4"/>
        <v>Active</v>
      </c>
      <c r="S471" s="18">
        <v>45547.0</v>
      </c>
      <c r="T471" s="20">
        <f t="shared" si="5"/>
        <v>39.8</v>
      </c>
    </row>
    <row r="472">
      <c r="A472" s="27" t="s">
        <v>788</v>
      </c>
      <c r="B472" s="28" t="s">
        <v>27</v>
      </c>
      <c r="C472" s="28" t="s">
        <v>121</v>
      </c>
      <c r="D472" s="29" t="str">
        <f t="shared" si="1"/>
        <v>Active</v>
      </c>
      <c r="E472" s="33">
        <v>44329.0</v>
      </c>
      <c r="F472" s="100"/>
      <c r="G472" s="32">
        <f t="shared" si="2"/>
        <v>53.06666667</v>
      </c>
      <c r="H472" s="33">
        <v>38461.0</v>
      </c>
      <c r="I472" s="32">
        <f t="shared" si="3"/>
        <v>16.06666667</v>
      </c>
      <c r="J472" s="34">
        <f>(87+88)/2</f>
        <v>87.5</v>
      </c>
      <c r="K472" s="34">
        <v>12.5</v>
      </c>
      <c r="L472" s="35" t="s">
        <v>721</v>
      </c>
      <c r="M472" s="35"/>
      <c r="N472" s="35" t="s">
        <v>771</v>
      </c>
      <c r="O472" s="35" t="s">
        <v>125</v>
      </c>
      <c r="P472" s="36" t="s">
        <v>789</v>
      </c>
      <c r="Q472" s="35" t="s">
        <v>756</v>
      </c>
      <c r="R472" s="29" t="str">
        <f t="shared" si="4"/>
        <v>Active</v>
      </c>
      <c r="S472" s="33">
        <v>45547.0</v>
      </c>
      <c r="T472" s="32">
        <f t="shared" si="5"/>
        <v>39.96666667</v>
      </c>
    </row>
    <row r="473">
      <c r="A473" s="15" t="s">
        <v>790</v>
      </c>
      <c r="B473" s="16" t="s">
        <v>27</v>
      </c>
      <c r="C473" s="16" t="s">
        <v>183</v>
      </c>
      <c r="D473" s="17" t="str">
        <f t="shared" si="1"/>
        <v>Active</v>
      </c>
      <c r="E473" s="18">
        <v>44294.0</v>
      </c>
      <c r="F473" s="73"/>
      <c r="G473" s="20">
        <f t="shared" si="2"/>
        <v>54.23333333</v>
      </c>
      <c r="H473" s="18">
        <v>43865.0</v>
      </c>
      <c r="I473" s="20">
        <f t="shared" si="3"/>
        <v>1.177777778</v>
      </c>
      <c r="J473" s="53">
        <f>(74+77)/2</f>
        <v>75.5</v>
      </c>
      <c r="K473" s="53">
        <v>11.5</v>
      </c>
      <c r="L473" s="23" t="s">
        <v>791</v>
      </c>
      <c r="M473" s="23" t="s">
        <v>123</v>
      </c>
      <c r="N473" s="23"/>
      <c r="O473" s="23" t="s">
        <v>34</v>
      </c>
      <c r="P473" s="54" t="s">
        <v>676</v>
      </c>
      <c r="Q473" s="23"/>
      <c r="R473" s="17" t="str">
        <f t="shared" si="4"/>
        <v>Active</v>
      </c>
      <c r="S473" s="18">
        <v>45547.0</v>
      </c>
      <c r="T473" s="20">
        <f t="shared" si="5"/>
        <v>41.13333333</v>
      </c>
    </row>
    <row r="474">
      <c r="A474" s="27" t="s">
        <v>792</v>
      </c>
      <c r="B474" s="28" t="s">
        <v>27</v>
      </c>
      <c r="C474" s="28" t="s">
        <v>121</v>
      </c>
      <c r="D474" s="29" t="str">
        <f t="shared" si="1"/>
        <v>Active</v>
      </c>
      <c r="E474" s="33">
        <v>44280.0</v>
      </c>
      <c r="F474" s="100"/>
      <c r="G474" s="32">
        <f t="shared" si="2"/>
        <v>54.66666667</v>
      </c>
      <c r="H474" s="33">
        <v>44280.0</v>
      </c>
      <c r="I474" s="32">
        <f t="shared" si="3"/>
        <v>0</v>
      </c>
      <c r="J474" s="34">
        <f>(77+81)/2</f>
        <v>79</v>
      </c>
      <c r="K474" s="34">
        <v>4.5</v>
      </c>
      <c r="L474" s="35" t="s">
        <v>362</v>
      </c>
      <c r="M474" s="35"/>
      <c r="N474" s="35"/>
      <c r="O474" s="35" t="s">
        <v>125</v>
      </c>
      <c r="P474" s="36" t="s">
        <v>793</v>
      </c>
      <c r="Q474" s="35"/>
      <c r="R474" s="29" t="str">
        <f t="shared" si="4"/>
        <v>Active</v>
      </c>
      <c r="S474" s="33">
        <v>45547.0</v>
      </c>
      <c r="T474" s="32">
        <f t="shared" si="5"/>
        <v>41.56666667</v>
      </c>
    </row>
    <row r="475">
      <c r="A475" s="15" t="s">
        <v>794</v>
      </c>
      <c r="B475" s="16" t="s">
        <v>40</v>
      </c>
      <c r="C475" s="16"/>
      <c r="D475" s="17" t="str">
        <f t="shared" si="1"/>
        <v>Active</v>
      </c>
      <c r="E475" s="18">
        <v>44273.0</v>
      </c>
      <c r="F475" s="52"/>
      <c r="G475" s="20">
        <f t="shared" si="2"/>
        <v>54.9</v>
      </c>
      <c r="H475" s="18">
        <v>43987.0</v>
      </c>
      <c r="I475" s="20">
        <f t="shared" si="3"/>
        <v>0.7861111111</v>
      </c>
      <c r="J475" s="53">
        <v>82.0</v>
      </c>
      <c r="K475" s="53">
        <v>29.5</v>
      </c>
      <c r="L475" s="23" t="s">
        <v>795</v>
      </c>
      <c r="M475" s="23"/>
      <c r="N475" s="23"/>
      <c r="O475" s="23" t="s">
        <v>125</v>
      </c>
      <c r="P475" s="54" t="s">
        <v>796</v>
      </c>
      <c r="Q475" s="23"/>
      <c r="R475" s="17" t="str">
        <f t="shared" si="4"/>
        <v>TBD</v>
      </c>
      <c r="S475" s="18"/>
      <c r="T475" s="20">
        <f t="shared" si="5"/>
        <v>54.9</v>
      </c>
    </row>
    <row r="476">
      <c r="A476" s="27" t="s">
        <v>797</v>
      </c>
      <c r="B476" s="28" t="s">
        <v>40</v>
      </c>
      <c r="C476" s="28"/>
      <c r="D476" s="29" t="str">
        <f t="shared" si="1"/>
        <v>Active</v>
      </c>
      <c r="E476" s="33">
        <v>44273.0</v>
      </c>
      <c r="F476" s="31"/>
      <c r="G476" s="32">
        <f t="shared" si="2"/>
        <v>54.9</v>
      </c>
      <c r="H476" s="33">
        <v>35607.0</v>
      </c>
      <c r="I476" s="32">
        <f t="shared" si="3"/>
        <v>23.72777778</v>
      </c>
      <c r="J476" s="101">
        <f t="shared" ref="J476:J477" si="24">8.8*10</f>
        <v>88</v>
      </c>
      <c r="K476" s="34">
        <v>15.0</v>
      </c>
      <c r="L476" s="35" t="s">
        <v>567</v>
      </c>
      <c r="M476" s="35"/>
      <c r="N476" s="35"/>
      <c r="O476" s="35" t="s">
        <v>34</v>
      </c>
      <c r="P476" s="36" t="s">
        <v>798</v>
      </c>
      <c r="Q476" s="35"/>
      <c r="R476" s="29" t="str">
        <f t="shared" si="4"/>
        <v>TBD</v>
      </c>
      <c r="S476" s="33"/>
      <c r="T476" s="32">
        <f t="shared" si="5"/>
        <v>54.9</v>
      </c>
    </row>
    <row r="477">
      <c r="A477" s="15" t="s">
        <v>799</v>
      </c>
      <c r="B477" s="16" t="s">
        <v>40</v>
      </c>
      <c r="C477" s="16"/>
      <c r="D477" s="17" t="str">
        <f t="shared" si="1"/>
        <v>Active</v>
      </c>
      <c r="E477" s="18">
        <v>44273.0</v>
      </c>
      <c r="F477" s="52"/>
      <c r="G477" s="20">
        <f t="shared" si="2"/>
        <v>54.9</v>
      </c>
      <c r="H477" s="18">
        <v>36341.0</v>
      </c>
      <c r="I477" s="20">
        <f t="shared" si="3"/>
        <v>21.71666667</v>
      </c>
      <c r="J477" s="118">
        <f t="shared" si="24"/>
        <v>88</v>
      </c>
      <c r="K477" s="53">
        <v>17.5</v>
      </c>
      <c r="L477" s="23" t="s">
        <v>800</v>
      </c>
      <c r="M477" s="23"/>
      <c r="N477" s="23"/>
      <c r="O477" s="23" t="s">
        <v>34</v>
      </c>
      <c r="P477" s="54" t="s">
        <v>801</v>
      </c>
      <c r="Q477" s="23"/>
      <c r="R477" s="17" t="str">
        <f t="shared" si="4"/>
        <v>TBD</v>
      </c>
      <c r="S477" s="18"/>
      <c r="T477" s="20">
        <f t="shared" si="5"/>
        <v>54.9</v>
      </c>
    </row>
    <row r="478">
      <c r="A478" s="27" t="s">
        <v>802</v>
      </c>
      <c r="B478" s="28" t="s">
        <v>40</v>
      </c>
      <c r="C478" s="28"/>
      <c r="D478" s="29" t="str">
        <f t="shared" si="1"/>
        <v>Active</v>
      </c>
      <c r="E478" s="33">
        <v>44273.0</v>
      </c>
      <c r="F478" s="31"/>
      <c r="G478" s="32">
        <f t="shared" si="2"/>
        <v>54.9</v>
      </c>
      <c r="H478" s="33">
        <v>38454.0</v>
      </c>
      <c r="I478" s="32">
        <f t="shared" si="3"/>
        <v>15.93333333</v>
      </c>
      <c r="J478" s="34">
        <v>81.0</v>
      </c>
      <c r="K478" s="34">
        <v>15.0</v>
      </c>
      <c r="L478" s="35" t="s">
        <v>509</v>
      </c>
      <c r="M478" s="35"/>
      <c r="N478" s="35"/>
      <c r="O478" s="35" t="s">
        <v>34</v>
      </c>
      <c r="P478" s="36" t="s">
        <v>803</v>
      </c>
      <c r="Q478" s="35"/>
      <c r="R478" s="29" t="str">
        <f t="shared" si="4"/>
        <v>TBD</v>
      </c>
      <c r="S478" s="33"/>
      <c r="T478" s="32">
        <f t="shared" si="5"/>
        <v>54.9</v>
      </c>
    </row>
    <row r="479">
      <c r="A479" s="15" t="s">
        <v>804</v>
      </c>
      <c r="B479" s="16" t="s">
        <v>40</v>
      </c>
      <c r="C479" s="16"/>
      <c r="D479" s="17" t="str">
        <f t="shared" si="1"/>
        <v>Active</v>
      </c>
      <c r="E479" s="18">
        <v>44273.0</v>
      </c>
      <c r="F479" s="52"/>
      <c r="G479" s="20">
        <f t="shared" si="2"/>
        <v>54.9</v>
      </c>
      <c r="H479" s="18">
        <v>37276.0</v>
      </c>
      <c r="I479" s="20">
        <f t="shared" si="3"/>
        <v>19.16111111</v>
      </c>
      <c r="J479" s="53">
        <v>91.0</v>
      </c>
      <c r="K479" s="53">
        <v>27.0</v>
      </c>
      <c r="L479" s="23" t="s">
        <v>184</v>
      </c>
      <c r="M479" s="23"/>
      <c r="N479" s="23"/>
      <c r="O479" s="23" t="s">
        <v>125</v>
      </c>
      <c r="P479" s="54" t="s">
        <v>475</v>
      </c>
      <c r="Q479" s="23"/>
      <c r="R479" s="17" t="str">
        <f t="shared" si="4"/>
        <v>TBD</v>
      </c>
      <c r="S479" s="18"/>
      <c r="T479" s="20">
        <f t="shared" si="5"/>
        <v>54.9</v>
      </c>
    </row>
    <row r="480">
      <c r="A480" s="27" t="s">
        <v>805</v>
      </c>
      <c r="B480" s="28" t="s">
        <v>40</v>
      </c>
      <c r="C480" s="28"/>
      <c r="D480" s="29" t="str">
        <f t="shared" si="1"/>
        <v>Active</v>
      </c>
      <c r="E480" s="33">
        <v>44273.0</v>
      </c>
      <c r="F480" s="31"/>
      <c r="G480" s="32">
        <f t="shared" si="2"/>
        <v>54.9</v>
      </c>
      <c r="H480" s="33">
        <v>41212.0</v>
      </c>
      <c r="I480" s="32">
        <f t="shared" si="3"/>
        <v>8.383333333</v>
      </c>
      <c r="J480" s="34">
        <v>78.0</v>
      </c>
      <c r="K480" s="34">
        <v>10.0</v>
      </c>
      <c r="L480" s="35" t="s">
        <v>500</v>
      </c>
      <c r="M480" s="35"/>
      <c r="N480" s="35"/>
      <c r="O480" s="35" t="s">
        <v>334</v>
      </c>
      <c r="P480" s="36" t="s">
        <v>806</v>
      </c>
      <c r="Q480" s="35"/>
      <c r="R480" s="29" t="str">
        <f t="shared" si="4"/>
        <v>TBD</v>
      </c>
      <c r="S480" s="33"/>
      <c r="T480" s="32">
        <f t="shared" si="5"/>
        <v>54.9</v>
      </c>
    </row>
    <row r="481">
      <c r="A481" s="15" t="s">
        <v>807</v>
      </c>
      <c r="B481" s="16" t="s">
        <v>40</v>
      </c>
      <c r="C481" s="16"/>
      <c r="D481" s="17" t="str">
        <f t="shared" si="1"/>
        <v>Active</v>
      </c>
      <c r="E481" s="18">
        <v>44273.0</v>
      </c>
      <c r="F481" s="52"/>
      <c r="G481" s="20">
        <f t="shared" si="2"/>
        <v>54.9</v>
      </c>
      <c r="H481" s="18">
        <v>32509.0</v>
      </c>
      <c r="I481" s="20">
        <f t="shared" si="3"/>
        <v>32.21388889</v>
      </c>
      <c r="J481" s="118">
        <f>8.9*10</f>
        <v>89</v>
      </c>
      <c r="K481" s="53">
        <v>13.0</v>
      </c>
      <c r="L481" s="23" t="s">
        <v>119</v>
      </c>
      <c r="M481" s="23"/>
      <c r="N481" s="23"/>
      <c r="O481" s="23" t="s">
        <v>125</v>
      </c>
      <c r="P481" s="54" t="s">
        <v>475</v>
      </c>
      <c r="Q481" s="23"/>
      <c r="R481" s="17" t="str">
        <f t="shared" si="4"/>
        <v>TBD</v>
      </c>
      <c r="S481" s="18"/>
      <c r="T481" s="20">
        <f t="shared" si="5"/>
        <v>54.9</v>
      </c>
    </row>
    <row r="482">
      <c r="A482" s="27" t="s">
        <v>808</v>
      </c>
      <c r="B482" s="28" t="s">
        <v>40</v>
      </c>
      <c r="C482" s="28"/>
      <c r="D482" s="29" t="str">
        <f t="shared" si="1"/>
        <v>Active</v>
      </c>
      <c r="E482" s="33">
        <v>44273.0</v>
      </c>
      <c r="F482" s="31"/>
      <c r="G482" s="32">
        <f t="shared" si="2"/>
        <v>54.9</v>
      </c>
      <c r="H482" s="33">
        <v>33481.0</v>
      </c>
      <c r="I482" s="32">
        <f t="shared" si="3"/>
        <v>29.55</v>
      </c>
      <c r="J482" s="34">
        <v>80.0</v>
      </c>
      <c r="K482" s="34">
        <v>12.0</v>
      </c>
      <c r="L482" s="35" t="s">
        <v>809</v>
      </c>
      <c r="M482" s="35"/>
      <c r="N482" s="35"/>
      <c r="O482" s="35" t="s">
        <v>125</v>
      </c>
      <c r="P482" s="36" t="s">
        <v>810</v>
      </c>
      <c r="Q482" s="35"/>
      <c r="R482" s="29" t="str">
        <f t="shared" si="4"/>
        <v>TBD</v>
      </c>
      <c r="S482" s="33"/>
      <c r="T482" s="32">
        <f t="shared" si="5"/>
        <v>54.9</v>
      </c>
    </row>
    <row r="483">
      <c r="A483" s="15" t="s">
        <v>811</v>
      </c>
      <c r="B483" s="16" t="s">
        <v>40</v>
      </c>
      <c r="C483" s="16"/>
      <c r="D483" s="17" t="str">
        <f t="shared" si="1"/>
        <v>Active</v>
      </c>
      <c r="E483" s="18">
        <v>44273.0</v>
      </c>
      <c r="F483" s="52"/>
      <c r="G483" s="20">
        <f t="shared" si="2"/>
        <v>54.9</v>
      </c>
      <c r="H483" s="18">
        <v>42297.0</v>
      </c>
      <c r="I483" s="20">
        <f t="shared" si="3"/>
        <v>5.411111111</v>
      </c>
      <c r="J483" s="53">
        <v>75.0</v>
      </c>
      <c r="K483" s="53">
        <v>22.0</v>
      </c>
      <c r="L483" s="23" t="s">
        <v>122</v>
      </c>
      <c r="M483" s="23"/>
      <c r="N483" s="23" t="s">
        <v>812</v>
      </c>
      <c r="O483" s="23" t="s">
        <v>125</v>
      </c>
      <c r="P483" s="54" t="s">
        <v>813</v>
      </c>
      <c r="Q483" s="23"/>
      <c r="R483" s="17" t="str">
        <f t="shared" si="4"/>
        <v>TBD</v>
      </c>
      <c r="S483" s="18"/>
      <c r="T483" s="20">
        <f t="shared" si="5"/>
        <v>54.9</v>
      </c>
    </row>
    <row r="484">
      <c r="A484" s="27" t="s">
        <v>814</v>
      </c>
      <c r="B484" s="28" t="s">
        <v>40</v>
      </c>
      <c r="C484" s="28"/>
      <c r="D484" s="29" t="str">
        <f t="shared" si="1"/>
        <v>Active</v>
      </c>
      <c r="E484" s="33">
        <v>44273.0</v>
      </c>
      <c r="F484" s="31"/>
      <c r="G484" s="32">
        <f t="shared" si="2"/>
        <v>54.9</v>
      </c>
      <c r="H484" s="33">
        <v>34737.0</v>
      </c>
      <c r="I484" s="32">
        <f t="shared" si="3"/>
        <v>26.11388889</v>
      </c>
      <c r="J484" s="119">
        <f>7.7*10</f>
        <v>77</v>
      </c>
      <c r="K484" s="34">
        <v>30.0</v>
      </c>
      <c r="L484" s="35" t="s">
        <v>522</v>
      </c>
      <c r="M484" s="35"/>
      <c r="N484" s="35"/>
      <c r="O484" s="35" t="s">
        <v>132</v>
      </c>
      <c r="P484" s="36"/>
      <c r="Q484" s="35"/>
      <c r="R484" s="29" t="str">
        <f t="shared" si="4"/>
        <v>TBD</v>
      </c>
      <c r="S484" s="33"/>
      <c r="T484" s="32">
        <f t="shared" si="5"/>
        <v>54.9</v>
      </c>
    </row>
    <row r="485">
      <c r="A485" s="15" t="s">
        <v>815</v>
      </c>
      <c r="B485" s="16" t="s">
        <v>40</v>
      </c>
      <c r="C485" s="16"/>
      <c r="D485" s="17" t="str">
        <f t="shared" si="1"/>
        <v>Active</v>
      </c>
      <c r="E485" s="18">
        <v>44273.0</v>
      </c>
      <c r="F485" s="52"/>
      <c r="G485" s="20">
        <f t="shared" si="2"/>
        <v>54.9</v>
      </c>
      <c r="H485" s="18">
        <v>37633.0</v>
      </c>
      <c r="I485" s="20">
        <f t="shared" si="3"/>
        <v>18.18333333</v>
      </c>
      <c r="J485" s="53">
        <v>84.0</v>
      </c>
      <c r="K485" s="53">
        <v>12.0</v>
      </c>
      <c r="L485" s="23" t="s">
        <v>50</v>
      </c>
      <c r="M485" s="23"/>
      <c r="N485" s="23"/>
      <c r="O485" s="23" t="s">
        <v>132</v>
      </c>
      <c r="P485" s="54" t="s">
        <v>475</v>
      </c>
      <c r="Q485" s="23"/>
      <c r="R485" s="17" t="str">
        <f t="shared" si="4"/>
        <v>TBD</v>
      </c>
      <c r="S485" s="18"/>
      <c r="T485" s="20">
        <f t="shared" si="5"/>
        <v>54.9</v>
      </c>
    </row>
    <row r="486">
      <c r="A486" s="27" t="s">
        <v>816</v>
      </c>
      <c r="B486" s="28" t="s">
        <v>40</v>
      </c>
      <c r="C486" s="28"/>
      <c r="D486" s="29" t="str">
        <f t="shared" si="1"/>
        <v>Active</v>
      </c>
      <c r="E486" s="33">
        <v>44273.0</v>
      </c>
      <c r="F486" s="31"/>
      <c r="G486" s="32">
        <f t="shared" si="2"/>
        <v>54.9</v>
      </c>
      <c r="H486" s="33">
        <v>41338.0</v>
      </c>
      <c r="I486" s="32">
        <f t="shared" si="3"/>
        <v>8.036111111</v>
      </c>
      <c r="J486" s="34">
        <v>64.0</v>
      </c>
      <c r="K486" s="34">
        <v>25.5</v>
      </c>
      <c r="L486" s="35" t="s">
        <v>50</v>
      </c>
      <c r="M486" s="35"/>
      <c r="N486" s="35"/>
      <c r="O486" s="35" t="s">
        <v>334</v>
      </c>
      <c r="P486" s="36" t="s">
        <v>465</v>
      </c>
      <c r="Q486" s="35"/>
      <c r="R486" s="29" t="str">
        <f t="shared" si="4"/>
        <v>TBD</v>
      </c>
      <c r="S486" s="33"/>
      <c r="T486" s="32">
        <f t="shared" si="5"/>
        <v>54.9</v>
      </c>
    </row>
    <row r="487">
      <c r="A487" s="15" t="s">
        <v>817</v>
      </c>
      <c r="B487" s="16" t="s">
        <v>40</v>
      </c>
      <c r="C487" s="16"/>
      <c r="D487" s="17" t="str">
        <f t="shared" si="1"/>
        <v>Active</v>
      </c>
      <c r="E487" s="18">
        <v>44273.0</v>
      </c>
      <c r="F487" s="52"/>
      <c r="G487" s="20">
        <f t="shared" si="2"/>
        <v>54.9</v>
      </c>
      <c r="H487" s="18">
        <v>39698.0</v>
      </c>
      <c r="I487" s="20">
        <f t="shared" si="3"/>
        <v>12.53055556</v>
      </c>
      <c r="J487" s="53">
        <v>84.0</v>
      </c>
      <c r="K487" s="53">
        <v>12.5</v>
      </c>
      <c r="L487" s="23" t="s">
        <v>818</v>
      </c>
      <c r="M487" s="23"/>
      <c r="N487" s="23"/>
      <c r="O487" s="23" t="s">
        <v>334</v>
      </c>
      <c r="P487" s="54" t="s">
        <v>819</v>
      </c>
      <c r="Q487" s="23"/>
      <c r="R487" s="17" t="str">
        <f t="shared" si="4"/>
        <v>TBD</v>
      </c>
      <c r="S487" s="18"/>
      <c r="T487" s="20">
        <f t="shared" si="5"/>
        <v>54.9</v>
      </c>
    </row>
    <row r="488">
      <c r="A488" s="27" t="s">
        <v>820</v>
      </c>
      <c r="B488" s="28" t="s">
        <v>27</v>
      </c>
      <c r="C488" s="28" t="s">
        <v>121</v>
      </c>
      <c r="D488" s="29" t="str">
        <f t="shared" si="1"/>
        <v>Active</v>
      </c>
      <c r="E488" s="33">
        <v>44273.0</v>
      </c>
      <c r="F488" s="100"/>
      <c r="G488" s="32">
        <f t="shared" si="2"/>
        <v>54.9</v>
      </c>
      <c r="H488" s="33">
        <v>44106.0</v>
      </c>
      <c r="I488" s="32">
        <f t="shared" si="3"/>
        <v>0.4611111111</v>
      </c>
      <c r="J488" s="34">
        <f>(78+79)/2</f>
        <v>78.5</v>
      </c>
      <c r="K488" s="34">
        <v>9.0</v>
      </c>
      <c r="L488" s="35" t="s">
        <v>821</v>
      </c>
      <c r="M488" s="35" t="s">
        <v>123</v>
      </c>
      <c r="N488" s="35" t="s">
        <v>822</v>
      </c>
      <c r="O488" s="35" t="s">
        <v>125</v>
      </c>
      <c r="P488" s="36" t="s">
        <v>823</v>
      </c>
      <c r="Q488" s="35"/>
      <c r="R488" s="29" t="str">
        <f t="shared" si="4"/>
        <v>Active</v>
      </c>
      <c r="S488" s="33">
        <v>45547.0</v>
      </c>
      <c r="T488" s="32">
        <f t="shared" si="5"/>
        <v>41.8</v>
      </c>
    </row>
    <row r="489">
      <c r="A489" s="15" t="s">
        <v>824</v>
      </c>
      <c r="B489" s="16" t="s">
        <v>40</v>
      </c>
      <c r="C489" s="16"/>
      <c r="D489" s="17" t="str">
        <f t="shared" si="1"/>
        <v>Active</v>
      </c>
      <c r="E489" s="18">
        <v>44273.0</v>
      </c>
      <c r="F489" s="52"/>
      <c r="G489" s="20">
        <f t="shared" si="2"/>
        <v>54.9</v>
      </c>
      <c r="H489" s="18">
        <v>40155.0</v>
      </c>
      <c r="I489" s="20">
        <f t="shared" si="3"/>
        <v>11.27777778</v>
      </c>
      <c r="J489" s="53">
        <v>76.0</v>
      </c>
      <c r="K489" s="53">
        <v>11.0</v>
      </c>
      <c r="L489" s="23" t="s">
        <v>201</v>
      </c>
      <c r="M489" s="23"/>
      <c r="N489" s="23"/>
      <c r="O489" s="23" t="s">
        <v>34</v>
      </c>
      <c r="P489" s="54" t="s">
        <v>825</v>
      </c>
      <c r="Q489" s="120"/>
      <c r="R489" s="17" t="str">
        <f t="shared" si="4"/>
        <v>TBD</v>
      </c>
      <c r="S489" s="18"/>
      <c r="T489" s="20">
        <f t="shared" si="5"/>
        <v>54.9</v>
      </c>
    </row>
    <row r="490">
      <c r="A490" s="27" t="s">
        <v>826</v>
      </c>
      <c r="B490" s="28" t="s">
        <v>40</v>
      </c>
      <c r="C490" s="28"/>
      <c r="D490" s="29" t="str">
        <f t="shared" si="1"/>
        <v>Active</v>
      </c>
      <c r="E490" s="33">
        <v>44273.0</v>
      </c>
      <c r="F490" s="31"/>
      <c r="G490" s="32">
        <f t="shared" si="2"/>
        <v>54.9</v>
      </c>
      <c r="H490" s="33">
        <v>39966.0</v>
      </c>
      <c r="I490" s="32">
        <f t="shared" si="3"/>
        <v>11.79444444</v>
      </c>
      <c r="J490" s="34">
        <v>86.0</v>
      </c>
      <c r="K490" s="34">
        <v>68.5</v>
      </c>
      <c r="L490" s="35" t="s">
        <v>50</v>
      </c>
      <c r="M490" s="35"/>
      <c r="N490" s="35"/>
      <c r="O490" s="35" t="s">
        <v>125</v>
      </c>
      <c r="P490" s="36" t="s">
        <v>827</v>
      </c>
      <c r="Q490" s="35"/>
      <c r="R490" s="29" t="str">
        <f t="shared" si="4"/>
        <v>TBD</v>
      </c>
      <c r="S490" s="33"/>
      <c r="T490" s="32">
        <f t="shared" si="5"/>
        <v>54.9</v>
      </c>
    </row>
    <row r="491">
      <c r="A491" s="15" t="s">
        <v>828</v>
      </c>
      <c r="B491" s="16" t="s">
        <v>27</v>
      </c>
      <c r="C491" s="16" t="s">
        <v>28</v>
      </c>
      <c r="D491" s="17" t="str">
        <f t="shared" si="1"/>
        <v>Active</v>
      </c>
      <c r="E491" s="18">
        <v>44267.0</v>
      </c>
      <c r="F491" s="73"/>
      <c r="G491" s="20">
        <f t="shared" si="2"/>
        <v>55.1</v>
      </c>
      <c r="H491" s="18">
        <v>43337.0</v>
      </c>
      <c r="I491" s="20">
        <f t="shared" si="3"/>
        <v>2.547222222</v>
      </c>
      <c r="J491" s="53">
        <v>76.0</v>
      </c>
      <c r="K491" s="53">
        <v>12.5</v>
      </c>
      <c r="L491" s="23" t="s">
        <v>829</v>
      </c>
      <c r="M491" s="23" t="s">
        <v>451</v>
      </c>
      <c r="N491" s="23"/>
      <c r="O491" s="23" t="s">
        <v>34</v>
      </c>
      <c r="P491" s="54" t="s">
        <v>637</v>
      </c>
      <c r="Q491" s="23"/>
      <c r="R491" s="17" t="str">
        <f t="shared" si="4"/>
        <v>Active</v>
      </c>
      <c r="S491" s="18">
        <v>45547.0</v>
      </c>
      <c r="T491" s="20">
        <f t="shared" si="5"/>
        <v>42</v>
      </c>
    </row>
    <row r="492">
      <c r="A492" s="27" t="s">
        <v>830</v>
      </c>
      <c r="B492" s="28" t="s">
        <v>27</v>
      </c>
      <c r="C492" s="28" t="s">
        <v>28</v>
      </c>
      <c r="D492" s="29" t="str">
        <f t="shared" si="1"/>
        <v>Active</v>
      </c>
      <c r="E492" s="33">
        <v>44267.0</v>
      </c>
      <c r="F492" s="100"/>
      <c r="G492" s="32">
        <f t="shared" si="2"/>
        <v>55.1</v>
      </c>
      <c r="H492" s="33">
        <v>38202.0</v>
      </c>
      <c r="I492" s="32">
        <f t="shared" si="3"/>
        <v>16.60833333</v>
      </c>
      <c r="J492" s="34">
        <f>(87+89)/2</f>
        <v>88</v>
      </c>
      <c r="K492" s="34">
        <v>11.0</v>
      </c>
      <c r="L492" s="35" t="s">
        <v>184</v>
      </c>
      <c r="M492" s="35"/>
      <c r="N492" s="35"/>
      <c r="O492" s="35" t="s">
        <v>34</v>
      </c>
      <c r="P492" s="36" t="s">
        <v>619</v>
      </c>
      <c r="Q492" s="35"/>
      <c r="R492" s="29" t="str">
        <f t="shared" si="4"/>
        <v>Active</v>
      </c>
      <c r="S492" s="33">
        <v>45547.0</v>
      </c>
      <c r="T492" s="32">
        <f t="shared" si="5"/>
        <v>42</v>
      </c>
    </row>
    <row r="493">
      <c r="A493" s="15" t="s">
        <v>831</v>
      </c>
      <c r="B493" s="16" t="s">
        <v>27</v>
      </c>
      <c r="C493" s="16" t="s">
        <v>183</v>
      </c>
      <c r="D493" s="17" t="str">
        <f t="shared" si="1"/>
        <v>Active</v>
      </c>
      <c r="E493" s="18">
        <v>44267.0</v>
      </c>
      <c r="F493" s="73"/>
      <c r="G493" s="20">
        <f t="shared" si="2"/>
        <v>55.1</v>
      </c>
      <c r="H493" s="18">
        <v>35520.0</v>
      </c>
      <c r="I493" s="20">
        <f t="shared" si="3"/>
        <v>23.95</v>
      </c>
      <c r="J493" s="53">
        <v>77.0</v>
      </c>
      <c r="K493" s="53">
        <v>7.0</v>
      </c>
      <c r="L493" s="23" t="s">
        <v>184</v>
      </c>
      <c r="M493" s="23"/>
      <c r="N493" s="23"/>
      <c r="O493" s="23" t="s">
        <v>34</v>
      </c>
      <c r="P493" s="54" t="s">
        <v>832</v>
      </c>
      <c r="Q493" s="23"/>
      <c r="R493" s="17" t="str">
        <f t="shared" si="4"/>
        <v>Active</v>
      </c>
      <c r="S493" s="18">
        <v>45547.0</v>
      </c>
      <c r="T493" s="20">
        <f t="shared" si="5"/>
        <v>42</v>
      </c>
    </row>
    <row r="494">
      <c r="A494" s="27" t="s">
        <v>833</v>
      </c>
      <c r="B494" s="28" t="s">
        <v>27</v>
      </c>
      <c r="C494" s="28" t="s">
        <v>28</v>
      </c>
      <c r="D494" s="29" t="str">
        <f t="shared" si="1"/>
        <v>Active</v>
      </c>
      <c r="E494" s="33">
        <v>44531.0</v>
      </c>
      <c r="F494" s="100"/>
      <c r="G494" s="32">
        <f t="shared" si="2"/>
        <v>46.46666667</v>
      </c>
      <c r="H494" s="33">
        <v>43550.0</v>
      </c>
      <c r="I494" s="32">
        <f t="shared" si="3"/>
        <v>2.680555556</v>
      </c>
      <c r="J494" s="34">
        <f>(50+51)/2</f>
        <v>50.5</v>
      </c>
      <c r="K494" s="34">
        <v>21.5</v>
      </c>
      <c r="L494" s="35" t="s">
        <v>184</v>
      </c>
      <c r="M494" s="35"/>
      <c r="N494" s="35"/>
      <c r="O494" s="35" t="s">
        <v>125</v>
      </c>
      <c r="P494" s="36" t="s">
        <v>834</v>
      </c>
      <c r="Q494" s="35"/>
      <c r="R494" s="29" t="str">
        <f t="shared" si="4"/>
        <v>Active</v>
      </c>
      <c r="S494" s="33">
        <v>45547.0</v>
      </c>
      <c r="T494" s="32">
        <f t="shared" si="5"/>
        <v>33.36666667</v>
      </c>
    </row>
    <row r="495">
      <c r="A495" s="15" t="s">
        <v>835</v>
      </c>
      <c r="B495" s="16" t="s">
        <v>27</v>
      </c>
      <c r="C495" s="16" t="s">
        <v>28</v>
      </c>
      <c r="D495" s="17" t="str">
        <f t="shared" si="1"/>
        <v>Active</v>
      </c>
      <c r="E495" s="18">
        <v>44267.0</v>
      </c>
      <c r="F495" s="73"/>
      <c r="G495" s="20">
        <f t="shared" si="2"/>
        <v>55.1</v>
      </c>
      <c r="H495" s="18">
        <v>37377.0</v>
      </c>
      <c r="I495" s="20">
        <f t="shared" si="3"/>
        <v>18.86388889</v>
      </c>
      <c r="J495" s="53">
        <f>(87+89)/2</f>
        <v>88</v>
      </c>
      <c r="K495" s="53">
        <v>44.5</v>
      </c>
      <c r="L495" s="23" t="s">
        <v>29</v>
      </c>
      <c r="M495" s="23"/>
      <c r="N495" s="23" t="s">
        <v>771</v>
      </c>
      <c r="O495" s="23" t="s">
        <v>125</v>
      </c>
      <c r="P495" s="54" t="s">
        <v>475</v>
      </c>
      <c r="Q495" s="23" t="s">
        <v>756</v>
      </c>
      <c r="R495" s="17" t="str">
        <f t="shared" si="4"/>
        <v>Active</v>
      </c>
      <c r="S495" s="18">
        <v>45547.0</v>
      </c>
      <c r="T495" s="20">
        <f t="shared" si="5"/>
        <v>42</v>
      </c>
    </row>
    <row r="496">
      <c r="A496" s="27" t="s">
        <v>836</v>
      </c>
      <c r="B496" s="28" t="s">
        <v>27</v>
      </c>
      <c r="C496" s="28" t="s">
        <v>28</v>
      </c>
      <c r="D496" s="29" t="str">
        <f t="shared" si="1"/>
        <v>Active</v>
      </c>
      <c r="E496" s="33">
        <v>44267.0</v>
      </c>
      <c r="F496" s="100"/>
      <c r="G496" s="32">
        <f t="shared" si="2"/>
        <v>55.1</v>
      </c>
      <c r="H496" s="33">
        <v>41926.0</v>
      </c>
      <c r="I496" s="32">
        <f t="shared" si="3"/>
        <v>6.411111111</v>
      </c>
      <c r="J496" s="34">
        <f>(68+79)/2</f>
        <v>73.5</v>
      </c>
      <c r="K496" s="34">
        <v>16.0</v>
      </c>
      <c r="L496" s="35" t="s">
        <v>32</v>
      </c>
      <c r="M496" s="35"/>
      <c r="N496" s="35"/>
      <c r="O496" s="35" t="s">
        <v>34</v>
      </c>
      <c r="P496" s="36" t="s">
        <v>709</v>
      </c>
      <c r="Q496" s="35"/>
      <c r="R496" s="29" t="str">
        <f t="shared" si="4"/>
        <v>Active</v>
      </c>
      <c r="S496" s="33">
        <v>45547.0</v>
      </c>
      <c r="T496" s="32">
        <f t="shared" si="5"/>
        <v>42</v>
      </c>
    </row>
    <row r="497">
      <c r="A497" s="15" t="s">
        <v>837</v>
      </c>
      <c r="B497" s="16" t="s">
        <v>27</v>
      </c>
      <c r="C497" s="16" t="s">
        <v>28</v>
      </c>
      <c r="D497" s="17" t="str">
        <f t="shared" si="1"/>
        <v>Active</v>
      </c>
      <c r="E497" s="18">
        <v>44267.0</v>
      </c>
      <c r="F497" s="73"/>
      <c r="G497" s="20">
        <f t="shared" si="2"/>
        <v>55.1</v>
      </c>
      <c r="H497" s="18">
        <v>42129.0</v>
      </c>
      <c r="I497" s="20">
        <f t="shared" si="3"/>
        <v>5.852777778</v>
      </c>
      <c r="J497" s="53">
        <f>(75+76)/2</f>
        <v>75.5</v>
      </c>
      <c r="K497" s="53">
        <v>6.0</v>
      </c>
      <c r="L497" s="23" t="s">
        <v>184</v>
      </c>
      <c r="M497" s="23"/>
      <c r="N497" s="23"/>
      <c r="O497" s="23" t="s">
        <v>34</v>
      </c>
      <c r="P497" s="54" t="s">
        <v>35</v>
      </c>
      <c r="Q497" s="23"/>
      <c r="R497" s="17" t="str">
        <f t="shared" si="4"/>
        <v>Active</v>
      </c>
      <c r="S497" s="18">
        <v>45547.0</v>
      </c>
      <c r="T497" s="20">
        <f t="shared" si="5"/>
        <v>42</v>
      </c>
    </row>
    <row r="498">
      <c r="A498" s="27" t="s">
        <v>838</v>
      </c>
      <c r="B498" s="28" t="s">
        <v>27</v>
      </c>
      <c r="C498" s="28" t="s">
        <v>121</v>
      </c>
      <c r="D498" s="29" t="str">
        <f t="shared" si="1"/>
        <v>Active</v>
      </c>
      <c r="E498" s="33">
        <v>44252.0</v>
      </c>
      <c r="F498" s="100"/>
      <c r="G498" s="32">
        <f t="shared" si="2"/>
        <v>55.66666667</v>
      </c>
      <c r="H498" s="33">
        <v>44120.0</v>
      </c>
      <c r="I498" s="32">
        <f t="shared" si="3"/>
        <v>0.3583333333</v>
      </c>
      <c r="J498" s="34">
        <f>(74+81+83)/3</f>
        <v>79.33333333</v>
      </c>
      <c r="K498" s="34">
        <v>8.0</v>
      </c>
      <c r="L498" s="35" t="s">
        <v>500</v>
      </c>
      <c r="M498" s="35" t="s">
        <v>123</v>
      </c>
      <c r="N498" s="35" t="s">
        <v>839</v>
      </c>
      <c r="O498" s="35" t="s">
        <v>132</v>
      </c>
      <c r="P498" s="36"/>
      <c r="Q498" s="35"/>
      <c r="R498" s="29" t="str">
        <f t="shared" si="4"/>
        <v>Active</v>
      </c>
      <c r="S498" s="33">
        <v>45547.0</v>
      </c>
      <c r="T498" s="32">
        <f t="shared" si="5"/>
        <v>42.56666667</v>
      </c>
    </row>
    <row r="499">
      <c r="A499" s="15" t="s">
        <v>840</v>
      </c>
      <c r="B499" s="16" t="s">
        <v>27</v>
      </c>
      <c r="C499" s="16" t="s">
        <v>121</v>
      </c>
      <c r="D499" s="17" t="str">
        <f t="shared" si="1"/>
        <v>Active</v>
      </c>
      <c r="E499" s="18">
        <v>44245.0</v>
      </c>
      <c r="F499" s="73"/>
      <c r="G499" s="20">
        <f t="shared" si="2"/>
        <v>55.9</v>
      </c>
      <c r="H499" s="18">
        <v>43228.0</v>
      </c>
      <c r="I499" s="20">
        <f t="shared" si="3"/>
        <v>2.777777778</v>
      </c>
      <c r="J499" s="53">
        <v>88.0</v>
      </c>
      <c r="K499" s="53">
        <v>42.0</v>
      </c>
      <c r="L499" s="23" t="s">
        <v>29</v>
      </c>
      <c r="M499" s="23"/>
      <c r="N499" s="23" t="s">
        <v>771</v>
      </c>
      <c r="O499" s="23" t="s">
        <v>34</v>
      </c>
      <c r="P499" s="54" t="s">
        <v>841</v>
      </c>
      <c r="Q499" s="23"/>
      <c r="R499" s="17" t="str">
        <f t="shared" si="4"/>
        <v>Active</v>
      </c>
      <c r="S499" s="18">
        <v>45547.0</v>
      </c>
      <c r="T499" s="20">
        <f t="shared" si="5"/>
        <v>42.8</v>
      </c>
    </row>
    <row r="500">
      <c r="A500" s="27" t="s">
        <v>842</v>
      </c>
      <c r="B500" s="28" t="s">
        <v>27</v>
      </c>
      <c r="C500" s="28" t="s">
        <v>121</v>
      </c>
      <c r="D500" s="29" t="str">
        <f t="shared" si="1"/>
        <v>Active</v>
      </c>
      <c r="E500" s="33">
        <v>44245.0</v>
      </c>
      <c r="F500" s="100"/>
      <c r="G500" s="32">
        <f t="shared" si="2"/>
        <v>55.9</v>
      </c>
      <c r="H500" s="33">
        <v>43265.0</v>
      </c>
      <c r="I500" s="32">
        <f t="shared" si="3"/>
        <v>2.677777778</v>
      </c>
      <c r="J500" s="34">
        <f>(81+83)/2</f>
        <v>82</v>
      </c>
      <c r="K500" s="34">
        <v>19.5</v>
      </c>
      <c r="L500" s="35" t="s">
        <v>500</v>
      </c>
      <c r="M500" s="35"/>
      <c r="N500" s="72" t="s">
        <v>843</v>
      </c>
      <c r="O500" s="35" t="s">
        <v>125</v>
      </c>
      <c r="P500" s="36" t="s">
        <v>764</v>
      </c>
      <c r="Q500" s="35"/>
      <c r="R500" s="29" t="str">
        <f t="shared" si="4"/>
        <v>Active</v>
      </c>
      <c r="S500" s="33">
        <v>45547.0</v>
      </c>
      <c r="T500" s="32">
        <f t="shared" si="5"/>
        <v>42.8</v>
      </c>
    </row>
    <row r="501">
      <c r="A501" s="15" t="s">
        <v>844</v>
      </c>
      <c r="B501" s="16" t="s">
        <v>27</v>
      </c>
      <c r="C501" s="16" t="s">
        <v>28</v>
      </c>
      <c r="D501" s="17" t="str">
        <f t="shared" si="1"/>
        <v>Active</v>
      </c>
      <c r="E501" s="18">
        <v>44203.0</v>
      </c>
      <c r="F501" s="73"/>
      <c r="G501" s="20">
        <f t="shared" si="2"/>
        <v>57.26666667</v>
      </c>
      <c r="H501" s="18">
        <v>42871.0</v>
      </c>
      <c r="I501" s="20">
        <f t="shared" si="3"/>
        <v>3.641666667</v>
      </c>
      <c r="J501" s="53">
        <f>(86+89)/2</f>
        <v>87.5</v>
      </c>
      <c r="K501" s="53">
        <v>5.5</v>
      </c>
      <c r="L501" s="23" t="s">
        <v>303</v>
      </c>
      <c r="M501" s="23"/>
      <c r="N501" s="23"/>
      <c r="O501" s="23" t="s">
        <v>125</v>
      </c>
      <c r="P501" s="54" t="s">
        <v>845</v>
      </c>
      <c r="Q501" s="23"/>
      <c r="R501" s="17" t="str">
        <f t="shared" si="4"/>
        <v>Active</v>
      </c>
      <c r="S501" s="18">
        <v>45547.0</v>
      </c>
      <c r="T501" s="20">
        <f t="shared" si="5"/>
        <v>44.16666667</v>
      </c>
    </row>
    <row r="502">
      <c r="A502" s="27" t="s">
        <v>846</v>
      </c>
      <c r="B502" s="28" t="s">
        <v>27</v>
      </c>
      <c r="C502" s="28" t="s">
        <v>121</v>
      </c>
      <c r="D502" s="29" t="str">
        <f t="shared" si="1"/>
        <v>Active</v>
      </c>
      <c r="E502" s="33">
        <v>44182.0</v>
      </c>
      <c r="F502" s="100"/>
      <c r="G502" s="32">
        <f t="shared" si="2"/>
        <v>57.93333333</v>
      </c>
      <c r="H502" s="33">
        <v>43267.0</v>
      </c>
      <c r="I502" s="32">
        <f t="shared" si="3"/>
        <v>2.502777778</v>
      </c>
      <c r="J502" s="34">
        <v>85.0</v>
      </c>
      <c r="K502" s="34">
        <v>14.0</v>
      </c>
      <c r="L502" s="35" t="s">
        <v>119</v>
      </c>
      <c r="M502" s="35"/>
      <c r="N502" s="35" t="s">
        <v>847</v>
      </c>
      <c r="O502" s="35" t="s">
        <v>334</v>
      </c>
      <c r="P502" s="36" t="s">
        <v>586</v>
      </c>
      <c r="Q502" s="35"/>
      <c r="R502" s="29" t="str">
        <f t="shared" si="4"/>
        <v>Active</v>
      </c>
      <c r="S502" s="33">
        <v>45547.0</v>
      </c>
      <c r="T502" s="32">
        <f t="shared" si="5"/>
        <v>44.83333333</v>
      </c>
    </row>
    <row r="503">
      <c r="A503" s="15" t="s">
        <v>848</v>
      </c>
      <c r="B503" s="16" t="s">
        <v>27</v>
      </c>
      <c r="C503" s="16" t="s">
        <v>28</v>
      </c>
      <c r="D503" s="17" t="str">
        <f t="shared" si="1"/>
        <v>Active</v>
      </c>
      <c r="E503" s="18">
        <v>44180.0</v>
      </c>
      <c r="F503" s="73"/>
      <c r="G503" s="20">
        <f t="shared" si="2"/>
        <v>58</v>
      </c>
      <c r="H503" s="18">
        <v>42671.0</v>
      </c>
      <c r="I503" s="20">
        <f t="shared" si="3"/>
        <v>4.130555556</v>
      </c>
      <c r="J503" s="53">
        <v>82.0</v>
      </c>
      <c r="K503" s="53">
        <v>25.5</v>
      </c>
      <c r="L503" s="23" t="s">
        <v>29</v>
      </c>
      <c r="M503" s="23" t="s">
        <v>451</v>
      </c>
      <c r="N503" s="23" t="s">
        <v>771</v>
      </c>
      <c r="O503" s="23" t="s">
        <v>34</v>
      </c>
      <c r="P503" s="54" t="s">
        <v>849</v>
      </c>
      <c r="Q503" s="23"/>
      <c r="R503" s="17" t="str">
        <f t="shared" si="4"/>
        <v>Active</v>
      </c>
      <c r="S503" s="18">
        <v>45547.0</v>
      </c>
      <c r="T503" s="20">
        <f t="shared" si="5"/>
        <v>44.9</v>
      </c>
    </row>
    <row r="504">
      <c r="A504" s="27" t="s">
        <v>850</v>
      </c>
      <c r="B504" s="28" t="s">
        <v>27</v>
      </c>
      <c r="C504" s="28" t="s">
        <v>121</v>
      </c>
      <c r="D504" s="29" t="str">
        <f t="shared" si="1"/>
        <v>Active</v>
      </c>
      <c r="E504" s="33">
        <v>44173.0</v>
      </c>
      <c r="F504" s="100"/>
      <c r="G504" s="32">
        <f t="shared" si="2"/>
        <v>58.23333333</v>
      </c>
      <c r="H504" s="33">
        <v>43705.0</v>
      </c>
      <c r="I504" s="32">
        <f t="shared" si="3"/>
        <v>1.277777778</v>
      </c>
      <c r="J504" s="34">
        <v>82.0</v>
      </c>
      <c r="K504" s="34">
        <v>27.0</v>
      </c>
      <c r="L504" s="35" t="s">
        <v>557</v>
      </c>
      <c r="M504" s="35"/>
      <c r="N504" s="72" t="s">
        <v>692</v>
      </c>
      <c r="O504" s="35" t="s">
        <v>334</v>
      </c>
      <c r="P504" s="36" t="s">
        <v>851</v>
      </c>
      <c r="Q504" s="35"/>
      <c r="R504" s="29" t="str">
        <f t="shared" si="4"/>
        <v>Active</v>
      </c>
      <c r="S504" s="33">
        <v>45547.0</v>
      </c>
      <c r="T504" s="32">
        <f t="shared" si="5"/>
        <v>45.13333333</v>
      </c>
    </row>
    <row r="505">
      <c r="A505" s="15" t="s">
        <v>852</v>
      </c>
      <c r="B505" s="16" t="s">
        <v>27</v>
      </c>
      <c r="C505" s="16" t="s">
        <v>28</v>
      </c>
      <c r="D505" s="17" t="str">
        <f t="shared" si="1"/>
        <v>Active</v>
      </c>
      <c r="E505" s="18">
        <v>44173.0</v>
      </c>
      <c r="F505" s="73"/>
      <c r="G505" s="20">
        <f t="shared" si="2"/>
        <v>58.23333333</v>
      </c>
      <c r="H505" s="18">
        <v>42573.0</v>
      </c>
      <c r="I505" s="20">
        <f t="shared" si="3"/>
        <v>4.377777778</v>
      </c>
      <c r="J505" s="53">
        <v>81.0</v>
      </c>
      <c r="K505" s="53">
        <v>21.5</v>
      </c>
      <c r="L505" s="23" t="s">
        <v>721</v>
      </c>
      <c r="M505" s="23"/>
      <c r="N505" s="23" t="s">
        <v>853</v>
      </c>
      <c r="O505" s="23" t="s">
        <v>334</v>
      </c>
      <c r="P505" s="54" t="s">
        <v>854</v>
      </c>
      <c r="Q505" s="23"/>
      <c r="R505" s="17" t="str">
        <f t="shared" si="4"/>
        <v>TBD</v>
      </c>
      <c r="S505" s="18"/>
      <c r="T505" s="20">
        <f t="shared" si="5"/>
        <v>58.23333333</v>
      </c>
    </row>
    <row r="506">
      <c r="A506" s="27" t="s">
        <v>855</v>
      </c>
      <c r="B506" s="28" t="s">
        <v>68</v>
      </c>
      <c r="C506" s="28"/>
      <c r="D506" s="29" t="str">
        <f t="shared" si="1"/>
        <v>Active</v>
      </c>
      <c r="E506" s="33">
        <v>44168.0</v>
      </c>
      <c r="F506" s="100"/>
      <c r="G506" s="32">
        <f t="shared" si="2"/>
        <v>58.4</v>
      </c>
      <c r="H506" s="33">
        <v>44134.0</v>
      </c>
      <c r="I506" s="32">
        <f t="shared" si="3"/>
        <v>0.09166666667</v>
      </c>
      <c r="J506" s="101">
        <f>10*10</f>
        <v>100</v>
      </c>
      <c r="K506" s="34">
        <v>14.5</v>
      </c>
      <c r="L506" s="35" t="s">
        <v>856</v>
      </c>
      <c r="M506" s="35"/>
      <c r="N506" s="35"/>
      <c r="O506" s="35" t="s">
        <v>132</v>
      </c>
      <c r="P506" s="36"/>
      <c r="Q506" s="35"/>
      <c r="R506" s="29" t="str">
        <f t="shared" si="4"/>
        <v>Active</v>
      </c>
      <c r="S506" s="33">
        <v>45547.0</v>
      </c>
      <c r="T506" s="32">
        <f t="shared" si="5"/>
        <v>45.3</v>
      </c>
    </row>
    <row r="507">
      <c r="A507" s="15" t="s">
        <v>857</v>
      </c>
      <c r="B507" s="16" t="s">
        <v>27</v>
      </c>
      <c r="C507" s="16"/>
      <c r="D507" s="17" t="str">
        <f t="shared" si="1"/>
        <v>Active</v>
      </c>
      <c r="E507" s="18">
        <v>44152.0</v>
      </c>
      <c r="F507" s="73"/>
      <c r="G507" s="20">
        <f t="shared" si="2"/>
        <v>58.93333333</v>
      </c>
      <c r="H507" s="18">
        <v>41218.0</v>
      </c>
      <c r="I507" s="20">
        <f t="shared" si="3"/>
        <v>8.033333333</v>
      </c>
      <c r="J507" s="53">
        <v>87.0</v>
      </c>
      <c r="K507" s="53">
        <v>8.0</v>
      </c>
      <c r="L507" s="23" t="s">
        <v>299</v>
      </c>
      <c r="M507" s="23"/>
      <c r="N507" s="23"/>
      <c r="O507" s="23" t="s">
        <v>34</v>
      </c>
      <c r="P507" s="54" t="s">
        <v>858</v>
      </c>
      <c r="Q507" s="23"/>
      <c r="R507" s="17" t="str">
        <f t="shared" si="4"/>
        <v>Active</v>
      </c>
      <c r="S507" s="18">
        <v>45547.0</v>
      </c>
      <c r="T507" s="20">
        <f t="shared" si="5"/>
        <v>45.83333333</v>
      </c>
    </row>
    <row r="508">
      <c r="A508" s="27" t="s">
        <v>859</v>
      </c>
      <c r="B508" s="28" t="s">
        <v>27</v>
      </c>
      <c r="C508" s="28"/>
      <c r="D508" s="29" t="str">
        <f t="shared" si="1"/>
        <v>Active</v>
      </c>
      <c r="E508" s="33">
        <v>44145.0</v>
      </c>
      <c r="F508" s="100"/>
      <c r="G508" s="32">
        <f t="shared" si="2"/>
        <v>59.16666667</v>
      </c>
      <c r="H508" s="33">
        <v>43182.0</v>
      </c>
      <c r="I508" s="32">
        <f t="shared" si="3"/>
        <v>2.630555556</v>
      </c>
      <c r="J508" s="34">
        <v>79.0</v>
      </c>
      <c r="K508" s="34">
        <v>6.0</v>
      </c>
      <c r="L508" s="35" t="s">
        <v>444</v>
      </c>
      <c r="M508" s="35"/>
      <c r="N508" s="35"/>
      <c r="O508" s="35" t="s">
        <v>34</v>
      </c>
      <c r="P508" s="36" t="s">
        <v>860</v>
      </c>
      <c r="Q508" s="35"/>
      <c r="R508" s="29" t="str">
        <f t="shared" si="4"/>
        <v>Active</v>
      </c>
      <c r="S508" s="33">
        <v>45547.0</v>
      </c>
      <c r="T508" s="32">
        <f t="shared" si="5"/>
        <v>46.06666667</v>
      </c>
    </row>
    <row r="509">
      <c r="A509" s="15" t="s">
        <v>861</v>
      </c>
      <c r="B509" s="16" t="s">
        <v>27</v>
      </c>
      <c r="C509" s="16"/>
      <c r="D509" s="17" t="str">
        <f t="shared" si="1"/>
        <v>Active</v>
      </c>
      <c r="E509" s="18">
        <v>44145.0</v>
      </c>
      <c r="F509" s="73"/>
      <c r="G509" s="20">
        <f t="shared" si="2"/>
        <v>59.16666667</v>
      </c>
      <c r="H509" s="18">
        <v>40708.0</v>
      </c>
      <c r="I509" s="20">
        <f t="shared" si="3"/>
        <v>9.405555556</v>
      </c>
      <c r="J509" s="53">
        <v>70.0</v>
      </c>
      <c r="K509" s="53">
        <v>14.0</v>
      </c>
      <c r="L509" s="23" t="s">
        <v>721</v>
      </c>
      <c r="M509" s="23"/>
      <c r="N509" s="23" t="s">
        <v>862</v>
      </c>
      <c r="O509" s="23" t="s">
        <v>34</v>
      </c>
      <c r="P509" s="54" t="s">
        <v>624</v>
      </c>
      <c r="Q509" s="23" t="s">
        <v>863</v>
      </c>
      <c r="R509" s="17" t="str">
        <f t="shared" si="4"/>
        <v>Active</v>
      </c>
      <c r="S509" s="18">
        <v>45547.0</v>
      </c>
      <c r="T509" s="20">
        <f t="shared" si="5"/>
        <v>46.06666667</v>
      </c>
    </row>
    <row r="510">
      <c r="A510" s="27" t="s">
        <v>864</v>
      </c>
      <c r="B510" s="28" t="s">
        <v>68</v>
      </c>
      <c r="C510" s="28"/>
      <c r="D510" s="29" t="str">
        <f t="shared" si="1"/>
        <v>Active</v>
      </c>
      <c r="E510" s="33">
        <v>44145.0</v>
      </c>
      <c r="F510" s="100"/>
      <c r="G510" s="32">
        <f t="shared" si="2"/>
        <v>59.16666667</v>
      </c>
      <c r="H510" s="33">
        <v>39511.0</v>
      </c>
      <c r="I510" s="32">
        <f t="shared" si="3"/>
        <v>12.68333333</v>
      </c>
      <c r="J510" s="34">
        <v>72.0</v>
      </c>
      <c r="K510" s="34">
        <v>6.5</v>
      </c>
      <c r="L510" s="35" t="s">
        <v>675</v>
      </c>
      <c r="M510" s="35"/>
      <c r="N510" s="35"/>
      <c r="O510" s="35" t="s">
        <v>34</v>
      </c>
      <c r="P510" s="36" t="s">
        <v>865</v>
      </c>
      <c r="Q510" s="35" t="s">
        <v>863</v>
      </c>
      <c r="R510" s="29" t="str">
        <f t="shared" si="4"/>
        <v>Active</v>
      </c>
      <c r="S510" s="33">
        <v>45547.0</v>
      </c>
      <c r="T510" s="32">
        <f t="shared" si="5"/>
        <v>46.06666667</v>
      </c>
    </row>
    <row r="511">
      <c r="A511" s="15" t="s">
        <v>866</v>
      </c>
      <c r="B511" s="16" t="s">
        <v>27</v>
      </c>
      <c r="C511" s="16" t="s">
        <v>28</v>
      </c>
      <c r="D511" s="17" t="str">
        <f t="shared" si="1"/>
        <v>Active</v>
      </c>
      <c r="E511" s="18">
        <v>44145.0</v>
      </c>
      <c r="F511" s="73"/>
      <c r="G511" s="20">
        <f t="shared" si="2"/>
        <v>59.16666667</v>
      </c>
      <c r="H511" s="18">
        <v>42664.0</v>
      </c>
      <c r="I511" s="20">
        <f t="shared" si="3"/>
        <v>4.052777778</v>
      </c>
      <c r="J511" s="53">
        <v>87.0</v>
      </c>
      <c r="K511" s="53">
        <v>6.5</v>
      </c>
      <c r="L511" s="23" t="s">
        <v>184</v>
      </c>
      <c r="M511" s="23" t="s">
        <v>867</v>
      </c>
      <c r="N511" s="23"/>
      <c r="O511" s="23" t="s">
        <v>34</v>
      </c>
      <c r="P511" s="54" t="s">
        <v>446</v>
      </c>
      <c r="Q511" s="23" t="s">
        <v>868</v>
      </c>
      <c r="R511" s="17" t="str">
        <f t="shared" si="4"/>
        <v>Active</v>
      </c>
      <c r="S511" s="18">
        <v>45547.0</v>
      </c>
      <c r="T511" s="20">
        <f t="shared" si="5"/>
        <v>46.06666667</v>
      </c>
    </row>
    <row r="512">
      <c r="A512" s="27" t="s">
        <v>869</v>
      </c>
      <c r="B512" s="28" t="s">
        <v>27</v>
      </c>
      <c r="C512" s="28"/>
      <c r="D512" s="29" t="str">
        <f t="shared" si="1"/>
        <v>Active</v>
      </c>
      <c r="E512" s="33">
        <v>44145.0</v>
      </c>
      <c r="F512" s="100"/>
      <c r="G512" s="32">
        <f t="shared" si="2"/>
        <v>59.16666667</v>
      </c>
      <c r="H512" s="33">
        <v>40841.0</v>
      </c>
      <c r="I512" s="32">
        <f t="shared" si="3"/>
        <v>9.041666667</v>
      </c>
      <c r="J512" s="34">
        <v>84.0</v>
      </c>
      <c r="K512" s="34">
        <v>6.0</v>
      </c>
      <c r="L512" s="35" t="s">
        <v>870</v>
      </c>
      <c r="M512" s="35"/>
      <c r="N512" s="35" t="s">
        <v>871</v>
      </c>
      <c r="O512" s="35" t="s">
        <v>34</v>
      </c>
      <c r="P512" s="36" t="s">
        <v>865</v>
      </c>
      <c r="Q512" s="35" t="s">
        <v>863</v>
      </c>
      <c r="R512" s="29" t="str">
        <f t="shared" si="4"/>
        <v>Active</v>
      </c>
      <c r="S512" s="33">
        <v>45547.0</v>
      </c>
      <c r="T512" s="32">
        <f t="shared" si="5"/>
        <v>46.06666667</v>
      </c>
    </row>
    <row r="513">
      <c r="A513" s="15" t="s">
        <v>872</v>
      </c>
      <c r="B513" s="16" t="s">
        <v>27</v>
      </c>
      <c r="C513" s="16" t="s">
        <v>28</v>
      </c>
      <c r="D513" s="17" t="str">
        <f t="shared" si="1"/>
        <v>Active</v>
      </c>
      <c r="E513" s="18">
        <v>44145.0</v>
      </c>
      <c r="F513" s="73"/>
      <c r="G513" s="20">
        <f t="shared" si="2"/>
        <v>59.16666667</v>
      </c>
      <c r="H513" s="18">
        <v>41576.0</v>
      </c>
      <c r="I513" s="20">
        <f t="shared" si="3"/>
        <v>7.030555556</v>
      </c>
      <c r="J513" s="53">
        <v>81.0</v>
      </c>
      <c r="K513" s="53">
        <v>6.0</v>
      </c>
      <c r="L513" s="23" t="s">
        <v>184</v>
      </c>
      <c r="M513" s="23" t="s">
        <v>451</v>
      </c>
      <c r="N513" s="23" t="s">
        <v>871</v>
      </c>
      <c r="O513" s="23" t="s">
        <v>34</v>
      </c>
      <c r="P513" s="54" t="s">
        <v>709</v>
      </c>
      <c r="Q513" s="23"/>
      <c r="R513" s="17" t="str">
        <f t="shared" si="4"/>
        <v>Active</v>
      </c>
      <c r="S513" s="18">
        <v>45547.0</v>
      </c>
      <c r="T513" s="20">
        <f t="shared" si="5"/>
        <v>46.06666667</v>
      </c>
    </row>
    <row r="514">
      <c r="A514" s="27" t="s">
        <v>873</v>
      </c>
      <c r="B514" s="28" t="s">
        <v>27</v>
      </c>
      <c r="C514" s="28" t="s">
        <v>28</v>
      </c>
      <c r="D514" s="29" t="str">
        <f t="shared" si="1"/>
        <v>Active</v>
      </c>
      <c r="E514" s="33">
        <v>44145.0</v>
      </c>
      <c r="F514" s="100"/>
      <c r="G514" s="32">
        <f t="shared" si="2"/>
        <v>59.16666667</v>
      </c>
      <c r="H514" s="33">
        <v>43419.0</v>
      </c>
      <c r="I514" s="32">
        <f t="shared" si="3"/>
        <v>1.986111111</v>
      </c>
      <c r="J514" s="34">
        <v>78.0</v>
      </c>
      <c r="K514" s="34">
        <v>6.0</v>
      </c>
      <c r="L514" s="35" t="s">
        <v>299</v>
      </c>
      <c r="M514" s="35" t="s">
        <v>867</v>
      </c>
      <c r="N514" s="35" t="s">
        <v>871</v>
      </c>
      <c r="O514" s="35" t="s">
        <v>34</v>
      </c>
      <c r="P514" s="36" t="s">
        <v>446</v>
      </c>
      <c r="Q514" s="35" t="s">
        <v>868</v>
      </c>
      <c r="R514" s="29" t="str">
        <f t="shared" si="4"/>
        <v>Active</v>
      </c>
      <c r="S514" s="33">
        <v>45547.0</v>
      </c>
      <c r="T514" s="32">
        <f t="shared" si="5"/>
        <v>46.06666667</v>
      </c>
    </row>
    <row r="515">
      <c r="A515" s="15" t="s">
        <v>874</v>
      </c>
      <c r="B515" s="16" t="s">
        <v>27</v>
      </c>
      <c r="C515" s="16"/>
      <c r="D515" s="17" t="str">
        <f t="shared" si="1"/>
        <v>Active</v>
      </c>
      <c r="E515" s="18">
        <v>44145.0</v>
      </c>
      <c r="F515" s="73"/>
      <c r="G515" s="20">
        <f t="shared" si="2"/>
        <v>59.16666667</v>
      </c>
      <c r="H515" s="18">
        <v>42080.0</v>
      </c>
      <c r="I515" s="20">
        <f t="shared" si="3"/>
        <v>5.647222222</v>
      </c>
      <c r="J515" s="53">
        <v>71.0</v>
      </c>
      <c r="K515" s="53">
        <v>7.5</v>
      </c>
      <c r="L515" s="23" t="s">
        <v>184</v>
      </c>
      <c r="M515" s="23" t="s">
        <v>451</v>
      </c>
      <c r="N515" s="23" t="s">
        <v>871</v>
      </c>
      <c r="O515" s="23" t="s">
        <v>34</v>
      </c>
      <c r="P515" s="54" t="s">
        <v>875</v>
      </c>
      <c r="Q515" s="23"/>
      <c r="R515" s="17" t="str">
        <f t="shared" si="4"/>
        <v>Active</v>
      </c>
      <c r="S515" s="18">
        <v>45547.0</v>
      </c>
      <c r="T515" s="20">
        <f t="shared" si="5"/>
        <v>46.06666667</v>
      </c>
    </row>
    <row r="516">
      <c r="A516" s="27" t="s">
        <v>876</v>
      </c>
      <c r="B516" s="28" t="s">
        <v>68</v>
      </c>
      <c r="C516" s="28"/>
      <c r="D516" s="29" t="str">
        <f t="shared" si="1"/>
        <v>Active</v>
      </c>
      <c r="E516" s="33">
        <v>44145.0</v>
      </c>
      <c r="F516" s="100"/>
      <c r="G516" s="32">
        <f t="shared" si="2"/>
        <v>59.16666667</v>
      </c>
      <c r="H516" s="33">
        <v>38296.0</v>
      </c>
      <c r="I516" s="32">
        <f t="shared" si="3"/>
        <v>16.01388889</v>
      </c>
      <c r="J516" s="34">
        <v>69.0</v>
      </c>
      <c r="K516" s="34">
        <v>1.5</v>
      </c>
      <c r="L516" s="35" t="s">
        <v>731</v>
      </c>
      <c r="M516" s="35"/>
      <c r="N516" s="35"/>
      <c r="O516" s="35" t="s">
        <v>132</v>
      </c>
      <c r="P516" s="36"/>
      <c r="Q516" s="35" t="s">
        <v>863</v>
      </c>
      <c r="R516" s="29" t="str">
        <f t="shared" si="4"/>
        <v>Active</v>
      </c>
      <c r="S516" s="33">
        <v>45547.0</v>
      </c>
      <c r="T516" s="32">
        <f t="shared" si="5"/>
        <v>46.06666667</v>
      </c>
    </row>
    <row r="517">
      <c r="A517" s="15" t="s">
        <v>877</v>
      </c>
      <c r="B517" s="16" t="s">
        <v>68</v>
      </c>
      <c r="C517" s="16"/>
      <c r="D517" s="17" t="str">
        <f t="shared" si="1"/>
        <v>Active</v>
      </c>
      <c r="E517" s="18">
        <v>44145.0</v>
      </c>
      <c r="F517" s="73"/>
      <c r="G517" s="20">
        <f t="shared" si="2"/>
        <v>59.16666667</v>
      </c>
      <c r="H517" s="18">
        <v>40519.0</v>
      </c>
      <c r="I517" s="20">
        <f t="shared" si="3"/>
        <v>9.925</v>
      </c>
      <c r="J517" s="53">
        <v>78.0</v>
      </c>
      <c r="K517" s="53">
        <v>4.5</v>
      </c>
      <c r="L517" s="23" t="s">
        <v>878</v>
      </c>
      <c r="M517" s="23"/>
      <c r="N517" s="23"/>
      <c r="O517" s="23" t="s">
        <v>132</v>
      </c>
      <c r="P517" s="54"/>
      <c r="Q517" s="23" t="s">
        <v>863</v>
      </c>
      <c r="R517" s="17" t="str">
        <f t="shared" si="4"/>
        <v>Active</v>
      </c>
      <c r="S517" s="18">
        <v>45547.0</v>
      </c>
      <c r="T517" s="20">
        <f t="shared" si="5"/>
        <v>46.06666667</v>
      </c>
    </row>
    <row r="518">
      <c r="A518" s="27" t="s">
        <v>879</v>
      </c>
      <c r="B518" s="28" t="s">
        <v>68</v>
      </c>
      <c r="C518" s="28"/>
      <c r="D518" s="29" t="str">
        <f t="shared" si="1"/>
        <v>Active</v>
      </c>
      <c r="E518" s="33">
        <v>44145.0</v>
      </c>
      <c r="F518" s="100"/>
      <c r="G518" s="32">
        <f t="shared" si="2"/>
        <v>59.16666667</v>
      </c>
      <c r="H518" s="33">
        <v>38776.0</v>
      </c>
      <c r="I518" s="32">
        <f t="shared" si="3"/>
        <v>14.7</v>
      </c>
      <c r="J518" s="34">
        <v>77.0</v>
      </c>
      <c r="K518" s="34">
        <v>6.0</v>
      </c>
      <c r="L518" s="35" t="s">
        <v>184</v>
      </c>
      <c r="M518" s="35"/>
      <c r="N518" s="35"/>
      <c r="O518" s="35" t="s">
        <v>34</v>
      </c>
      <c r="P518" s="36" t="s">
        <v>880</v>
      </c>
      <c r="Q518" s="35" t="s">
        <v>756</v>
      </c>
      <c r="R518" s="29" t="str">
        <f t="shared" si="4"/>
        <v>Active</v>
      </c>
      <c r="S518" s="33">
        <v>45547.0</v>
      </c>
      <c r="T518" s="32">
        <f t="shared" si="5"/>
        <v>46.06666667</v>
      </c>
    </row>
    <row r="519">
      <c r="A519" s="15" t="s">
        <v>881</v>
      </c>
      <c r="B519" s="16" t="s">
        <v>27</v>
      </c>
      <c r="C519" s="16"/>
      <c r="D519" s="17" t="str">
        <f t="shared" si="1"/>
        <v>Active</v>
      </c>
      <c r="E519" s="18">
        <v>44145.0</v>
      </c>
      <c r="F519" s="73"/>
      <c r="G519" s="20">
        <f t="shared" si="2"/>
        <v>59.16666667</v>
      </c>
      <c r="H519" s="18">
        <v>39469.0</v>
      </c>
      <c r="I519" s="20">
        <f t="shared" si="3"/>
        <v>12.8</v>
      </c>
      <c r="J519" s="53">
        <v>79.0</v>
      </c>
      <c r="K519" s="53">
        <v>10.5</v>
      </c>
      <c r="L519" s="23" t="s">
        <v>500</v>
      </c>
      <c r="M519" s="23"/>
      <c r="N519" s="23"/>
      <c r="O519" s="23" t="s">
        <v>334</v>
      </c>
      <c r="P519" s="54" t="s">
        <v>882</v>
      </c>
      <c r="Q519" s="23" t="s">
        <v>863</v>
      </c>
      <c r="R519" s="17" t="str">
        <f t="shared" si="4"/>
        <v>Active</v>
      </c>
      <c r="S519" s="18">
        <v>45547.0</v>
      </c>
      <c r="T519" s="20">
        <f t="shared" si="5"/>
        <v>46.06666667</v>
      </c>
    </row>
    <row r="520">
      <c r="A520" s="27" t="s">
        <v>883</v>
      </c>
      <c r="B520" s="28" t="s">
        <v>27</v>
      </c>
      <c r="C520" s="28"/>
      <c r="D520" s="29" t="str">
        <f t="shared" si="1"/>
        <v>Active</v>
      </c>
      <c r="E520" s="33">
        <v>44145.0</v>
      </c>
      <c r="F520" s="100"/>
      <c r="G520" s="32">
        <f t="shared" si="2"/>
        <v>59.16666667</v>
      </c>
      <c r="H520" s="33">
        <v>39399.0</v>
      </c>
      <c r="I520" s="32">
        <f t="shared" si="3"/>
        <v>12.99166667</v>
      </c>
      <c r="J520" s="34">
        <v>81.0</v>
      </c>
      <c r="K520" s="34">
        <v>10.0</v>
      </c>
      <c r="L520" s="35" t="s">
        <v>299</v>
      </c>
      <c r="M520" s="35"/>
      <c r="N520" s="35"/>
      <c r="O520" s="35" t="s">
        <v>34</v>
      </c>
      <c r="P520" s="36" t="s">
        <v>446</v>
      </c>
      <c r="Q520" s="35" t="s">
        <v>863</v>
      </c>
      <c r="R520" s="29" t="str">
        <f t="shared" si="4"/>
        <v>Active</v>
      </c>
      <c r="S520" s="33">
        <v>45547.0</v>
      </c>
      <c r="T520" s="32">
        <f t="shared" si="5"/>
        <v>46.06666667</v>
      </c>
    </row>
    <row r="521">
      <c r="A521" s="15" t="s">
        <v>884</v>
      </c>
      <c r="B521" s="16" t="s">
        <v>27</v>
      </c>
      <c r="C521" s="16"/>
      <c r="D521" s="17" t="str">
        <f t="shared" si="1"/>
        <v>Active</v>
      </c>
      <c r="E521" s="18">
        <v>44145.0</v>
      </c>
      <c r="F521" s="73"/>
      <c r="G521" s="20">
        <f t="shared" si="2"/>
        <v>59.16666667</v>
      </c>
      <c r="H521" s="18">
        <v>40624.0</v>
      </c>
      <c r="I521" s="20">
        <f t="shared" si="3"/>
        <v>9.633333333</v>
      </c>
      <c r="J521" s="53">
        <v>84.0</v>
      </c>
      <c r="K521" s="53">
        <v>9.0</v>
      </c>
      <c r="L521" s="23" t="s">
        <v>184</v>
      </c>
      <c r="M521" s="23"/>
      <c r="N521" s="23" t="s">
        <v>871</v>
      </c>
      <c r="O521" s="23" t="s">
        <v>34</v>
      </c>
      <c r="P521" s="54" t="s">
        <v>885</v>
      </c>
      <c r="Q521" s="23" t="s">
        <v>863</v>
      </c>
      <c r="R521" s="17" t="str">
        <f t="shared" si="4"/>
        <v>Active</v>
      </c>
      <c r="S521" s="18">
        <v>45547.0</v>
      </c>
      <c r="T521" s="20">
        <f t="shared" si="5"/>
        <v>46.06666667</v>
      </c>
    </row>
    <row r="522">
      <c r="A522" s="27" t="s">
        <v>886</v>
      </c>
      <c r="B522" s="28" t="s">
        <v>27</v>
      </c>
      <c r="C522" s="28"/>
      <c r="D522" s="29" t="str">
        <f t="shared" si="1"/>
        <v>Active</v>
      </c>
      <c r="E522" s="33">
        <v>44145.0</v>
      </c>
      <c r="F522" s="100"/>
      <c r="G522" s="32">
        <f t="shared" si="2"/>
        <v>59.16666667</v>
      </c>
      <c r="H522" s="33">
        <v>41324.0</v>
      </c>
      <c r="I522" s="32">
        <f t="shared" si="3"/>
        <v>7.725</v>
      </c>
      <c r="J522" s="34">
        <v>76.0</v>
      </c>
      <c r="K522" s="34">
        <v>7.0</v>
      </c>
      <c r="L522" s="35" t="s">
        <v>184</v>
      </c>
      <c r="M522" s="35"/>
      <c r="N522" s="35"/>
      <c r="O522" s="35" t="s">
        <v>34</v>
      </c>
      <c r="P522" s="36" t="s">
        <v>446</v>
      </c>
      <c r="Q522" s="35" t="s">
        <v>863</v>
      </c>
      <c r="R522" s="29" t="str">
        <f t="shared" si="4"/>
        <v>Active</v>
      </c>
      <c r="S522" s="33">
        <v>45547.0</v>
      </c>
      <c r="T522" s="32">
        <f t="shared" si="5"/>
        <v>46.06666667</v>
      </c>
    </row>
    <row r="523">
      <c r="A523" s="15" t="s">
        <v>887</v>
      </c>
      <c r="B523" s="16" t="s">
        <v>68</v>
      </c>
      <c r="C523" s="16"/>
      <c r="D523" s="17" t="str">
        <f t="shared" si="1"/>
        <v>Active</v>
      </c>
      <c r="E523" s="18">
        <v>44145.0</v>
      </c>
      <c r="F523" s="73"/>
      <c r="G523" s="20">
        <f t="shared" si="2"/>
        <v>59.16666667</v>
      </c>
      <c r="H523" s="18">
        <v>40218.0</v>
      </c>
      <c r="I523" s="20">
        <f t="shared" si="3"/>
        <v>10.75277778</v>
      </c>
      <c r="J523" s="53">
        <v>73.0</v>
      </c>
      <c r="K523" s="53">
        <v>8.0</v>
      </c>
      <c r="L523" s="23" t="s">
        <v>366</v>
      </c>
      <c r="M523" s="23"/>
      <c r="N523" s="23"/>
      <c r="O523" s="23" t="s">
        <v>34</v>
      </c>
      <c r="P523" s="54" t="s">
        <v>888</v>
      </c>
      <c r="Q523" s="23" t="s">
        <v>863</v>
      </c>
      <c r="R523" s="17" t="str">
        <f t="shared" si="4"/>
        <v>Active</v>
      </c>
      <c r="S523" s="18">
        <v>45547.0</v>
      </c>
      <c r="T523" s="20">
        <f t="shared" si="5"/>
        <v>46.06666667</v>
      </c>
    </row>
    <row r="524">
      <c r="A524" s="27" t="s">
        <v>889</v>
      </c>
      <c r="B524" s="28" t="s">
        <v>27</v>
      </c>
      <c r="C524" s="28" t="s">
        <v>28</v>
      </c>
      <c r="D524" s="29" t="str">
        <f t="shared" si="1"/>
        <v>Active</v>
      </c>
      <c r="E524" s="33">
        <v>44145.0</v>
      </c>
      <c r="F524" s="100"/>
      <c r="G524" s="32">
        <f t="shared" si="2"/>
        <v>59.16666667</v>
      </c>
      <c r="H524" s="33">
        <v>39735.0</v>
      </c>
      <c r="I524" s="32">
        <f t="shared" si="3"/>
        <v>12.07222222</v>
      </c>
      <c r="J524" s="34">
        <v>89.0</v>
      </c>
      <c r="K524" s="34">
        <v>11.0</v>
      </c>
      <c r="L524" s="35" t="s">
        <v>366</v>
      </c>
      <c r="M524" s="35"/>
      <c r="N524" s="35"/>
      <c r="O524" s="35" t="s">
        <v>34</v>
      </c>
      <c r="P524" s="36" t="s">
        <v>709</v>
      </c>
      <c r="Q524" s="35" t="s">
        <v>863</v>
      </c>
      <c r="R524" s="29" t="str">
        <f t="shared" si="4"/>
        <v>Active</v>
      </c>
      <c r="S524" s="33">
        <v>45547.0</v>
      </c>
      <c r="T524" s="32">
        <f t="shared" si="5"/>
        <v>46.06666667</v>
      </c>
    </row>
    <row r="525">
      <c r="A525" s="15" t="s">
        <v>890</v>
      </c>
      <c r="B525" s="16" t="s">
        <v>27</v>
      </c>
      <c r="C525" s="16" t="s">
        <v>28</v>
      </c>
      <c r="D525" s="17" t="str">
        <f t="shared" si="1"/>
        <v>Active</v>
      </c>
      <c r="E525" s="18">
        <v>44145.0</v>
      </c>
      <c r="F525" s="73"/>
      <c r="G525" s="20">
        <f t="shared" si="2"/>
        <v>59.16666667</v>
      </c>
      <c r="H525" s="18">
        <v>40568.0</v>
      </c>
      <c r="I525" s="20">
        <f t="shared" si="3"/>
        <v>9.791666667</v>
      </c>
      <c r="J525" s="53">
        <v>90.0</v>
      </c>
      <c r="K525" s="53">
        <v>9.0</v>
      </c>
      <c r="L525" s="23" t="s">
        <v>675</v>
      </c>
      <c r="M525" s="23" t="s">
        <v>451</v>
      </c>
      <c r="N525" s="23" t="s">
        <v>891</v>
      </c>
      <c r="O525" s="23" t="s">
        <v>34</v>
      </c>
      <c r="P525" s="54" t="s">
        <v>709</v>
      </c>
      <c r="Q525" s="23" t="s">
        <v>863</v>
      </c>
      <c r="R525" s="17" t="str">
        <f t="shared" si="4"/>
        <v>Active</v>
      </c>
      <c r="S525" s="18">
        <v>45547.0</v>
      </c>
      <c r="T525" s="20">
        <f t="shared" si="5"/>
        <v>46.06666667</v>
      </c>
    </row>
    <row r="526">
      <c r="A526" s="27" t="s">
        <v>892</v>
      </c>
      <c r="B526" s="28" t="s">
        <v>27</v>
      </c>
      <c r="C526" s="28" t="s">
        <v>28</v>
      </c>
      <c r="D526" s="29" t="str">
        <f t="shared" si="1"/>
        <v>Active</v>
      </c>
      <c r="E526" s="33">
        <v>44145.0</v>
      </c>
      <c r="F526" s="100"/>
      <c r="G526" s="32">
        <f t="shared" si="2"/>
        <v>59.16666667</v>
      </c>
      <c r="H526" s="33">
        <v>41310.0</v>
      </c>
      <c r="I526" s="32">
        <f t="shared" si="3"/>
        <v>7.763888889</v>
      </c>
      <c r="J526" s="34">
        <v>78.0</v>
      </c>
      <c r="K526" s="34">
        <v>13.0</v>
      </c>
      <c r="L526" s="35" t="s">
        <v>675</v>
      </c>
      <c r="M526" s="35" t="s">
        <v>451</v>
      </c>
      <c r="N526" s="35" t="s">
        <v>891</v>
      </c>
      <c r="O526" s="35" t="s">
        <v>34</v>
      </c>
      <c r="P526" s="36" t="s">
        <v>709</v>
      </c>
      <c r="Q526" s="35" t="s">
        <v>863</v>
      </c>
      <c r="R526" s="29" t="str">
        <f t="shared" si="4"/>
        <v>Active</v>
      </c>
      <c r="S526" s="33">
        <v>45547.0</v>
      </c>
      <c r="T526" s="32">
        <f t="shared" si="5"/>
        <v>46.06666667</v>
      </c>
    </row>
    <row r="527">
      <c r="A527" s="15" t="s">
        <v>893</v>
      </c>
      <c r="B527" s="16" t="s">
        <v>68</v>
      </c>
      <c r="C527" s="16"/>
      <c r="D527" s="17" t="str">
        <f t="shared" si="1"/>
        <v>Active</v>
      </c>
      <c r="E527" s="18">
        <v>44145.0</v>
      </c>
      <c r="F527" s="73"/>
      <c r="G527" s="20">
        <f t="shared" si="2"/>
        <v>59.16666667</v>
      </c>
      <c r="H527" s="18">
        <v>40463.0</v>
      </c>
      <c r="I527" s="20">
        <f t="shared" si="3"/>
        <v>10.07777778</v>
      </c>
      <c r="J527" s="53">
        <v>35.0</v>
      </c>
      <c r="K527" s="53">
        <v>1.5</v>
      </c>
      <c r="L527" s="23" t="s">
        <v>731</v>
      </c>
      <c r="M527" s="23"/>
      <c r="N527" s="23"/>
      <c r="O527" s="23" t="s">
        <v>34</v>
      </c>
      <c r="P527" s="54" t="s">
        <v>709</v>
      </c>
      <c r="Q527" s="23" t="s">
        <v>863</v>
      </c>
      <c r="R527" s="17" t="str">
        <f t="shared" si="4"/>
        <v>Active</v>
      </c>
      <c r="S527" s="18">
        <v>45547.0</v>
      </c>
      <c r="T527" s="20">
        <f t="shared" si="5"/>
        <v>46.06666667</v>
      </c>
    </row>
    <row r="528">
      <c r="A528" s="27" t="s">
        <v>894</v>
      </c>
      <c r="B528" s="28" t="s">
        <v>27</v>
      </c>
      <c r="C528" s="28" t="s">
        <v>121</v>
      </c>
      <c r="D528" s="29" t="str">
        <f t="shared" si="1"/>
        <v>Active</v>
      </c>
      <c r="E528" s="33">
        <v>44145.0</v>
      </c>
      <c r="F528" s="27"/>
      <c r="G528" s="32">
        <f t="shared" si="2"/>
        <v>59.16666667</v>
      </c>
      <c r="H528" s="33">
        <v>40610.0</v>
      </c>
      <c r="I528" s="32">
        <f t="shared" si="3"/>
        <v>9.672222222</v>
      </c>
      <c r="J528" s="34">
        <v>79.0</v>
      </c>
      <c r="K528" s="34">
        <v>26.5</v>
      </c>
      <c r="L528" s="35" t="s">
        <v>29</v>
      </c>
      <c r="M528" s="35" t="s">
        <v>451</v>
      </c>
      <c r="N528" s="35" t="s">
        <v>822</v>
      </c>
      <c r="O528" s="35" t="s">
        <v>34</v>
      </c>
      <c r="P528" s="36" t="s">
        <v>895</v>
      </c>
      <c r="Q528" s="35" t="s">
        <v>863</v>
      </c>
      <c r="R528" s="29" t="str">
        <f t="shared" si="4"/>
        <v>Active</v>
      </c>
      <c r="S528" s="33">
        <v>45547.0</v>
      </c>
      <c r="T528" s="32">
        <f t="shared" si="5"/>
        <v>46.06666667</v>
      </c>
    </row>
    <row r="529">
      <c r="A529" s="15" t="s">
        <v>896</v>
      </c>
      <c r="B529" s="16" t="s">
        <v>27</v>
      </c>
      <c r="C529" s="16" t="s">
        <v>28</v>
      </c>
      <c r="D529" s="17" t="str">
        <f t="shared" si="1"/>
        <v>Active</v>
      </c>
      <c r="E529" s="18">
        <v>44145.0</v>
      </c>
      <c r="F529" s="73"/>
      <c r="G529" s="20">
        <f t="shared" si="2"/>
        <v>59.16666667</v>
      </c>
      <c r="H529" s="18">
        <v>41961.0</v>
      </c>
      <c r="I529" s="20">
        <f t="shared" si="3"/>
        <v>5.977777778</v>
      </c>
      <c r="J529" s="53">
        <v>86.0</v>
      </c>
      <c r="K529" s="53">
        <v>46.5</v>
      </c>
      <c r="L529" s="23" t="s">
        <v>122</v>
      </c>
      <c r="M529" s="23" t="s">
        <v>451</v>
      </c>
      <c r="N529" s="23" t="s">
        <v>871</v>
      </c>
      <c r="O529" s="23" t="s">
        <v>34</v>
      </c>
      <c r="P529" s="54" t="s">
        <v>860</v>
      </c>
      <c r="Q529" s="23"/>
      <c r="R529" s="17" t="str">
        <f t="shared" si="4"/>
        <v>Active</v>
      </c>
      <c r="S529" s="18">
        <v>45547.0</v>
      </c>
      <c r="T529" s="20">
        <f t="shared" si="5"/>
        <v>46.06666667</v>
      </c>
    </row>
    <row r="530">
      <c r="A530" s="27" t="s">
        <v>897</v>
      </c>
      <c r="B530" s="28" t="s">
        <v>27</v>
      </c>
      <c r="C530" s="28" t="s">
        <v>121</v>
      </c>
      <c r="D530" s="29" t="str">
        <f t="shared" si="1"/>
        <v>Active</v>
      </c>
      <c r="E530" s="33">
        <v>44145.0</v>
      </c>
      <c r="F530" s="100"/>
      <c r="G530" s="32">
        <f t="shared" si="2"/>
        <v>59.16666667</v>
      </c>
      <c r="H530" s="33">
        <v>40120.0</v>
      </c>
      <c r="I530" s="32">
        <f t="shared" si="3"/>
        <v>11.01944444</v>
      </c>
      <c r="J530" s="34">
        <v>86.0</v>
      </c>
      <c r="K530" s="34">
        <v>40.5</v>
      </c>
      <c r="L530" s="35" t="s">
        <v>29</v>
      </c>
      <c r="M530" s="35" t="s">
        <v>451</v>
      </c>
      <c r="N530" s="35" t="s">
        <v>871</v>
      </c>
      <c r="O530" s="35" t="s">
        <v>34</v>
      </c>
      <c r="P530" s="36" t="s">
        <v>898</v>
      </c>
      <c r="Q530" s="35" t="s">
        <v>863</v>
      </c>
      <c r="R530" s="29" t="str">
        <f t="shared" si="4"/>
        <v>Active</v>
      </c>
      <c r="S530" s="33">
        <v>45547.0</v>
      </c>
      <c r="T530" s="32">
        <f t="shared" si="5"/>
        <v>46.06666667</v>
      </c>
    </row>
    <row r="531">
      <c r="A531" s="15" t="s">
        <v>899</v>
      </c>
      <c r="B531" s="16" t="s">
        <v>27</v>
      </c>
      <c r="C531" s="16"/>
      <c r="D531" s="17" t="str">
        <f t="shared" si="1"/>
        <v>Active</v>
      </c>
      <c r="E531" s="18">
        <v>44145.0</v>
      </c>
      <c r="F531" s="73"/>
      <c r="G531" s="20">
        <f t="shared" si="2"/>
        <v>59.16666667</v>
      </c>
      <c r="H531" s="18">
        <v>43147.0</v>
      </c>
      <c r="I531" s="20">
        <f t="shared" si="3"/>
        <v>2.733333333</v>
      </c>
      <c r="J531" s="53">
        <v>70.0</v>
      </c>
      <c r="K531" s="53">
        <v>5.5</v>
      </c>
      <c r="L531" s="23" t="s">
        <v>37</v>
      </c>
      <c r="M531" s="23"/>
      <c r="N531" s="23"/>
      <c r="O531" s="23" t="s">
        <v>132</v>
      </c>
      <c r="P531" s="54" t="s">
        <v>340</v>
      </c>
      <c r="Q531" s="23"/>
      <c r="R531" s="17" t="str">
        <f t="shared" si="4"/>
        <v>Active</v>
      </c>
      <c r="S531" s="18">
        <v>45547.0</v>
      </c>
      <c r="T531" s="20">
        <f t="shared" si="5"/>
        <v>46.06666667</v>
      </c>
    </row>
    <row r="532">
      <c r="A532" s="27" t="s">
        <v>900</v>
      </c>
      <c r="B532" s="28" t="s">
        <v>68</v>
      </c>
      <c r="C532" s="28"/>
      <c r="D532" s="29" t="str">
        <f t="shared" si="1"/>
        <v>Active</v>
      </c>
      <c r="E532" s="33">
        <v>44145.0</v>
      </c>
      <c r="F532" s="100"/>
      <c r="G532" s="32">
        <f t="shared" si="2"/>
        <v>59.16666667</v>
      </c>
      <c r="H532" s="33">
        <v>38791.0</v>
      </c>
      <c r="I532" s="32">
        <f t="shared" si="3"/>
        <v>14.65277778</v>
      </c>
      <c r="J532" s="34">
        <v>65.0</v>
      </c>
      <c r="K532" s="34">
        <v>2.0</v>
      </c>
      <c r="L532" s="35" t="s">
        <v>366</v>
      </c>
      <c r="M532" s="35"/>
      <c r="N532" s="35"/>
      <c r="O532" s="35" t="s">
        <v>132</v>
      </c>
      <c r="P532" s="36"/>
      <c r="Q532" s="35" t="s">
        <v>863</v>
      </c>
      <c r="R532" s="29" t="str">
        <f t="shared" si="4"/>
        <v>Active</v>
      </c>
      <c r="S532" s="33">
        <v>45547.0</v>
      </c>
      <c r="T532" s="32">
        <f t="shared" si="5"/>
        <v>46.06666667</v>
      </c>
    </row>
    <row r="533">
      <c r="A533" s="15" t="s">
        <v>901</v>
      </c>
      <c r="B533" s="16" t="s">
        <v>68</v>
      </c>
      <c r="C533" s="16"/>
      <c r="D533" s="17" t="str">
        <f t="shared" si="1"/>
        <v>Active</v>
      </c>
      <c r="E533" s="18">
        <v>44145.0</v>
      </c>
      <c r="F533" s="73"/>
      <c r="G533" s="20">
        <f t="shared" si="2"/>
        <v>59.16666667</v>
      </c>
      <c r="H533" s="18">
        <v>38754.0</v>
      </c>
      <c r="I533" s="20">
        <f t="shared" si="3"/>
        <v>14.76111111</v>
      </c>
      <c r="J533" s="53">
        <v>65.0</v>
      </c>
      <c r="K533" s="53">
        <v>2.5</v>
      </c>
      <c r="L533" s="23" t="s">
        <v>366</v>
      </c>
      <c r="M533" s="23"/>
      <c r="N533" s="23"/>
      <c r="O533" s="23" t="s">
        <v>132</v>
      </c>
      <c r="P533" s="54" t="s">
        <v>902</v>
      </c>
      <c r="Q533" s="23" t="s">
        <v>863</v>
      </c>
      <c r="R533" s="17" t="str">
        <f t="shared" si="4"/>
        <v>Active</v>
      </c>
      <c r="S533" s="18">
        <v>45547.0</v>
      </c>
      <c r="T533" s="20">
        <f t="shared" si="5"/>
        <v>46.06666667</v>
      </c>
    </row>
    <row r="534">
      <c r="A534" s="27" t="s">
        <v>903</v>
      </c>
      <c r="B534" s="28" t="s">
        <v>68</v>
      </c>
      <c r="C534" s="28"/>
      <c r="D534" s="29" t="str">
        <f t="shared" si="1"/>
        <v>Active</v>
      </c>
      <c r="E534" s="33">
        <v>44145.0</v>
      </c>
      <c r="F534" s="100"/>
      <c r="G534" s="32">
        <f t="shared" si="2"/>
        <v>59.16666667</v>
      </c>
      <c r="H534" s="33">
        <v>40603.0</v>
      </c>
      <c r="I534" s="32">
        <f t="shared" si="3"/>
        <v>9.691666667</v>
      </c>
      <c r="J534" s="34">
        <v>86.0</v>
      </c>
      <c r="K534" s="34">
        <v>4.5</v>
      </c>
      <c r="L534" s="35" t="s">
        <v>904</v>
      </c>
      <c r="M534" s="35"/>
      <c r="N534" s="35"/>
      <c r="O534" s="35" t="s">
        <v>34</v>
      </c>
      <c r="P534" s="36" t="s">
        <v>905</v>
      </c>
      <c r="Q534" s="35" t="s">
        <v>863</v>
      </c>
      <c r="R534" s="29" t="str">
        <f t="shared" si="4"/>
        <v>Active</v>
      </c>
      <c r="S534" s="33">
        <v>45547.0</v>
      </c>
      <c r="T534" s="32">
        <f t="shared" si="5"/>
        <v>46.06666667</v>
      </c>
    </row>
    <row r="535">
      <c r="A535" s="15" t="s">
        <v>906</v>
      </c>
      <c r="B535" s="16" t="s">
        <v>68</v>
      </c>
      <c r="C535" s="16"/>
      <c r="D535" s="17" t="str">
        <f t="shared" si="1"/>
        <v>Active</v>
      </c>
      <c r="E535" s="18">
        <v>44145.0</v>
      </c>
      <c r="F535" s="73"/>
      <c r="G535" s="20">
        <f t="shared" si="2"/>
        <v>59.16666667</v>
      </c>
      <c r="H535" s="18">
        <v>39099.0</v>
      </c>
      <c r="I535" s="20">
        <f t="shared" si="3"/>
        <v>13.81388889</v>
      </c>
      <c r="J535" s="53">
        <v>77.0</v>
      </c>
      <c r="K535" s="53">
        <v>2.0</v>
      </c>
      <c r="L535" s="23" t="s">
        <v>907</v>
      </c>
      <c r="M535" s="23"/>
      <c r="N535" s="23"/>
      <c r="O535" s="23" t="s">
        <v>334</v>
      </c>
      <c r="P535" s="54" t="s">
        <v>908</v>
      </c>
      <c r="Q535" s="23" t="s">
        <v>863</v>
      </c>
      <c r="R535" s="17" t="str">
        <f t="shared" si="4"/>
        <v>TBD</v>
      </c>
      <c r="S535" s="18"/>
      <c r="T535" s="20">
        <f t="shared" si="5"/>
        <v>59.16666667</v>
      </c>
    </row>
    <row r="536">
      <c r="A536" s="27" t="s">
        <v>909</v>
      </c>
      <c r="B536" s="28" t="s">
        <v>27</v>
      </c>
      <c r="C536" s="28"/>
      <c r="D536" s="29" t="str">
        <f t="shared" si="1"/>
        <v>Active</v>
      </c>
      <c r="E536" s="33">
        <v>44145.0</v>
      </c>
      <c r="F536" s="100"/>
      <c r="G536" s="32">
        <f t="shared" si="2"/>
        <v>59.16666667</v>
      </c>
      <c r="H536" s="33">
        <v>40204.0</v>
      </c>
      <c r="I536" s="32">
        <f t="shared" si="3"/>
        <v>10.78888889</v>
      </c>
      <c r="J536" s="34">
        <v>96.0</v>
      </c>
      <c r="K536" s="34">
        <v>24.5</v>
      </c>
      <c r="L536" s="35" t="s">
        <v>509</v>
      </c>
      <c r="M536" s="35"/>
      <c r="N536" s="35" t="s">
        <v>871</v>
      </c>
      <c r="O536" s="35" t="s">
        <v>34</v>
      </c>
      <c r="P536" s="36" t="s">
        <v>910</v>
      </c>
      <c r="Q536" s="35" t="s">
        <v>863</v>
      </c>
      <c r="R536" s="29" t="str">
        <f t="shared" si="4"/>
        <v>Active</v>
      </c>
      <c r="S536" s="33">
        <v>45547.0</v>
      </c>
      <c r="T536" s="32">
        <f t="shared" si="5"/>
        <v>46.06666667</v>
      </c>
    </row>
    <row r="537">
      <c r="A537" s="15" t="s">
        <v>911</v>
      </c>
      <c r="B537" s="16" t="s">
        <v>27</v>
      </c>
      <c r="C537" s="16"/>
      <c r="D537" s="17" t="str">
        <f t="shared" si="1"/>
        <v>Active</v>
      </c>
      <c r="E537" s="18">
        <v>44145.0</v>
      </c>
      <c r="F537" s="73"/>
      <c r="G537" s="20">
        <f t="shared" si="2"/>
        <v>59.16666667</v>
      </c>
      <c r="H537" s="18">
        <v>40974.0</v>
      </c>
      <c r="I537" s="20">
        <f t="shared" si="3"/>
        <v>8.677777778</v>
      </c>
      <c r="J537" s="53">
        <v>93.0</v>
      </c>
      <c r="K537" s="53">
        <v>24.0</v>
      </c>
      <c r="L537" s="23" t="s">
        <v>912</v>
      </c>
      <c r="M537" s="23"/>
      <c r="N537" s="23" t="s">
        <v>871</v>
      </c>
      <c r="O537" s="23" t="s">
        <v>34</v>
      </c>
      <c r="P537" s="54" t="s">
        <v>913</v>
      </c>
      <c r="Q537" s="23" t="s">
        <v>863</v>
      </c>
      <c r="R537" s="17" t="str">
        <f t="shared" si="4"/>
        <v>Active</v>
      </c>
      <c r="S537" s="18">
        <v>45547.0</v>
      </c>
      <c r="T537" s="20">
        <f t="shared" si="5"/>
        <v>46.06666667</v>
      </c>
    </row>
    <row r="538">
      <c r="A538" s="27" t="s">
        <v>914</v>
      </c>
      <c r="B538" s="28" t="s">
        <v>27</v>
      </c>
      <c r="C538" s="28" t="s">
        <v>28</v>
      </c>
      <c r="D538" s="29" t="str">
        <f t="shared" si="1"/>
        <v>Active</v>
      </c>
      <c r="E538" s="33">
        <v>44145.0</v>
      </c>
      <c r="F538" s="100"/>
      <c r="G538" s="32">
        <f t="shared" si="2"/>
        <v>59.16666667</v>
      </c>
      <c r="H538" s="33">
        <v>42815.0</v>
      </c>
      <c r="I538" s="32">
        <f t="shared" si="3"/>
        <v>3.636111111</v>
      </c>
      <c r="J538" s="34">
        <v>76.0</v>
      </c>
      <c r="K538" s="34">
        <v>18.5</v>
      </c>
      <c r="L538" s="35" t="s">
        <v>509</v>
      </c>
      <c r="M538" s="35"/>
      <c r="N538" s="35" t="s">
        <v>871</v>
      </c>
      <c r="O538" s="35" t="s">
        <v>34</v>
      </c>
      <c r="P538" s="36" t="s">
        <v>915</v>
      </c>
      <c r="Q538" s="35"/>
      <c r="R538" s="29" t="str">
        <f t="shared" si="4"/>
        <v>Active</v>
      </c>
      <c r="S538" s="33">
        <v>45547.0</v>
      </c>
      <c r="T538" s="32">
        <f t="shared" si="5"/>
        <v>46.06666667</v>
      </c>
    </row>
    <row r="539">
      <c r="A539" s="15" t="s">
        <v>916</v>
      </c>
      <c r="B539" s="16" t="s">
        <v>27</v>
      </c>
      <c r="C539" s="16"/>
      <c r="D539" s="17" t="str">
        <f t="shared" si="1"/>
        <v>Active</v>
      </c>
      <c r="E539" s="18">
        <v>44145.0</v>
      </c>
      <c r="F539" s="73"/>
      <c r="G539" s="20">
        <f t="shared" si="2"/>
        <v>59.16666667</v>
      </c>
      <c r="H539" s="18">
        <v>39329.0</v>
      </c>
      <c r="I539" s="20">
        <f t="shared" si="3"/>
        <v>13.18333333</v>
      </c>
      <c r="J539" s="53">
        <v>73.0</v>
      </c>
      <c r="K539" s="53">
        <v>6.0</v>
      </c>
      <c r="L539" s="23" t="s">
        <v>299</v>
      </c>
      <c r="M539" s="23" t="s">
        <v>451</v>
      </c>
      <c r="N539" s="23"/>
      <c r="O539" s="23" t="s">
        <v>34</v>
      </c>
      <c r="P539" s="54" t="s">
        <v>446</v>
      </c>
      <c r="Q539" s="23" t="s">
        <v>863</v>
      </c>
      <c r="R539" s="17" t="str">
        <f t="shared" si="4"/>
        <v>Active</v>
      </c>
      <c r="S539" s="18">
        <v>45547.0</v>
      </c>
      <c r="T539" s="20">
        <f t="shared" si="5"/>
        <v>46.06666667</v>
      </c>
    </row>
    <row r="540">
      <c r="A540" s="27" t="s">
        <v>917</v>
      </c>
      <c r="B540" s="28" t="s">
        <v>27</v>
      </c>
      <c r="C540" s="28"/>
      <c r="D540" s="29" t="str">
        <f t="shared" si="1"/>
        <v>Active</v>
      </c>
      <c r="E540" s="33">
        <v>44145.0</v>
      </c>
      <c r="F540" s="100"/>
      <c r="G540" s="32">
        <f t="shared" si="2"/>
        <v>59.16666667</v>
      </c>
      <c r="H540" s="33">
        <v>40269.0</v>
      </c>
      <c r="I540" s="32">
        <f t="shared" si="3"/>
        <v>10.60833333</v>
      </c>
      <c r="J540" s="34">
        <v>79.0</v>
      </c>
      <c r="K540" s="34">
        <v>6.0</v>
      </c>
      <c r="L540" s="35" t="s">
        <v>918</v>
      </c>
      <c r="M540" s="35" t="s">
        <v>451</v>
      </c>
      <c r="N540" s="35"/>
      <c r="O540" s="35" t="s">
        <v>125</v>
      </c>
      <c r="P540" s="36" t="s">
        <v>919</v>
      </c>
      <c r="Q540" s="35" t="s">
        <v>863</v>
      </c>
      <c r="R540" s="29" t="str">
        <f t="shared" si="4"/>
        <v>Active</v>
      </c>
      <c r="S540" s="33">
        <v>45547.0</v>
      </c>
      <c r="T540" s="32">
        <f t="shared" si="5"/>
        <v>46.06666667</v>
      </c>
    </row>
    <row r="541">
      <c r="A541" s="15" t="s">
        <v>920</v>
      </c>
      <c r="B541" s="16" t="s">
        <v>27</v>
      </c>
      <c r="C541" s="16" t="s">
        <v>28</v>
      </c>
      <c r="D541" s="17" t="str">
        <f t="shared" si="1"/>
        <v>Active</v>
      </c>
      <c r="E541" s="18">
        <v>44145.0</v>
      </c>
      <c r="F541" s="73"/>
      <c r="G541" s="20">
        <f t="shared" si="2"/>
        <v>59.16666667</v>
      </c>
      <c r="H541" s="18">
        <v>42528.0</v>
      </c>
      <c r="I541" s="20">
        <f t="shared" si="3"/>
        <v>4.425</v>
      </c>
      <c r="J541" s="53">
        <v>72.0</v>
      </c>
      <c r="K541" s="53">
        <v>8.5</v>
      </c>
      <c r="L541" s="23" t="s">
        <v>37</v>
      </c>
      <c r="M541" s="23" t="s">
        <v>867</v>
      </c>
      <c r="N541" s="23"/>
      <c r="O541" s="23" t="s">
        <v>125</v>
      </c>
      <c r="P541" s="54" t="s">
        <v>461</v>
      </c>
      <c r="Q541" s="23" t="s">
        <v>868</v>
      </c>
      <c r="R541" s="17" t="str">
        <f t="shared" si="4"/>
        <v>Active</v>
      </c>
      <c r="S541" s="18">
        <v>45547.0</v>
      </c>
      <c r="T541" s="20">
        <f t="shared" si="5"/>
        <v>46.06666667</v>
      </c>
    </row>
    <row r="542">
      <c r="A542" s="27" t="s">
        <v>921</v>
      </c>
      <c r="B542" s="28" t="s">
        <v>68</v>
      </c>
      <c r="C542" s="28"/>
      <c r="D542" s="29" t="str">
        <f t="shared" si="1"/>
        <v>Active</v>
      </c>
      <c r="E542" s="33">
        <v>44145.0</v>
      </c>
      <c r="F542" s="100"/>
      <c r="G542" s="32">
        <f t="shared" si="2"/>
        <v>59.16666667</v>
      </c>
      <c r="H542" s="33">
        <v>43350.0</v>
      </c>
      <c r="I542" s="32">
        <f t="shared" si="3"/>
        <v>2.175</v>
      </c>
      <c r="J542" s="34">
        <v>75.0</v>
      </c>
      <c r="K542" s="34">
        <v>27.5</v>
      </c>
      <c r="L542" s="35" t="s">
        <v>922</v>
      </c>
      <c r="M542" s="35"/>
      <c r="N542" s="35"/>
      <c r="O542" s="35" t="s">
        <v>132</v>
      </c>
      <c r="P542" s="36"/>
      <c r="Q542" s="35"/>
      <c r="R542" s="29" t="str">
        <f t="shared" si="4"/>
        <v>Active</v>
      </c>
      <c r="S542" s="33">
        <v>45547.0</v>
      </c>
      <c r="T542" s="32">
        <f t="shared" si="5"/>
        <v>46.06666667</v>
      </c>
    </row>
    <row r="543">
      <c r="A543" s="15" t="s">
        <v>923</v>
      </c>
      <c r="B543" s="16" t="s">
        <v>27</v>
      </c>
      <c r="C543" s="16"/>
      <c r="D543" s="17" t="str">
        <f t="shared" si="1"/>
        <v>Active</v>
      </c>
      <c r="E543" s="18">
        <v>44145.0</v>
      </c>
      <c r="F543" s="73"/>
      <c r="G543" s="20">
        <f t="shared" si="2"/>
        <v>59.16666667</v>
      </c>
      <c r="H543" s="18">
        <v>42311.0</v>
      </c>
      <c r="I543" s="20">
        <f t="shared" si="3"/>
        <v>5.019444444</v>
      </c>
      <c r="J543" s="53">
        <v>65.0</v>
      </c>
      <c r="K543" s="53">
        <v>15.5</v>
      </c>
      <c r="L543" s="23" t="s">
        <v>500</v>
      </c>
      <c r="M543" s="23"/>
      <c r="N543" s="23" t="s">
        <v>871</v>
      </c>
      <c r="O543" s="23" t="s">
        <v>125</v>
      </c>
      <c r="P543" s="54" t="s">
        <v>924</v>
      </c>
      <c r="Q543" s="23"/>
      <c r="R543" s="17" t="str">
        <f t="shared" si="4"/>
        <v>Active</v>
      </c>
      <c r="S543" s="18">
        <v>45547.0</v>
      </c>
      <c r="T543" s="20">
        <f t="shared" si="5"/>
        <v>46.06666667</v>
      </c>
    </row>
    <row r="544">
      <c r="A544" s="27" t="s">
        <v>925</v>
      </c>
      <c r="B544" s="28" t="s">
        <v>27</v>
      </c>
      <c r="C544" s="28" t="s">
        <v>121</v>
      </c>
      <c r="D544" s="29" t="str">
        <f t="shared" si="1"/>
        <v>Active</v>
      </c>
      <c r="E544" s="33">
        <v>44145.0</v>
      </c>
      <c r="F544" s="100"/>
      <c r="G544" s="32">
        <f t="shared" si="2"/>
        <v>59.16666667</v>
      </c>
      <c r="H544" s="33">
        <v>43777.0</v>
      </c>
      <c r="I544" s="32">
        <f t="shared" si="3"/>
        <v>1.005555556</v>
      </c>
      <c r="J544" s="34">
        <v>74.0</v>
      </c>
      <c r="K544" s="34">
        <v>12.5</v>
      </c>
      <c r="L544" s="35" t="s">
        <v>500</v>
      </c>
      <c r="M544" s="35"/>
      <c r="N544" s="35" t="s">
        <v>871</v>
      </c>
      <c r="O544" s="35" t="s">
        <v>125</v>
      </c>
      <c r="P544" s="36" t="s">
        <v>924</v>
      </c>
      <c r="Q544" s="35"/>
      <c r="R544" s="29" t="str">
        <f t="shared" si="4"/>
        <v>Active</v>
      </c>
      <c r="S544" s="33">
        <v>45547.0</v>
      </c>
      <c r="T544" s="32">
        <f t="shared" si="5"/>
        <v>46.06666667</v>
      </c>
    </row>
    <row r="545">
      <c r="A545" s="15" t="s">
        <v>926</v>
      </c>
      <c r="B545" s="16" t="s">
        <v>27</v>
      </c>
      <c r="C545" s="16"/>
      <c r="D545" s="17" t="str">
        <f t="shared" si="1"/>
        <v>Active</v>
      </c>
      <c r="E545" s="18">
        <v>44145.0</v>
      </c>
      <c r="F545" s="73"/>
      <c r="G545" s="20">
        <f t="shared" si="2"/>
        <v>59.16666667</v>
      </c>
      <c r="H545" s="18">
        <v>43049.0</v>
      </c>
      <c r="I545" s="20">
        <f t="shared" si="3"/>
        <v>3</v>
      </c>
      <c r="J545" s="53">
        <v>61.0</v>
      </c>
      <c r="K545" s="53">
        <v>18.5</v>
      </c>
      <c r="L545" s="23" t="s">
        <v>500</v>
      </c>
      <c r="M545" s="23"/>
      <c r="N545" s="23" t="s">
        <v>871</v>
      </c>
      <c r="O545" s="23" t="s">
        <v>125</v>
      </c>
      <c r="P545" s="54" t="s">
        <v>927</v>
      </c>
      <c r="Q545" s="23"/>
      <c r="R545" s="17" t="str">
        <f t="shared" si="4"/>
        <v>Active</v>
      </c>
      <c r="S545" s="18">
        <v>45547.0</v>
      </c>
      <c r="T545" s="20">
        <f t="shared" si="5"/>
        <v>46.06666667</v>
      </c>
    </row>
    <row r="546">
      <c r="A546" s="27" t="s">
        <v>928</v>
      </c>
      <c r="B546" s="28" t="s">
        <v>27</v>
      </c>
      <c r="C546" s="28"/>
      <c r="D546" s="29" t="str">
        <f t="shared" si="1"/>
        <v>Active</v>
      </c>
      <c r="E546" s="33">
        <v>44145.0</v>
      </c>
      <c r="F546" s="100"/>
      <c r="G546" s="32">
        <f t="shared" si="2"/>
        <v>59.16666667</v>
      </c>
      <c r="H546" s="33">
        <v>41593.0</v>
      </c>
      <c r="I546" s="32">
        <f t="shared" si="3"/>
        <v>6.986111111</v>
      </c>
      <c r="J546" s="34">
        <v>75.0</v>
      </c>
      <c r="K546" s="34">
        <v>13.0</v>
      </c>
      <c r="L546" s="35" t="s">
        <v>500</v>
      </c>
      <c r="M546" s="35"/>
      <c r="N546" s="35" t="s">
        <v>871</v>
      </c>
      <c r="O546" s="35" t="s">
        <v>334</v>
      </c>
      <c r="P546" s="36" t="s">
        <v>465</v>
      </c>
      <c r="Q546" s="35"/>
      <c r="R546" s="29" t="str">
        <f t="shared" si="4"/>
        <v>Active</v>
      </c>
      <c r="S546" s="33">
        <v>45547.0</v>
      </c>
      <c r="T546" s="32">
        <f t="shared" si="5"/>
        <v>46.06666667</v>
      </c>
    </row>
    <row r="547">
      <c r="A547" s="15" t="s">
        <v>929</v>
      </c>
      <c r="B547" s="16" t="s">
        <v>27</v>
      </c>
      <c r="C547" s="16"/>
      <c r="D547" s="17" t="str">
        <f t="shared" si="1"/>
        <v>Active</v>
      </c>
      <c r="E547" s="18">
        <v>44145.0</v>
      </c>
      <c r="F547" s="73"/>
      <c r="G547" s="20">
        <f t="shared" si="2"/>
        <v>59.16666667</v>
      </c>
      <c r="H547" s="18">
        <v>39183.0</v>
      </c>
      <c r="I547" s="20">
        <f t="shared" si="3"/>
        <v>13.58055556</v>
      </c>
      <c r="J547" s="53">
        <v>89.0</v>
      </c>
      <c r="K547" s="53">
        <v>4.0</v>
      </c>
      <c r="L547" s="23" t="s">
        <v>930</v>
      </c>
      <c r="M547" s="23"/>
      <c r="N547" s="23"/>
      <c r="O547" s="23" t="s">
        <v>132</v>
      </c>
      <c r="P547" s="54"/>
      <c r="Q547" s="23" t="s">
        <v>863</v>
      </c>
      <c r="R547" s="17" t="str">
        <f t="shared" si="4"/>
        <v>Active</v>
      </c>
      <c r="S547" s="18">
        <v>45547.0</v>
      </c>
      <c r="T547" s="20">
        <f t="shared" si="5"/>
        <v>46.06666667</v>
      </c>
    </row>
    <row r="548">
      <c r="A548" s="27" t="s">
        <v>931</v>
      </c>
      <c r="B548" s="28" t="s">
        <v>68</v>
      </c>
      <c r="C548" s="28" t="s">
        <v>121</v>
      </c>
      <c r="D548" s="29" t="str">
        <f t="shared" si="1"/>
        <v>Active</v>
      </c>
      <c r="E548" s="33">
        <v>44145.0</v>
      </c>
      <c r="F548" s="100"/>
      <c r="G548" s="32">
        <f t="shared" si="2"/>
        <v>59.16666667</v>
      </c>
      <c r="H548" s="33">
        <v>41529.0</v>
      </c>
      <c r="I548" s="32">
        <f t="shared" si="3"/>
        <v>7.161111111</v>
      </c>
      <c r="J548" s="34">
        <v>89.0</v>
      </c>
      <c r="K548" s="34">
        <v>6.0</v>
      </c>
      <c r="L548" s="35" t="s">
        <v>731</v>
      </c>
      <c r="M548" s="35"/>
      <c r="N548" s="35"/>
      <c r="O548" s="35" t="s">
        <v>132</v>
      </c>
      <c r="P548" s="36" t="s">
        <v>902</v>
      </c>
      <c r="Q548" s="35"/>
      <c r="R548" s="29" t="str">
        <f t="shared" si="4"/>
        <v>Active</v>
      </c>
      <c r="S548" s="33">
        <v>45547.0</v>
      </c>
      <c r="T548" s="32">
        <f t="shared" si="5"/>
        <v>46.06666667</v>
      </c>
    </row>
    <row r="549">
      <c r="A549" s="15" t="s">
        <v>932</v>
      </c>
      <c r="B549" s="16" t="s">
        <v>27</v>
      </c>
      <c r="C549" s="16"/>
      <c r="D549" s="17" t="str">
        <f t="shared" si="1"/>
        <v>Active</v>
      </c>
      <c r="E549" s="18">
        <v>44145.0</v>
      </c>
      <c r="F549" s="73"/>
      <c r="G549" s="20">
        <f t="shared" si="2"/>
        <v>59.16666667</v>
      </c>
      <c r="H549" s="18">
        <v>39938.0</v>
      </c>
      <c r="I549" s="20">
        <f t="shared" si="3"/>
        <v>11.51388889</v>
      </c>
      <c r="J549" s="53">
        <v>89.0</v>
      </c>
      <c r="K549" s="53">
        <v>8.0</v>
      </c>
      <c r="L549" s="23" t="s">
        <v>878</v>
      </c>
      <c r="M549" s="23"/>
      <c r="N549" s="23" t="s">
        <v>871</v>
      </c>
      <c r="O549" s="23" t="s">
        <v>334</v>
      </c>
      <c r="P549" s="54" t="s">
        <v>933</v>
      </c>
      <c r="Q549" s="23" t="s">
        <v>863</v>
      </c>
      <c r="R549" s="17" t="str">
        <f t="shared" si="4"/>
        <v>Active</v>
      </c>
      <c r="S549" s="18">
        <v>45547.0</v>
      </c>
      <c r="T549" s="20">
        <f t="shared" si="5"/>
        <v>46.06666667</v>
      </c>
    </row>
    <row r="550">
      <c r="A550" s="27" t="s">
        <v>934</v>
      </c>
      <c r="B550" s="28" t="s">
        <v>27</v>
      </c>
      <c r="C550" s="28" t="s">
        <v>28</v>
      </c>
      <c r="D550" s="29" t="str">
        <f t="shared" si="1"/>
        <v>Active</v>
      </c>
      <c r="E550" s="33">
        <v>44145.0</v>
      </c>
      <c r="F550" s="100"/>
      <c r="G550" s="32">
        <f t="shared" si="2"/>
        <v>59.16666667</v>
      </c>
      <c r="H550" s="33">
        <v>43756.0</v>
      </c>
      <c r="I550" s="32">
        <f t="shared" si="3"/>
        <v>1.061111111</v>
      </c>
      <c r="J550" s="34">
        <v>76.0</v>
      </c>
      <c r="K550" s="34">
        <v>4.5</v>
      </c>
      <c r="L550" s="35" t="s">
        <v>32</v>
      </c>
      <c r="M550" s="35" t="s">
        <v>451</v>
      </c>
      <c r="N550" s="35" t="s">
        <v>871</v>
      </c>
      <c r="O550" s="35" t="s">
        <v>334</v>
      </c>
      <c r="P550" s="36" t="s">
        <v>935</v>
      </c>
      <c r="Q550" s="35"/>
      <c r="R550" s="29" t="str">
        <f t="shared" si="4"/>
        <v>Active</v>
      </c>
      <c r="S550" s="33">
        <v>45547.0</v>
      </c>
      <c r="T550" s="32">
        <f t="shared" si="5"/>
        <v>46.06666667</v>
      </c>
    </row>
    <row r="551">
      <c r="A551" s="15" t="s">
        <v>936</v>
      </c>
      <c r="B551" s="16" t="s">
        <v>27</v>
      </c>
      <c r="C551" s="16" t="s">
        <v>28</v>
      </c>
      <c r="D551" s="17" t="str">
        <f t="shared" si="1"/>
        <v>Active</v>
      </c>
      <c r="E551" s="18">
        <v>44145.0</v>
      </c>
      <c r="F551" s="73"/>
      <c r="G551" s="20">
        <f t="shared" si="2"/>
        <v>59.16666667</v>
      </c>
      <c r="H551" s="18">
        <v>41688.0</v>
      </c>
      <c r="I551" s="20">
        <f t="shared" si="3"/>
        <v>6.727777778</v>
      </c>
      <c r="J551" s="53">
        <v>76.0</v>
      </c>
      <c r="K551" s="53">
        <v>67.5</v>
      </c>
      <c r="L551" s="23" t="s">
        <v>32</v>
      </c>
      <c r="M551" s="23" t="s">
        <v>451</v>
      </c>
      <c r="N551" s="23" t="s">
        <v>822</v>
      </c>
      <c r="O551" s="23" t="s">
        <v>334</v>
      </c>
      <c r="P551" s="54" t="s">
        <v>937</v>
      </c>
      <c r="Q551" s="23"/>
      <c r="R551" s="17" t="str">
        <f t="shared" si="4"/>
        <v>Active</v>
      </c>
      <c r="S551" s="18">
        <v>45547.0</v>
      </c>
      <c r="T551" s="20">
        <f t="shared" si="5"/>
        <v>46.06666667</v>
      </c>
    </row>
    <row r="552">
      <c r="A552" s="27" t="s">
        <v>938</v>
      </c>
      <c r="B552" s="28" t="s">
        <v>27</v>
      </c>
      <c r="C552" s="28" t="s">
        <v>28</v>
      </c>
      <c r="D552" s="29" t="str">
        <f t="shared" si="1"/>
        <v>Active</v>
      </c>
      <c r="E552" s="33">
        <v>44145.0</v>
      </c>
      <c r="F552" s="100"/>
      <c r="G552" s="32">
        <f t="shared" si="2"/>
        <v>59.16666667</v>
      </c>
      <c r="H552" s="33">
        <v>42423.0</v>
      </c>
      <c r="I552" s="32">
        <f t="shared" si="3"/>
        <v>4.713888889</v>
      </c>
      <c r="J552" s="34">
        <v>80.0</v>
      </c>
      <c r="K552" s="34">
        <v>12.5</v>
      </c>
      <c r="L552" s="35" t="s">
        <v>366</v>
      </c>
      <c r="M552" s="35" t="s">
        <v>451</v>
      </c>
      <c r="N552" s="35" t="s">
        <v>871</v>
      </c>
      <c r="O552" s="35" t="s">
        <v>334</v>
      </c>
      <c r="P552" s="36" t="s">
        <v>937</v>
      </c>
      <c r="Q552" s="35"/>
      <c r="R552" s="29" t="str">
        <f t="shared" si="4"/>
        <v>Active</v>
      </c>
      <c r="S552" s="33">
        <v>45547.0</v>
      </c>
      <c r="T552" s="32">
        <f t="shared" si="5"/>
        <v>46.06666667</v>
      </c>
    </row>
    <row r="553">
      <c r="A553" s="15" t="s">
        <v>939</v>
      </c>
      <c r="B553" s="16" t="s">
        <v>27</v>
      </c>
      <c r="C553" s="16"/>
      <c r="D553" s="17" t="str">
        <f t="shared" si="1"/>
        <v>Active</v>
      </c>
      <c r="E553" s="18">
        <v>44145.0</v>
      </c>
      <c r="F553" s="73"/>
      <c r="G553" s="20">
        <f t="shared" si="2"/>
        <v>59.16666667</v>
      </c>
      <c r="H553" s="18">
        <v>43651.0</v>
      </c>
      <c r="I553" s="20">
        <f t="shared" si="3"/>
        <v>1.347222222</v>
      </c>
      <c r="J553" s="53">
        <v>72.0</v>
      </c>
      <c r="K553" s="53">
        <v>3.0</v>
      </c>
      <c r="L553" s="23" t="s">
        <v>362</v>
      </c>
      <c r="M553" s="23" t="s">
        <v>451</v>
      </c>
      <c r="N553" s="23"/>
      <c r="O553" s="23" t="s">
        <v>125</v>
      </c>
      <c r="P553" s="54" t="s">
        <v>593</v>
      </c>
      <c r="Q553" s="23"/>
      <c r="R553" s="17" t="str">
        <f t="shared" si="4"/>
        <v>TBD</v>
      </c>
      <c r="S553" s="18"/>
      <c r="T553" s="20">
        <f t="shared" si="5"/>
        <v>59.16666667</v>
      </c>
    </row>
    <row r="554">
      <c r="A554" s="27" t="s">
        <v>940</v>
      </c>
      <c r="B554" s="28" t="s">
        <v>68</v>
      </c>
      <c r="C554" s="28" t="s">
        <v>28</v>
      </c>
      <c r="D554" s="29" t="str">
        <f t="shared" si="1"/>
        <v>Active</v>
      </c>
      <c r="E554" s="33">
        <v>44145.0</v>
      </c>
      <c r="F554" s="100"/>
      <c r="G554" s="32">
        <f t="shared" si="2"/>
        <v>59.16666667</v>
      </c>
      <c r="H554" s="33">
        <v>40309.0</v>
      </c>
      <c r="I554" s="32">
        <f t="shared" si="3"/>
        <v>10.49722222</v>
      </c>
      <c r="J554" s="34">
        <v>80.0</v>
      </c>
      <c r="K554" s="34">
        <v>9.0</v>
      </c>
      <c r="L554" s="35" t="s">
        <v>941</v>
      </c>
      <c r="M554" s="35"/>
      <c r="N554" s="35"/>
      <c r="O554" s="35" t="s">
        <v>125</v>
      </c>
      <c r="P554" s="36" t="s">
        <v>942</v>
      </c>
      <c r="Q554" s="35" t="s">
        <v>863</v>
      </c>
      <c r="R554" s="29" t="str">
        <f t="shared" si="4"/>
        <v>Active</v>
      </c>
      <c r="S554" s="33">
        <v>45547.0</v>
      </c>
      <c r="T554" s="32">
        <f t="shared" si="5"/>
        <v>46.06666667</v>
      </c>
    </row>
    <row r="555">
      <c r="A555" s="15" t="s">
        <v>943</v>
      </c>
      <c r="B555" s="16" t="s">
        <v>68</v>
      </c>
      <c r="C555" s="16"/>
      <c r="D555" s="17" t="str">
        <f t="shared" si="1"/>
        <v>Active</v>
      </c>
      <c r="E555" s="18">
        <v>44145.0</v>
      </c>
      <c r="F555" s="73"/>
      <c r="G555" s="20">
        <f t="shared" si="2"/>
        <v>59.16666667</v>
      </c>
      <c r="H555" s="18">
        <v>40967.0</v>
      </c>
      <c r="I555" s="20">
        <f t="shared" si="3"/>
        <v>8.7</v>
      </c>
      <c r="J555" s="53">
        <v>82.0</v>
      </c>
      <c r="K555" s="53">
        <v>11.5</v>
      </c>
      <c r="L555" s="23" t="s">
        <v>944</v>
      </c>
      <c r="M555" s="23"/>
      <c r="N555" s="23"/>
      <c r="O555" s="23" t="s">
        <v>132</v>
      </c>
      <c r="P555" s="54" t="s">
        <v>945</v>
      </c>
      <c r="Q555" s="23" t="s">
        <v>863</v>
      </c>
      <c r="R555" s="17" t="str">
        <f t="shared" si="4"/>
        <v>Active</v>
      </c>
      <c r="S555" s="18">
        <v>45547.0</v>
      </c>
      <c r="T555" s="20">
        <f t="shared" si="5"/>
        <v>46.06666667</v>
      </c>
    </row>
    <row r="556">
      <c r="A556" s="27" t="s">
        <v>946</v>
      </c>
      <c r="B556" s="28" t="s">
        <v>27</v>
      </c>
      <c r="C556" s="28"/>
      <c r="D556" s="29" t="str">
        <f t="shared" si="1"/>
        <v>Active</v>
      </c>
      <c r="E556" s="33">
        <v>44145.0</v>
      </c>
      <c r="F556" s="100"/>
      <c r="G556" s="32">
        <f t="shared" si="2"/>
        <v>59.16666667</v>
      </c>
      <c r="H556" s="33">
        <v>42325.0</v>
      </c>
      <c r="I556" s="32">
        <f t="shared" si="3"/>
        <v>4.980555556</v>
      </c>
      <c r="J556" s="34">
        <v>75.0</v>
      </c>
      <c r="K556" s="34">
        <v>14.5</v>
      </c>
      <c r="L556" s="35" t="s">
        <v>675</v>
      </c>
      <c r="M556" s="35" t="s">
        <v>451</v>
      </c>
      <c r="N556" s="35" t="s">
        <v>871</v>
      </c>
      <c r="O556" s="35" t="s">
        <v>125</v>
      </c>
      <c r="P556" s="36" t="s">
        <v>475</v>
      </c>
      <c r="Q556" s="35"/>
      <c r="R556" s="29" t="str">
        <f t="shared" si="4"/>
        <v>Active</v>
      </c>
      <c r="S556" s="33">
        <v>45547.0</v>
      </c>
      <c r="T556" s="32">
        <f t="shared" si="5"/>
        <v>46.06666667</v>
      </c>
    </row>
    <row r="557">
      <c r="A557" s="15" t="s">
        <v>947</v>
      </c>
      <c r="B557" s="16" t="s">
        <v>27</v>
      </c>
      <c r="C557" s="16" t="s">
        <v>28</v>
      </c>
      <c r="D557" s="17" t="str">
        <f t="shared" si="1"/>
        <v>Active</v>
      </c>
      <c r="E557" s="18">
        <v>44145.0</v>
      </c>
      <c r="F557" s="73"/>
      <c r="G557" s="20">
        <f t="shared" si="2"/>
        <v>59.16666667</v>
      </c>
      <c r="H557" s="18">
        <v>43056.0</v>
      </c>
      <c r="I557" s="20">
        <f t="shared" si="3"/>
        <v>2.980555556</v>
      </c>
      <c r="J557" s="53">
        <v>66.0</v>
      </c>
      <c r="K557" s="53">
        <v>6.0</v>
      </c>
      <c r="L557" s="23" t="s">
        <v>299</v>
      </c>
      <c r="M557" s="23" t="s">
        <v>867</v>
      </c>
      <c r="N557" s="23" t="s">
        <v>871</v>
      </c>
      <c r="O557" s="23" t="s">
        <v>125</v>
      </c>
      <c r="P557" s="54" t="s">
        <v>475</v>
      </c>
      <c r="Q557" s="23" t="s">
        <v>868</v>
      </c>
      <c r="R557" s="17" t="str">
        <f t="shared" si="4"/>
        <v>Active</v>
      </c>
      <c r="S557" s="18">
        <v>45547.0</v>
      </c>
      <c r="T557" s="20">
        <f t="shared" si="5"/>
        <v>46.06666667</v>
      </c>
    </row>
    <row r="558">
      <c r="A558" s="27" t="s">
        <v>948</v>
      </c>
      <c r="B558" s="28" t="s">
        <v>27</v>
      </c>
      <c r="C558" s="28" t="s">
        <v>28</v>
      </c>
      <c r="D558" s="29" t="str">
        <f t="shared" si="1"/>
        <v>Active</v>
      </c>
      <c r="E558" s="33">
        <v>44145.0</v>
      </c>
      <c r="F558" s="100"/>
      <c r="G558" s="32">
        <f t="shared" si="2"/>
        <v>59.16666667</v>
      </c>
      <c r="H558" s="33">
        <v>43784.0</v>
      </c>
      <c r="I558" s="32">
        <f t="shared" si="3"/>
        <v>0.9861111111</v>
      </c>
      <c r="J558" s="34">
        <v>81.0</v>
      </c>
      <c r="K558" s="34">
        <v>24.0</v>
      </c>
      <c r="L558" s="35" t="s">
        <v>37</v>
      </c>
      <c r="M558" s="35" t="s">
        <v>123</v>
      </c>
      <c r="N558" s="35"/>
      <c r="O558" s="35" t="s">
        <v>125</v>
      </c>
      <c r="P558" s="36" t="s">
        <v>461</v>
      </c>
      <c r="Q558" s="35"/>
      <c r="R558" s="29" t="str">
        <f t="shared" si="4"/>
        <v>Active</v>
      </c>
      <c r="S558" s="33">
        <v>45547.0</v>
      </c>
      <c r="T558" s="32">
        <f t="shared" si="5"/>
        <v>46.06666667</v>
      </c>
    </row>
    <row r="559">
      <c r="A559" s="15" t="s">
        <v>949</v>
      </c>
      <c r="B559" s="16" t="s">
        <v>27</v>
      </c>
      <c r="C559" s="16" t="s">
        <v>183</v>
      </c>
      <c r="D559" s="17" t="str">
        <f t="shared" si="1"/>
        <v>Active</v>
      </c>
      <c r="E559" s="18">
        <v>44145.0</v>
      </c>
      <c r="F559" s="73"/>
      <c r="G559" s="20">
        <f t="shared" si="2"/>
        <v>59.16666667</v>
      </c>
      <c r="H559" s="18">
        <v>41884.0</v>
      </c>
      <c r="I559" s="20">
        <f t="shared" si="3"/>
        <v>6.188888889</v>
      </c>
      <c r="J559" s="53">
        <v>66.0</v>
      </c>
      <c r="K559" s="53">
        <v>40.0</v>
      </c>
      <c r="L559" s="23" t="s">
        <v>50</v>
      </c>
      <c r="M559" s="23"/>
      <c r="N559" s="23" t="s">
        <v>871</v>
      </c>
      <c r="O559" s="23" t="s">
        <v>125</v>
      </c>
      <c r="P559" s="54" t="s">
        <v>827</v>
      </c>
      <c r="Q559" s="23"/>
      <c r="R559" s="17" t="str">
        <f t="shared" si="4"/>
        <v>Active</v>
      </c>
      <c r="S559" s="18">
        <v>45547.0</v>
      </c>
      <c r="T559" s="20">
        <f t="shared" si="5"/>
        <v>46.06666667</v>
      </c>
    </row>
    <row r="560">
      <c r="A560" s="27" t="s">
        <v>950</v>
      </c>
      <c r="B560" s="28" t="s">
        <v>27</v>
      </c>
      <c r="C560" s="28"/>
      <c r="D560" s="29" t="str">
        <f t="shared" si="1"/>
        <v>Active</v>
      </c>
      <c r="E560" s="33">
        <v>44145.0</v>
      </c>
      <c r="F560" s="100"/>
      <c r="G560" s="32">
        <f t="shared" si="2"/>
        <v>59.16666667</v>
      </c>
      <c r="H560" s="33">
        <v>42671.0</v>
      </c>
      <c r="I560" s="32">
        <f t="shared" si="3"/>
        <v>4.033333333</v>
      </c>
      <c r="J560" s="34">
        <v>87.0</v>
      </c>
      <c r="K560" s="34">
        <v>6.0</v>
      </c>
      <c r="L560" s="35" t="s">
        <v>184</v>
      </c>
      <c r="M560" s="35" t="s">
        <v>451</v>
      </c>
      <c r="N560" s="35" t="s">
        <v>871</v>
      </c>
      <c r="O560" s="35" t="s">
        <v>34</v>
      </c>
      <c r="P560" s="36" t="s">
        <v>740</v>
      </c>
      <c r="Q560" s="35"/>
      <c r="R560" s="29" t="str">
        <f t="shared" si="4"/>
        <v>Active</v>
      </c>
      <c r="S560" s="33">
        <v>45547.0</v>
      </c>
      <c r="T560" s="32">
        <f t="shared" si="5"/>
        <v>46.06666667</v>
      </c>
    </row>
    <row r="561">
      <c r="A561" s="15" t="s">
        <v>951</v>
      </c>
      <c r="B561" s="16" t="s">
        <v>27</v>
      </c>
      <c r="C561" s="16"/>
      <c r="D561" s="17" t="str">
        <f t="shared" si="1"/>
        <v>Active</v>
      </c>
      <c r="E561" s="18">
        <v>44145.0</v>
      </c>
      <c r="F561" s="73"/>
      <c r="G561" s="20">
        <f t="shared" si="2"/>
        <v>59.16666667</v>
      </c>
      <c r="H561" s="18">
        <v>42409.0</v>
      </c>
      <c r="I561" s="20">
        <f t="shared" si="3"/>
        <v>4.752777778</v>
      </c>
      <c r="J561" s="53">
        <v>75.0</v>
      </c>
      <c r="K561" s="53">
        <v>6.0</v>
      </c>
      <c r="L561" s="23" t="s">
        <v>549</v>
      </c>
      <c r="M561" s="23"/>
      <c r="N561" s="23"/>
      <c r="O561" s="23" t="s">
        <v>132</v>
      </c>
      <c r="P561" s="54" t="s">
        <v>340</v>
      </c>
      <c r="Q561" s="23"/>
      <c r="R561" s="17" t="str">
        <f t="shared" si="4"/>
        <v>Active</v>
      </c>
      <c r="S561" s="18">
        <v>45547.0</v>
      </c>
      <c r="T561" s="20">
        <f t="shared" si="5"/>
        <v>46.06666667</v>
      </c>
    </row>
    <row r="562">
      <c r="A562" s="27" t="s">
        <v>952</v>
      </c>
      <c r="B562" s="28" t="s">
        <v>27</v>
      </c>
      <c r="C562" s="28" t="s">
        <v>28</v>
      </c>
      <c r="D562" s="29" t="str">
        <f t="shared" si="1"/>
        <v>Active</v>
      </c>
      <c r="E562" s="33">
        <v>44145.0</v>
      </c>
      <c r="F562" s="100"/>
      <c r="G562" s="32">
        <f t="shared" si="2"/>
        <v>59.16666667</v>
      </c>
      <c r="H562" s="33">
        <v>43260.0</v>
      </c>
      <c r="I562" s="32">
        <f t="shared" si="3"/>
        <v>2.419444444</v>
      </c>
      <c r="J562" s="34">
        <v>81.0</v>
      </c>
      <c r="K562" s="34">
        <v>5.0</v>
      </c>
      <c r="L562" s="35" t="s">
        <v>549</v>
      </c>
      <c r="M562" s="35" t="s">
        <v>451</v>
      </c>
      <c r="N562" s="35"/>
      <c r="O562" s="35" t="s">
        <v>132</v>
      </c>
      <c r="P562" s="36" t="s">
        <v>340</v>
      </c>
      <c r="Q562" s="35"/>
      <c r="R562" s="29" t="str">
        <f t="shared" si="4"/>
        <v>Active</v>
      </c>
      <c r="S562" s="33">
        <v>45547.0</v>
      </c>
      <c r="T562" s="32">
        <f t="shared" si="5"/>
        <v>46.06666667</v>
      </c>
    </row>
    <row r="563">
      <c r="A563" s="15" t="s">
        <v>953</v>
      </c>
      <c r="B563" s="16" t="s">
        <v>68</v>
      </c>
      <c r="C563" s="16"/>
      <c r="D563" s="17" t="str">
        <f t="shared" si="1"/>
        <v>Active</v>
      </c>
      <c r="E563" s="18">
        <v>44145.0</v>
      </c>
      <c r="F563" s="73"/>
      <c r="G563" s="20">
        <f t="shared" si="2"/>
        <v>59.16666667</v>
      </c>
      <c r="H563" s="18">
        <v>37967.0</v>
      </c>
      <c r="I563" s="20">
        <f t="shared" si="3"/>
        <v>16.91111111</v>
      </c>
      <c r="J563" s="53">
        <v>78.0</v>
      </c>
      <c r="K563" s="53">
        <v>5.0</v>
      </c>
      <c r="L563" s="23" t="s">
        <v>731</v>
      </c>
      <c r="M563" s="23"/>
      <c r="N563" s="23"/>
      <c r="O563" s="23" t="s">
        <v>132</v>
      </c>
      <c r="P563" s="54"/>
      <c r="Q563" s="23" t="s">
        <v>863</v>
      </c>
      <c r="R563" s="17" t="str">
        <f t="shared" si="4"/>
        <v>Active</v>
      </c>
      <c r="S563" s="18">
        <v>45547.0</v>
      </c>
      <c r="T563" s="20">
        <f t="shared" si="5"/>
        <v>46.06666667</v>
      </c>
    </row>
    <row r="564">
      <c r="A564" s="27" t="s">
        <v>954</v>
      </c>
      <c r="B564" s="28" t="s">
        <v>68</v>
      </c>
      <c r="C564" s="28"/>
      <c r="D564" s="29" t="str">
        <f t="shared" si="1"/>
        <v>Active</v>
      </c>
      <c r="E564" s="33">
        <v>44145.0</v>
      </c>
      <c r="F564" s="100"/>
      <c r="G564" s="32">
        <f t="shared" si="2"/>
        <v>59.16666667</v>
      </c>
      <c r="H564" s="33">
        <v>40071.0</v>
      </c>
      <c r="I564" s="32">
        <f t="shared" si="3"/>
        <v>11.15277778</v>
      </c>
      <c r="J564" s="34">
        <v>76.0</v>
      </c>
      <c r="K564" s="34">
        <v>5.0</v>
      </c>
      <c r="L564" s="35" t="s">
        <v>731</v>
      </c>
      <c r="M564" s="35"/>
      <c r="N564" s="35"/>
      <c r="O564" s="35" t="s">
        <v>132</v>
      </c>
      <c r="P564" s="36" t="s">
        <v>955</v>
      </c>
      <c r="Q564" s="35" t="s">
        <v>863</v>
      </c>
      <c r="R564" s="29" t="str">
        <f t="shared" si="4"/>
        <v>Active</v>
      </c>
      <c r="S564" s="33">
        <v>45547.0</v>
      </c>
      <c r="T564" s="32">
        <f t="shared" si="5"/>
        <v>46.06666667</v>
      </c>
    </row>
    <row r="565">
      <c r="A565" s="15" t="s">
        <v>956</v>
      </c>
      <c r="B565" s="16" t="s">
        <v>27</v>
      </c>
      <c r="C565" s="16" t="s">
        <v>183</v>
      </c>
      <c r="D565" s="17" t="str">
        <f t="shared" si="1"/>
        <v>Active</v>
      </c>
      <c r="E565" s="18">
        <v>44140.0</v>
      </c>
      <c r="F565" s="73"/>
      <c r="G565" s="20">
        <f t="shared" si="2"/>
        <v>59.33333333</v>
      </c>
      <c r="H565" s="18">
        <v>43964.0</v>
      </c>
      <c r="I565" s="20">
        <f t="shared" si="3"/>
        <v>0.4777777778</v>
      </c>
      <c r="J565" s="53">
        <f>(83+85)/2</f>
        <v>84</v>
      </c>
      <c r="K565" s="53">
        <v>119.0</v>
      </c>
      <c r="L565" s="23" t="s">
        <v>184</v>
      </c>
      <c r="M565" s="23"/>
      <c r="N565" s="115" t="s">
        <v>843</v>
      </c>
      <c r="O565" s="23" t="s">
        <v>125</v>
      </c>
      <c r="P565" s="54" t="s">
        <v>957</v>
      </c>
      <c r="Q565" s="23"/>
      <c r="R565" s="17" t="str">
        <f t="shared" si="4"/>
        <v>Active</v>
      </c>
      <c r="S565" s="18">
        <v>45547.0</v>
      </c>
      <c r="T565" s="20">
        <f t="shared" si="5"/>
        <v>46.23333333</v>
      </c>
    </row>
    <row r="566">
      <c r="A566" s="27" t="s">
        <v>958</v>
      </c>
      <c r="B566" s="28" t="s">
        <v>27</v>
      </c>
      <c r="C566" s="28"/>
      <c r="D566" s="29" t="str">
        <f t="shared" si="1"/>
        <v>Active</v>
      </c>
      <c r="E566" s="33">
        <v>44133.0</v>
      </c>
      <c r="F566" s="100"/>
      <c r="G566" s="32">
        <f t="shared" si="2"/>
        <v>59.53333333</v>
      </c>
      <c r="H566" s="33">
        <v>42451.0</v>
      </c>
      <c r="I566" s="32">
        <f t="shared" si="3"/>
        <v>4.602777778</v>
      </c>
      <c r="J566" s="34">
        <v>84.0</v>
      </c>
      <c r="K566" s="34">
        <v>4.5</v>
      </c>
      <c r="L566" s="35" t="s">
        <v>362</v>
      </c>
      <c r="M566" s="35"/>
      <c r="N566" s="35"/>
      <c r="O566" s="35" t="s">
        <v>125</v>
      </c>
      <c r="P566" s="36" t="s">
        <v>699</v>
      </c>
      <c r="Q566" s="35"/>
      <c r="R566" s="29" t="str">
        <f t="shared" si="4"/>
        <v>Active</v>
      </c>
      <c r="S566" s="33">
        <v>45547.0</v>
      </c>
      <c r="T566" s="32">
        <f t="shared" si="5"/>
        <v>46.43333333</v>
      </c>
    </row>
    <row r="567">
      <c r="A567" s="15" t="s">
        <v>959</v>
      </c>
      <c r="B567" s="16" t="s">
        <v>27</v>
      </c>
      <c r="C567" s="16"/>
      <c r="D567" s="17" t="str">
        <f t="shared" si="1"/>
        <v>Active</v>
      </c>
      <c r="E567" s="18">
        <v>44133.0</v>
      </c>
      <c r="F567" s="73"/>
      <c r="G567" s="20">
        <f t="shared" si="2"/>
        <v>59.53333333</v>
      </c>
      <c r="H567" s="18">
        <v>42843.0</v>
      </c>
      <c r="I567" s="20">
        <f t="shared" si="3"/>
        <v>3.530555556</v>
      </c>
      <c r="J567" s="53">
        <v>76.0</v>
      </c>
      <c r="K567" s="53">
        <v>4.0</v>
      </c>
      <c r="L567" s="23" t="s">
        <v>362</v>
      </c>
      <c r="M567" s="23"/>
      <c r="N567" s="23"/>
      <c r="O567" s="23" t="s">
        <v>125</v>
      </c>
      <c r="P567" s="54" t="s">
        <v>960</v>
      </c>
      <c r="Q567" s="23"/>
      <c r="R567" s="17" t="str">
        <f t="shared" si="4"/>
        <v>Active</v>
      </c>
      <c r="S567" s="18">
        <v>45547.0</v>
      </c>
      <c r="T567" s="20">
        <f t="shared" si="5"/>
        <v>46.43333333</v>
      </c>
    </row>
    <row r="568">
      <c r="A568" s="27" t="s">
        <v>961</v>
      </c>
      <c r="B568" s="28" t="s">
        <v>27</v>
      </c>
      <c r="C568" s="28"/>
      <c r="D568" s="29" t="str">
        <f t="shared" si="1"/>
        <v>Active</v>
      </c>
      <c r="E568" s="33">
        <v>44133.0</v>
      </c>
      <c r="F568" s="100"/>
      <c r="G568" s="32">
        <f t="shared" si="2"/>
        <v>59.53333333</v>
      </c>
      <c r="H568" s="33">
        <v>42031.0</v>
      </c>
      <c r="I568" s="32">
        <f t="shared" si="3"/>
        <v>5.755555556</v>
      </c>
      <c r="J568" s="34">
        <v>80.0</v>
      </c>
      <c r="K568" s="34">
        <v>11.0</v>
      </c>
      <c r="L568" s="35" t="s">
        <v>362</v>
      </c>
      <c r="M568" s="35"/>
      <c r="N568" s="35"/>
      <c r="O568" s="35" t="s">
        <v>125</v>
      </c>
      <c r="P568" s="36" t="s">
        <v>962</v>
      </c>
      <c r="Q568" s="35"/>
      <c r="R568" s="29" t="str">
        <f t="shared" si="4"/>
        <v>Active</v>
      </c>
      <c r="S568" s="33">
        <v>45547.0</v>
      </c>
      <c r="T568" s="32">
        <f t="shared" si="5"/>
        <v>46.43333333</v>
      </c>
    </row>
    <row r="569">
      <c r="A569" s="15" t="s">
        <v>963</v>
      </c>
      <c r="B569" s="16" t="s">
        <v>27</v>
      </c>
      <c r="C569" s="16" t="s">
        <v>28</v>
      </c>
      <c r="D569" s="17" t="str">
        <f t="shared" si="1"/>
        <v>Active</v>
      </c>
      <c r="E569" s="18">
        <v>44126.0</v>
      </c>
      <c r="F569" s="73"/>
      <c r="G569" s="20">
        <f t="shared" si="2"/>
        <v>59.76666667</v>
      </c>
      <c r="H569" s="18">
        <v>42339.0</v>
      </c>
      <c r="I569" s="20">
        <f t="shared" si="3"/>
        <v>4.891666667</v>
      </c>
      <c r="J569" s="53">
        <v>74.0</v>
      </c>
      <c r="K569" s="53">
        <v>7.5</v>
      </c>
      <c r="L569" s="23" t="s">
        <v>184</v>
      </c>
      <c r="M569" s="23" t="s">
        <v>123</v>
      </c>
      <c r="N569" s="23" t="s">
        <v>964</v>
      </c>
      <c r="O569" s="23" t="s">
        <v>34</v>
      </c>
      <c r="P569" s="54" t="s">
        <v>100</v>
      </c>
      <c r="Q569" s="23"/>
      <c r="R569" s="17" t="str">
        <f t="shared" si="4"/>
        <v>Active</v>
      </c>
      <c r="S569" s="18">
        <v>45547.0</v>
      </c>
      <c r="T569" s="20">
        <f t="shared" si="5"/>
        <v>46.66666667</v>
      </c>
    </row>
    <row r="570">
      <c r="A570" s="27" t="s">
        <v>965</v>
      </c>
      <c r="B570" s="28" t="s">
        <v>40</v>
      </c>
      <c r="C570" s="28"/>
      <c r="D570" s="29" t="str">
        <f t="shared" si="1"/>
        <v>Active</v>
      </c>
      <c r="E570" s="33">
        <v>44119.0</v>
      </c>
      <c r="F570" s="100"/>
      <c r="G570" s="32">
        <f t="shared" si="2"/>
        <v>60</v>
      </c>
      <c r="H570" s="33">
        <v>44119.0</v>
      </c>
      <c r="I570" s="32">
        <f t="shared" si="3"/>
        <v>0</v>
      </c>
      <c r="J570" s="34">
        <v>76.0</v>
      </c>
      <c r="K570" s="34">
        <v>10.5</v>
      </c>
      <c r="L570" s="35" t="s">
        <v>966</v>
      </c>
      <c r="M570" s="35"/>
      <c r="N570" s="35"/>
      <c r="O570" s="35" t="s">
        <v>125</v>
      </c>
      <c r="P570" s="36" t="s">
        <v>680</v>
      </c>
      <c r="Q570" s="35"/>
      <c r="R570" s="59" t="str">
        <f t="shared" si="4"/>
        <v>Active</v>
      </c>
      <c r="S570" s="60">
        <v>45931.0</v>
      </c>
      <c r="T570" s="32">
        <f t="shared" si="5"/>
        <v>59.53333333</v>
      </c>
    </row>
    <row r="571">
      <c r="A571" s="15" t="s">
        <v>967</v>
      </c>
      <c r="B571" s="16" t="s">
        <v>68</v>
      </c>
      <c r="C571" s="16"/>
      <c r="D571" s="17" t="str">
        <f t="shared" si="1"/>
        <v>Active</v>
      </c>
      <c r="E571" s="18">
        <v>44112.0</v>
      </c>
      <c r="F571" s="73"/>
      <c r="G571" s="20">
        <f t="shared" si="2"/>
        <v>60.23333333</v>
      </c>
      <c r="H571" s="18">
        <v>40099.0</v>
      </c>
      <c r="I571" s="20">
        <f t="shared" si="3"/>
        <v>10.98611111</v>
      </c>
      <c r="J571" s="53">
        <v>82.0</v>
      </c>
      <c r="K571" s="53">
        <v>9.0</v>
      </c>
      <c r="L571" s="23" t="s">
        <v>968</v>
      </c>
      <c r="M571" s="23"/>
      <c r="N571" s="23"/>
      <c r="O571" s="121" t="s">
        <v>34</v>
      </c>
      <c r="P571" s="54" t="s">
        <v>969</v>
      </c>
      <c r="Q571" s="23" t="s">
        <v>863</v>
      </c>
      <c r="R571" s="17" t="str">
        <f t="shared" si="4"/>
        <v>Active</v>
      </c>
      <c r="S571" s="18">
        <v>45547.0</v>
      </c>
      <c r="T571" s="20">
        <f t="shared" si="5"/>
        <v>47.13333333</v>
      </c>
    </row>
    <row r="572">
      <c r="A572" s="27" t="s">
        <v>970</v>
      </c>
      <c r="B572" s="28" t="s">
        <v>27</v>
      </c>
      <c r="C572" s="28" t="s">
        <v>28</v>
      </c>
      <c r="D572" s="29" t="str">
        <f t="shared" si="1"/>
        <v>Active</v>
      </c>
      <c r="E572" s="33">
        <v>44105.0</v>
      </c>
      <c r="F572" s="100"/>
      <c r="G572" s="32">
        <f t="shared" si="2"/>
        <v>60.46666667</v>
      </c>
      <c r="H572" s="33">
        <v>43910.0</v>
      </c>
      <c r="I572" s="32">
        <f t="shared" si="3"/>
        <v>0.5305555556</v>
      </c>
      <c r="J572" s="34">
        <v>88.0</v>
      </c>
      <c r="K572" s="34">
        <v>13.5</v>
      </c>
      <c r="L572" s="35" t="s">
        <v>184</v>
      </c>
      <c r="M572" s="35" t="s">
        <v>123</v>
      </c>
      <c r="N572" s="35" t="s">
        <v>658</v>
      </c>
      <c r="O572" s="35" t="s">
        <v>34</v>
      </c>
      <c r="P572" s="36" t="s">
        <v>785</v>
      </c>
      <c r="Q572" s="35"/>
      <c r="R572" s="29" t="str">
        <f t="shared" si="4"/>
        <v>Active</v>
      </c>
      <c r="S572" s="33">
        <v>45547.0</v>
      </c>
      <c r="T572" s="32">
        <f t="shared" si="5"/>
        <v>47.36666667</v>
      </c>
    </row>
    <row r="573">
      <c r="A573" s="15" t="s">
        <v>971</v>
      </c>
      <c r="B573" s="16" t="s">
        <v>27</v>
      </c>
      <c r="C573" s="16" t="s">
        <v>28</v>
      </c>
      <c r="D573" s="17" t="str">
        <f t="shared" si="1"/>
        <v>Active</v>
      </c>
      <c r="E573" s="18">
        <v>44096.0</v>
      </c>
      <c r="F573" s="73"/>
      <c r="G573" s="20">
        <f t="shared" si="2"/>
        <v>60.76666667</v>
      </c>
      <c r="H573" s="18">
        <v>40078.0</v>
      </c>
      <c r="I573" s="20">
        <f t="shared" si="3"/>
        <v>11</v>
      </c>
      <c r="J573" s="53">
        <v>83.0</v>
      </c>
      <c r="K573" s="53">
        <v>7.0</v>
      </c>
      <c r="L573" s="23" t="s">
        <v>299</v>
      </c>
      <c r="M573" s="23"/>
      <c r="N573" s="23"/>
      <c r="O573" s="23" t="s">
        <v>34</v>
      </c>
      <c r="P573" s="54" t="s">
        <v>601</v>
      </c>
      <c r="Q573" s="23" t="s">
        <v>863</v>
      </c>
      <c r="R573" s="17" t="str">
        <f t="shared" si="4"/>
        <v>Active</v>
      </c>
      <c r="S573" s="18">
        <v>45547.0</v>
      </c>
      <c r="T573" s="20">
        <f t="shared" si="5"/>
        <v>47.66666667</v>
      </c>
    </row>
    <row r="574">
      <c r="A574" s="27" t="s">
        <v>972</v>
      </c>
      <c r="B574" s="28" t="s">
        <v>27</v>
      </c>
      <c r="C574" s="28" t="s">
        <v>28</v>
      </c>
      <c r="D574" s="29" t="str">
        <f t="shared" si="1"/>
        <v>Active</v>
      </c>
      <c r="E574" s="30">
        <v>44075.0</v>
      </c>
      <c r="F574" s="100"/>
      <c r="G574" s="32">
        <f t="shared" si="2"/>
        <v>61.46666667</v>
      </c>
      <c r="H574" s="30">
        <v>44075.0</v>
      </c>
      <c r="I574" s="32">
        <f t="shared" si="3"/>
        <v>0</v>
      </c>
      <c r="J574" s="34">
        <v>91.0</v>
      </c>
      <c r="K574" s="34">
        <v>12.5</v>
      </c>
      <c r="L574" s="35" t="s">
        <v>119</v>
      </c>
      <c r="M574" s="35" t="s">
        <v>30</v>
      </c>
      <c r="N574" s="35" t="s">
        <v>973</v>
      </c>
      <c r="O574" s="35" t="s">
        <v>34</v>
      </c>
      <c r="P574" s="36" t="s">
        <v>974</v>
      </c>
      <c r="Q574" s="35"/>
      <c r="R574" s="29" t="str">
        <f t="shared" si="4"/>
        <v>Active</v>
      </c>
      <c r="S574" s="33">
        <v>45547.0</v>
      </c>
      <c r="T574" s="32">
        <f t="shared" si="5"/>
        <v>48.36666667</v>
      </c>
    </row>
    <row r="575">
      <c r="A575" s="64" t="s">
        <v>975</v>
      </c>
      <c r="B575" s="16" t="s">
        <v>27</v>
      </c>
      <c r="C575" s="16" t="s">
        <v>121</v>
      </c>
      <c r="D575" s="17" t="str">
        <f t="shared" si="1"/>
        <v>Active</v>
      </c>
      <c r="E575" s="62">
        <v>44071.0</v>
      </c>
      <c r="F575" s="73"/>
      <c r="G575" s="20">
        <f t="shared" si="2"/>
        <v>61.56666667</v>
      </c>
      <c r="H575" s="18">
        <v>44071.0</v>
      </c>
      <c r="I575" s="20">
        <f t="shared" si="3"/>
        <v>0</v>
      </c>
      <c r="J575" s="53">
        <v>86.0</v>
      </c>
      <c r="K575" s="53">
        <v>36.5</v>
      </c>
      <c r="L575" s="23" t="s">
        <v>29</v>
      </c>
      <c r="M575" s="23" t="s">
        <v>451</v>
      </c>
      <c r="N575" s="43"/>
      <c r="O575" s="23" t="s">
        <v>34</v>
      </c>
      <c r="P575" s="54" t="s">
        <v>976</v>
      </c>
      <c r="Q575" s="23"/>
      <c r="R575" s="17" t="str">
        <f t="shared" si="4"/>
        <v>Active</v>
      </c>
      <c r="S575" s="18">
        <v>45547.0</v>
      </c>
      <c r="T575" s="20">
        <f t="shared" si="5"/>
        <v>48.46666667</v>
      </c>
    </row>
    <row r="576">
      <c r="A576" s="27" t="s">
        <v>977</v>
      </c>
      <c r="B576" s="28" t="s">
        <v>27</v>
      </c>
      <c r="C576" s="28" t="s">
        <v>121</v>
      </c>
      <c r="D576" s="29" t="str">
        <f t="shared" si="1"/>
        <v>Active</v>
      </c>
      <c r="E576" s="30">
        <v>44070.0</v>
      </c>
      <c r="F576" s="100"/>
      <c r="G576" s="32">
        <f t="shared" si="2"/>
        <v>61.6</v>
      </c>
      <c r="H576" s="30">
        <v>44070.0</v>
      </c>
      <c r="I576" s="32">
        <f t="shared" si="3"/>
        <v>0</v>
      </c>
      <c r="J576" s="34">
        <f>(79+81)/2</f>
        <v>80</v>
      </c>
      <c r="K576" s="34">
        <v>9.0</v>
      </c>
      <c r="L576" s="35" t="s">
        <v>362</v>
      </c>
      <c r="M576" s="35"/>
      <c r="N576" s="35"/>
      <c r="O576" s="35" t="s">
        <v>34</v>
      </c>
      <c r="P576" s="36" t="s">
        <v>978</v>
      </c>
      <c r="Q576" s="35"/>
      <c r="R576" s="29" t="str">
        <f t="shared" si="4"/>
        <v>Active</v>
      </c>
      <c r="S576" s="33">
        <v>45547.0</v>
      </c>
      <c r="T576" s="32">
        <f t="shared" si="5"/>
        <v>48.5</v>
      </c>
    </row>
    <row r="577">
      <c r="A577" s="15" t="s">
        <v>979</v>
      </c>
      <c r="B577" s="16" t="s">
        <v>27</v>
      </c>
      <c r="C577" s="16" t="s">
        <v>28</v>
      </c>
      <c r="D577" s="17" t="str">
        <f t="shared" si="1"/>
        <v>Active</v>
      </c>
      <c r="E577" s="62">
        <v>44063.0</v>
      </c>
      <c r="F577" s="73"/>
      <c r="G577" s="20">
        <f t="shared" si="2"/>
        <v>61.83333333</v>
      </c>
      <c r="H577" s="18">
        <v>44063.0</v>
      </c>
      <c r="I577" s="20">
        <f t="shared" si="3"/>
        <v>0</v>
      </c>
      <c r="J577" s="53">
        <f>(72+73)/2</f>
        <v>72.5</v>
      </c>
      <c r="K577" s="53">
        <v>4.0</v>
      </c>
      <c r="L577" s="23" t="s">
        <v>687</v>
      </c>
      <c r="M577" s="23"/>
      <c r="N577" s="23"/>
      <c r="O577" s="23" t="s">
        <v>334</v>
      </c>
      <c r="P577" s="54" t="s">
        <v>980</v>
      </c>
      <c r="Q577" s="23"/>
      <c r="R577" s="17" t="str">
        <f t="shared" si="4"/>
        <v>Active</v>
      </c>
      <c r="S577" s="18">
        <v>45547.0</v>
      </c>
      <c r="T577" s="20">
        <f t="shared" si="5"/>
        <v>48.73333333</v>
      </c>
    </row>
    <row r="578">
      <c r="A578" s="27" t="s">
        <v>981</v>
      </c>
      <c r="B578" s="28" t="s">
        <v>27</v>
      </c>
      <c r="C578" s="28" t="s">
        <v>121</v>
      </c>
      <c r="D578" s="29" t="str">
        <f t="shared" si="1"/>
        <v>Active</v>
      </c>
      <c r="E578" s="30">
        <v>44063.0</v>
      </c>
      <c r="F578" s="100"/>
      <c r="G578" s="32">
        <f t="shared" si="2"/>
        <v>61.83333333</v>
      </c>
      <c r="H578" s="33">
        <v>43777.0</v>
      </c>
      <c r="I578" s="32">
        <f t="shared" si="3"/>
        <v>0.7833333333</v>
      </c>
      <c r="J578" s="34">
        <v>76.0</v>
      </c>
      <c r="K578" s="34">
        <v>7.5</v>
      </c>
      <c r="L578" s="35" t="s">
        <v>44</v>
      </c>
      <c r="M578" s="35" t="s">
        <v>451</v>
      </c>
      <c r="N578" s="35"/>
      <c r="O578" s="35" t="s">
        <v>132</v>
      </c>
      <c r="P578" s="36" t="s">
        <v>955</v>
      </c>
      <c r="Q578" s="35"/>
      <c r="R578" s="29" t="str">
        <f t="shared" si="4"/>
        <v>Active</v>
      </c>
      <c r="S578" s="33">
        <v>45547.0</v>
      </c>
      <c r="T578" s="32">
        <f t="shared" si="5"/>
        <v>48.73333333</v>
      </c>
    </row>
    <row r="579">
      <c r="A579" s="15" t="s">
        <v>982</v>
      </c>
      <c r="B579" s="16" t="s">
        <v>27</v>
      </c>
      <c r="C579" s="16" t="s">
        <v>28</v>
      </c>
      <c r="D579" s="17" t="str">
        <f t="shared" si="1"/>
        <v>Active</v>
      </c>
      <c r="E579" s="62">
        <v>44061.0</v>
      </c>
      <c r="F579" s="73"/>
      <c r="G579" s="20">
        <f t="shared" si="2"/>
        <v>61.9</v>
      </c>
      <c r="H579" s="18">
        <v>44061.0</v>
      </c>
      <c r="I579" s="20">
        <f t="shared" si="3"/>
        <v>0</v>
      </c>
      <c r="J579" s="53">
        <v>92.0</v>
      </c>
      <c r="K579" s="53">
        <v>41.5</v>
      </c>
      <c r="L579" s="23" t="s">
        <v>983</v>
      </c>
      <c r="M579" s="23" t="s">
        <v>984</v>
      </c>
      <c r="N579" s="23" t="s">
        <v>985</v>
      </c>
      <c r="O579" s="23" t="s">
        <v>132</v>
      </c>
      <c r="P579" s="54"/>
      <c r="Q579" s="23"/>
      <c r="R579" s="17" t="str">
        <f t="shared" si="4"/>
        <v>Active</v>
      </c>
      <c r="S579" s="18">
        <v>45547.0</v>
      </c>
      <c r="T579" s="20">
        <f t="shared" si="5"/>
        <v>48.8</v>
      </c>
    </row>
    <row r="580">
      <c r="A580" s="27" t="s">
        <v>986</v>
      </c>
      <c r="B580" s="28" t="s">
        <v>27</v>
      </c>
      <c r="C580" s="28" t="s">
        <v>28</v>
      </c>
      <c r="D580" s="29" t="str">
        <f t="shared" si="1"/>
        <v>Active</v>
      </c>
      <c r="E580" s="30">
        <v>44049.0</v>
      </c>
      <c r="F580" s="100"/>
      <c r="G580" s="32">
        <f t="shared" si="2"/>
        <v>62.3</v>
      </c>
      <c r="H580" s="33">
        <v>43726.0</v>
      </c>
      <c r="I580" s="32">
        <f t="shared" si="3"/>
        <v>0.8833333333</v>
      </c>
      <c r="J580" s="34">
        <v>70.0</v>
      </c>
      <c r="K580" s="34">
        <v>11.5</v>
      </c>
      <c r="L580" s="35" t="s">
        <v>500</v>
      </c>
      <c r="M580" s="35"/>
      <c r="N580" s="35"/>
      <c r="O580" s="35" t="s">
        <v>334</v>
      </c>
      <c r="P580" s="36" t="s">
        <v>483</v>
      </c>
      <c r="Q580" s="35"/>
      <c r="R580" s="29" t="str">
        <f t="shared" si="4"/>
        <v>Active</v>
      </c>
      <c r="S580" s="33">
        <v>45547.0</v>
      </c>
      <c r="T580" s="32">
        <f t="shared" si="5"/>
        <v>49.2</v>
      </c>
    </row>
    <row r="581">
      <c r="A581" s="15" t="s">
        <v>987</v>
      </c>
      <c r="B581" s="16" t="s">
        <v>27</v>
      </c>
      <c r="C581" s="16" t="s">
        <v>183</v>
      </c>
      <c r="D581" s="17" t="str">
        <f t="shared" si="1"/>
        <v>Active</v>
      </c>
      <c r="E581" s="62">
        <v>44040.0</v>
      </c>
      <c r="F581" s="73"/>
      <c r="G581" s="20">
        <f t="shared" si="2"/>
        <v>62.56666667</v>
      </c>
      <c r="H581" s="18">
        <v>44040.0</v>
      </c>
      <c r="I581" s="20">
        <f t="shared" si="3"/>
        <v>0</v>
      </c>
      <c r="J581" s="53">
        <f>(60*4+65+75*2)/7</f>
        <v>65</v>
      </c>
      <c r="K581" s="53">
        <v>6.5</v>
      </c>
      <c r="L581" s="23" t="s">
        <v>37</v>
      </c>
      <c r="M581" s="23" t="s">
        <v>123</v>
      </c>
      <c r="N581" s="23" t="s">
        <v>988</v>
      </c>
      <c r="O581" s="23" t="s">
        <v>125</v>
      </c>
      <c r="P581" s="54" t="s">
        <v>989</v>
      </c>
      <c r="Q581" s="23"/>
      <c r="R581" s="17" t="str">
        <f t="shared" si="4"/>
        <v>Active</v>
      </c>
      <c r="S581" s="18">
        <v>45547.0</v>
      </c>
      <c r="T581" s="20">
        <f t="shared" si="5"/>
        <v>49.46666667</v>
      </c>
    </row>
    <row r="582">
      <c r="A582" s="27" t="s">
        <v>990</v>
      </c>
      <c r="B582" s="28" t="s">
        <v>27</v>
      </c>
      <c r="C582" s="29"/>
      <c r="D582" s="29" t="str">
        <f t="shared" si="1"/>
        <v>Active</v>
      </c>
      <c r="E582" s="30">
        <v>44026.0</v>
      </c>
      <c r="F582" s="100"/>
      <c r="G582" s="32">
        <f t="shared" si="2"/>
        <v>63.03333333</v>
      </c>
      <c r="H582" s="33">
        <v>39350.0</v>
      </c>
      <c r="I582" s="32">
        <f t="shared" si="3"/>
        <v>12.80277778</v>
      </c>
      <c r="J582" s="34">
        <v>88.0</v>
      </c>
      <c r="K582" s="34">
        <v>9.0</v>
      </c>
      <c r="L582" s="44" t="s">
        <v>184</v>
      </c>
      <c r="M582" s="44"/>
      <c r="N582" s="44"/>
      <c r="O582" s="35" t="s">
        <v>34</v>
      </c>
      <c r="P582" s="36" t="s">
        <v>858</v>
      </c>
      <c r="Q582" s="35" t="s">
        <v>863</v>
      </c>
      <c r="R582" s="29" t="str">
        <f t="shared" si="4"/>
        <v>Active</v>
      </c>
      <c r="S582" s="33">
        <v>45547.0</v>
      </c>
      <c r="T582" s="32">
        <f t="shared" si="5"/>
        <v>49.93333333</v>
      </c>
    </row>
    <row r="583">
      <c r="A583" s="15" t="s">
        <v>991</v>
      </c>
      <c r="B583" s="16" t="s">
        <v>27</v>
      </c>
      <c r="C583" s="16" t="s">
        <v>28</v>
      </c>
      <c r="D583" s="17" t="str">
        <f t="shared" si="1"/>
        <v>Active</v>
      </c>
      <c r="E583" s="62">
        <v>44026.0</v>
      </c>
      <c r="F583" s="73"/>
      <c r="G583" s="20">
        <f t="shared" si="2"/>
        <v>63.03333333</v>
      </c>
      <c r="H583" s="62">
        <v>44026.0</v>
      </c>
      <c r="I583" s="20">
        <f t="shared" si="3"/>
        <v>0</v>
      </c>
      <c r="J583" s="53">
        <f>(72+82)/2</f>
        <v>77</v>
      </c>
      <c r="K583" s="53">
        <v>12.0</v>
      </c>
      <c r="L583" s="23" t="s">
        <v>918</v>
      </c>
      <c r="M583" s="23"/>
      <c r="N583" s="23"/>
      <c r="O583" s="23" t="s">
        <v>125</v>
      </c>
      <c r="P583" s="54" t="s">
        <v>992</v>
      </c>
      <c r="Q583" s="23"/>
      <c r="R583" s="17" t="str">
        <f t="shared" si="4"/>
        <v>Active</v>
      </c>
      <c r="S583" s="18">
        <v>45547.0</v>
      </c>
      <c r="T583" s="20">
        <f t="shared" si="5"/>
        <v>49.93333333</v>
      </c>
    </row>
    <row r="584">
      <c r="A584" s="27" t="s">
        <v>993</v>
      </c>
      <c r="B584" s="28" t="s">
        <v>27</v>
      </c>
      <c r="C584" s="28" t="s">
        <v>28</v>
      </c>
      <c r="D584" s="29" t="str">
        <f t="shared" si="1"/>
        <v>Active</v>
      </c>
      <c r="E584" s="30">
        <v>44021.0</v>
      </c>
      <c r="F584" s="100"/>
      <c r="G584" s="32">
        <f t="shared" si="2"/>
        <v>63.2</v>
      </c>
      <c r="H584" s="33">
        <v>43418.0</v>
      </c>
      <c r="I584" s="32">
        <f t="shared" si="3"/>
        <v>1.652777778</v>
      </c>
      <c r="J584" s="34">
        <v>68.0</v>
      </c>
      <c r="K584" s="34">
        <v>29.5</v>
      </c>
      <c r="L584" s="35" t="s">
        <v>994</v>
      </c>
      <c r="M584" s="35" t="s">
        <v>451</v>
      </c>
      <c r="N584" s="35" t="s">
        <v>995</v>
      </c>
      <c r="O584" s="35" t="s">
        <v>34</v>
      </c>
      <c r="P584" s="36" t="s">
        <v>996</v>
      </c>
      <c r="Q584" s="35"/>
      <c r="R584" s="29" t="str">
        <f t="shared" si="4"/>
        <v>Active</v>
      </c>
      <c r="S584" s="33">
        <v>45547.0</v>
      </c>
      <c r="T584" s="32">
        <f t="shared" si="5"/>
        <v>50.1</v>
      </c>
    </row>
    <row r="585">
      <c r="A585" s="15" t="s">
        <v>997</v>
      </c>
      <c r="B585" s="16" t="s">
        <v>27</v>
      </c>
      <c r="C585" s="16" t="s">
        <v>121</v>
      </c>
      <c r="D585" s="17" t="str">
        <f t="shared" si="1"/>
        <v>Active</v>
      </c>
      <c r="E585" s="62">
        <v>44000.0</v>
      </c>
      <c r="F585" s="73"/>
      <c r="G585" s="20">
        <f t="shared" si="2"/>
        <v>63.9</v>
      </c>
      <c r="H585" s="18">
        <v>44000.0</v>
      </c>
      <c r="I585" s="20">
        <f t="shared" si="3"/>
        <v>0</v>
      </c>
      <c r="J585" s="53">
        <v>90.0</v>
      </c>
      <c r="K585" s="53">
        <v>14.0</v>
      </c>
      <c r="L585" s="23" t="s">
        <v>29</v>
      </c>
      <c r="M585" s="43"/>
      <c r="N585" s="43"/>
      <c r="O585" s="23" t="s">
        <v>125</v>
      </c>
      <c r="P585" s="54" t="s">
        <v>998</v>
      </c>
      <c r="Q585" s="23"/>
      <c r="R585" s="17" t="str">
        <f t="shared" si="4"/>
        <v>Active</v>
      </c>
      <c r="S585" s="18">
        <v>45547.0</v>
      </c>
      <c r="T585" s="20">
        <f t="shared" si="5"/>
        <v>50.8</v>
      </c>
    </row>
    <row r="586">
      <c r="A586" s="27" t="s">
        <v>999</v>
      </c>
      <c r="B586" s="28" t="s">
        <v>40</v>
      </c>
      <c r="C586" s="29"/>
      <c r="D586" s="29" t="str">
        <f t="shared" si="1"/>
        <v>Active</v>
      </c>
      <c r="E586" s="30">
        <v>43993.0</v>
      </c>
      <c r="F586" s="100"/>
      <c r="G586" s="32">
        <f t="shared" si="2"/>
        <v>64.13333333</v>
      </c>
      <c r="H586" s="33">
        <v>43214.0</v>
      </c>
      <c r="I586" s="32">
        <f t="shared" si="3"/>
        <v>2.130555556</v>
      </c>
      <c r="J586" s="34">
        <v>78.0</v>
      </c>
      <c r="K586" s="34">
        <v>54.0</v>
      </c>
      <c r="L586" s="35" t="s">
        <v>567</v>
      </c>
      <c r="M586" s="35"/>
      <c r="N586" s="35"/>
      <c r="O586" s="35" t="s">
        <v>125</v>
      </c>
      <c r="P586" s="36" t="s">
        <v>1000</v>
      </c>
      <c r="Q586" s="35"/>
      <c r="R586" s="59" t="str">
        <f t="shared" si="4"/>
        <v>Active</v>
      </c>
      <c r="S586" s="60">
        <v>45931.0</v>
      </c>
      <c r="T586" s="32">
        <f t="shared" si="5"/>
        <v>63.66666667</v>
      </c>
    </row>
    <row r="587">
      <c r="A587" s="15" t="s">
        <v>1001</v>
      </c>
      <c r="B587" s="16" t="s">
        <v>27</v>
      </c>
      <c r="C587" s="16" t="s">
        <v>28</v>
      </c>
      <c r="D587" s="17" t="str">
        <f t="shared" si="1"/>
        <v>Active</v>
      </c>
      <c r="E587" s="62">
        <v>43993.0</v>
      </c>
      <c r="F587" s="73"/>
      <c r="G587" s="20">
        <f t="shared" si="2"/>
        <v>64.13333333</v>
      </c>
      <c r="H587" s="18">
        <v>42591.0</v>
      </c>
      <c r="I587" s="20">
        <f t="shared" si="3"/>
        <v>3.838888889</v>
      </c>
      <c r="J587" s="53">
        <f>ROUND((61+77)/2,)</f>
        <v>69</v>
      </c>
      <c r="K587" s="53">
        <v>30.5</v>
      </c>
      <c r="L587" s="23" t="s">
        <v>1002</v>
      </c>
      <c r="M587" s="23" t="s">
        <v>123</v>
      </c>
      <c r="N587" s="23"/>
      <c r="O587" s="23" t="s">
        <v>125</v>
      </c>
      <c r="P587" s="54" t="s">
        <v>1003</v>
      </c>
      <c r="Q587" s="23"/>
      <c r="R587" s="17" t="str">
        <f t="shared" si="4"/>
        <v>Active</v>
      </c>
      <c r="S587" s="18">
        <v>45547.0</v>
      </c>
      <c r="T587" s="20">
        <f t="shared" si="5"/>
        <v>51.03333333</v>
      </c>
    </row>
    <row r="588">
      <c r="A588" s="27" t="s">
        <v>1004</v>
      </c>
      <c r="B588" s="28" t="s">
        <v>27</v>
      </c>
      <c r="C588" s="28" t="s">
        <v>121</v>
      </c>
      <c r="D588" s="29" t="str">
        <f t="shared" si="1"/>
        <v>Active</v>
      </c>
      <c r="E588" s="70">
        <v>43977.0</v>
      </c>
      <c r="F588" s="100"/>
      <c r="G588" s="32">
        <f t="shared" si="2"/>
        <v>64.63333333</v>
      </c>
      <c r="H588" s="33">
        <v>43977.0</v>
      </c>
      <c r="I588" s="32">
        <f t="shared" si="3"/>
        <v>0</v>
      </c>
      <c r="J588" s="34">
        <f>(70+75)/2</f>
        <v>72.5</v>
      </c>
      <c r="K588" s="34">
        <v>5.0</v>
      </c>
      <c r="L588" s="35" t="s">
        <v>509</v>
      </c>
      <c r="M588" s="35" t="s">
        <v>123</v>
      </c>
      <c r="N588" s="35"/>
      <c r="O588" s="35" t="s">
        <v>334</v>
      </c>
      <c r="P588" s="36" t="s">
        <v>483</v>
      </c>
      <c r="Q588" s="35"/>
      <c r="R588" s="29" t="str">
        <f t="shared" si="4"/>
        <v>Active</v>
      </c>
      <c r="S588" s="33">
        <v>45547.0</v>
      </c>
      <c r="T588" s="32">
        <f t="shared" si="5"/>
        <v>51.53333333</v>
      </c>
    </row>
    <row r="589">
      <c r="A589" s="15" t="s">
        <v>1005</v>
      </c>
      <c r="B589" s="16" t="s">
        <v>27</v>
      </c>
      <c r="C589" s="16" t="s">
        <v>121</v>
      </c>
      <c r="D589" s="17" t="str">
        <f t="shared" si="1"/>
        <v>Active</v>
      </c>
      <c r="E589" s="62">
        <v>43970.0</v>
      </c>
      <c r="F589" s="73"/>
      <c r="G589" s="20">
        <f t="shared" si="2"/>
        <v>64.86666667</v>
      </c>
      <c r="H589" s="18">
        <v>43970.0</v>
      </c>
      <c r="I589" s="20">
        <f t="shared" si="3"/>
        <v>0</v>
      </c>
      <c r="J589" s="53">
        <v>68.0</v>
      </c>
      <c r="K589" s="53">
        <v>23.5</v>
      </c>
      <c r="L589" s="23" t="s">
        <v>1006</v>
      </c>
      <c r="M589" s="23" t="s">
        <v>451</v>
      </c>
      <c r="N589" s="23" t="s">
        <v>658</v>
      </c>
      <c r="O589" s="23" t="s">
        <v>334</v>
      </c>
      <c r="P589" s="54" t="s">
        <v>1007</v>
      </c>
      <c r="Q589" s="23"/>
      <c r="R589" s="17" t="str">
        <f t="shared" si="4"/>
        <v>Active</v>
      </c>
      <c r="S589" s="18">
        <v>45547.0</v>
      </c>
      <c r="T589" s="20">
        <f t="shared" si="5"/>
        <v>51.76666667</v>
      </c>
    </row>
    <row r="590">
      <c r="A590" s="27" t="s">
        <v>1008</v>
      </c>
      <c r="B590" s="28" t="s">
        <v>27</v>
      </c>
      <c r="C590" s="29"/>
      <c r="D590" s="29" t="str">
        <f t="shared" si="1"/>
        <v>Active</v>
      </c>
      <c r="E590" s="30">
        <v>43963.0</v>
      </c>
      <c r="F590" s="100"/>
      <c r="G590" s="32">
        <f t="shared" si="2"/>
        <v>65.1</v>
      </c>
      <c r="H590" s="33">
        <v>38300.0</v>
      </c>
      <c r="I590" s="32">
        <f t="shared" si="3"/>
        <v>15.50833333</v>
      </c>
      <c r="J590" s="34">
        <v>71.0</v>
      </c>
      <c r="K590" s="34">
        <v>8.0</v>
      </c>
      <c r="L590" s="44" t="s">
        <v>184</v>
      </c>
      <c r="M590" s="44"/>
      <c r="N590" s="44"/>
      <c r="O590" s="35" t="s">
        <v>34</v>
      </c>
      <c r="P590" s="36" t="s">
        <v>858</v>
      </c>
      <c r="Q590" s="35"/>
      <c r="R590" s="29" t="str">
        <f t="shared" si="4"/>
        <v>Active</v>
      </c>
      <c r="S590" s="33">
        <v>45547.0</v>
      </c>
      <c r="T590" s="32">
        <f t="shared" si="5"/>
        <v>52</v>
      </c>
    </row>
    <row r="591">
      <c r="A591" s="15" t="s">
        <v>1009</v>
      </c>
      <c r="B591" s="16" t="s">
        <v>68</v>
      </c>
      <c r="C591" s="16" t="s">
        <v>28</v>
      </c>
      <c r="D591" s="17" t="str">
        <f t="shared" si="1"/>
        <v>Active</v>
      </c>
      <c r="E591" s="62">
        <v>43958.0</v>
      </c>
      <c r="F591" s="73"/>
      <c r="G591" s="20">
        <f t="shared" si="2"/>
        <v>65.26666667</v>
      </c>
      <c r="H591" s="18">
        <v>41621.0</v>
      </c>
      <c r="I591" s="20">
        <f t="shared" si="3"/>
        <v>6.4</v>
      </c>
      <c r="J591" s="65">
        <v>56.0</v>
      </c>
      <c r="K591" s="53">
        <v>65.5</v>
      </c>
      <c r="L591" s="23" t="s">
        <v>1010</v>
      </c>
      <c r="M591" s="43"/>
      <c r="N591" s="115" t="s">
        <v>378</v>
      </c>
      <c r="O591" s="23" t="s">
        <v>34</v>
      </c>
      <c r="P591" s="54" t="s">
        <v>446</v>
      </c>
      <c r="Q591" s="23"/>
      <c r="R591" s="17" t="str">
        <f t="shared" si="4"/>
        <v>Active</v>
      </c>
      <c r="S591" s="18">
        <v>45547.0</v>
      </c>
      <c r="T591" s="20">
        <f t="shared" si="5"/>
        <v>52.16666667</v>
      </c>
    </row>
    <row r="592">
      <c r="A592" s="27" t="s">
        <v>1011</v>
      </c>
      <c r="B592" s="28" t="s">
        <v>27</v>
      </c>
      <c r="C592" s="28" t="s">
        <v>28</v>
      </c>
      <c r="D592" s="29" t="str">
        <f t="shared" si="1"/>
        <v>Active</v>
      </c>
      <c r="E592" s="30">
        <v>43958.0</v>
      </c>
      <c r="F592" s="100"/>
      <c r="G592" s="32">
        <f t="shared" si="2"/>
        <v>65.26666667</v>
      </c>
      <c r="H592" s="33">
        <v>43809.0</v>
      </c>
      <c r="I592" s="32">
        <f t="shared" si="3"/>
        <v>0.4083333333</v>
      </c>
      <c r="J592" s="69">
        <v>74.0</v>
      </c>
      <c r="K592" s="34">
        <v>46.5</v>
      </c>
      <c r="L592" s="35" t="s">
        <v>1012</v>
      </c>
      <c r="M592" s="35"/>
      <c r="N592" s="35"/>
      <c r="O592" s="35" t="s">
        <v>125</v>
      </c>
      <c r="P592" s="36" t="s">
        <v>1013</v>
      </c>
      <c r="Q592" s="35"/>
      <c r="R592" s="29" t="str">
        <f t="shared" si="4"/>
        <v>Active</v>
      </c>
      <c r="S592" s="33">
        <v>45547.0</v>
      </c>
      <c r="T592" s="32">
        <f t="shared" si="5"/>
        <v>52.16666667</v>
      </c>
    </row>
    <row r="593">
      <c r="A593" s="64" t="s">
        <v>1014</v>
      </c>
      <c r="B593" s="16" t="s">
        <v>27</v>
      </c>
      <c r="C593" s="16" t="s">
        <v>183</v>
      </c>
      <c r="D593" s="17" t="str">
        <f t="shared" si="1"/>
        <v>Active</v>
      </c>
      <c r="E593" s="76">
        <v>43949.0</v>
      </c>
      <c r="F593" s="52"/>
      <c r="G593" s="20">
        <f t="shared" si="2"/>
        <v>65.56666667</v>
      </c>
      <c r="H593" s="18">
        <v>43949.0</v>
      </c>
      <c r="I593" s="20">
        <f t="shared" si="3"/>
        <v>0</v>
      </c>
      <c r="J593" s="65">
        <v>81.0</v>
      </c>
      <c r="K593" s="53">
        <v>22.5</v>
      </c>
      <c r="L593" s="43" t="s">
        <v>119</v>
      </c>
      <c r="M593" s="23" t="s">
        <v>123</v>
      </c>
      <c r="N593" s="23"/>
      <c r="O593" s="23" t="s">
        <v>34</v>
      </c>
      <c r="P593" s="54" t="s">
        <v>709</v>
      </c>
      <c r="Q593" s="23"/>
      <c r="R593" s="17" t="str">
        <f t="shared" si="4"/>
        <v>Active</v>
      </c>
      <c r="S593" s="18">
        <v>45547.0</v>
      </c>
      <c r="T593" s="20">
        <f t="shared" si="5"/>
        <v>52.46666667</v>
      </c>
    </row>
    <row r="594">
      <c r="A594" s="67" t="s">
        <v>1015</v>
      </c>
      <c r="B594" s="28" t="s">
        <v>27</v>
      </c>
      <c r="C594" s="28" t="s">
        <v>28</v>
      </c>
      <c r="D594" s="29" t="str">
        <f t="shared" si="1"/>
        <v>Active</v>
      </c>
      <c r="E594" s="70">
        <v>43922.0</v>
      </c>
      <c r="F594" s="100"/>
      <c r="G594" s="32">
        <f t="shared" si="2"/>
        <v>66.46666667</v>
      </c>
      <c r="H594" s="33">
        <v>43922.0</v>
      </c>
      <c r="I594" s="32">
        <f t="shared" si="3"/>
        <v>0</v>
      </c>
      <c r="J594" s="69">
        <v>60.0</v>
      </c>
      <c r="K594" s="34">
        <v>1.0</v>
      </c>
      <c r="L594" s="44" t="s">
        <v>1016</v>
      </c>
      <c r="M594" s="35" t="s">
        <v>451</v>
      </c>
      <c r="N594" s="35" t="s">
        <v>1017</v>
      </c>
      <c r="O594" s="35" t="s">
        <v>334</v>
      </c>
      <c r="P594" s="36" t="s">
        <v>1018</v>
      </c>
      <c r="Q594" s="35"/>
      <c r="R594" s="29" t="str">
        <f t="shared" si="4"/>
        <v>Active</v>
      </c>
      <c r="S594" s="33">
        <v>45547.0</v>
      </c>
      <c r="T594" s="32">
        <f t="shared" si="5"/>
        <v>53.36666667</v>
      </c>
    </row>
    <row r="595">
      <c r="A595" s="64" t="s">
        <v>1019</v>
      </c>
      <c r="B595" s="16" t="s">
        <v>27</v>
      </c>
      <c r="C595" s="16" t="s">
        <v>28</v>
      </c>
      <c r="D595" s="17" t="str">
        <f t="shared" si="1"/>
        <v>Active</v>
      </c>
      <c r="E595" s="76">
        <v>43914.0</v>
      </c>
      <c r="F595" s="73"/>
      <c r="G595" s="20">
        <f t="shared" si="2"/>
        <v>66.7</v>
      </c>
      <c r="H595" s="18">
        <v>43914.0</v>
      </c>
      <c r="I595" s="20">
        <f t="shared" si="3"/>
        <v>0</v>
      </c>
      <c r="J595" s="65">
        <v>70.0</v>
      </c>
      <c r="K595" s="53">
        <v>6.5</v>
      </c>
      <c r="L595" s="43" t="s">
        <v>366</v>
      </c>
      <c r="M595" s="43"/>
      <c r="N595" s="43"/>
      <c r="O595" s="23" t="s">
        <v>125</v>
      </c>
      <c r="P595" s="54" t="s">
        <v>551</v>
      </c>
      <c r="Q595" s="23"/>
      <c r="R595" s="17" t="str">
        <f t="shared" si="4"/>
        <v>Active</v>
      </c>
      <c r="S595" s="18">
        <v>45547.0</v>
      </c>
      <c r="T595" s="20">
        <f t="shared" si="5"/>
        <v>53.6</v>
      </c>
    </row>
    <row r="596">
      <c r="A596" s="67" t="s">
        <v>1020</v>
      </c>
      <c r="B596" s="28" t="s">
        <v>27</v>
      </c>
      <c r="C596" s="28" t="s">
        <v>28</v>
      </c>
      <c r="D596" s="29" t="str">
        <f t="shared" si="1"/>
        <v>Active</v>
      </c>
      <c r="E596" s="70">
        <v>43901.0</v>
      </c>
      <c r="F596" s="100"/>
      <c r="G596" s="32">
        <f t="shared" si="2"/>
        <v>67.13333333</v>
      </c>
      <c r="H596" s="33">
        <v>43901.0</v>
      </c>
      <c r="I596" s="32">
        <f t="shared" si="3"/>
        <v>0</v>
      </c>
      <c r="J596" s="69">
        <v>90.0</v>
      </c>
      <c r="K596" s="34">
        <v>11.0</v>
      </c>
      <c r="L596" s="44" t="s">
        <v>918</v>
      </c>
      <c r="M596" s="35" t="s">
        <v>123</v>
      </c>
      <c r="N596" s="35" t="s">
        <v>658</v>
      </c>
      <c r="O596" s="35" t="s">
        <v>132</v>
      </c>
      <c r="P596" s="36" t="s">
        <v>340</v>
      </c>
      <c r="Q596" s="35"/>
      <c r="R596" s="29" t="str">
        <f t="shared" si="4"/>
        <v>Active</v>
      </c>
      <c r="S596" s="33">
        <v>45547.0</v>
      </c>
      <c r="T596" s="32">
        <f t="shared" si="5"/>
        <v>54.03333333</v>
      </c>
    </row>
    <row r="597">
      <c r="A597" s="15" t="s">
        <v>1021</v>
      </c>
      <c r="B597" s="16" t="s">
        <v>27</v>
      </c>
      <c r="C597" s="17"/>
      <c r="D597" s="17" t="str">
        <f t="shared" si="1"/>
        <v>Active</v>
      </c>
      <c r="E597" s="76">
        <v>43893.0</v>
      </c>
      <c r="F597" s="73"/>
      <c r="G597" s="20">
        <f t="shared" si="2"/>
        <v>67.4</v>
      </c>
      <c r="H597" s="18">
        <v>37210.0</v>
      </c>
      <c r="I597" s="20">
        <f t="shared" si="3"/>
        <v>18.3</v>
      </c>
      <c r="J597" s="53">
        <v>79.0</v>
      </c>
      <c r="K597" s="53">
        <v>10.0</v>
      </c>
      <c r="L597" s="43" t="s">
        <v>184</v>
      </c>
      <c r="M597" s="43"/>
      <c r="N597" s="43"/>
      <c r="O597" s="23" t="s">
        <v>34</v>
      </c>
      <c r="P597" s="54" t="s">
        <v>858</v>
      </c>
      <c r="Q597" s="23"/>
      <c r="R597" s="17" t="str">
        <f t="shared" si="4"/>
        <v>Active</v>
      </c>
      <c r="S597" s="18">
        <v>45547.0</v>
      </c>
      <c r="T597" s="20">
        <f t="shared" si="5"/>
        <v>54.3</v>
      </c>
    </row>
    <row r="598">
      <c r="A598" s="67" t="s">
        <v>1022</v>
      </c>
      <c r="B598" s="28" t="s">
        <v>27</v>
      </c>
      <c r="C598" s="28" t="s">
        <v>121</v>
      </c>
      <c r="D598" s="29" t="str">
        <f t="shared" si="1"/>
        <v>Active</v>
      </c>
      <c r="E598" s="70">
        <v>43886.0</v>
      </c>
      <c r="F598" s="100"/>
      <c r="G598" s="32">
        <f t="shared" si="2"/>
        <v>67.66666667</v>
      </c>
      <c r="H598" s="33">
        <v>43886.0</v>
      </c>
      <c r="I598" s="32">
        <f t="shared" si="3"/>
        <v>0</v>
      </c>
      <c r="J598" s="69">
        <v>60.0</v>
      </c>
      <c r="K598" s="34">
        <v>18.5</v>
      </c>
      <c r="L598" s="35" t="s">
        <v>567</v>
      </c>
      <c r="M598" s="44"/>
      <c r="N598" s="44"/>
      <c r="O598" s="35" t="s">
        <v>125</v>
      </c>
      <c r="P598" s="36" t="s">
        <v>1023</v>
      </c>
      <c r="Q598" s="35"/>
      <c r="R598" s="29" t="str">
        <f t="shared" si="4"/>
        <v>Active</v>
      </c>
      <c r="S598" s="33">
        <v>45547.0</v>
      </c>
      <c r="T598" s="32">
        <f t="shared" si="5"/>
        <v>54.56666667</v>
      </c>
    </row>
    <row r="599">
      <c r="A599" s="64" t="s">
        <v>1024</v>
      </c>
      <c r="B599" s="16" t="s">
        <v>27</v>
      </c>
      <c r="C599" s="16" t="s">
        <v>28</v>
      </c>
      <c r="D599" s="17" t="str">
        <f t="shared" si="1"/>
        <v>Active</v>
      </c>
      <c r="E599" s="76">
        <v>43867.0</v>
      </c>
      <c r="F599" s="73"/>
      <c r="G599" s="20">
        <f t="shared" si="2"/>
        <v>68.3</v>
      </c>
      <c r="H599" s="18">
        <v>43671.0</v>
      </c>
      <c r="I599" s="20">
        <f t="shared" si="3"/>
        <v>0.5305555556</v>
      </c>
      <c r="J599" s="65">
        <v>68.0</v>
      </c>
      <c r="K599" s="53">
        <v>9.0</v>
      </c>
      <c r="L599" s="43" t="s">
        <v>184</v>
      </c>
      <c r="M599" s="43"/>
      <c r="N599" s="43"/>
      <c r="O599" s="23" t="s">
        <v>34</v>
      </c>
      <c r="P599" s="54" t="s">
        <v>709</v>
      </c>
      <c r="Q599" s="23"/>
      <c r="R599" s="17" t="str">
        <f t="shared" si="4"/>
        <v>Active</v>
      </c>
      <c r="S599" s="18">
        <v>45547.0</v>
      </c>
      <c r="T599" s="20">
        <f t="shared" si="5"/>
        <v>55.2</v>
      </c>
    </row>
    <row r="600">
      <c r="A600" s="67" t="s">
        <v>1025</v>
      </c>
      <c r="B600" s="28" t="s">
        <v>27</v>
      </c>
      <c r="C600" s="28" t="s">
        <v>121</v>
      </c>
      <c r="D600" s="29" t="str">
        <f t="shared" si="1"/>
        <v>Active</v>
      </c>
      <c r="E600" s="30">
        <v>43839.0</v>
      </c>
      <c r="F600" s="100"/>
      <c r="G600" s="32">
        <f t="shared" si="2"/>
        <v>69.2</v>
      </c>
      <c r="H600" s="33">
        <v>43214.0</v>
      </c>
      <c r="I600" s="32">
        <f t="shared" si="3"/>
        <v>1.708333333</v>
      </c>
      <c r="J600" s="69">
        <v>84.0</v>
      </c>
      <c r="K600" s="34">
        <v>10.0</v>
      </c>
      <c r="L600" s="35" t="s">
        <v>50</v>
      </c>
      <c r="M600" s="35"/>
      <c r="N600" s="35"/>
      <c r="O600" s="35" t="s">
        <v>34</v>
      </c>
      <c r="P600" s="36" t="s">
        <v>1026</v>
      </c>
      <c r="Q600" s="35"/>
      <c r="R600" s="29" t="str">
        <f t="shared" si="4"/>
        <v>Active</v>
      </c>
      <c r="S600" s="33">
        <v>45547.0</v>
      </c>
      <c r="T600" s="32">
        <f t="shared" si="5"/>
        <v>56.1</v>
      </c>
    </row>
    <row r="601">
      <c r="A601" s="64" t="s">
        <v>1027</v>
      </c>
      <c r="B601" s="16" t="s">
        <v>27</v>
      </c>
      <c r="C601" s="16" t="s">
        <v>121</v>
      </c>
      <c r="D601" s="17" t="str">
        <f t="shared" si="1"/>
        <v>Active</v>
      </c>
      <c r="E601" s="76">
        <v>43819.0</v>
      </c>
      <c r="F601" s="73"/>
      <c r="G601" s="20">
        <f t="shared" si="2"/>
        <v>69.83333333</v>
      </c>
      <c r="H601" s="18">
        <v>43802.0</v>
      </c>
      <c r="I601" s="20">
        <f t="shared" si="3"/>
        <v>0.04722222222</v>
      </c>
      <c r="J601" s="65">
        <v>74.0</v>
      </c>
      <c r="K601" s="53">
        <v>32.0</v>
      </c>
      <c r="L601" s="43" t="s">
        <v>119</v>
      </c>
      <c r="M601" s="43"/>
      <c r="N601" s="23" t="s">
        <v>1028</v>
      </c>
      <c r="O601" s="23" t="s">
        <v>125</v>
      </c>
      <c r="P601" s="54" t="s">
        <v>919</v>
      </c>
      <c r="Q601" s="23"/>
      <c r="R601" s="17" t="str">
        <f t="shared" si="4"/>
        <v>Active</v>
      </c>
      <c r="S601" s="18">
        <v>45547.0</v>
      </c>
      <c r="T601" s="20">
        <f t="shared" si="5"/>
        <v>56.73333333</v>
      </c>
    </row>
    <row r="602">
      <c r="A602" s="27" t="s">
        <v>1029</v>
      </c>
      <c r="B602" s="28" t="s">
        <v>27</v>
      </c>
      <c r="C602" s="28" t="s">
        <v>121</v>
      </c>
      <c r="D602" s="29" t="str">
        <f t="shared" si="1"/>
        <v>Active</v>
      </c>
      <c r="E602" s="70">
        <v>43819.0</v>
      </c>
      <c r="F602" s="100"/>
      <c r="G602" s="32">
        <f t="shared" si="2"/>
        <v>69.83333333</v>
      </c>
      <c r="H602" s="33">
        <v>43556.0</v>
      </c>
      <c r="I602" s="32">
        <f t="shared" si="3"/>
        <v>0.7194444444</v>
      </c>
      <c r="J602" s="101">
        <f>7.6*10</f>
        <v>76</v>
      </c>
      <c r="K602" s="34">
        <v>4.5</v>
      </c>
      <c r="L602" s="44" t="s">
        <v>522</v>
      </c>
      <c r="M602" s="44"/>
      <c r="N602" s="44"/>
      <c r="O602" s="35" t="s">
        <v>125</v>
      </c>
      <c r="P602" s="36" t="s">
        <v>475</v>
      </c>
      <c r="Q602" s="35"/>
      <c r="R602" s="29" t="str">
        <f t="shared" si="4"/>
        <v>Active</v>
      </c>
      <c r="S602" s="33">
        <v>45547.0</v>
      </c>
      <c r="T602" s="32">
        <f t="shared" si="5"/>
        <v>56.73333333</v>
      </c>
    </row>
    <row r="603">
      <c r="A603" s="15" t="s">
        <v>1030</v>
      </c>
      <c r="B603" s="16" t="s">
        <v>27</v>
      </c>
      <c r="C603" s="16" t="s">
        <v>121</v>
      </c>
      <c r="D603" s="17" t="str">
        <f t="shared" si="1"/>
        <v>Active</v>
      </c>
      <c r="E603" s="76">
        <v>43818.0</v>
      </c>
      <c r="F603" s="73"/>
      <c r="G603" s="20">
        <f t="shared" si="2"/>
        <v>69.86666667</v>
      </c>
      <c r="H603" s="18">
        <v>42089.0</v>
      </c>
      <c r="I603" s="20">
        <f t="shared" si="3"/>
        <v>4.730555556</v>
      </c>
      <c r="J603" s="65">
        <v>86.0</v>
      </c>
      <c r="K603" s="53">
        <v>35.5</v>
      </c>
      <c r="L603" s="23" t="s">
        <v>29</v>
      </c>
      <c r="M603" s="43"/>
      <c r="N603" s="23" t="s">
        <v>1031</v>
      </c>
      <c r="O603" s="23" t="s">
        <v>34</v>
      </c>
      <c r="P603" s="54" t="s">
        <v>1032</v>
      </c>
      <c r="Q603" s="23"/>
      <c r="R603" s="17" t="str">
        <f t="shared" si="4"/>
        <v>Active</v>
      </c>
      <c r="S603" s="18">
        <v>45547.0</v>
      </c>
      <c r="T603" s="20">
        <f t="shared" si="5"/>
        <v>56.76666667</v>
      </c>
    </row>
    <row r="604">
      <c r="A604" s="67" t="s">
        <v>1033</v>
      </c>
      <c r="B604" s="28" t="s">
        <v>27</v>
      </c>
      <c r="C604" s="28" t="s">
        <v>121</v>
      </c>
      <c r="D604" s="29" t="str">
        <f t="shared" si="1"/>
        <v>Active</v>
      </c>
      <c r="E604" s="70">
        <v>43811.0</v>
      </c>
      <c r="F604" s="100"/>
      <c r="G604" s="32">
        <f t="shared" si="2"/>
        <v>70.1</v>
      </c>
      <c r="H604" s="33">
        <v>43319.0</v>
      </c>
      <c r="I604" s="32">
        <f t="shared" si="3"/>
        <v>1.347222222</v>
      </c>
      <c r="J604" s="69">
        <v>83.0</v>
      </c>
      <c r="K604" s="34">
        <v>6.5</v>
      </c>
      <c r="L604" s="35" t="s">
        <v>50</v>
      </c>
      <c r="M604" s="35" t="s">
        <v>451</v>
      </c>
      <c r="N604" s="35" t="s">
        <v>658</v>
      </c>
      <c r="O604" s="35" t="s">
        <v>132</v>
      </c>
      <c r="P604" s="36"/>
      <c r="Q604" s="35"/>
      <c r="R604" s="29" t="str">
        <f t="shared" si="4"/>
        <v>Active</v>
      </c>
      <c r="S604" s="33">
        <v>45547.0</v>
      </c>
      <c r="T604" s="32">
        <f t="shared" si="5"/>
        <v>57</v>
      </c>
    </row>
    <row r="605">
      <c r="A605" s="15" t="s">
        <v>1034</v>
      </c>
      <c r="B605" s="16" t="s">
        <v>27</v>
      </c>
      <c r="C605" s="16"/>
      <c r="D605" s="17" t="str">
        <f t="shared" si="1"/>
        <v>Active</v>
      </c>
      <c r="E605" s="62">
        <v>43802.0</v>
      </c>
      <c r="F605" s="52"/>
      <c r="G605" s="20">
        <f t="shared" si="2"/>
        <v>70.4</v>
      </c>
      <c r="H605" s="18">
        <v>40435.0</v>
      </c>
      <c r="I605" s="20">
        <f t="shared" si="3"/>
        <v>9.219444444</v>
      </c>
      <c r="J605" s="53">
        <v>91.0</v>
      </c>
      <c r="K605" s="53">
        <v>8.0</v>
      </c>
      <c r="L605" s="23" t="s">
        <v>1035</v>
      </c>
      <c r="M605" s="23"/>
      <c r="N605" s="23"/>
      <c r="O605" s="23" t="s">
        <v>34</v>
      </c>
      <c r="P605" s="54" t="s">
        <v>858</v>
      </c>
      <c r="Q605" s="23" t="s">
        <v>863</v>
      </c>
      <c r="R605" s="17" t="str">
        <f t="shared" si="4"/>
        <v>Active</v>
      </c>
      <c r="S605" s="18">
        <v>45547.0</v>
      </c>
      <c r="T605" s="20">
        <f t="shared" si="5"/>
        <v>57.3</v>
      </c>
    </row>
    <row r="606">
      <c r="A606" s="67" t="s">
        <v>1036</v>
      </c>
      <c r="B606" s="28" t="s">
        <v>27</v>
      </c>
      <c r="C606" s="29"/>
      <c r="D606" s="29" t="str">
        <f t="shared" si="1"/>
        <v>Active</v>
      </c>
      <c r="E606" s="70">
        <v>43783.0</v>
      </c>
      <c r="F606" s="100"/>
      <c r="G606" s="32">
        <f t="shared" si="2"/>
        <v>71.03333333</v>
      </c>
      <c r="H606" s="33">
        <v>43783.0</v>
      </c>
      <c r="I606" s="32">
        <f t="shared" si="3"/>
        <v>0</v>
      </c>
      <c r="J606" s="34">
        <v>84.0</v>
      </c>
      <c r="K606" s="34">
        <v>35.5</v>
      </c>
      <c r="L606" s="44" t="s">
        <v>119</v>
      </c>
      <c r="M606" s="44"/>
      <c r="N606" s="35" t="s">
        <v>1037</v>
      </c>
      <c r="O606" s="35" t="s">
        <v>125</v>
      </c>
      <c r="P606" s="36" t="s">
        <v>1038</v>
      </c>
      <c r="Q606" s="35"/>
      <c r="R606" s="29" t="str">
        <f t="shared" si="4"/>
        <v>Active</v>
      </c>
      <c r="S606" s="33">
        <v>45547.0</v>
      </c>
      <c r="T606" s="32">
        <f t="shared" si="5"/>
        <v>57.93333333</v>
      </c>
    </row>
    <row r="607">
      <c r="A607" s="15" t="s">
        <v>1039</v>
      </c>
      <c r="B607" s="16" t="s">
        <v>27</v>
      </c>
      <c r="C607" s="16" t="s">
        <v>28</v>
      </c>
      <c r="D607" s="17" t="str">
        <f t="shared" si="1"/>
        <v>Active</v>
      </c>
      <c r="E607" s="76">
        <v>43783.0</v>
      </c>
      <c r="F607" s="73"/>
      <c r="G607" s="20">
        <f t="shared" si="2"/>
        <v>71.03333333</v>
      </c>
      <c r="H607" s="18">
        <v>43599.0</v>
      </c>
      <c r="I607" s="20">
        <f t="shared" si="3"/>
        <v>0.5</v>
      </c>
      <c r="J607" s="65">
        <v>72.0</v>
      </c>
      <c r="K607" s="53">
        <v>10.0</v>
      </c>
      <c r="L607" s="43" t="s">
        <v>184</v>
      </c>
      <c r="M607" s="43"/>
      <c r="N607" s="43"/>
      <c r="O607" s="23" t="s">
        <v>34</v>
      </c>
      <c r="P607" s="54" t="s">
        <v>1040</v>
      </c>
      <c r="Q607" s="23"/>
      <c r="R607" s="17" t="str">
        <f t="shared" si="4"/>
        <v>Active</v>
      </c>
      <c r="S607" s="18">
        <v>45547.0</v>
      </c>
      <c r="T607" s="20">
        <f t="shared" si="5"/>
        <v>57.93333333</v>
      </c>
    </row>
    <row r="608">
      <c r="A608" s="67" t="s">
        <v>1041</v>
      </c>
      <c r="B608" s="28" t="s">
        <v>27</v>
      </c>
      <c r="C608" s="28" t="s">
        <v>28</v>
      </c>
      <c r="D608" s="29" t="str">
        <f t="shared" si="1"/>
        <v>Active</v>
      </c>
      <c r="E608" s="70">
        <v>43763.0</v>
      </c>
      <c r="F608" s="100"/>
      <c r="G608" s="32">
        <f t="shared" si="2"/>
        <v>71.66666667</v>
      </c>
      <c r="H608" s="33">
        <v>43763.0</v>
      </c>
      <c r="I608" s="32">
        <f t="shared" si="3"/>
        <v>0</v>
      </c>
      <c r="J608" s="69">
        <v>85.0</v>
      </c>
      <c r="K608" s="34">
        <v>12.0</v>
      </c>
      <c r="L608" s="35" t="s">
        <v>1042</v>
      </c>
      <c r="M608" s="44"/>
      <c r="N608" s="44"/>
      <c r="O608" s="35" t="s">
        <v>34</v>
      </c>
      <c r="P608" s="36" t="s">
        <v>709</v>
      </c>
      <c r="Q608" s="35"/>
      <c r="R608" s="29" t="str">
        <f t="shared" si="4"/>
        <v>Active</v>
      </c>
      <c r="S608" s="33">
        <v>45547.0</v>
      </c>
      <c r="T608" s="32">
        <f t="shared" si="5"/>
        <v>58.56666667</v>
      </c>
    </row>
    <row r="609">
      <c r="A609" s="15" t="s">
        <v>1043</v>
      </c>
      <c r="B609" s="16" t="s">
        <v>27</v>
      </c>
      <c r="C609" s="16" t="s">
        <v>28</v>
      </c>
      <c r="D609" s="17" t="str">
        <f t="shared" si="1"/>
        <v>Active</v>
      </c>
      <c r="E609" s="76">
        <v>43755.0</v>
      </c>
      <c r="F609" s="73"/>
      <c r="G609" s="20">
        <f t="shared" si="2"/>
        <v>71.93333333</v>
      </c>
      <c r="H609" s="18">
        <v>40470.0</v>
      </c>
      <c r="I609" s="20">
        <f t="shared" si="3"/>
        <v>8.994444444</v>
      </c>
      <c r="J609" s="65">
        <v>84.0</v>
      </c>
      <c r="K609" s="53">
        <v>27.5</v>
      </c>
      <c r="L609" s="23" t="s">
        <v>1042</v>
      </c>
      <c r="M609" s="23" t="s">
        <v>451</v>
      </c>
      <c r="N609" s="23" t="s">
        <v>1044</v>
      </c>
      <c r="O609" s="121" t="s">
        <v>34</v>
      </c>
      <c r="P609" s="54" t="s">
        <v>1045</v>
      </c>
      <c r="Q609" s="23" t="s">
        <v>863</v>
      </c>
      <c r="R609" s="17" t="str">
        <f t="shared" si="4"/>
        <v>Active</v>
      </c>
      <c r="S609" s="18">
        <v>45547.0</v>
      </c>
      <c r="T609" s="20">
        <f t="shared" si="5"/>
        <v>58.83333333</v>
      </c>
    </row>
    <row r="610">
      <c r="A610" s="67" t="s">
        <v>1046</v>
      </c>
      <c r="B610" s="28" t="s">
        <v>27</v>
      </c>
      <c r="C610" s="28" t="s">
        <v>28</v>
      </c>
      <c r="D610" s="29" t="str">
        <f t="shared" si="1"/>
        <v>Active</v>
      </c>
      <c r="E610" s="70">
        <v>43741.0</v>
      </c>
      <c r="F610" s="31"/>
      <c r="G610" s="32">
        <f t="shared" si="2"/>
        <v>72.4</v>
      </c>
      <c r="H610" s="33">
        <v>42685.0</v>
      </c>
      <c r="I610" s="32">
        <f t="shared" si="3"/>
        <v>2.894444444</v>
      </c>
      <c r="J610" s="69">
        <v>88.0</v>
      </c>
      <c r="K610" s="34">
        <v>12.5</v>
      </c>
      <c r="L610" s="44" t="s">
        <v>37</v>
      </c>
      <c r="M610" s="44"/>
      <c r="N610" s="35" t="s">
        <v>658</v>
      </c>
      <c r="O610" s="35" t="s">
        <v>34</v>
      </c>
      <c r="P610" s="36" t="s">
        <v>1040</v>
      </c>
      <c r="Q610" s="35"/>
      <c r="R610" s="29" t="str">
        <f t="shared" si="4"/>
        <v>Active</v>
      </c>
      <c r="S610" s="33">
        <v>45547.0</v>
      </c>
      <c r="T610" s="32">
        <f t="shared" si="5"/>
        <v>59.3</v>
      </c>
    </row>
    <row r="611">
      <c r="A611" s="15" t="s">
        <v>1047</v>
      </c>
      <c r="B611" s="16" t="s">
        <v>27</v>
      </c>
      <c r="C611" s="16" t="s">
        <v>121</v>
      </c>
      <c r="D611" s="17" t="str">
        <f t="shared" si="1"/>
        <v>Active</v>
      </c>
      <c r="E611" s="62">
        <v>43718.0</v>
      </c>
      <c r="F611" s="73"/>
      <c r="G611" s="20">
        <f t="shared" si="2"/>
        <v>73.16666667</v>
      </c>
      <c r="H611" s="18">
        <v>43718.0</v>
      </c>
      <c r="I611" s="20">
        <f t="shared" si="3"/>
        <v>0</v>
      </c>
      <c r="J611" s="53">
        <f>ROUND((82+84)/2,)</f>
        <v>83</v>
      </c>
      <c r="K611" s="53">
        <v>10.5</v>
      </c>
      <c r="L611" s="43" t="s">
        <v>366</v>
      </c>
      <c r="M611" s="23" t="s">
        <v>123</v>
      </c>
      <c r="N611" s="23" t="s">
        <v>658</v>
      </c>
      <c r="O611" s="23" t="s">
        <v>34</v>
      </c>
      <c r="P611" s="54" t="s">
        <v>709</v>
      </c>
      <c r="Q611" s="23"/>
      <c r="R611" s="17" t="str">
        <f t="shared" si="4"/>
        <v>Active</v>
      </c>
      <c r="S611" s="18">
        <v>45547.0</v>
      </c>
      <c r="T611" s="20">
        <f t="shared" si="5"/>
        <v>60.06666667</v>
      </c>
    </row>
    <row r="612">
      <c r="A612" s="67" t="s">
        <v>1048</v>
      </c>
      <c r="B612" s="28" t="s">
        <v>27</v>
      </c>
      <c r="C612" s="28" t="s">
        <v>121</v>
      </c>
      <c r="D612" s="29" t="str">
        <f t="shared" si="1"/>
        <v>Active</v>
      </c>
      <c r="E612" s="70">
        <v>43713.0</v>
      </c>
      <c r="F612" s="31"/>
      <c r="G612" s="32">
        <f t="shared" si="2"/>
        <v>73.33333333</v>
      </c>
      <c r="H612" s="33">
        <v>42865.0</v>
      </c>
      <c r="I612" s="32">
        <f t="shared" si="3"/>
        <v>2.319444444</v>
      </c>
      <c r="J612" s="69">
        <v>91.0</v>
      </c>
      <c r="K612" s="34">
        <v>13.0</v>
      </c>
      <c r="L612" s="44" t="s">
        <v>721</v>
      </c>
      <c r="M612" s="44"/>
      <c r="N612" s="35" t="s">
        <v>1049</v>
      </c>
      <c r="O612" s="35" t="s">
        <v>125</v>
      </c>
      <c r="P612" s="36" t="s">
        <v>740</v>
      </c>
      <c r="Q612" s="35"/>
      <c r="R612" s="29" t="str">
        <f t="shared" si="4"/>
        <v>Active</v>
      </c>
      <c r="S612" s="33">
        <v>45547.0</v>
      </c>
      <c r="T612" s="32">
        <f t="shared" si="5"/>
        <v>60.23333333</v>
      </c>
    </row>
    <row r="613">
      <c r="A613" s="15" t="s">
        <v>1050</v>
      </c>
      <c r="B613" s="16" t="s">
        <v>27</v>
      </c>
      <c r="C613" s="16" t="s">
        <v>121</v>
      </c>
      <c r="D613" s="17" t="str">
        <f t="shared" si="1"/>
        <v>Active</v>
      </c>
      <c r="E613" s="76">
        <v>43704.0</v>
      </c>
      <c r="F613" s="73"/>
      <c r="G613" s="20">
        <f t="shared" si="2"/>
        <v>73.6</v>
      </c>
      <c r="H613" s="18">
        <v>43361.0</v>
      </c>
      <c r="I613" s="20">
        <f t="shared" si="3"/>
        <v>0.9416666667</v>
      </c>
      <c r="J613" s="65">
        <v>70.0</v>
      </c>
      <c r="K613" s="53">
        <v>59.5</v>
      </c>
      <c r="L613" s="23" t="s">
        <v>29</v>
      </c>
      <c r="M613" s="43"/>
      <c r="N613" s="43"/>
      <c r="O613" s="23" t="s">
        <v>125</v>
      </c>
      <c r="P613" s="54" t="s">
        <v>1051</v>
      </c>
      <c r="Q613" s="23"/>
      <c r="R613" s="17" t="str">
        <f t="shared" si="4"/>
        <v>Active</v>
      </c>
      <c r="S613" s="18">
        <v>45547.0</v>
      </c>
      <c r="T613" s="20">
        <f t="shared" si="5"/>
        <v>60.5</v>
      </c>
    </row>
    <row r="614">
      <c r="A614" s="27" t="s">
        <v>1052</v>
      </c>
      <c r="B614" s="29" t="s">
        <v>40</v>
      </c>
      <c r="C614" s="29"/>
      <c r="D614" s="29" t="str">
        <f t="shared" si="1"/>
        <v>Active</v>
      </c>
      <c r="E614" s="70">
        <v>43696.0</v>
      </c>
      <c r="F614" s="100"/>
      <c r="G614" s="32">
        <f t="shared" si="2"/>
        <v>73.86666667</v>
      </c>
      <c r="H614" s="33">
        <v>43150.0</v>
      </c>
      <c r="I614" s="32">
        <f t="shared" si="3"/>
        <v>1.5</v>
      </c>
      <c r="J614" s="69">
        <v>83.0</v>
      </c>
      <c r="K614" s="34">
        <v>39.5</v>
      </c>
      <c r="L614" s="44" t="s">
        <v>119</v>
      </c>
      <c r="M614" s="44"/>
      <c r="N614" s="44"/>
      <c r="O614" s="35" t="s">
        <v>125</v>
      </c>
      <c r="P614" s="36" t="s">
        <v>1053</v>
      </c>
      <c r="Q614" s="35"/>
      <c r="R614" s="59" t="str">
        <f t="shared" si="4"/>
        <v>Active</v>
      </c>
      <c r="S614" s="60">
        <v>45931.0</v>
      </c>
      <c r="T614" s="32">
        <f t="shared" si="5"/>
        <v>73.4</v>
      </c>
    </row>
    <row r="615">
      <c r="A615" s="64" t="s">
        <v>1054</v>
      </c>
      <c r="B615" s="16" t="s">
        <v>27</v>
      </c>
      <c r="C615" s="16" t="s">
        <v>28</v>
      </c>
      <c r="D615" s="17" t="str">
        <f t="shared" si="1"/>
        <v>Active</v>
      </c>
      <c r="E615" s="76">
        <v>43696.0</v>
      </c>
      <c r="F615" s="73"/>
      <c r="G615" s="20">
        <f t="shared" si="2"/>
        <v>73.86666667</v>
      </c>
      <c r="H615" s="18">
        <v>42499.0</v>
      </c>
      <c r="I615" s="20">
        <f t="shared" si="3"/>
        <v>3.277777778</v>
      </c>
      <c r="J615" s="65">
        <v>81.0</v>
      </c>
      <c r="K615" s="53">
        <v>21.0</v>
      </c>
      <c r="L615" s="23" t="s">
        <v>119</v>
      </c>
      <c r="M615" s="23" t="s">
        <v>123</v>
      </c>
      <c r="N615" s="23"/>
      <c r="O615" s="23" t="s">
        <v>334</v>
      </c>
      <c r="P615" s="54" t="s">
        <v>1055</v>
      </c>
      <c r="Q615" s="23"/>
      <c r="R615" s="17" t="str">
        <f t="shared" si="4"/>
        <v>Active</v>
      </c>
      <c r="S615" s="18">
        <v>45547.0</v>
      </c>
      <c r="T615" s="20">
        <f t="shared" si="5"/>
        <v>60.76666667</v>
      </c>
    </row>
    <row r="616">
      <c r="A616" s="67" t="s">
        <v>1056</v>
      </c>
      <c r="B616" s="28" t="s">
        <v>27</v>
      </c>
      <c r="C616" s="28" t="s">
        <v>121</v>
      </c>
      <c r="D616" s="29" t="str">
        <f t="shared" si="1"/>
        <v>Active</v>
      </c>
      <c r="E616" s="70">
        <v>43691.0</v>
      </c>
      <c r="F616" s="31"/>
      <c r="G616" s="32">
        <f t="shared" si="2"/>
        <v>74.03333333</v>
      </c>
      <c r="H616" s="33">
        <v>43054.0</v>
      </c>
      <c r="I616" s="32">
        <f t="shared" si="3"/>
        <v>1.747222222</v>
      </c>
      <c r="J616" s="69">
        <v>88.0</v>
      </c>
      <c r="K616" s="34">
        <v>10.5</v>
      </c>
      <c r="L616" s="44" t="s">
        <v>1057</v>
      </c>
      <c r="M616" s="44"/>
      <c r="N616" s="35" t="s">
        <v>1049</v>
      </c>
      <c r="O616" s="35" t="s">
        <v>334</v>
      </c>
      <c r="P616" s="36" t="s">
        <v>851</v>
      </c>
      <c r="Q616" s="35"/>
      <c r="R616" s="29" t="str">
        <f t="shared" si="4"/>
        <v>Active</v>
      </c>
      <c r="S616" s="33">
        <v>45547.0</v>
      </c>
      <c r="T616" s="32">
        <f t="shared" si="5"/>
        <v>60.93333333</v>
      </c>
    </row>
    <row r="617">
      <c r="A617" s="15" t="s">
        <v>1058</v>
      </c>
      <c r="B617" s="16" t="s">
        <v>27</v>
      </c>
      <c r="C617" s="16" t="s">
        <v>121</v>
      </c>
      <c r="D617" s="17" t="str">
        <f t="shared" si="1"/>
        <v>Active</v>
      </c>
      <c r="E617" s="76">
        <v>43690.0</v>
      </c>
      <c r="F617" s="73"/>
      <c r="G617" s="20">
        <f t="shared" si="2"/>
        <v>74.06666667</v>
      </c>
      <c r="H617" s="18">
        <v>43326.0</v>
      </c>
      <c r="I617" s="20">
        <f t="shared" si="3"/>
        <v>0.9972222222</v>
      </c>
      <c r="J617" s="65">
        <v>70.0</v>
      </c>
      <c r="K617" s="53">
        <v>24.0</v>
      </c>
      <c r="L617" s="23" t="s">
        <v>29</v>
      </c>
      <c r="M617" s="43"/>
      <c r="N617" s="43"/>
      <c r="O617" s="23" t="s">
        <v>125</v>
      </c>
      <c r="P617" s="54" t="s">
        <v>1059</v>
      </c>
      <c r="Q617" s="23"/>
      <c r="R617" s="17" t="str">
        <f t="shared" si="4"/>
        <v>Active</v>
      </c>
      <c r="S617" s="18">
        <v>45547.0</v>
      </c>
      <c r="T617" s="20">
        <f t="shared" si="5"/>
        <v>60.96666667</v>
      </c>
    </row>
    <row r="618">
      <c r="A618" s="67" t="s">
        <v>1060</v>
      </c>
      <c r="B618" s="28" t="s">
        <v>68</v>
      </c>
      <c r="C618" s="29"/>
      <c r="D618" s="29" t="str">
        <f t="shared" si="1"/>
        <v>Active</v>
      </c>
      <c r="E618" s="70">
        <v>43671.0</v>
      </c>
      <c r="F618" s="100"/>
      <c r="G618" s="32">
        <f t="shared" si="2"/>
        <v>74.66666667</v>
      </c>
      <c r="H618" s="33">
        <v>41600.0</v>
      </c>
      <c r="I618" s="32">
        <f t="shared" si="3"/>
        <v>5.675</v>
      </c>
      <c r="J618" s="101">
        <f>5.9*10</f>
        <v>59</v>
      </c>
      <c r="K618" s="34">
        <v>1.0</v>
      </c>
      <c r="L618" s="44" t="s">
        <v>303</v>
      </c>
      <c r="M618" s="44"/>
      <c r="N618" s="44"/>
      <c r="O618" s="35" t="s">
        <v>34</v>
      </c>
      <c r="P618" s="36" t="s">
        <v>1061</v>
      </c>
      <c r="Q618" s="35"/>
      <c r="R618" s="29" t="str">
        <f t="shared" si="4"/>
        <v>Active</v>
      </c>
      <c r="S618" s="33">
        <v>45547.0</v>
      </c>
      <c r="T618" s="32">
        <f t="shared" si="5"/>
        <v>61.56666667</v>
      </c>
    </row>
    <row r="619">
      <c r="A619" s="64" t="s">
        <v>1062</v>
      </c>
      <c r="B619" s="16" t="s">
        <v>68</v>
      </c>
      <c r="C619" s="17"/>
      <c r="D619" s="17" t="str">
        <f t="shared" si="1"/>
        <v>Active</v>
      </c>
      <c r="E619" s="76">
        <v>43671.0</v>
      </c>
      <c r="F619" s="73"/>
      <c r="G619" s="20">
        <f t="shared" si="2"/>
        <v>74.66666667</v>
      </c>
      <c r="H619" s="18">
        <v>34635.0</v>
      </c>
      <c r="I619" s="20">
        <f t="shared" si="3"/>
        <v>24.74166667</v>
      </c>
      <c r="J619" s="53">
        <v>85.0</v>
      </c>
      <c r="K619" s="53">
        <v>1.0</v>
      </c>
      <c r="L619" s="43" t="s">
        <v>303</v>
      </c>
      <c r="M619" s="43"/>
      <c r="N619" s="43"/>
      <c r="O619" s="23" t="s">
        <v>34</v>
      </c>
      <c r="P619" s="54" t="s">
        <v>1063</v>
      </c>
      <c r="Q619" s="23"/>
      <c r="R619" s="17" t="str">
        <f t="shared" si="4"/>
        <v>Active</v>
      </c>
      <c r="S619" s="18">
        <v>45547.0</v>
      </c>
      <c r="T619" s="20">
        <f t="shared" si="5"/>
        <v>61.56666667</v>
      </c>
    </row>
    <row r="620">
      <c r="A620" s="27" t="s">
        <v>1064</v>
      </c>
      <c r="B620" s="28" t="s">
        <v>27</v>
      </c>
      <c r="C620" s="28" t="s">
        <v>121</v>
      </c>
      <c r="D620" s="29" t="str">
        <f t="shared" si="1"/>
        <v>Active</v>
      </c>
      <c r="E620" s="70">
        <v>43671.0</v>
      </c>
      <c r="F620" s="100"/>
      <c r="G620" s="32">
        <f t="shared" si="2"/>
        <v>74.66666667</v>
      </c>
      <c r="H620" s="33">
        <v>41600.0</v>
      </c>
      <c r="I620" s="32">
        <f t="shared" si="3"/>
        <v>5.675</v>
      </c>
      <c r="J620" s="69">
        <v>86.0</v>
      </c>
      <c r="K620" s="34">
        <v>2.0</v>
      </c>
      <c r="L620" s="44" t="s">
        <v>303</v>
      </c>
      <c r="M620" s="44"/>
      <c r="N620" s="35" t="s">
        <v>1065</v>
      </c>
      <c r="O620" s="35" t="s">
        <v>34</v>
      </c>
      <c r="P620" s="36" t="s">
        <v>1066</v>
      </c>
      <c r="Q620" s="35"/>
      <c r="R620" s="29" t="str">
        <f t="shared" si="4"/>
        <v>Active</v>
      </c>
      <c r="S620" s="33">
        <v>45547.0</v>
      </c>
      <c r="T620" s="32">
        <f t="shared" si="5"/>
        <v>61.56666667</v>
      </c>
    </row>
    <row r="621">
      <c r="A621" s="64" t="s">
        <v>1067</v>
      </c>
      <c r="B621" s="16" t="s">
        <v>27</v>
      </c>
      <c r="C621" s="16" t="s">
        <v>28</v>
      </c>
      <c r="D621" s="17" t="str">
        <f t="shared" si="1"/>
        <v>Active</v>
      </c>
      <c r="E621" s="76">
        <v>43650.0</v>
      </c>
      <c r="F621" s="73"/>
      <c r="G621" s="20">
        <f t="shared" si="2"/>
        <v>75.36666667</v>
      </c>
      <c r="H621" s="18">
        <v>43018.0</v>
      </c>
      <c r="I621" s="20">
        <f t="shared" si="3"/>
        <v>1.733333333</v>
      </c>
      <c r="J621" s="65">
        <v>81.0</v>
      </c>
      <c r="K621" s="53">
        <v>20.5</v>
      </c>
      <c r="L621" s="23" t="s">
        <v>392</v>
      </c>
      <c r="M621" s="43"/>
      <c r="N621" s="43"/>
      <c r="O621" s="23" t="s">
        <v>34</v>
      </c>
      <c r="P621" s="54" t="s">
        <v>785</v>
      </c>
      <c r="Q621" s="23"/>
      <c r="R621" s="17" t="str">
        <f t="shared" si="4"/>
        <v>Active</v>
      </c>
      <c r="S621" s="18">
        <v>45547.0</v>
      </c>
      <c r="T621" s="20">
        <f t="shared" si="5"/>
        <v>62.26666667</v>
      </c>
    </row>
    <row r="622">
      <c r="A622" s="67" t="s">
        <v>1068</v>
      </c>
      <c r="B622" s="28" t="s">
        <v>27</v>
      </c>
      <c r="C622" s="28" t="s">
        <v>121</v>
      </c>
      <c r="D622" s="29" t="str">
        <f t="shared" si="1"/>
        <v>Active</v>
      </c>
      <c r="E622" s="70">
        <v>43643.0</v>
      </c>
      <c r="F622" s="100"/>
      <c r="G622" s="32">
        <f t="shared" si="2"/>
        <v>75.6</v>
      </c>
      <c r="H622" s="33">
        <v>42794.0</v>
      </c>
      <c r="I622" s="32">
        <f t="shared" si="3"/>
        <v>2.330555556</v>
      </c>
      <c r="J622" s="69">
        <v>81.0</v>
      </c>
      <c r="K622" s="34">
        <v>26.0</v>
      </c>
      <c r="L622" s="35" t="s">
        <v>29</v>
      </c>
      <c r="M622" s="44"/>
      <c r="N622" s="35" t="s">
        <v>1069</v>
      </c>
      <c r="O622" s="35" t="s">
        <v>34</v>
      </c>
      <c r="P622" s="36" t="s">
        <v>1070</v>
      </c>
      <c r="Q622" s="35"/>
      <c r="R622" s="29" t="str">
        <f t="shared" si="4"/>
        <v>Active</v>
      </c>
      <c r="S622" s="33">
        <v>45547.0</v>
      </c>
      <c r="T622" s="32">
        <f t="shared" si="5"/>
        <v>62.5</v>
      </c>
    </row>
    <row r="623">
      <c r="A623" s="64" t="s">
        <v>1071</v>
      </c>
      <c r="B623" s="16" t="s">
        <v>68</v>
      </c>
      <c r="C623" s="16" t="s">
        <v>28</v>
      </c>
      <c r="D623" s="17" t="str">
        <f t="shared" si="1"/>
        <v>Active</v>
      </c>
      <c r="E623" s="76">
        <v>43636.0</v>
      </c>
      <c r="F623" s="73"/>
      <c r="G623" s="20">
        <f t="shared" si="2"/>
        <v>75.83333333</v>
      </c>
      <c r="H623" s="18">
        <v>36766.0</v>
      </c>
      <c r="I623" s="20">
        <f t="shared" si="3"/>
        <v>18.81111111</v>
      </c>
      <c r="J623" s="53">
        <v>79.0</v>
      </c>
      <c r="K623" s="53">
        <v>9.0</v>
      </c>
      <c r="L623" s="43" t="s">
        <v>675</v>
      </c>
      <c r="M623" s="43"/>
      <c r="N623" s="43"/>
      <c r="O623" s="121" t="s">
        <v>34</v>
      </c>
      <c r="P623" s="54" t="s">
        <v>551</v>
      </c>
      <c r="Q623" s="23"/>
      <c r="R623" s="17" t="str">
        <f t="shared" si="4"/>
        <v>Active</v>
      </c>
      <c r="S623" s="18">
        <v>45547.0</v>
      </c>
      <c r="T623" s="20">
        <f t="shared" si="5"/>
        <v>62.73333333</v>
      </c>
    </row>
    <row r="624">
      <c r="A624" s="67" t="s">
        <v>1072</v>
      </c>
      <c r="B624" s="28" t="s">
        <v>68</v>
      </c>
      <c r="C624" s="29"/>
      <c r="D624" s="29" t="str">
        <f t="shared" si="1"/>
        <v>Active</v>
      </c>
      <c r="E624" s="70">
        <v>43636.0</v>
      </c>
      <c r="F624" s="100"/>
      <c r="G624" s="32">
        <f t="shared" si="2"/>
        <v>75.83333333</v>
      </c>
      <c r="H624" s="33">
        <v>42220.0</v>
      </c>
      <c r="I624" s="32">
        <f t="shared" si="3"/>
        <v>3.877777778</v>
      </c>
      <c r="J624" s="69">
        <v>84.0</v>
      </c>
      <c r="K624" s="34">
        <v>44.0</v>
      </c>
      <c r="L624" s="44" t="s">
        <v>163</v>
      </c>
      <c r="M624" s="44"/>
      <c r="N624" s="44"/>
      <c r="O624" s="35" t="s">
        <v>34</v>
      </c>
      <c r="P624" s="36" t="s">
        <v>1073</v>
      </c>
      <c r="Q624" s="35"/>
      <c r="R624" s="29" t="str">
        <f t="shared" si="4"/>
        <v>Active</v>
      </c>
      <c r="S624" s="33">
        <v>45547.0</v>
      </c>
      <c r="T624" s="32">
        <f t="shared" si="5"/>
        <v>62.73333333</v>
      </c>
    </row>
    <row r="625">
      <c r="A625" s="15" t="s">
        <v>1074</v>
      </c>
      <c r="B625" s="16" t="s">
        <v>27</v>
      </c>
      <c r="C625" s="16" t="s">
        <v>28</v>
      </c>
      <c r="D625" s="17" t="str">
        <f t="shared" si="1"/>
        <v>Active</v>
      </c>
      <c r="E625" s="76">
        <v>43625.0</v>
      </c>
      <c r="F625" s="73"/>
      <c r="G625" s="20">
        <f t="shared" si="2"/>
        <v>76.2</v>
      </c>
      <c r="H625" s="18">
        <v>42720.0</v>
      </c>
      <c r="I625" s="20">
        <f t="shared" si="3"/>
        <v>2.480555556</v>
      </c>
      <c r="J625" s="53">
        <f>ROUND((71+73)/2,)</f>
        <v>72</v>
      </c>
      <c r="K625" s="53">
        <v>18.5</v>
      </c>
      <c r="L625" s="23" t="s">
        <v>362</v>
      </c>
      <c r="M625" s="23"/>
      <c r="N625" s="23" t="s">
        <v>658</v>
      </c>
      <c r="O625" s="23" t="s">
        <v>132</v>
      </c>
      <c r="P625" s="54" t="s">
        <v>340</v>
      </c>
      <c r="Q625" s="23"/>
      <c r="R625" s="17" t="str">
        <f t="shared" si="4"/>
        <v>Active</v>
      </c>
      <c r="S625" s="18">
        <v>45547.0</v>
      </c>
      <c r="T625" s="20">
        <f t="shared" si="5"/>
        <v>63.1</v>
      </c>
    </row>
    <row r="626">
      <c r="A626" s="67" t="s">
        <v>1075</v>
      </c>
      <c r="B626" s="28" t="s">
        <v>68</v>
      </c>
      <c r="C626" s="28" t="s">
        <v>28</v>
      </c>
      <c r="D626" s="29" t="str">
        <f t="shared" si="1"/>
        <v>Active</v>
      </c>
      <c r="E626" s="70">
        <v>43625.0</v>
      </c>
      <c r="F626" s="31"/>
      <c r="G626" s="32">
        <f t="shared" si="2"/>
        <v>76.2</v>
      </c>
      <c r="H626" s="33">
        <v>42178.0</v>
      </c>
      <c r="I626" s="32">
        <f t="shared" si="3"/>
        <v>3.961111111</v>
      </c>
      <c r="J626" s="34">
        <v>85.0</v>
      </c>
      <c r="K626" s="34">
        <v>16.5</v>
      </c>
      <c r="L626" s="44" t="s">
        <v>37</v>
      </c>
      <c r="M626" s="44"/>
      <c r="N626" s="72" t="s">
        <v>692</v>
      </c>
      <c r="O626" s="35" t="s">
        <v>34</v>
      </c>
      <c r="P626" s="36" t="s">
        <v>1076</v>
      </c>
      <c r="Q626" s="35"/>
      <c r="R626" s="29" t="str">
        <f t="shared" si="4"/>
        <v>Active</v>
      </c>
      <c r="S626" s="33">
        <v>45547.0</v>
      </c>
      <c r="T626" s="32">
        <f t="shared" si="5"/>
        <v>63.1</v>
      </c>
    </row>
    <row r="627">
      <c r="A627" s="64" t="s">
        <v>1077</v>
      </c>
      <c r="B627" s="17" t="s">
        <v>40</v>
      </c>
      <c r="C627" s="17"/>
      <c r="D627" s="17" t="str">
        <f t="shared" si="1"/>
        <v>Active</v>
      </c>
      <c r="E627" s="76">
        <v>43625.0</v>
      </c>
      <c r="F627" s="73"/>
      <c r="G627" s="20">
        <f t="shared" si="2"/>
        <v>76.2</v>
      </c>
      <c r="H627" s="18">
        <v>42110.0</v>
      </c>
      <c r="I627" s="20">
        <f t="shared" si="3"/>
        <v>4.147222222</v>
      </c>
      <c r="J627" s="65">
        <v>66.0</v>
      </c>
      <c r="K627" s="53">
        <v>5.5</v>
      </c>
      <c r="L627" s="43" t="s">
        <v>1078</v>
      </c>
      <c r="M627" s="43"/>
      <c r="N627" s="43"/>
      <c r="O627" s="23" t="s">
        <v>334</v>
      </c>
      <c r="P627" s="54" t="s">
        <v>586</v>
      </c>
      <c r="Q627" s="23"/>
      <c r="R627" s="17" t="str">
        <f t="shared" si="4"/>
        <v>Active</v>
      </c>
      <c r="S627" s="18">
        <v>45931.0</v>
      </c>
      <c r="T627" s="20">
        <f t="shared" si="5"/>
        <v>75.73333333</v>
      </c>
    </row>
    <row r="628">
      <c r="A628" s="67" t="s">
        <v>1079</v>
      </c>
      <c r="B628" s="28" t="s">
        <v>27</v>
      </c>
      <c r="C628" s="28" t="s">
        <v>28</v>
      </c>
      <c r="D628" s="29" t="str">
        <f t="shared" si="1"/>
        <v>Active</v>
      </c>
      <c r="E628" s="70">
        <v>43625.0</v>
      </c>
      <c r="F628" s="100"/>
      <c r="G628" s="32">
        <f t="shared" si="2"/>
        <v>76.2</v>
      </c>
      <c r="H628" s="33">
        <v>42790.0</v>
      </c>
      <c r="I628" s="32">
        <f t="shared" si="3"/>
        <v>2.291666667</v>
      </c>
      <c r="J628" s="69">
        <v>90.0</v>
      </c>
      <c r="K628" s="34">
        <v>25.0</v>
      </c>
      <c r="L628" s="44" t="s">
        <v>721</v>
      </c>
      <c r="M628" s="35" t="s">
        <v>451</v>
      </c>
      <c r="N628" s="44"/>
      <c r="O628" s="35" t="s">
        <v>334</v>
      </c>
      <c r="P628" s="36" t="s">
        <v>586</v>
      </c>
      <c r="Q628" s="35"/>
      <c r="R628" s="29" t="str">
        <f t="shared" si="4"/>
        <v>Active</v>
      </c>
      <c r="S628" s="33">
        <v>45547.0</v>
      </c>
      <c r="T628" s="32">
        <f t="shared" si="5"/>
        <v>63.1</v>
      </c>
    </row>
    <row r="629">
      <c r="A629" s="64" t="s">
        <v>1080</v>
      </c>
      <c r="B629" s="16" t="s">
        <v>27</v>
      </c>
      <c r="C629" s="16" t="s">
        <v>28</v>
      </c>
      <c r="D629" s="17" t="str">
        <f t="shared" si="1"/>
        <v>Active</v>
      </c>
      <c r="E629" s="76">
        <v>43625.0</v>
      </c>
      <c r="F629" s="73"/>
      <c r="G629" s="20">
        <f t="shared" si="2"/>
        <v>76.2</v>
      </c>
      <c r="H629" s="18">
        <v>43249.0</v>
      </c>
      <c r="I629" s="20">
        <f t="shared" si="3"/>
        <v>1.027777778</v>
      </c>
      <c r="J629" s="65">
        <v>84.0</v>
      </c>
      <c r="K629" s="53">
        <v>14.0</v>
      </c>
      <c r="L629" s="23" t="s">
        <v>122</v>
      </c>
      <c r="M629" s="23"/>
      <c r="N629" s="23" t="s">
        <v>1081</v>
      </c>
      <c r="O629" s="23" t="s">
        <v>334</v>
      </c>
      <c r="P629" s="54" t="s">
        <v>483</v>
      </c>
      <c r="Q629" s="23"/>
      <c r="R629" s="17" t="str">
        <f t="shared" si="4"/>
        <v>Active</v>
      </c>
      <c r="S629" s="18">
        <v>45547.0</v>
      </c>
      <c r="T629" s="20">
        <f t="shared" si="5"/>
        <v>63.1</v>
      </c>
    </row>
    <row r="630">
      <c r="A630" s="67" t="s">
        <v>1082</v>
      </c>
      <c r="B630" s="29" t="s">
        <v>40</v>
      </c>
      <c r="C630" s="29"/>
      <c r="D630" s="29" t="str">
        <f t="shared" si="1"/>
        <v>Active</v>
      </c>
      <c r="E630" s="70">
        <v>43625.0</v>
      </c>
      <c r="F630" s="100"/>
      <c r="G630" s="32">
        <f t="shared" si="2"/>
        <v>76.2</v>
      </c>
      <c r="H630" s="33">
        <v>37761.0</v>
      </c>
      <c r="I630" s="32">
        <f t="shared" si="3"/>
        <v>16.05277778</v>
      </c>
      <c r="J630" s="69">
        <v>89.0</v>
      </c>
      <c r="K630" s="34">
        <v>18.0</v>
      </c>
      <c r="L630" s="44" t="s">
        <v>1083</v>
      </c>
      <c r="M630" s="44"/>
      <c r="N630" s="44"/>
      <c r="O630" s="35" t="s">
        <v>125</v>
      </c>
      <c r="P630" s="36" t="s">
        <v>368</v>
      </c>
      <c r="Q630" s="35"/>
      <c r="R630" s="29" t="str">
        <f t="shared" si="4"/>
        <v>Active</v>
      </c>
      <c r="S630" s="33">
        <v>45931.0</v>
      </c>
      <c r="T630" s="32">
        <f t="shared" si="5"/>
        <v>75.73333333</v>
      </c>
    </row>
    <row r="631">
      <c r="A631" s="64" t="s">
        <v>1084</v>
      </c>
      <c r="B631" s="16" t="s">
        <v>27</v>
      </c>
      <c r="C631" s="16" t="s">
        <v>28</v>
      </c>
      <c r="D631" s="17" t="str">
        <f t="shared" si="1"/>
        <v>Active</v>
      </c>
      <c r="E631" s="76">
        <v>43615.0</v>
      </c>
      <c r="F631" s="73"/>
      <c r="G631" s="20">
        <f t="shared" si="2"/>
        <v>76.5</v>
      </c>
      <c r="H631" s="18">
        <v>42535.0</v>
      </c>
      <c r="I631" s="20">
        <f t="shared" si="3"/>
        <v>2.961111111</v>
      </c>
      <c r="J631" s="65">
        <v>58.0</v>
      </c>
      <c r="K631" s="53">
        <v>608.0</v>
      </c>
      <c r="L631" s="43" t="s">
        <v>366</v>
      </c>
      <c r="M631" s="23" t="s">
        <v>123</v>
      </c>
      <c r="N631" s="23"/>
      <c r="O631" s="23" t="s">
        <v>34</v>
      </c>
      <c r="P631" s="54" t="s">
        <v>709</v>
      </c>
      <c r="Q631" s="23"/>
      <c r="R631" s="17" t="str">
        <f t="shared" si="4"/>
        <v>Active</v>
      </c>
      <c r="S631" s="18">
        <v>45547.0</v>
      </c>
      <c r="T631" s="20">
        <f t="shared" si="5"/>
        <v>63.4</v>
      </c>
    </row>
    <row r="632">
      <c r="A632" s="67" t="s">
        <v>1085</v>
      </c>
      <c r="B632" s="28" t="s">
        <v>27</v>
      </c>
      <c r="C632" s="28" t="s">
        <v>28</v>
      </c>
      <c r="D632" s="29" t="str">
        <f t="shared" si="1"/>
        <v>Active</v>
      </c>
      <c r="E632" s="70">
        <v>43592.0</v>
      </c>
      <c r="F632" s="100"/>
      <c r="G632" s="32">
        <f t="shared" si="2"/>
        <v>77.26666667</v>
      </c>
      <c r="H632" s="33">
        <v>43140.0</v>
      </c>
      <c r="I632" s="32">
        <f t="shared" si="3"/>
        <v>1.244444444</v>
      </c>
      <c r="J632" s="69">
        <v>77.0</v>
      </c>
      <c r="K632" s="34">
        <v>4.0</v>
      </c>
      <c r="L632" s="35" t="s">
        <v>1086</v>
      </c>
      <c r="M632" s="35" t="s">
        <v>123</v>
      </c>
      <c r="N632" s="35" t="s">
        <v>658</v>
      </c>
      <c r="O632" s="35" t="s">
        <v>132</v>
      </c>
      <c r="P632" s="36"/>
      <c r="Q632" s="35"/>
      <c r="R632" s="29" t="str">
        <f t="shared" si="4"/>
        <v>Active</v>
      </c>
      <c r="S632" s="33">
        <v>45547.0</v>
      </c>
      <c r="T632" s="32">
        <f t="shared" si="5"/>
        <v>64.16666667</v>
      </c>
    </row>
    <row r="633">
      <c r="A633" s="64" t="s">
        <v>1087</v>
      </c>
      <c r="B633" s="16" t="s">
        <v>27</v>
      </c>
      <c r="C633" s="16" t="s">
        <v>28</v>
      </c>
      <c r="D633" s="17" t="str">
        <f t="shared" si="1"/>
        <v>Active</v>
      </c>
      <c r="E633" s="76">
        <v>43587.0</v>
      </c>
      <c r="F633" s="52"/>
      <c r="G633" s="20">
        <f t="shared" si="2"/>
        <v>77.43333333</v>
      </c>
      <c r="H633" s="18">
        <v>43035.0</v>
      </c>
      <c r="I633" s="20">
        <f t="shared" si="3"/>
        <v>1.513888889</v>
      </c>
      <c r="J633" s="65">
        <v>88.0</v>
      </c>
      <c r="K633" s="53">
        <v>10.5</v>
      </c>
      <c r="L633" s="43" t="s">
        <v>184</v>
      </c>
      <c r="M633" s="43"/>
      <c r="N633" s="43"/>
      <c r="O633" s="23" t="s">
        <v>34</v>
      </c>
      <c r="P633" s="54" t="s">
        <v>1088</v>
      </c>
      <c r="Q633" s="23"/>
      <c r="R633" s="17" t="str">
        <f t="shared" si="4"/>
        <v>Active</v>
      </c>
      <c r="S633" s="18">
        <v>45547.0</v>
      </c>
      <c r="T633" s="20">
        <f t="shared" si="5"/>
        <v>64.33333333</v>
      </c>
    </row>
    <row r="634">
      <c r="A634" s="67" t="s">
        <v>1089</v>
      </c>
      <c r="B634" s="28" t="s">
        <v>27</v>
      </c>
      <c r="C634" s="28" t="s">
        <v>121</v>
      </c>
      <c r="D634" s="29" t="str">
        <f t="shared" si="1"/>
        <v>Active</v>
      </c>
      <c r="E634" s="70">
        <v>43573.0</v>
      </c>
      <c r="F634" s="31"/>
      <c r="G634" s="32">
        <f t="shared" si="2"/>
        <v>77.9</v>
      </c>
      <c r="H634" s="33">
        <v>42724.0</v>
      </c>
      <c r="I634" s="32">
        <f t="shared" si="3"/>
        <v>2.327777778</v>
      </c>
      <c r="J634" s="69">
        <v>73.0</v>
      </c>
      <c r="K634" s="34">
        <v>8.0</v>
      </c>
      <c r="L634" s="44" t="s">
        <v>362</v>
      </c>
      <c r="M634" s="44"/>
      <c r="N634" s="35" t="s">
        <v>1090</v>
      </c>
      <c r="O634" s="35" t="s">
        <v>34</v>
      </c>
      <c r="P634" s="36" t="s">
        <v>1091</v>
      </c>
      <c r="Q634" s="35"/>
      <c r="R634" s="29" t="str">
        <f t="shared" si="4"/>
        <v>Active</v>
      </c>
      <c r="S634" s="33">
        <v>45547.0</v>
      </c>
      <c r="T634" s="32">
        <f t="shared" si="5"/>
        <v>64.8</v>
      </c>
    </row>
    <row r="635">
      <c r="A635" s="64" t="s">
        <v>1092</v>
      </c>
      <c r="B635" s="16" t="s">
        <v>27</v>
      </c>
      <c r="C635" s="16" t="s">
        <v>28</v>
      </c>
      <c r="D635" s="17" t="str">
        <f t="shared" si="1"/>
        <v>Active</v>
      </c>
      <c r="E635" s="76">
        <v>43566.0</v>
      </c>
      <c r="F635" s="76"/>
      <c r="G635" s="20">
        <f t="shared" si="2"/>
        <v>78.13333333</v>
      </c>
      <c r="H635" s="18">
        <v>42860.0</v>
      </c>
      <c r="I635" s="20">
        <f t="shared" si="3"/>
        <v>1.933333333</v>
      </c>
      <c r="J635" s="65">
        <f>ROUND((82+84)/2,)</f>
        <v>83</v>
      </c>
      <c r="K635" s="53">
        <v>16.0</v>
      </c>
      <c r="L635" s="43" t="s">
        <v>791</v>
      </c>
      <c r="M635" s="23" t="s">
        <v>451</v>
      </c>
      <c r="N635" s="43"/>
      <c r="O635" s="23" t="s">
        <v>34</v>
      </c>
      <c r="P635" s="54" t="s">
        <v>1051</v>
      </c>
      <c r="Q635" s="23"/>
      <c r="R635" s="17" t="str">
        <f t="shared" si="4"/>
        <v>Active</v>
      </c>
      <c r="S635" s="18">
        <v>45547.0</v>
      </c>
      <c r="T635" s="20">
        <f t="shared" si="5"/>
        <v>65.03333333</v>
      </c>
    </row>
    <row r="636">
      <c r="A636" s="67" t="s">
        <v>1093</v>
      </c>
      <c r="B636" s="28" t="s">
        <v>27</v>
      </c>
      <c r="C636" s="29"/>
      <c r="D636" s="29" t="str">
        <f t="shared" si="1"/>
        <v>Active</v>
      </c>
      <c r="E636" s="70">
        <v>43559.0</v>
      </c>
      <c r="F636" s="100"/>
      <c r="G636" s="32">
        <f t="shared" si="2"/>
        <v>78.36666667</v>
      </c>
      <c r="H636" s="33">
        <v>40865.0</v>
      </c>
      <c r="I636" s="32">
        <f t="shared" si="3"/>
        <v>7.377777778</v>
      </c>
      <c r="J636" s="69">
        <v>88.0</v>
      </c>
      <c r="K636" s="34">
        <v>116.0</v>
      </c>
      <c r="L636" s="44" t="s">
        <v>37</v>
      </c>
      <c r="M636" s="44"/>
      <c r="N636" s="35" t="s">
        <v>1094</v>
      </c>
      <c r="O636" s="35" t="s">
        <v>334</v>
      </c>
      <c r="P636" s="36" t="s">
        <v>483</v>
      </c>
      <c r="Q636" s="35"/>
      <c r="R636" s="29" t="str">
        <f t="shared" si="4"/>
        <v>Active</v>
      </c>
      <c r="S636" s="33">
        <v>45547.0</v>
      </c>
      <c r="T636" s="32">
        <f t="shared" si="5"/>
        <v>65.26666667</v>
      </c>
    </row>
    <row r="637">
      <c r="A637" s="64" t="s">
        <v>1095</v>
      </c>
      <c r="B637" s="16" t="s">
        <v>27</v>
      </c>
      <c r="C637" s="16" t="s">
        <v>28</v>
      </c>
      <c r="D637" s="17" t="str">
        <f t="shared" si="1"/>
        <v>Active</v>
      </c>
      <c r="E637" s="76">
        <v>43538.0</v>
      </c>
      <c r="F637" s="76"/>
      <c r="G637" s="20">
        <f t="shared" si="2"/>
        <v>79.03333333</v>
      </c>
      <c r="H637" s="18">
        <v>42318.0</v>
      </c>
      <c r="I637" s="20">
        <f t="shared" si="3"/>
        <v>3.344444444</v>
      </c>
      <c r="J637" s="53">
        <v>88.0</v>
      </c>
      <c r="K637" s="53">
        <v>26.5</v>
      </c>
      <c r="L637" s="23" t="s">
        <v>1096</v>
      </c>
      <c r="M637" s="23" t="s">
        <v>451</v>
      </c>
      <c r="N637" s="23" t="s">
        <v>995</v>
      </c>
      <c r="O637" s="23" t="s">
        <v>34</v>
      </c>
      <c r="P637" s="54" t="s">
        <v>875</v>
      </c>
      <c r="Q637" s="23"/>
      <c r="R637" s="17" t="str">
        <f t="shared" si="4"/>
        <v>Active</v>
      </c>
      <c r="S637" s="18">
        <v>45547.0</v>
      </c>
      <c r="T637" s="20">
        <f t="shared" si="5"/>
        <v>65.93333333</v>
      </c>
    </row>
    <row r="638">
      <c r="A638" s="67" t="s">
        <v>1097</v>
      </c>
      <c r="B638" s="28" t="s">
        <v>27</v>
      </c>
      <c r="C638" s="28" t="s">
        <v>121</v>
      </c>
      <c r="D638" s="29" t="str">
        <f t="shared" si="1"/>
        <v>Active</v>
      </c>
      <c r="E638" s="70">
        <v>43552.0</v>
      </c>
      <c r="F638" s="31"/>
      <c r="G638" s="32">
        <f t="shared" si="2"/>
        <v>78.56666667</v>
      </c>
      <c r="H638" s="33">
        <v>42423.0</v>
      </c>
      <c r="I638" s="32">
        <f t="shared" si="3"/>
        <v>3.097222222</v>
      </c>
      <c r="J638" s="69">
        <v>64.0</v>
      </c>
      <c r="K638" s="34">
        <v>4.0</v>
      </c>
      <c r="L638" s="44" t="s">
        <v>362</v>
      </c>
      <c r="M638" s="44"/>
      <c r="N638" s="35" t="s">
        <v>1090</v>
      </c>
      <c r="O638" s="35" t="s">
        <v>34</v>
      </c>
      <c r="P638" s="36" t="s">
        <v>1098</v>
      </c>
      <c r="Q638" s="35"/>
      <c r="R638" s="29" t="str">
        <f t="shared" si="4"/>
        <v>Active</v>
      </c>
      <c r="S638" s="33">
        <v>45547.0</v>
      </c>
      <c r="T638" s="32">
        <f t="shared" si="5"/>
        <v>65.46666667</v>
      </c>
    </row>
    <row r="639">
      <c r="A639" s="64" t="s">
        <v>1099</v>
      </c>
      <c r="B639" s="16" t="s">
        <v>27</v>
      </c>
      <c r="C639" s="16" t="s">
        <v>28</v>
      </c>
      <c r="D639" s="17" t="str">
        <f t="shared" si="1"/>
        <v>Active</v>
      </c>
      <c r="E639" s="76">
        <v>43511.0</v>
      </c>
      <c r="F639" s="73"/>
      <c r="G639" s="20">
        <f t="shared" si="2"/>
        <v>80</v>
      </c>
      <c r="H639" s="18">
        <v>43511.0</v>
      </c>
      <c r="I639" s="20">
        <f t="shared" si="3"/>
        <v>0</v>
      </c>
      <c r="J639" s="65">
        <v>60.0</v>
      </c>
      <c r="K639" s="53">
        <v>6.5</v>
      </c>
      <c r="L639" s="43" t="s">
        <v>37</v>
      </c>
      <c r="M639" s="43"/>
      <c r="N639" s="43"/>
      <c r="O639" s="23" t="s">
        <v>34</v>
      </c>
      <c r="P639" s="54" t="s">
        <v>1100</v>
      </c>
      <c r="Q639" s="23"/>
      <c r="R639" s="17" t="str">
        <f t="shared" si="4"/>
        <v>Active</v>
      </c>
      <c r="S639" s="18">
        <v>45547.0</v>
      </c>
      <c r="T639" s="20">
        <f t="shared" si="5"/>
        <v>66.9</v>
      </c>
    </row>
    <row r="640">
      <c r="A640" s="27" t="s">
        <v>1101</v>
      </c>
      <c r="B640" s="28" t="s">
        <v>27</v>
      </c>
      <c r="C640" s="28" t="s">
        <v>121</v>
      </c>
      <c r="D640" s="29" t="str">
        <f t="shared" si="1"/>
        <v>Active</v>
      </c>
      <c r="E640" s="70">
        <v>43503.0</v>
      </c>
      <c r="F640" s="31"/>
      <c r="G640" s="32">
        <f t="shared" si="2"/>
        <v>80.26666667</v>
      </c>
      <c r="H640" s="33">
        <v>43074.0</v>
      </c>
      <c r="I640" s="32">
        <f t="shared" si="3"/>
        <v>1.172222222</v>
      </c>
      <c r="J640" s="34">
        <v>89.0</v>
      </c>
      <c r="K640" s="34">
        <v>13.0</v>
      </c>
      <c r="L640" s="44" t="s">
        <v>1102</v>
      </c>
      <c r="M640" s="44"/>
      <c r="N640" s="35" t="s">
        <v>1103</v>
      </c>
      <c r="O640" s="35" t="s">
        <v>34</v>
      </c>
      <c r="P640" s="36" t="s">
        <v>635</v>
      </c>
      <c r="Q640" s="35"/>
      <c r="R640" s="29" t="str">
        <f t="shared" si="4"/>
        <v>Active</v>
      </c>
      <c r="S640" s="33">
        <v>45547.0</v>
      </c>
      <c r="T640" s="32">
        <f t="shared" si="5"/>
        <v>67.16666667</v>
      </c>
    </row>
    <row r="641">
      <c r="A641" s="64" t="s">
        <v>1104</v>
      </c>
      <c r="B641" s="16" t="s">
        <v>27</v>
      </c>
      <c r="C641" s="16" t="s">
        <v>121</v>
      </c>
      <c r="D641" s="17" t="str">
        <f t="shared" si="1"/>
        <v>Active</v>
      </c>
      <c r="E641" s="62">
        <v>43524.0</v>
      </c>
      <c r="F641" s="52"/>
      <c r="G641" s="20">
        <f t="shared" si="2"/>
        <v>79.56666667</v>
      </c>
      <c r="H641" s="18">
        <v>41625.0</v>
      </c>
      <c r="I641" s="20">
        <f t="shared" si="3"/>
        <v>5.197222222</v>
      </c>
      <c r="J641" s="65">
        <v>83.0</v>
      </c>
      <c r="K641" s="53">
        <v>9.5</v>
      </c>
      <c r="L641" s="43" t="s">
        <v>362</v>
      </c>
      <c r="M641" s="43"/>
      <c r="N641" s="23" t="s">
        <v>1103</v>
      </c>
      <c r="O641" s="23" t="s">
        <v>34</v>
      </c>
      <c r="P641" s="54" t="s">
        <v>35</v>
      </c>
      <c r="Q641" s="23"/>
      <c r="R641" s="17" t="str">
        <f t="shared" si="4"/>
        <v>Active</v>
      </c>
      <c r="S641" s="18">
        <v>45547.0</v>
      </c>
      <c r="T641" s="20">
        <f t="shared" si="5"/>
        <v>66.46666667</v>
      </c>
    </row>
    <row r="642">
      <c r="A642" s="27" t="s">
        <v>1105</v>
      </c>
      <c r="B642" s="28" t="s">
        <v>27</v>
      </c>
      <c r="C642" s="28" t="s">
        <v>28</v>
      </c>
      <c r="D642" s="29" t="str">
        <f t="shared" si="1"/>
        <v>Active</v>
      </c>
      <c r="E642" s="70">
        <v>43468.0</v>
      </c>
      <c r="F642" s="100"/>
      <c r="G642" s="32">
        <f t="shared" si="2"/>
        <v>81.4</v>
      </c>
      <c r="H642" s="33">
        <v>42710.0</v>
      </c>
      <c r="I642" s="32">
        <f t="shared" si="3"/>
        <v>2.075</v>
      </c>
      <c r="J642" s="69">
        <v>69.0</v>
      </c>
      <c r="K642" s="34">
        <v>123.0</v>
      </c>
      <c r="L642" s="44" t="s">
        <v>37</v>
      </c>
      <c r="M642" s="35" t="s">
        <v>123</v>
      </c>
      <c r="N642" s="35" t="s">
        <v>1106</v>
      </c>
      <c r="O642" s="35" t="s">
        <v>125</v>
      </c>
      <c r="P642" s="36" t="s">
        <v>1107</v>
      </c>
      <c r="Q642" s="35"/>
      <c r="R642" s="29" t="str">
        <f t="shared" si="4"/>
        <v>Active</v>
      </c>
      <c r="S642" s="33">
        <v>45547.0</v>
      </c>
      <c r="T642" s="32">
        <f t="shared" si="5"/>
        <v>68.3</v>
      </c>
    </row>
    <row r="643">
      <c r="A643" s="64" t="s">
        <v>1108</v>
      </c>
      <c r="B643" s="16" t="s">
        <v>27</v>
      </c>
      <c r="C643" s="16" t="s">
        <v>28</v>
      </c>
      <c r="D643" s="17" t="str">
        <f t="shared" si="1"/>
        <v>Active</v>
      </c>
      <c r="E643" s="76">
        <v>43454.0</v>
      </c>
      <c r="F643" s="73"/>
      <c r="G643" s="20">
        <f t="shared" si="2"/>
        <v>81.83333333</v>
      </c>
      <c r="H643" s="18">
        <v>42074.0</v>
      </c>
      <c r="I643" s="20">
        <f t="shared" si="3"/>
        <v>3.775</v>
      </c>
      <c r="J643" s="65">
        <v>88.0</v>
      </c>
      <c r="K643" s="53">
        <v>8.5</v>
      </c>
      <c r="L643" s="43" t="s">
        <v>698</v>
      </c>
      <c r="M643" s="43"/>
      <c r="N643" s="43"/>
      <c r="O643" s="23" t="s">
        <v>132</v>
      </c>
      <c r="P643" s="54" t="s">
        <v>340</v>
      </c>
      <c r="Q643" s="23"/>
      <c r="R643" s="17" t="str">
        <f t="shared" si="4"/>
        <v>Active</v>
      </c>
      <c r="S643" s="18">
        <v>45547.0</v>
      </c>
      <c r="T643" s="20">
        <f t="shared" si="5"/>
        <v>68.73333333</v>
      </c>
    </row>
    <row r="644">
      <c r="A644" s="27" t="s">
        <v>1109</v>
      </c>
      <c r="B644" s="28" t="s">
        <v>27</v>
      </c>
      <c r="C644" s="28" t="s">
        <v>121</v>
      </c>
      <c r="D644" s="29" t="str">
        <f t="shared" si="1"/>
        <v>Active</v>
      </c>
      <c r="E644" s="70">
        <v>43451.0</v>
      </c>
      <c r="F644" s="100"/>
      <c r="G644" s="32">
        <f t="shared" si="2"/>
        <v>81.93333333</v>
      </c>
      <c r="H644" s="33">
        <v>42955.0</v>
      </c>
      <c r="I644" s="32">
        <f t="shared" si="3"/>
        <v>1.358333333</v>
      </c>
      <c r="J644" s="69">
        <v>88.0</v>
      </c>
      <c r="K644" s="34">
        <v>7.5</v>
      </c>
      <c r="L644" s="44" t="s">
        <v>444</v>
      </c>
      <c r="M644" s="35" t="s">
        <v>123</v>
      </c>
      <c r="N644" s="35" t="s">
        <v>658</v>
      </c>
      <c r="O644" s="35" t="s">
        <v>34</v>
      </c>
      <c r="P644" s="36" t="s">
        <v>709</v>
      </c>
      <c r="Q644" s="35"/>
      <c r="R644" s="29" t="str">
        <f t="shared" si="4"/>
        <v>Active</v>
      </c>
      <c r="S644" s="33">
        <v>45547.0</v>
      </c>
      <c r="T644" s="32">
        <f t="shared" si="5"/>
        <v>68.83333333</v>
      </c>
    </row>
    <row r="645">
      <c r="A645" s="64" t="s">
        <v>1110</v>
      </c>
      <c r="B645" s="16" t="s">
        <v>27</v>
      </c>
      <c r="C645" s="16" t="s">
        <v>28</v>
      </c>
      <c r="D645" s="17" t="str">
        <f t="shared" si="1"/>
        <v>Active</v>
      </c>
      <c r="E645" s="76">
        <v>43374.0</v>
      </c>
      <c r="F645" s="76"/>
      <c r="G645" s="20">
        <f t="shared" si="2"/>
        <v>84.46666667</v>
      </c>
      <c r="H645" s="18">
        <v>41779.0</v>
      </c>
      <c r="I645" s="20">
        <f t="shared" si="3"/>
        <v>4.363888889</v>
      </c>
      <c r="J645" s="65">
        <f>ROUND((79+81)/2,)</f>
        <v>80</v>
      </c>
      <c r="K645" s="53">
        <v>11.5</v>
      </c>
      <c r="L645" s="43" t="s">
        <v>184</v>
      </c>
      <c r="M645" s="43"/>
      <c r="N645" s="43"/>
      <c r="O645" s="23" t="s">
        <v>34</v>
      </c>
      <c r="P645" s="54" t="s">
        <v>1111</v>
      </c>
      <c r="Q645" s="23"/>
      <c r="R645" s="17" t="str">
        <f t="shared" si="4"/>
        <v>Active</v>
      </c>
      <c r="S645" s="18">
        <v>45547.0</v>
      </c>
      <c r="T645" s="20">
        <f t="shared" si="5"/>
        <v>71.36666667</v>
      </c>
    </row>
    <row r="646">
      <c r="A646" s="67" t="s">
        <v>1112</v>
      </c>
      <c r="B646" s="28" t="s">
        <v>27</v>
      </c>
      <c r="C646" s="28" t="s">
        <v>28</v>
      </c>
      <c r="D646" s="29" t="str">
        <f t="shared" si="1"/>
        <v>Active</v>
      </c>
      <c r="E646" s="70">
        <v>43344.0</v>
      </c>
      <c r="F646" s="100"/>
      <c r="G646" s="32">
        <f t="shared" si="2"/>
        <v>85.46666667</v>
      </c>
      <c r="H646" s="33">
        <v>41954.0</v>
      </c>
      <c r="I646" s="32">
        <f t="shared" si="3"/>
        <v>3.805555556</v>
      </c>
      <c r="J646" s="69">
        <v>85.0</v>
      </c>
      <c r="K646" s="34">
        <v>52.5</v>
      </c>
      <c r="L646" s="44" t="s">
        <v>1113</v>
      </c>
      <c r="M646" s="35" t="s">
        <v>123</v>
      </c>
      <c r="N646" s="35"/>
      <c r="O646" s="35" t="s">
        <v>34</v>
      </c>
      <c r="P646" s="36" t="s">
        <v>858</v>
      </c>
      <c r="Q646" s="35"/>
      <c r="R646" s="29" t="str">
        <f t="shared" si="4"/>
        <v>Active</v>
      </c>
      <c r="S646" s="33">
        <v>45547.0</v>
      </c>
      <c r="T646" s="32">
        <f t="shared" si="5"/>
        <v>72.36666667</v>
      </c>
    </row>
    <row r="647">
      <c r="A647" s="64" t="s">
        <v>1114</v>
      </c>
      <c r="B647" s="16" t="s">
        <v>27</v>
      </c>
      <c r="C647" s="17"/>
      <c r="D647" s="17" t="str">
        <f t="shared" si="1"/>
        <v>Active</v>
      </c>
      <c r="E647" s="76">
        <v>43344.0</v>
      </c>
      <c r="F647" s="52"/>
      <c r="G647" s="20">
        <f t="shared" si="2"/>
        <v>85.46666667</v>
      </c>
      <c r="H647" s="18">
        <v>42465.0</v>
      </c>
      <c r="I647" s="20">
        <f t="shared" si="3"/>
        <v>2.405555556</v>
      </c>
      <c r="J647" s="65">
        <v>77.0</v>
      </c>
      <c r="K647" s="53">
        <v>10.0</v>
      </c>
      <c r="L647" s="43" t="s">
        <v>32</v>
      </c>
      <c r="M647" s="43"/>
      <c r="N647" s="23" t="s">
        <v>1115</v>
      </c>
      <c r="O647" s="23" t="s">
        <v>34</v>
      </c>
      <c r="P647" s="54" t="s">
        <v>865</v>
      </c>
      <c r="Q647" s="23"/>
      <c r="R647" s="17" t="str">
        <f t="shared" si="4"/>
        <v>Active</v>
      </c>
      <c r="S647" s="18">
        <v>45547.0</v>
      </c>
      <c r="T647" s="20">
        <f t="shared" si="5"/>
        <v>72.36666667</v>
      </c>
    </row>
    <row r="648">
      <c r="A648" s="27" t="s">
        <v>1116</v>
      </c>
      <c r="B648" s="28" t="s">
        <v>68</v>
      </c>
      <c r="C648" s="28" t="s">
        <v>28</v>
      </c>
      <c r="D648" s="29" t="str">
        <f t="shared" si="1"/>
        <v>Active</v>
      </c>
      <c r="E648" s="70">
        <v>43322.0</v>
      </c>
      <c r="F648" s="31"/>
      <c r="G648" s="32">
        <f t="shared" si="2"/>
        <v>86.16666667</v>
      </c>
      <c r="H648" s="33">
        <v>42503.0</v>
      </c>
      <c r="I648" s="32">
        <f t="shared" si="3"/>
        <v>2.241666667</v>
      </c>
      <c r="J648" s="69">
        <v>87.0</v>
      </c>
      <c r="K648" s="34">
        <v>11.5</v>
      </c>
      <c r="L648" s="44" t="s">
        <v>184</v>
      </c>
      <c r="M648" s="44"/>
      <c r="N648" s="35" t="s">
        <v>658</v>
      </c>
      <c r="O648" s="35" t="s">
        <v>34</v>
      </c>
      <c r="P648" s="36" t="s">
        <v>709</v>
      </c>
      <c r="Q648" s="35"/>
      <c r="R648" s="29" t="str">
        <f t="shared" si="4"/>
        <v>Active</v>
      </c>
      <c r="S648" s="33">
        <v>45547.0</v>
      </c>
      <c r="T648" s="32">
        <f t="shared" si="5"/>
        <v>73.06666667</v>
      </c>
    </row>
    <row r="649">
      <c r="A649" s="64" t="s">
        <v>1117</v>
      </c>
      <c r="B649" s="16" t="s">
        <v>68</v>
      </c>
      <c r="C649" s="16" t="s">
        <v>28</v>
      </c>
      <c r="D649" s="17" t="str">
        <f t="shared" si="1"/>
        <v>Active</v>
      </c>
      <c r="E649" s="76">
        <v>43313.0</v>
      </c>
      <c r="F649" s="76"/>
      <c r="G649" s="20">
        <f t="shared" si="2"/>
        <v>86.46666667</v>
      </c>
      <c r="H649" s="18">
        <v>40820.0</v>
      </c>
      <c r="I649" s="20">
        <f t="shared" si="3"/>
        <v>6.825</v>
      </c>
      <c r="J649" s="53">
        <v>81.0</v>
      </c>
      <c r="K649" s="53">
        <v>11.0</v>
      </c>
      <c r="L649" s="43" t="s">
        <v>870</v>
      </c>
      <c r="M649" s="43"/>
      <c r="N649" s="43"/>
      <c r="O649" s="121" t="s">
        <v>34</v>
      </c>
      <c r="P649" s="54" t="s">
        <v>35</v>
      </c>
      <c r="Q649" s="23" t="s">
        <v>863</v>
      </c>
      <c r="R649" s="17" t="str">
        <f t="shared" si="4"/>
        <v>Active</v>
      </c>
      <c r="S649" s="18">
        <v>45547.0</v>
      </c>
      <c r="T649" s="20">
        <f t="shared" si="5"/>
        <v>73.36666667</v>
      </c>
    </row>
    <row r="650">
      <c r="A650" s="27" t="s">
        <v>1118</v>
      </c>
      <c r="B650" s="28" t="s">
        <v>27</v>
      </c>
      <c r="C650" s="28" t="s">
        <v>28</v>
      </c>
      <c r="D650" s="29" t="str">
        <f t="shared" si="1"/>
        <v>Active</v>
      </c>
      <c r="E650" s="70">
        <v>43313.0</v>
      </c>
      <c r="F650" s="100"/>
      <c r="G650" s="32">
        <f t="shared" si="2"/>
        <v>86.46666667</v>
      </c>
      <c r="H650" s="33">
        <v>40988.0</v>
      </c>
      <c r="I650" s="32">
        <f t="shared" si="3"/>
        <v>6.363888889</v>
      </c>
      <c r="J650" s="69">
        <v>68.0</v>
      </c>
      <c r="K650" s="34">
        <v>3.0</v>
      </c>
      <c r="L650" s="44" t="s">
        <v>1119</v>
      </c>
      <c r="M650" s="44"/>
      <c r="N650" s="44"/>
      <c r="O650" s="35" t="s">
        <v>334</v>
      </c>
      <c r="P650" s="36" t="s">
        <v>762</v>
      </c>
      <c r="Q650" s="35"/>
      <c r="R650" s="29" t="str">
        <f t="shared" si="4"/>
        <v>Active</v>
      </c>
      <c r="S650" s="33">
        <v>45547.0</v>
      </c>
      <c r="T650" s="32">
        <f t="shared" si="5"/>
        <v>73.36666667</v>
      </c>
    </row>
    <row r="651">
      <c r="A651" s="64" t="s">
        <v>1120</v>
      </c>
      <c r="B651" s="16" t="s">
        <v>68</v>
      </c>
      <c r="C651" s="16" t="s">
        <v>28</v>
      </c>
      <c r="D651" s="17" t="str">
        <f t="shared" si="1"/>
        <v>Active</v>
      </c>
      <c r="E651" s="76">
        <v>43313.0</v>
      </c>
      <c r="F651" s="73"/>
      <c r="G651" s="20">
        <f t="shared" si="2"/>
        <v>86.46666667</v>
      </c>
      <c r="H651" s="18">
        <v>41600.0</v>
      </c>
      <c r="I651" s="20">
        <f t="shared" si="3"/>
        <v>4.691666667</v>
      </c>
      <c r="J651" s="65">
        <v>60.0</v>
      </c>
      <c r="K651" s="53">
        <v>6.5</v>
      </c>
      <c r="L651" s="43" t="s">
        <v>1121</v>
      </c>
      <c r="M651" s="43"/>
      <c r="N651" s="23" t="s">
        <v>1122</v>
      </c>
      <c r="O651" s="23" t="s">
        <v>34</v>
      </c>
      <c r="P651" s="54" t="s">
        <v>1123</v>
      </c>
      <c r="Q651" s="23"/>
      <c r="R651" s="17" t="str">
        <f t="shared" si="4"/>
        <v>Active</v>
      </c>
      <c r="S651" s="18">
        <v>45547.0</v>
      </c>
      <c r="T651" s="20">
        <f t="shared" si="5"/>
        <v>73.36666667</v>
      </c>
    </row>
    <row r="652">
      <c r="A652" s="122" t="s">
        <v>1124</v>
      </c>
      <c r="B652" s="28" t="s">
        <v>27</v>
      </c>
      <c r="C652" s="28" t="s">
        <v>28</v>
      </c>
      <c r="D652" s="29" t="str">
        <f t="shared" si="1"/>
        <v>Active</v>
      </c>
      <c r="E652" s="70">
        <v>43282.0</v>
      </c>
      <c r="F652" s="70"/>
      <c r="G652" s="32">
        <f t="shared" si="2"/>
        <v>87.46666667</v>
      </c>
      <c r="H652" s="33">
        <v>39749.0</v>
      </c>
      <c r="I652" s="32">
        <f t="shared" si="3"/>
        <v>9.675</v>
      </c>
      <c r="J652" s="34">
        <v>93.0</v>
      </c>
      <c r="K652" s="34">
        <v>22.5</v>
      </c>
      <c r="L652" s="35" t="s">
        <v>1042</v>
      </c>
      <c r="M652" s="35" t="s">
        <v>451</v>
      </c>
      <c r="N652" s="35" t="s">
        <v>1044</v>
      </c>
      <c r="O652" s="123" t="s">
        <v>34</v>
      </c>
      <c r="P652" s="36" t="s">
        <v>1125</v>
      </c>
      <c r="Q652" s="35" t="s">
        <v>863</v>
      </c>
      <c r="R652" s="29" t="str">
        <f t="shared" si="4"/>
        <v>Active</v>
      </c>
      <c r="S652" s="33">
        <v>45547.0</v>
      </c>
      <c r="T652" s="32">
        <f t="shared" si="5"/>
        <v>74.36666667</v>
      </c>
    </row>
    <row r="653">
      <c r="A653" s="15" t="s">
        <v>1126</v>
      </c>
      <c r="B653" s="16" t="s">
        <v>27</v>
      </c>
      <c r="C653" s="16" t="s">
        <v>28</v>
      </c>
      <c r="D653" s="17" t="str">
        <f t="shared" si="1"/>
        <v>Active</v>
      </c>
      <c r="E653" s="76">
        <v>43282.0</v>
      </c>
      <c r="F653" s="73"/>
      <c r="G653" s="20">
        <f t="shared" si="2"/>
        <v>87.46666667</v>
      </c>
      <c r="H653" s="18">
        <v>42573.0</v>
      </c>
      <c r="I653" s="20">
        <f t="shared" si="3"/>
        <v>1.941666667</v>
      </c>
      <c r="J653" s="65">
        <v>73.0</v>
      </c>
      <c r="K653" s="53">
        <v>5.5</v>
      </c>
      <c r="L653" s="43" t="s">
        <v>731</v>
      </c>
      <c r="M653" s="23" t="s">
        <v>123</v>
      </c>
      <c r="N653" s="23" t="s">
        <v>658</v>
      </c>
      <c r="O653" s="23" t="s">
        <v>132</v>
      </c>
      <c r="P653" s="54"/>
      <c r="Q653" s="23"/>
      <c r="R653" s="17" t="str">
        <f t="shared" si="4"/>
        <v>Active</v>
      </c>
      <c r="S653" s="18">
        <v>45547.0</v>
      </c>
      <c r="T653" s="20">
        <f t="shared" si="5"/>
        <v>74.36666667</v>
      </c>
    </row>
    <row r="654">
      <c r="A654" s="67" t="s">
        <v>1127</v>
      </c>
      <c r="B654" s="28" t="s">
        <v>27</v>
      </c>
      <c r="C654" s="28" t="s">
        <v>28</v>
      </c>
      <c r="D654" s="29" t="str">
        <f t="shared" si="1"/>
        <v>Active</v>
      </c>
      <c r="E654" s="70">
        <v>43282.0</v>
      </c>
      <c r="F654" s="70"/>
      <c r="G654" s="32">
        <f t="shared" si="2"/>
        <v>87.46666667</v>
      </c>
      <c r="H654" s="33">
        <v>38796.0</v>
      </c>
      <c r="I654" s="32">
        <f t="shared" si="3"/>
        <v>12.28055556</v>
      </c>
      <c r="J654" s="34">
        <v>94.0</v>
      </c>
      <c r="K654" s="34">
        <v>27.5</v>
      </c>
      <c r="L654" s="35" t="s">
        <v>122</v>
      </c>
      <c r="M654" s="35" t="s">
        <v>451</v>
      </c>
      <c r="N654" s="35" t="s">
        <v>771</v>
      </c>
      <c r="O654" s="123" t="s">
        <v>34</v>
      </c>
      <c r="P654" s="36" t="s">
        <v>1128</v>
      </c>
      <c r="Q654" s="35" t="s">
        <v>863</v>
      </c>
      <c r="R654" s="29" t="str">
        <f t="shared" si="4"/>
        <v>Active</v>
      </c>
      <c r="S654" s="33">
        <v>45547.0</v>
      </c>
      <c r="T654" s="32">
        <f t="shared" si="5"/>
        <v>74.36666667</v>
      </c>
    </row>
    <row r="655">
      <c r="A655" s="15" t="s">
        <v>1129</v>
      </c>
      <c r="B655" s="16" t="s">
        <v>68</v>
      </c>
      <c r="C655" s="16"/>
      <c r="D655" s="17" t="str">
        <f t="shared" si="1"/>
        <v>Active</v>
      </c>
      <c r="E655" s="76">
        <v>43261.0</v>
      </c>
      <c r="F655" s="73"/>
      <c r="G655" s="20">
        <f t="shared" si="2"/>
        <v>88.16666667</v>
      </c>
      <c r="H655" s="18">
        <v>41733.0</v>
      </c>
      <c r="I655" s="20">
        <f t="shared" si="3"/>
        <v>4.183333333</v>
      </c>
      <c r="J655" s="65">
        <v>77.0</v>
      </c>
      <c r="K655" s="53">
        <v>87.0</v>
      </c>
      <c r="L655" s="43" t="s">
        <v>1130</v>
      </c>
      <c r="M655" s="43"/>
      <c r="N655" s="23" t="s">
        <v>1131</v>
      </c>
      <c r="O655" s="23" t="s">
        <v>34</v>
      </c>
      <c r="P655" s="54" t="s">
        <v>1132</v>
      </c>
      <c r="Q655" s="124"/>
      <c r="R655" s="17" t="str">
        <f t="shared" si="4"/>
        <v>Active</v>
      </c>
      <c r="S655" s="18">
        <v>45547.0</v>
      </c>
      <c r="T655" s="20">
        <f t="shared" si="5"/>
        <v>75.06666667</v>
      </c>
    </row>
    <row r="656">
      <c r="A656" s="67" t="s">
        <v>1133</v>
      </c>
      <c r="B656" s="28" t="s">
        <v>27</v>
      </c>
      <c r="C656" s="28" t="s">
        <v>28</v>
      </c>
      <c r="D656" s="29" t="str">
        <f t="shared" si="1"/>
        <v>Active</v>
      </c>
      <c r="E656" s="70">
        <v>43252.0</v>
      </c>
      <c r="F656" s="100"/>
      <c r="G656" s="32">
        <f t="shared" si="2"/>
        <v>88.46666667</v>
      </c>
      <c r="H656" s="33">
        <v>40862.0</v>
      </c>
      <c r="I656" s="32">
        <f t="shared" si="3"/>
        <v>6.544444444</v>
      </c>
      <c r="J656" s="69">
        <v>67.0</v>
      </c>
      <c r="K656" s="34">
        <v>16.0</v>
      </c>
      <c r="L656" s="44" t="s">
        <v>1134</v>
      </c>
      <c r="M656" s="44"/>
      <c r="N656" s="44"/>
      <c r="O656" s="35" t="s">
        <v>334</v>
      </c>
      <c r="P656" s="125"/>
      <c r="Q656" s="35"/>
      <c r="R656" s="29" t="str">
        <f t="shared" si="4"/>
        <v>Active</v>
      </c>
      <c r="S656" s="33">
        <v>45547.0</v>
      </c>
      <c r="T656" s="32">
        <f t="shared" si="5"/>
        <v>75.36666667</v>
      </c>
    </row>
    <row r="657">
      <c r="A657" s="15" t="s">
        <v>1135</v>
      </c>
      <c r="B657" s="16" t="s">
        <v>27</v>
      </c>
      <c r="C657" s="16" t="s">
        <v>121</v>
      </c>
      <c r="D657" s="17" t="str">
        <f t="shared" si="1"/>
        <v>Active</v>
      </c>
      <c r="E657" s="76">
        <v>43252.0</v>
      </c>
      <c r="F657" s="73"/>
      <c r="G657" s="20">
        <f t="shared" si="2"/>
        <v>88.46666667</v>
      </c>
      <c r="H657" s="18">
        <v>41900.0</v>
      </c>
      <c r="I657" s="20">
        <f t="shared" si="3"/>
        <v>3.702777778</v>
      </c>
      <c r="J657" s="65">
        <v>77.0</v>
      </c>
      <c r="K657" s="53">
        <v>39.5</v>
      </c>
      <c r="L657" s="23" t="s">
        <v>29</v>
      </c>
      <c r="M657" s="43"/>
      <c r="N657" s="43"/>
      <c r="O657" s="23" t="s">
        <v>34</v>
      </c>
      <c r="P657" s="54" t="s">
        <v>1136</v>
      </c>
      <c r="Q657" s="23"/>
      <c r="R657" s="17" t="str">
        <f t="shared" si="4"/>
        <v>Active</v>
      </c>
      <c r="S657" s="18">
        <v>45547.0</v>
      </c>
      <c r="T657" s="20">
        <f t="shared" si="5"/>
        <v>75.36666667</v>
      </c>
    </row>
    <row r="658">
      <c r="A658" s="67" t="s">
        <v>1137</v>
      </c>
      <c r="B658" s="28" t="s">
        <v>27</v>
      </c>
      <c r="C658" s="28" t="s">
        <v>183</v>
      </c>
      <c r="D658" s="29" t="str">
        <f t="shared" si="1"/>
        <v>Active</v>
      </c>
      <c r="E658" s="70">
        <v>43242.0</v>
      </c>
      <c r="F658" s="100"/>
      <c r="G658" s="32">
        <f t="shared" si="2"/>
        <v>88.76666667</v>
      </c>
      <c r="H658" s="33">
        <v>43238.0</v>
      </c>
      <c r="I658" s="32">
        <f t="shared" si="3"/>
        <v>0.01111111111</v>
      </c>
      <c r="J658" s="69">
        <v>78.0</v>
      </c>
      <c r="K658" s="34">
        <v>36.5</v>
      </c>
      <c r="L658" s="44" t="s">
        <v>37</v>
      </c>
      <c r="M658" s="35" t="s">
        <v>123</v>
      </c>
      <c r="N658" s="35" t="s">
        <v>995</v>
      </c>
      <c r="O658" s="35" t="s">
        <v>34</v>
      </c>
      <c r="P658" s="36" t="s">
        <v>1138</v>
      </c>
      <c r="Q658" s="35"/>
      <c r="R658" s="29" t="str">
        <f t="shared" si="4"/>
        <v>Active</v>
      </c>
      <c r="S658" s="33">
        <v>45547.0</v>
      </c>
      <c r="T658" s="32">
        <f t="shared" si="5"/>
        <v>75.66666667</v>
      </c>
    </row>
    <row r="659">
      <c r="A659" s="15" t="s">
        <v>1139</v>
      </c>
      <c r="B659" s="16" t="s">
        <v>27</v>
      </c>
      <c r="C659" s="16" t="s">
        <v>183</v>
      </c>
      <c r="D659" s="17" t="str">
        <f t="shared" si="1"/>
        <v>Active</v>
      </c>
      <c r="E659" s="76">
        <v>43191.0</v>
      </c>
      <c r="F659" s="76"/>
      <c r="G659" s="20">
        <f t="shared" si="2"/>
        <v>90.46666667</v>
      </c>
      <c r="H659" s="18">
        <v>42073.0</v>
      </c>
      <c r="I659" s="20">
        <f t="shared" si="3"/>
        <v>3.058333333</v>
      </c>
      <c r="J659" s="65">
        <f>ROUND((81+85)/2,)</f>
        <v>83</v>
      </c>
      <c r="K659" s="53">
        <v>25.5</v>
      </c>
      <c r="L659" s="43" t="s">
        <v>50</v>
      </c>
      <c r="M659" s="43"/>
      <c r="N659" s="23" t="s">
        <v>1140</v>
      </c>
      <c r="O659" s="23" t="s">
        <v>132</v>
      </c>
      <c r="P659" s="54"/>
      <c r="Q659" s="23"/>
      <c r="R659" s="17" t="str">
        <f t="shared" si="4"/>
        <v>Active</v>
      </c>
      <c r="S659" s="18">
        <v>45547.0</v>
      </c>
      <c r="T659" s="20">
        <f t="shared" si="5"/>
        <v>77.36666667</v>
      </c>
    </row>
    <row r="660">
      <c r="A660" s="67" t="s">
        <v>1141</v>
      </c>
      <c r="B660" s="28" t="s">
        <v>27</v>
      </c>
      <c r="C660" s="28" t="s">
        <v>28</v>
      </c>
      <c r="D660" s="29" t="str">
        <f t="shared" si="1"/>
        <v>Active</v>
      </c>
      <c r="E660" s="70">
        <v>43191.0</v>
      </c>
      <c r="F660" s="100"/>
      <c r="G660" s="32">
        <f t="shared" si="2"/>
        <v>90.46666667</v>
      </c>
      <c r="H660" s="33">
        <v>42781.0</v>
      </c>
      <c r="I660" s="32">
        <f t="shared" si="3"/>
        <v>1.127777778</v>
      </c>
      <c r="J660" s="34">
        <v>83.0</v>
      </c>
      <c r="K660" s="34">
        <v>20.5</v>
      </c>
      <c r="L660" s="44" t="s">
        <v>1142</v>
      </c>
      <c r="M660" s="44"/>
      <c r="N660" s="35" t="s">
        <v>1143</v>
      </c>
      <c r="O660" s="35" t="s">
        <v>125</v>
      </c>
      <c r="P660" s="36" t="s">
        <v>551</v>
      </c>
      <c r="Q660" s="35"/>
      <c r="R660" s="29" t="str">
        <f t="shared" si="4"/>
        <v>Active</v>
      </c>
      <c r="S660" s="33">
        <v>45547.0</v>
      </c>
      <c r="T660" s="32">
        <f t="shared" si="5"/>
        <v>77.36666667</v>
      </c>
    </row>
    <row r="661">
      <c r="A661" s="64" t="s">
        <v>1144</v>
      </c>
      <c r="B661" s="16" t="s">
        <v>27</v>
      </c>
      <c r="C661" s="16" t="s">
        <v>623</v>
      </c>
      <c r="D661" s="17" t="str">
        <f t="shared" si="1"/>
        <v>Active</v>
      </c>
      <c r="E661" s="62">
        <v>43179.0</v>
      </c>
      <c r="F661" s="73"/>
      <c r="G661" s="20">
        <f t="shared" si="2"/>
        <v>90.83333333</v>
      </c>
      <c r="H661" s="18">
        <v>43179.0</v>
      </c>
      <c r="I661" s="20">
        <f t="shared" si="3"/>
        <v>0</v>
      </c>
      <c r="J661" s="65">
        <v>69.0</v>
      </c>
      <c r="K661" s="53">
        <v>33.5</v>
      </c>
      <c r="L661" s="43" t="s">
        <v>37</v>
      </c>
      <c r="M661" s="23" t="s">
        <v>123</v>
      </c>
      <c r="N661" s="23"/>
      <c r="O661" s="23" t="s">
        <v>125</v>
      </c>
      <c r="P661" s="54" t="s">
        <v>1145</v>
      </c>
      <c r="Q661" s="23"/>
      <c r="R661" s="17" t="str">
        <f t="shared" si="4"/>
        <v>Active</v>
      </c>
      <c r="S661" s="18">
        <v>45547.0</v>
      </c>
      <c r="T661" s="20">
        <f t="shared" si="5"/>
        <v>77.73333333</v>
      </c>
    </row>
    <row r="662">
      <c r="A662" s="27" t="s">
        <v>1146</v>
      </c>
      <c r="B662" s="28" t="s">
        <v>27</v>
      </c>
      <c r="C662" s="29"/>
      <c r="D662" s="29" t="str">
        <f t="shared" si="1"/>
        <v>Active</v>
      </c>
      <c r="E662" s="70">
        <v>43160.0</v>
      </c>
      <c r="F662" s="100"/>
      <c r="G662" s="32">
        <f t="shared" si="2"/>
        <v>91.46666667</v>
      </c>
      <c r="H662" s="33">
        <v>43046.0</v>
      </c>
      <c r="I662" s="32">
        <f t="shared" si="3"/>
        <v>0.3166666667</v>
      </c>
      <c r="J662" s="69">
        <v>64.0</v>
      </c>
      <c r="K662" s="34">
        <v>6.0</v>
      </c>
      <c r="L662" s="44" t="s">
        <v>44</v>
      </c>
      <c r="M662" s="35" t="s">
        <v>451</v>
      </c>
      <c r="N662" s="44"/>
      <c r="O662" s="35" t="s">
        <v>132</v>
      </c>
      <c r="P662" s="36" t="s">
        <v>955</v>
      </c>
      <c r="Q662" s="35"/>
      <c r="R662" s="29" t="str">
        <f t="shared" si="4"/>
        <v>Active</v>
      </c>
      <c r="S662" s="33">
        <v>45547.0</v>
      </c>
      <c r="T662" s="32">
        <f t="shared" si="5"/>
        <v>78.36666667</v>
      </c>
    </row>
    <row r="663">
      <c r="A663" s="64" t="s">
        <v>1147</v>
      </c>
      <c r="B663" s="16" t="s">
        <v>68</v>
      </c>
      <c r="C663" s="16" t="s">
        <v>121</v>
      </c>
      <c r="D663" s="17" t="str">
        <f t="shared" si="1"/>
        <v>Active</v>
      </c>
      <c r="E663" s="76">
        <v>43132.0</v>
      </c>
      <c r="F663" s="73"/>
      <c r="G663" s="20">
        <f t="shared" si="2"/>
        <v>92.46666667</v>
      </c>
      <c r="H663" s="18">
        <v>41674.0</v>
      </c>
      <c r="I663" s="20">
        <f t="shared" si="3"/>
        <v>3.991666667</v>
      </c>
      <c r="J663" s="65">
        <v>68.0</v>
      </c>
      <c r="K663" s="53">
        <v>14.0</v>
      </c>
      <c r="L663" s="23" t="s">
        <v>509</v>
      </c>
      <c r="M663" s="43"/>
      <c r="N663" s="23" t="s">
        <v>658</v>
      </c>
      <c r="O663" s="121" t="s">
        <v>34</v>
      </c>
      <c r="P663" s="54" t="s">
        <v>1148</v>
      </c>
      <c r="Q663" s="23" t="s">
        <v>863</v>
      </c>
      <c r="R663" s="17" t="str">
        <f t="shared" si="4"/>
        <v>Active</v>
      </c>
      <c r="S663" s="18">
        <v>45547.0</v>
      </c>
      <c r="T663" s="20">
        <f t="shared" si="5"/>
        <v>79.36666667</v>
      </c>
    </row>
    <row r="664">
      <c r="A664" s="67" t="s">
        <v>1149</v>
      </c>
      <c r="B664" s="28" t="s">
        <v>27</v>
      </c>
      <c r="C664" s="28" t="s">
        <v>121</v>
      </c>
      <c r="D664" s="29" t="str">
        <f t="shared" si="1"/>
        <v>Active</v>
      </c>
      <c r="E664" s="70">
        <v>43132.0</v>
      </c>
      <c r="F664" s="100"/>
      <c r="G664" s="32">
        <f t="shared" si="2"/>
        <v>92.46666667</v>
      </c>
      <c r="H664" s="33">
        <v>42783.0</v>
      </c>
      <c r="I664" s="32">
        <f t="shared" si="3"/>
        <v>0.9555555556</v>
      </c>
      <c r="J664" s="69">
        <v>79.0</v>
      </c>
      <c r="K664" s="34">
        <v>8.0</v>
      </c>
      <c r="L664" s="44" t="s">
        <v>726</v>
      </c>
      <c r="M664" s="35" t="s">
        <v>451</v>
      </c>
      <c r="N664" s="35" t="s">
        <v>658</v>
      </c>
      <c r="O664" s="35" t="s">
        <v>125</v>
      </c>
      <c r="P664" s="36" t="s">
        <v>1038</v>
      </c>
      <c r="Q664" s="35"/>
      <c r="R664" s="29" t="str">
        <f t="shared" si="4"/>
        <v>Active</v>
      </c>
      <c r="S664" s="33">
        <v>45547.0</v>
      </c>
      <c r="T664" s="32">
        <f t="shared" si="5"/>
        <v>79.36666667</v>
      </c>
    </row>
    <row r="665">
      <c r="A665" s="64" t="s">
        <v>1150</v>
      </c>
      <c r="B665" s="16" t="s">
        <v>27</v>
      </c>
      <c r="C665" s="17"/>
      <c r="D665" s="17" t="str">
        <f t="shared" si="1"/>
        <v>Active</v>
      </c>
      <c r="E665" s="76">
        <v>43101.0</v>
      </c>
      <c r="F665" s="73"/>
      <c r="G665" s="20">
        <f t="shared" si="2"/>
        <v>93.46666667</v>
      </c>
      <c r="H665" s="18">
        <v>43039.0</v>
      </c>
      <c r="I665" s="20">
        <f t="shared" si="3"/>
        <v>0.1694444444</v>
      </c>
      <c r="J665" s="65">
        <v>68.0</v>
      </c>
      <c r="K665" s="53">
        <v>14.0</v>
      </c>
      <c r="L665" s="43" t="s">
        <v>50</v>
      </c>
      <c r="M665" s="43"/>
      <c r="N665" s="43"/>
      <c r="O665" s="23" t="s">
        <v>132</v>
      </c>
      <c r="P665" s="54"/>
      <c r="Q665" s="23"/>
      <c r="R665" s="17" t="str">
        <f t="shared" si="4"/>
        <v>Active</v>
      </c>
      <c r="S665" s="18">
        <v>45547.0</v>
      </c>
      <c r="T665" s="20">
        <f t="shared" si="5"/>
        <v>80.36666667</v>
      </c>
    </row>
    <row r="666">
      <c r="A666" s="67" t="s">
        <v>1151</v>
      </c>
      <c r="B666" s="28" t="s">
        <v>27</v>
      </c>
      <c r="C666" s="28" t="s">
        <v>28</v>
      </c>
      <c r="D666" s="29" t="str">
        <f t="shared" si="1"/>
        <v>Active</v>
      </c>
      <c r="E666" s="70">
        <v>43070.0</v>
      </c>
      <c r="F666" s="100"/>
      <c r="G666" s="32">
        <f t="shared" si="2"/>
        <v>94.46666667</v>
      </c>
      <c r="H666" s="33">
        <v>42650.0</v>
      </c>
      <c r="I666" s="32">
        <f t="shared" si="3"/>
        <v>1.15</v>
      </c>
      <c r="J666" s="69">
        <v>84.0</v>
      </c>
      <c r="K666" s="34">
        <v>9.0</v>
      </c>
      <c r="L666" s="44" t="s">
        <v>32</v>
      </c>
      <c r="M666" s="35" t="s">
        <v>451</v>
      </c>
      <c r="N666" s="44"/>
      <c r="O666" s="35" t="s">
        <v>34</v>
      </c>
      <c r="P666" s="36" t="s">
        <v>709</v>
      </c>
      <c r="Q666" s="35"/>
      <c r="R666" s="29" t="str">
        <f t="shared" si="4"/>
        <v>Active</v>
      </c>
      <c r="S666" s="33">
        <v>45547.0</v>
      </c>
      <c r="T666" s="32">
        <f t="shared" si="5"/>
        <v>81.36666667</v>
      </c>
    </row>
    <row r="667">
      <c r="A667" s="64" t="s">
        <v>1152</v>
      </c>
      <c r="B667" s="16" t="s">
        <v>27</v>
      </c>
      <c r="C667" s="17"/>
      <c r="D667" s="17" t="str">
        <f t="shared" si="1"/>
        <v>Active</v>
      </c>
      <c r="E667" s="76">
        <v>43070.0</v>
      </c>
      <c r="F667" s="73"/>
      <c r="G667" s="20">
        <f t="shared" si="2"/>
        <v>94.46666667</v>
      </c>
      <c r="H667" s="18">
        <v>39406.0</v>
      </c>
      <c r="I667" s="20">
        <f t="shared" si="3"/>
        <v>10.03055556</v>
      </c>
      <c r="J667" s="65">
        <f>(89+91)/2</f>
        <v>90</v>
      </c>
      <c r="K667" s="53">
        <v>17.0</v>
      </c>
      <c r="L667" s="23" t="s">
        <v>1096</v>
      </c>
      <c r="M667" s="43"/>
      <c r="N667" s="43"/>
      <c r="O667" s="121" t="s">
        <v>34</v>
      </c>
      <c r="P667" s="54" t="s">
        <v>1153</v>
      </c>
      <c r="Q667" s="23" t="s">
        <v>863</v>
      </c>
      <c r="R667" s="17" t="str">
        <f t="shared" si="4"/>
        <v>Active</v>
      </c>
      <c r="S667" s="18">
        <v>45547.0</v>
      </c>
      <c r="T667" s="20">
        <f t="shared" si="5"/>
        <v>81.36666667</v>
      </c>
    </row>
    <row r="668">
      <c r="A668" s="67" t="s">
        <v>1154</v>
      </c>
      <c r="B668" s="28" t="s">
        <v>27</v>
      </c>
      <c r="C668" s="28" t="s">
        <v>121</v>
      </c>
      <c r="D668" s="29" t="str">
        <f t="shared" si="1"/>
        <v>Active</v>
      </c>
      <c r="E668" s="70">
        <v>43040.0</v>
      </c>
      <c r="F668" s="100"/>
      <c r="G668" s="32">
        <f t="shared" si="2"/>
        <v>95.46666667</v>
      </c>
      <c r="H668" s="33">
        <v>39870.0</v>
      </c>
      <c r="I668" s="32">
        <f t="shared" si="3"/>
        <v>8.680555556</v>
      </c>
      <c r="J668" s="34">
        <v>81.0</v>
      </c>
      <c r="K668" s="34">
        <v>9.0</v>
      </c>
      <c r="L668" s="35" t="s">
        <v>122</v>
      </c>
      <c r="M668" s="44"/>
      <c r="N668" s="44"/>
      <c r="O668" s="35" t="s">
        <v>125</v>
      </c>
      <c r="P668" s="36" t="s">
        <v>1155</v>
      </c>
      <c r="Q668" s="35"/>
      <c r="R668" s="29" t="str">
        <f t="shared" si="4"/>
        <v>Active</v>
      </c>
      <c r="S668" s="33">
        <v>45547.0</v>
      </c>
      <c r="T668" s="32">
        <f t="shared" si="5"/>
        <v>82.36666667</v>
      </c>
    </row>
    <row r="669">
      <c r="A669" s="64" t="s">
        <v>1156</v>
      </c>
      <c r="B669" s="16" t="s">
        <v>68</v>
      </c>
      <c r="C669" s="17"/>
      <c r="D669" s="17" t="str">
        <f t="shared" si="1"/>
        <v>Active</v>
      </c>
      <c r="E669" s="76">
        <v>43009.0</v>
      </c>
      <c r="F669" s="73"/>
      <c r="G669" s="20">
        <f t="shared" si="2"/>
        <v>96.46666667</v>
      </c>
      <c r="H669" s="18">
        <v>41919.0</v>
      </c>
      <c r="I669" s="20">
        <f t="shared" si="3"/>
        <v>2.983333333</v>
      </c>
      <c r="J669" s="65">
        <v>65.0</v>
      </c>
      <c r="K669" s="53">
        <v>6.5</v>
      </c>
      <c r="L669" s="23" t="s">
        <v>29</v>
      </c>
      <c r="M669" s="43"/>
      <c r="N669" s="43"/>
      <c r="O669" s="23" t="s">
        <v>334</v>
      </c>
      <c r="P669" s="54" t="s">
        <v>483</v>
      </c>
      <c r="Q669" s="23"/>
      <c r="R669" s="17" t="str">
        <f t="shared" si="4"/>
        <v>Active</v>
      </c>
      <c r="S669" s="18">
        <v>45547.0</v>
      </c>
      <c r="T669" s="20">
        <f t="shared" si="5"/>
        <v>83.36666667</v>
      </c>
    </row>
    <row r="670">
      <c r="A670" s="67" t="s">
        <v>1157</v>
      </c>
      <c r="B670" s="28" t="s">
        <v>68</v>
      </c>
      <c r="C670" s="29"/>
      <c r="D670" s="29" t="str">
        <f t="shared" si="1"/>
        <v>Active</v>
      </c>
      <c r="E670" s="70">
        <v>43009.0</v>
      </c>
      <c r="F670" s="100"/>
      <c r="G670" s="32">
        <f t="shared" si="2"/>
        <v>96.46666667</v>
      </c>
      <c r="H670" s="33">
        <v>42122.0</v>
      </c>
      <c r="I670" s="32">
        <f t="shared" si="3"/>
        <v>2.425</v>
      </c>
      <c r="J670" s="69">
        <v>72.0</v>
      </c>
      <c r="K670" s="34">
        <v>17.5</v>
      </c>
      <c r="L670" s="44" t="s">
        <v>1158</v>
      </c>
      <c r="M670" s="44"/>
      <c r="N670" s="44"/>
      <c r="O670" s="35" t="s">
        <v>34</v>
      </c>
      <c r="P670" s="36" t="s">
        <v>1138</v>
      </c>
      <c r="Q670" s="35"/>
      <c r="R670" s="29" t="str">
        <f t="shared" si="4"/>
        <v>Active</v>
      </c>
      <c r="S670" s="33">
        <v>45547.0</v>
      </c>
      <c r="T670" s="32">
        <f t="shared" si="5"/>
        <v>83.36666667</v>
      </c>
    </row>
    <row r="671">
      <c r="A671" s="64" t="s">
        <v>1159</v>
      </c>
      <c r="B671" s="16" t="s">
        <v>68</v>
      </c>
      <c r="C671" s="16" t="s">
        <v>121</v>
      </c>
      <c r="D671" s="17" t="str">
        <f t="shared" si="1"/>
        <v>Active</v>
      </c>
      <c r="E671" s="76">
        <v>42979.0</v>
      </c>
      <c r="F671" s="73"/>
      <c r="G671" s="20">
        <f t="shared" si="2"/>
        <v>97.46666667</v>
      </c>
      <c r="H671" s="18">
        <v>39742.0</v>
      </c>
      <c r="I671" s="20">
        <f t="shared" si="3"/>
        <v>8.861111111</v>
      </c>
      <c r="J671" s="53">
        <v>89.0</v>
      </c>
      <c r="K671" s="53">
        <v>13.0</v>
      </c>
      <c r="L671" s="43" t="s">
        <v>362</v>
      </c>
      <c r="M671" s="43"/>
      <c r="N671" s="43"/>
      <c r="O671" s="121" t="s">
        <v>34</v>
      </c>
      <c r="P671" s="54" t="s">
        <v>1160</v>
      </c>
      <c r="Q671" s="23" t="s">
        <v>863</v>
      </c>
      <c r="R671" s="17" t="str">
        <f t="shared" si="4"/>
        <v>Active</v>
      </c>
      <c r="S671" s="18">
        <v>45547.0</v>
      </c>
      <c r="T671" s="20">
        <f t="shared" si="5"/>
        <v>84.36666667</v>
      </c>
    </row>
    <row r="672">
      <c r="A672" s="27" t="s">
        <v>1161</v>
      </c>
      <c r="B672" s="28" t="s">
        <v>27</v>
      </c>
      <c r="C672" s="28" t="s">
        <v>28</v>
      </c>
      <c r="D672" s="29" t="str">
        <f t="shared" si="1"/>
        <v>Active</v>
      </c>
      <c r="E672" s="70">
        <v>42976.0</v>
      </c>
      <c r="F672" s="100"/>
      <c r="G672" s="32">
        <f t="shared" si="2"/>
        <v>97.53333333</v>
      </c>
      <c r="H672" s="33">
        <v>42626.0</v>
      </c>
      <c r="I672" s="32">
        <f t="shared" si="3"/>
        <v>0.9611111111</v>
      </c>
      <c r="J672" s="69">
        <f>ROUND((58+63)/2,)</f>
        <v>61</v>
      </c>
      <c r="K672" s="34">
        <v>12.0</v>
      </c>
      <c r="L672" s="44" t="s">
        <v>362</v>
      </c>
      <c r="M672" s="35" t="s">
        <v>451</v>
      </c>
      <c r="N672" s="44"/>
      <c r="O672" s="35" t="s">
        <v>125</v>
      </c>
      <c r="P672" s="36" t="s">
        <v>475</v>
      </c>
      <c r="Q672" s="35"/>
      <c r="R672" s="29" t="str">
        <f t="shared" si="4"/>
        <v>Active</v>
      </c>
      <c r="S672" s="33">
        <v>45547.0</v>
      </c>
      <c r="T672" s="32">
        <f t="shared" si="5"/>
        <v>84.43333333</v>
      </c>
    </row>
    <row r="673">
      <c r="A673" s="64" t="s">
        <v>1162</v>
      </c>
      <c r="B673" s="16" t="s">
        <v>68</v>
      </c>
      <c r="C673" s="16" t="s">
        <v>121</v>
      </c>
      <c r="D673" s="17" t="str">
        <f t="shared" si="1"/>
        <v>Active</v>
      </c>
      <c r="E673" s="76">
        <v>42887.0</v>
      </c>
      <c r="F673" s="73"/>
      <c r="G673" s="20">
        <f t="shared" si="2"/>
        <v>100.4666667</v>
      </c>
      <c r="H673" s="18">
        <v>35975.0</v>
      </c>
      <c r="I673" s="20">
        <f t="shared" si="3"/>
        <v>18.92222222</v>
      </c>
      <c r="J673" s="65">
        <v>77.0</v>
      </c>
      <c r="K673" s="53">
        <v>11.0</v>
      </c>
      <c r="L673" s="43" t="s">
        <v>362</v>
      </c>
      <c r="M673" s="43"/>
      <c r="N673" s="43"/>
      <c r="O673" s="121" t="s">
        <v>132</v>
      </c>
      <c r="P673" s="54" t="s">
        <v>475</v>
      </c>
      <c r="Q673" s="23"/>
      <c r="R673" s="17" t="str">
        <f t="shared" si="4"/>
        <v>Active</v>
      </c>
      <c r="S673" s="18">
        <v>45547.0</v>
      </c>
      <c r="T673" s="20">
        <f t="shared" si="5"/>
        <v>87.36666667</v>
      </c>
    </row>
    <row r="674">
      <c r="A674" s="67" t="s">
        <v>1163</v>
      </c>
      <c r="B674" s="28" t="s">
        <v>68</v>
      </c>
      <c r="C674" s="28" t="s">
        <v>28</v>
      </c>
      <c r="D674" s="29" t="str">
        <f t="shared" si="1"/>
        <v>Active</v>
      </c>
      <c r="E674" s="70">
        <v>42887.0</v>
      </c>
      <c r="F674" s="100"/>
      <c r="G674" s="32">
        <f t="shared" si="2"/>
        <v>100.4666667</v>
      </c>
      <c r="H674" s="33">
        <v>39763.0</v>
      </c>
      <c r="I674" s="32">
        <f t="shared" si="3"/>
        <v>8.555555556</v>
      </c>
      <c r="J674" s="69">
        <v>79.0</v>
      </c>
      <c r="K674" s="34">
        <v>15.5</v>
      </c>
      <c r="L674" s="44" t="s">
        <v>362</v>
      </c>
      <c r="M674" s="44"/>
      <c r="N674" s="44"/>
      <c r="O674" s="35" t="s">
        <v>334</v>
      </c>
      <c r="P674" s="36" t="s">
        <v>1164</v>
      </c>
      <c r="Q674" s="35" t="s">
        <v>863</v>
      </c>
      <c r="R674" s="29" t="str">
        <f t="shared" si="4"/>
        <v>Active</v>
      </c>
      <c r="S674" s="33">
        <v>45547.0</v>
      </c>
      <c r="T674" s="32">
        <f t="shared" si="5"/>
        <v>87.36666667</v>
      </c>
    </row>
    <row r="675">
      <c r="A675" s="64" t="s">
        <v>1165</v>
      </c>
      <c r="B675" s="16" t="s">
        <v>68</v>
      </c>
      <c r="C675" s="16" t="s">
        <v>121</v>
      </c>
      <c r="D675" s="17" t="str">
        <f t="shared" si="1"/>
        <v>Active</v>
      </c>
      <c r="E675" s="76">
        <v>42887.0</v>
      </c>
      <c r="F675" s="73"/>
      <c r="G675" s="20">
        <f t="shared" si="2"/>
        <v>100.4666667</v>
      </c>
      <c r="H675" s="18">
        <v>36849.0</v>
      </c>
      <c r="I675" s="20">
        <f t="shared" si="3"/>
        <v>16.53333333</v>
      </c>
      <c r="J675" s="65">
        <v>73.0</v>
      </c>
      <c r="K675" s="53">
        <v>16.0</v>
      </c>
      <c r="L675" s="43" t="s">
        <v>362</v>
      </c>
      <c r="M675" s="43"/>
      <c r="N675" s="43"/>
      <c r="O675" s="121" t="s">
        <v>132</v>
      </c>
      <c r="P675" s="126"/>
      <c r="Q675" s="23"/>
      <c r="R675" s="17" t="str">
        <f t="shared" si="4"/>
        <v>Active</v>
      </c>
      <c r="S675" s="18">
        <v>45547.0</v>
      </c>
      <c r="T675" s="20">
        <f t="shared" si="5"/>
        <v>87.36666667</v>
      </c>
    </row>
    <row r="676">
      <c r="A676" s="67" t="s">
        <v>1166</v>
      </c>
      <c r="B676" s="28" t="s">
        <v>68</v>
      </c>
      <c r="C676" s="28" t="s">
        <v>121</v>
      </c>
      <c r="D676" s="29" t="str">
        <f t="shared" si="1"/>
        <v>Active</v>
      </c>
      <c r="E676" s="70">
        <v>42887.0</v>
      </c>
      <c r="F676" s="100"/>
      <c r="G676" s="32">
        <f t="shared" si="2"/>
        <v>100.4666667</v>
      </c>
      <c r="H676" s="33">
        <v>40477.0</v>
      </c>
      <c r="I676" s="32">
        <f t="shared" si="3"/>
        <v>6.597222222</v>
      </c>
      <c r="J676" s="34">
        <v>80.0</v>
      </c>
      <c r="K676" s="34">
        <v>12.5</v>
      </c>
      <c r="L676" s="44" t="s">
        <v>362</v>
      </c>
      <c r="M676" s="35" t="s">
        <v>451</v>
      </c>
      <c r="N676" s="44"/>
      <c r="O676" s="123" t="s">
        <v>34</v>
      </c>
      <c r="P676" s="36" t="s">
        <v>1167</v>
      </c>
      <c r="Q676" s="35" t="s">
        <v>863</v>
      </c>
      <c r="R676" s="29" t="str">
        <f t="shared" si="4"/>
        <v>Active</v>
      </c>
      <c r="S676" s="33">
        <v>45547.0</v>
      </c>
      <c r="T676" s="32">
        <f t="shared" si="5"/>
        <v>87.36666667</v>
      </c>
    </row>
    <row r="677">
      <c r="A677" s="64" t="s">
        <v>1168</v>
      </c>
      <c r="B677" s="16" t="s">
        <v>68</v>
      </c>
      <c r="C677" s="16" t="s">
        <v>121</v>
      </c>
      <c r="D677" s="17" t="str">
        <f t="shared" si="1"/>
        <v>Active</v>
      </c>
      <c r="E677" s="76">
        <v>42887.0</v>
      </c>
      <c r="F677" s="73"/>
      <c r="G677" s="20">
        <f t="shared" si="2"/>
        <v>100.4666667</v>
      </c>
      <c r="H677" s="18">
        <v>37209.0</v>
      </c>
      <c r="I677" s="20">
        <f t="shared" si="3"/>
        <v>15.54722222</v>
      </c>
      <c r="J677" s="65">
        <v>70.0</v>
      </c>
      <c r="K677" s="53">
        <v>4.0</v>
      </c>
      <c r="L677" s="43" t="s">
        <v>1169</v>
      </c>
      <c r="M677" s="43"/>
      <c r="N677" s="43"/>
      <c r="O677" s="23" t="s">
        <v>132</v>
      </c>
      <c r="P677" s="54" t="s">
        <v>475</v>
      </c>
      <c r="Q677" s="23" t="s">
        <v>756</v>
      </c>
      <c r="R677" s="17" t="str">
        <f t="shared" si="4"/>
        <v>Active</v>
      </c>
      <c r="S677" s="18">
        <v>45547.0</v>
      </c>
      <c r="T677" s="20">
        <f t="shared" si="5"/>
        <v>87.36666667</v>
      </c>
    </row>
    <row r="678">
      <c r="A678" s="67" t="s">
        <v>1170</v>
      </c>
      <c r="B678" s="28" t="s">
        <v>68</v>
      </c>
      <c r="C678" s="29"/>
      <c r="D678" s="29" t="str">
        <f t="shared" si="1"/>
        <v>Active</v>
      </c>
      <c r="E678" s="70">
        <v>42887.0</v>
      </c>
      <c r="F678" s="100"/>
      <c r="G678" s="32">
        <f t="shared" si="2"/>
        <v>100.4666667</v>
      </c>
      <c r="H678" s="33">
        <v>39028.0</v>
      </c>
      <c r="I678" s="32">
        <f t="shared" si="3"/>
        <v>10.56666667</v>
      </c>
      <c r="J678" s="69">
        <v>94.0</v>
      </c>
      <c r="K678" s="34">
        <v>9.0</v>
      </c>
      <c r="L678" s="44" t="s">
        <v>32</v>
      </c>
      <c r="M678" s="35" t="s">
        <v>451</v>
      </c>
      <c r="N678" s="44"/>
      <c r="O678" s="123" t="s">
        <v>34</v>
      </c>
      <c r="P678" s="36"/>
      <c r="Q678" s="35" t="s">
        <v>863</v>
      </c>
      <c r="R678" s="29" t="str">
        <f t="shared" si="4"/>
        <v>Active</v>
      </c>
      <c r="S678" s="33">
        <v>45547.0</v>
      </c>
      <c r="T678" s="32">
        <f t="shared" si="5"/>
        <v>87.36666667</v>
      </c>
    </row>
    <row r="679">
      <c r="A679" s="64" t="s">
        <v>1171</v>
      </c>
      <c r="B679" s="16" t="s">
        <v>68</v>
      </c>
      <c r="C679" s="16" t="s">
        <v>28</v>
      </c>
      <c r="D679" s="17" t="str">
        <f t="shared" si="1"/>
        <v>Active</v>
      </c>
      <c r="E679" s="76">
        <v>42887.0</v>
      </c>
      <c r="F679" s="73"/>
      <c r="G679" s="20">
        <f t="shared" si="2"/>
        <v>100.4666667</v>
      </c>
      <c r="H679" s="18">
        <v>39759.0</v>
      </c>
      <c r="I679" s="20">
        <f t="shared" si="3"/>
        <v>8.566666667</v>
      </c>
      <c r="J679" s="65">
        <v>93.0</v>
      </c>
      <c r="K679" s="53">
        <v>10.0</v>
      </c>
      <c r="L679" s="43" t="s">
        <v>675</v>
      </c>
      <c r="M679" s="23" t="s">
        <v>451</v>
      </c>
      <c r="N679" s="43"/>
      <c r="O679" s="121" t="s">
        <v>34</v>
      </c>
      <c r="P679" s="54" t="s">
        <v>709</v>
      </c>
      <c r="Q679" s="23" t="s">
        <v>863</v>
      </c>
      <c r="R679" s="17" t="str">
        <f t="shared" si="4"/>
        <v>Active</v>
      </c>
      <c r="S679" s="18">
        <v>45547.0</v>
      </c>
      <c r="T679" s="20">
        <f t="shared" si="5"/>
        <v>87.36666667</v>
      </c>
    </row>
    <row r="680">
      <c r="A680" s="67" t="s">
        <v>1172</v>
      </c>
      <c r="B680" s="28" t="s">
        <v>68</v>
      </c>
      <c r="C680" s="28" t="s">
        <v>28</v>
      </c>
      <c r="D680" s="29" t="str">
        <f t="shared" si="1"/>
        <v>Active</v>
      </c>
      <c r="E680" s="70">
        <v>42887.0</v>
      </c>
      <c r="F680" s="100"/>
      <c r="G680" s="32">
        <f t="shared" si="2"/>
        <v>100.4666667</v>
      </c>
      <c r="H680" s="33">
        <v>40806.0</v>
      </c>
      <c r="I680" s="32">
        <f t="shared" si="3"/>
        <v>5.697222222</v>
      </c>
      <c r="J680" s="69">
        <v>91.0</v>
      </c>
      <c r="K680" s="34">
        <v>9.5</v>
      </c>
      <c r="L680" s="44" t="s">
        <v>675</v>
      </c>
      <c r="M680" s="35" t="s">
        <v>451</v>
      </c>
      <c r="N680" s="44"/>
      <c r="O680" s="123" t="s">
        <v>34</v>
      </c>
      <c r="P680" s="36" t="s">
        <v>709</v>
      </c>
      <c r="Q680" s="35" t="s">
        <v>863</v>
      </c>
      <c r="R680" s="29" t="str">
        <f t="shared" si="4"/>
        <v>Active</v>
      </c>
      <c r="S680" s="33">
        <v>45547.0</v>
      </c>
      <c r="T680" s="32">
        <f t="shared" si="5"/>
        <v>87.36666667</v>
      </c>
    </row>
    <row r="681">
      <c r="A681" s="64" t="s">
        <v>1173</v>
      </c>
      <c r="B681" s="16" t="s">
        <v>68</v>
      </c>
      <c r="C681" s="16" t="s">
        <v>28</v>
      </c>
      <c r="D681" s="17" t="str">
        <f t="shared" si="1"/>
        <v>Active</v>
      </c>
      <c r="E681" s="76">
        <v>42887.0</v>
      </c>
      <c r="F681" s="73"/>
      <c r="G681" s="20">
        <f t="shared" si="2"/>
        <v>100.4666667</v>
      </c>
      <c r="H681" s="18">
        <v>41352.0</v>
      </c>
      <c r="I681" s="20">
        <f t="shared" si="3"/>
        <v>4.2</v>
      </c>
      <c r="J681" s="65">
        <v>79.0</v>
      </c>
      <c r="K681" s="53">
        <v>7.0</v>
      </c>
      <c r="L681" s="43" t="s">
        <v>675</v>
      </c>
      <c r="M681" s="23" t="s">
        <v>451</v>
      </c>
      <c r="N681" s="43"/>
      <c r="O681" s="121" t="s">
        <v>34</v>
      </c>
      <c r="P681" s="54" t="s">
        <v>709</v>
      </c>
      <c r="Q681" s="23" t="s">
        <v>863</v>
      </c>
      <c r="R681" s="17" t="str">
        <f t="shared" si="4"/>
        <v>Active</v>
      </c>
      <c r="S681" s="18">
        <v>45547.0</v>
      </c>
      <c r="T681" s="20">
        <f t="shared" si="5"/>
        <v>87.36666667</v>
      </c>
    </row>
    <row r="682">
      <c r="A682" s="67" t="s">
        <v>1174</v>
      </c>
      <c r="B682" s="28" t="s">
        <v>27</v>
      </c>
      <c r="C682" s="28" t="s">
        <v>28</v>
      </c>
      <c r="D682" s="29" t="str">
        <f t="shared" si="1"/>
        <v>Active</v>
      </c>
      <c r="E682" s="70">
        <v>42887.0</v>
      </c>
      <c r="F682" s="100"/>
      <c r="G682" s="32">
        <f t="shared" si="2"/>
        <v>100.4666667</v>
      </c>
      <c r="H682" s="33">
        <v>39028.0</v>
      </c>
      <c r="I682" s="32">
        <f t="shared" si="3"/>
        <v>10.56666667</v>
      </c>
      <c r="J682" s="69">
        <v>82.0</v>
      </c>
      <c r="K682" s="34">
        <v>9.0</v>
      </c>
      <c r="L682" s="44" t="s">
        <v>32</v>
      </c>
      <c r="M682" s="35" t="s">
        <v>451</v>
      </c>
      <c r="N682" s="44"/>
      <c r="O682" s="35" t="s">
        <v>34</v>
      </c>
      <c r="P682" s="36" t="s">
        <v>709</v>
      </c>
      <c r="Q682" s="35"/>
      <c r="R682" s="29" t="str">
        <f t="shared" si="4"/>
        <v>Active</v>
      </c>
      <c r="S682" s="33">
        <v>45547.0</v>
      </c>
      <c r="T682" s="32">
        <f t="shared" si="5"/>
        <v>87.36666667</v>
      </c>
    </row>
    <row r="683">
      <c r="A683" s="64" t="s">
        <v>1175</v>
      </c>
      <c r="B683" s="16" t="s">
        <v>68</v>
      </c>
      <c r="C683" s="16" t="s">
        <v>28</v>
      </c>
      <c r="D683" s="17" t="str">
        <f t="shared" si="1"/>
        <v>Active</v>
      </c>
      <c r="E683" s="76">
        <v>42887.0</v>
      </c>
      <c r="F683" s="73"/>
      <c r="G683" s="20">
        <f t="shared" si="2"/>
        <v>100.4666667</v>
      </c>
      <c r="H683" s="18">
        <v>42304.0</v>
      </c>
      <c r="I683" s="20">
        <f t="shared" si="3"/>
        <v>1.594444444</v>
      </c>
      <c r="J683" s="65">
        <v>84.0</v>
      </c>
      <c r="K683" s="53">
        <v>8.0</v>
      </c>
      <c r="L683" s="43" t="s">
        <v>184</v>
      </c>
      <c r="M683" s="43"/>
      <c r="N683" s="23" t="s">
        <v>658</v>
      </c>
      <c r="O683" s="23" t="s">
        <v>125</v>
      </c>
      <c r="P683" s="54" t="s">
        <v>1176</v>
      </c>
      <c r="Q683" s="23"/>
      <c r="R683" s="17" t="str">
        <f t="shared" si="4"/>
        <v>Active</v>
      </c>
      <c r="S683" s="18">
        <v>45547.0</v>
      </c>
      <c r="T683" s="20">
        <f t="shared" si="5"/>
        <v>87.36666667</v>
      </c>
    </row>
    <row r="684">
      <c r="A684" s="67" t="s">
        <v>1177</v>
      </c>
      <c r="B684" s="28" t="s">
        <v>27</v>
      </c>
      <c r="C684" s="28" t="s">
        <v>121</v>
      </c>
      <c r="D684" s="29" t="str">
        <f t="shared" si="1"/>
        <v>Active</v>
      </c>
      <c r="E684" s="70">
        <v>42887.0</v>
      </c>
      <c r="F684" s="100"/>
      <c r="G684" s="32">
        <f t="shared" si="2"/>
        <v>100.4666667</v>
      </c>
      <c r="H684" s="33">
        <v>41473.0</v>
      </c>
      <c r="I684" s="32">
        <f t="shared" si="3"/>
        <v>3.869444444</v>
      </c>
      <c r="J684" s="69">
        <v>53.0</v>
      </c>
      <c r="K684" s="34">
        <v>4.0</v>
      </c>
      <c r="L684" s="44" t="s">
        <v>907</v>
      </c>
      <c r="M684" s="35" t="s">
        <v>451</v>
      </c>
      <c r="N684" s="44"/>
      <c r="O684" s="35" t="s">
        <v>125</v>
      </c>
      <c r="P684" s="36" t="s">
        <v>551</v>
      </c>
      <c r="Q684" s="35"/>
      <c r="R684" s="29" t="str">
        <f t="shared" si="4"/>
        <v>Active</v>
      </c>
      <c r="S684" s="33">
        <v>45547.0</v>
      </c>
      <c r="T684" s="32">
        <f t="shared" si="5"/>
        <v>87.36666667</v>
      </c>
    </row>
    <row r="685">
      <c r="A685" s="15" t="s">
        <v>1178</v>
      </c>
      <c r="B685" s="16" t="s">
        <v>68</v>
      </c>
      <c r="C685" s="16" t="s">
        <v>121</v>
      </c>
      <c r="D685" s="17" t="str">
        <f t="shared" si="1"/>
        <v>Active</v>
      </c>
      <c r="E685" s="76">
        <v>42887.0</v>
      </c>
      <c r="F685" s="73"/>
      <c r="G685" s="20">
        <f t="shared" si="2"/>
        <v>100.4666667</v>
      </c>
      <c r="H685" s="18">
        <v>39169.0</v>
      </c>
      <c r="I685" s="20">
        <f t="shared" si="3"/>
        <v>10.175</v>
      </c>
      <c r="J685" s="65">
        <v>73.0</v>
      </c>
      <c r="K685" s="53">
        <v>4.5</v>
      </c>
      <c r="L685" s="43" t="s">
        <v>675</v>
      </c>
      <c r="M685" s="43"/>
      <c r="N685" s="43"/>
      <c r="O685" s="121" t="s">
        <v>132</v>
      </c>
      <c r="P685" s="54" t="s">
        <v>340</v>
      </c>
      <c r="Q685" s="23" t="s">
        <v>863</v>
      </c>
      <c r="R685" s="17" t="str">
        <f t="shared" si="4"/>
        <v>Active</v>
      </c>
      <c r="S685" s="18">
        <v>45547.0</v>
      </c>
      <c r="T685" s="20">
        <f t="shared" si="5"/>
        <v>87.36666667</v>
      </c>
    </row>
    <row r="686">
      <c r="A686" s="67" t="s">
        <v>1179</v>
      </c>
      <c r="B686" s="28" t="s">
        <v>68</v>
      </c>
      <c r="C686" s="28" t="s">
        <v>121</v>
      </c>
      <c r="D686" s="29" t="str">
        <f t="shared" si="1"/>
        <v>Active</v>
      </c>
      <c r="E686" s="70">
        <v>42887.0</v>
      </c>
      <c r="F686" s="70"/>
      <c r="G686" s="32">
        <f t="shared" si="2"/>
        <v>100.4666667</v>
      </c>
      <c r="H686" s="33">
        <v>41052.0</v>
      </c>
      <c r="I686" s="32">
        <f t="shared" si="3"/>
        <v>5.022222222</v>
      </c>
      <c r="J686" s="34">
        <v>67.0</v>
      </c>
      <c r="K686" s="34">
        <v>2.0</v>
      </c>
      <c r="L686" s="44" t="s">
        <v>500</v>
      </c>
      <c r="M686" s="44"/>
      <c r="N686" s="44"/>
      <c r="O686" s="123" t="s">
        <v>132</v>
      </c>
      <c r="P686" s="36" t="s">
        <v>340</v>
      </c>
      <c r="Q686" s="35" t="s">
        <v>863</v>
      </c>
      <c r="R686" s="29" t="str">
        <f t="shared" si="4"/>
        <v>Active</v>
      </c>
      <c r="S686" s="33">
        <v>45547.0</v>
      </c>
      <c r="T686" s="32">
        <f t="shared" si="5"/>
        <v>87.36666667</v>
      </c>
    </row>
    <row r="687">
      <c r="A687" s="64" t="s">
        <v>1180</v>
      </c>
      <c r="B687" s="16" t="s">
        <v>68</v>
      </c>
      <c r="C687" s="16" t="s">
        <v>28</v>
      </c>
      <c r="D687" s="17" t="str">
        <f t="shared" si="1"/>
        <v>Active</v>
      </c>
      <c r="E687" s="76">
        <v>42887.0</v>
      </c>
      <c r="F687" s="73"/>
      <c r="G687" s="20">
        <f t="shared" si="2"/>
        <v>100.4666667</v>
      </c>
      <c r="H687" s="18">
        <v>38670.0</v>
      </c>
      <c r="I687" s="20">
        <f t="shared" si="3"/>
        <v>11.54722222</v>
      </c>
      <c r="J687" s="65">
        <v>79.0</v>
      </c>
      <c r="K687" s="53">
        <v>9.5</v>
      </c>
      <c r="L687" s="43" t="s">
        <v>37</v>
      </c>
      <c r="M687" s="23" t="s">
        <v>451</v>
      </c>
      <c r="N687" s="43"/>
      <c r="O687" s="121" t="s">
        <v>125</v>
      </c>
      <c r="P687" s="54" t="s">
        <v>475</v>
      </c>
      <c r="Q687" s="23" t="s">
        <v>863</v>
      </c>
      <c r="R687" s="17" t="str">
        <f t="shared" si="4"/>
        <v>Active</v>
      </c>
      <c r="S687" s="18">
        <v>45547.0</v>
      </c>
      <c r="T687" s="20">
        <f t="shared" si="5"/>
        <v>87.36666667</v>
      </c>
    </row>
    <row r="688">
      <c r="A688" s="67" t="s">
        <v>1181</v>
      </c>
      <c r="B688" s="28" t="s">
        <v>68</v>
      </c>
      <c r="C688" s="29"/>
      <c r="D688" s="29" t="str">
        <f t="shared" si="1"/>
        <v>Active</v>
      </c>
      <c r="E688" s="70">
        <v>42887.0</v>
      </c>
      <c r="F688" s="100"/>
      <c r="G688" s="32">
        <f t="shared" si="2"/>
        <v>100.4666667</v>
      </c>
      <c r="H688" s="33">
        <v>41628.0</v>
      </c>
      <c r="I688" s="32">
        <f t="shared" si="3"/>
        <v>3.447222222</v>
      </c>
      <c r="J688" s="69">
        <v>72.0</v>
      </c>
      <c r="K688" s="34">
        <v>6.0</v>
      </c>
      <c r="L688" s="44" t="s">
        <v>549</v>
      </c>
      <c r="M688" s="44"/>
      <c r="N688" s="44"/>
      <c r="O688" s="35" t="s">
        <v>334</v>
      </c>
      <c r="P688" s="36" t="s">
        <v>1182</v>
      </c>
      <c r="Q688" s="35"/>
      <c r="R688" s="29" t="str">
        <f t="shared" si="4"/>
        <v>Active</v>
      </c>
      <c r="S688" s="33">
        <v>45547.0</v>
      </c>
      <c r="T688" s="32">
        <f t="shared" si="5"/>
        <v>87.36666667</v>
      </c>
    </row>
    <row r="689">
      <c r="A689" s="64" t="s">
        <v>1183</v>
      </c>
      <c r="B689" s="16" t="s">
        <v>68</v>
      </c>
      <c r="C689" s="17"/>
      <c r="D689" s="17" t="str">
        <f t="shared" si="1"/>
        <v>Active</v>
      </c>
      <c r="E689" s="76">
        <v>42887.0</v>
      </c>
      <c r="F689" s="73"/>
      <c r="G689" s="20">
        <f t="shared" si="2"/>
        <v>100.4666667</v>
      </c>
      <c r="H689" s="18">
        <v>41499.0</v>
      </c>
      <c r="I689" s="20">
        <f t="shared" si="3"/>
        <v>3.8</v>
      </c>
      <c r="J689" s="65">
        <v>65.0</v>
      </c>
      <c r="K689" s="53">
        <v>24.5</v>
      </c>
      <c r="L689" s="43" t="s">
        <v>184</v>
      </c>
      <c r="M689" s="43"/>
      <c r="N689" s="23" t="s">
        <v>658</v>
      </c>
      <c r="O689" s="23" t="s">
        <v>34</v>
      </c>
      <c r="P689" s="54" t="s">
        <v>1184</v>
      </c>
      <c r="Q689" s="23"/>
      <c r="R689" s="17" t="str">
        <f t="shared" si="4"/>
        <v>Active</v>
      </c>
      <c r="S689" s="18">
        <v>45547.0</v>
      </c>
      <c r="T689" s="20">
        <f t="shared" si="5"/>
        <v>87.36666667</v>
      </c>
    </row>
    <row r="690">
      <c r="A690" s="67" t="s">
        <v>1185</v>
      </c>
      <c r="B690" s="28" t="s">
        <v>68</v>
      </c>
      <c r="C690" s="28" t="s">
        <v>28</v>
      </c>
      <c r="D690" s="29" t="str">
        <f t="shared" si="1"/>
        <v>Active</v>
      </c>
      <c r="E690" s="70">
        <v>42887.0</v>
      </c>
      <c r="F690" s="100"/>
      <c r="G690" s="32">
        <f t="shared" si="2"/>
        <v>100.4666667</v>
      </c>
      <c r="H690" s="33">
        <v>38875.0</v>
      </c>
      <c r="I690" s="32">
        <f t="shared" si="3"/>
        <v>10.98333333</v>
      </c>
      <c r="J690" s="69">
        <v>81.0</v>
      </c>
      <c r="K690" s="34">
        <v>8.0</v>
      </c>
      <c r="L690" s="44" t="s">
        <v>184</v>
      </c>
      <c r="M690" s="44"/>
      <c r="N690" s="44"/>
      <c r="O690" s="123" t="s">
        <v>34</v>
      </c>
      <c r="P690" s="36" t="s">
        <v>919</v>
      </c>
      <c r="Q690" s="35" t="s">
        <v>863</v>
      </c>
      <c r="R690" s="29" t="str">
        <f t="shared" si="4"/>
        <v>Active</v>
      </c>
      <c r="S690" s="33">
        <v>45547.0</v>
      </c>
      <c r="T690" s="32">
        <f t="shared" si="5"/>
        <v>87.36666667</v>
      </c>
    </row>
    <row r="691">
      <c r="A691" s="64" t="s">
        <v>1186</v>
      </c>
      <c r="B691" s="16" t="s">
        <v>68</v>
      </c>
      <c r="C691" s="17"/>
      <c r="D691" s="17" t="str">
        <f t="shared" si="1"/>
        <v>Active</v>
      </c>
      <c r="E691" s="76">
        <v>42887.0</v>
      </c>
      <c r="F691" s="52"/>
      <c r="G691" s="20">
        <f t="shared" si="2"/>
        <v>100.4666667</v>
      </c>
      <c r="H691" s="18">
        <v>42066.0</v>
      </c>
      <c r="I691" s="20">
        <f t="shared" si="3"/>
        <v>2.244444444</v>
      </c>
      <c r="J691" s="65">
        <v>71.0</v>
      </c>
      <c r="K691" s="53">
        <v>6.0</v>
      </c>
      <c r="L691" s="43" t="s">
        <v>366</v>
      </c>
      <c r="M691" s="43"/>
      <c r="N691" s="43"/>
      <c r="O691" s="23" t="s">
        <v>334</v>
      </c>
      <c r="P691" s="54" t="s">
        <v>465</v>
      </c>
      <c r="Q691" s="23"/>
      <c r="R691" s="17" t="str">
        <f t="shared" si="4"/>
        <v>Active</v>
      </c>
      <c r="S691" s="18">
        <v>45547.0</v>
      </c>
      <c r="T691" s="20">
        <f t="shared" si="5"/>
        <v>87.36666667</v>
      </c>
    </row>
    <row r="692">
      <c r="A692" s="67" t="s">
        <v>1187</v>
      </c>
      <c r="B692" s="28" t="s">
        <v>27</v>
      </c>
      <c r="C692" s="29"/>
      <c r="D692" s="29" t="str">
        <f t="shared" si="1"/>
        <v>Active</v>
      </c>
      <c r="E692" s="70">
        <v>42887.0</v>
      </c>
      <c r="F692" s="100"/>
      <c r="G692" s="32">
        <f t="shared" si="2"/>
        <v>100.4666667</v>
      </c>
      <c r="H692" s="33">
        <v>41940.0</v>
      </c>
      <c r="I692" s="32">
        <f t="shared" si="3"/>
        <v>2.591666667</v>
      </c>
      <c r="J692" s="69">
        <v>81.0</v>
      </c>
      <c r="K692" s="34">
        <v>10.0</v>
      </c>
      <c r="L692" s="44" t="s">
        <v>450</v>
      </c>
      <c r="M692" s="44"/>
      <c r="N692" s="44"/>
      <c r="O692" s="35" t="s">
        <v>34</v>
      </c>
      <c r="P692" s="36" t="s">
        <v>1188</v>
      </c>
      <c r="Q692" s="35"/>
      <c r="R692" s="29" t="str">
        <f t="shared" si="4"/>
        <v>Active</v>
      </c>
      <c r="S692" s="33">
        <v>45547.0</v>
      </c>
      <c r="T692" s="32">
        <f t="shared" si="5"/>
        <v>87.36666667</v>
      </c>
    </row>
    <row r="693">
      <c r="A693" s="64" t="s">
        <v>1189</v>
      </c>
      <c r="B693" s="16" t="s">
        <v>68</v>
      </c>
      <c r="C693" s="16" t="s">
        <v>183</v>
      </c>
      <c r="D693" s="17" t="str">
        <f t="shared" si="1"/>
        <v>Active</v>
      </c>
      <c r="E693" s="76">
        <v>42887.0</v>
      </c>
      <c r="F693" s="73"/>
      <c r="G693" s="20">
        <f t="shared" si="2"/>
        <v>100.4666667</v>
      </c>
      <c r="H693" s="18">
        <v>40679.0</v>
      </c>
      <c r="I693" s="20">
        <f t="shared" si="3"/>
        <v>6.041666667</v>
      </c>
      <c r="J693" s="65">
        <v>84.0</v>
      </c>
      <c r="K693" s="53">
        <v>94.0</v>
      </c>
      <c r="L693" s="43" t="s">
        <v>721</v>
      </c>
      <c r="M693" s="43"/>
      <c r="N693" s="43"/>
      <c r="O693" s="23" t="s">
        <v>125</v>
      </c>
      <c r="P693" s="54" t="s">
        <v>1190</v>
      </c>
      <c r="Q693" s="23"/>
      <c r="R693" s="17" t="str">
        <f t="shared" si="4"/>
        <v>Active</v>
      </c>
      <c r="S693" s="18">
        <v>45547.0</v>
      </c>
      <c r="T693" s="20">
        <f t="shared" si="5"/>
        <v>87.36666667</v>
      </c>
    </row>
    <row r="694">
      <c r="A694" s="67" t="s">
        <v>1191</v>
      </c>
      <c r="B694" s="28" t="s">
        <v>68</v>
      </c>
      <c r="C694" s="28" t="s">
        <v>121</v>
      </c>
      <c r="D694" s="29" t="str">
        <f t="shared" si="1"/>
        <v>Active</v>
      </c>
      <c r="E694" s="70">
        <v>42887.0</v>
      </c>
      <c r="F694" s="100"/>
      <c r="G694" s="32">
        <f t="shared" si="2"/>
        <v>100.4666667</v>
      </c>
      <c r="H694" s="33">
        <v>39030.0</v>
      </c>
      <c r="I694" s="32">
        <f t="shared" si="3"/>
        <v>10.56111111</v>
      </c>
      <c r="J694" s="69">
        <v>84.0</v>
      </c>
      <c r="K694" s="34">
        <v>19.0</v>
      </c>
      <c r="L694" s="44" t="s">
        <v>522</v>
      </c>
      <c r="M694" s="44"/>
      <c r="N694" s="44"/>
      <c r="O694" s="123" t="s">
        <v>132</v>
      </c>
      <c r="P694" s="36" t="s">
        <v>1192</v>
      </c>
      <c r="Q694" s="35" t="s">
        <v>863</v>
      </c>
      <c r="R694" s="29" t="str">
        <f t="shared" si="4"/>
        <v>Active</v>
      </c>
      <c r="S694" s="33">
        <v>45547.0</v>
      </c>
      <c r="T694" s="32">
        <f t="shared" si="5"/>
        <v>87.36666667</v>
      </c>
    </row>
    <row r="695">
      <c r="A695" s="64" t="s">
        <v>1193</v>
      </c>
      <c r="B695" s="16" t="s">
        <v>68</v>
      </c>
      <c r="C695" s="16" t="s">
        <v>121</v>
      </c>
      <c r="D695" s="17" t="str">
        <f t="shared" si="1"/>
        <v>Active</v>
      </c>
      <c r="E695" s="76">
        <v>42887.0</v>
      </c>
      <c r="F695" s="73"/>
      <c r="G695" s="20">
        <f t="shared" si="2"/>
        <v>100.4666667</v>
      </c>
      <c r="H695" s="18">
        <v>39693.0</v>
      </c>
      <c r="I695" s="20">
        <f t="shared" si="3"/>
        <v>8.747222222</v>
      </c>
      <c r="J695" s="65">
        <v>82.0</v>
      </c>
      <c r="K695" s="53">
        <v>26.5</v>
      </c>
      <c r="L695" s="43" t="s">
        <v>522</v>
      </c>
      <c r="M695" s="43"/>
      <c r="N695" s="43"/>
      <c r="O695" s="121" t="s">
        <v>132</v>
      </c>
      <c r="P695" s="54" t="s">
        <v>1192</v>
      </c>
      <c r="Q695" s="23" t="s">
        <v>863</v>
      </c>
      <c r="R695" s="17" t="str">
        <f t="shared" si="4"/>
        <v>Active</v>
      </c>
      <c r="S695" s="18">
        <v>45547.0</v>
      </c>
      <c r="T695" s="20">
        <f t="shared" si="5"/>
        <v>87.36666667</v>
      </c>
    </row>
    <row r="696">
      <c r="A696" s="27" t="s">
        <v>1194</v>
      </c>
      <c r="B696" s="28" t="s">
        <v>27</v>
      </c>
      <c r="C696" s="28" t="s">
        <v>28</v>
      </c>
      <c r="D696" s="29" t="str">
        <f t="shared" si="1"/>
        <v>Removed</v>
      </c>
      <c r="E696" s="30">
        <v>45785.0</v>
      </c>
      <c r="F696" s="31">
        <v>45945.0</v>
      </c>
      <c r="G696" s="32">
        <f t="shared" si="2"/>
        <v>5.233333333</v>
      </c>
      <c r="H696" s="33">
        <v>45583.0</v>
      </c>
      <c r="I696" s="32">
        <f t="shared" si="3"/>
        <v>0.5555555556</v>
      </c>
      <c r="J696" s="34">
        <v>66.0</v>
      </c>
      <c r="K696" s="34">
        <v>12.0</v>
      </c>
      <c r="L696" s="35" t="s">
        <v>37</v>
      </c>
      <c r="M696" s="35"/>
      <c r="N696" s="35"/>
      <c r="O696" s="35"/>
      <c r="P696" s="36"/>
      <c r="Q696" s="35"/>
      <c r="R696" s="29" t="str">
        <f t="shared" si="4"/>
        <v>Removed</v>
      </c>
      <c r="S696" s="33">
        <f>E696</f>
        <v>45785</v>
      </c>
      <c r="T696" s="32">
        <f t="shared" si="5"/>
        <v>0</v>
      </c>
    </row>
    <row r="697">
      <c r="A697" s="15" t="s">
        <v>1195</v>
      </c>
      <c r="B697" s="16" t="s">
        <v>27</v>
      </c>
      <c r="C697" s="16" t="s">
        <v>28</v>
      </c>
      <c r="D697" s="17" t="str">
        <f t="shared" si="1"/>
        <v>Removed</v>
      </c>
      <c r="E697" s="18">
        <v>45531.0</v>
      </c>
      <c r="F697" s="52">
        <v>45945.0</v>
      </c>
      <c r="G697" s="20">
        <f t="shared" si="2"/>
        <v>13.6</v>
      </c>
      <c r="H697" s="18">
        <v>45531.0</v>
      </c>
      <c r="I697" s="20">
        <f t="shared" si="3"/>
        <v>0</v>
      </c>
      <c r="J697" s="53">
        <v>85.0</v>
      </c>
      <c r="K697" s="53">
        <v>27.0</v>
      </c>
      <c r="L697" s="23" t="s">
        <v>48</v>
      </c>
      <c r="M697" s="23" t="s">
        <v>30</v>
      </c>
      <c r="N697" s="23"/>
      <c r="O697" s="23"/>
      <c r="P697" s="54"/>
      <c r="Q697" s="23"/>
      <c r="R697" s="17" t="str">
        <f t="shared" si="4"/>
        <v>TBD</v>
      </c>
      <c r="S697" s="18"/>
      <c r="T697" s="20">
        <f t="shared" si="5"/>
        <v>13.6</v>
      </c>
    </row>
    <row r="698">
      <c r="A698" s="27" t="s">
        <v>1196</v>
      </c>
      <c r="B698" s="28" t="s">
        <v>27</v>
      </c>
      <c r="C698" s="28"/>
      <c r="D698" s="29" t="str">
        <f t="shared" si="1"/>
        <v>Removed</v>
      </c>
      <c r="E698" s="33">
        <v>45198.0</v>
      </c>
      <c r="F698" s="31">
        <v>45945.0</v>
      </c>
      <c r="G698" s="32">
        <f t="shared" si="2"/>
        <v>24.53333333</v>
      </c>
      <c r="H698" s="33">
        <v>45198.0</v>
      </c>
      <c r="I698" s="32">
        <f t="shared" si="3"/>
        <v>0</v>
      </c>
      <c r="J698" s="34">
        <v>89.0</v>
      </c>
      <c r="K698" s="34">
        <v>5.0</v>
      </c>
      <c r="L698" s="35" t="s">
        <v>731</v>
      </c>
      <c r="M698" s="35"/>
      <c r="N698" s="35"/>
      <c r="O698" s="35" t="s">
        <v>427</v>
      </c>
      <c r="P698" s="36"/>
      <c r="Q698" s="35"/>
      <c r="R698" s="29" t="str">
        <f t="shared" si="4"/>
        <v>Removed</v>
      </c>
      <c r="S698" s="33">
        <v>45547.0</v>
      </c>
      <c r="T698" s="32">
        <f t="shared" si="5"/>
        <v>11.43333333</v>
      </c>
    </row>
    <row r="699">
      <c r="A699" s="15" t="s">
        <v>1197</v>
      </c>
      <c r="B699" s="16" t="s">
        <v>27</v>
      </c>
      <c r="C699" s="16" t="s">
        <v>121</v>
      </c>
      <c r="D699" s="17" t="str">
        <f t="shared" si="1"/>
        <v>Removed</v>
      </c>
      <c r="E699" s="18">
        <v>44714.0</v>
      </c>
      <c r="F699" s="52">
        <v>45930.0</v>
      </c>
      <c r="G699" s="20">
        <f t="shared" si="2"/>
        <v>39.93333333</v>
      </c>
      <c r="H699" s="18">
        <v>44357.0</v>
      </c>
      <c r="I699" s="20">
        <f t="shared" si="3"/>
        <v>0.9777777778</v>
      </c>
      <c r="J699" s="53">
        <f>average(71,72)</f>
        <v>71.5</v>
      </c>
      <c r="K699" s="53">
        <v>29.5</v>
      </c>
      <c r="L699" s="23" t="s">
        <v>1198</v>
      </c>
      <c r="M699" s="23"/>
      <c r="N699" s="23"/>
      <c r="O699" s="23" t="s">
        <v>34</v>
      </c>
      <c r="P699" s="54" t="s">
        <v>969</v>
      </c>
      <c r="Q699" s="23"/>
      <c r="R699" s="17" t="str">
        <f t="shared" si="4"/>
        <v>Removed</v>
      </c>
      <c r="S699" s="18">
        <v>45547.0</v>
      </c>
      <c r="T699" s="20">
        <f t="shared" si="5"/>
        <v>27.33333333</v>
      </c>
    </row>
    <row r="700">
      <c r="A700" s="27" t="s">
        <v>1199</v>
      </c>
      <c r="B700" s="28" t="s">
        <v>27</v>
      </c>
      <c r="C700" s="28" t="s">
        <v>28</v>
      </c>
      <c r="D700" s="29" t="str">
        <f t="shared" si="1"/>
        <v>Removed</v>
      </c>
      <c r="E700" s="33">
        <v>45561.0</v>
      </c>
      <c r="F700" s="58">
        <v>45915.0</v>
      </c>
      <c r="G700" s="32">
        <f t="shared" si="2"/>
        <v>11.63333333</v>
      </c>
      <c r="H700" s="47">
        <v>45561.0</v>
      </c>
      <c r="I700" s="32">
        <f t="shared" si="3"/>
        <v>0</v>
      </c>
      <c r="J700" s="48"/>
      <c r="K700" s="48">
        <v>4.0</v>
      </c>
      <c r="L700" s="35" t="s">
        <v>731</v>
      </c>
      <c r="M700" s="35"/>
      <c r="N700" s="49"/>
      <c r="O700" s="49"/>
      <c r="P700" s="51"/>
      <c r="Q700" s="49"/>
      <c r="R700" s="29" t="str">
        <f t="shared" si="4"/>
        <v>Removed</v>
      </c>
      <c r="S700" s="33">
        <v>45750.0</v>
      </c>
      <c r="T700" s="32">
        <f t="shared" si="5"/>
        <v>6.233333333</v>
      </c>
    </row>
    <row r="701">
      <c r="A701" s="15" t="s">
        <v>1200</v>
      </c>
      <c r="B701" s="16" t="s">
        <v>27</v>
      </c>
      <c r="C701" s="16" t="s">
        <v>28</v>
      </c>
      <c r="D701" s="17" t="str">
        <f t="shared" si="1"/>
        <v>Removed</v>
      </c>
      <c r="E701" s="18">
        <v>45561.0</v>
      </c>
      <c r="F701" s="63">
        <v>45915.0</v>
      </c>
      <c r="G701" s="20">
        <f t="shared" si="2"/>
        <v>11.63333333</v>
      </c>
      <c r="H701" s="45">
        <v>45079.0</v>
      </c>
      <c r="I701" s="20">
        <f t="shared" si="3"/>
        <v>1.316666667</v>
      </c>
      <c r="J701" s="46">
        <v>81.0</v>
      </c>
      <c r="K701" s="46">
        <v>5.0</v>
      </c>
      <c r="L701" s="23" t="s">
        <v>37</v>
      </c>
      <c r="M701" s="23"/>
      <c r="N701" s="50"/>
      <c r="O701" s="50"/>
      <c r="P701" s="57"/>
      <c r="Q701" s="50"/>
      <c r="R701" s="17" t="str">
        <f t="shared" si="4"/>
        <v>Removed</v>
      </c>
      <c r="S701" s="18">
        <f>E701</f>
        <v>45561</v>
      </c>
      <c r="T701" s="20">
        <f t="shared" si="5"/>
        <v>0</v>
      </c>
    </row>
    <row r="702">
      <c r="A702" s="27" t="s">
        <v>1201</v>
      </c>
      <c r="B702" s="28" t="s">
        <v>27</v>
      </c>
      <c r="C702" s="28" t="s">
        <v>28</v>
      </c>
      <c r="D702" s="29" t="str">
        <f t="shared" si="1"/>
        <v>Removed</v>
      </c>
      <c r="E702" s="33">
        <v>45554.0</v>
      </c>
      <c r="F702" s="58">
        <v>45915.0</v>
      </c>
      <c r="G702" s="32">
        <f t="shared" si="2"/>
        <v>11.86666667</v>
      </c>
      <c r="H702" s="33">
        <v>45204.0</v>
      </c>
      <c r="I702" s="32">
        <f t="shared" si="3"/>
        <v>0.9555555556</v>
      </c>
      <c r="J702" s="34">
        <v>85.0</v>
      </c>
      <c r="K702" s="34">
        <v>21.0</v>
      </c>
      <c r="L702" s="35" t="s">
        <v>119</v>
      </c>
      <c r="M702" s="35"/>
      <c r="N702" s="35"/>
      <c r="O702" s="35"/>
      <c r="P702" s="36"/>
      <c r="Q702" s="35"/>
      <c r="R702" s="29" t="str">
        <f t="shared" si="4"/>
        <v>Removed</v>
      </c>
      <c r="S702" s="33">
        <v>45750.0</v>
      </c>
      <c r="T702" s="32">
        <f t="shared" si="5"/>
        <v>6.466666667</v>
      </c>
    </row>
    <row r="703">
      <c r="A703" s="15" t="s">
        <v>1202</v>
      </c>
      <c r="B703" s="16" t="s">
        <v>27</v>
      </c>
      <c r="C703" s="16" t="s">
        <v>28</v>
      </c>
      <c r="D703" s="17" t="str">
        <f t="shared" si="1"/>
        <v>Removed</v>
      </c>
      <c r="E703" s="18">
        <v>45750.0</v>
      </c>
      <c r="F703" s="52">
        <v>45900.0</v>
      </c>
      <c r="G703" s="20">
        <f t="shared" si="2"/>
        <v>4.9</v>
      </c>
      <c r="H703" s="45">
        <v>45205.0</v>
      </c>
      <c r="I703" s="20">
        <f t="shared" si="3"/>
        <v>1.491666667</v>
      </c>
      <c r="J703" s="46">
        <v>77.0</v>
      </c>
      <c r="K703" s="46">
        <v>33.0</v>
      </c>
      <c r="L703" s="23" t="s">
        <v>32</v>
      </c>
      <c r="M703" s="23"/>
      <c r="N703" s="50"/>
      <c r="O703" s="50"/>
      <c r="P703" s="57"/>
      <c r="Q703" s="50"/>
      <c r="R703" s="17" t="str">
        <f t="shared" si="4"/>
        <v>Removed</v>
      </c>
      <c r="S703" s="18">
        <f>E703</f>
        <v>45750</v>
      </c>
      <c r="T703" s="20">
        <f t="shared" si="5"/>
        <v>0</v>
      </c>
    </row>
    <row r="704">
      <c r="A704" s="27" t="s">
        <v>1203</v>
      </c>
      <c r="B704" s="28" t="s">
        <v>27</v>
      </c>
      <c r="C704" s="28" t="s">
        <v>28</v>
      </c>
      <c r="D704" s="29" t="str">
        <f t="shared" si="1"/>
        <v>Removed</v>
      </c>
      <c r="E704" s="33">
        <v>45167.0</v>
      </c>
      <c r="F704" s="31">
        <v>45900.0</v>
      </c>
      <c r="G704" s="32">
        <f t="shared" si="2"/>
        <v>24.03333333</v>
      </c>
      <c r="H704" s="33">
        <v>45167.0</v>
      </c>
      <c r="I704" s="32">
        <f t="shared" si="3"/>
        <v>0</v>
      </c>
      <c r="J704" s="34">
        <v>90.0</v>
      </c>
      <c r="K704" s="34">
        <v>20.0</v>
      </c>
      <c r="L704" s="35" t="s">
        <v>29</v>
      </c>
      <c r="M704" s="35"/>
      <c r="N704" s="35"/>
      <c r="O704" s="35" t="s">
        <v>334</v>
      </c>
      <c r="P704" s="36" t="s">
        <v>1204</v>
      </c>
      <c r="Q704" s="35"/>
      <c r="R704" s="29" t="str">
        <f t="shared" si="4"/>
        <v>Removed</v>
      </c>
      <c r="S704" s="33">
        <v>45547.0</v>
      </c>
      <c r="T704" s="32">
        <f t="shared" si="5"/>
        <v>12.43333333</v>
      </c>
    </row>
    <row r="705">
      <c r="A705" s="15" t="s">
        <v>1205</v>
      </c>
      <c r="B705" s="16" t="s">
        <v>27</v>
      </c>
      <c r="C705" s="16" t="s">
        <v>121</v>
      </c>
      <c r="D705" s="17" t="str">
        <f t="shared" si="1"/>
        <v>Removed</v>
      </c>
      <c r="E705" s="18">
        <v>44691.0</v>
      </c>
      <c r="F705" s="52">
        <v>45900.0</v>
      </c>
      <c r="G705" s="20">
        <f t="shared" si="2"/>
        <v>39.66666667</v>
      </c>
      <c r="H705" s="18">
        <v>41957.0</v>
      </c>
      <c r="I705" s="20">
        <f t="shared" si="3"/>
        <v>7.488888889</v>
      </c>
      <c r="J705" s="53">
        <f>average(78,83)</f>
        <v>80.5</v>
      </c>
      <c r="K705" s="53">
        <v>10.5</v>
      </c>
      <c r="L705" s="23" t="s">
        <v>1206</v>
      </c>
      <c r="M705" s="23" t="s">
        <v>30</v>
      </c>
      <c r="N705" s="23"/>
      <c r="O705" s="23" t="s">
        <v>34</v>
      </c>
      <c r="P705" s="54" t="s">
        <v>1207</v>
      </c>
      <c r="Q705" s="23"/>
      <c r="R705" s="17" t="str">
        <f t="shared" si="4"/>
        <v>Removed</v>
      </c>
      <c r="S705" s="18">
        <v>45547.0</v>
      </c>
      <c r="T705" s="20">
        <f t="shared" si="5"/>
        <v>28.06666667</v>
      </c>
    </row>
    <row r="706">
      <c r="A706" s="27" t="s">
        <v>1208</v>
      </c>
      <c r="B706" s="28" t="s">
        <v>27</v>
      </c>
      <c r="C706" s="28" t="s">
        <v>121</v>
      </c>
      <c r="D706" s="29" t="str">
        <f t="shared" si="1"/>
        <v>Removed</v>
      </c>
      <c r="E706" s="33">
        <v>44546.0</v>
      </c>
      <c r="F706" s="31">
        <v>45900.0</v>
      </c>
      <c r="G706" s="32">
        <f t="shared" si="2"/>
        <v>44.46666667</v>
      </c>
      <c r="H706" s="33">
        <v>44113.0</v>
      </c>
      <c r="I706" s="32">
        <f t="shared" si="3"/>
        <v>1.186111111</v>
      </c>
      <c r="J706" s="34">
        <f>(55+60+72+80)/4</f>
        <v>66.75</v>
      </c>
      <c r="K706" s="34">
        <v>5.0</v>
      </c>
      <c r="L706" s="35" t="s">
        <v>1209</v>
      </c>
      <c r="M706" s="35"/>
      <c r="N706" s="35"/>
      <c r="O706" s="35" t="s">
        <v>334</v>
      </c>
      <c r="P706" s="36" t="s">
        <v>762</v>
      </c>
      <c r="Q706" s="35"/>
      <c r="R706" s="29" t="str">
        <f t="shared" si="4"/>
        <v>Removed</v>
      </c>
      <c r="S706" s="33">
        <v>45547.0</v>
      </c>
      <c r="T706" s="32">
        <f t="shared" si="5"/>
        <v>32.86666667</v>
      </c>
    </row>
    <row r="707">
      <c r="A707" s="15" t="s">
        <v>1210</v>
      </c>
      <c r="B707" s="16" t="s">
        <v>27</v>
      </c>
      <c r="C707" s="16" t="s">
        <v>121</v>
      </c>
      <c r="D707" s="17" t="str">
        <f t="shared" si="1"/>
        <v>Removed</v>
      </c>
      <c r="E707" s="18">
        <v>44546.0</v>
      </c>
      <c r="F707" s="52">
        <v>45900.0</v>
      </c>
      <c r="G707" s="20">
        <f t="shared" si="2"/>
        <v>44.46666667</v>
      </c>
      <c r="H707" s="18">
        <v>44141.0</v>
      </c>
      <c r="I707" s="20">
        <f t="shared" si="3"/>
        <v>1.111111111</v>
      </c>
      <c r="J707" s="53">
        <f>(60+70)/2</f>
        <v>65</v>
      </c>
      <c r="K707" s="53">
        <v>5.0</v>
      </c>
      <c r="L707" s="23" t="s">
        <v>366</v>
      </c>
      <c r="M707" s="23"/>
      <c r="N707" s="23"/>
      <c r="O707" s="23" t="s">
        <v>132</v>
      </c>
      <c r="P707" s="54"/>
      <c r="Q707" s="23"/>
      <c r="R707" s="17" t="str">
        <f t="shared" si="4"/>
        <v>Removed</v>
      </c>
      <c r="S707" s="18">
        <v>45547.0</v>
      </c>
      <c r="T707" s="20">
        <f t="shared" si="5"/>
        <v>32.86666667</v>
      </c>
    </row>
    <row r="708">
      <c r="A708" s="27" t="s">
        <v>1211</v>
      </c>
      <c r="B708" s="28" t="s">
        <v>27</v>
      </c>
      <c r="C708" s="28" t="s">
        <v>28</v>
      </c>
      <c r="D708" s="29" t="str">
        <f t="shared" si="1"/>
        <v>Removed</v>
      </c>
      <c r="E708" s="33">
        <v>45324.0</v>
      </c>
      <c r="F708" s="31">
        <v>45884.0</v>
      </c>
      <c r="G708" s="32">
        <f t="shared" si="2"/>
        <v>18.43333333</v>
      </c>
      <c r="H708" s="33">
        <v>45324.0</v>
      </c>
      <c r="I708" s="32">
        <f t="shared" si="3"/>
        <v>0</v>
      </c>
      <c r="J708" s="34">
        <v>87.0</v>
      </c>
      <c r="K708" s="34">
        <v>49.0</v>
      </c>
      <c r="L708" s="35" t="s">
        <v>29</v>
      </c>
      <c r="M708" s="35"/>
      <c r="N708" s="35"/>
      <c r="O708" s="35" t="s">
        <v>34</v>
      </c>
      <c r="P708" s="36" t="s">
        <v>1212</v>
      </c>
      <c r="Q708" s="35"/>
      <c r="R708" s="29" t="str">
        <f t="shared" si="4"/>
        <v>Removed</v>
      </c>
      <c r="S708" s="33">
        <v>45547.0</v>
      </c>
      <c r="T708" s="32">
        <f t="shared" si="5"/>
        <v>7.333333333</v>
      </c>
    </row>
    <row r="709">
      <c r="A709" s="15" t="s">
        <v>1213</v>
      </c>
      <c r="B709" s="16" t="s">
        <v>27</v>
      </c>
      <c r="C709" s="16" t="s">
        <v>28</v>
      </c>
      <c r="D709" s="17" t="str">
        <f t="shared" si="1"/>
        <v>Removed</v>
      </c>
      <c r="E709" s="18">
        <v>44700.0</v>
      </c>
      <c r="F709" s="52">
        <v>45884.0</v>
      </c>
      <c r="G709" s="20">
        <f t="shared" si="2"/>
        <v>38.86666667</v>
      </c>
      <c r="H709" s="18">
        <v>44522.0</v>
      </c>
      <c r="I709" s="20">
        <f t="shared" si="3"/>
        <v>0.4916666667</v>
      </c>
      <c r="J709" s="53">
        <f>average(73,78)</f>
        <v>75.5</v>
      </c>
      <c r="K709" s="53">
        <v>466.0</v>
      </c>
      <c r="L709" s="23" t="s">
        <v>50</v>
      </c>
      <c r="M709" s="23"/>
      <c r="N709" s="23"/>
      <c r="O709" s="23" t="s">
        <v>132</v>
      </c>
      <c r="P709" s="54"/>
      <c r="Q709" s="23"/>
      <c r="R709" s="17" t="str">
        <f t="shared" si="4"/>
        <v>Removed</v>
      </c>
      <c r="S709" s="18">
        <v>45547.0</v>
      </c>
      <c r="T709" s="20">
        <f t="shared" si="5"/>
        <v>27.76666667</v>
      </c>
    </row>
    <row r="710">
      <c r="A710" s="27" t="s">
        <v>1214</v>
      </c>
      <c r="B710" s="28" t="s">
        <v>27</v>
      </c>
      <c r="C710" s="28"/>
      <c r="D710" s="29" t="str">
        <f t="shared" si="1"/>
        <v>Removed</v>
      </c>
      <c r="E710" s="33">
        <v>44145.0</v>
      </c>
      <c r="F710" s="31">
        <v>45884.0</v>
      </c>
      <c r="G710" s="32">
        <f t="shared" si="2"/>
        <v>57.16666667</v>
      </c>
      <c r="H710" s="33">
        <v>43511.0</v>
      </c>
      <c r="I710" s="32">
        <f t="shared" si="3"/>
        <v>1.736111111</v>
      </c>
      <c r="J710" s="34">
        <f>(59+65)/2</f>
        <v>62</v>
      </c>
      <c r="K710" s="34">
        <v>12.5</v>
      </c>
      <c r="L710" s="35" t="s">
        <v>122</v>
      </c>
      <c r="M710" s="35" t="s">
        <v>867</v>
      </c>
      <c r="N710" s="35"/>
      <c r="O710" s="35" t="s">
        <v>125</v>
      </c>
      <c r="P710" s="36" t="s">
        <v>1215</v>
      </c>
      <c r="Q710" s="35" t="s">
        <v>868</v>
      </c>
      <c r="R710" s="29" t="str">
        <f t="shared" si="4"/>
        <v>Removed</v>
      </c>
      <c r="S710" s="33">
        <v>45547.0</v>
      </c>
      <c r="T710" s="32">
        <f t="shared" si="5"/>
        <v>46.06666667</v>
      </c>
    </row>
    <row r="711">
      <c r="A711" s="15" t="s">
        <v>1216</v>
      </c>
      <c r="B711" s="16" t="s">
        <v>27</v>
      </c>
      <c r="C711" s="16" t="s">
        <v>28</v>
      </c>
      <c r="D711" s="17" t="str">
        <f t="shared" si="1"/>
        <v>Removed</v>
      </c>
      <c r="E711" s="18">
        <v>45679.0</v>
      </c>
      <c r="F711" s="63">
        <v>45869.0</v>
      </c>
      <c r="G711" s="20">
        <f t="shared" si="2"/>
        <v>6.266666667</v>
      </c>
      <c r="H711" s="45">
        <v>45391.0</v>
      </c>
      <c r="I711" s="20">
        <f t="shared" si="3"/>
        <v>0.7861111111</v>
      </c>
      <c r="J711" s="46">
        <v>65.0</v>
      </c>
      <c r="K711" s="46">
        <v>16.0</v>
      </c>
      <c r="L711" s="23" t="s">
        <v>599</v>
      </c>
      <c r="M711" s="23"/>
      <c r="N711" s="50"/>
      <c r="O711" s="50"/>
      <c r="P711" s="57"/>
      <c r="Q711" s="50"/>
      <c r="R711" s="17" t="str">
        <f t="shared" si="4"/>
        <v>TBD</v>
      </c>
      <c r="S711" s="18"/>
      <c r="T711" s="20">
        <f t="shared" si="5"/>
        <v>8.766666667</v>
      </c>
    </row>
    <row r="712">
      <c r="A712" s="27" t="s">
        <v>1217</v>
      </c>
      <c r="B712" s="28" t="s">
        <v>27</v>
      </c>
      <c r="C712" s="28" t="s">
        <v>28</v>
      </c>
      <c r="D712" s="29" t="str">
        <f t="shared" si="1"/>
        <v>Removed</v>
      </c>
      <c r="E712" s="74">
        <v>45492.0</v>
      </c>
      <c r="F712" s="58">
        <v>45869.0</v>
      </c>
      <c r="G712" s="32">
        <f t="shared" si="2"/>
        <v>12.36666667</v>
      </c>
      <c r="H712" s="47">
        <v>45492.0</v>
      </c>
      <c r="I712" s="32">
        <f t="shared" si="3"/>
        <v>0</v>
      </c>
      <c r="J712" s="48">
        <v>80.0</v>
      </c>
      <c r="K712" s="48">
        <v>16.0</v>
      </c>
      <c r="L712" s="35" t="s">
        <v>37</v>
      </c>
      <c r="M712" s="35"/>
      <c r="N712" s="49"/>
      <c r="O712" s="40"/>
      <c r="P712" s="41"/>
      <c r="Q712" s="40"/>
      <c r="R712" s="29" t="str">
        <f t="shared" si="4"/>
        <v>Removed</v>
      </c>
      <c r="S712" s="33">
        <v>45679.0</v>
      </c>
      <c r="T712" s="32">
        <f t="shared" si="5"/>
        <v>6.1</v>
      </c>
    </row>
    <row r="713">
      <c r="A713" s="15" t="s">
        <v>1218</v>
      </c>
      <c r="B713" s="16" t="s">
        <v>27</v>
      </c>
      <c r="C713" s="16" t="s">
        <v>28</v>
      </c>
      <c r="D713" s="17" t="str">
        <f t="shared" si="1"/>
        <v>Removed</v>
      </c>
      <c r="E713" s="18">
        <v>45309.0</v>
      </c>
      <c r="F713" s="63">
        <v>45869.0</v>
      </c>
      <c r="G713" s="20">
        <f t="shared" si="2"/>
        <v>18.4</v>
      </c>
      <c r="H713" s="18">
        <v>45309.0</v>
      </c>
      <c r="I713" s="20">
        <f t="shared" si="3"/>
        <v>0</v>
      </c>
      <c r="J713" s="53">
        <v>82.0</v>
      </c>
      <c r="K713" s="53">
        <v>4.0</v>
      </c>
      <c r="L713" s="23" t="s">
        <v>37</v>
      </c>
      <c r="M713" s="23"/>
      <c r="N713" s="23"/>
      <c r="O713" s="23" t="s">
        <v>427</v>
      </c>
      <c r="P713" s="54"/>
      <c r="Q713" s="23"/>
      <c r="R713" s="17" t="str">
        <f t="shared" si="4"/>
        <v>Removed</v>
      </c>
      <c r="S713" s="18">
        <v>45602.0</v>
      </c>
      <c r="T713" s="20">
        <f t="shared" si="5"/>
        <v>9.6</v>
      </c>
    </row>
    <row r="714">
      <c r="A714" s="27" t="s">
        <v>1219</v>
      </c>
      <c r="B714" s="28" t="s">
        <v>27</v>
      </c>
      <c r="C714" s="28" t="s">
        <v>28</v>
      </c>
      <c r="D714" s="29" t="str">
        <f t="shared" si="1"/>
        <v>Removed</v>
      </c>
      <c r="E714" s="33">
        <v>45517.0</v>
      </c>
      <c r="F714" s="58">
        <v>45853.0</v>
      </c>
      <c r="G714" s="32">
        <f t="shared" si="2"/>
        <v>11.06666667</v>
      </c>
      <c r="H714" s="33">
        <v>44099.0</v>
      </c>
      <c r="I714" s="32">
        <f t="shared" si="3"/>
        <v>3.883333333</v>
      </c>
      <c r="J714" s="34">
        <v>76.0</v>
      </c>
      <c r="K714" s="34">
        <v>11.0</v>
      </c>
      <c r="L714" s="35" t="s">
        <v>32</v>
      </c>
      <c r="M714" s="35"/>
      <c r="N714" s="35"/>
      <c r="O714" s="35"/>
      <c r="P714" s="36"/>
      <c r="Q714" s="35"/>
      <c r="R714" s="29" t="str">
        <f t="shared" si="4"/>
        <v>Removed</v>
      </c>
      <c r="S714" s="33">
        <v>45547.0</v>
      </c>
      <c r="T714" s="32">
        <f t="shared" si="5"/>
        <v>0.9666666667</v>
      </c>
    </row>
    <row r="715">
      <c r="A715" s="15" t="s">
        <v>1220</v>
      </c>
      <c r="B715" s="16" t="s">
        <v>27</v>
      </c>
      <c r="C715" s="16" t="s">
        <v>28</v>
      </c>
      <c r="D715" s="17" t="str">
        <f t="shared" si="1"/>
        <v>Removed</v>
      </c>
      <c r="E715" s="62">
        <v>45489.0</v>
      </c>
      <c r="F715" s="63">
        <v>45853.0</v>
      </c>
      <c r="G715" s="20">
        <f t="shared" si="2"/>
        <v>11.96666667</v>
      </c>
      <c r="H715" s="45">
        <v>45489.0</v>
      </c>
      <c r="I715" s="20">
        <f t="shared" si="3"/>
        <v>0</v>
      </c>
      <c r="J715" s="46">
        <v>74.0</v>
      </c>
      <c r="K715" s="46">
        <v>4.0</v>
      </c>
      <c r="L715" s="23" t="s">
        <v>37</v>
      </c>
      <c r="M715" s="43"/>
      <c r="N715" s="50"/>
      <c r="O715" s="50" t="s">
        <v>132</v>
      </c>
      <c r="P715" s="25"/>
      <c r="Q715" s="24"/>
      <c r="R715" s="17" t="str">
        <f t="shared" si="4"/>
        <v>Removed</v>
      </c>
      <c r="S715" s="18">
        <v>45679.0</v>
      </c>
      <c r="T715" s="20">
        <f t="shared" si="5"/>
        <v>6.2</v>
      </c>
    </row>
    <row r="716">
      <c r="A716" s="27" t="s">
        <v>1221</v>
      </c>
      <c r="B716" s="28" t="s">
        <v>27</v>
      </c>
      <c r="C716" s="28" t="s">
        <v>28</v>
      </c>
      <c r="D716" s="29" t="str">
        <f t="shared" si="1"/>
        <v>Removed</v>
      </c>
      <c r="E716" s="30">
        <v>45489.0</v>
      </c>
      <c r="F716" s="58">
        <v>45853.0</v>
      </c>
      <c r="G716" s="32">
        <f t="shared" si="2"/>
        <v>11.96666667</v>
      </c>
      <c r="H716" s="47">
        <v>45489.0</v>
      </c>
      <c r="I716" s="32">
        <f t="shared" si="3"/>
        <v>0</v>
      </c>
      <c r="J716" s="48">
        <v>84.0</v>
      </c>
      <c r="K716" s="48">
        <v>27.0</v>
      </c>
      <c r="L716" s="35" t="s">
        <v>119</v>
      </c>
      <c r="M716" s="44"/>
      <c r="N716" s="49"/>
      <c r="O716" s="49" t="s">
        <v>427</v>
      </c>
      <c r="P716" s="41"/>
      <c r="Q716" s="40"/>
      <c r="R716" s="29" t="str">
        <f t="shared" si="4"/>
        <v>Removed</v>
      </c>
      <c r="S716" s="33">
        <v>45679.0</v>
      </c>
      <c r="T716" s="32">
        <f t="shared" si="5"/>
        <v>6.2</v>
      </c>
    </row>
    <row r="717">
      <c r="A717" s="15" t="s">
        <v>1222</v>
      </c>
      <c r="B717" s="16" t="s">
        <v>27</v>
      </c>
      <c r="C717" s="16" t="s">
        <v>28</v>
      </c>
      <c r="D717" s="17" t="str">
        <f t="shared" si="1"/>
        <v>Removed</v>
      </c>
      <c r="E717" s="62">
        <v>45484.0</v>
      </c>
      <c r="F717" s="63">
        <v>45853.0</v>
      </c>
      <c r="G717" s="20">
        <f t="shared" si="2"/>
        <v>12.13333333</v>
      </c>
      <c r="H717" s="45">
        <v>45006.0</v>
      </c>
      <c r="I717" s="20">
        <f t="shared" si="3"/>
        <v>1.305555556</v>
      </c>
      <c r="J717" s="46">
        <v>77.0</v>
      </c>
      <c r="K717" s="46">
        <v>7.0</v>
      </c>
      <c r="L717" s="23" t="s">
        <v>37</v>
      </c>
      <c r="M717" s="23" t="s">
        <v>30</v>
      </c>
      <c r="N717" s="50"/>
      <c r="O717" s="50" t="s">
        <v>125</v>
      </c>
      <c r="P717" s="57" t="s">
        <v>1223</v>
      </c>
      <c r="Q717" s="24"/>
      <c r="R717" s="17" t="str">
        <f t="shared" si="4"/>
        <v>Removed</v>
      </c>
      <c r="S717" s="18">
        <v>45679.0</v>
      </c>
      <c r="T717" s="20">
        <f t="shared" si="5"/>
        <v>6.366666667</v>
      </c>
    </row>
    <row r="718">
      <c r="A718" s="27" t="s">
        <v>1224</v>
      </c>
      <c r="B718" s="28" t="s">
        <v>27</v>
      </c>
      <c r="C718" s="28" t="s">
        <v>28</v>
      </c>
      <c r="D718" s="29" t="str">
        <f t="shared" si="1"/>
        <v>Removed</v>
      </c>
      <c r="E718" s="30">
        <v>45482.0</v>
      </c>
      <c r="F718" s="58">
        <v>45853.0</v>
      </c>
      <c r="G718" s="32">
        <f t="shared" si="2"/>
        <v>12.2</v>
      </c>
      <c r="H718" s="47">
        <v>44847.0</v>
      </c>
      <c r="I718" s="32">
        <f t="shared" si="3"/>
        <v>1.738888889</v>
      </c>
      <c r="J718" s="48">
        <v>84.0</v>
      </c>
      <c r="K718" s="48">
        <v>6.0</v>
      </c>
      <c r="L718" s="35" t="s">
        <v>1225</v>
      </c>
      <c r="M718" s="44"/>
      <c r="N718" s="49"/>
      <c r="O718" s="49" t="s">
        <v>427</v>
      </c>
      <c r="P718" s="41"/>
      <c r="Q718" s="40"/>
      <c r="R718" s="29" t="str">
        <f t="shared" si="4"/>
        <v>Removed</v>
      </c>
      <c r="S718" s="33">
        <v>45679.0</v>
      </c>
      <c r="T718" s="32">
        <f t="shared" si="5"/>
        <v>6.433333333</v>
      </c>
    </row>
    <row r="719">
      <c r="A719" s="15" t="s">
        <v>1226</v>
      </c>
      <c r="B719" s="16" t="s">
        <v>27</v>
      </c>
      <c r="C719" s="16" t="s">
        <v>28</v>
      </c>
      <c r="D719" s="17" t="str">
        <f t="shared" si="1"/>
        <v>Removed</v>
      </c>
      <c r="E719" s="75">
        <v>45456.0</v>
      </c>
      <c r="F719" s="63">
        <v>45853.0</v>
      </c>
      <c r="G719" s="20">
        <f t="shared" si="2"/>
        <v>13.06666667</v>
      </c>
      <c r="H719" s="45">
        <v>44897.0</v>
      </c>
      <c r="I719" s="20">
        <f t="shared" si="3"/>
        <v>1.530555556</v>
      </c>
      <c r="J719" s="46">
        <v>69.0</v>
      </c>
      <c r="K719" s="46">
        <v>10.0</v>
      </c>
      <c r="L719" s="23" t="s">
        <v>113</v>
      </c>
      <c r="M719" s="43"/>
      <c r="N719" s="50"/>
      <c r="O719" s="50" t="s">
        <v>34</v>
      </c>
      <c r="P719" s="57" t="s">
        <v>35</v>
      </c>
      <c r="Q719" s="24"/>
      <c r="R719" s="17" t="str">
        <f t="shared" si="4"/>
        <v>Removed</v>
      </c>
      <c r="S719" s="18">
        <v>45547.0</v>
      </c>
      <c r="T719" s="20">
        <f t="shared" si="5"/>
        <v>2.966666667</v>
      </c>
    </row>
    <row r="720">
      <c r="A720" s="67" t="s">
        <v>1227</v>
      </c>
      <c r="B720" s="28" t="s">
        <v>27</v>
      </c>
      <c r="C720" s="28" t="s">
        <v>28</v>
      </c>
      <c r="D720" s="29" t="str">
        <f t="shared" si="1"/>
        <v>Removed</v>
      </c>
      <c r="E720" s="30">
        <v>45476.0</v>
      </c>
      <c r="F720" s="31">
        <v>45838.0</v>
      </c>
      <c r="G720" s="32">
        <f t="shared" si="2"/>
        <v>11.9</v>
      </c>
      <c r="H720" s="33">
        <v>43858.0</v>
      </c>
      <c r="I720" s="32">
        <f t="shared" si="3"/>
        <v>4.430555556</v>
      </c>
      <c r="J720" s="69">
        <v>76.0</v>
      </c>
      <c r="K720" s="34">
        <v>7.0</v>
      </c>
      <c r="L720" s="44" t="s">
        <v>791</v>
      </c>
      <c r="M720" s="44"/>
      <c r="N720" s="35" t="s">
        <v>1228</v>
      </c>
      <c r="O720" s="35" t="s">
        <v>125</v>
      </c>
      <c r="P720" s="36" t="s">
        <v>1229</v>
      </c>
      <c r="Q720" s="44"/>
      <c r="R720" s="29" t="str">
        <f t="shared" si="4"/>
        <v>Removed</v>
      </c>
      <c r="S720" s="33">
        <v>45547.0</v>
      </c>
      <c r="T720" s="32">
        <f t="shared" si="5"/>
        <v>2.3</v>
      </c>
    </row>
    <row r="721">
      <c r="A721" s="15" t="s">
        <v>1230</v>
      </c>
      <c r="B721" s="16" t="s">
        <v>27</v>
      </c>
      <c r="C721" s="16" t="s">
        <v>28</v>
      </c>
      <c r="D721" s="17" t="str">
        <f t="shared" si="1"/>
        <v>Removed</v>
      </c>
      <c r="E721" s="75">
        <v>45470.0</v>
      </c>
      <c r="F721" s="52">
        <v>45838.0</v>
      </c>
      <c r="G721" s="20">
        <f t="shared" si="2"/>
        <v>12.1</v>
      </c>
      <c r="H721" s="45">
        <v>45351.0</v>
      </c>
      <c r="I721" s="20">
        <f t="shared" si="3"/>
        <v>0.3277777778</v>
      </c>
      <c r="J721" s="46">
        <f>average(83,85,73)</f>
        <v>80.33333333</v>
      </c>
      <c r="K721" s="46">
        <v>16.0</v>
      </c>
      <c r="L721" s="23" t="s">
        <v>37</v>
      </c>
      <c r="M721" s="23" t="s">
        <v>30</v>
      </c>
      <c r="N721" s="50"/>
      <c r="O721" s="50" t="s">
        <v>427</v>
      </c>
      <c r="P721" s="25"/>
      <c r="Q721" s="24"/>
      <c r="R721" s="17" t="str">
        <f t="shared" si="4"/>
        <v>Removed</v>
      </c>
      <c r="S721" s="18">
        <v>45665.0</v>
      </c>
      <c r="T721" s="20">
        <f t="shared" si="5"/>
        <v>6.366666667</v>
      </c>
    </row>
    <row r="722">
      <c r="A722" s="27" t="s">
        <v>1231</v>
      </c>
      <c r="B722" s="28" t="s">
        <v>68</v>
      </c>
      <c r="C722" s="28" t="s">
        <v>28</v>
      </c>
      <c r="D722" s="29" t="str">
        <f t="shared" si="1"/>
        <v>Removed</v>
      </c>
      <c r="E722" s="33">
        <v>45469.0</v>
      </c>
      <c r="F722" s="31">
        <v>45838.0</v>
      </c>
      <c r="G722" s="32">
        <f t="shared" si="2"/>
        <v>12.13333333</v>
      </c>
      <c r="H722" s="47">
        <v>41494.0</v>
      </c>
      <c r="I722" s="32">
        <f t="shared" si="3"/>
        <v>10.88333333</v>
      </c>
      <c r="J722" s="48">
        <v>82.0</v>
      </c>
      <c r="K722" s="48">
        <v>5.0</v>
      </c>
      <c r="L722" s="35" t="s">
        <v>81</v>
      </c>
      <c r="M722" s="35"/>
      <c r="N722" s="49"/>
      <c r="O722" s="85" t="s">
        <v>334</v>
      </c>
      <c r="P722" s="51" t="s">
        <v>483</v>
      </c>
      <c r="Q722" s="40"/>
      <c r="R722" s="29" t="str">
        <f t="shared" si="4"/>
        <v>Removed</v>
      </c>
      <c r="S722" s="33">
        <v>45547.0</v>
      </c>
      <c r="T722" s="32">
        <f t="shared" si="5"/>
        <v>2.533333333</v>
      </c>
    </row>
    <row r="723">
      <c r="A723" s="15" t="s">
        <v>1232</v>
      </c>
      <c r="B723" s="16" t="s">
        <v>27</v>
      </c>
      <c r="C723" s="99"/>
      <c r="D723" s="17" t="str">
        <f t="shared" si="1"/>
        <v>Removed</v>
      </c>
      <c r="E723" s="18">
        <v>45469.0</v>
      </c>
      <c r="F723" s="52">
        <v>45838.0</v>
      </c>
      <c r="G723" s="20">
        <f t="shared" si="2"/>
        <v>12.13333333</v>
      </c>
      <c r="H723" s="45">
        <v>42999.0</v>
      </c>
      <c r="I723" s="20">
        <f t="shared" si="3"/>
        <v>6.763888889</v>
      </c>
      <c r="J723" s="46">
        <v>88.0</v>
      </c>
      <c r="K723" s="46">
        <v>8.0</v>
      </c>
      <c r="L723" s="23" t="s">
        <v>81</v>
      </c>
      <c r="M723" s="23"/>
      <c r="N723" s="127" t="s">
        <v>1233</v>
      </c>
      <c r="O723" s="89" t="s">
        <v>334</v>
      </c>
      <c r="P723" s="57" t="s">
        <v>483</v>
      </c>
      <c r="Q723" s="24"/>
      <c r="R723" s="17" t="str">
        <f t="shared" si="4"/>
        <v>Removed</v>
      </c>
      <c r="S723" s="18">
        <v>45547.0</v>
      </c>
      <c r="T723" s="20">
        <f t="shared" si="5"/>
        <v>2.533333333</v>
      </c>
    </row>
    <row r="724">
      <c r="A724" s="27" t="s">
        <v>1234</v>
      </c>
      <c r="B724" s="28" t="s">
        <v>27</v>
      </c>
      <c r="C724" s="28"/>
      <c r="D724" s="29" t="str">
        <f t="shared" si="1"/>
        <v>Removed</v>
      </c>
      <c r="E724" s="33">
        <v>45110.0</v>
      </c>
      <c r="F724" s="31">
        <v>45838.0</v>
      </c>
      <c r="G724" s="32">
        <f t="shared" si="2"/>
        <v>23.9</v>
      </c>
      <c r="H724" s="33">
        <v>44784.0</v>
      </c>
      <c r="I724" s="32">
        <f t="shared" si="3"/>
        <v>0.8944444444</v>
      </c>
      <c r="J724" s="34">
        <v>81.0</v>
      </c>
      <c r="K724" s="34">
        <v>26.0</v>
      </c>
      <c r="L724" s="35" t="s">
        <v>50</v>
      </c>
      <c r="M724" s="35"/>
      <c r="N724" s="35"/>
      <c r="O724" s="35" t="s">
        <v>125</v>
      </c>
      <c r="P724" s="36" t="s">
        <v>1235</v>
      </c>
      <c r="Q724" s="35"/>
      <c r="R724" s="29" t="str">
        <f t="shared" si="4"/>
        <v>Removed</v>
      </c>
      <c r="S724" s="33">
        <v>45547.0</v>
      </c>
      <c r="T724" s="32">
        <f t="shared" si="5"/>
        <v>14.3</v>
      </c>
    </row>
    <row r="725">
      <c r="A725" s="15" t="s">
        <v>1236</v>
      </c>
      <c r="B725" s="16" t="s">
        <v>27</v>
      </c>
      <c r="C725" s="16" t="s">
        <v>121</v>
      </c>
      <c r="D725" s="17" t="str">
        <f t="shared" si="1"/>
        <v>Removed</v>
      </c>
      <c r="E725" s="18">
        <v>44756.0</v>
      </c>
      <c r="F725" s="52">
        <v>45838.0</v>
      </c>
      <c r="G725" s="20">
        <f t="shared" si="2"/>
        <v>35.53333333</v>
      </c>
      <c r="H725" s="18">
        <v>44490.0</v>
      </c>
      <c r="I725" s="20">
        <f t="shared" si="3"/>
        <v>0.7305555556</v>
      </c>
      <c r="J725" s="53">
        <v>65.0</v>
      </c>
      <c r="K725" s="53">
        <v>1.5</v>
      </c>
      <c r="L725" s="23" t="s">
        <v>1237</v>
      </c>
      <c r="M725" s="23"/>
      <c r="N725" s="23"/>
      <c r="O725" s="23" t="s">
        <v>132</v>
      </c>
      <c r="P725" s="54"/>
      <c r="Q725" s="23"/>
      <c r="R725" s="17" t="str">
        <f t="shared" si="4"/>
        <v>Removed</v>
      </c>
      <c r="S725" s="18">
        <v>45547.0</v>
      </c>
      <c r="T725" s="20">
        <f t="shared" si="5"/>
        <v>25.93333333</v>
      </c>
    </row>
    <row r="726">
      <c r="A726" s="27" t="s">
        <v>1238</v>
      </c>
      <c r="B726" s="28" t="s">
        <v>40</v>
      </c>
      <c r="C726" s="28"/>
      <c r="D726" s="29" t="str">
        <f t="shared" si="1"/>
        <v>Removed</v>
      </c>
      <c r="E726" s="74">
        <v>45463.0</v>
      </c>
      <c r="F726" s="31">
        <v>45823.0</v>
      </c>
      <c r="G726" s="32">
        <f t="shared" si="2"/>
        <v>11.83333333</v>
      </c>
      <c r="H726" s="47">
        <v>44704.0</v>
      </c>
      <c r="I726" s="32">
        <f t="shared" si="3"/>
        <v>2.075</v>
      </c>
      <c r="J726" s="48">
        <v>81.0</v>
      </c>
      <c r="K726" s="48">
        <v>20.0</v>
      </c>
      <c r="L726" s="35" t="s">
        <v>48</v>
      </c>
      <c r="M726" s="35"/>
      <c r="N726" s="49"/>
      <c r="O726" s="49" t="s">
        <v>427</v>
      </c>
      <c r="P726" s="41"/>
      <c r="Q726" s="40"/>
      <c r="R726" s="29" t="str">
        <f t="shared" si="4"/>
        <v>TBD</v>
      </c>
      <c r="S726" s="33"/>
      <c r="T726" s="32">
        <f t="shared" si="5"/>
        <v>15.83333333</v>
      </c>
    </row>
    <row r="727">
      <c r="A727" s="15" t="s">
        <v>1239</v>
      </c>
      <c r="B727" s="16" t="s">
        <v>27</v>
      </c>
      <c r="C727" s="16" t="s">
        <v>28</v>
      </c>
      <c r="D727" s="17" t="str">
        <f t="shared" si="1"/>
        <v>Removed</v>
      </c>
      <c r="E727" s="75">
        <v>45462.0</v>
      </c>
      <c r="F727" s="52">
        <v>45823.0</v>
      </c>
      <c r="G727" s="20">
        <f t="shared" si="2"/>
        <v>11.86666667</v>
      </c>
      <c r="H727" s="45">
        <v>45232.0</v>
      </c>
      <c r="I727" s="20">
        <f t="shared" si="3"/>
        <v>0.6305555556</v>
      </c>
      <c r="J727" s="46">
        <v>80.0</v>
      </c>
      <c r="K727" s="46">
        <v>79.0</v>
      </c>
      <c r="L727" s="23" t="s">
        <v>29</v>
      </c>
      <c r="M727" s="23"/>
      <c r="N727" s="50"/>
      <c r="O727" s="50" t="s">
        <v>334</v>
      </c>
      <c r="P727" s="57" t="s">
        <v>1240</v>
      </c>
      <c r="Q727" s="24"/>
      <c r="R727" s="17" t="str">
        <f t="shared" si="4"/>
        <v>Removed</v>
      </c>
      <c r="S727" s="18">
        <v>45665.0</v>
      </c>
      <c r="T727" s="20">
        <f t="shared" si="5"/>
        <v>6.633333333</v>
      </c>
    </row>
    <row r="728">
      <c r="A728" s="27" t="s">
        <v>1241</v>
      </c>
      <c r="B728" s="28" t="s">
        <v>27</v>
      </c>
      <c r="C728" s="28" t="s">
        <v>28</v>
      </c>
      <c r="D728" s="29" t="str">
        <f t="shared" si="1"/>
        <v>Removed</v>
      </c>
      <c r="E728" s="74">
        <v>45456.0</v>
      </c>
      <c r="F728" s="31">
        <v>45823.0</v>
      </c>
      <c r="G728" s="32">
        <f t="shared" si="2"/>
        <v>12.06666667</v>
      </c>
      <c r="H728" s="47">
        <v>44817.0</v>
      </c>
      <c r="I728" s="32">
        <f t="shared" si="3"/>
        <v>1.75</v>
      </c>
      <c r="J728" s="48">
        <v>67.0</v>
      </c>
      <c r="K728" s="48">
        <v>15.0</v>
      </c>
      <c r="L728" s="35" t="s">
        <v>184</v>
      </c>
      <c r="M728" s="44"/>
      <c r="N728" s="49"/>
      <c r="O728" s="49" t="s">
        <v>34</v>
      </c>
      <c r="P728" s="51" t="s">
        <v>368</v>
      </c>
      <c r="Q728" s="40"/>
      <c r="R728" s="29" t="str">
        <f t="shared" si="4"/>
        <v>Removed</v>
      </c>
      <c r="S728" s="33">
        <v>45547.0</v>
      </c>
      <c r="T728" s="32">
        <f t="shared" si="5"/>
        <v>2.966666667</v>
      </c>
    </row>
    <row r="729">
      <c r="A729" s="15" t="s">
        <v>1242</v>
      </c>
      <c r="B729" s="16" t="s">
        <v>40</v>
      </c>
      <c r="C729" s="16"/>
      <c r="D729" s="17" t="str">
        <f t="shared" si="1"/>
        <v>Removed</v>
      </c>
      <c r="E729" s="75">
        <v>45455.0</v>
      </c>
      <c r="F729" s="52">
        <v>45823.0</v>
      </c>
      <c r="G729" s="20">
        <f t="shared" si="2"/>
        <v>12.1</v>
      </c>
      <c r="H729" s="45">
        <v>44914.0</v>
      </c>
      <c r="I729" s="20">
        <f t="shared" si="3"/>
        <v>1.480555556</v>
      </c>
      <c r="J729" s="46">
        <v>80.0</v>
      </c>
      <c r="K729" s="46">
        <v>6.0</v>
      </c>
      <c r="L729" s="23" t="s">
        <v>29</v>
      </c>
      <c r="M729" s="43"/>
      <c r="N729" s="50"/>
      <c r="O729" s="50" t="s">
        <v>427</v>
      </c>
      <c r="P729" s="25"/>
      <c r="Q729" s="24"/>
      <c r="R729" s="17" t="str">
        <f t="shared" si="4"/>
        <v>TBD</v>
      </c>
      <c r="S729" s="18"/>
      <c r="T729" s="20">
        <f t="shared" si="5"/>
        <v>16.1</v>
      </c>
    </row>
    <row r="730">
      <c r="A730" s="27" t="s">
        <v>1243</v>
      </c>
      <c r="B730" s="28" t="s">
        <v>27</v>
      </c>
      <c r="C730" s="28" t="s">
        <v>28</v>
      </c>
      <c r="D730" s="29" t="str">
        <f t="shared" si="1"/>
        <v>Removed</v>
      </c>
      <c r="E730" s="74">
        <v>45447.0</v>
      </c>
      <c r="F730" s="31">
        <v>45823.0</v>
      </c>
      <c r="G730" s="32">
        <f t="shared" si="2"/>
        <v>12.36666667</v>
      </c>
      <c r="H730" s="47">
        <v>45447.0</v>
      </c>
      <c r="I730" s="32">
        <f t="shared" si="3"/>
        <v>0</v>
      </c>
      <c r="J730" s="48">
        <v>73.0</v>
      </c>
      <c r="K730" s="48">
        <v>9.0</v>
      </c>
      <c r="L730" s="35" t="s">
        <v>50</v>
      </c>
      <c r="M730" s="44"/>
      <c r="N730" s="49"/>
      <c r="O730" s="49" t="s">
        <v>427</v>
      </c>
      <c r="P730" s="41"/>
      <c r="Q730" s="40"/>
      <c r="R730" s="29" t="str">
        <f t="shared" si="4"/>
        <v>Removed</v>
      </c>
      <c r="S730" s="33">
        <v>45665.0</v>
      </c>
      <c r="T730" s="32">
        <f t="shared" si="5"/>
        <v>7.133333333</v>
      </c>
    </row>
    <row r="731">
      <c r="A731" s="15" t="s">
        <v>1244</v>
      </c>
      <c r="B731" s="16" t="s">
        <v>27</v>
      </c>
      <c r="C731" s="16" t="s">
        <v>28</v>
      </c>
      <c r="D731" s="17" t="str">
        <f t="shared" si="1"/>
        <v>Removed</v>
      </c>
      <c r="E731" s="18">
        <v>45090.0</v>
      </c>
      <c r="F731" s="52">
        <v>45823.0</v>
      </c>
      <c r="G731" s="20">
        <f t="shared" si="2"/>
        <v>24.06666667</v>
      </c>
      <c r="H731" s="18">
        <v>45090.0</v>
      </c>
      <c r="I731" s="20">
        <f t="shared" si="3"/>
        <v>0</v>
      </c>
      <c r="J731" s="53">
        <v>74.0</v>
      </c>
      <c r="K731" s="53">
        <v>4.0</v>
      </c>
      <c r="L731" s="23" t="s">
        <v>562</v>
      </c>
      <c r="M731" s="23"/>
      <c r="N731" s="23"/>
      <c r="O731" s="23" t="s">
        <v>132</v>
      </c>
      <c r="P731" s="54" t="s">
        <v>1245</v>
      </c>
      <c r="Q731" s="23"/>
      <c r="R731" s="17" t="str">
        <f t="shared" si="4"/>
        <v>Removed</v>
      </c>
      <c r="S731" s="18">
        <v>45547.0</v>
      </c>
      <c r="T731" s="20">
        <f t="shared" si="5"/>
        <v>14.96666667</v>
      </c>
    </row>
    <row r="732">
      <c r="A732" s="27" t="s">
        <v>1246</v>
      </c>
      <c r="B732" s="28" t="s">
        <v>27</v>
      </c>
      <c r="C732" s="28" t="s">
        <v>28</v>
      </c>
      <c r="D732" s="29" t="str">
        <f t="shared" si="1"/>
        <v>Removed</v>
      </c>
      <c r="E732" s="30">
        <v>45083.0</v>
      </c>
      <c r="F732" s="31">
        <v>45823.0</v>
      </c>
      <c r="G732" s="32">
        <f t="shared" si="2"/>
        <v>24.3</v>
      </c>
      <c r="H732" s="33">
        <v>43536.0</v>
      </c>
      <c r="I732" s="32">
        <f t="shared" si="3"/>
        <v>4.233333333</v>
      </c>
      <c r="J732" s="34">
        <v>82.0</v>
      </c>
      <c r="K732" s="34">
        <v>5.5</v>
      </c>
      <c r="L732" s="35" t="s">
        <v>1247</v>
      </c>
      <c r="M732" s="35"/>
      <c r="N732" s="35" t="s">
        <v>1248</v>
      </c>
      <c r="O732" s="35" t="s">
        <v>125</v>
      </c>
      <c r="P732" s="36" t="s">
        <v>1249</v>
      </c>
      <c r="Q732" s="35"/>
      <c r="R732" s="29" t="str">
        <f t="shared" si="4"/>
        <v>Removed</v>
      </c>
      <c r="S732" s="33">
        <v>45547.0</v>
      </c>
      <c r="T732" s="32">
        <f t="shared" si="5"/>
        <v>15.2</v>
      </c>
    </row>
    <row r="733">
      <c r="A733" s="15" t="s">
        <v>1250</v>
      </c>
      <c r="B733" s="16" t="s">
        <v>40</v>
      </c>
      <c r="C733" s="16"/>
      <c r="D733" s="17" t="str">
        <f t="shared" si="1"/>
        <v>Removed</v>
      </c>
      <c r="E733" s="75">
        <v>45447.0</v>
      </c>
      <c r="F733" s="52">
        <v>45808.0</v>
      </c>
      <c r="G733" s="20">
        <f t="shared" si="2"/>
        <v>11.86666667</v>
      </c>
      <c r="H733" s="45">
        <v>44230.0</v>
      </c>
      <c r="I733" s="20">
        <f t="shared" si="3"/>
        <v>3.336111111</v>
      </c>
      <c r="J733" s="46">
        <v>80.0</v>
      </c>
      <c r="K733" s="46">
        <v>4.0</v>
      </c>
      <c r="L733" s="23" t="s">
        <v>37</v>
      </c>
      <c r="M733" s="43"/>
      <c r="N733" s="50"/>
      <c r="O733" s="50" t="s">
        <v>427</v>
      </c>
      <c r="P733" s="25"/>
      <c r="Q733" s="24"/>
      <c r="R733" s="17" t="str">
        <f t="shared" si="4"/>
        <v>TBD</v>
      </c>
      <c r="S733" s="18"/>
      <c r="T733" s="20">
        <f t="shared" si="5"/>
        <v>16.36666667</v>
      </c>
    </row>
    <row r="734">
      <c r="A734" s="27" t="s">
        <v>1251</v>
      </c>
      <c r="B734" s="28" t="s">
        <v>27</v>
      </c>
      <c r="C734" s="28" t="s">
        <v>28</v>
      </c>
      <c r="D734" s="29" t="str">
        <f t="shared" si="1"/>
        <v>Removed</v>
      </c>
      <c r="E734" s="74">
        <v>45442.0</v>
      </c>
      <c r="F734" s="31">
        <v>45808.0</v>
      </c>
      <c r="G734" s="32">
        <f t="shared" si="2"/>
        <v>12</v>
      </c>
      <c r="H734" s="47">
        <v>45062.0</v>
      </c>
      <c r="I734" s="32">
        <f t="shared" si="3"/>
        <v>1.038888889</v>
      </c>
      <c r="J734" s="48">
        <v>86.0</v>
      </c>
      <c r="K734" s="48">
        <v>12.0</v>
      </c>
      <c r="L734" s="35" t="s">
        <v>731</v>
      </c>
      <c r="M734" s="44"/>
      <c r="N734" s="49"/>
      <c r="O734" s="49" t="s">
        <v>427</v>
      </c>
      <c r="P734" s="41"/>
      <c r="Q734" s="40"/>
      <c r="R734" s="29" t="str">
        <f t="shared" si="4"/>
        <v>Removed</v>
      </c>
      <c r="S734" s="33">
        <v>45630.0</v>
      </c>
      <c r="T734" s="32">
        <f t="shared" si="5"/>
        <v>6.133333333</v>
      </c>
    </row>
    <row r="735">
      <c r="A735" s="15" t="s">
        <v>1252</v>
      </c>
      <c r="B735" s="16" t="s">
        <v>27</v>
      </c>
      <c r="C735" s="16" t="s">
        <v>28</v>
      </c>
      <c r="D735" s="17" t="str">
        <f t="shared" si="1"/>
        <v>Removed</v>
      </c>
      <c r="E735" s="62">
        <v>45259.0</v>
      </c>
      <c r="F735" s="52">
        <v>45808.0</v>
      </c>
      <c r="G735" s="20">
        <f t="shared" si="2"/>
        <v>18.03333333</v>
      </c>
      <c r="H735" s="18">
        <v>45132.0</v>
      </c>
      <c r="I735" s="20">
        <f t="shared" si="3"/>
        <v>0.3444444444</v>
      </c>
      <c r="J735" s="53">
        <v>80.0</v>
      </c>
      <c r="K735" s="53">
        <v>19.0</v>
      </c>
      <c r="L735" s="23" t="s">
        <v>1253</v>
      </c>
      <c r="M735" s="23" t="s">
        <v>30</v>
      </c>
      <c r="N735" s="23"/>
      <c r="O735" s="23" t="s">
        <v>34</v>
      </c>
      <c r="P735" s="54" t="s">
        <v>439</v>
      </c>
      <c r="Q735" s="23" t="s">
        <v>1254</v>
      </c>
      <c r="R735" s="17" t="str">
        <f t="shared" si="4"/>
        <v>Removed</v>
      </c>
      <c r="S735" s="18">
        <v>45547.0</v>
      </c>
      <c r="T735" s="20">
        <f t="shared" si="5"/>
        <v>9.433333333</v>
      </c>
    </row>
    <row r="736">
      <c r="A736" s="27" t="s">
        <v>1255</v>
      </c>
      <c r="B736" s="28" t="s">
        <v>27</v>
      </c>
      <c r="C736" s="28" t="s">
        <v>28</v>
      </c>
      <c r="D736" s="29" t="str">
        <f t="shared" si="1"/>
        <v>Removed</v>
      </c>
      <c r="E736" s="30">
        <v>45078.0</v>
      </c>
      <c r="F736" s="31">
        <v>45808.0</v>
      </c>
      <c r="G736" s="32">
        <f t="shared" si="2"/>
        <v>23.96666667</v>
      </c>
      <c r="H736" s="33">
        <v>45078.0</v>
      </c>
      <c r="I736" s="32">
        <f t="shared" si="3"/>
        <v>0</v>
      </c>
      <c r="J736" s="34">
        <v>80.0</v>
      </c>
      <c r="K736" s="34">
        <v>4.0</v>
      </c>
      <c r="L736" s="35" t="s">
        <v>184</v>
      </c>
      <c r="M736" s="44"/>
      <c r="N736" s="35"/>
      <c r="O736" s="35" t="s">
        <v>427</v>
      </c>
      <c r="P736" s="71"/>
      <c r="Q736" s="44"/>
      <c r="R736" s="29" t="str">
        <f t="shared" si="4"/>
        <v>Removed</v>
      </c>
      <c r="S736" s="33">
        <v>45547.0</v>
      </c>
      <c r="T736" s="32">
        <f t="shared" si="5"/>
        <v>15.36666667</v>
      </c>
    </row>
    <row r="737">
      <c r="A737" s="15" t="s">
        <v>1256</v>
      </c>
      <c r="B737" s="16" t="s">
        <v>27</v>
      </c>
      <c r="C737" s="16"/>
      <c r="D737" s="17" t="str">
        <f t="shared" si="1"/>
        <v>Removed</v>
      </c>
      <c r="E737" s="18">
        <v>45042.0</v>
      </c>
      <c r="F737" s="52">
        <v>45808.0</v>
      </c>
      <c r="G737" s="20">
        <f t="shared" si="2"/>
        <v>25.13333333</v>
      </c>
      <c r="H737" s="18">
        <v>45042.0</v>
      </c>
      <c r="I737" s="20">
        <f t="shared" si="3"/>
        <v>0</v>
      </c>
      <c r="J737" s="53">
        <v>83.0</v>
      </c>
      <c r="K737" s="53">
        <v>17.0</v>
      </c>
      <c r="L737" s="23" t="s">
        <v>29</v>
      </c>
      <c r="M737" s="23"/>
      <c r="N737" s="23" t="s">
        <v>1257</v>
      </c>
      <c r="O737" s="23" t="s">
        <v>427</v>
      </c>
      <c r="P737" s="54"/>
      <c r="Q737" s="23"/>
      <c r="R737" s="17" t="str">
        <f t="shared" si="4"/>
        <v>Removed</v>
      </c>
      <c r="S737" s="18">
        <v>45547.0</v>
      </c>
      <c r="T737" s="20">
        <f t="shared" si="5"/>
        <v>16.53333333</v>
      </c>
    </row>
    <row r="738">
      <c r="A738" s="91" t="s">
        <v>1258</v>
      </c>
      <c r="B738" s="28" t="s">
        <v>27</v>
      </c>
      <c r="C738" s="28" t="s">
        <v>28</v>
      </c>
      <c r="D738" s="29" t="str">
        <f t="shared" si="1"/>
        <v>Removed</v>
      </c>
      <c r="E738" s="74">
        <v>45435.0</v>
      </c>
      <c r="F738" s="31">
        <v>45792.0</v>
      </c>
      <c r="G738" s="32">
        <f t="shared" si="2"/>
        <v>11.73333333</v>
      </c>
      <c r="H738" s="128">
        <v>45435.0</v>
      </c>
      <c r="I738" s="32">
        <f t="shared" si="3"/>
        <v>0</v>
      </c>
      <c r="J738" s="48">
        <v>69.0</v>
      </c>
      <c r="K738" s="48">
        <v>8.0</v>
      </c>
      <c r="L738" s="35" t="s">
        <v>37</v>
      </c>
      <c r="M738" s="35"/>
      <c r="N738" s="85"/>
      <c r="O738" s="96" t="s">
        <v>427</v>
      </c>
      <c r="P738" s="85"/>
      <c r="Q738" s="85"/>
      <c r="R738" s="29" t="str">
        <f t="shared" si="4"/>
        <v>Removed</v>
      </c>
      <c r="S738" s="33">
        <v>45630.0</v>
      </c>
      <c r="T738" s="32">
        <f t="shared" si="5"/>
        <v>6.366666667</v>
      </c>
    </row>
    <row r="739">
      <c r="A739" s="15" t="s">
        <v>1259</v>
      </c>
      <c r="B739" s="16" t="s">
        <v>27</v>
      </c>
      <c r="C739" s="16" t="s">
        <v>28</v>
      </c>
      <c r="D739" s="17" t="str">
        <f t="shared" si="1"/>
        <v>Removed</v>
      </c>
      <c r="E739" s="75">
        <v>45427.0</v>
      </c>
      <c r="F739" s="52">
        <v>45792.0</v>
      </c>
      <c r="G739" s="20">
        <f t="shared" si="2"/>
        <v>12</v>
      </c>
      <c r="H739" s="45">
        <v>45174.0</v>
      </c>
      <c r="I739" s="20">
        <f t="shared" si="3"/>
        <v>0.6944444444</v>
      </c>
      <c r="J739" s="46">
        <v>85.0</v>
      </c>
      <c r="K739" s="46">
        <v>9.0</v>
      </c>
      <c r="L739" s="43" t="s">
        <v>562</v>
      </c>
      <c r="M739" s="43"/>
      <c r="N739" s="50"/>
      <c r="O739" s="50" t="s">
        <v>427</v>
      </c>
      <c r="P739" s="25"/>
      <c r="Q739" s="24"/>
      <c r="R739" s="17" t="str">
        <f t="shared" si="4"/>
        <v>Removed</v>
      </c>
      <c r="S739" s="18">
        <v>45547.0</v>
      </c>
      <c r="T739" s="20">
        <f t="shared" si="5"/>
        <v>3.9</v>
      </c>
    </row>
    <row r="740">
      <c r="A740" s="27" t="s">
        <v>1260</v>
      </c>
      <c r="B740" s="28" t="s">
        <v>27</v>
      </c>
      <c r="C740" s="28" t="s">
        <v>28</v>
      </c>
      <c r="D740" s="29" t="str">
        <f t="shared" si="1"/>
        <v>Removed</v>
      </c>
      <c r="E740" s="30">
        <v>45426.0</v>
      </c>
      <c r="F740" s="31">
        <v>45792.0</v>
      </c>
      <c r="G740" s="32">
        <f t="shared" si="2"/>
        <v>12.03333333</v>
      </c>
      <c r="H740" s="33">
        <v>41493.0</v>
      </c>
      <c r="I740" s="32">
        <f t="shared" si="3"/>
        <v>10.76944444</v>
      </c>
      <c r="J740" s="69">
        <v>81.0</v>
      </c>
      <c r="K740" s="34">
        <v>3.0</v>
      </c>
      <c r="L740" s="44" t="s">
        <v>562</v>
      </c>
      <c r="M740" s="44"/>
      <c r="N740" s="35" t="s">
        <v>1261</v>
      </c>
      <c r="O740" s="35" t="s">
        <v>125</v>
      </c>
      <c r="P740" s="36" t="s">
        <v>1176</v>
      </c>
      <c r="Q740" s="44"/>
      <c r="R740" s="29" t="str">
        <f t="shared" si="4"/>
        <v>Removed</v>
      </c>
      <c r="S740" s="33">
        <v>45547.0</v>
      </c>
      <c r="T740" s="32">
        <f t="shared" si="5"/>
        <v>3.933333333</v>
      </c>
    </row>
    <row r="741">
      <c r="A741" s="15" t="s">
        <v>1262</v>
      </c>
      <c r="B741" s="16" t="s">
        <v>27</v>
      </c>
      <c r="C741" s="16" t="s">
        <v>28</v>
      </c>
      <c r="D741" s="17" t="str">
        <f t="shared" si="1"/>
        <v>Removed</v>
      </c>
      <c r="E741" s="18">
        <v>45078.0</v>
      </c>
      <c r="F741" s="52">
        <v>45792.0</v>
      </c>
      <c r="G741" s="20">
        <f t="shared" si="2"/>
        <v>23.46666667</v>
      </c>
      <c r="H741" s="18">
        <v>44439.0</v>
      </c>
      <c r="I741" s="20">
        <f t="shared" si="3"/>
        <v>1.752777778</v>
      </c>
      <c r="J741" s="53">
        <v>77.0</v>
      </c>
      <c r="K741" s="53">
        <v>4.0</v>
      </c>
      <c r="L741" s="23" t="s">
        <v>362</v>
      </c>
      <c r="M741" s="43"/>
      <c r="N741" s="23"/>
      <c r="O741" s="23" t="s">
        <v>125</v>
      </c>
      <c r="P741" s="54" t="s">
        <v>1263</v>
      </c>
      <c r="Q741" s="43"/>
      <c r="R741" s="17" t="str">
        <f t="shared" si="4"/>
        <v>Removed</v>
      </c>
      <c r="S741" s="18">
        <v>45547.0</v>
      </c>
      <c r="T741" s="20">
        <f t="shared" si="5"/>
        <v>15.36666667</v>
      </c>
    </row>
    <row r="742">
      <c r="A742" s="27" t="s">
        <v>1264</v>
      </c>
      <c r="B742" s="28" t="s">
        <v>27</v>
      </c>
      <c r="C742" s="28" t="s">
        <v>28</v>
      </c>
      <c r="D742" s="29" t="str">
        <f t="shared" si="1"/>
        <v>Removed</v>
      </c>
      <c r="E742" s="33">
        <v>44882.0</v>
      </c>
      <c r="F742" s="31">
        <v>45792.0</v>
      </c>
      <c r="G742" s="32">
        <f t="shared" si="2"/>
        <v>29.93333333</v>
      </c>
      <c r="H742" s="33">
        <v>44677.0</v>
      </c>
      <c r="I742" s="32">
        <f t="shared" si="3"/>
        <v>0.5583333333</v>
      </c>
      <c r="J742" s="34">
        <v>72.0</v>
      </c>
      <c r="K742" s="34">
        <v>7.0</v>
      </c>
      <c r="L742" s="35" t="s">
        <v>119</v>
      </c>
      <c r="M742" s="35"/>
      <c r="N742" s="35" t="s">
        <v>1265</v>
      </c>
      <c r="O742" s="35" t="s">
        <v>125</v>
      </c>
      <c r="P742" s="36" t="s">
        <v>1266</v>
      </c>
      <c r="Q742" s="35"/>
      <c r="R742" s="29" t="str">
        <f t="shared" si="4"/>
        <v>Removed</v>
      </c>
      <c r="S742" s="33">
        <v>45547.0</v>
      </c>
      <c r="T742" s="32">
        <f t="shared" si="5"/>
        <v>21.83333333</v>
      </c>
    </row>
    <row r="743">
      <c r="A743" s="15" t="s">
        <v>1267</v>
      </c>
      <c r="B743" s="16" t="s">
        <v>27</v>
      </c>
      <c r="C743" s="16" t="s">
        <v>28</v>
      </c>
      <c r="D743" s="17" t="str">
        <f t="shared" si="1"/>
        <v>Removed</v>
      </c>
      <c r="E743" s="62">
        <v>45399.0</v>
      </c>
      <c r="F743" s="52">
        <v>45762.0</v>
      </c>
      <c r="G743" s="20">
        <f t="shared" si="2"/>
        <v>11.93333333</v>
      </c>
      <c r="H743" s="18">
        <v>44400.0</v>
      </c>
      <c r="I743" s="20">
        <f t="shared" si="3"/>
        <v>2.733333333</v>
      </c>
      <c r="J743" s="53">
        <v>77.0</v>
      </c>
      <c r="K743" s="53">
        <v>10.0</v>
      </c>
      <c r="L743" s="23" t="s">
        <v>119</v>
      </c>
      <c r="M743" s="23"/>
      <c r="N743" s="23"/>
      <c r="O743" s="23" t="s">
        <v>125</v>
      </c>
      <c r="P743" s="54" t="s">
        <v>368</v>
      </c>
      <c r="Q743" s="23"/>
      <c r="R743" s="17" t="str">
        <f t="shared" si="4"/>
        <v>Removed</v>
      </c>
      <c r="S743" s="18">
        <v>45547.0</v>
      </c>
      <c r="T743" s="20">
        <f t="shared" si="5"/>
        <v>4.833333333</v>
      </c>
    </row>
    <row r="744">
      <c r="A744" s="27" t="s">
        <v>1268</v>
      </c>
      <c r="B744" s="28" t="s">
        <v>27</v>
      </c>
      <c r="C744" s="28" t="s">
        <v>28</v>
      </c>
      <c r="D744" s="29" t="str">
        <f t="shared" si="1"/>
        <v>Removed</v>
      </c>
      <c r="E744" s="30">
        <v>45398.0</v>
      </c>
      <c r="F744" s="31">
        <v>45762.0</v>
      </c>
      <c r="G744" s="32">
        <f t="shared" si="2"/>
        <v>11.96666667</v>
      </c>
      <c r="H744" s="33">
        <v>45398.0</v>
      </c>
      <c r="I744" s="32">
        <f t="shared" si="3"/>
        <v>0</v>
      </c>
      <c r="J744" s="34">
        <v>70.0</v>
      </c>
      <c r="K744" s="34">
        <v>10.0</v>
      </c>
      <c r="L744" s="35" t="s">
        <v>362</v>
      </c>
      <c r="M744" s="35" t="s">
        <v>30</v>
      </c>
      <c r="N744" s="35"/>
      <c r="O744" s="35" t="s">
        <v>427</v>
      </c>
      <c r="P744" s="36"/>
      <c r="Q744" s="35"/>
      <c r="R744" s="29" t="str">
        <f t="shared" si="4"/>
        <v>TBD</v>
      </c>
      <c r="S744" s="33"/>
      <c r="T744" s="32">
        <f t="shared" si="5"/>
        <v>17.96666667</v>
      </c>
    </row>
    <row r="745">
      <c r="A745" s="15" t="s">
        <v>1269</v>
      </c>
      <c r="B745" s="16" t="s">
        <v>27</v>
      </c>
      <c r="C745" s="16" t="s">
        <v>28</v>
      </c>
      <c r="D745" s="17" t="str">
        <f t="shared" si="1"/>
        <v>Removed</v>
      </c>
      <c r="E745" s="18">
        <v>45391.0</v>
      </c>
      <c r="F745" s="52">
        <v>45762.0</v>
      </c>
      <c r="G745" s="20">
        <f t="shared" si="2"/>
        <v>12.2</v>
      </c>
      <c r="H745" s="18">
        <v>45391.0</v>
      </c>
      <c r="I745" s="20">
        <f t="shared" si="3"/>
        <v>0</v>
      </c>
      <c r="J745" s="53">
        <v>84.0</v>
      </c>
      <c r="K745" s="53">
        <v>3.0</v>
      </c>
      <c r="L745" s="23" t="s">
        <v>362</v>
      </c>
      <c r="M745" s="23" t="s">
        <v>30</v>
      </c>
      <c r="N745" s="23"/>
      <c r="O745" s="23" t="s">
        <v>427</v>
      </c>
      <c r="P745" s="54"/>
      <c r="Q745" s="23"/>
      <c r="R745" s="17" t="str">
        <f t="shared" si="4"/>
        <v>Removed</v>
      </c>
      <c r="S745" s="18">
        <v>45600.0</v>
      </c>
      <c r="T745" s="20">
        <f t="shared" si="5"/>
        <v>6.833333333</v>
      </c>
    </row>
    <row r="746">
      <c r="A746" s="67" t="s">
        <v>1270</v>
      </c>
      <c r="B746" s="28" t="s">
        <v>68</v>
      </c>
      <c r="C746" s="28" t="s">
        <v>28</v>
      </c>
      <c r="D746" s="29" t="str">
        <f t="shared" si="1"/>
        <v>Removed</v>
      </c>
      <c r="E746" s="30">
        <v>45391.0</v>
      </c>
      <c r="F746" s="31">
        <v>45762.0</v>
      </c>
      <c r="G746" s="32">
        <f t="shared" si="2"/>
        <v>12.2</v>
      </c>
      <c r="H746" s="33">
        <v>42439.0</v>
      </c>
      <c r="I746" s="32">
        <f t="shared" si="3"/>
        <v>8.080555556</v>
      </c>
      <c r="J746" s="69">
        <v>71.0</v>
      </c>
      <c r="K746" s="34">
        <v>5.5</v>
      </c>
      <c r="L746" s="35" t="s">
        <v>362</v>
      </c>
      <c r="M746" s="35"/>
      <c r="N746" s="35" t="s">
        <v>1271</v>
      </c>
      <c r="O746" s="35" t="s">
        <v>125</v>
      </c>
      <c r="P746" s="36" t="s">
        <v>1272</v>
      </c>
      <c r="Q746" s="35"/>
      <c r="R746" s="29" t="str">
        <f t="shared" si="4"/>
        <v>Removed</v>
      </c>
      <c r="S746" s="33">
        <v>45547.0</v>
      </c>
      <c r="T746" s="32">
        <f t="shared" si="5"/>
        <v>5.1</v>
      </c>
    </row>
    <row r="747">
      <c r="A747" s="15" t="s">
        <v>1273</v>
      </c>
      <c r="B747" s="16" t="s">
        <v>27</v>
      </c>
      <c r="C747" s="16" t="s">
        <v>28</v>
      </c>
      <c r="D747" s="17" t="str">
        <f t="shared" si="1"/>
        <v>Removed</v>
      </c>
      <c r="E747" s="18">
        <v>45037.0</v>
      </c>
      <c r="F747" s="52">
        <v>45762.0</v>
      </c>
      <c r="G747" s="20">
        <f t="shared" si="2"/>
        <v>23.8</v>
      </c>
      <c r="H747" s="18">
        <v>45037.0</v>
      </c>
      <c r="I747" s="20">
        <f t="shared" si="3"/>
        <v>0</v>
      </c>
      <c r="J747" s="53">
        <v>59.0</v>
      </c>
      <c r="K747" s="53">
        <v>13.0</v>
      </c>
      <c r="L747" s="23" t="s">
        <v>48</v>
      </c>
      <c r="M747" s="23" t="s">
        <v>30</v>
      </c>
      <c r="N747" s="23"/>
      <c r="O747" s="23" t="s">
        <v>334</v>
      </c>
      <c r="P747" s="54" t="s">
        <v>483</v>
      </c>
      <c r="Q747" s="23"/>
      <c r="R747" s="17" t="str">
        <f t="shared" si="4"/>
        <v>Removed</v>
      </c>
      <c r="S747" s="18">
        <v>45547.0</v>
      </c>
      <c r="T747" s="20">
        <f t="shared" si="5"/>
        <v>16.7</v>
      </c>
    </row>
    <row r="748">
      <c r="A748" s="27" t="s">
        <v>1274</v>
      </c>
      <c r="B748" s="28" t="s">
        <v>27</v>
      </c>
      <c r="C748" s="28" t="s">
        <v>28</v>
      </c>
      <c r="D748" s="29" t="str">
        <f t="shared" si="1"/>
        <v>Removed</v>
      </c>
      <c r="E748" s="33">
        <v>44845.0</v>
      </c>
      <c r="F748" s="31">
        <v>45762.0</v>
      </c>
      <c r="G748" s="32">
        <f t="shared" si="2"/>
        <v>30.13333333</v>
      </c>
      <c r="H748" s="33">
        <v>44845.0</v>
      </c>
      <c r="I748" s="32">
        <f t="shared" si="3"/>
        <v>0</v>
      </c>
      <c r="J748" s="34"/>
      <c r="K748" s="34">
        <v>23.0</v>
      </c>
      <c r="L748" s="35" t="s">
        <v>524</v>
      </c>
      <c r="M748" s="35" t="s">
        <v>30</v>
      </c>
      <c r="N748" s="35" t="s">
        <v>1275</v>
      </c>
      <c r="O748" s="35" t="s">
        <v>334</v>
      </c>
      <c r="P748" s="36" t="s">
        <v>1276</v>
      </c>
      <c r="Q748" s="35"/>
      <c r="R748" s="29" t="str">
        <f t="shared" si="4"/>
        <v>Removed</v>
      </c>
      <c r="S748" s="33">
        <v>45547.0</v>
      </c>
      <c r="T748" s="32">
        <f t="shared" si="5"/>
        <v>23.03333333</v>
      </c>
    </row>
    <row r="749">
      <c r="A749" s="15" t="s">
        <v>1277</v>
      </c>
      <c r="B749" s="16" t="s">
        <v>27</v>
      </c>
      <c r="C749" s="16" t="s">
        <v>121</v>
      </c>
      <c r="D749" s="17" t="str">
        <f t="shared" si="1"/>
        <v>Removed</v>
      </c>
      <c r="E749" s="18">
        <v>44777.0</v>
      </c>
      <c r="F749" s="52">
        <v>45762.0</v>
      </c>
      <c r="G749" s="20">
        <f t="shared" si="2"/>
        <v>32.36666667</v>
      </c>
      <c r="H749" s="18">
        <v>44777.0</v>
      </c>
      <c r="I749" s="20">
        <f t="shared" si="3"/>
        <v>0</v>
      </c>
      <c r="J749" s="53"/>
      <c r="K749" s="53"/>
      <c r="L749" s="23" t="s">
        <v>500</v>
      </c>
      <c r="M749" s="23" t="s">
        <v>30</v>
      </c>
      <c r="N749" s="23"/>
      <c r="O749" s="23" t="s">
        <v>132</v>
      </c>
      <c r="P749" s="54"/>
      <c r="Q749" s="23"/>
      <c r="R749" s="17" t="str">
        <f t="shared" si="4"/>
        <v>Removed</v>
      </c>
      <c r="S749" s="18">
        <v>45547.0</v>
      </c>
      <c r="T749" s="20">
        <f t="shared" si="5"/>
        <v>25.26666667</v>
      </c>
    </row>
    <row r="750">
      <c r="A750" s="27" t="s">
        <v>1278</v>
      </c>
      <c r="B750" s="28" t="s">
        <v>27</v>
      </c>
      <c r="C750" s="28" t="s">
        <v>28</v>
      </c>
      <c r="D750" s="29" t="str">
        <f t="shared" si="1"/>
        <v>Removed</v>
      </c>
      <c r="E750" s="33">
        <v>45386.0</v>
      </c>
      <c r="F750" s="31">
        <v>45747.0</v>
      </c>
      <c r="G750" s="32">
        <f t="shared" si="2"/>
        <v>11.86666667</v>
      </c>
      <c r="H750" s="33">
        <v>44665.0</v>
      </c>
      <c r="I750" s="32">
        <f t="shared" si="3"/>
        <v>1.972222222</v>
      </c>
      <c r="J750" s="34">
        <v>84.0</v>
      </c>
      <c r="K750" s="34">
        <v>3.0</v>
      </c>
      <c r="L750" s="35" t="s">
        <v>366</v>
      </c>
      <c r="M750" s="35"/>
      <c r="N750" s="35"/>
      <c r="O750" s="35" t="s">
        <v>427</v>
      </c>
      <c r="P750" s="36"/>
      <c r="Q750" s="35"/>
      <c r="R750" s="29" t="str">
        <f t="shared" si="4"/>
        <v>Removed</v>
      </c>
      <c r="S750" s="33">
        <v>45547.0</v>
      </c>
      <c r="T750" s="32">
        <f t="shared" si="5"/>
        <v>5.266666667</v>
      </c>
    </row>
    <row r="751">
      <c r="A751" s="15" t="s">
        <v>1279</v>
      </c>
      <c r="B751" s="16" t="s">
        <v>27</v>
      </c>
      <c r="C751" s="16" t="s">
        <v>28</v>
      </c>
      <c r="D751" s="17" t="str">
        <f t="shared" si="1"/>
        <v>Removed</v>
      </c>
      <c r="E751" s="62">
        <v>45379.0</v>
      </c>
      <c r="F751" s="52">
        <v>45747.0</v>
      </c>
      <c r="G751" s="20">
        <f t="shared" si="2"/>
        <v>12.06666667</v>
      </c>
      <c r="H751" s="18">
        <v>45218.0</v>
      </c>
      <c r="I751" s="20">
        <f t="shared" si="3"/>
        <v>0.4416666667</v>
      </c>
      <c r="J751" s="53">
        <v>77.0</v>
      </c>
      <c r="K751" s="53">
        <v>8.0</v>
      </c>
      <c r="L751" s="23" t="s">
        <v>500</v>
      </c>
      <c r="M751" s="23"/>
      <c r="N751" s="23"/>
      <c r="O751" s="23" t="s">
        <v>132</v>
      </c>
      <c r="P751" s="54"/>
      <c r="Q751" s="23"/>
      <c r="R751" s="17" t="str">
        <f t="shared" si="4"/>
        <v>Removed</v>
      </c>
      <c r="S751" s="18">
        <v>45547.0</v>
      </c>
      <c r="T751" s="20">
        <f t="shared" si="5"/>
        <v>5.466666667</v>
      </c>
    </row>
    <row r="752">
      <c r="A752" s="27" t="s">
        <v>1280</v>
      </c>
      <c r="B752" s="28" t="s">
        <v>27</v>
      </c>
      <c r="C752" s="28" t="s">
        <v>28</v>
      </c>
      <c r="D752" s="29" t="str">
        <f t="shared" si="1"/>
        <v>Removed</v>
      </c>
      <c r="E752" s="30">
        <v>45379.0</v>
      </c>
      <c r="F752" s="31">
        <v>45747.0</v>
      </c>
      <c r="G752" s="32">
        <f t="shared" si="2"/>
        <v>12.06666667</v>
      </c>
      <c r="H752" s="33">
        <v>45379.0</v>
      </c>
      <c r="I752" s="32">
        <f t="shared" si="3"/>
        <v>0</v>
      </c>
      <c r="J752" s="34">
        <v>67.0</v>
      </c>
      <c r="K752" s="34">
        <v>3.0</v>
      </c>
      <c r="L752" s="35" t="s">
        <v>362</v>
      </c>
      <c r="M752" s="35"/>
      <c r="N752" s="35"/>
      <c r="O752" s="35" t="s">
        <v>125</v>
      </c>
      <c r="P752" s="36" t="s">
        <v>1281</v>
      </c>
      <c r="Q752" s="35"/>
      <c r="R752" s="29" t="str">
        <f t="shared" si="4"/>
        <v>TBD</v>
      </c>
      <c r="S752" s="33"/>
      <c r="T752" s="32">
        <f t="shared" si="5"/>
        <v>18.56666667</v>
      </c>
    </row>
    <row r="753">
      <c r="A753" s="15" t="s">
        <v>1282</v>
      </c>
      <c r="B753" s="16" t="s">
        <v>68</v>
      </c>
      <c r="C753" s="16" t="s">
        <v>28</v>
      </c>
      <c r="D753" s="17" t="str">
        <f t="shared" si="1"/>
        <v>Removed</v>
      </c>
      <c r="E753" s="18">
        <v>45370.0</v>
      </c>
      <c r="F753" s="52">
        <v>45747.0</v>
      </c>
      <c r="G753" s="20">
        <f t="shared" si="2"/>
        <v>12.36666667</v>
      </c>
      <c r="H753" s="18">
        <v>45370.0</v>
      </c>
      <c r="I753" s="20">
        <f t="shared" si="3"/>
        <v>0</v>
      </c>
      <c r="J753" s="53">
        <v>78.0</v>
      </c>
      <c r="K753" s="53">
        <v>14.0</v>
      </c>
      <c r="L753" s="23" t="s">
        <v>503</v>
      </c>
      <c r="M753" s="23"/>
      <c r="N753" s="23" t="s">
        <v>1283</v>
      </c>
      <c r="O753" s="23" t="s">
        <v>132</v>
      </c>
      <c r="P753" s="54"/>
      <c r="Q753" s="23"/>
      <c r="R753" s="17" t="str">
        <f t="shared" si="4"/>
        <v>TBD</v>
      </c>
      <c r="S753" s="18"/>
      <c r="T753" s="20">
        <f t="shared" si="5"/>
        <v>18.86666667</v>
      </c>
    </row>
    <row r="754">
      <c r="A754" s="27" t="s">
        <v>1284</v>
      </c>
      <c r="B754" s="28" t="s">
        <v>27</v>
      </c>
      <c r="C754" s="28" t="s">
        <v>28</v>
      </c>
      <c r="D754" s="29" t="str">
        <f t="shared" si="1"/>
        <v>Removed</v>
      </c>
      <c r="E754" s="33">
        <v>45202.0</v>
      </c>
      <c r="F754" s="31">
        <v>45747.0</v>
      </c>
      <c r="G754" s="32">
        <f t="shared" si="2"/>
        <v>17.9</v>
      </c>
      <c r="H754" s="33">
        <v>45202.0</v>
      </c>
      <c r="I754" s="32">
        <f t="shared" si="3"/>
        <v>0</v>
      </c>
      <c r="J754" s="34">
        <v>76.0</v>
      </c>
      <c r="K754" s="34">
        <v>26.0</v>
      </c>
      <c r="L754" s="35" t="s">
        <v>567</v>
      </c>
      <c r="M754" s="35" t="s">
        <v>30</v>
      </c>
      <c r="N754" s="35"/>
      <c r="O754" s="35" t="s">
        <v>427</v>
      </c>
      <c r="P754" s="36"/>
      <c r="Q754" s="35"/>
      <c r="R754" s="29" t="str">
        <f t="shared" si="4"/>
        <v>Removed</v>
      </c>
      <c r="S754" s="33">
        <v>45547.0</v>
      </c>
      <c r="T754" s="32">
        <f t="shared" si="5"/>
        <v>11.3</v>
      </c>
    </row>
    <row r="755">
      <c r="A755" s="15" t="s">
        <v>1285</v>
      </c>
      <c r="B755" s="16" t="s">
        <v>27</v>
      </c>
      <c r="C755" s="16" t="s">
        <v>28</v>
      </c>
      <c r="D755" s="17" t="str">
        <f t="shared" si="1"/>
        <v>Removed</v>
      </c>
      <c r="E755" s="18">
        <v>44946.0</v>
      </c>
      <c r="F755" s="52">
        <v>45747.0</v>
      </c>
      <c r="G755" s="20">
        <f t="shared" si="2"/>
        <v>26.33333333</v>
      </c>
      <c r="H755" s="18">
        <v>44281.0</v>
      </c>
      <c r="I755" s="20">
        <f t="shared" si="3"/>
        <v>1.816666667</v>
      </c>
      <c r="J755" s="53">
        <v>86.0</v>
      </c>
      <c r="K755" s="53">
        <v>21.0</v>
      </c>
      <c r="L755" s="23" t="s">
        <v>122</v>
      </c>
      <c r="M755" s="23"/>
      <c r="N755" s="23"/>
      <c r="O755" s="23" t="s">
        <v>125</v>
      </c>
      <c r="P755" s="54" t="s">
        <v>1286</v>
      </c>
      <c r="Q755" s="23"/>
      <c r="R755" s="17" t="str">
        <f t="shared" si="4"/>
        <v>Removed</v>
      </c>
      <c r="S755" s="18">
        <v>45547.0</v>
      </c>
      <c r="T755" s="20">
        <f t="shared" si="5"/>
        <v>19.73333333</v>
      </c>
    </row>
    <row r="756">
      <c r="A756" s="67" t="s">
        <v>1287</v>
      </c>
      <c r="B756" s="28" t="s">
        <v>27</v>
      </c>
      <c r="C756" s="28" t="s">
        <v>121</v>
      </c>
      <c r="D756" s="29" t="str">
        <f t="shared" si="1"/>
        <v>Removed</v>
      </c>
      <c r="E756" s="30">
        <v>44747.0</v>
      </c>
      <c r="F756" s="31">
        <v>45747.0</v>
      </c>
      <c r="G756" s="32">
        <f t="shared" si="2"/>
        <v>32.83333333</v>
      </c>
      <c r="H756" s="33">
        <v>42075.0</v>
      </c>
      <c r="I756" s="32">
        <f t="shared" si="3"/>
        <v>7.313888889</v>
      </c>
      <c r="J756" s="69">
        <v>85.0</v>
      </c>
      <c r="K756" s="34">
        <v>31.0</v>
      </c>
      <c r="L756" s="35" t="s">
        <v>1288</v>
      </c>
      <c r="M756" s="44"/>
      <c r="N756" s="35" t="s">
        <v>1289</v>
      </c>
      <c r="O756" s="35" t="s">
        <v>34</v>
      </c>
      <c r="P756" s="36" t="s">
        <v>1290</v>
      </c>
      <c r="Q756" s="35"/>
      <c r="R756" s="29" t="str">
        <f t="shared" si="4"/>
        <v>Removed</v>
      </c>
      <c r="S756" s="33">
        <v>45547.0</v>
      </c>
      <c r="T756" s="32">
        <f t="shared" si="5"/>
        <v>26.23333333</v>
      </c>
    </row>
    <row r="757">
      <c r="A757" s="15" t="s">
        <v>1291</v>
      </c>
      <c r="B757" s="16" t="s">
        <v>27</v>
      </c>
      <c r="C757" s="16" t="s">
        <v>121</v>
      </c>
      <c r="D757" s="17" t="str">
        <f t="shared" si="1"/>
        <v>Removed</v>
      </c>
      <c r="E757" s="62">
        <v>44747.0</v>
      </c>
      <c r="F757" s="52">
        <v>45747.0</v>
      </c>
      <c r="G757" s="20">
        <f t="shared" si="2"/>
        <v>32.83333333</v>
      </c>
      <c r="H757" s="18">
        <v>42390.0</v>
      </c>
      <c r="I757" s="20">
        <f t="shared" si="3"/>
        <v>6.455555556</v>
      </c>
      <c r="J757" s="65">
        <v>80.0</v>
      </c>
      <c r="K757" s="53">
        <v>18.0</v>
      </c>
      <c r="L757" s="43" t="s">
        <v>1209</v>
      </c>
      <c r="M757" s="43"/>
      <c r="N757" s="23" t="s">
        <v>1292</v>
      </c>
      <c r="O757" s="23" t="s">
        <v>34</v>
      </c>
      <c r="P757" s="54" t="s">
        <v>1293</v>
      </c>
      <c r="Q757" s="43"/>
      <c r="R757" s="17" t="str">
        <f t="shared" si="4"/>
        <v>Removed</v>
      </c>
      <c r="S757" s="18">
        <v>45547.0</v>
      </c>
      <c r="T757" s="20">
        <f t="shared" si="5"/>
        <v>26.23333333</v>
      </c>
    </row>
    <row r="758">
      <c r="A758" s="27" t="s">
        <v>1294</v>
      </c>
      <c r="B758" s="28" t="s">
        <v>27</v>
      </c>
      <c r="C758" s="28" t="s">
        <v>121</v>
      </c>
      <c r="D758" s="29" t="str">
        <f t="shared" si="1"/>
        <v>Removed</v>
      </c>
      <c r="E758" s="30">
        <v>44747.0</v>
      </c>
      <c r="F758" s="31">
        <v>45747.0</v>
      </c>
      <c r="G758" s="32">
        <f t="shared" si="2"/>
        <v>32.83333333</v>
      </c>
      <c r="H758" s="33">
        <v>43076.0</v>
      </c>
      <c r="I758" s="32">
        <f t="shared" si="3"/>
        <v>4.577777778</v>
      </c>
      <c r="J758" s="34">
        <v>82.0</v>
      </c>
      <c r="K758" s="34">
        <v>18.5</v>
      </c>
      <c r="L758" s="35" t="s">
        <v>1209</v>
      </c>
      <c r="M758" s="35"/>
      <c r="N758" s="35" t="s">
        <v>1295</v>
      </c>
      <c r="O758" s="35" t="s">
        <v>34</v>
      </c>
      <c r="P758" s="36" t="s">
        <v>1296</v>
      </c>
      <c r="Q758" s="44"/>
      <c r="R758" s="29" t="str">
        <f t="shared" si="4"/>
        <v>Removed</v>
      </c>
      <c r="S758" s="33">
        <v>45547.0</v>
      </c>
      <c r="T758" s="32">
        <f t="shared" si="5"/>
        <v>26.23333333</v>
      </c>
    </row>
    <row r="759">
      <c r="A759" s="15" t="s">
        <v>1297</v>
      </c>
      <c r="B759" s="16" t="s">
        <v>27</v>
      </c>
      <c r="C759" s="16" t="s">
        <v>121</v>
      </c>
      <c r="D759" s="17" t="str">
        <f t="shared" si="1"/>
        <v>Removed</v>
      </c>
      <c r="E759" s="18">
        <v>44360.0</v>
      </c>
      <c r="F759" s="52">
        <v>45747.0</v>
      </c>
      <c r="G759" s="20">
        <f t="shared" si="2"/>
        <v>45.56666667</v>
      </c>
      <c r="H759" s="18">
        <v>43846.0</v>
      </c>
      <c r="I759" s="20">
        <f t="shared" si="3"/>
        <v>1.408333333</v>
      </c>
      <c r="J759" s="53">
        <f>(83+89)/2</f>
        <v>86</v>
      </c>
      <c r="K759" s="53">
        <v>45.5</v>
      </c>
      <c r="L759" s="23" t="s">
        <v>29</v>
      </c>
      <c r="M759" s="23" t="s">
        <v>123</v>
      </c>
      <c r="N759" s="23"/>
      <c r="O759" s="23" t="s">
        <v>34</v>
      </c>
      <c r="P759" s="54" t="s">
        <v>1298</v>
      </c>
      <c r="Q759" s="23"/>
      <c r="R759" s="17" t="str">
        <f t="shared" si="4"/>
        <v>Removed</v>
      </c>
      <c r="S759" s="18">
        <v>45547.0</v>
      </c>
      <c r="T759" s="20">
        <f t="shared" si="5"/>
        <v>38.96666667</v>
      </c>
    </row>
    <row r="760">
      <c r="A760" s="27" t="s">
        <v>1299</v>
      </c>
      <c r="B760" s="28" t="s">
        <v>27</v>
      </c>
      <c r="C760" s="28" t="s">
        <v>28</v>
      </c>
      <c r="D760" s="29" t="str">
        <f t="shared" si="1"/>
        <v>Removed</v>
      </c>
      <c r="E760" s="30">
        <v>45365.0</v>
      </c>
      <c r="F760" s="31">
        <v>45731.0</v>
      </c>
      <c r="G760" s="32">
        <f t="shared" si="2"/>
        <v>12.03333333</v>
      </c>
      <c r="H760" s="33">
        <v>44435.0</v>
      </c>
      <c r="I760" s="32">
        <f t="shared" si="3"/>
        <v>2.547222222</v>
      </c>
      <c r="J760" s="34">
        <v>75.0</v>
      </c>
      <c r="K760" s="34">
        <v>12.0</v>
      </c>
      <c r="L760" s="35" t="s">
        <v>366</v>
      </c>
      <c r="M760" s="35"/>
      <c r="N760" s="35"/>
      <c r="O760" s="35" t="s">
        <v>34</v>
      </c>
      <c r="P760" s="36" t="s">
        <v>1300</v>
      </c>
      <c r="Q760" s="35"/>
      <c r="R760" s="29" t="str">
        <f t="shared" si="4"/>
        <v>Removed</v>
      </c>
      <c r="S760" s="33">
        <v>45547.0</v>
      </c>
      <c r="T760" s="32">
        <f t="shared" si="5"/>
        <v>5.933333333</v>
      </c>
    </row>
    <row r="761">
      <c r="A761" s="15" t="s">
        <v>1301</v>
      </c>
      <c r="B761" s="16" t="s">
        <v>27</v>
      </c>
      <c r="C761" s="16" t="s">
        <v>28</v>
      </c>
      <c r="D761" s="17" t="str">
        <f t="shared" si="1"/>
        <v>Removed</v>
      </c>
      <c r="E761" s="62">
        <v>45363.0</v>
      </c>
      <c r="F761" s="52">
        <v>45731.0</v>
      </c>
      <c r="G761" s="20">
        <f t="shared" si="2"/>
        <v>12.1</v>
      </c>
      <c r="H761" s="18">
        <v>44005.0</v>
      </c>
      <c r="I761" s="20">
        <f t="shared" si="3"/>
        <v>3.719444444</v>
      </c>
      <c r="J761" s="53">
        <v>68.0</v>
      </c>
      <c r="K761" s="53">
        <v>9.0</v>
      </c>
      <c r="L761" s="23" t="s">
        <v>44</v>
      </c>
      <c r="M761" s="23"/>
      <c r="N761" s="23"/>
      <c r="O761" s="23" t="s">
        <v>334</v>
      </c>
      <c r="P761" s="54" t="s">
        <v>614</v>
      </c>
      <c r="Q761" s="23"/>
      <c r="R761" s="17" t="str">
        <f t="shared" si="4"/>
        <v>Removed</v>
      </c>
      <c r="S761" s="18">
        <v>45547.0</v>
      </c>
      <c r="T761" s="20">
        <f t="shared" si="5"/>
        <v>6</v>
      </c>
    </row>
    <row r="762">
      <c r="A762" s="27" t="s">
        <v>1302</v>
      </c>
      <c r="B762" s="28" t="s">
        <v>27</v>
      </c>
      <c r="C762" s="28" t="s">
        <v>28</v>
      </c>
      <c r="D762" s="29" t="str">
        <f t="shared" si="1"/>
        <v>Removed</v>
      </c>
      <c r="E762" s="33">
        <v>45188.0</v>
      </c>
      <c r="F762" s="31">
        <v>45731.0</v>
      </c>
      <c r="G762" s="32">
        <f t="shared" si="2"/>
        <v>17.86666667</v>
      </c>
      <c r="H762" s="33">
        <v>45188.0</v>
      </c>
      <c r="I762" s="32">
        <f t="shared" si="3"/>
        <v>0</v>
      </c>
      <c r="J762" s="34">
        <v>81.0</v>
      </c>
      <c r="K762" s="34">
        <v>18.0</v>
      </c>
      <c r="L762" s="35" t="s">
        <v>1303</v>
      </c>
      <c r="M762" s="35"/>
      <c r="N762" s="35"/>
      <c r="O762" s="35" t="s">
        <v>427</v>
      </c>
      <c r="P762" s="36"/>
      <c r="Q762" s="35"/>
      <c r="R762" s="29" t="str">
        <f t="shared" si="4"/>
        <v>Removed</v>
      </c>
      <c r="S762" s="33">
        <v>45547.0</v>
      </c>
      <c r="T762" s="32">
        <f t="shared" si="5"/>
        <v>11.76666667</v>
      </c>
    </row>
    <row r="763">
      <c r="A763" s="15" t="s">
        <v>1304</v>
      </c>
      <c r="B763" s="16" t="s">
        <v>27</v>
      </c>
      <c r="C763" s="16" t="s">
        <v>28</v>
      </c>
      <c r="D763" s="17" t="str">
        <f t="shared" si="1"/>
        <v>Removed</v>
      </c>
      <c r="E763" s="18">
        <v>45183.0</v>
      </c>
      <c r="F763" s="52">
        <v>45731.0</v>
      </c>
      <c r="G763" s="20">
        <f t="shared" si="2"/>
        <v>18.03333333</v>
      </c>
      <c r="H763" s="18">
        <v>44532.0</v>
      </c>
      <c r="I763" s="20">
        <f t="shared" si="3"/>
        <v>1.783333333</v>
      </c>
      <c r="J763" s="53">
        <v>78.0</v>
      </c>
      <c r="K763" s="53">
        <v>6.0</v>
      </c>
      <c r="L763" s="23" t="s">
        <v>366</v>
      </c>
      <c r="M763" s="23"/>
      <c r="N763" s="23"/>
      <c r="O763" s="23" t="s">
        <v>125</v>
      </c>
      <c r="P763" s="54" t="s">
        <v>1305</v>
      </c>
      <c r="Q763" s="23"/>
      <c r="R763" s="17" t="str">
        <f t="shared" si="4"/>
        <v>Removed</v>
      </c>
      <c r="S763" s="18">
        <v>45547.0</v>
      </c>
      <c r="T763" s="20">
        <f t="shared" si="5"/>
        <v>11.93333333</v>
      </c>
    </row>
    <row r="764">
      <c r="A764" s="27" t="s">
        <v>1306</v>
      </c>
      <c r="B764" s="28" t="s">
        <v>27</v>
      </c>
      <c r="C764" s="28" t="s">
        <v>121</v>
      </c>
      <c r="D764" s="29" t="str">
        <f t="shared" si="1"/>
        <v>Removed</v>
      </c>
      <c r="E764" s="33">
        <v>44280.0</v>
      </c>
      <c r="F764" s="31">
        <v>45731.0</v>
      </c>
      <c r="G764" s="32">
        <f t="shared" si="2"/>
        <v>47.66666667</v>
      </c>
      <c r="H764" s="33">
        <v>42712.0</v>
      </c>
      <c r="I764" s="32">
        <f t="shared" si="3"/>
        <v>4.297222222</v>
      </c>
      <c r="J764" s="34">
        <v>83.0</v>
      </c>
      <c r="K764" s="34">
        <v>19.0</v>
      </c>
      <c r="L764" s="35" t="s">
        <v>1307</v>
      </c>
      <c r="M764" s="35" t="s">
        <v>451</v>
      </c>
      <c r="N764" s="35"/>
      <c r="O764" s="35" t="s">
        <v>34</v>
      </c>
      <c r="P764" s="36" t="s">
        <v>1308</v>
      </c>
      <c r="Q764" s="35"/>
      <c r="R764" s="29" t="str">
        <f t="shared" si="4"/>
        <v>Removed</v>
      </c>
      <c r="S764" s="33">
        <v>45547.0</v>
      </c>
      <c r="T764" s="32">
        <f t="shared" si="5"/>
        <v>41.56666667</v>
      </c>
    </row>
    <row r="765">
      <c r="A765" s="15" t="s">
        <v>1309</v>
      </c>
      <c r="B765" s="16" t="s">
        <v>27</v>
      </c>
      <c r="C765" s="16" t="s">
        <v>121</v>
      </c>
      <c r="D765" s="17" t="str">
        <f t="shared" si="1"/>
        <v>Removed</v>
      </c>
      <c r="E765" s="18">
        <v>44224.0</v>
      </c>
      <c r="F765" s="52">
        <v>45731.0</v>
      </c>
      <c r="G765" s="20">
        <f t="shared" si="2"/>
        <v>49.56666667</v>
      </c>
      <c r="H765" s="18">
        <v>43872.0</v>
      </c>
      <c r="I765" s="20">
        <f t="shared" si="3"/>
        <v>0.9638888889</v>
      </c>
      <c r="J765" s="53">
        <v>82.0</v>
      </c>
      <c r="K765" s="53">
        <v>38.5</v>
      </c>
      <c r="L765" s="23" t="s">
        <v>1307</v>
      </c>
      <c r="M765" s="23"/>
      <c r="N765" s="23"/>
      <c r="O765" s="23" t="s">
        <v>34</v>
      </c>
      <c r="P765" s="54" t="s">
        <v>1293</v>
      </c>
      <c r="Q765" s="23"/>
      <c r="R765" s="17" t="str">
        <f t="shared" si="4"/>
        <v>Removed</v>
      </c>
      <c r="S765" s="18">
        <v>45547.0</v>
      </c>
      <c r="T765" s="20">
        <f t="shared" si="5"/>
        <v>43.46666667</v>
      </c>
    </row>
    <row r="766">
      <c r="A766" s="27" t="s">
        <v>1310</v>
      </c>
      <c r="B766" s="28" t="s">
        <v>27</v>
      </c>
      <c r="C766" s="28" t="s">
        <v>28</v>
      </c>
      <c r="D766" s="29" t="str">
        <f t="shared" si="1"/>
        <v>Removed</v>
      </c>
      <c r="E766" s="30">
        <v>45356.0</v>
      </c>
      <c r="F766" s="31">
        <v>45716.0</v>
      </c>
      <c r="G766" s="32">
        <f t="shared" si="2"/>
        <v>11.76666667</v>
      </c>
      <c r="H766" s="33">
        <v>45069.0</v>
      </c>
      <c r="I766" s="32">
        <f t="shared" si="3"/>
        <v>0.7833333333</v>
      </c>
      <c r="J766" s="34">
        <v>75.0</v>
      </c>
      <c r="K766" s="34">
        <v>10.0</v>
      </c>
      <c r="L766" s="35" t="s">
        <v>32</v>
      </c>
      <c r="M766" s="35"/>
      <c r="N766" s="35"/>
      <c r="O766" s="35" t="s">
        <v>34</v>
      </c>
      <c r="P766" s="36" t="s">
        <v>368</v>
      </c>
      <c r="Q766" s="35"/>
      <c r="R766" s="29" t="str">
        <f t="shared" si="4"/>
        <v>Removed</v>
      </c>
      <c r="S766" s="33">
        <v>45547.0</v>
      </c>
      <c r="T766" s="32">
        <f t="shared" si="5"/>
        <v>6.233333333</v>
      </c>
    </row>
    <row r="767">
      <c r="A767" s="15" t="s">
        <v>1311</v>
      </c>
      <c r="B767" s="16" t="s">
        <v>27</v>
      </c>
      <c r="C767" s="16" t="s">
        <v>28</v>
      </c>
      <c r="D767" s="17" t="str">
        <f t="shared" si="1"/>
        <v>Removed</v>
      </c>
      <c r="E767" s="62">
        <v>45351.0</v>
      </c>
      <c r="F767" s="52">
        <v>45716.0</v>
      </c>
      <c r="G767" s="20">
        <f t="shared" si="2"/>
        <v>11.96666667</v>
      </c>
      <c r="H767" s="18">
        <v>43936.0</v>
      </c>
      <c r="I767" s="20">
        <f t="shared" si="3"/>
        <v>3.872222222</v>
      </c>
      <c r="J767" s="53">
        <v>68.0</v>
      </c>
      <c r="K767" s="53">
        <v>20.0</v>
      </c>
      <c r="L767" s="23" t="s">
        <v>48</v>
      </c>
      <c r="M767" s="23"/>
      <c r="N767" s="23"/>
      <c r="O767" s="23" t="s">
        <v>125</v>
      </c>
      <c r="P767" s="54" t="s">
        <v>1312</v>
      </c>
      <c r="Q767" s="23"/>
      <c r="R767" s="17" t="str">
        <f t="shared" si="4"/>
        <v>Removed</v>
      </c>
      <c r="S767" s="18">
        <v>45547.0</v>
      </c>
      <c r="T767" s="20">
        <f t="shared" si="5"/>
        <v>6.433333333</v>
      </c>
    </row>
    <row r="768">
      <c r="A768" s="27" t="s">
        <v>1313</v>
      </c>
      <c r="B768" s="28" t="s">
        <v>27</v>
      </c>
      <c r="C768" s="28" t="s">
        <v>28</v>
      </c>
      <c r="D768" s="29" t="str">
        <f t="shared" si="1"/>
        <v>Removed</v>
      </c>
      <c r="E768" s="33">
        <v>45349.0</v>
      </c>
      <c r="F768" s="31">
        <v>45716.0</v>
      </c>
      <c r="G768" s="32">
        <f t="shared" si="2"/>
        <v>12.03333333</v>
      </c>
      <c r="H768" s="33">
        <v>43973.0</v>
      </c>
      <c r="I768" s="32">
        <f t="shared" si="3"/>
        <v>3.763888889</v>
      </c>
      <c r="J768" s="34">
        <f>(70+71)/2</f>
        <v>70.5</v>
      </c>
      <c r="K768" s="34">
        <v>8.0</v>
      </c>
      <c r="L768" s="35" t="s">
        <v>122</v>
      </c>
      <c r="M768" s="35" t="s">
        <v>123</v>
      </c>
      <c r="N768" s="35" t="s">
        <v>1314</v>
      </c>
      <c r="O768" s="35" t="s">
        <v>34</v>
      </c>
      <c r="P768" s="36" t="s">
        <v>1315</v>
      </c>
      <c r="Q768" s="35"/>
      <c r="R768" s="29" t="str">
        <f t="shared" si="4"/>
        <v>Removed</v>
      </c>
      <c r="S768" s="33">
        <v>45547.0</v>
      </c>
      <c r="T768" s="32">
        <f t="shared" si="5"/>
        <v>6.5</v>
      </c>
    </row>
    <row r="769">
      <c r="A769" s="15" t="s">
        <v>1316</v>
      </c>
      <c r="B769" s="16" t="s">
        <v>27</v>
      </c>
      <c r="C769" s="16" t="s">
        <v>28</v>
      </c>
      <c r="D769" s="17" t="str">
        <f t="shared" si="1"/>
        <v>Removed</v>
      </c>
      <c r="E769" s="62">
        <v>45174.0</v>
      </c>
      <c r="F769" s="52">
        <v>45716.0</v>
      </c>
      <c r="G769" s="20">
        <f t="shared" si="2"/>
        <v>17.76666667</v>
      </c>
      <c r="H769" s="18">
        <v>43465.0</v>
      </c>
      <c r="I769" s="20">
        <f t="shared" si="3"/>
        <v>4.680555556</v>
      </c>
      <c r="J769" s="53">
        <v>84.0</v>
      </c>
      <c r="K769" s="53">
        <v>3.5</v>
      </c>
      <c r="L769" s="23" t="s">
        <v>549</v>
      </c>
      <c r="M769" s="23"/>
      <c r="N769" s="23" t="s">
        <v>1317</v>
      </c>
      <c r="O769" s="23" t="s">
        <v>132</v>
      </c>
      <c r="P769" s="54"/>
      <c r="Q769" s="23"/>
      <c r="R769" s="17" t="str">
        <f t="shared" si="4"/>
        <v>Removed</v>
      </c>
      <c r="S769" s="18">
        <v>45547.0</v>
      </c>
      <c r="T769" s="20">
        <f t="shared" si="5"/>
        <v>12.23333333</v>
      </c>
    </row>
    <row r="770">
      <c r="A770" s="27" t="s">
        <v>1318</v>
      </c>
      <c r="B770" s="28" t="s">
        <v>27</v>
      </c>
      <c r="C770" s="28" t="s">
        <v>28</v>
      </c>
      <c r="D770" s="29" t="str">
        <f t="shared" si="1"/>
        <v>Removed</v>
      </c>
      <c r="E770" s="33">
        <v>44988.0</v>
      </c>
      <c r="F770" s="31">
        <v>45716.0</v>
      </c>
      <c r="G770" s="32">
        <f t="shared" si="2"/>
        <v>23.83333333</v>
      </c>
      <c r="H770" s="33">
        <v>44988.0</v>
      </c>
      <c r="I770" s="32">
        <f t="shared" si="3"/>
        <v>0</v>
      </c>
      <c r="J770" s="34">
        <v>80.0</v>
      </c>
      <c r="K770" s="34">
        <v>29.0</v>
      </c>
      <c r="L770" s="35" t="s">
        <v>366</v>
      </c>
      <c r="M770" s="35"/>
      <c r="N770" s="35"/>
      <c r="O770" s="35" t="s">
        <v>34</v>
      </c>
      <c r="P770" s="36" t="s">
        <v>368</v>
      </c>
      <c r="Q770" s="35"/>
      <c r="R770" s="29" t="str">
        <f t="shared" si="4"/>
        <v>Removed</v>
      </c>
      <c r="S770" s="33">
        <v>45547.0</v>
      </c>
      <c r="T770" s="32">
        <f t="shared" si="5"/>
        <v>18.3</v>
      </c>
    </row>
    <row r="771">
      <c r="A771" s="15" t="s">
        <v>1319</v>
      </c>
      <c r="B771" s="16" t="s">
        <v>27</v>
      </c>
      <c r="C771" s="16" t="s">
        <v>121</v>
      </c>
      <c r="D771" s="17" t="str">
        <f t="shared" si="1"/>
        <v>Removed</v>
      </c>
      <c r="E771" s="18">
        <v>44224.0</v>
      </c>
      <c r="F771" s="52">
        <v>45716.0</v>
      </c>
      <c r="G771" s="20">
        <f t="shared" si="2"/>
        <v>49</v>
      </c>
      <c r="H771" s="18">
        <v>43697.0</v>
      </c>
      <c r="I771" s="20">
        <f t="shared" si="3"/>
        <v>1.438888889</v>
      </c>
      <c r="J771" s="53">
        <v>77.0</v>
      </c>
      <c r="K771" s="53">
        <v>17.5</v>
      </c>
      <c r="L771" s="23" t="s">
        <v>1307</v>
      </c>
      <c r="M771" s="23"/>
      <c r="N771" s="23"/>
      <c r="O771" s="23" t="s">
        <v>34</v>
      </c>
      <c r="P771" s="54" t="s">
        <v>1320</v>
      </c>
      <c r="Q771" s="23"/>
      <c r="R771" s="17" t="str">
        <f t="shared" si="4"/>
        <v>Removed</v>
      </c>
      <c r="S771" s="18">
        <v>45547.0</v>
      </c>
      <c r="T771" s="20">
        <f t="shared" si="5"/>
        <v>43.46666667</v>
      </c>
    </row>
    <row r="772">
      <c r="A772" s="27" t="s">
        <v>1321</v>
      </c>
      <c r="B772" s="28" t="s">
        <v>27</v>
      </c>
      <c r="C772" s="28" t="s">
        <v>121</v>
      </c>
      <c r="D772" s="29" t="str">
        <f t="shared" si="1"/>
        <v>Removed</v>
      </c>
      <c r="E772" s="33">
        <v>44224.0</v>
      </c>
      <c r="F772" s="31">
        <v>45716.0</v>
      </c>
      <c r="G772" s="32">
        <f t="shared" si="2"/>
        <v>49</v>
      </c>
      <c r="H772" s="33">
        <v>43767.0</v>
      </c>
      <c r="I772" s="32">
        <f t="shared" si="3"/>
        <v>1.247222222</v>
      </c>
      <c r="J772" s="34">
        <v>78.0</v>
      </c>
      <c r="K772" s="34">
        <v>22.5</v>
      </c>
      <c r="L772" s="35" t="s">
        <v>1307</v>
      </c>
      <c r="M772" s="35"/>
      <c r="N772" s="35"/>
      <c r="O772" s="35" t="s">
        <v>34</v>
      </c>
      <c r="P772" s="36" t="s">
        <v>1320</v>
      </c>
      <c r="Q772" s="35"/>
      <c r="R772" s="29" t="str">
        <f t="shared" si="4"/>
        <v>Removed</v>
      </c>
      <c r="S772" s="33">
        <v>45547.0</v>
      </c>
      <c r="T772" s="32">
        <f t="shared" si="5"/>
        <v>43.46666667</v>
      </c>
    </row>
    <row r="773">
      <c r="A773" s="15" t="s">
        <v>1322</v>
      </c>
      <c r="B773" s="16" t="s">
        <v>27</v>
      </c>
      <c r="C773" s="16"/>
      <c r="D773" s="17" t="str">
        <f t="shared" si="1"/>
        <v>Removed</v>
      </c>
      <c r="E773" s="18">
        <v>44987.0</v>
      </c>
      <c r="F773" s="52">
        <v>45716.0</v>
      </c>
      <c r="G773" s="20">
        <f t="shared" si="2"/>
        <v>23.86666667</v>
      </c>
      <c r="H773" s="18">
        <v>44740.0</v>
      </c>
      <c r="I773" s="20">
        <f t="shared" si="3"/>
        <v>0.6777777778</v>
      </c>
      <c r="J773" s="53">
        <v>81.0</v>
      </c>
      <c r="K773" s="53">
        <v>23.0</v>
      </c>
      <c r="L773" s="23" t="s">
        <v>787</v>
      </c>
      <c r="M773" s="23"/>
      <c r="N773" s="23"/>
      <c r="O773" s="23" t="s">
        <v>132</v>
      </c>
      <c r="P773" s="54"/>
      <c r="Q773" s="23"/>
      <c r="R773" s="17" t="str">
        <f t="shared" si="4"/>
        <v>Removed</v>
      </c>
      <c r="S773" s="18">
        <v>45547.0</v>
      </c>
      <c r="T773" s="20">
        <f t="shared" si="5"/>
        <v>18.33333333</v>
      </c>
    </row>
    <row r="774">
      <c r="A774" s="67" t="s">
        <v>1323</v>
      </c>
      <c r="B774" s="28" t="s">
        <v>27</v>
      </c>
      <c r="C774" s="28" t="s">
        <v>28</v>
      </c>
      <c r="D774" s="29" t="str">
        <f t="shared" si="1"/>
        <v>Removed</v>
      </c>
      <c r="E774" s="30">
        <v>45350.0</v>
      </c>
      <c r="F774" s="31">
        <v>45703.0</v>
      </c>
      <c r="G774" s="32">
        <f t="shared" si="2"/>
        <v>11.56666667</v>
      </c>
      <c r="H774" s="33">
        <v>43746.0</v>
      </c>
      <c r="I774" s="32">
        <f t="shared" si="3"/>
        <v>4.388888889</v>
      </c>
      <c r="J774" s="69">
        <v>82.0</v>
      </c>
      <c r="K774" s="34">
        <v>18.5</v>
      </c>
      <c r="L774" s="35" t="s">
        <v>122</v>
      </c>
      <c r="M774" s="35"/>
      <c r="N774" s="35" t="s">
        <v>1324</v>
      </c>
      <c r="O774" s="35" t="s">
        <v>125</v>
      </c>
      <c r="P774" s="36" t="s">
        <v>1325</v>
      </c>
      <c r="Q774" s="35"/>
      <c r="R774" s="29" t="str">
        <f t="shared" si="4"/>
        <v>Removed</v>
      </c>
      <c r="S774" s="33">
        <v>45547.0</v>
      </c>
      <c r="T774" s="32">
        <f t="shared" si="5"/>
        <v>6.466666667</v>
      </c>
    </row>
    <row r="775">
      <c r="A775" s="15" t="s">
        <v>1326</v>
      </c>
      <c r="B775" s="16" t="s">
        <v>27</v>
      </c>
      <c r="C775" s="16" t="s">
        <v>28</v>
      </c>
      <c r="D775" s="17" t="str">
        <f t="shared" si="1"/>
        <v>Removed</v>
      </c>
      <c r="E775" s="62">
        <v>45342.0</v>
      </c>
      <c r="F775" s="52">
        <v>45703.0</v>
      </c>
      <c r="G775" s="20">
        <f t="shared" si="2"/>
        <v>11.83333333</v>
      </c>
      <c r="H775" s="18">
        <v>45076.0</v>
      </c>
      <c r="I775" s="20">
        <f t="shared" si="3"/>
        <v>0.7222222222</v>
      </c>
      <c r="J775" s="53">
        <v>79.0</v>
      </c>
      <c r="K775" s="53">
        <v>3.0</v>
      </c>
      <c r="L775" s="23" t="s">
        <v>362</v>
      </c>
      <c r="M775" s="23"/>
      <c r="N775" s="23"/>
      <c r="O775" s="23" t="s">
        <v>427</v>
      </c>
      <c r="P775" s="54"/>
      <c r="Q775" s="23"/>
      <c r="R775" s="17" t="str">
        <f t="shared" si="4"/>
        <v>Removed</v>
      </c>
      <c r="S775" s="18">
        <v>45547.0</v>
      </c>
      <c r="T775" s="20">
        <f t="shared" si="5"/>
        <v>6.733333333</v>
      </c>
    </row>
    <row r="776">
      <c r="A776" s="27" t="s">
        <v>1327</v>
      </c>
      <c r="B776" s="28" t="s">
        <v>27</v>
      </c>
      <c r="C776" s="28" t="s">
        <v>28</v>
      </c>
      <c r="D776" s="29" t="str">
        <f t="shared" si="1"/>
        <v>Removed</v>
      </c>
      <c r="E776" s="30">
        <v>45342.0</v>
      </c>
      <c r="F776" s="31">
        <v>45703.0</v>
      </c>
      <c r="G776" s="32">
        <f t="shared" si="2"/>
        <v>11.83333333</v>
      </c>
      <c r="H776" s="33">
        <v>44449.0</v>
      </c>
      <c r="I776" s="32">
        <f t="shared" si="3"/>
        <v>2.444444444</v>
      </c>
      <c r="J776" s="34">
        <v>87.0</v>
      </c>
      <c r="K776" s="34">
        <v>41.0</v>
      </c>
      <c r="L776" s="35" t="s">
        <v>29</v>
      </c>
      <c r="M776" s="35"/>
      <c r="N776" s="35"/>
      <c r="O776" s="35" t="s">
        <v>125</v>
      </c>
      <c r="P776" s="36" t="s">
        <v>1328</v>
      </c>
      <c r="Q776" s="35"/>
      <c r="R776" s="29" t="str">
        <f t="shared" si="4"/>
        <v>Removed</v>
      </c>
      <c r="S776" s="33">
        <v>45547.0</v>
      </c>
      <c r="T776" s="32">
        <f t="shared" si="5"/>
        <v>6.733333333</v>
      </c>
    </row>
    <row r="777">
      <c r="A777" s="15" t="s">
        <v>1329</v>
      </c>
      <c r="B777" s="16" t="s">
        <v>27</v>
      </c>
      <c r="C777" s="16" t="s">
        <v>28</v>
      </c>
      <c r="D777" s="17" t="str">
        <f t="shared" si="1"/>
        <v>Removed</v>
      </c>
      <c r="E777" s="18">
        <v>45336.0</v>
      </c>
      <c r="F777" s="52">
        <v>45703.0</v>
      </c>
      <c r="G777" s="20">
        <f t="shared" si="2"/>
        <v>12.03333333</v>
      </c>
      <c r="H777" s="18">
        <v>44873.0</v>
      </c>
      <c r="I777" s="20">
        <f t="shared" si="3"/>
        <v>1.266666667</v>
      </c>
      <c r="J777" s="53">
        <v>75.0</v>
      </c>
      <c r="K777" s="53">
        <v>4.0</v>
      </c>
      <c r="L777" s="23" t="s">
        <v>731</v>
      </c>
      <c r="M777" s="23"/>
      <c r="N777" s="23"/>
      <c r="O777" s="23" t="s">
        <v>427</v>
      </c>
      <c r="P777" s="54"/>
      <c r="Q777" s="23"/>
      <c r="R777" s="17" t="str">
        <f t="shared" si="4"/>
        <v>Removed</v>
      </c>
      <c r="S777" s="18">
        <v>45547.0</v>
      </c>
      <c r="T777" s="20">
        <f t="shared" si="5"/>
        <v>6.933333333</v>
      </c>
    </row>
    <row r="778">
      <c r="A778" s="67" t="s">
        <v>1330</v>
      </c>
      <c r="B778" s="28" t="s">
        <v>27</v>
      </c>
      <c r="C778" s="28" t="s">
        <v>28</v>
      </c>
      <c r="D778" s="29" t="str">
        <f t="shared" si="1"/>
        <v>Removed</v>
      </c>
      <c r="E778" s="30">
        <v>45336.0</v>
      </c>
      <c r="F778" s="31">
        <v>45703.0</v>
      </c>
      <c r="G778" s="32">
        <f t="shared" si="2"/>
        <v>12.03333333</v>
      </c>
      <c r="H778" s="33">
        <v>43634.0</v>
      </c>
      <c r="I778" s="32">
        <f t="shared" si="3"/>
        <v>4.655555556</v>
      </c>
      <c r="J778" s="69">
        <v>84.0</v>
      </c>
      <c r="K778" s="34">
        <v>13.5</v>
      </c>
      <c r="L778" s="35" t="s">
        <v>1331</v>
      </c>
      <c r="M778" s="44"/>
      <c r="N778" s="35" t="s">
        <v>1332</v>
      </c>
      <c r="O778" s="35" t="s">
        <v>125</v>
      </c>
      <c r="P778" s="36" t="s">
        <v>1333</v>
      </c>
      <c r="Q778" s="44"/>
      <c r="R778" s="29" t="str">
        <f t="shared" si="4"/>
        <v>Removed</v>
      </c>
      <c r="S778" s="33">
        <v>45547.0</v>
      </c>
      <c r="T778" s="32">
        <f t="shared" si="5"/>
        <v>6.933333333</v>
      </c>
    </row>
    <row r="779">
      <c r="A779" s="15" t="s">
        <v>1334</v>
      </c>
      <c r="B779" s="16" t="s">
        <v>27</v>
      </c>
      <c r="C779" s="16" t="s">
        <v>28</v>
      </c>
      <c r="D779" s="17" t="str">
        <f t="shared" si="1"/>
        <v>Removed</v>
      </c>
      <c r="E779" s="18">
        <v>44985.0</v>
      </c>
      <c r="F779" s="52">
        <v>45703.0</v>
      </c>
      <c r="G779" s="20">
        <f t="shared" si="2"/>
        <v>23.56666667</v>
      </c>
      <c r="H779" s="18">
        <v>44985.0</v>
      </c>
      <c r="I779" s="20">
        <f t="shared" si="3"/>
        <v>0</v>
      </c>
      <c r="J779" s="53">
        <v>70.0</v>
      </c>
      <c r="K779" s="53">
        <v>8.0</v>
      </c>
      <c r="L779" s="23" t="s">
        <v>731</v>
      </c>
      <c r="M779" s="23"/>
      <c r="N779" s="23"/>
      <c r="O779" s="23" t="s">
        <v>334</v>
      </c>
      <c r="P779" s="54" t="s">
        <v>586</v>
      </c>
      <c r="Q779" s="23"/>
      <c r="R779" s="17" t="str">
        <f t="shared" si="4"/>
        <v>Removed</v>
      </c>
      <c r="S779" s="18">
        <v>45547.0</v>
      </c>
      <c r="T779" s="20">
        <f t="shared" si="5"/>
        <v>18.46666667</v>
      </c>
    </row>
    <row r="780">
      <c r="A780" s="27" t="s">
        <v>1335</v>
      </c>
      <c r="B780" s="28" t="s">
        <v>68</v>
      </c>
      <c r="C780" s="28"/>
      <c r="D780" s="29" t="str">
        <f t="shared" si="1"/>
        <v>Removed</v>
      </c>
      <c r="E780" s="33">
        <v>44145.0</v>
      </c>
      <c r="F780" s="31">
        <v>45703.0</v>
      </c>
      <c r="G780" s="32">
        <f t="shared" si="2"/>
        <v>51.16666667</v>
      </c>
      <c r="H780" s="33">
        <v>43133.0</v>
      </c>
      <c r="I780" s="32">
        <f t="shared" si="3"/>
        <v>2.772222222</v>
      </c>
      <c r="J780" s="34">
        <v>77.0</v>
      </c>
      <c r="K780" s="34">
        <v>9.0</v>
      </c>
      <c r="L780" s="35" t="s">
        <v>759</v>
      </c>
      <c r="M780" s="35"/>
      <c r="N780" s="35"/>
      <c r="O780" s="35" t="s">
        <v>125</v>
      </c>
      <c r="P780" s="36" t="s">
        <v>1076</v>
      </c>
      <c r="Q780" s="35"/>
      <c r="R780" s="29" t="str">
        <f t="shared" si="4"/>
        <v>Removed</v>
      </c>
      <c r="S780" s="33">
        <v>45547.0</v>
      </c>
      <c r="T780" s="32">
        <f t="shared" si="5"/>
        <v>46.06666667</v>
      </c>
    </row>
    <row r="781">
      <c r="A781" s="15" t="s">
        <v>1336</v>
      </c>
      <c r="B781" s="16" t="s">
        <v>27</v>
      </c>
      <c r="C781" s="16" t="s">
        <v>28</v>
      </c>
      <c r="D781" s="17" t="str">
        <f t="shared" si="1"/>
        <v>Removed</v>
      </c>
      <c r="E781" s="18">
        <v>45328.0</v>
      </c>
      <c r="F781" s="52">
        <v>45688.0</v>
      </c>
      <c r="G781" s="20">
        <f t="shared" si="2"/>
        <v>11.8</v>
      </c>
      <c r="H781" s="18">
        <v>44672.0</v>
      </c>
      <c r="I781" s="20">
        <f t="shared" si="3"/>
        <v>1.791666667</v>
      </c>
      <c r="J781" s="53">
        <v>70.0</v>
      </c>
      <c r="K781" s="53">
        <v>9.0</v>
      </c>
      <c r="L781" s="23" t="s">
        <v>29</v>
      </c>
      <c r="M781" s="23"/>
      <c r="N781" s="23"/>
      <c r="O781" s="23" t="s">
        <v>125</v>
      </c>
      <c r="P781" s="54" t="s">
        <v>593</v>
      </c>
      <c r="Q781" s="23"/>
      <c r="R781" s="17" t="str">
        <f t="shared" si="4"/>
        <v>Removed</v>
      </c>
      <c r="S781" s="18">
        <v>45547.0</v>
      </c>
      <c r="T781" s="20">
        <f t="shared" si="5"/>
        <v>7.2</v>
      </c>
    </row>
    <row r="782">
      <c r="A782" s="27" t="s">
        <v>1337</v>
      </c>
      <c r="B782" s="28" t="s">
        <v>27</v>
      </c>
      <c r="C782" s="28" t="s">
        <v>28</v>
      </c>
      <c r="D782" s="29" t="str">
        <f t="shared" si="1"/>
        <v>Removed</v>
      </c>
      <c r="E782" s="33">
        <v>45146.0</v>
      </c>
      <c r="F782" s="31">
        <v>45688.0</v>
      </c>
      <c r="G782" s="32">
        <f t="shared" si="2"/>
        <v>17.73333333</v>
      </c>
      <c r="H782" s="33">
        <v>45146.0</v>
      </c>
      <c r="I782" s="32">
        <f t="shared" si="3"/>
        <v>0</v>
      </c>
      <c r="J782" s="34">
        <v>80.0</v>
      </c>
      <c r="K782" s="34"/>
      <c r="L782" s="35" t="s">
        <v>1338</v>
      </c>
      <c r="M782" s="35"/>
      <c r="N782" s="35"/>
      <c r="O782" s="129" t="s">
        <v>427</v>
      </c>
      <c r="P782" s="36"/>
      <c r="Q782" s="35"/>
      <c r="R782" s="29" t="str">
        <f t="shared" si="4"/>
        <v>Removed</v>
      </c>
      <c r="S782" s="33">
        <v>45547.0</v>
      </c>
      <c r="T782" s="32">
        <f t="shared" si="5"/>
        <v>13.13333333</v>
      </c>
    </row>
    <row r="783">
      <c r="A783" s="15" t="s">
        <v>1339</v>
      </c>
      <c r="B783" s="16" t="s">
        <v>27</v>
      </c>
      <c r="C783" s="16" t="s">
        <v>28</v>
      </c>
      <c r="D783" s="17" t="str">
        <f t="shared" si="1"/>
        <v>Removed</v>
      </c>
      <c r="E783" s="18">
        <v>45132.0</v>
      </c>
      <c r="F783" s="52">
        <v>45688.0</v>
      </c>
      <c r="G783" s="20">
        <f t="shared" si="2"/>
        <v>18.16666667</v>
      </c>
      <c r="H783" s="18">
        <v>44586.0</v>
      </c>
      <c r="I783" s="20">
        <f t="shared" si="3"/>
        <v>1.5</v>
      </c>
      <c r="J783" s="53">
        <v>70.0</v>
      </c>
      <c r="K783" s="53">
        <v>5.0</v>
      </c>
      <c r="L783" s="23" t="s">
        <v>184</v>
      </c>
      <c r="M783" s="23" t="s">
        <v>30</v>
      </c>
      <c r="N783" s="23"/>
      <c r="O783" s="23" t="s">
        <v>34</v>
      </c>
      <c r="P783" s="54" t="s">
        <v>1300</v>
      </c>
      <c r="Q783" s="23"/>
      <c r="R783" s="17" t="str">
        <f t="shared" si="4"/>
        <v>Removed</v>
      </c>
      <c r="S783" s="18">
        <v>45547.0</v>
      </c>
      <c r="T783" s="20">
        <f t="shared" si="5"/>
        <v>13.56666667</v>
      </c>
    </row>
    <row r="784">
      <c r="A784" s="27" t="s">
        <v>1340</v>
      </c>
      <c r="B784" s="28" t="s">
        <v>27</v>
      </c>
      <c r="C784" s="28" t="s">
        <v>28</v>
      </c>
      <c r="D784" s="29" t="str">
        <f t="shared" si="1"/>
        <v>Removed</v>
      </c>
      <c r="E784" s="33">
        <v>45126.0</v>
      </c>
      <c r="F784" s="31">
        <v>45688.0</v>
      </c>
      <c r="G784" s="32">
        <f t="shared" si="2"/>
        <v>18.36666667</v>
      </c>
      <c r="H784" s="33">
        <v>44257.0</v>
      </c>
      <c r="I784" s="32">
        <f t="shared" si="3"/>
        <v>2.380555556</v>
      </c>
      <c r="J784" s="34">
        <v>70.0</v>
      </c>
      <c r="K784" s="34">
        <v>4.0</v>
      </c>
      <c r="L784" s="35" t="s">
        <v>731</v>
      </c>
      <c r="M784" s="35"/>
      <c r="N784" s="35"/>
      <c r="O784" s="35" t="s">
        <v>334</v>
      </c>
      <c r="P784" s="36" t="s">
        <v>1341</v>
      </c>
      <c r="Q784" s="35"/>
      <c r="R784" s="29" t="str">
        <f t="shared" si="4"/>
        <v>Removed</v>
      </c>
      <c r="S784" s="33">
        <v>45547.0</v>
      </c>
      <c r="T784" s="32">
        <f t="shared" si="5"/>
        <v>13.76666667</v>
      </c>
    </row>
    <row r="785">
      <c r="A785" s="15" t="s">
        <v>1342</v>
      </c>
      <c r="B785" s="16" t="s">
        <v>27</v>
      </c>
      <c r="C785" s="16" t="s">
        <v>28</v>
      </c>
      <c r="D785" s="17" t="str">
        <f t="shared" si="1"/>
        <v>Removed</v>
      </c>
      <c r="E785" s="18">
        <v>44959.0</v>
      </c>
      <c r="F785" s="52">
        <v>45688.0</v>
      </c>
      <c r="G785" s="20">
        <f t="shared" si="2"/>
        <v>23.93333333</v>
      </c>
      <c r="H785" s="18">
        <v>42388.0</v>
      </c>
      <c r="I785" s="20">
        <f t="shared" si="3"/>
        <v>7.036111111</v>
      </c>
      <c r="J785" s="53">
        <v>84.0</v>
      </c>
      <c r="K785" s="53">
        <v>56.0</v>
      </c>
      <c r="L785" s="23" t="s">
        <v>29</v>
      </c>
      <c r="M785" s="23"/>
      <c r="N785" s="127" t="s">
        <v>1343</v>
      </c>
      <c r="O785" s="23" t="s">
        <v>125</v>
      </c>
      <c r="P785" s="54" t="s">
        <v>1344</v>
      </c>
      <c r="Q785" s="23"/>
      <c r="R785" s="17" t="str">
        <f t="shared" si="4"/>
        <v>Removed</v>
      </c>
      <c r="S785" s="18">
        <v>45547.0</v>
      </c>
      <c r="T785" s="20">
        <f t="shared" si="5"/>
        <v>19.33333333</v>
      </c>
    </row>
    <row r="786">
      <c r="A786" s="27" t="s">
        <v>1345</v>
      </c>
      <c r="B786" s="28" t="s">
        <v>27</v>
      </c>
      <c r="C786" s="28" t="s">
        <v>121</v>
      </c>
      <c r="D786" s="29" t="str">
        <f t="shared" si="1"/>
        <v>Removed</v>
      </c>
      <c r="E786" s="33">
        <v>44581.0</v>
      </c>
      <c r="F786" s="31">
        <v>45688.0</v>
      </c>
      <c r="G786" s="32">
        <f t="shared" si="2"/>
        <v>36.33333333</v>
      </c>
      <c r="H786" s="33">
        <v>44397.0</v>
      </c>
      <c r="I786" s="32">
        <f t="shared" si="3"/>
        <v>0.5</v>
      </c>
      <c r="J786" s="34">
        <f>(85+87)/2</f>
        <v>86</v>
      </c>
      <c r="K786" s="34">
        <v>8.5</v>
      </c>
      <c r="L786" s="35" t="s">
        <v>37</v>
      </c>
      <c r="M786" s="35"/>
      <c r="N786" s="35"/>
      <c r="O786" s="35" t="s">
        <v>125</v>
      </c>
      <c r="P786" s="36" t="s">
        <v>1346</v>
      </c>
      <c r="Q786" s="35"/>
      <c r="R786" s="29" t="str">
        <f t="shared" si="4"/>
        <v>Removed</v>
      </c>
      <c r="S786" s="33">
        <v>45547.0</v>
      </c>
      <c r="T786" s="32">
        <f t="shared" si="5"/>
        <v>31.73333333</v>
      </c>
    </row>
    <row r="787">
      <c r="A787" s="15" t="s">
        <v>1347</v>
      </c>
      <c r="B787" s="16" t="s">
        <v>27</v>
      </c>
      <c r="C787" s="16" t="s">
        <v>28</v>
      </c>
      <c r="D787" s="17" t="str">
        <f t="shared" si="1"/>
        <v>Removed</v>
      </c>
      <c r="E787" s="18">
        <v>45307.0</v>
      </c>
      <c r="F787" s="52">
        <v>45672.0</v>
      </c>
      <c r="G787" s="20">
        <f t="shared" si="2"/>
        <v>11.96666667</v>
      </c>
      <c r="H787" s="18">
        <v>43979.0</v>
      </c>
      <c r="I787" s="20">
        <f t="shared" si="3"/>
        <v>3.633333333</v>
      </c>
      <c r="J787" s="53">
        <v>49.0</v>
      </c>
      <c r="K787" s="53">
        <v>6.0</v>
      </c>
      <c r="L787" s="23" t="s">
        <v>362</v>
      </c>
      <c r="M787" s="23"/>
      <c r="N787" s="23"/>
      <c r="O787" s="23"/>
      <c r="P787" s="54"/>
      <c r="Q787" s="23"/>
      <c r="R787" s="17" t="str">
        <f t="shared" si="4"/>
        <v>Removed</v>
      </c>
      <c r="S787" s="18">
        <v>45547.0</v>
      </c>
      <c r="T787" s="20">
        <f t="shared" si="5"/>
        <v>7.866666667</v>
      </c>
    </row>
    <row r="788">
      <c r="A788" s="27" t="s">
        <v>1348</v>
      </c>
      <c r="B788" s="28" t="s">
        <v>27</v>
      </c>
      <c r="C788" s="28" t="s">
        <v>28</v>
      </c>
      <c r="D788" s="29" t="str">
        <f t="shared" si="1"/>
        <v>Removed</v>
      </c>
      <c r="E788" s="33">
        <v>45300.0</v>
      </c>
      <c r="F788" s="31">
        <v>45672.0</v>
      </c>
      <c r="G788" s="32">
        <f t="shared" si="2"/>
        <v>12.2</v>
      </c>
      <c r="H788" s="33">
        <v>43000.0</v>
      </c>
      <c r="I788" s="32">
        <f t="shared" si="3"/>
        <v>6.297222222</v>
      </c>
      <c r="J788" s="34">
        <v>75.0</v>
      </c>
      <c r="K788" s="34">
        <v>5.0</v>
      </c>
      <c r="L788" s="35" t="s">
        <v>711</v>
      </c>
      <c r="M788" s="35"/>
      <c r="N788" s="35"/>
      <c r="O788" s="35"/>
      <c r="P788" s="36"/>
      <c r="Q788" s="35"/>
      <c r="R788" s="29" t="str">
        <f t="shared" si="4"/>
        <v>Removed</v>
      </c>
      <c r="S788" s="33">
        <v>45547.0</v>
      </c>
      <c r="T788" s="32">
        <f t="shared" si="5"/>
        <v>8.1</v>
      </c>
    </row>
    <row r="789">
      <c r="A789" s="15" t="s">
        <v>1349</v>
      </c>
      <c r="B789" s="16" t="s">
        <v>27</v>
      </c>
      <c r="C789" s="16" t="s">
        <v>28</v>
      </c>
      <c r="D789" s="17" t="str">
        <f t="shared" si="1"/>
        <v>Removed</v>
      </c>
      <c r="E789" s="18">
        <v>45121.0</v>
      </c>
      <c r="F789" s="52">
        <v>45672.0</v>
      </c>
      <c r="G789" s="20">
        <f t="shared" si="2"/>
        <v>18.03333333</v>
      </c>
      <c r="H789" s="18">
        <v>45121.0</v>
      </c>
      <c r="I789" s="20">
        <f t="shared" si="3"/>
        <v>0</v>
      </c>
      <c r="J789" s="53">
        <v>73.0</v>
      </c>
      <c r="K789" s="53">
        <v>6.0</v>
      </c>
      <c r="L789" s="23" t="s">
        <v>366</v>
      </c>
      <c r="M789" s="23"/>
      <c r="N789" s="23"/>
      <c r="O789" s="23" t="s">
        <v>34</v>
      </c>
      <c r="P789" s="54"/>
      <c r="Q789" s="23"/>
      <c r="R789" s="17" t="str">
        <f t="shared" si="4"/>
        <v>Removed</v>
      </c>
      <c r="S789" s="18">
        <v>45547.0</v>
      </c>
      <c r="T789" s="20">
        <f t="shared" si="5"/>
        <v>13.93333333</v>
      </c>
    </row>
    <row r="790">
      <c r="A790" s="27" t="s">
        <v>1350</v>
      </c>
      <c r="B790" s="28" t="s">
        <v>27</v>
      </c>
      <c r="C790" s="28" t="s">
        <v>28</v>
      </c>
      <c r="D790" s="29" t="str">
        <f t="shared" si="1"/>
        <v>Removed</v>
      </c>
      <c r="E790" s="33">
        <v>45118.0</v>
      </c>
      <c r="F790" s="31">
        <v>45672.0</v>
      </c>
      <c r="G790" s="32">
        <f t="shared" si="2"/>
        <v>18.13333333</v>
      </c>
      <c r="H790" s="33">
        <v>44875.0</v>
      </c>
      <c r="I790" s="32">
        <f t="shared" si="3"/>
        <v>0.6694444444</v>
      </c>
      <c r="J790" s="34"/>
      <c r="K790" s="34">
        <v>23.0</v>
      </c>
      <c r="L790" s="35" t="s">
        <v>50</v>
      </c>
      <c r="M790" s="44"/>
      <c r="N790" s="35"/>
      <c r="O790" s="35" t="s">
        <v>427</v>
      </c>
      <c r="P790" s="36"/>
      <c r="Q790" s="35"/>
      <c r="R790" s="29" t="str">
        <f t="shared" si="4"/>
        <v>Removed</v>
      </c>
      <c r="S790" s="33">
        <v>45547.0</v>
      </c>
      <c r="T790" s="32">
        <f t="shared" si="5"/>
        <v>14.03333333</v>
      </c>
    </row>
    <row r="791">
      <c r="A791" s="15" t="s">
        <v>1351</v>
      </c>
      <c r="B791" s="16" t="s">
        <v>27</v>
      </c>
      <c r="C791" s="16" t="s">
        <v>28</v>
      </c>
      <c r="D791" s="17" t="str">
        <f t="shared" si="1"/>
        <v>Removed</v>
      </c>
      <c r="E791" s="18">
        <v>44894.0</v>
      </c>
      <c r="F791" s="52">
        <v>45672.0</v>
      </c>
      <c r="G791" s="20">
        <f t="shared" si="2"/>
        <v>25.53333333</v>
      </c>
      <c r="H791" s="18">
        <v>43361.0</v>
      </c>
      <c r="I791" s="20">
        <f t="shared" si="3"/>
        <v>4.197222222</v>
      </c>
      <c r="J791" s="53">
        <v>80.0</v>
      </c>
      <c r="K791" s="53">
        <v>33.0</v>
      </c>
      <c r="L791" s="23" t="s">
        <v>675</v>
      </c>
      <c r="M791" s="23"/>
      <c r="N791" s="23" t="s">
        <v>1352</v>
      </c>
      <c r="O791" s="23" t="s">
        <v>34</v>
      </c>
      <c r="P791" s="54" t="s">
        <v>432</v>
      </c>
      <c r="Q791" s="23"/>
      <c r="R791" s="17" t="str">
        <f t="shared" si="4"/>
        <v>Removed</v>
      </c>
      <c r="S791" s="18">
        <v>45547.0</v>
      </c>
      <c r="T791" s="20">
        <f t="shared" si="5"/>
        <v>21.43333333</v>
      </c>
    </row>
    <row r="792">
      <c r="A792" s="27" t="s">
        <v>1353</v>
      </c>
      <c r="B792" s="28" t="s">
        <v>27</v>
      </c>
      <c r="C792" s="28" t="s">
        <v>121</v>
      </c>
      <c r="D792" s="29" t="str">
        <f t="shared" si="1"/>
        <v>Removed</v>
      </c>
      <c r="E792" s="33">
        <v>44756.0</v>
      </c>
      <c r="F792" s="31">
        <v>45672.0</v>
      </c>
      <c r="G792" s="32">
        <f t="shared" si="2"/>
        <v>30.03333333</v>
      </c>
      <c r="H792" s="33">
        <v>44756.0</v>
      </c>
      <c r="I792" s="32">
        <f t="shared" si="3"/>
        <v>0</v>
      </c>
      <c r="J792" s="34">
        <v>81.0</v>
      </c>
      <c r="K792" s="34">
        <v>4.5</v>
      </c>
      <c r="L792" s="35" t="s">
        <v>562</v>
      </c>
      <c r="M792" s="35"/>
      <c r="N792" s="35"/>
      <c r="O792" s="35" t="s">
        <v>125</v>
      </c>
      <c r="P792" s="36" t="s">
        <v>475</v>
      </c>
      <c r="Q792" s="35"/>
      <c r="R792" s="29" t="str">
        <f t="shared" si="4"/>
        <v>Removed</v>
      </c>
      <c r="S792" s="33">
        <v>45547.0</v>
      </c>
      <c r="T792" s="32">
        <f t="shared" si="5"/>
        <v>25.93333333</v>
      </c>
    </row>
    <row r="793">
      <c r="A793" s="15" t="s">
        <v>1354</v>
      </c>
      <c r="B793" s="16" t="s">
        <v>68</v>
      </c>
      <c r="C793" s="16" t="s">
        <v>28</v>
      </c>
      <c r="D793" s="17" t="str">
        <f t="shared" si="1"/>
        <v>Removed</v>
      </c>
      <c r="E793" s="18">
        <v>45385.0</v>
      </c>
      <c r="F793" s="52">
        <v>45657.0</v>
      </c>
      <c r="G793" s="20">
        <f t="shared" si="2"/>
        <v>8.9</v>
      </c>
      <c r="H793" s="18">
        <v>45062.0</v>
      </c>
      <c r="I793" s="20">
        <f t="shared" si="3"/>
        <v>0.8805555556</v>
      </c>
      <c r="J793" s="53">
        <v>73.0</v>
      </c>
      <c r="K793" s="53">
        <v>7.0</v>
      </c>
      <c r="L793" s="23" t="s">
        <v>500</v>
      </c>
      <c r="M793" s="23"/>
      <c r="N793" s="23"/>
      <c r="O793" s="23" t="s">
        <v>334</v>
      </c>
      <c r="P793" s="54" t="s">
        <v>483</v>
      </c>
      <c r="Q793" s="23"/>
      <c r="R793" s="17" t="str">
        <f t="shared" si="4"/>
        <v>Removed</v>
      </c>
      <c r="S793" s="18">
        <v>45547.0</v>
      </c>
      <c r="T793" s="20">
        <f t="shared" si="5"/>
        <v>5.3</v>
      </c>
    </row>
    <row r="794">
      <c r="A794" s="27" t="s">
        <v>1355</v>
      </c>
      <c r="B794" s="28" t="s">
        <v>27</v>
      </c>
      <c r="C794" s="28" t="s">
        <v>28</v>
      </c>
      <c r="D794" s="29" t="str">
        <f t="shared" si="1"/>
        <v>Removed</v>
      </c>
      <c r="E794" s="33">
        <v>45293.0</v>
      </c>
      <c r="F794" s="31">
        <v>45657.0</v>
      </c>
      <c r="G794" s="32">
        <f t="shared" si="2"/>
        <v>11.93333333</v>
      </c>
      <c r="H794" s="33">
        <v>43767.0</v>
      </c>
      <c r="I794" s="32">
        <f t="shared" si="3"/>
        <v>4.175</v>
      </c>
      <c r="J794" s="34">
        <v>66.0</v>
      </c>
      <c r="K794" s="34">
        <v>4.0</v>
      </c>
      <c r="L794" s="35" t="s">
        <v>362</v>
      </c>
      <c r="M794" s="35"/>
      <c r="N794" s="35"/>
      <c r="O794" s="35"/>
      <c r="P794" s="36"/>
      <c r="Q794" s="35"/>
      <c r="R794" s="29" t="str">
        <f t="shared" si="4"/>
        <v>Removed</v>
      </c>
      <c r="S794" s="33">
        <v>45547.0</v>
      </c>
      <c r="T794" s="32">
        <f t="shared" si="5"/>
        <v>8.333333333</v>
      </c>
    </row>
    <row r="795">
      <c r="A795" s="15" t="s">
        <v>1356</v>
      </c>
      <c r="B795" s="16" t="s">
        <v>68</v>
      </c>
      <c r="C795" s="16" t="s">
        <v>28</v>
      </c>
      <c r="D795" s="17" t="str">
        <f t="shared" si="1"/>
        <v>Removed</v>
      </c>
      <c r="E795" s="18">
        <v>45189.0</v>
      </c>
      <c r="F795" s="52">
        <v>45657.0</v>
      </c>
      <c r="G795" s="20">
        <f t="shared" si="2"/>
        <v>15.33333333</v>
      </c>
      <c r="H795" s="18">
        <v>45189.0</v>
      </c>
      <c r="I795" s="20">
        <f t="shared" si="3"/>
        <v>0</v>
      </c>
      <c r="J795" s="53">
        <v>77.0</v>
      </c>
      <c r="K795" s="53">
        <v>1.0</v>
      </c>
      <c r="L795" s="23" t="s">
        <v>1357</v>
      </c>
      <c r="M795" s="23"/>
      <c r="N795" s="23"/>
      <c r="O795" s="23" t="s">
        <v>125</v>
      </c>
      <c r="P795" s="54" t="s">
        <v>1358</v>
      </c>
      <c r="Q795" s="23"/>
      <c r="R795" s="17" t="str">
        <f t="shared" si="4"/>
        <v>Removed</v>
      </c>
      <c r="S795" s="18">
        <v>45547.0</v>
      </c>
      <c r="T795" s="20">
        <f t="shared" si="5"/>
        <v>11.73333333</v>
      </c>
    </row>
    <row r="796">
      <c r="A796" s="27" t="s">
        <v>1359</v>
      </c>
      <c r="B796" s="28" t="s">
        <v>27</v>
      </c>
      <c r="C796" s="28" t="s">
        <v>28</v>
      </c>
      <c r="D796" s="29" t="str">
        <f t="shared" si="1"/>
        <v>Removed</v>
      </c>
      <c r="E796" s="33">
        <v>45113.0</v>
      </c>
      <c r="F796" s="31">
        <v>45657.0</v>
      </c>
      <c r="G796" s="32">
        <f t="shared" si="2"/>
        <v>17.8</v>
      </c>
      <c r="H796" s="33">
        <v>44879.0</v>
      </c>
      <c r="I796" s="32">
        <f t="shared" si="3"/>
        <v>0.6444444444</v>
      </c>
      <c r="J796" s="34">
        <v>75.0</v>
      </c>
      <c r="K796" s="34">
        <v>5.0</v>
      </c>
      <c r="L796" s="35" t="s">
        <v>1169</v>
      </c>
      <c r="M796" s="44"/>
      <c r="N796" s="35"/>
      <c r="O796" s="35" t="s">
        <v>427</v>
      </c>
      <c r="Q796" s="35"/>
      <c r="R796" s="29" t="str">
        <f t="shared" si="4"/>
        <v>Removed</v>
      </c>
      <c r="S796" s="33">
        <v>45547.0</v>
      </c>
      <c r="T796" s="32">
        <f t="shared" si="5"/>
        <v>14.2</v>
      </c>
    </row>
    <row r="797">
      <c r="A797" s="15" t="s">
        <v>1360</v>
      </c>
      <c r="B797" s="16" t="s">
        <v>27</v>
      </c>
      <c r="C797" s="16" t="s">
        <v>28</v>
      </c>
      <c r="D797" s="17" t="str">
        <f t="shared" si="1"/>
        <v>Removed</v>
      </c>
      <c r="E797" s="18">
        <v>45043.0</v>
      </c>
      <c r="F797" s="52">
        <v>45657.0</v>
      </c>
      <c r="G797" s="20">
        <f t="shared" si="2"/>
        <v>20.1</v>
      </c>
      <c r="H797" s="18">
        <v>43251.0</v>
      </c>
      <c r="I797" s="20">
        <f t="shared" si="3"/>
        <v>4.908333333</v>
      </c>
      <c r="J797" s="53">
        <v>72.0</v>
      </c>
      <c r="K797" s="53">
        <v>4.0</v>
      </c>
      <c r="L797" s="23" t="s">
        <v>303</v>
      </c>
      <c r="M797" s="23"/>
      <c r="N797" s="23"/>
      <c r="O797" s="23" t="s">
        <v>125</v>
      </c>
      <c r="P797" s="54" t="s">
        <v>646</v>
      </c>
      <c r="Q797" s="23"/>
      <c r="R797" s="17" t="str">
        <f t="shared" si="4"/>
        <v>Removed</v>
      </c>
      <c r="S797" s="18">
        <v>45547.0</v>
      </c>
      <c r="T797" s="20">
        <f t="shared" si="5"/>
        <v>16.5</v>
      </c>
    </row>
    <row r="798">
      <c r="A798" s="27" t="s">
        <v>1361</v>
      </c>
      <c r="B798" s="28" t="s">
        <v>27</v>
      </c>
      <c r="C798" s="28" t="s">
        <v>28</v>
      </c>
      <c r="D798" s="29" t="str">
        <f t="shared" si="1"/>
        <v>Removed</v>
      </c>
      <c r="E798" s="33">
        <v>44425.0</v>
      </c>
      <c r="F798" s="31">
        <v>45657.0</v>
      </c>
      <c r="G798" s="32">
        <f t="shared" si="2"/>
        <v>40.43333333</v>
      </c>
      <c r="H798" s="33">
        <v>44425.0</v>
      </c>
      <c r="I798" s="32">
        <f t="shared" si="3"/>
        <v>0</v>
      </c>
      <c r="J798" s="34">
        <v>78.0</v>
      </c>
      <c r="K798" s="34">
        <v>14.5</v>
      </c>
      <c r="L798" s="35" t="s">
        <v>119</v>
      </c>
      <c r="M798" s="35"/>
      <c r="N798" s="35" t="s">
        <v>1362</v>
      </c>
      <c r="O798" s="35" t="s">
        <v>334</v>
      </c>
      <c r="P798" s="36" t="s">
        <v>1363</v>
      </c>
      <c r="Q798" s="35"/>
      <c r="R798" s="29" t="str">
        <f t="shared" si="4"/>
        <v>Removed</v>
      </c>
      <c r="S798" s="33">
        <v>45547.0</v>
      </c>
      <c r="T798" s="32">
        <f t="shared" si="5"/>
        <v>36.83333333</v>
      </c>
    </row>
    <row r="799">
      <c r="A799" s="15" t="s">
        <v>1364</v>
      </c>
      <c r="B799" s="16" t="s">
        <v>68</v>
      </c>
      <c r="C799" s="16"/>
      <c r="D799" s="17" t="str">
        <f t="shared" si="1"/>
        <v>Removed</v>
      </c>
      <c r="E799" s="62">
        <v>45371.0</v>
      </c>
      <c r="F799" s="52">
        <v>45641.0</v>
      </c>
      <c r="G799" s="20">
        <f t="shared" si="2"/>
        <v>8.833333333</v>
      </c>
      <c r="H799" s="18">
        <v>44722.0</v>
      </c>
      <c r="I799" s="20">
        <f t="shared" si="3"/>
        <v>1.777777778</v>
      </c>
      <c r="J799" s="53">
        <v>79.0</v>
      </c>
      <c r="K799" s="53">
        <v>9.0</v>
      </c>
      <c r="L799" s="23" t="s">
        <v>362</v>
      </c>
      <c r="M799" s="23"/>
      <c r="N799" s="23"/>
      <c r="O799" s="23" t="s">
        <v>34</v>
      </c>
      <c r="P799" s="54" t="s">
        <v>1365</v>
      </c>
      <c r="Q799" s="23"/>
      <c r="R799" s="17" t="str">
        <f t="shared" si="4"/>
        <v>Removed</v>
      </c>
      <c r="S799" s="18">
        <v>45547.0</v>
      </c>
      <c r="T799" s="20">
        <f t="shared" si="5"/>
        <v>5.733333333</v>
      </c>
    </row>
    <row r="800">
      <c r="A800" s="107" t="s">
        <v>1366</v>
      </c>
      <c r="B800" s="28" t="s">
        <v>27</v>
      </c>
      <c r="C800" s="28" t="s">
        <v>28</v>
      </c>
      <c r="D800" s="29" t="str">
        <f t="shared" si="1"/>
        <v>Removed</v>
      </c>
      <c r="E800" s="33">
        <v>45272.0</v>
      </c>
      <c r="F800" s="31">
        <v>45641.0</v>
      </c>
      <c r="G800" s="32">
        <f t="shared" si="2"/>
        <v>12.1</v>
      </c>
      <c r="H800" s="33">
        <v>43412.0</v>
      </c>
      <c r="I800" s="32">
        <f t="shared" si="3"/>
        <v>5.094444444</v>
      </c>
      <c r="J800" s="34">
        <v>66.0</v>
      </c>
      <c r="K800" s="34">
        <v>31.0</v>
      </c>
      <c r="L800" s="35" t="s">
        <v>731</v>
      </c>
      <c r="M800" s="35"/>
      <c r="N800" s="35"/>
      <c r="O800" s="35"/>
      <c r="P800" s="36"/>
      <c r="Q800" s="35"/>
      <c r="R800" s="29" t="str">
        <f t="shared" si="4"/>
        <v>Removed</v>
      </c>
      <c r="S800" s="33">
        <v>45547.0</v>
      </c>
      <c r="T800" s="32">
        <f t="shared" si="5"/>
        <v>9</v>
      </c>
    </row>
    <row r="801">
      <c r="A801" s="15" t="s">
        <v>1367</v>
      </c>
      <c r="B801" s="16" t="s">
        <v>27</v>
      </c>
      <c r="C801" s="16" t="s">
        <v>28</v>
      </c>
      <c r="D801" s="17" t="str">
        <f t="shared" si="1"/>
        <v>Removed</v>
      </c>
      <c r="E801" s="18">
        <v>45083.0</v>
      </c>
      <c r="F801" s="52">
        <v>45641.0</v>
      </c>
      <c r="G801" s="20">
        <f t="shared" si="2"/>
        <v>18.3</v>
      </c>
      <c r="H801" s="18">
        <v>45083.0</v>
      </c>
      <c r="I801" s="20">
        <f t="shared" si="3"/>
        <v>0</v>
      </c>
      <c r="J801" s="53">
        <v>77.0</v>
      </c>
      <c r="K801" s="53">
        <v>5.0</v>
      </c>
      <c r="L801" s="23" t="s">
        <v>362</v>
      </c>
      <c r="M801" s="23"/>
      <c r="N801" s="23"/>
      <c r="O801" s="23" t="s">
        <v>427</v>
      </c>
      <c r="P801" s="54"/>
      <c r="Q801" s="23"/>
      <c r="R801" s="17" t="str">
        <f t="shared" si="4"/>
        <v>Removed</v>
      </c>
      <c r="S801" s="18">
        <v>45547.0</v>
      </c>
      <c r="T801" s="20">
        <f t="shared" si="5"/>
        <v>15.2</v>
      </c>
    </row>
    <row r="802">
      <c r="A802" s="27" t="s">
        <v>1368</v>
      </c>
      <c r="B802" s="28" t="s">
        <v>27</v>
      </c>
      <c r="C802" s="28" t="s">
        <v>28</v>
      </c>
      <c r="D802" s="29" t="str">
        <f t="shared" si="1"/>
        <v>Removed</v>
      </c>
      <c r="E802" s="33">
        <v>44910.0</v>
      </c>
      <c r="F802" s="31">
        <v>45641.0</v>
      </c>
      <c r="G802" s="32">
        <f t="shared" si="2"/>
        <v>24</v>
      </c>
      <c r="H802" s="33">
        <v>44474.0</v>
      </c>
      <c r="I802" s="32">
        <f t="shared" si="3"/>
        <v>1.194444444</v>
      </c>
      <c r="J802" s="34">
        <v>86.0</v>
      </c>
      <c r="K802" s="34">
        <v>12.0</v>
      </c>
      <c r="L802" s="35" t="s">
        <v>509</v>
      </c>
      <c r="M802" s="35"/>
      <c r="N802" s="35"/>
      <c r="O802" s="35" t="s">
        <v>132</v>
      </c>
      <c r="P802" s="36"/>
      <c r="Q802" s="35"/>
      <c r="R802" s="29" t="str">
        <f t="shared" si="4"/>
        <v>Removed</v>
      </c>
      <c r="S802" s="33">
        <v>45547.0</v>
      </c>
      <c r="T802" s="32">
        <f t="shared" si="5"/>
        <v>20.9</v>
      </c>
    </row>
    <row r="803">
      <c r="A803" s="15" t="s">
        <v>1369</v>
      </c>
      <c r="B803" s="16" t="s">
        <v>27</v>
      </c>
      <c r="C803" s="16" t="s">
        <v>28</v>
      </c>
      <c r="D803" s="17" t="str">
        <f t="shared" si="1"/>
        <v>Removed</v>
      </c>
      <c r="E803" s="62">
        <v>44028.0</v>
      </c>
      <c r="F803" s="52">
        <v>45641.0</v>
      </c>
      <c r="G803" s="20">
        <f t="shared" si="2"/>
        <v>52.96666667</v>
      </c>
      <c r="H803" s="18">
        <v>43573.0</v>
      </c>
      <c r="I803" s="20">
        <f t="shared" si="3"/>
        <v>1.244444444</v>
      </c>
      <c r="J803" s="53">
        <v>78.0</v>
      </c>
      <c r="K803" s="53">
        <v>13.5</v>
      </c>
      <c r="L803" s="23" t="s">
        <v>362</v>
      </c>
      <c r="M803" s="23"/>
      <c r="N803" s="23"/>
      <c r="O803" s="23" t="s">
        <v>334</v>
      </c>
      <c r="P803" s="54" t="s">
        <v>1370</v>
      </c>
      <c r="Q803" s="23"/>
      <c r="R803" s="17" t="str">
        <f t="shared" si="4"/>
        <v>Removed</v>
      </c>
      <c r="S803" s="18">
        <v>45547.0</v>
      </c>
      <c r="T803" s="20">
        <f t="shared" si="5"/>
        <v>49.86666667</v>
      </c>
    </row>
    <row r="804">
      <c r="A804" s="67" t="s">
        <v>1371</v>
      </c>
      <c r="B804" s="28" t="s">
        <v>27</v>
      </c>
      <c r="C804" s="28" t="s">
        <v>28</v>
      </c>
      <c r="D804" s="29" t="str">
        <f t="shared" si="1"/>
        <v>Removed</v>
      </c>
      <c r="E804" s="70">
        <v>43375.0</v>
      </c>
      <c r="F804" s="31">
        <v>45641.0</v>
      </c>
      <c r="G804" s="32">
        <f t="shared" si="2"/>
        <v>74.43333333</v>
      </c>
      <c r="H804" s="33">
        <v>43371.0</v>
      </c>
      <c r="I804" s="32">
        <f t="shared" si="3"/>
        <v>0.01111111111</v>
      </c>
      <c r="J804" s="69">
        <v>92.0</v>
      </c>
      <c r="K804" s="34">
        <v>11.0</v>
      </c>
      <c r="L804" s="44" t="s">
        <v>500</v>
      </c>
      <c r="M804" s="35" t="s">
        <v>123</v>
      </c>
      <c r="N804" s="35" t="s">
        <v>658</v>
      </c>
      <c r="O804" s="35" t="s">
        <v>132</v>
      </c>
      <c r="P804" s="36"/>
      <c r="Q804" s="35"/>
      <c r="R804" s="29" t="str">
        <f t="shared" si="4"/>
        <v>Removed</v>
      </c>
      <c r="S804" s="33">
        <v>45547.0</v>
      </c>
      <c r="T804" s="32">
        <f t="shared" si="5"/>
        <v>71.33333333</v>
      </c>
    </row>
    <row r="805">
      <c r="A805" s="15" t="s">
        <v>1372</v>
      </c>
      <c r="B805" s="16" t="s">
        <v>27</v>
      </c>
      <c r="C805" s="16" t="s">
        <v>28</v>
      </c>
      <c r="D805" s="17" t="str">
        <f t="shared" si="1"/>
        <v>Removed</v>
      </c>
      <c r="E805" s="18">
        <v>45265.0</v>
      </c>
      <c r="F805" s="52">
        <v>45626.0</v>
      </c>
      <c r="G805" s="20">
        <f t="shared" si="2"/>
        <v>11.83333333</v>
      </c>
      <c r="H805" s="18">
        <v>45265.0</v>
      </c>
      <c r="I805" s="20">
        <f t="shared" si="3"/>
        <v>0</v>
      </c>
      <c r="J805" s="53">
        <v>63.0</v>
      </c>
      <c r="K805" s="53">
        <v>17.0</v>
      </c>
      <c r="L805" s="23" t="s">
        <v>562</v>
      </c>
      <c r="M805" s="23"/>
      <c r="N805" s="23"/>
      <c r="O805" s="23"/>
      <c r="P805" s="54"/>
      <c r="Q805" s="23"/>
      <c r="R805" s="17" t="str">
        <f t="shared" si="4"/>
        <v>Removed</v>
      </c>
      <c r="S805" s="18">
        <v>45547.0</v>
      </c>
      <c r="T805" s="20">
        <f t="shared" si="5"/>
        <v>9.233333333</v>
      </c>
    </row>
    <row r="806">
      <c r="A806" s="27" t="s">
        <v>1373</v>
      </c>
      <c r="B806" s="28" t="s">
        <v>27</v>
      </c>
      <c r="C806" s="28" t="s">
        <v>28</v>
      </c>
      <c r="D806" s="29" t="str">
        <f t="shared" si="1"/>
        <v>Removed</v>
      </c>
      <c r="E806" s="33">
        <v>45261.0</v>
      </c>
      <c r="F806" s="31">
        <v>45626.0</v>
      </c>
      <c r="G806" s="32">
        <f t="shared" si="2"/>
        <v>11.96666667</v>
      </c>
      <c r="H806" s="33">
        <v>43770.0</v>
      </c>
      <c r="I806" s="32">
        <f t="shared" si="3"/>
        <v>4.083333333</v>
      </c>
      <c r="J806" s="34">
        <v>64.0</v>
      </c>
      <c r="K806" s="34">
        <v>5.0</v>
      </c>
      <c r="L806" s="35" t="s">
        <v>721</v>
      </c>
      <c r="M806" s="35"/>
      <c r="N806" s="35"/>
      <c r="O806" s="35"/>
      <c r="P806" s="36"/>
      <c r="Q806" s="35"/>
      <c r="R806" s="29" t="str">
        <f t="shared" si="4"/>
        <v>Removed</v>
      </c>
      <c r="S806" s="33">
        <v>45547.0</v>
      </c>
      <c r="T806" s="32">
        <f t="shared" si="5"/>
        <v>9.366666667</v>
      </c>
    </row>
    <row r="807">
      <c r="A807" s="15" t="s">
        <v>1374</v>
      </c>
      <c r="B807" s="16" t="s">
        <v>27</v>
      </c>
      <c r="C807" s="16" t="s">
        <v>28</v>
      </c>
      <c r="D807" s="17" t="str">
        <f t="shared" si="1"/>
        <v>Removed</v>
      </c>
      <c r="E807" s="62">
        <v>45259.0</v>
      </c>
      <c r="F807" s="52">
        <v>45626.0</v>
      </c>
      <c r="G807" s="20">
        <f t="shared" si="2"/>
        <v>12.03333333</v>
      </c>
      <c r="H807" s="18">
        <v>43697.0</v>
      </c>
      <c r="I807" s="20">
        <f t="shared" si="3"/>
        <v>4.275</v>
      </c>
      <c r="J807" s="53">
        <v>81.0</v>
      </c>
      <c r="K807" s="53">
        <v>13.5</v>
      </c>
      <c r="L807" s="23" t="s">
        <v>1375</v>
      </c>
      <c r="M807" s="43"/>
      <c r="N807" s="23" t="s">
        <v>1376</v>
      </c>
      <c r="O807" s="23" t="s">
        <v>34</v>
      </c>
      <c r="P807" s="54" t="s">
        <v>446</v>
      </c>
      <c r="Q807" s="23" t="s">
        <v>1254</v>
      </c>
      <c r="R807" s="17" t="str">
        <f t="shared" si="4"/>
        <v>Removed</v>
      </c>
      <c r="S807" s="18">
        <v>45547.0</v>
      </c>
      <c r="T807" s="20">
        <f t="shared" si="5"/>
        <v>9.433333333</v>
      </c>
    </row>
    <row r="808">
      <c r="A808" s="27" t="s">
        <v>1377</v>
      </c>
      <c r="B808" s="28" t="s">
        <v>27</v>
      </c>
      <c r="C808" s="28" t="s">
        <v>28</v>
      </c>
      <c r="D808" s="29" t="str">
        <f t="shared" si="1"/>
        <v>Removed</v>
      </c>
      <c r="E808" s="33">
        <v>45258.0</v>
      </c>
      <c r="F808" s="31">
        <v>45626.0</v>
      </c>
      <c r="G808" s="32">
        <f t="shared" si="2"/>
        <v>12.06666667</v>
      </c>
      <c r="H808" s="33">
        <v>44789.0</v>
      </c>
      <c r="I808" s="32">
        <f t="shared" si="3"/>
        <v>1.283333333</v>
      </c>
      <c r="J808" s="34">
        <v>79.0</v>
      </c>
      <c r="K808" s="34">
        <v>5.0</v>
      </c>
      <c r="L808" s="35" t="s">
        <v>366</v>
      </c>
      <c r="M808" s="35" t="s">
        <v>30</v>
      </c>
      <c r="N808" s="35"/>
      <c r="O808" s="35"/>
      <c r="P808" s="36"/>
      <c r="Q808" s="35"/>
      <c r="R808" s="29" t="str">
        <f t="shared" si="4"/>
        <v>Removed</v>
      </c>
      <c r="S808" s="33">
        <v>45547.0</v>
      </c>
      <c r="T808" s="32">
        <f t="shared" si="5"/>
        <v>9.466666667</v>
      </c>
    </row>
    <row r="809">
      <c r="A809" s="15" t="s">
        <v>1378</v>
      </c>
      <c r="B809" s="16" t="s">
        <v>27</v>
      </c>
      <c r="C809" s="16" t="s">
        <v>28</v>
      </c>
      <c r="D809" s="17" t="str">
        <f t="shared" si="1"/>
        <v>Removed</v>
      </c>
      <c r="E809" s="18">
        <v>44901.0</v>
      </c>
      <c r="F809" s="52">
        <v>45626.0</v>
      </c>
      <c r="G809" s="20">
        <f t="shared" si="2"/>
        <v>23.8</v>
      </c>
      <c r="H809" s="18">
        <v>44901.0</v>
      </c>
      <c r="I809" s="20">
        <f t="shared" si="3"/>
        <v>0</v>
      </c>
      <c r="J809" s="53">
        <v>56.0</v>
      </c>
      <c r="K809" s="53">
        <v>5.0</v>
      </c>
      <c r="L809" s="43" t="s">
        <v>878</v>
      </c>
      <c r="M809" s="23"/>
      <c r="N809" s="23"/>
      <c r="O809" s="23" t="s">
        <v>334</v>
      </c>
      <c r="P809" s="54" t="s">
        <v>465</v>
      </c>
      <c r="Q809" s="23"/>
      <c r="R809" s="17" t="str">
        <f t="shared" si="4"/>
        <v>Removed</v>
      </c>
      <c r="S809" s="18">
        <v>45547.0</v>
      </c>
      <c r="T809" s="20">
        <f t="shared" si="5"/>
        <v>21.2</v>
      </c>
    </row>
    <row r="810">
      <c r="A810" s="27" t="s">
        <v>1379</v>
      </c>
      <c r="B810" s="28" t="s">
        <v>27</v>
      </c>
      <c r="C810" s="28" t="s">
        <v>28</v>
      </c>
      <c r="D810" s="29" t="str">
        <f t="shared" si="1"/>
        <v>Removed</v>
      </c>
      <c r="E810" s="33">
        <v>44894.0</v>
      </c>
      <c r="F810" s="31">
        <v>45626.0</v>
      </c>
      <c r="G810" s="32">
        <f t="shared" si="2"/>
        <v>24.03333333</v>
      </c>
      <c r="H810" s="33">
        <v>44894.0</v>
      </c>
      <c r="I810" s="32">
        <f t="shared" si="3"/>
        <v>0</v>
      </c>
      <c r="J810" s="34">
        <v>71.0</v>
      </c>
      <c r="K810" s="34">
        <v>10.0</v>
      </c>
      <c r="L810" s="35" t="s">
        <v>1380</v>
      </c>
      <c r="M810" s="35"/>
      <c r="N810" s="35"/>
      <c r="O810" s="35" t="s">
        <v>132</v>
      </c>
      <c r="P810" s="36"/>
      <c r="Q810" s="35"/>
      <c r="R810" s="29" t="str">
        <f t="shared" si="4"/>
        <v>Removed</v>
      </c>
      <c r="S810" s="33">
        <v>45547.0</v>
      </c>
      <c r="T810" s="32">
        <f t="shared" si="5"/>
        <v>21.43333333</v>
      </c>
    </row>
    <row r="811">
      <c r="A811" s="15" t="s">
        <v>1381</v>
      </c>
      <c r="B811" s="16" t="s">
        <v>27</v>
      </c>
      <c r="C811" s="16" t="s">
        <v>28</v>
      </c>
      <c r="D811" s="17" t="str">
        <f t="shared" si="1"/>
        <v>Removed</v>
      </c>
      <c r="E811" s="18">
        <v>44341.0</v>
      </c>
      <c r="F811" s="52">
        <v>45626.0</v>
      </c>
      <c r="G811" s="20">
        <f t="shared" si="2"/>
        <v>42.16666667</v>
      </c>
      <c r="H811" s="18">
        <v>43238.0</v>
      </c>
      <c r="I811" s="20">
        <f t="shared" si="3"/>
        <v>3.019444444</v>
      </c>
      <c r="J811" s="53">
        <v>64.0</v>
      </c>
      <c r="K811" s="53">
        <v>33.0</v>
      </c>
      <c r="L811" s="23" t="s">
        <v>122</v>
      </c>
      <c r="M811" s="23" t="s">
        <v>123</v>
      </c>
      <c r="N811" s="23"/>
      <c r="O811" s="23" t="s">
        <v>34</v>
      </c>
      <c r="P811" s="54" t="s">
        <v>1382</v>
      </c>
      <c r="Q811" s="23"/>
      <c r="R811" s="17" t="str">
        <f t="shared" si="4"/>
        <v>Removed</v>
      </c>
      <c r="S811" s="18">
        <v>45547.0</v>
      </c>
      <c r="T811" s="20">
        <f t="shared" si="5"/>
        <v>39.56666667</v>
      </c>
    </row>
    <row r="812">
      <c r="A812" s="27" t="s">
        <v>1383</v>
      </c>
      <c r="B812" s="28" t="s">
        <v>27</v>
      </c>
      <c r="C812" s="28" t="s">
        <v>28</v>
      </c>
      <c r="D812" s="29" t="str">
        <f t="shared" si="1"/>
        <v>Removed</v>
      </c>
      <c r="E812" s="33">
        <v>45247.0</v>
      </c>
      <c r="F812" s="31">
        <v>45611.0</v>
      </c>
      <c r="G812" s="32">
        <f t="shared" si="2"/>
        <v>11.93333333</v>
      </c>
      <c r="H812" s="33">
        <v>45247.0</v>
      </c>
      <c r="I812" s="32">
        <f t="shared" si="3"/>
        <v>0</v>
      </c>
      <c r="J812" s="34">
        <v>75.0</v>
      </c>
      <c r="K812" s="34">
        <v>23.0</v>
      </c>
      <c r="L812" s="35" t="s">
        <v>567</v>
      </c>
      <c r="M812" s="35"/>
      <c r="N812" s="35"/>
      <c r="O812" s="35" t="s">
        <v>427</v>
      </c>
      <c r="P812" s="36"/>
      <c r="Q812" s="35"/>
      <c r="R812" s="29" t="str">
        <f t="shared" si="4"/>
        <v>Removed</v>
      </c>
      <c r="S812" s="33">
        <v>45547.0</v>
      </c>
      <c r="T812" s="32">
        <f t="shared" si="5"/>
        <v>9.833333333</v>
      </c>
    </row>
    <row r="813">
      <c r="A813" s="15" t="s">
        <v>1384</v>
      </c>
      <c r="B813" s="16" t="s">
        <v>27</v>
      </c>
      <c r="C813" s="16" t="s">
        <v>28</v>
      </c>
      <c r="D813" s="17" t="str">
        <f t="shared" si="1"/>
        <v>Removed</v>
      </c>
      <c r="E813" s="18">
        <v>45239.0</v>
      </c>
      <c r="F813" s="52">
        <v>45611.0</v>
      </c>
      <c r="G813" s="20">
        <f t="shared" si="2"/>
        <v>12.2</v>
      </c>
      <c r="H813" s="18">
        <v>45239.0</v>
      </c>
      <c r="I813" s="20">
        <f t="shared" si="3"/>
        <v>0</v>
      </c>
      <c r="J813" s="53">
        <v>76.0</v>
      </c>
      <c r="K813" s="53">
        <v>27.0</v>
      </c>
      <c r="L813" s="23" t="s">
        <v>522</v>
      </c>
      <c r="M813" s="23"/>
      <c r="N813" s="23"/>
      <c r="O813" s="23"/>
      <c r="P813" s="54"/>
      <c r="Q813" s="23"/>
      <c r="R813" s="17" t="str">
        <f t="shared" si="4"/>
        <v>Removed</v>
      </c>
      <c r="S813" s="18">
        <v>45547.0</v>
      </c>
      <c r="T813" s="20">
        <f t="shared" si="5"/>
        <v>10.1</v>
      </c>
    </row>
    <row r="814">
      <c r="A814" s="27" t="s">
        <v>1385</v>
      </c>
      <c r="B814" s="28" t="s">
        <v>27</v>
      </c>
      <c r="C814" s="28" t="s">
        <v>28</v>
      </c>
      <c r="D814" s="29" t="str">
        <f t="shared" si="1"/>
        <v>Removed</v>
      </c>
      <c r="E814" s="33">
        <v>45239.0</v>
      </c>
      <c r="F814" s="31">
        <v>45611.0</v>
      </c>
      <c r="G814" s="32">
        <f t="shared" si="2"/>
        <v>12.2</v>
      </c>
      <c r="H814" s="33">
        <v>45239.0</v>
      </c>
      <c r="I814" s="32">
        <f t="shared" si="3"/>
        <v>0</v>
      </c>
      <c r="J814" s="34">
        <v>79.0</v>
      </c>
      <c r="K814" s="34">
        <v>11.0</v>
      </c>
      <c r="L814" s="35" t="s">
        <v>37</v>
      </c>
      <c r="M814" s="35"/>
      <c r="N814" s="35"/>
      <c r="O814" s="35" t="s">
        <v>427</v>
      </c>
      <c r="P814" s="36"/>
      <c r="Q814" s="35"/>
      <c r="R814" s="29" t="str">
        <f t="shared" si="4"/>
        <v>Removed</v>
      </c>
      <c r="S814" s="33">
        <v>45547.0</v>
      </c>
      <c r="T814" s="32">
        <f t="shared" si="5"/>
        <v>10.1</v>
      </c>
    </row>
    <row r="815">
      <c r="A815" s="15" t="s">
        <v>1386</v>
      </c>
      <c r="B815" s="16" t="s">
        <v>27</v>
      </c>
      <c r="C815" s="16" t="s">
        <v>28</v>
      </c>
      <c r="D815" s="17" t="str">
        <f t="shared" si="1"/>
        <v>Removed</v>
      </c>
      <c r="E815" s="18">
        <v>45216.0</v>
      </c>
      <c r="F815" s="52">
        <v>45611.0</v>
      </c>
      <c r="G815" s="20">
        <f t="shared" si="2"/>
        <v>12.93333333</v>
      </c>
      <c r="H815" s="18">
        <v>44978.0</v>
      </c>
      <c r="I815" s="20">
        <f t="shared" si="3"/>
        <v>0.6555555556</v>
      </c>
      <c r="J815" s="53">
        <v>81.0</v>
      </c>
      <c r="K815" s="53">
        <v>24.0</v>
      </c>
      <c r="L815" s="23" t="s">
        <v>1209</v>
      </c>
      <c r="M815" s="23"/>
      <c r="N815" s="23"/>
      <c r="O815" s="23"/>
      <c r="P815" s="54"/>
      <c r="Q815" s="23"/>
      <c r="R815" s="17" t="str">
        <f t="shared" si="4"/>
        <v>Removed</v>
      </c>
      <c r="S815" s="18">
        <v>45547.0</v>
      </c>
      <c r="T815" s="20">
        <f t="shared" si="5"/>
        <v>10.83333333</v>
      </c>
    </row>
    <row r="816">
      <c r="A816" s="27" t="s">
        <v>1387</v>
      </c>
      <c r="B816" s="28" t="s">
        <v>27</v>
      </c>
      <c r="C816" s="28" t="s">
        <v>28</v>
      </c>
      <c r="D816" s="29" t="str">
        <f t="shared" si="1"/>
        <v>Removed</v>
      </c>
      <c r="E816" s="30">
        <v>45020.0</v>
      </c>
      <c r="F816" s="31">
        <v>45611.0</v>
      </c>
      <c r="G816" s="32">
        <f t="shared" si="2"/>
        <v>19.36666667</v>
      </c>
      <c r="H816" s="33">
        <v>41730.0</v>
      </c>
      <c r="I816" s="32">
        <f t="shared" si="3"/>
        <v>9.008333333</v>
      </c>
      <c r="J816" s="34">
        <f>ROUND((53+62)/2,)</f>
        <v>58</v>
      </c>
      <c r="K816" s="34">
        <v>2.0</v>
      </c>
      <c r="L816" s="35" t="s">
        <v>50</v>
      </c>
      <c r="M816" s="35"/>
      <c r="N816" s="35" t="s">
        <v>1388</v>
      </c>
      <c r="O816" s="35" t="s">
        <v>125</v>
      </c>
      <c r="P816" s="36" t="s">
        <v>551</v>
      </c>
      <c r="Q816" s="35"/>
      <c r="R816" s="29" t="str">
        <f t="shared" si="4"/>
        <v>Removed</v>
      </c>
      <c r="S816" s="33">
        <v>45547.0</v>
      </c>
      <c r="T816" s="32">
        <f t="shared" si="5"/>
        <v>17.26666667</v>
      </c>
    </row>
    <row r="817">
      <c r="A817" s="15" t="s">
        <v>1389</v>
      </c>
      <c r="B817" s="16" t="s">
        <v>27</v>
      </c>
      <c r="C817" s="16"/>
      <c r="D817" s="17" t="str">
        <f t="shared" si="1"/>
        <v>Removed</v>
      </c>
      <c r="E817" s="18">
        <v>44880.0</v>
      </c>
      <c r="F817" s="52">
        <v>45611.0</v>
      </c>
      <c r="G817" s="20">
        <f t="shared" si="2"/>
        <v>24</v>
      </c>
      <c r="H817" s="18">
        <v>44880.0</v>
      </c>
      <c r="I817" s="20">
        <f t="shared" si="3"/>
        <v>0</v>
      </c>
      <c r="J817" s="53">
        <v>82.0</v>
      </c>
      <c r="K817" s="53">
        <v>3.0</v>
      </c>
      <c r="L817" s="23" t="s">
        <v>362</v>
      </c>
      <c r="M817" s="23"/>
      <c r="N817" s="23"/>
      <c r="O817" s="23" t="s">
        <v>334</v>
      </c>
      <c r="P817" s="54" t="s">
        <v>465</v>
      </c>
      <c r="Q817" s="23"/>
      <c r="R817" s="17" t="str">
        <f t="shared" si="4"/>
        <v>Removed</v>
      </c>
      <c r="S817" s="18">
        <v>45547.0</v>
      </c>
      <c r="T817" s="20">
        <f t="shared" si="5"/>
        <v>21.9</v>
      </c>
    </row>
    <row r="818">
      <c r="A818" s="27" t="s">
        <v>1390</v>
      </c>
      <c r="B818" s="28" t="s">
        <v>27</v>
      </c>
      <c r="C818" s="28" t="s">
        <v>121</v>
      </c>
      <c r="D818" s="29" t="str">
        <f t="shared" si="1"/>
        <v>Removed</v>
      </c>
      <c r="E818" s="33">
        <v>44511.0</v>
      </c>
      <c r="F818" s="31">
        <v>45611.0</v>
      </c>
      <c r="G818" s="32">
        <f t="shared" si="2"/>
        <v>36.13333333</v>
      </c>
      <c r="H818" s="33">
        <v>43690.0</v>
      </c>
      <c r="I818" s="32">
        <f t="shared" si="3"/>
        <v>2.244444444</v>
      </c>
      <c r="J818" s="34">
        <v>80.0</v>
      </c>
      <c r="K818" s="34">
        <v>25.5</v>
      </c>
      <c r="L818" s="35" t="s">
        <v>29</v>
      </c>
      <c r="M818" s="35"/>
      <c r="N818" s="35"/>
      <c r="O818" s="35" t="s">
        <v>334</v>
      </c>
      <c r="P818" s="36" t="s">
        <v>586</v>
      </c>
      <c r="Q818" s="35"/>
      <c r="R818" s="29" t="str">
        <f t="shared" si="4"/>
        <v>Removed</v>
      </c>
      <c r="S818" s="33">
        <v>45547.0</v>
      </c>
      <c r="T818" s="32">
        <f t="shared" si="5"/>
        <v>34.03333333</v>
      </c>
    </row>
    <row r="819">
      <c r="A819" s="15" t="s">
        <v>1391</v>
      </c>
      <c r="B819" s="16" t="s">
        <v>27</v>
      </c>
      <c r="C819" s="16" t="s">
        <v>28</v>
      </c>
      <c r="D819" s="17" t="str">
        <f t="shared" si="1"/>
        <v>Removed</v>
      </c>
      <c r="E819" s="18">
        <v>45230.0</v>
      </c>
      <c r="F819" s="52">
        <v>45596.0</v>
      </c>
      <c r="G819" s="20">
        <f t="shared" si="2"/>
        <v>12</v>
      </c>
      <c r="H819" s="18">
        <v>45230.0</v>
      </c>
      <c r="I819" s="20">
        <f t="shared" si="3"/>
        <v>0</v>
      </c>
      <c r="J819" s="53">
        <v>74.0</v>
      </c>
      <c r="K819" s="53">
        <v>4.0</v>
      </c>
      <c r="L819" s="23" t="s">
        <v>1392</v>
      </c>
      <c r="M819" s="23"/>
      <c r="N819" s="23"/>
      <c r="O819" s="23" t="s">
        <v>427</v>
      </c>
      <c r="P819" s="54"/>
      <c r="Q819" s="23"/>
      <c r="R819" s="17" t="str">
        <f t="shared" si="4"/>
        <v>Removed</v>
      </c>
      <c r="S819" s="18">
        <v>45547.0</v>
      </c>
      <c r="T819" s="20">
        <f t="shared" si="5"/>
        <v>10.4</v>
      </c>
    </row>
    <row r="820">
      <c r="A820" s="27" t="s">
        <v>1393</v>
      </c>
      <c r="B820" s="28" t="s">
        <v>27</v>
      </c>
      <c r="C820" s="28" t="s">
        <v>28</v>
      </c>
      <c r="D820" s="29" t="str">
        <f t="shared" si="1"/>
        <v>Removed</v>
      </c>
      <c r="E820" s="33">
        <v>45225.0</v>
      </c>
      <c r="F820" s="31">
        <v>45596.0</v>
      </c>
      <c r="G820" s="32">
        <f t="shared" si="2"/>
        <v>12.13333333</v>
      </c>
      <c r="H820" s="33">
        <v>45195.0</v>
      </c>
      <c r="I820" s="32">
        <f t="shared" si="3"/>
        <v>0.08333333333</v>
      </c>
      <c r="J820" s="34">
        <v>66.0</v>
      </c>
      <c r="K820" s="34">
        <v>18.0</v>
      </c>
      <c r="L820" s="35" t="s">
        <v>362</v>
      </c>
      <c r="M820" s="35"/>
      <c r="N820" s="35"/>
      <c r="O820" s="35" t="s">
        <v>427</v>
      </c>
      <c r="P820" s="36"/>
      <c r="Q820" s="35"/>
      <c r="R820" s="29" t="str">
        <f t="shared" si="4"/>
        <v>Removed</v>
      </c>
      <c r="S820" s="33">
        <v>45547.0</v>
      </c>
      <c r="T820" s="32">
        <f t="shared" si="5"/>
        <v>10.53333333</v>
      </c>
    </row>
    <row r="821">
      <c r="A821" s="15" t="s">
        <v>1394</v>
      </c>
      <c r="B821" s="16" t="s">
        <v>27</v>
      </c>
      <c r="C821" s="16" t="s">
        <v>183</v>
      </c>
      <c r="D821" s="17" t="str">
        <f t="shared" si="1"/>
        <v>Removed</v>
      </c>
      <c r="E821" s="18">
        <v>44957.0</v>
      </c>
      <c r="F821" s="52">
        <v>45596.0</v>
      </c>
      <c r="G821" s="20">
        <f t="shared" si="2"/>
        <v>21</v>
      </c>
      <c r="H821" s="18">
        <v>44957.0</v>
      </c>
      <c r="I821" s="20">
        <f t="shared" si="3"/>
        <v>0</v>
      </c>
      <c r="J821" s="53"/>
      <c r="K821" s="53"/>
      <c r="L821" s="23" t="s">
        <v>119</v>
      </c>
      <c r="M821" s="23"/>
      <c r="N821" s="23"/>
      <c r="O821" s="23" t="s">
        <v>132</v>
      </c>
      <c r="P821" s="54" t="s">
        <v>1395</v>
      </c>
      <c r="Q821" s="23"/>
      <c r="R821" s="17" t="str">
        <f t="shared" si="4"/>
        <v>Removed</v>
      </c>
      <c r="S821" s="18">
        <v>45547.0</v>
      </c>
      <c r="T821" s="20">
        <f t="shared" si="5"/>
        <v>19.4</v>
      </c>
    </row>
    <row r="822">
      <c r="A822" s="27" t="s">
        <v>1396</v>
      </c>
      <c r="B822" s="28" t="s">
        <v>27</v>
      </c>
      <c r="C822" s="28" t="s">
        <v>28</v>
      </c>
      <c r="D822" s="29" t="str">
        <f t="shared" si="1"/>
        <v>Removed</v>
      </c>
      <c r="E822" s="33">
        <v>44861.0</v>
      </c>
      <c r="F822" s="31">
        <v>45596.0</v>
      </c>
      <c r="G822" s="32">
        <f t="shared" si="2"/>
        <v>24.1</v>
      </c>
      <c r="H822" s="33">
        <v>44861.0</v>
      </c>
      <c r="I822" s="32">
        <f t="shared" si="3"/>
        <v>0</v>
      </c>
      <c r="J822" s="34">
        <v>77.0</v>
      </c>
      <c r="K822" s="34">
        <v>4.0</v>
      </c>
      <c r="L822" s="35" t="s">
        <v>1397</v>
      </c>
      <c r="M822" s="35"/>
      <c r="N822" s="35" t="s">
        <v>1398</v>
      </c>
      <c r="O822" s="35" t="s">
        <v>132</v>
      </c>
      <c r="P822" s="36"/>
      <c r="Q822" s="35"/>
      <c r="R822" s="29" t="str">
        <f t="shared" si="4"/>
        <v>Removed</v>
      </c>
      <c r="S822" s="33">
        <v>45547.0</v>
      </c>
      <c r="T822" s="32">
        <f t="shared" si="5"/>
        <v>22.5</v>
      </c>
    </row>
    <row r="823">
      <c r="A823" s="15" t="s">
        <v>1399</v>
      </c>
      <c r="B823" s="16" t="s">
        <v>27</v>
      </c>
      <c r="C823" s="16" t="s">
        <v>28</v>
      </c>
      <c r="D823" s="17" t="str">
        <f t="shared" si="1"/>
        <v>Removed</v>
      </c>
      <c r="E823" s="76">
        <v>43761.0</v>
      </c>
      <c r="F823" s="52">
        <v>45596.0</v>
      </c>
      <c r="G823" s="20">
        <f t="shared" si="2"/>
        <v>60.23333333</v>
      </c>
      <c r="H823" s="18">
        <v>43761.0</v>
      </c>
      <c r="I823" s="20">
        <f t="shared" si="3"/>
        <v>0</v>
      </c>
      <c r="J823" s="53">
        <v>79.0</v>
      </c>
      <c r="K823" s="53">
        <v>5.5</v>
      </c>
      <c r="L823" s="43" t="s">
        <v>1086</v>
      </c>
      <c r="M823" s="43"/>
      <c r="N823" s="43"/>
      <c r="O823" s="23" t="s">
        <v>334</v>
      </c>
      <c r="P823" s="54" t="s">
        <v>732</v>
      </c>
      <c r="Q823" s="23"/>
      <c r="R823" s="17" t="str">
        <f t="shared" si="4"/>
        <v>Removed</v>
      </c>
      <c r="S823" s="18">
        <v>45547.0</v>
      </c>
      <c r="T823" s="20">
        <f t="shared" si="5"/>
        <v>58.63333333</v>
      </c>
    </row>
    <row r="824">
      <c r="A824" s="27" t="s">
        <v>1400</v>
      </c>
      <c r="B824" s="28" t="s">
        <v>27</v>
      </c>
      <c r="C824" s="28" t="s">
        <v>28</v>
      </c>
      <c r="D824" s="29" t="str">
        <f t="shared" si="1"/>
        <v>Removed</v>
      </c>
      <c r="E824" s="33">
        <v>45218.0</v>
      </c>
      <c r="F824" s="31">
        <v>45580.0</v>
      </c>
      <c r="G824" s="32">
        <f t="shared" si="2"/>
        <v>11.86666667</v>
      </c>
      <c r="H824" s="33">
        <v>45138.0</v>
      </c>
      <c r="I824" s="32">
        <f t="shared" si="3"/>
        <v>0.2194444444</v>
      </c>
      <c r="J824" s="34">
        <v>79.0</v>
      </c>
      <c r="K824" s="34">
        <v>16.0</v>
      </c>
      <c r="L824" s="35" t="s">
        <v>787</v>
      </c>
      <c r="M824" s="35"/>
      <c r="N824" s="35"/>
      <c r="O824" s="35"/>
      <c r="P824" s="36"/>
      <c r="Q824" s="35"/>
      <c r="R824" s="29" t="str">
        <f t="shared" si="4"/>
        <v>Removed</v>
      </c>
      <c r="S824" s="33">
        <v>45547.0</v>
      </c>
      <c r="T824" s="32">
        <f t="shared" si="5"/>
        <v>10.76666667</v>
      </c>
    </row>
    <row r="825">
      <c r="A825" s="15" t="s">
        <v>1401</v>
      </c>
      <c r="B825" s="16" t="s">
        <v>27</v>
      </c>
      <c r="C825" s="16" t="s">
        <v>28</v>
      </c>
      <c r="D825" s="17" t="str">
        <f t="shared" si="1"/>
        <v>Removed</v>
      </c>
      <c r="E825" s="18">
        <v>45211.0</v>
      </c>
      <c r="F825" s="52">
        <v>45580.0</v>
      </c>
      <c r="G825" s="20">
        <f t="shared" si="2"/>
        <v>12.1</v>
      </c>
      <c r="H825" s="18">
        <v>45211.0</v>
      </c>
      <c r="I825" s="20">
        <f t="shared" si="3"/>
        <v>0</v>
      </c>
      <c r="J825" s="53">
        <v>60.0</v>
      </c>
      <c r="K825" s="53">
        <v>13.0</v>
      </c>
      <c r="L825" s="23" t="s">
        <v>675</v>
      </c>
      <c r="M825" s="23"/>
      <c r="N825" s="23"/>
      <c r="O825" s="23"/>
      <c r="P825" s="54"/>
      <c r="Q825" s="23"/>
      <c r="R825" s="17" t="str">
        <f t="shared" si="4"/>
        <v>Removed</v>
      </c>
      <c r="S825" s="18">
        <v>45547.0</v>
      </c>
      <c r="T825" s="20">
        <f t="shared" si="5"/>
        <v>11</v>
      </c>
    </row>
    <row r="826">
      <c r="A826" s="27" t="s">
        <v>1402</v>
      </c>
      <c r="B826" s="28" t="s">
        <v>27</v>
      </c>
      <c r="C826" s="28" t="s">
        <v>121</v>
      </c>
      <c r="D826" s="29" t="str">
        <f t="shared" si="1"/>
        <v>Removed</v>
      </c>
      <c r="E826" s="33">
        <v>44848.0</v>
      </c>
      <c r="F826" s="31">
        <v>45580.0</v>
      </c>
      <c r="G826" s="32">
        <f t="shared" si="2"/>
        <v>24.03333333</v>
      </c>
      <c r="H826" s="33">
        <v>44848.0</v>
      </c>
      <c r="I826" s="32">
        <f t="shared" si="3"/>
        <v>0</v>
      </c>
      <c r="J826" s="34">
        <v>71.0</v>
      </c>
      <c r="K826" s="34">
        <v>6.0</v>
      </c>
      <c r="L826" s="35" t="s">
        <v>362</v>
      </c>
      <c r="M826" s="35" t="s">
        <v>30</v>
      </c>
      <c r="N826" s="35"/>
      <c r="O826" s="35" t="s">
        <v>34</v>
      </c>
      <c r="P826" s="36" t="s">
        <v>1403</v>
      </c>
      <c r="Q826" s="35"/>
      <c r="R826" s="29" t="str">
        <f t="shared" si="4"/>
        <v>Removed</v>
      </c>
      <c r="S826" s="33">
        <v>45547.0</v>
      </c>
      <c r="T826" s="32">
        <f t="shared" si="5"/>
        <v>22.93333333</v>
      </c>
    </row>
    <row r="827">
      <c r="A827" s="15" t="s">
        <v>1404</v>
      </c>
      <c r="B827" s="16" t="s">
        <v>40</v>
      </c>
      <c r="C827" s="16"/>
      <c r="D827" s="17" t="str">
        <f t="shared" si="1"/>
        <v>Removed</v>
      </c>
      <c r="E827" s="18">
        <v>44847.0</v>
      </c>
      <c r="F827" s="52">
        <v>45580.0</v>
      </c>
      <c r="G827" s="20">
        <f t="shared" si="2"/>
        <v>24.06666667</v>
      </c>
      <c r="H827" s="18">
        <v>44217.0</v>
      </c>
      <c r="I827" s="20">
        <f t="shared" si="3"/>
        <v>1.727777778</v>
      </c>
      <c r="J827" s="53"/>
      <c r="K827" s="53">
        <v>65.0</v>
      </c>
      <c r="L827" s="23" t="s">
        <v>522</v>
      </c>
      <c r="M827" s="23"/>
      <c r="N827" s="23"/>
      <c r="O827" s="23" t="s">
        <v>132</v>
      </c>
      <c r="P827" s="54"/>
      <c r="Q827" s="23"/>
      <c r="R827" s="17" t="str">
        <f t="shared" si="4"/>
        <v>TBD</v>
      </c>
      <c r="S827" s="18"/>
      <c r="T827" s="20">
        <f t="shared" si="5"/>
        <v>36.06666667</v>
      </c>
    </row>
    <row r="828">
      <c r="A828" s="27" t="s">
        <v>1405</v>
      </c>
      <c r="B828" s="28" t="s">
        <v>27</v>
      </c>
      <c r="C828" s="28" t="s">
        <v>28</v>
      </c>
      <c r="D828" s="29" t="str">
        <f t="shared" si="1"/>
        <v>Removed</v>
      </c>
      <c r="E828" s="33">
        <v>44490.0</v>
      </c>
      <c r="F828" s="31">
        <v>45580.0</v>
      </c>
      <c r="G828" s="32">
        <f t="shared" si="2"/>
        <v>35.8</v>
      </c>
      <c r="H828" s="33">
        <v>44214.0</v>
      </c>
      <c r="I828" s="32">
        <f t="shared" si="3"/>
        <v>0.7583333333</v>
      </c>
      <c r="J828" s="34">
        <f>(75+76)/2</f>
        <v>75.5</v>
      </c>
      <c r="K828" s="34">
        <v>7.5</v>
      </c>
      <c r="L828" s="35" t="s">
        <v>675</v>
      </c>
      <c r="M828" s="35" t="s">
        <v>30</v>
      </c>
      <c r="N828" s="35" t="s">
        <v>1406</v>
      </c>
      <c r="O828" s="130" t="s">
        <v>125</v>
      </c>
      <c r="P828" s="36" t="s">
        <v>712</v>
      </c>
      <c r="Q828" s="130"/>
      <c r="R828" s="29" t="str">
        <f t="shared" si="4"/>
        <v>Removed</v>
      </c>
      <c r="S828" s="33">
        <v>45547.0</v>
      </c>
      <c r="T828" s="32">
        <f t="shared" si="5"/>
        <v>34.7</v>
      </c>
    </row>
    <row r="829">
      <c r="A829" s="15" t="s">
        <v>1407</v>
      </c>
      <c r="B829" s="16" t="s">
        <v>27</v>
      </c>
      <c r="C829" s="16" t="s">
        <v>28</v>
      </c>
      <c r="D829" s="17" t="str">
        <f t="shared" si="1"/>
        <v>Removed</v>
      </c>
      <c r="E829" s="18">
        <v>45202.0</v>
      </c>
      <c r="F829" s="52">
        <v>45565.0</v>
      </c>
      <c r="G829" s="20">
        <f t="shared" si="2"/>
        <v>11.9</v>
      </c>
      <c r="H829" s="18">
        <v>44855.0</v>
      </c>
      <c r="I829" s="20">
        <f t="shared" si="3"/>
        <v>0.95</v>
      </c>
      <c r="J829" s="53">
        <v>66.0</v>
      </c>
      <c r="K829" s="53">
        <v>17.0</v>
      </c>
      <c r="L829" s="23" t="s">
        <v>1307</v>
      </c>
      <c r="M829" s="23" t="s">
        <v>30</v>
      </c>
      <c r="N829" s="23"/>
      <c r="O829" s="23" t="s">
        <v>427</v>
      </c>
      <c r="P829" s="54"/>
      <c r="Q829" s="23" t="s">
        <v>1254</v>
      </c>
      <c r="R829" s="17" t="str">
        <f t="shared" si="4"/>
        <v>Removed</v>
      </c>
      <c r="S829" s="18">
        <v>45547.0</v>
      </c>
      <c r="T829" s="20">
        <f t="shared" si="5"/>
        <v>11.3</v>
      </c>
    </row>
    <row r="830">
      <c r="A830" s="27" t="s">
        <v>1408</v>
      </c>
      <c r="B830" s="28" t="s">
        <v>27</v>
      </c>
      <c r="C830" s="28" t="s">
        <v>28</v>
      </c>
      <c r="D830" s="29" t="str">
        <f t="shared" si="1"/>
        <v>Removed</v>
      </c>
      <c r="E830" s="33">
        <v>45195.0</v>
      </c>
      <c r="F830" s="31">
        <v>45565.0</v>
      </c>
      <c r="G830" s="32">
        <f t="shared" si="2"/>
        <v>12.13333333</v>
      </c>
      <c r="H830" s="33">
        <v>41006.0</v>
      </c>
      <c r="I830" s="32">
        <f t="shared" si="3"/>
        <v>11.46944444</v>
      </c>
      <c r="J830" s="34">
        <v>80.0</v>
      </c>
      <c r="K830" s="34">
        <v>66.0</v>
      </c>
      <c r="L830" s="35" t="s">
        <v>1409</v>
      </c>
      <c r="M830" s="35"/>
      <c r="N830" s="35"/>
      <c r="O830" s="35" t="s">
        <v>125</v>
      </c>
      <c r="P830" s="36" t="s">
        <v>1410</v>
      </c>
      <c r="Q830" s="35"/>
      <c r="R830" s="29" t="str">
        <f t="shared" si="4"/>
        <v>Removed</v>
      </c>
      <c r="S830" s="33">
        <v>45547.0</v>
      </c>
      <c r="T830" s="32">
        <f t="shared" si="5"/>
        <v>11.53333333</v>
      </c>
    </row>
    <row r="831">
      <c r="A831" s="15" t="s">
        <v>1411</v>
      </c>
      <c r="B831" s="16" t="s">
        <v>27</v>
      </c>
      <c r="C831" s="16"/>
      <c r="D831" s="17" t="str">
        <f t="shared" si="1"/>
        <v>Removed</v>
      </c>
      <c r="E831" s="18">
        <v>45020.0</v>
      </c>
      <c r="F831" s="52">
        <v>45565.0</v>
      </c>
      <c r="G831" s="20">
        <f t="shared" si="2"/>
        <v>17.86666667</v>
      </c>
      <c r="H831" s="18">
        <v>44259.0</v>
      </c>
      <c r="I831" s="20">
        <f t="shared" si="3"/>
        <v>2.083333333</v>
      </c>
      <c r="J831" s="53">
        <v>82.0</v>
      </c>
      <c r="K831" s="53">
        <v>29.0</v>
      </c>
      <c r="L831" s="23" t="s">
        <v>1057</v>
      </c>
      <c r="M831" s="23"/>
      <c r="N831" s="23"/>
      <c r="O831" s="23" t="s">
        <v>125</v>
      </c>
      <c r="P831" s="54" t="s">
        <v>1412</v>
      </c>
      <c r="Q831" s="23"/>
      <c r="R831" s="17" t="str">
        <f t="shared" si="4"/>
        <v>Removed</v>
      </c>
      <c r="S831" s="18">
        <v>45547.0</v>
      </c>
      <c r="T831" s="20">
        <f t="shared" si="5"/>
        <v>17.26666667</v>
      </c>
    </row>
    <row r="832">
      <c r="A832" s="27" t="s">
        <v>1413</v>
      </c>
      <c r="B832" s="28" t="s">
        <v>27</v>
      </c>
      <c r="C832" s="28" t="s">
        <v>28</v>
      </c>
      <c r="D832" s="29" t="str">
        <f t="shared" si="1"/>
        <v>Removed</v>
      </c>
      <c r="E832" s="33">
        <v>44834.0</v>
      </c>
      <c r="F832" s="31">
        <v>45565.0</v>
      </c>
      <c r="G832" s="32">
        <f t="shared" si="2"/>
        <v>24</v>
      </c>
      <c r="H832" s="33">
        <v>44834.0</v>
      </c>
      <c r="I832" s="32">
        <f t="shared" si="3"/>
        <v>0</v>
      </c>
      <c r="J832" s="34">
        <v>70.0</v>
      </c>
      <c r="K832" s="34">
        <v>1.0</v>
      </c>
      <c r="L832" s="35" t="s">
        <v>366</v>
      </c>
      <c r="M832" s="35"/>
      <c r="N832" s="35"/>
      <c r="O832" s="35" t="s">
        <v>132</v>
      </c>
      <c r="P832" s="36"/>
      <c r="Q832" s="35"/>
      <c r="R832" s="29" t="str">
        <f t="shared" si="4"/>
        <v>Removed</v>
      </c>
      <c r="S832" s="33">
        <v>45547.0</v>
      </c>
      <c r="T832" s="32">
        <f t="shared" si="5"/>
        <v>23.4</v>
      </c>
    </row>
    <row r="833">
      <c r="A833" s="15" t="s">
        <v>1414</v>
      </c>
      <c r="B833" s="16" t="s">
        <v>27</v>
      </c>
      <c r="C833" s="16" t="s">
        <v>28</v>
      </c>
      <c r="D833" s="17" t="str">
        <f t="shared" si="1"/>
        <v>Removed</v>
      </c>
      <c r="E833" s="18">
        <v>44833.0</v>
      </c>
      <c r="F833" s="52">
        <v>45565.0</v>
      </c>
      <c r="G833" s="20">
        <f t="shared" si="2"/>
        <v>24.03333333</v>
      </c>
      <c r="H833" s="18">
        <v>44505.0</v>
      </c>
      <c r="I833" s="20">
        <f t="shared" si="3"/>
        <v>0.9</v>
      </c>
      <c r="J833" s="53">
        <v>78.0</v>
      </c>
      <c r="K833" s="53">
        <v>35.5</v>
      </c>
      <c r="L833" s="23" t="s">
        <v>50</v>
      </c>
      <c r="M833" s="23"/>
      <c r="N833" s="23"/>
      <c r="O833" s="23" t="s">
        <v>334</v>
      </c>
      <c r="P833" s="54" t="s">
        <v>1415</v>
      </c>
      <c r="Q833" s="23"/>
      <c r="R833" s="17" t="str">
        <f t="shared" si="4"/>
        <v>Removed</v>
      </c>
      <c r="S833" s="18">
        <v>45547.0</v>
      </c>
      <c r="T833" s="20">
        <f t="shared" si="5"/>
        <v>23.43333333</v>
      </c>
    </row>
    <row r="834">
      <c r="A834" s="27" t="s">
        <v>1416</v>
      </c>
      <c r="B834" s="28" t="s">
        <v>27</v>
      </c>
      <c r="C834" s="28" t="s">
        <v>183</v>
      </c>
      <c r="D834" s="29" t="str">
        <f t="shared" si="1"/>
        <v>Removed</v>
      </c>
      <c r="E834" s="33">
        <v>44833.0</v>
      </c>
      <c r="F834" s="31">
        <v>45565.0</v>
      </c>
      <c r="G834" s="32">
        <f t="shared" si="2"/>
        <v>24.03333333</v>
      </c>
      <c r="H834" s="33">
        <v>44229.0</v>
      </c>
      <c r="I834" s="32">
        <f t="shared" si="3"/>
        <v>1.658333333</v>
      </c>
      <c r="J834" s="34"/>
      <c r="K834" s="34">
        <v>71.0</v>
      </c>
      <c r="L834" s="35" t="s">
        <v>37</v>
      </c>
      <c r="M834" s="35"/>
      <c r="N834" s="35" t="s">
        <v>1417</v>
      </c>
      <c r="O834" s="35" t="s">
        <v>125</v>
      </c>
      <c r="P834" s="36" t="s">
        <v>1418</v>
      </c>
      <c r="Q834" s="35"/>
      <c r="R834" s="29" t="str">
        <f t="shared" si="4"/>
        <v>Removed</v>
      </c>
      <c r="S834" s="33">
        <v>45547.0</v>
      </c>
      <c r="T834" s="32">
        <f t="shared" si="5"/>
        <v>23.43333333</v>
      </c>
    </row>
    <row r="835">
      <c r="A835" s="64" t="s">
        <v>1419</v>
      </c>
      <c r="B835" s="16" t="s">
        <v>27</v>
      </c>
      <c r="C835" s="16" t="s">
        <v>28</v>
      </c>
      <c r="D835" s="17" t="str">
        <f t="shared" si="1"/>
        <v>Removed</v>
      </c>
      <c r="E835" s="76">
        <v>43650.0</v>
      </c>
      <c r="F835" s="52">
        <v>45565.0</v>
      </c>
      <c r="G835" s="20">
        <f t="shared" si="2"/>
        <v>62.86666667</v>
      </c>
      <c r="H835" s="18">
        <v>43571.0</v>
      </c>
      <c r="I835" s="20">
        <f t="shared" si="3"/>
        <v>0.2166666667</v>
      </c>
      <c r="J835" s="65">
        <v>73.0</v>
      </c>
      <c r="K835" s="53">
        <v>64.0</v>
      </c>
      <c r="L835" s="23" t="s">
        <v>1420</v>
      </c>
      <c r="M835" s="23" t="s">
        <v>451</v>
      </c>
      <c r="N835" s="43"/>
      <c r="O835" s="23" t="s">
        <v>334</v>
      </c>
      <c r="P835" s="54" t="s">
        <v>1421</v>
      </c>
      <c r="Q835" s="23"/>
      <c r="R835" s="17" t="str">
        <f t="shared" si="4"/>
        <v>Removed</v>
      </c>
      <c r="S835" s="18">
        <v>45547.0</v>
      </c>
      <c r="T835" s="20">
        <f t="shared" si="5"/>
        <v>62.26666667</v>
      </c>
    </row>
    <row r="836">
      <c r="A836" s="27" t="s">
        <v>1422</v>
      </c>
      <c r="B836" s="28" t="s">
        <v>27</v>
      </c>
      <c r="C836" s="28" t="s">
        <v>28</v>
      </c>
      <c r="D836" s="29" t="str">
        <f t="shared" si="1"/>
        <v>Removed</v>
      </c>
      <c r="E836" s="33">
        <v>45190.0</v>
      </c>
      <c r="F836" s="31">
        <v>45550.0</v>
      </c>
      <c r="G836" s="32">
        <f t="shared" si="2"/>
        <v>11.8</v>
      </c>
      <c r="H836" s="33">
        <v>45190.0</v>
      </c>
      <c r="I836" s="32">
        <f t="shared" si="3"/>
        <v>0</v>
      </c>
      <c r="J836" s="34">
        <v>68.0</v>
      </c>
      <c r="K836" s="34">
        <v>10.0</v>
      </c>
      <c r="L836" s="35" t="s">
        <v>184</v>
      </c>
      <c r="M836" s="35" t="s">
        <v>30</v>
      </c>
      <c r="N836" s="35"/>
      <c r="O836" s="35" t="s">
        <v>427</v>
      </c>
      <c r="P836" s="36"/>
      <c r="Q836" s="35"/>
      <c r="R836" s="29" t="str">
        <f t="shared" si="4"/>
        <v>TBD</v>
      </c>
      <c r="S836" s="33"/>
      <c r="T836" s="32">
        <f t="shared" si="5"/>
        <v>24.8</v>
      </c>
    </row>
    <row r="837">
      <c r="A837" s="15" t="s">
        <v>1423</v>
      </c>
      <c r="B837" s="16" t="s">
        <v>27</v>
      </c>
      <c r="C837" s="16" t="s">
        <v>28</v>
      </c>
      <c r="D837" s="17" t="str">
        <f t="shared" si="1"/>
        <v>Removed</v>
      </c>
      <c r="E837" s="18">
        <v>45062.0</v>
      </c>
      <c r="F837" s="52">
        <v>45550.0</v>
      </c>
      <c r="G837" s="20">
        <f t="shared" si="2"/>
        <v>15.96666667</v>
      </c>
      <c r="H837" s="18">
        <v>44470.0</v>
      </c>
      <c r="I837" s="20">
        <f t="shared" si="3"/>
        <v>1.625</v>
      </c>
      <c r="J837" s="53">
        <v>78.0</v>
      </c>
      <c r="K837" s="53">
        <v>94.0</v>
      </c>
      <c r="L837" s="23" t="s">
        <v>856</v>
      </c>
      <c r="M837" s="23"/>
      <c r="N837" s="23"/>
      <c r="O837" s="23" t="s">
        <v>132</v>
      </c>
      <c r="P837" s="54"/>
      <c r="Q837" s="23"/>
      <c r="R837" s="17" t="str">
        <f t="shared" si="4"/>
        <v>Removed</v>
      </c>
      <c r="S837" s="18">
        <v>45547.0</v>
      </c>
      <c r="T837" s="20">
        <f t="shared" si="5"/>
        <v>15.86666667</v>
      </c>
    </row>
    <row r="838">
      <c r="A838" s="27" t="s">
        <v>1424</v>
      </c>
      <c r="B838" s="28" t="s">
        <v>27</v>
      </c>
      <c r="C838" s="28" t="s">
        <v>623</v>
      </c>
      <c r="D838" s="29" t="str">
        <f t="shared" si="1"/>
        <v>Removed</v>
      </c>
      <c r="E838" s="33">
        <v>44826.0</v>
      </c>
      <c r="F838" s="31">
        <v>45550.0</v>
      </c>
      <c r="G838" s="32">
        <f t="shared" si="2"/>
        <v>23.76666667</v>
      </c>
      <c r="H838" s="33">
        <v>44826.0</v>
      </c>
      <c r="I838" s="32">
        <f t="shared" si="3"/>
        <v>0</v>
      </c>
      <c r="J838" s="34"/>
      <c r="K838" s="34">
        <v>8.5</v>
      </c>
      <c r="L838" s="35" t="s">
        <v>505</v>
      </c>
      <c r="M838" s="35" t="s">
        <v>30</v>
      </c>
      <c r="N838" s="35"/>
      <c r="O838" s="35" t="s">
        <v>334</v>
      </c>
      <c r="P838" s="36" t="s">
        <v>483</v>
      </c>
      <c r="Q838" s="35"/>
      <c r="R838" s="29" t="str">
        <f t="shared" si="4"/>
        <v>Removed</v>
      </c>
      <c r="S838" s="33">
        <v>45547.0</v>
      </c>
      <c r="T838" s="32">
        <f t="shared" si="5"/>
        <v>23.66666667</v>
      </c>
    </row>
    <row r="839">
      <c r="A839" s="15" t="s">
        <v>1425</v>
      </c>
      <c r="B839" s="16" t="s">
        <v>27</v>
      </c>
      <c r="C839" s="16" t="s">
        <v>121</v>
      </c>
      <c r="D839" s="17" t="str">
        <f t="shared" si="1"/>
        <v>Removed</v>
      </c>
      <c r="E839" s="18">
        <v>44826.0</v>
      </c>
      <c r="F839" s="52">
        <v>45550.0</v>
      </c>
      <c r="G839" s="20">
        <f t="shared" si="2"/>
        <v>23.76666667</v>
      </c>
      <c r="H839" s="18">
        <v>44826.0</v>
      </c>
      <c r="I839" s="20">
        <f t="shared" si="3"/>
        <v>0</v>
      </c>
      <c r="J839" s="53">
        <v>83.0</v>
      </c>
      <c r="K839" s="53">
        <v>9.0</v>
      </c>
      <c r="L839" s="23" t="s">
        <v>76</v>
      </c>
      <c r="M839" s="23"/>
      <c r="N839" s="23"/>
      <c r="O839" s="23" t="s">
        <v>334</v>
      </c>
      <c r="P839" s="54" t="s">
        <v>586</v>
      </c>
      <c r="Q839" s="23"/>
      <c r="R839" s="17" t="str">
        <f t="shared" si="4"/>
        <v>Removed</v>
      </c>
      <c r="S839" s="18">
        <v>45547.0</v>
      </c>
      <c r="T839" s="20">
        <f t="shared" si="5"/>
        <v>23.66666667</v>
      </c>
    </row>
    <row r="840">
      <c r="A840" s="27" t="s">
        <v>1426</v>
      </c>
      <c r="B840" s="28" t="s">
        <v>27</v>
      </c>
      <c r="C840" s="28" t="s">
        <v>121</v>
      </c>
      <c r="D840" s="29" t="str">
        <f t="shared" si="1"/>
        <v>Removed</v>
      </c>
      <c r="E840" s="33">
        <v>44818.0</v>
      </c>
      <c r="F840" s="31">
        <v>45550.0</v>
      </c>
      <c r="G840" s="32">
        <f t="shared" si="2"/>
        <v>24.03333333</v>
      </c>
      <c r="H840" s="33">
        <v>44818.0</v>
      </c>
      <c r="I840" s="32">
        <f t="shared" si="3"/>
        <v>0</v>
      </c>
      <c r="J840" s="34">
        <v>77.0</v>
      </c>
      <c r="K840" s="34">
        <v>8.5</v>
      </c>
      <c r="L840" s="35" t="s">
        <v>1427</v>
      </c>
      <c r="M840" s="35"/>
      <c r="N840" s="35"/>
      <c r="O840" s="35" t="s">
        <v>132</v>
      </c>
      <c r="P840" s="36"/>
      <c r="Q840" s="35"/>
      <c r="R840" s="29" t="str">
        <f t="shared" si="4"/>
        <v>Removed</v>
      </c>
      <c r="S840" s="33">
        <v>45547.0</v>
      </c>
      <c r="T840" s="32">
        <f t="shared" si="5"/>
        <v>23.93333333</v>
      </c>
    </row>
    <row r="841">
      <c r="A841" s="15" t="s">
        <v>1428</v>
      </c>
      <c r="B841" s="16" t="s">
        <v>40</v>
      </c>
      <c r="C841" s="16"/>
      <c r="D841" s="17" t="str">
        <f t="shared" si="1"/>
        <v>Removed</v>
      </c>
      <c r="E841" s="18">
        <v>44817.0</v>
      </c>
      <c r="F841" s="52">
        <v>45550.0</v>
      </c>
      <c r="G841" s="20">
        <f t="shared" si="2"/>
        <v>24.06666667</v>
      </c>
      <c r="H841" s="18">
        <v>42684.0</v>
      </c>
      <c r="I841" s="20">
        <f t="shared" si="3"/>
        <v>5.841666667</v>
      </c>
      <c r="J841" s="53">
        <v>81.0</v>
      </c>
      <c r="K841" s="53">
        <v>16.0</v>
      </c>
      <c r="L841" s="23" t="s">
        <v>726</v>
      </c>
      <c r="M841" s="23"/>
      <c r="N841" s="23"/>
      <c r="O841" s="23" t="s">
        <v>334</v>
      </c>
      <c r="P841" s="54" t="s">
        <v>593</v>
      </c>
      <c r="Q841" s="23"/>
      <c r="R841" s="17" t="str">
        <f t="shared" si="4"/>
        <v>TBD</v>
      </c>
      <c r="S841" s="18"/>
      <c r="T841" s="20">
        <f t="shared" si="5"/>
        <v>37.06666667</v>
      </c>
    </row>
    <row r="842">
      <c r="A842" s="27" t="s">
        <v>1429</v>
      </c>
      <c r="B842" s="28" t="s">
        <v>68</v>
      </c>
      <c r="C842" s="28" t="s">
        <v>28</v>
      </c>
      <c r="D842" s="29" t="str">
        <f t="shared" si="1"/>
        <v>Removed</v>
      </c>
      <c r="E842" s="30">
        <v>45362.0</v>
      </c>
      <c r="F842" s="31">
        <v>45535.0</v>
      </c>
      <c r="G842" s="32">
        <f t="shared" si="2"/>
        <v>5.633333333</v>
      </c>
      <c r="H842" s="33">
        <v>45177.0</v>
      </c>
      <c r="I842" s="32">
        <f t="shared" si="3"/>
        <v>0.5083333333</v>
      </c>
      <c r="J842" s="34">
        <v>68.0</v>
      </c>
      <c r="K842" s="34"/>
      <c r="L842" s="35" t="s">
        <v>922</v>
      </c>
      <c r="M842" s="35"/>
      <c r="N842" s="35"/>
      <c r="O842" s="35"/>
      <c r="P842" s="36"/>
      <c r="Q842" s="35"/>
      <c r="R842" s="29"/>
      <c r="S842" s="33"/>
      <c r="T842" s="32"/>
    </row>
    <row r="843">
      <c r="A843" s="15" t="s">
        <v>1430</v>
      </c>
      <c r="B843" s="16" t="s">
        <v>27</v>
      </c>
      <c r="C843" s="16" t="s">
        <v>28</v>
      </c>
      <c r="D843" s="17" t="str">
        <f t="shared" si="1"/>
        <v>Removed</v>
      </c>
      <c r="E843" s="18">
        <v>44992.0</v>
      </c>
      <c r="F843" s="52">
        <v>45535.0</v>
      </c>
      <c r="G843" s="20">
        <f t="shared" si="2"/>
        <v>17.76666667</v>
      </c>
      <c r="H843" s="18">
        <v>44358.0</v>
      </c>
      <c r="I843" s="20">
        <f t="shared" si="3"/>
        <v>1.738888889</v>
      </c>
      <c r="J843" s="53">
        <v>85.0</v>
      </c>
      <c r="K843" s="53">
        <v>5.0</v>
      </c>
      <c r="L843" s="23" t="s">
        <v>303</v>
      </c>
      <c r="M843" s="23"/>
      <c r="N843" s="23"/>
      <c r="O843" s="23" t="s">
        <v>125</v>
      </c>
      <c r="P843" s="54" t="s">
        <v>760</v>
      </c>
      <c r="Q843" s="23"/>
      <c r="R843" s="17"/>
      <c r="S843" s="18"/>
      <c r="T843" s="20"/>
    </row>
    <row r="844">
      <c r="A844" s="27" t="s">
        <v>1431</v>
      </c>
      <c r="B844" s="28" t="s">
        <v>27</v>
      </c>
      <c r="C844" s="28" t="s">
        <v>183</v>
      </c>
      <c r="D844" s="29" t="str">
        <f t="shared" si="1"/>
        <v>Removed</v>
      </c>
      <c r="E844" s="33">
        <v>44978.0</v>
      </c>
      <c r="F844" s="31">
        <v>45535.0</v>
      </c>
      <c r="G844" s="32">
        <f t="shared" si="2"/>
        <v>18.3</v>
      </c>
      <c r="H844" s="33">
        <v>44978.0</v>
      </c>
      <c r="I844" s="32">
        <f t="shared" si="3"/>
        <v>0</v>
      </c>
      <c r="J844" s="34">
        <v>72.0</v>
      </c>
      <c r="K844" s="34">
        <v>16.0</v>
      </c>
      <c r="L844" s="35" t="s">
        <v>505</v>
      </c>
      <c r="M844" s="35"/>
      <c r="N844" s="35"/>
      <c r="O844" s="35" t="s">
        <v>34</v>
      </c>
      <c r="P844" s="36" t="s">
        <v>1432</v>
      </c>
      <c r="Q844" s="35"/>
      <c r="R844" s="29"/>
      <c r="S844" s="33"/>
      <c r="T844" s="32"/>
    </row>
    <row r="845">
      <c r="A845" s="15" t="s">
        <v>1433</v>
      </c>
      <c r="B845" s="16" t="s">
        <v>27</v>
      </c>
      <c r="C845" s="16" t="s">
        <v>28</v>
      </c>
      <c r="D845" s="17" t="str">
        <f t="shared" si="1"/>
        <v>Removed</v>
      </c>
      <c r="E845" s="18">
        <v>44267.0</v>
      </c>
      <c r="F845" s="52">
        <v>45524.0</v>
      </c>
      <c r="G845" s="20">
        <f t="shared" si="2"/>
        <v>41.26666667</v>
      </c>
      <c r="H845" s="18">
        <v>34313.0</v>
      </c>
      <c r="I845" s="20">
        <f t="shared" si="3"/>
        <v>27.25555556</v>
      </c>
      <c r="J845" s="53">
        <v>83.0</v>
      </c>
      <c r="K845" s="53">
        <v>4.5</v>
      </c>
      <c r="L845" s="23" t="s">
        <v>184</v>
      </c>
      <c r="M845" s="23"/>
      <c r="N845" s="23"/>
      <c r="O845" s="23" t="s">
        <v>34</v>
      </c>
      <c r="P845" s="54" t="s">
        <v>619</v>
      </c>
      <c r="Q845" s="23"/>
      <c r="R845" s="17"/>
      <c r="S845" s="18"/>
      <c r="T845" s="20"/>
    </row>
    <row r="846">
      <c r="A846" s="27" t="s">
        <v>1434</v>
      </c>
      <c r="B846" s="28" t="s">
        <v>27</v>
      </c>
      <c r="C846" s="28" t="s">
        <v>28</v>
      </c>
      <c r="D846" s="29" t="str">
        <f t="shared" si="1"/>
        <v>Removed</v>
      </c>
      <c r="E846" s="33">
        <v>44267.0</v>
      </c>
      <c r="F846" s="31">
        <v>45524.0</v>
      </c>
      <c r="G846" s="32">
        <f t="shared" si="2"/>
        <v>41.26666667</v>
      </c>
      <c r="H846" s="33">
        <v>34607.0</v>
      </c>
      <c r="I846" s="32">
        <f t="shared" si="3"/>
        <v>26.45</v>
      </c>
      <c r="J846" s="34">
        <f>(77+83)/2</f>
        <v>80</v>
      </c>
      <c r="K846" s="34">
        <v>7.0</v>
      </c>
      <c r="L846" s="35" t="s">
        <v>184</v>
      </c>
      <c r="M846" s="35"/>
      <c r="N846" s="35"/>
      <c r="O846" s="35" t="s">
        <v>34</v>
      </c>
      <c r="P846" s="36" t="s">
        <v>619</v>
      </c>
      <c r="Q846" s="35"/>
      <c r="R846" s="29"/>
      <c r="S846" s="33"/>
      <c r="T846" s="32"/>
    </row>
    <row r="847">
      <c r="A847" s="15" t="s">
        <v>1435</v>
      </c>
      <c r="B847" s="16" t="s">
        <v>27</v>
      </c>
      <c r="C847" s="16" t="s">
        <v>28</v>
      </c>
      <c r="D847" s="17" t="str">
        <f t="shared" si="1"/>
        <v>Removed</v>
      </c>
      <c r="E847" s="18">
        <v>45156.0</v>
      </c>
      <c r="F847" s="52">
        <v>45519.0</v>
      </c>
      <c r="G847" s="20">
        <f t="shared" si="2"/>
        <v>11.9</v>
      </c>
      <c r="H847" s="18">
        <v>45156.0</v>
      </c>
      <c r="I847" s="20">
        <f t="shared" si="3"/>
        <v>0</v>
      </c>
      <c r="J847" s="53">
        <v>72.0</v>
      </c>
      <c r="K847" s="53"/>
      <c r="L847" s="23" t="s">
        <v>366</v>
      </c>
      <c r="M847" s="23"/>
      <c r="N847" s="23"/>
      <c r="O847" s="23" t="s">
        <v>34</v>
      </c>
      <c r="P847" s="54" t="s">
        <v>35</v>
      </c>
      <c r="Q847" s="23"/>
      <c r="R847" s="17"/>
      <c r="S847" s="18"/>
      <c r="T847" s="20"/>
    </row>
    <row r="848">
      <c r="A848" s="27" t="s">
        <v>1436</v>
      </c>
      <c r="B848" s="28" t="s">
        <v>27</v>
      </c>
      <c r="C848" s="28" t="s">
        <v>28</v>
      </c>
      <c r="D848" s="29" t="str">
        <f t="shared" si="1"/>
        <v>Removed</v>
      </c>
      <c r="E848" s="30">
        <v>45148.0</v>
      </c>
      <c r="F848" s="31">
        <v>45519.0</v>
      </c>
      <c r="G848" s="32">
        <f t="shared" si="2"/>
        <v>12.16666667</v>
      </c>
      <c r="H848" s="33">
        <v>44182.0</v>
      </c>
      <c r="I848" s="32">
        <f t="shared" si="3"/>
        <v>2.647222222</v>
      </c>
      <c r="J848" s="34">
        <v>76.0</v>
      </c>
      <c r="K848" s="34">
        <v>8.0</v>
      </c>
      <c r="L848" s="35" t="s">
        <v>966</v>
      </c>
      <c r="M848" s="35"/>
      <c r="N848" s="35"/>
      <c r="O848" s="35" t="s">
        <v>427</v>
      </c>
      <c r="P848" s="36"/>
      <c r="Q848" s="35"/>
      <c r="R848" s="29"/>
      <c r="S848" s="33"/>
      <c r="T848" s="32"/>
    </row>
    <row r="849">
      <c r="A849" s="15" t="s">
        <v>1437</v>
      </c>
      <c r="B849" s="16" t="s">
        <v>27</v>
      </c>
      <c r="C849" s="16" t="s">
        <v>28</v>
      </c>
      <c r="D849" s="17" t="str">
        <f t="shared" si="1"/>
        <v>Removed</v>
      </c>
      <c r="E849" s="18">
        <v>44973.0</v>
      </c>
      <c r="F849" s="52">
        <v>45519.0</v>
      </c>
      <c r="G849" s="20">
        <f t="shared" si="2"/>
        <v>17.96666667</v>
      </c>
      <c r="H849" s="18">
        <v>44621.0</v>
      </c>
      <c r="I849" s="20">
        <f t="shared" si="3"/>
        <v>0.9583333333</v>
      </c>
      <c r="J849" s="53">
        <v>71.0</v>
      </c>
      <c r="K849" s="53">
        <v>6.0</v>
      </c>
      <c r="L849" s="23" t="s">
        <v>791</v>
      </c>
      <c r="M849" s="23"/>
      <c r="N849" s="23"/>
      <c r="O849" s="23" t="s">
        <v>34</v>
      </c>
      <c r="P849" s="54" t="s">
        <v>1365</v>
      </c>
      <c r="Q849" s="23"/>
      <c r="R849" s="17"/>
      <c r="S849" s="18"/>
      <c r="T849" s="20"/>
    </row>
    <row r="850">
      <c r="A850" s="27" t="s">
        <v>1438</v>
      </c>
      <c r="B850" s="28" t="s">
        <v>40</v>
      </c>
      <c r="C850" s="28"/>
      <c r="D850" s="29" t="str">
        <f t="shared" si="1"/>
        <v>Removed</v>
      </c>
      <c r="E850" s="33">
        <v>44784.0</v>
      </c>
      <c r="F850" s="31">
        <v>45519.0</v>
      </c>
      <c r="G850" s="32">
        <f t="shared" si="2"/>
        <v>24.13333333</v>
      </c>
      <c r="H850" s="33">
        <v>42488.0</v>
      </c>
      <c r="I850" s="32">
        <f t="shared" si="3"/>
        <v>6.286111111</v>
      </c>
      <c r="J850" s="34">
        <v>78.0</v>
      </c>
      <c r="K850" s="34">
        <v>8.0</v>
      </c>
      <c r="L850" s="35" t="s">
        <v>726</v>
      </c>
      <c r="M850" s="35"/>
      <c r="N850" s="35"/>
      <c r="O850" s="35" t="s">
        <v>132</v>
      </c>
      <c r="P850" s="36" t="s">
        <v>340</v>
      </c>
      <c r="Q850" s="35"/>
      <c r="R850" s="28"/>
      <c r="S850" s="33"/>
      <c r="T850" s="32"/>
    </row>
    <row r="851">
      <c r="A851" s="15" t="s">
        <v>1439</v>
      </c>
      <c r="B851" s="16" t="s">
        <v>27</v>
      </c>
      <c r="C851" s="16" t="s">
        <v>28</v>
      </c>
      <c r="D851" s="17" t="str">
        <f t="shared" si="1"/>
        <v>Removed</v>
      </c>
      <c r="E851" s="18">
        <v>45329.0</v>
      </c>
      <c r="F851" s="52">
        <v>45504.0</v>
      </c>
      <c r="G851" s="20">
        <f t="shared" si="2"/>
        <v>5.766666667</v>
      </c>
      <c r="H851" s="18">
        <v>45195.0</v>
      </c>
      <c r="I851" s="20">
        <f t="shared" si="3"/>
        <v>0.3638888889</v>
      </c>
      <c r="J851" s="53">
        <v>80.0</v>
      </c>
      <c r="K851" s="53"/>
      <c r="L851" s="23" t="s">
        <v>50</v>
      </c>
      <c r="M851" s="23"/>
      <c r="N851" s="23"/>
      <c r="O851" s="23" t="s">
        <v>132</v>
      </c>
      <c r="P851" s="54"/>
      <c r="Q851" s="23"/>
      <c r="R851" s="17"/>
      <c r="S851" s="18"/>
      <c r="T851" s="20"/>
    </row>
    <row r="852">
      <c r="A852" s="27" t="s">
        <v>1440</v>
      </c>
      <c r="B852" s="28" t="s">
        <v>27</v>
      </c>
      <c r="C852" s="28" t="s">
        <v>28</v>
      </c>
      <c r="D852" s="29" t="str">
        <f t="shared" si="1"/>
        <v>Removed</v>
      </c>
      <c r="E852" s="33">
        <v>45141.0</v>
      </c>
      <c r="F852" s="31">
        <v>45504.0</v>
      </c>
      <c r="G852" s="32">
        <f t="shared" si="2"/>
        <v>11.9</v>
      </c>
      <c r="H852" s="33">
        <v>43676.0</v>
      </c>
      <c r="I852" s="32">
        <f t="shared" si="3"/>
        <v>4.008333333</v>
      </c>
      <c r="J852" s="34">
        <v>82.0</v>
      </c>
      <c r="K852" s="34">
        <v>2.0</v>
      </c>
      <c r="L852" s="35" t="s">
        <v>37</v>
      </c>
      <c r="M852" s="35"/>
      <c r="N852" s="35"/>
      <c r="O852" s="35" t="s">
        <v>132</v>
      </c>
      <c r="P852" s="36"/>
      <c r="Q852" s="35"/>
      <c r="R852" s="29"/>
      <c r="S852" s="33"/>
      <c r="T852" s="32"/>
    </row>
    <row r="853">
      <c r="A853" s="15" t="s">
        <v>1441</v>
      </c>
      <c r="B853" s="16" t="s">
        <v>27</v>
      </c>
      <c r="C853" s="16"/>
      <c r="D853" s="17" t="str">
        <f t="shared" si="1"/>
        <v>Removed</v>
      </c>
      <c r="E853" s="18">
        <v>45138.0</v>
      </c>
      <c r="F853" s="52">
        <v>45504.0</v>
      </c>
      <c r="G853" s="20">
        <f t="shared" si="2"/>
        <v>12</v>
      </c>
      <c r="H853" s="18">
        <v>45138.0</v>
      </c>
      <c r="I853" s="20">
        <f t="shared" si="3"/>
        <v>0</v>
      </c>
      <c r="J853" s="53">
        <v>79.0</v>
      </c>
      <c r="K853" s="53">
        <v>2.0</v>
      </c>
      <c r="L853" s="23" t="s">
        <v>362</v>
      </c>
      <c r="M853" s="23"/>
      <c r="N853" s="23"/>
      <c r="O853" s="23" t="s">
        <v>427</v>
      </c>
      <c r="P853" s="54"/>
      <c r="Q853" s="23"/>
      <c r="R853" s="17"/>
      <c r="S853" s="18"/>
      <c r="T853" s="20"/>
    </row>
    <row r="854">
      <c r="A854" s="27" t="s">
        <v>1442</v>
      </c>
      <c r="B854" s="28" t="s">
        <v>27</v>
      </c>
      <c r="C854" s="28" t="s">
        <v>28</v>
      </c>
      <c r="D854" s="29" t="str">
        <f t="shared" si="1"/>
        <v>Removed</v>
      </c>
      <c r="E854" s="33">
        <v>45127.0</v>
      </c>
      <c r="F854" s="31">
        <v>45488.0</v>
      </c>
      <c r="G854" s="32">
        <f t="shared" si="2"/>
        <v>11.83333333</v>
      </c>
      <c r="H854" s="33">
        <v>44994.0</v>
      </c>
      <c r="I854" s="32">
        <f t="shared" si="3"/>
        <v>0.3638888889</v>
      </c>
      <c r="J854" s="34">
        <v>74.0</v>
      </c>
      <c r="K854" s="34">
        <v>4.0</v>
      </c>
      <c r="L854" s="35" t="s">
        <v>37</v>
      </c>
      <c r="M854" s="35"/>
      <c r="N854" s="35"/>
      <c r="O854" s="35" t="s">
        <v>427</v>
      </c>
      <c r="P854" s="36"/>
      <c r="Q854" s="35"/>
      <c r="R854" s="29"/>
      <c r="S854" s="33"/>
      <c r="T854" s="32"/>
    </row>
    <row r="855">
      <c r="A855" s="15" t="s">
        <v>1443</v>
      </c>
      <c r="B855" s="16" t="s">
        <v>27</v>
      </c>
      <c r="C855" s="16" t="s">
        <v>28</v>
      </c>
      <c r="D855" s="17" t="str">
        <f t="shared" si="1"/>
        <v>Removed</v>
      </c>
      <c r="E855" s="18">
        <v>45127.0</v>
      </c>
      <c r="F855" s="52">
        <v>45488.0</v>
      </c>
      <c r="G855" s="20">
        <f t="shared" si="2"/>
        <v>11.83333333</v>
      </c>
      <c r="H855" s="18">
        <v>44818.0</v>
      </c>
      <c r="I855" s="20">
        <f t="shared" si="3"/>
        <v>0.85</v>
      </c>
      <c r="J855" s="53"/>
      <c r="K855" s="53">
        <v>14.0</v>
      </c>
      <c r="L855" s="23" t="s">
        <v>522</v>
      </c>
      <c r="M855" s="23"/>
      <c r="N855" s="23"/>
      <c r="O855" s="23" t="s">
        <v>427</v>
      </c>
      <c r="P855" s="54"/>
      <c r="Q855" s="23"/>
      <c r="R855" s="17"/>
      <c r="S855" s="18"/>
      <c r="T855" s="20"/>
    </row>
    <row r="856">
      <c r="A856" s="27" t="s">
        <v>1444</v>
      </c>
      <c r="B856" s="28" t="s">
        <v>27</v>
      </c>
      <c r="C856" s="28" t="s">
        <v>28</v>
      </c>
      <c r="D856" s="29" t="str">
        <f t="shared" si="1"/>
        <v>Removed</v>
      </c>
      <c r="E856" s="33">
        <v>45125.0</v>
      </c>
      <c r="F856" s="31">
        <v>45488.0</v>
      </c>
      <c r="G856" s="32">
        <f t="shared" si="2"/>
        <v>11.9</v>
      </c>
      <c r="H856" s="33">
        <v>44456.0</v>
      </c>
      <c r="I856" s="32">
        <f t="shared" si="3"/>
        <v>1.836111111</v>
      </c>
      <c r="J856" s="34">
        <v>79.0</v>
      </c>
      <c r="K856" s="34">
        <v>4.0</v>
      </c>
      <c r="L856" s="35" t="s">
        <v>562</v>
      </c>
      <c r="M856" s="35"/>
      <c r="N856" s="35"/>
      <c r="O856" s="35" t="s">
        <v>427</v>
      </c>
      <c r="P856" s="36"/>
      <c r="Q856" s="35"/>
      <c r="R856" s="29"/>
      <c r="S856" s="33"/>
      <c r="T856" s="32"/>
    </row>
    <row r="857">
      <c r="A857" s="15" t="s">
        <v>1445</v>
      </c>
      <c r="B857" s="16" t="s">
        <v>27</v>
      </c>
      <c r="C857" s="16" t="s">
        <v>28</v>
      </c>
      <c r="D857" s="17" t="str">
        <f t="shared" si="1"/>
        <v>Removed</v>
      </c>
      <c r="E857" s="18">
        <v>45036.0</v>
      </c>
      <c r="F857" s="52">
        <v>45488.0</v>
      </c>
      <c r="G857" s="20">
        <f t="shared" si="2"/>
        <v>14.83333333</v>
      </c>
      <c r="H857" s="18">
        <v>45036.0</v>
      </c>
      <c r="I857" s="20">
        <f t="shared" si="3"/>
        <v>0</v>
      </c>
      <c r="J857" s="53">
        <v>78.0</v>
      </c>
      <c r="K857" s="53">
        <v>7.0</v>
      </c>
      <c r="L857" s="23" t="s">
        <v>362</v>
      </c>
      <c r="M857" s="23"/>
      <c r="N857" s="23"/>
      <c r="O857" s="23" t="s">
        <v>125</v>
      </c>
      <c r="P857" s="54" t="s">
        <v>1446</v>
      </c>
      <c r="Q857" s="23"/>
      <c r="R857" s="17"/>
      <c r="S857" s="18"/>
      <c r="T857" s="20"/>
    </row>
    <row r="858">
      <c r="A858" s="27" t="s">
        <v>1447</v>
      </c>
      <c r="B858" s="28" t="s">
        <v>40</v>
      </c>
      <c r="C858" s="28"/>
      <c r="D858" s="29" t="str">
        <f t="shared" si="1"/>
        <v>Removed</v>
      </c>
      <c r="E858" s="93">
        <v>44763.0</v>
      </c>
      <c r="F858" s="31">
        <v>45488.0</v>
      </c>
      <c r="G858" s="32">
        <f t="shared" si="2"/>
        <v>23.8</v>
      </c>
      <c r="H858" s="33">
        <v>41430.0</v>
      </c>
      <c r="I858" s="32">
        <f t="shared" si="3"/>
        <v>9.127777778</v>
      </c>
      <c r="J858" s="34">
        <v>82.0</v>
      </c>
      <c r="K858" s="34">
        <v>10.0</v>
      </c>
      <c r="L858" s="96" t="s">
        <v>726</v>
      </c>
      <c r="M858" s="85"/>
      <c r="N858" s="85"/>
      <c r="O858" s="96" t="s">
        <v>334</v>
      </c>
      <c r="P858" s="131" t="s">
        <v>483</v>
      </c>
      <c r="Q858" s="85"/>
      <c r="R858" s="28"/>
      <c r="S858" s="33"/>
      <c r="T858" s="32"/>
    </row>
    <row r="859">
      <c r="A859" s="15" t="s">
        <v>1448</v>
      </c>
      <c r="B859" s="16" t="s">
        <v>27</v>
      </c>
      <c r="C859" s="16" t="s">
        <v>28</v>
      </c>
      <c r="D859" s="17" t="str">
        <f t="shared" si="1"/>
        <v>Removed</v>
      </c>
      <c r="E859" s="18">
        <v>44656.0</v>
      </c>
      <c r="F859" s="52">
        <v>45478.0</v>
      </c>
      <c r="G859" s="20">
        <f t="shared" si="2"/>
        <v>27</v>
      </c>
      <c r="H859" s="18">
        <v>44532.0</v>
      </c>
      <c r="I859" s="20">
        <f t="shared" si="3"/>
        <v>0.3416666667</v>
      </c>
      <c r="J859" s="53">
        <v>61.0</v>
      </c>
      <c r="K859" s="53">
        <v>22.0</v>
      </c>
      <c r="L859" s="23" t="s">
        <v>1449</v>
      </c>
      <c r="M859" s="23"/>
      <c r="N859" s="23"/>
      <c r="O859" s="23" t="s">
        <v>132</v>
      </c>
      <c r="P859" s="54"/>
      <c r="Q859" s="23"/>
      <c r="R859" s="17"/>
      <c r="S859" s="18"/>
      <c r="T859" s="20"/>
    </row>
    <row r="860">
      <c r="A860" s="27" t="s">
        <v>1450</v>
      </c>
      <c r="B860" s="28" t="s">
        <v>27</v>
      </c>
      <c r="C860" s="28" t="s">
        <v>28</v>
      </c>
      <c r="D860" s="29" t="str">
        <f t="shared" si="1"/>
        <v>Removed</v>
      </c>
      <c r="E860" s="33">
        <v>45113.0</v>
      </c>
      <c r="F860" s="31">
        <v>45473.0</v>
      </c>
      <c r="G860" s="32">
        <f t="shared" si="2"/>
        <v>11.8</v>
      </c>
      <c r="H860" s="33">
        <v>44490.0</v>
      </c>
      <c r="I860" s="32">
        <f t="shared" si="3"/>
        <v>1.708333333</v>
      </c>
      <c r="J860" s="34">
        <v>73.0</v>
      </c>
      <c r="K860" s="34">
        <v>24.0</v>
      </c>
      <c r="L860" s="35" t="s">
        <v>509</v>
      </c>
      <c r="M860" s="33"/>
      <c r="N860" s="35"/>
      <c r="O860" s="35" t="s">
        <v>125</v>
      </c>
      <c r="P860" s="36" t="s">
        <v>1451</v>
      </c>
      <c r="Q860" s="35"/>
      <c r="R860" s="29"/>
      <c r="S860" s="33"/>
      <c r="T860" s="32"/>
    </row>
    <row r="861">
      <c r="A861" s="15" t="s">
        <v>1452</v>
      </c>
      <c r="B861" s="16" t="s">
        <v>27</v>
      </c>
      <c r="C861" s="16"/>
      <c r="D861" s="17" t="str">
        <f t="shared" si="1"/>
        <v>Removed</v>
      </c>
      <c r="E861" s="18">
        <v>45106.0</v>
      </c>
      <c r="F861" s="52">
        <v>45473.0</v>
      </c>
      <c r="G861" s="20">
        <f t="shared" si="2"/>
        <v>12.03333333</v>
      </c>
      <c r="H861" s="18">
        <v>43755.0</v>
      </c>
      <c r="I861" s="20">
        <f t="shared" si="3"/>
        <v>3.7</v>
      </c>
      <c r="J861" s="53">
        <v>72.0</v>
      </c>
      <c r="K861" s="53">
        <v>30.0</v>
      </c>
      <c r="L861" s="23" t="s">
        <v>50</v>
      </c>
      <c r="M861" s="23"/>
      <c r="N861" s="23"/>
      <c r="O861" s="23" t="s">
        <v>334</v>
      </c>
      <c r="P861" s="54" t="s">
        <v>1453</v>
      </c>
      <c r="Q861" s="23"/>
      <c r="R861" s="17"/>
      <c r="S861" s="18"/>
      <c r="T861" s="20"/>
    </row>
    <row r="862">
      <c r="A862" s="27" t="s">
        <v>1454</v>
      </c>
      <c r="B862" s="28" t="s">
        <v>27</v>
      </c>
      <c r="C862" s="28" t="s">
        <v>28</v>
      </c>
      <c r="D862" s="29" t="str">
        <f t="shared" si="1"/>
        <v>Removed</v>
      </c>
      <c r="E862" s="33">
        <v>45104.0</v>
      </c>
      <c r="F862" s="31">
        <v>45473.0</v>
      </c>
      <c r="G862" s="32">
        <f t="shared" si="2"/>
        <v>12.1</v>
      </c>
      <c r="H862" s="33">
        <v>44446.0</v>
      </c>
      <c r="I862" s="32">
        <f t="shared" si="3"/>
        <v>1.805555556</v>
      </c>
      <c r="J862" s="34">
        <v>81.0</v>
      </c>
      <c r="K862" s="34">
        <v>12.0</v>
      </c>
      <c r="L862" s="35" t="s">
        <v>1455</v>
      </c>
      <c r="M862" s="35" t="s">
        <v>30</v>
      </c>
      <c r="N862" s="35"/>
      <c r="O862" s="35" t="s">
        <v>334</v>
      </c>
      <c r="P862" s="36" t="s">
        <v>1456</v>
      </c>
      <c r="Q862" s="35"/>
      <c r="R862" s="29"/>
      <c r="S862" s="33"/>
      <c r="T862" s="32"/>
    </row>
    <row r="863">
      <c r="A863" s="15" t="s">
        <v>1457</v>
      </c>
      <c r="B863" s="16" t="s">
        <v>27</v>
      </c>
      <c r="C863" s="16" t="s">
        <v>28</v>
      </c>
      <c r="D863" s="17" t="str">
        <f t="shared" si="1"/>
        <v>Removed</v>
      </c>
      <c r="E863" s="18">
        <v>44929.0</v>
      </c>
      <c r="F863" s="52">
        <v>45473.0</v>
      </c>
      <c r="G863" s="20">
        <f t="shared" si="2"/>
        <v>17.9</v>
      </c>
      <c r="H863" s="18">
        <v>42027.0</v>
      </c>
      <c r="I863" s="20">
        <f t="shared" si="3"/>
        <v>7.944444444</v>
      </c>
      <c r="J863" s="53">
        <v>75.0</v>
      </c>
      <c r="K863" s="53">
        <v>18.0</v>
      </c>
      <c r="L863" s="23" t="s">
        <v>1458</v>
      </c>
      <c r="M863" s="23"/>
      <c r="N863" s="23"/>
      <c r="O863" s="23" t="s">
        <v>125</v>
      </c>
      <c r="P863" s="54" t="s">
        <v>1459</v>
      </c>
      <c r="Q863" s="23"/>
      <c r="R863" s="17"/>
      <c r="S863" s="18"/>
      <c r="T863" s="20"/>
    </row>
    <row r="864">
      <c r="A864" s="27" t="s">
        <v>1460</v>
      </c>
      <c r="B864" s="28" t="s">
        <v>27</v>
      </c>
      <c r="C864" s="28"/>
      <c r="D864" s="29" t="str">
        <f t="shared" si="1"/>
        <v>Removed</v>
      </c>
      <c r="E864" s="33">
        <v>44735.0</v>
      </c>
      <c r="F864" s="31">
        <v>45473.0</v>
      </c>
      <c r="G864" s="32">
        <f t="shared" si="2"/>
        <v>24.23333333</v>
      </c>
      <c r="H864" s="33">
        <v>44470.0</v>
      </c>
      <c r="I864" s="32">
        <f t="shared" si="3"/>
        <v>0.7277777778</v>
      </c>
      <c r="J864" s="34">
        <f>average(73,78)</f>
        <v>75.5</v>
      </c>
      <c r="K864" s="34">
        <v>94.5</v>
      </c>
      <c r="L864" s="35" t="s">
        <v>856</v>
      </c>
      <c r="M864" s="35"/>
      <c r="N864" s="35"/>
      <c r="O864" s="35" t="s">
        <v>132</v>
      </c>
      <c r="P864" s="36"/>
      <c r="R864" s="29"/>
      <c r="S864" s="33"/>
      <c r="T864" s="32"/>
    </row>
    <row r="865">
      <c r="A865" s="15" t="s">
        <v>1461</v>
      </c>
      <c r="B865" s="16" t="s">
        <v>27</v>
      </c>
      <c r="C865" s="16" t="s">
        <v>28</v>
      </c>
      <c r="D865" s="17" t="str">
        <f t="shared" si="1"/>
        <v>Removed</v>
      </c>
      <c r="E865" s="18">
        <v>45104.0</v>
      </c>
      <c r="F865" s="52">
        <v>45458.0</v>
      </c>
      <c r="G865" s="20">
        <f t="shared" si="2"/>
        <v>11.6</v>
      </c>
      <c r="H865" s="18">
        <v>45043.0</v>
      </c>
      <c r="I865" s="20">
        <f t="shared" si="3"/>
        <v>0.1666666667</v>
      </c>
      <c r="J865" s="53">
        <v>80.0</v>
      </c>
      <c r="K865" s="53">
        <v>5.0</v>
      </c>
      <c r="L865" s="23" t="s">
        <v>557</v>
      </c>
      <c r="M865" s="23"/>
      <c r="N865" s="23"/>
      <c r="O865" s="23" t="s">
        <v>34</v>
      </c>
      <c r="P865" s="54" t="s">
        <v>1462</v>
      </c>
      <c r="Q865" s="23" t="s">
        <v>621</v>
      </c>
      <c r="R865" s="17"/>
      <c r="S865" s="18"/>
      <c r="T865" s="20"/>
    </row>
    <row r="866">
      <c r="A866" s="27" t="s">
        <v>1463</v>
      </c>
      <c r="B866" s="28" t="s">
        <v>27</v>
      </c>
      <c r="C866" s="28"/>
      <c r="D866" s="29" t="str">
        <f t="shared" si="1"/>
        <v>Removed</v>
      </c>
      <c r="E866" s="33">
        <v>45099.0</v>
      </c>
      <c r="F866" s="31">
        <v>45458.0</v>
      </c>
      <c r="G866" s="32">
        <f t="shared" si="2"/>
        <v>11.76666667</v>
      </c>
      <c r="H866" s="33">
        <v>45099.0</v>
      </c>
      <c r="I866" s="32">
        <f t="shared" si="3"/>
        <v>0</v>
      </c>
      <c r="J866" s="34">
        <v>75.0</v>
      </c>
      <c r="K866" s="34">
        <v>6.0</v>
      </c>
      <c r="L866" s="35" t="s">
        <v>362</v>
      </c>
      <c r="M866" s="35"/>
      <c r="N866" s="35"/>
      <c r="O866" s="35" t="s">
        <v>427</v>
      </c>
      <c r="P866" s="36"/>
      <c r="Q866" s="35"/>
      <c r="R866" s="29"/>
      <c r="S866" s="33"/>
      <c r="T866" s="32"/>
    </row>
    <row r="867">
      <c r="A867" s="15" t="s">
        <v>1464</v>
      </c>
      <c r="B867" s="16" t="s">
        <v>27</v>
      </c>
      <c r="C867" s="16" t="s">
        <v>28</v>
      </c>
      <c r="D867" s="17" t="str">
        <f t="shared" si="1"/>
        <v>Removed</v>
      </c>
      <c r="E867" s="18">
        <v>45085.0</v>
      </c>
      <c r="F867" s="52">
        <v>45458.0</v>
      </c>
      <c r="G867" s="20">
        <f t="shared" si="2"/>
        <v>12.23333333</v>
      </c>
      <c r="H867" s="18">
        <v>41109.0</v>
      </c>
      <c r="I867" s="20">
        <f t="shared" si="3"/>
        <v>10.88611111</v>
      </c>
      <c r="J867" s="53">
        <v>82.0</v>
      </c>
      <c r="K867" s="53">
        <v>39.0</v>
      </c>
      <c r="L867" s="23" t="s">
        <v>122</v>
      </c>
      <c r="M867" s="23"/>
      <c r="N867" s="23"/>
      <c r="O867" s="23" t="s">
        <v>125</v>
      </c>
      <c r="P867" s="54" t="s">
        <v>1465</v>
      </c>
      <c r="Q867" s="23"/>
      <c r="R867" s="17"/>
      <c r="S867" s="18"/>
      <c r="T867" s="20"/>
    </row>
    <row r="868">
      <c r="A868" s="27" t="s">
        <v>1466</v>
      </c>
      <c r="B868" s="28" t="s">
        <v>27</v>
      </c>
      <c r="C868" s="28" t="s">
        <v>121</v>
      </c>
      <c r="D868" s="29" t="str">
        <f t="shared" si="1"/>
        <v>Removed</v>
      </c>
      <c r="E868" s="33">
        <v>44719.0</v>
      </c>
      <c r="F868" s="31">
        <v>45458.0</v>
      </c>
      <c r="G868" s="32">
        <f t="shared" si="2"/>
        <v>24.26666667</v>
      </c>
      <c r="H868" s="33">
        <v>44719.0</v>
      </c>
      <c r="I868" s="32">
        <f t="shared" si="3"/>
        <v>0</v>
      </c>
      <c r="J868" s="34">
        <v>83.0</v>
      </c>
      <c r="K868" s="34">
        <v>1.5</v>
      </c>
      <c r="L868" s="35" t="s">
        <v>1016</v>
      </c>
      <c r="M868" s="35"/>
      <c r="N868" s="35"/>
      <c r="O868" s="35" t="s">
        <v>334</v>
      </c>
      <c r="P868" s="36" t="s">
        <v>441</v>
      </c>
      <c r="Q868" s="35"/>
      <c r="R868" s="29"/>
      <c r="S868" s="33"/>
      <c r="T868" s="32"/>
    </row>
    <row r="869">
      <c r="A869" s="15" t="s">
        <v>1467</v>
      </c>
      <c r="B869" s="16" t="s">
        <v>27</v>
      </c>
      <c r="C869" s="16"/>
      <c r="D869" s="17" t="str">
        <f t="shared" si="1"/>
        <v>Removed</v>
      </c>
      <c r="E869" s="62">
        <v>45076.0</v>
      </c>
      <c r="F869" s="62">
        <v>45443.0</v>
      </c>
      <c r="G869" s="20">
        <f t="shared" si="2"/>
        <v>12</v>
      </c>
      <c r="H869" s="18">
        <v>44357.0</v>
      </c>
      <c r="I869" s="20">
        <f t="shared" si="3"/>
        <v>1.972222222</v>
      </c>
      <c r="J869" s="53">
        <v>90.0</v>
      </c>
      <c r="K869" s="53">
        <v>10.0</v>
      </c>
      <c r="L869" s="23" t="s">
        <v>37</v>
      </c>
      <c r="M869" s="43"/>
      <c r="N869" s="23"/>
      <c r="O869" s="23" t="s">
        <v>132</v>
      </c>
      <c r="P869" s="54" t="s">
        <v>398</v>
      </c>
      <c r="Q869" s="43"/>
      <c r="R869" s="17"/>
      <c r="S869" s="18"/>
      <c r="T869" s="20"/>
    </row>
    <row r="870">
      <c r="A870" s="27" t="s">
        <v>1468</v>
      </c>
      <c r="B870" s="28" t="s">
        <v>27</v>
      </c>
      <c r="C870" s="28"/>
      <c r="D870" s="29" t="str">
        <f t="shared" si="1"/>
        <v>Removed</v>
      </c>
      <c r="E870" s="33">
        <v>45076.0</v>
      </c>
      <c r="F870" s="30">
        <v>45443.0</v>
      </c>
      <c r="G870" s="32">
        <f t="shared" si="2"/>
        <v>12</v>
      </c>
      <c r="H870" s="33">
        <v>45076.0</v>
      </c>
      <c r="I870" s="32">
        <f t="shared" si="3"/>
        <v>0</v>
      </c>
      <c r="J870" s="34">
        <v>58.0</v>
      </c>
      <c r="K870" s="34"/>
      <c r="L870" s="35" t="s">
        <v>48</v>
      </c>
      <c r="M870" s="44"/>
      <c r="N870" s="35"/>
      <c r="O870" s="35" t="s">
        <v>427</v>
      </c>
      <c r="P870" s="36"/>
      <c r="Q870" s="44"/>
      <c r="R870" s="29"/>
      <c r="S870" s="33"/>
      <c r="T870" s="32"/>
    </row>
    <row r="871">
      <c r="A871" s="15" t="s">
        <v>1469</v>
      </c>
      <c r="B871" s="16" t="s">
        <v>27</v>
      </c>
      <c r="C871" s="16" t="s">
        <v>28</v>
      </c>
      <c r="D871" s="17" t="str">
        <f t="shared" si="1"/>
        <v>Removed</v>
      </c>
      <c r="E871" s="18">
        <v>45070.0</v>
      </c>
      <c r="F871" s="62">
        <v>45443.0</v>
      </c>
      <c r="G871" s="20">
        <f t="shared" si="2"/>
        <v>12.2</v>
      </c>
      <c r="H871" s="18">
        <v>45071.0</v>
      </c>
      <c r="I871" s="20">
        <f t="shared" si="3"/>
        <v>-0.002777777778</v>
      </c>
      <c r="J871" s="53">
        <v>79.0</v>
      </c>
      <c r="K871" s="53">
        <v>28.0</v>
      </c>
      <c r="L871" s="23" t="s">
        <v>522</v>
      </c>
      <c r="M871" s="23"/>
      <c r="N871" s="23"/>
      <c r="O871" s="23" t="s">
        <v>427</v>
      </c>
      <c r="P871" s="54"/>
      <c r="Q871" s="23"/>
      <c r="R871" s="17"/>
      <c r="S871" s="18"/>
      <c r="T871" s="20"/>
    </row>
    <row r="872">
      <c r="A872" s="27" t="s">
        <v>1470</v>
      </c>
      <c r="B872" s="28" t="s">
        <v>27</v>
      </c>
      <c r="C872" s="28" t="s">
        <v>28</v>
      </c>
      <c r="D872" s="29" t="str">
        <f t="shared" si="1"/>
        <v>Removed</v>
      </c>
      <c r="E872" s="33">
        <v>44957.0</v>
      </c>
      <c r="F872" s="30">
        <v>45443.0</v>
      </c>
      <c r="G872" s="32">
        <f t="shared" si="2"/>
        <v>16</v>
      </c>
      <c r="H872" s="33">
        <v>44805.0</v>
      </c>
      <c r="I872" s="32">
        <f t="shared" si="3"/>
        <v>0.4138888889</v>
      </c>
      <c r="J872" s="34">
        <v>73.0</v>
      </c>
      <c r="K872" s="34">
        <v>10.0</v>
      </c>
      <c r="L872" s="35" t="s">
        <v>303</v>
      </c>
      <c r="M872" s="35"/>
      <c r="N872" s="35"/>
      <c r="O872" s="35" t="s">
        <v>125</v>
      </c>
      <c r="P872" s="35" t="s">
        <v>1471</v>
      </c>
      <c r="Q872" s="35"/>
      <c r="R872" s="29"/>
      <c r="S872" s="33"/>
      <c r="T872" s="32"/>
    </row>
    <row r="873">
      <c r="A873" s="15" t="s">
        <v>1472</v>
      </c>
      <c r="B873" s="16" t="s">
        <v>27</v>
      </c>
      <c r="C873" s="16" t="s">
        <v>28</v>
      </c>
      <c r="D873" s="17" t="str">
        <f t="shared" si="1"/>
        <v>Removed</v>
      </c>
      <c r="E873" s="18">
        <v>44708.0</v>
      </c>
      <c r="F873" s="62">
        <v>45443.0</v>
      </c>
      <c r="G873" s="20">
        <f t="shared" si="2"/>
        <v>24.1</v>
      </c>
      <c r="H873" s="18">
        <v>44708.0</v>
      </c>
      <c r="I873" s="20">
        <f t="shared" si="3"/>
        <v>0</v>
      </c>
      <c r="J873" s="53">
        <v>64.0</v>
      </c>
      <c r="K873" s="53">
        <v>2.5</v>
      </c>
      <c r="L873" s="23" t="s">
        <v>1473</v>
      </c>
      <c r="M873" s="23"/>
      <c r="N873" s="23"/>
      <c r="O873" s="23" t="s">
        <v>132</v>
      </c>
      <c r="P873" s="54" t="s">
        <v>1474</v>
      </c>
      <c r="Q873" s="23"/>
      <c r="R873" s="17"/>
      <c r="S873" s="18"/>
      <c r="T873" s="20"/>
    </row>
    <row r="874">
      <c r="A874" s="27" t="s">
        <v>1475</v>
      </c>
      <c r="B874" s="28" t="s">
        <v>27</v>
      </c>
      <c r="C874" s="28" t="s">
        <v>121</v>
      </c>
      <c r="D874" s="29" t="str">
        <f t="shared" si="1"/>
        <v>Removed</v>
      </c>
      <c r="E874" s="33">
        <v>44698.0</v>
      </c>
      <c r="F874" s="30">
        <v>45443.0</v>
      </c>
      <c r="G874" s="32">
        <f t="shared" si="2"/>
        <v>24.43333333</v>
      </c>
      <c r="H874" s="33">
        <v>44697.0</v>
      </c>
      <c r="I874" s="32">
        <f t="shared" si="3"/>
        <v>0.002777777778</v>
      </c>
      <c r="J874" s="34"/>
      <c r="K874" s="34">
        <v>8.0</v>
      </c>
      <c r="L874" s="35" t="s">
        <v>29</v>
      </c>
      <c r="M874" s="35"/>
      <c r="N874" s="35"/>
      <c r="O874" s="35" t="s">
        <v>125</v>
      </c>
      <c r="P874" s="106" t="s">
        <v>491</v>
      </c>
      <c r="Q874" s="35"/>
      <c r="R874" s="29"/>
      <c r="S874" s="33"/>
      <c r="T874" s="32"/>
    </row>
    <row r="875">
      <c r="A875" s="15" t="s">
        <v>1476</v>
      </c>
      <c r="B875" s="16" t="s">
        <v>27</v>
      </c>
      <c r="C875" s="16"/>
      <c r="D875" s="17" t="str">
        <f t="shared" si="1"/>
        <v>Removed</v>
      </c>
      <c r="E875" s="18">
        <v>45064.0</v>
      </c>
      <c r="F875" s="52">
        <v>45427.0</v>
      </c>
      <c r="G875" s="20">
        <f t="shared" si="2"/>
        <v>11.9</v>
      </c>
      <c r="H875" s="18">
        <v>44385.0</v>
      </c>
      <c r="I875" s="20">
        <f t="shared" si="3"/>
        <v>1.861111111</v>
      </c>
      <c r="J875" s="53">
        <v>73.0</v>
      </c>
      <c r="K875" s="53">
        <v>7.0</v>
      </c>
      <c r="L875" s="23" t="s">
        <v>122</v>
      </c>
      <c r="M875" s="23"/>
      <c r="N875" s="23"/>
      <c r="O875" s="23" t="s">
        <v>34</v>
      </c>
      <c r="P875" s="54" t="s">
        <v>551</v>
      </c>
      <c r="Q875" s="23"/>
      <c r="R875" s="17"/>
      <c r="S875" s="18"/>
      <c r="T875" s="20"/>
    </row>
    <row r="876">
      <c r="A876" s="27" t="s">
        <v>1477</v>
      </c>
      <c r="B876" s="28" t="s">
        <v>27</v>
      </c>
      <c r="C876" s="28" t="s">
        <v>28</v>
      </c>
      <c r="D876" s="29" t="str">
        <f t="shared" si="1"/>
        <v>Removed</v>
      </c>
      <c r="E876" s="33">
        <v>45064.0</v>
      </c>
      <c r="F876" s="31">
        <v>45427.0</v>
      </c>
      <c r="G876" s="32">
        <f t="shared" si="2"/>
        <v>11.9</v>
      </c>
      <c r="H876" s="33">
        <v>44575.0</v>
      </c>
      <c r="I876" s="32">
        <f t="shared" si="3"/>
        <v>1.344444444</v>
      </c>
      <c r="J876" s="34">
        <v>86.0</v>
      </c>
      <c r="K876" s="34">
        <v>8.0</v>
      </c>
      <c r="L876" s="35" t="s">
        <v>37</v>
      </c>
      <c r="M876" s="35"/>
      <c r="N876" s="35"/>
      <c r="O876" s="129" t="s">
        <v>427</v>
      </c>
      <c r="P876" s="36"/>
      <c r="Q876" s="35"/>
      <c r="R876" s="29"/>
      <c r="S876" s="33"/>
      <c r="T876" s="32"/>
    </row>
    <row r="877">
      <c r="A877" s="15" t="s">
        <v>1478</v>
      </c>
      <c r="B877" s="16" t="s">
        <v>27</v>
      </c>
      <c r="C877" s="16" t="s">
        <v>28</v>
      </c>
      <c r="D877" s="17" t="str">
        <f t="shared" si="1"/>
        <v>Removed</v>
      </c>
      <c r="E877" s="18">
        <v>45057.0</v>
      </c>
      <c r="F877" s="52">
        <v>45427.0</v>
      </c>
      <c r="G877" s="20">
        <f t="shared" si="2"/>
        <v>12.13333333</v>
      </c>
      <c r="H877" s="18">
        <v>45057.0</v>
      </c>
      <c r="I877" s="20">
        <f t="shared" si="3"/>
        <v>0</v>
      </c>
      <c r="J877" s="53">
        <v>85.0</v>
      </c>
      <c r="K877" s="53">
        <v>22.0</v>
      </c>
      <c r="L877" s="23" t="s">
        <v>567</v>
      </c>
      <c r="M877" s="23"/>
      <c r="N877" s="23"/>
      <c r="O877" s="23" t="s">
        <v>427</v>
      </c>
      <c r="P877" s="54"/>
      <c r="Q877" s="23"/>
      <c r="R877" s="17"/>
      <c r="S877" s="18"/>
      <c r="T877" s="20"/>
    </row>
    <row r="878">
      <c r="A878" s="27" t="s">
        <v>1479</v>
      </c>
      <c r="B878" s="28" t="s">
        <v>27</v>
      </c>
      <c r="C878" s="28" t="s">
        <v>28</v>
      </c>
      <c r="D878" s="29" t="str">
        <f t="shared" si="1"/>
        <v>Removed</v>
      </c>
      <c r="E878" s="33">
        <v>44966.0</v>
      </c>
      <c r="F878" s="31">
        <v>45427.0</v>
      </c>
      <c r="G878" s="32">
        <f t="shared" si="2"/>
        <v>15.2</v>
      </c>
      <c r="H878" s="33">
        <v>44798.0</v>
      </c>
      <c r="I878" s="32">
        <f t="shared" si="3"/>
        <v>0.4555555556</v>
      </c>
      <c r="J878" s="34">
        <v>71.0</v>
      </c>
      <c r="K878" s="34">
        <v>11.0</v>
      </c>
      <c r="L878" s="35" t="s">
        <v>742</v>
      </c>
      <c r="M878" s="35"/>
      <c r="N878" s="35"/>
      <c r="O878" s="35" t="s">
        <v>125</v>
      </c>
      <c r="P878" s="36" t="s">
        <v>1480</v>
      </c>
      <c r="Q878" s="35"/>
      <c r="R878" s="29"/>
      <c r="S878" s="33"/>
      <c r="T878" s="32"/>
    </row>
    <row r="879">
      <c r="A879" s="15" t="s">
        <v>1481</v>
      </c>
      <c r="B879" s="16" t="s">
        <v>27</v>
      </c>
      <c r="C879" s="16"/>
      <c r="D879" s="17" t="str">
        <f t="shared" si="1"/>
        <v>Removed</v>
      </c>
      <c r="E879" s="18">
        <v>44882.0</v>
      </c>
      <c r="F879" s="52">
        <v>45427.0</v>
      </c>
      <c r="G879" s="20">
        <f t="shared" si="2"/>
        <v>17.93333333</v>
      </c>
      <c r="H879" s="18">
        <v>44665.0</v>
      </c>
      <c r="I879" s="20">
        <f t="shared" si="3"/>
        <v>0.5916666667</v>
      </c>
      <c r="J879" s="53">
        <v>6.0</v>
      </c>
      <c r="K879" s="53">
        <v>6.0</v>
      </c>
      <c r="L879" s="23" t="s">
        <v>29</v>
      </c>
      <c r="M879" s="23"/>
      <c r="N879" s="23" t="s">
        <v>1482</v>
      </c>
      <c r="O879" s="23" t="s">
        <v>334</v>
      </c>
      <c r="P879" s="54" t="s">
        <v>586</v>
      </c>
      <c r="Q879" s="23"/>
      <c r="R879" s="17"/>
      <c r="S879" s="18"/>
      <c r="T879" s="20"/>
    </row>
    <row r="880">
      <c r="A880" s="27" t="s">
        <v>1483</v>
      </c>
      <c r="B880" s="28" t="s">
        <v>27</v>
      </c>
      <c r="C880" s="28" t="s">
        <v>121</v>
      </c>
      <c r="D880" s="29" t="str">
        <f t="shared" si="1"/>
        <v>Removed</v>
      </c>
      <c r="E880" s="33">
        <v>44691.0</v>
      </c>
      <c r="F880" s="31">
        <v>45427.0</v>
      </c>
      <c r="G880" s="32">
        <f t="shared" si="2"/>
        <v>24.16666667</v>
      </c>
      <c r="H880" s="33">
        <v>44691.0</v>
      </c>
      <c r="I880" s="32">
        <f t="shared" si="3"/>
        <v>0</v>
      </c>
      <c r="J880" s="34">
        <v>71.0</v>
      </c>
      <c r="K880" s="34">
        <v>11.0</v>
      </c>
      <c r="L880" s="35" t="s">
        <v>509</v>
      </c>
      <c r="M880" s="35"/>
      <c r="N880" s="35"/>
      <c r="O880" s="35" t="s">
        <v>334</v>
      </c>
      <c r="P880" s="36" t="s">
        <v>483</v>
      </c>
      <c r="Q880" s="35"/>
      <c r="R880" s="29"/>
      <c r="S880" s="33"/>
      <c r="T880" s="32"/>
    </row>
    <row r="881">
      <c r="A881" s="15" t="s">
        <v>1484</v>
      </c>
      <c r="B881" s="16" t="s">
        <v>27</v>
      </c>
      <c r="C881" s="16" t="s">
        <v>183</v>
      </c>
      <c r="D881" s="17" t="str">
        <f t="shared" si="1"/>
        <v>Removed</v>
      </c>
      <c r="E881" s="18">
        <v>44644.0</v>
      </c>
      <c r="F881" s="52">
        <v>45427.0</v>
      </c>
      <c r="G881" s="20">
        <f t="shared" si="2"/>
        <v>25.7</v>
      </c>
      <c r="H881" s="18">
        <v>44644.0</v>
      </c>
      <c r="I881" s="20">
        <f t="shared" si="3"/>
        <v>0</v>
      </c>
      <c r="J881" s="53">
        <v>87.0</v>
      </c>
      <c r="K881" s="53">
        <v>5.5</v>
      </c>
      <c r="L881" s="23" t="s">
        <v>362</v>
      </c>
      <c r="M881" s="23"/>
      <c r="N881" s="23" t="s">
        <v>1485</v>
      </c>
      <c r="O881" s="23" t="s">
        <v>34</v>
      </c>
      <c r="P881" s="54" t="s">
        <v>1486</v>
      </c>
      <c r="Q881" s="23"/>
      <c r="R881" s="17"/>
      <c r="S881" s="18"/>
      <c r="T881" s="20"/>
    </row>
    <row r="882">
      <c r="A882" s="27" t="s">
        <v>1487</v>
      </c>
      <c r="B882" s="28" t="s">
        <v>27</v>
      </c>
      <c r="C882" s="28" t="s">
        <v>28</v>
      </c>
      <c r="D882" s="29" t="str">
        <f t="shared" si="1"/>
        <v>Removed</v>
      </c>
      <c r="E882" s="33">
        <v>44329.0</v>
      </c>
      <c r="F882" s="31">
        <v>45427.0</v>
      </c>
      <c r="G882" s="32">
        <f t="shared" si="2"/>
        <v>36.06666667</v>
      </c>
      <c r="H882" s="33">
        <v>43438.0</v>
      </c>
      <c r="I882" s="32">
        <f t="shared" si="3"/>
        <v>2.441666667</v>
      </c>
      <c r="J882" s="34">
        <f>(68+70)/2</f>
        <v>69</v>
      </c>
      <c r="K882" s="34">
        <v>16.0</v>
      </c>
      <c r="L882" s="35" t="s">
        <v>37</v>
      </c>
      <c r="M882" s="35"/>
      <c r="N882" s="35"/>
      <c r="O882" s="35" t="s">
        <v>34</v>
      </c>
      <c r="P882" s="36" t="s">
        <v>865</v>
      </c>
      <c r="Q882" s="35"/>
      <c r="R882" s="29"/>
      <c r="S882" s="33"/>
      <c r="T882" s="32"/>
    </row>
    <row r="883">
      <c r="A883" s="15" t="s">
        <v>1488</v>
      </c>
      <c r="B883" s="16" t="s">
        <v>27</v>
      </c>
      <c r="C883" s="16" t="s">
        <v>28</v>
      </c>
      <c r="D883" s="17" t="str">
        <f t="shared" si="1"/>
        <v>Removed</v>
      </c>
      <c r="E883" s="18">
        <v>45050.0</v>
      </c>
      <c r="F883" s="52">
        <v>45412.0</v>
      </c>
      <c r="G883" s="20">
        <f t="shared" si="2"/>
        <v>11.86666667</v>
      </c>
      <c r="H883" s="18">
        <v>45050.0</v>
      </c>
      <c r="I883" s="20">
        <f t="shared" si="3"/>
        <v>0</v>
      </c>
      <c r="J883" s="53">
        <v>66.0</v>
      </c>
      <c r="K883" s="53">
        <v>4.0</v>
      </c>
      <c r="L883" s="23" t="s">
        <v>122</v>
      </c>
      <c r="M883" s="23"/>
      <c r="N883" s="23"/>
      <c r="O883" s="23" t="s">
        <v>334</v>
      </c>
      <c r="P883" s="54" t="s">
        <v>586</v>
      </c>
      <c r="Q883" s="23"/>
      <c r="R883" s="17"/>
      <c r="S883" s="18"/>
      <c r="T883" s="20"/>
    </row>
    <row r="884">
      <c r="A884" s="27" t="s">
        <v>1489</v>
      </c>
      <c r="B884" s="28" t="s">
        <v>27</v>
      </c>
      <c r="C884" s="28" t="s">
        <v>121</v>
      </c>
      <c r="D884" s="29" t="str">
        <f t="shared" si="1"/>
        <v>Removed</v>
      </c>
      <c r="E884" s="33">
        <v>45047.0</v>
      </c>
      <c r="F884" s="31">
        <v>45412.0</v>
      </c>
      <c r="G884" s="32">
        <f t="shared" si="2"/>
        <v>11.96666667</v>
      </c>
      <c r="H884" s="33">
        <v>44602.0</v>
      </c>
      <c r="I884" s="32">
        <f t="shared" si="3"/>
        <v>1.225</v>
      </c>
      <c r="J884" s="34">
        <f>average(80,85,100)</f>
        <v>88.33333333</v>
      </c>
      <c r="K884" s="34">
        <v>5.0</v>
      </c>
      <c r="L884" s="35" t="s">
        <v>522</v>
      </c>
      <c r="M884" s="35"/>
      <c r="N884" s="35" t="s">
        <v>1490</v>
      </c>
      <c r="O884" s="35" t="s">
        <v>125</v>
      </c>
      <c r="P884" s="36" t="s">
        <v>832</v>
      </c>
      <c r="Q884" s="35"/>
      <c r="R884" s="29"/>
      <c r="S884" s="33"/>
      <c r="T884" s="32"/>
    </row>
    <row r="885">
      <c r="A885" s="15" t="s">
        <v>1491</v>
      </c>
      <c r="B885" s="16" t="s">
        <v>68</v>
      </c>
      <c r="C885" s="16"/>
      <c r="D885" s="17" t="str">
        <f t="shared" si="1"/>
        <v>Removed</v>
      </c>
      <c r="E885" s="18">
        <v>44693.0</v>
      </c>
      <c r="F885" s="52">
        <v>45412.0</v>
      </c>
      <c r="G885" s="20">
        <f t="shared" si="2"/>
        <v>23.6</v>
      </c>
      <c r="H885" s="18">
        <v>44484.0</v>
      </c>
      <c r="I885" s="20">
        <f t="shared" si="3"/>
        <v>0.575</v>
      </c>
      <c r="J885" s="53">
        <v>74.0</v>
      </c>
      <c r="K885" s="53">
        <v>85.0</v>
      </c>
      <c r="L885" s="23" t="s">
        <v>580</v>
      </c>
      <c r="M885" s="23"/>
      <c r="N885" s="23"/>
      <c r="O885" s="23" t="s">
        <v>334</v>
      </c>
      <c r="P885" s="54" t="s">
        <v>465</v>
      </c>
      <c r="Q885" s="23"/>
      <c r="R885" s="17"/>
      <c r="S885" s="18"/>
      <c r="T885" s="20"/>
    </row>
    <row r="886">
      <c r="A886" s="27" t="s">
        <v>1492</v>
      </c>
      <c r="B886" s="28" t="s">
        <v>27</v>
      </c>
      <c r="C886" s="28" t="s">
        <v>121</v>
      </c>
      <c r="D886" s="29" t="str">
        <f t="shared" si="1"/>
        <v>Removed</v>
      </c>
      <c r="E886" s="33">
        <v>44684.0</v>
      </c>
      <c r="F886" s="31">
        <v>45412.0</v>
      </c>
      <c r="G886" s="32">
        <f t="shared" si="2"/>
        <v>23.9</v>
      </c>
      <c r="H886" s="33">
        <v>44684.0</v>
      </c>
      <c r="I886" s="32">
        <f t="shared" si="3"/>
        <v>0</v>
      </c>
      <c r="J886" s="34">
        <v>66.0</v>
      </c>
      <c r="K886" s="34">
        <v>4.0</v>
      </c>
      <c r="L886" s="35" t="s">
        <v>366</v>
      </c>
      <c r="M886" s="35"/>
      <c r="N886" s="35"/>
      <c r="O886" s="35" t="s">
        <v>125</v>
      </c>
      <c r="P886" s="36" t="s">
        <v>1493</v>
      </c>
      <c r="Q886" s="35"/>
      <c r="R886" s="29"/>
      <c r="S886" s="33"/>
      <c r="T886" s="32"/>
    </row>
    <row r="887">
      <c r="A887" s="15" t="s">
        <v>1494</v>
      </c>
      <c r="B887" s="16" t="s">
        <v>27</v>
      </c>
      <c r="C887" s="16" t="s">
        <v>28</v>
      </c>
      <c r="D887" s="17" t="str">
        <f t="shared" si="1"/>
        <v>Removed</v>
      </c>
      <c r="E887" s="18">
        <v>44677.0</v>
      </c>
      <c r="F887" s="52">
        <v>45412.0</v>
      </c>
      <c r="G887" s="20">
        <f t="shared" si="2"/>
        <v>24.13333333</v>
      </c>
      <c r="H887" s="18">
        <v>41621.0</v>
      </c>
      <c r="I887" s="20">
        <f t="shared" si="3"/>
        <v>8.369444444</v>
      </c>
      <c r="J887" s="53">
        <v>35.0</v>
      </c>
      <c r="K887" s="53">
        <v>54.0</v>
      </c>
      <c r="L887" s="23" t="s">
        <v>1495</v>
      </c>
      <c r="M887" s="23"/>
      <c r="N887" s="23"/>
      <c r="O887" s="23" t="s">
        <v>34</v>
      </c>
      <c r="P887" s="54" t="s">
        <v>432</v>
      </c>
      <c r="Q887" s="23"/>
      <c r="R887" s="17"/>
      <c r="S887" s="18"/>
      <c r="T887" s="20"/>
    </row>
    <row r="888">
      <c r="A888" s="67" t="s">
        <v>1496</v>
      </c>
      <c r="B888" s="28" t="s">
        <v>27</v>
      </c>
      <c r="C888" s="28" t="s">
        <v>28</v>
      </c>
      <c r="D888" s="29" t="str">
        <f t="shared" si="1"/>
        <v>Removed</v>
      </c>
      <c r="E888" s="70">
        <v>43902.0</v>
      </c>
      <c r="F888" s="31">
        <v>45412.0</v>
      </c>
      <c r="G888" s="32">
        <f t="shared" si="2"/>
        <v>49.6</v>
      </c>
      <c r="H888" s="33">
        <v>43489.0</v>
      </c>
      <c r="I888" s="32">
        <f t="shared" si="3"/>
        <v>1.133333333</v>
      </c>
      <c r="J888" s="69">
        <v>76.0</v>
      </c>
      <c r="K888" s="34">
        <v>3.0</v>
      </c>
      <c r="L888" s="35" t="s">
        <v>549</v>
      </c>
      <c r="M888" s="35"/>
      <c r="N888" s="35"/>
      <c r="O888" s="35" t="s">
        <v>132</v>
      </c>
      <c r="P888" s="36" t="s">
        <v>1497</v>
      </c>
      <c r="Q888" s="35"/>
      <c r="R888" s="29"/>
      <c r="S888" s="33"/>
      <c r="T888" s="32"/>
    </row>
    <row r="889">
      <c r="A889" s="15" t="s">
        <v>1498</v>
      </c>
      <c r="B889" s="16" t="s">
        <v>27</v>
      </c>
      <c r="C889" s="16" t="s">
        <v>121</v>
      </c>
      <c r="D889" s="17" t="str">
        <f t="shared" si="1"/>
        <v>Removed</v>
      </c>
      <c r="E889" s="18">
        <v>44854.0</v>
      </c>
      <c r="F889" s="52">
        <v>45397.0</v>
      </c>
      <c r="G889" s="20">
        <f t="shared" si="2"/>
        <v>17.83333333</v>
      </c>
      <c r="H889" s="18">
        <v>42696.0</v>
      </c>
      <c r="I889" s="20">
        <f t="shared" si="3"/>
        <v>5.911111111</v>
      </c>
      <c r="J889" s="53">
        <v>79.0</v>
      </c>
      <c r="K889" s="53">
        <v>15.5</v>
      </c>
      <c r="L889" s="23" t="s">
        <v>1397</v>
      </c>
      <c r="M889" s="23"/>
      <c r="N889" s="23"/>
      <c r="O889" s="23" t="s">
        <v>34</v>
      </c>
      <c r="P889" s="54" t="s">
        <v>1499</v>
      </c>
      <c r="Q889" s="23"/>
      <c r="R889" s="17"/>
      <c r="S889" s="18"/>
      <c r="T889" s="20"/>
    </row>
    <row r="890">
      <c r="A890" s="27" t="s">
        <v>1500</v>
      </c>
      <c r="B890" s="28" t="s">
        <v>27</v>
      </c>
      <c r="C890" s="28" t="s">
        <v>121</v>
      </c>
      <c r="D890" s="29" t="str">
        <f t="shared" si="1"/>
        <v>Removed</v>
      </c>
      <c r="E890" s="33">
        <v>44854.0</v>
      </c>
      <c r="F890" s="31">
        <v>45397.0</v>
      </c>
      <c r="G890" s="32">
        <f t="shared" si="2"/>
        <v>17.83333333</v>
      </c>
      <c r="H890" s="33">
        <v>44124.0</v>
      </c>
      <c r="I890" s="32">
        <f t="shared" si="3"/>
        <v>2</v>
      </c>
      <c r="J890" s="34">
        <v>80.0</v>
      </c>
      <c r="K890" s="34">
        <v>8.5</v>
      </c>
      <c r="L890" s="35" t="s">
        <v>362</v>
      </c>
      <c r="M890" s="35"/>
      <c r="N890" s="35"/>
      <c r="O890" s="35" t="s">
        <v>34</v>
      </c>
      <c r="P890" s="36" t="s">
        <v>1501</v>
      </c>
      <c r="Q890" s="35"/>
      <c r="R890" s="29"/>
      <c r="S890" s="33"/>
      <c r="T890" s="32"/>
    </row>
    <row r="891">
      <c r="A891" s="15" t="s">
        <v>1502</v>
      </c>
      <c r="B891" s="16" t="s">
        <v>27</v>
      </c>
      <c r="C891" s="16" t="s">
        <v>28</v>
      </c>
      <c r="D891" s="17" t="str">
        <f t="shared" si="1"/>
        <v>Removed</v>
      </c>
      <c r="E891" s="18">
        <v>44854.0</v>
      </c>
      <c r="F891" s="52">
        <v>45397.0</v>
      </c>
      <c r="G891" s="20">
        <f t="shared" si="2"/>
        <v>17.83333333</v>
      </c>
      <c r="H891" s="18">
        <v>44369.0</v>
      </c>
      <c r="I891" s="20">
        <f t="shared" si="3"/>
        <v>1.327777778</v>
      </c>
      <c r="J891" s="53"/>
      <c r="K891" s="53">
        <v>20.0</v>
      </c>
      <c r="L891" s="23" t="s">
        <v>549</v>
      </c>
      <c r="M891" s="23" t="s">
        <v>30</v>
      </c>
      <c r="N891" s="23"/>
      <c r="O891" s="23" t="s">
        <v>334</v>
      </c>
      <c r="P891" s="54" t="s">
        <v>483</v>
      </c>
      <c r="Q891" s="23"/>
      <c r="R891" s="17"/>
      <c r="S891" s="18"/>
      <c r="T891" s="20"/>
    </row>
    <row r="892">
      <c r="A892" s="27" t="s">
        <v>1503</v>
      </c>
      <c r="B892" s="28" t="s">
        <v>27</v>
      </c>
      <c r="C892" s="28" t="s">
        <v>121</v>
      </c>
      <c r="D892" s="29" t="str">
        <f t="shared" si="1"/>
        <v>Removed</v>
      </c>
      <c r="E892" s="33">
        <v>44854.0</v>
      </c>
      <c r="F892" s="31">
        <v>45397.0</v>
      </c>
      <c r="G892" s="32">
        <f t="shared" si="2"/>
        <v>17.83333333</v>
      </c>
      <c r="H892" s="33">
        <v>42269.0</v>
      </c>
      <c r="I892" s="32">
        <f t="shared" si="3"/>
        <v>7.077777778</v>
      </c>
      <c r="J892" s="34">
        <v>83.0</v>
      </c>
      <c r="K892" s="34">
        <v>9.0</v>
      </c>
      <c r="L892" s="96" t="s">
        <v>362</v>
      </c>
      <c r="M892" s="35"/>
      <c r="N892" s="35"/>
      <c r="O892" s="35" t="s">
        <v>34</v>
      </c>
      <c r="P892" s="36" t="s">
        <v>1504</v>
      </c>
      <c r="Q892" s="35"/>
      <c r="R892" s="29"/>
      <c r="S892" s="33"/>
      <c r="T892" s="32"/>
    </row>
    <row r="893">
      <c r="A893" s="15" t="s">
        <v>1505</v>
      </c>
      <c r="B893" s="16" t="s">
        <v>27</v>
      </c>
      <c r="C893" s="16" t="s">
        <v>121</v>
      </c>
      <c r="D893" s="17" t="str">
        <f t="shared" si="1"/>
        <v>Removed</v>
      </c>
      <c r="E893" s="18">
        <v>44677.0</v>
      </c>
      <c r="F893" s="52">
        <v>45397.0</v>
      </c>
      <c r="G893" s="20">
        <f t="shared" si="2"/>
        <v>23.63333333</v>
      </c>
      <c r="H893" s="18">
        <v>44677.0</v>
      </c>
      <c r="I893" s="20">
        <f t="shared" si="3"/>
        <v>0</v>
      </c>
      <c r="J893" s="53">
        <v>73.0</v>
      </c>
      <c r="K893" s="53">
        <v>6.5</v>
      </c>
      <c r="L893" s="23" t="s">
        <v>582</v>
      </c>
      <c r="M893" s="23"/>
      <c r="N893" s="23"/>
      <c r="O893" s="23" t="s">
        <v>125</v>
      </c>
      <c r="P893" s="54" t="s">
        <v>1493</v>
      </c>
      <c r="Q893" s="23"/>
      <c r="R893" s="17"/>
      <c r="S893" s="18"/>
      <c r="T893" s="20"/>
    </row>
    <row r="894">
      <c r="A894" s="27" t="s">
        <v>1506</v>
      </c>
      <c r="B894" s="28" t="s">
        <v>27</v>
      </c>
      <c r="C894" s="28" t="s">
        <v>28</v>
      </c>
      <c r="D894" s="29" t="str">
        <f t="shared" si="1"/>
        <v>Removed</v>
      </c>
      <c r="E894" s="33">
        <v>44481.0</v>
      </c>
      <c r="F894" s="31">
        <v>45397.0</v>
      </c>
      <c r="G894" s="32">
        <f t="shared" si="2"/>
        <v>30.1</v>
      </c>
      <c r="H894" s="33">
        <v>44481.0</v>
      </c>
      <c r="I894" s="32">
        <f t="shared" si="3"/>
        <v>0</v>
      </c>
      <c r="J894" s="34">
        <f>(75+78)/2</f>
        <v>76.5</v>
      </c>
      <c r="K894" s="34">
        <v>8.5</v>
      </c>
      <c r="L894" s="35" t="s">
        <v>184</v>
      </c>
      <c r="M894" s="35" t="s">
        <v>123</v>
      </c>
      <c r="N894" s="35"/>
      <c r="O894" s="35" t="s">
        <v>34</v>
      </c>
      <c r="P894" s="36" t="s">
        <v>1507</v>
      </c>
      <c r="Q894" s="35" t="s">
        <v>1508</v>
      </c>
      <c r="R894" s="29"/>
      <c r="S894" s="33"/>
      <c r="T894" s="32"/>
    </row>
    <row r="895">
      <c r="A895" s="15" t="s">
        <v>1509</v>
      </c>
      <c r="B895" s="16" t="s">
        <v>27</v>
      </c>
      <c r="C895" s="16" t="s">
        <v>28</v>
      </c>
      <c r="D895" s="17" t="str">
        <f t="shared" si="1"/>
        <v>Removed</v>
      </c>
      <c r="E895" s="18">
        <v>45015.0</v>
      </c>
      <c r="F895" s="52">
        <v>45382.0</v>
      </c>
      <c r="G895" s="20">
        <f t="shared" si="2"/>
        <v>12</v>
      </c>
      <c r="H895" s="18">
        <v>44908.0</v>
      </c>
      <c r="I895" s="20">
        <f t="shared" si="3"/>
        <v>0.2972222222</v>
      </c>
      <c r="J895" s="53">
        <v>62.0</v>
      </c>
      <c r="K895" s="53">
        <v>12.0</v>
      </c>
      <c r="L895" s="23" t="s">
        <v>1510</v>
      </c>
      <c r="M895" s="23"/>
      <c r="N895" s="23"/>
      <c r="O895" s="23" t="s">
        <v>334</v>
      </c>
      <c r="P895" s="54" t="s">
        <v>823</v>
      </c>
      <c r="Q895" s="23"/>
      <c r="R895" s="17"/>
      <c r="S895" s="18"/>
      <c r="T895" s="20"/>
    </row>
    <row r="896">
      <c r="A896" s="27" t="s">
        <v>1511</v>
      </c>
      <c r="B896" s="28" t="s">
        <v>68</v>
      </c>
      <c r="C896" s="28" t="s">
        <v>28</v>
      </c>
      <c r="D896" s="29" t="str">
        <f t="shared" si="1"/>
        <v>Removed</v>
      </c>
      <c r="E896" s="33">
        <v>45013.0</v>
      </c>
      <c r="F896" s="31">
        <v>45382.0</v>
      </c>
      <c r="G896" s="32">
        <f t="shared" si="2"/>
        <v>12.06666667</v>
      </c>
      <c r="H896" s="33">
        <v>45013.0</v>
      </c>
      <c r="I896" s="32">
        <f t="shared" si="3"/>
        <v>0</v>
      </c>
      <c r="J896" s="34">
        <v>80.0</v>
      </c>
      <c r="K896" s="34">
        <v>57.0</v>
      </c>
      <c r="L896" s="35" t="s">
        <v>694</v>
      </c>
      <c r="M896" s="35"/>
      <c r="N896" s="35"/>
      <c r="O896" s="35" t="s">
        <v>132</v>
      </c>
      <c r="P896" s="36"/>
      <c r="Q896" s="35"/>
      <c r="R896" s="29"/>
      <c r="S896" s="33"/>
      <c r="T896" s="32"/>
    </row>
    <row r="897">
      <c r="A897" s="15" t="s">
        <v>1512</v>
      </c>
      <c r="B897" s="16" t="s">
        <v>27</v>
      </c>
      <c r="C897" s="16" t="s">
        <v>28</v>
      </c>
      <c r="D897" s="17" t="str">
        <f t="shared" si="1"/>
        <v>Removed</v>
      </c>
      <c r="E897" s="18">
        <v>44964.0</v>
      </c>
      <c r="F897" s="52">
        <v>45382.0</v>
      </c>
      <c r="G897" s="20">
        <f t="shared" si="2"/>
        <v>13.76666667</v>
      </c>
      <c r="H897" s="18">
        <v>44469.0</v>
      </c>
      <c r="I897" s="20">
        <f t="shared" si="3"/>
        <v>1.352777778</v>
      </c>
      <c r="J897" s="53">
        <v>72.0</v>
      </c>
      <c r="K897" s="53">
        <v>9.0</v>
      </c>
      <c r="L897" s="23" t="s">
        <v>500</v>
      </c>
      <c r="M897" s="23"/>
      <c r="N897" s="23"/>
      <c r="O897" s="23" t="s">
        <v>132</v>
      </c>
      <c r="P897" s="54"/>
      <c r="Q897" s="23"/>
      <c r="R897" s="17"/>
      <c r="S897" s="18"/>
      <c r="T897" s="20"/>
    </row>
    <row r="898">
      <c r="A898" s="27" t="s">
        <v>1513</v>
      </c>
      <c r="B898" s="28" t="s">
        <v>27</v>
      </c>
      <c r="C898" s="28" t="s">
        <v>28</v>
      </c>
      <c r="D898" s="29" t="str">
        <f t="shared" si="1"/>
        <v>Removed</v>
      </c>
      <c r="E898" s="33">
        <v>44705.0</v>
      </c>
      <c r="F898" s="31">
        <v>45366.0</v>
      </c>
      <c r="G898" s="32">
        <f t="shared" si="2"/>
        <v>21.7</v>
      </c>
      <c r="H898" s="33">
        <v>43998.0</v>
      </c>
      <c r="I898" s="32">
        <f t="shared" si="3"/>
        <v>1.938888889</v>
      </c>
      <c r="J898" s="34">
        <v>82.0</v>
      </c>
      <c r="K898" s="34">
        <v>26.5</v>
      </c>
      <c r="L898" s="35" t="s">
        <v>50</v>
      </c>
      <c r="M898" s="35" t="s">
        <v>30</v>
      </c>
      <c r="N898" s="35" t="s">
        <v>1514</v>
      </c>
      <c r="O898" s="35" t="s">
        <v>125</v>
      </c>
      <c r="P898" s="36" t="s">
        <v>475</v>
      </c>
      <c r="Q898" s="35"/>
      <c r="R898" s="29"/>
      <c r="S898" s="33"/>
      <c r="T898" s="32"/>
    </row>
    <row r="899">
      <c r="A899" s="15" t="s">
        <v>1515</v>
      </c>
      <c r="B899" s="16" t="s">
        <v>27</v>
      </c>
      <c r="C899" s="16" t="s">
        <v>28</v>
      </c>
      <c r="D899" s="17" t="str">
        <f t="shared" si="1"/>
        <v>Removed</v>
      </c>
      <c r="E899" s="18">
        <v>44637.0</v>
      </c>
      <c r="F899" s="52">
        <v>45366.0</v>
      </c>
      <c r="G899" s="20">
        <f t="shared" si="2"/>
        <v>23.93333333</v>
      </c>
      <c r="H899" s="18">
        <v>44637.0</v>
      </c>
      <c r="I899" s="20">
        <f t="shared" si="3"/>
        <v>0</v>
      </c>
      <c r="J899" s="53">
        <f>average(66,72)</f>
        <v>69</v>
      </c>
      <c r="K899" s="53">
        <v>3.5</v>
      </c>
      <c r="L899" s="23" t="s">
        <v>944</v>
      </c>
      <c r="M899" s="23" t="s">
        <v>30</v>
      </c>
      <c r="N899" s="23"/>
      <c r="O899" s="23" t="s">
        <v>132</v>
      </c>
      <c r="P899" s="54"/>
      <c r="Q899" s="23"/>
      <c r="R899" s="17"/>
      <c r="S899" s="18"/>
      <c r="T899" s="20"/>
    </row>
    <row r="900">
      <c r="A900" s="27" t="s">
        <v>1516</v>
      </c>
      <c r="B900" s="28" t="s">
        <v>27</v>
      </c>
      <c r="C900" s="28" t="s">
        <v>28</v>
      </c>
      <c r="D900" s="29" t="str">
        <f t="shared" si="1"/>
        <v>Removed</v>
      </c>
      <c r="E900" s="33">
        <v>44985.0</v>
      </c>
      <c r="F900" s="31">
        <v>45351.0</v>
      </c>
      <c r="G900" s="32">
        <f t="shared" si="2"/>
        <v>12.03333333</v>
      </c>
      <c r="H900" s="33">
        <v>44798.0</v>
      </c>
      <c r="I900" s="32">
        <f t="shared" si="3"/>
        <v>0.5083333333</v>
      </c>
      <c r="J900" s="34">
        <v>74.0</v>
      </c>
      <c r="K900" s="34">
        <v>32.0</v>
      </c>
      <c r="L900" s="35" t="s">
        <v>29</v>
      </c>
      <c r="M900" s="35"/>
      <c r="N900" s="35"/>
      <c r="O900" s="35" t="s">
        <v>34</v>
      </c>
      <c r="P900" s="36" t="s">
        <v>439</v>
      </c>
      <c r="Q900" s="35"/>
      <c r="R900" s="29"/>
      <c r="S900" s="33"/>
      <c r="T900" s="32"/>
    </row>
    <row r="901">
      <c r="A901" s="15" t="s">
        <v>1517</v>
      </c>
      <c r="B901" s="16" t="s">
        <v>27</v>
      </c>
      <c r="C901" s="16"/>
      <c r="D901" s="17" t="str">
        <f t="shared" si="1"/>
        <v>Removed</v>
      </c>
      <c r="E901" s="18">
        <v>44609.0</v>
      </c>
      <c r="F901" s="52">
        <v>45351.0</v>
      </c>
      <c r="G901" s="20">
        <f t="shared" si="2"/>
        <v>24.4</v>
      </c>
      <c r="H901" s="18">
        <v>44428.0</v>
      </c>
      <c r="I901" s="20">
        <f t="shared" si="3"/>
        <v>0.4916666667</v>
      </c>
      <c r="J901" s="53">
        <v>70.0</v>
      </c>
      <c r="K901" s="53">
        <v>19.0</v>
      </c>
      <c r="L901" s="23" t="s">
        <v>494</v>
      </c>
      <c r="M901" s="23"/>
      <c r="N901" s="23"/>
      <c r="O901" s="23" t="s">
        <v>132</v>
      </c>
      <c r="P901" s="54" t="s">
        <v>495</v>
      </c>
      <c r="Q901" s="23"/>
      <c r="R901" s="17"/>
      <c r="S901" s="18"/>
      <c r="T901" s="20"/>
    </row>
    <row r="902">
      <c r="A902" s="27" t="s">
        <v>1518</v>
      </c>
      <c r="B902" s="28" t="s">
        <v>27</v>
      </c>
      <c r="C902" s="28" t="s">
        <v>121</v>
      </c>
      <c r="D902" s="29" t="str">
        <f t="shared" si="1"/>
        <v>Removed</v>
      </c>
      <c r="E902" s="33">
        <v>44798.0</v>
      </c>
      <c r="F902" s="31">
        <v>45337.0</v>
      </c>
      <c r="G902" s="32">
        <f t="shared" si="2"/>
        <v>17.66666667</v>
      </c>
      <c r="H902" s="33">
        <v>44439.0</v>
      </c>
      <c r="I902" s="32">
        <f t="shared" si="3"/>
        <v>0.9861111111</v>
      </c>
      <c r="J902" s="34">
        <v>90.0</v>
      </c>
      <c r="K902" s="34">
        <v>9.5</v>
      </c>
      <c r="L902" s="35" t="s">
        <v>362</v>
      </c>
      <c r="M902" s="35"/>
      <c r="N902" s="35"/>
      <c r="O902" s="35" t="s">
        <v>334</v>
      </c>
      <c r="P902" s="36" t="s">
        <v>1519</v>
      </c>
      <c r="Q902" s="35"/>
      <c r="R902" s="29"/>
      <c r="S902" s="33"/>
      <c r="T902" s="32"/>
    </row>
    <row r="903">
      <c r="A903" s="15" t="s">
        <v>1520</v>
      </c>
      <c r="B903" s="16" t="s">
        <v>40</v>
      </c>
      <c r="C903" s="16"/>
      <c r="D903" s="17" t="str">
        <f t="shared" si="1"/>
        <v>Removed</v>
      </c>
      <c r="E903" s="18">
        <v>44616.0</v>
      </c>
      <c r="F903" s="52">
        <v>45337.0</v>
      </c>
      <c r="G903" s="20">
        <f t="shared" si="2"/>
        <v>23.7</v>
      </c>
      <c r="H903" s="18">
        <v>41725.0</v>
      </c>
      <c r="I903" s="20">
        <f t="shared" si="3"/>
        <v>7.908333333</v>
      </c>
      <c r="J903" s="53">
        <v>81.0</v>
      </c>
      <c r="K903" s="53">
        <v>23.0</v>
      </c>
      <c r="L903" s="23" t="s">
        <v>119</v>
      </c>
      <c r="M903" s="23"/>
      <c r="N903" s="23"/>
      <c r="O903" s="23" t="s">
        <v>334</v>
      </c>
      <c r="P903" s="54" t="s">
        <v>1521</v>
      </c>
      <c r="Q903" s="23"/>
      <c r="R903" s="16"/>
      <c r="S903" s="18"/>
      <c r="T903" s="20"/>
    </row>
    <row r="904">
      <c r="A904" s="27" t="s">
        <v>1522</v>
      </c>
      <c r="B904" s="28" t="s">
        <v>68</v>
      </c>
      <c r="C904" s="28" t="s">
        <v>28</v>
      </c>
      <c r="D904" s="29" t="str">
        <f t="shared" si="1"/>
        <v>Removed</v>
      </c>
      <c r="E904" s="33">
        <v>44644.0</v>
      </c>
      <c r="F904" s="31">
        <v>45322.0</v>
      </c>
      <c r="G904" s="32">
        <f t="shared" si="2"/>
        <v>22.2</v>
      </c>
      <c r="H904" s="33">
        <v>44392.0</v>
      </c>
      <c r="I904" s="32">
        <f t="shared" si="3"/>
        <v>0.6916666667</v>
      </c>
      <c r="J904" s="34">
        <f>average(82,86)</f>
        <v>84</v>
      </c>
      <c r="K904" s="34">
        <v>7.5</v>
      </c>
      <c r="L904" s="35" t="s">
        <v>500</v>
      </c>
      <c r="M904" s="35"/>
      <c r="N904" s="35"/>
      <c r="O904" s="35" t="s">
        <v>132</v>
      </c>
      <c r="P904" s="36" t="s">
        <v>1245</v>
      </c>
      <c r="Q904" s="35"/>
      <c r="R904" s="29"/>
      <c r="S904" s="33"/>
      <c r="T904" s="32"/>
    </row>
    <row r="905">
      <c r="A905" s="15" t="s">
        <v>1523</v>
      </c>
      <c r="B905" s="16" t="s">
        <v>27</v>
      </c>
      <c r="C905" s="16" t="s">
        <v>121</v>
      </c>
      <c r="D905" s="17" t="str">
        <f t="shared" si="1"/>
        <v>Removed</v>
      </c>
      <c r="E905" s="18">
        <v>44581.0</v>
      </c>
      <c r="F905" s="52">
        <v>45322.0</v>
      </c>
      <c r="G905" s="20">
        <f t="shared" si="2"/>
        <v>24.33333333</v>
      </c>
      <c r="H905" s="18">
        <v>44581.0</v>
      </c>
      <c r="I905" s="20">
        <f t="shared" si="3"/>
        <v>0</v>
      </c>
      <c r="J905" s="53">
        <f>average(85,84,87)</f>
        <v>85.33333333</v>
      </c>
      <c r="K905" s="53">
        <v>25.0</v>
      </c>
      <c r="L905" s="23" t="s">
        <v>1524</v>
      </c>
      <c r="M905" s="23"/>
      <c r="N905" s="23"/>
      <c r="O905" s="23" t="s">
        <v>34</v>
      </c>
      <c r="P905" s="54" t="s">
        <v>1525</v>
      </c>
      <c r="Q905" s="23"/>
      <c r="R905" s="17"/>
      <c r="S905" s="18"/>
      <c r="T905" s="20"/>
    </row>
    <row r="906">
      <c r="A906" s="27" t="s">
        <v>1526</v>
      </c>
      <c r="B906" s="28" t="s">
        <v>27</v>
      </c>
      <c r="C906" s="28" t="s">
        <v>28</v>
      </c>
      <c r="D906" s="29" t="str">
        <f t="shared" si="1"/>
        <v>Removed</v>
      </c>
      <c r="E906" s="33">
        <v>44945.0</v>
      </c>
      <c r="F906" s="31">
        <v>45306.0</v>
      </c>
      <c r="G906" s="32">
        <f t="shared" si="2"/>
        <v>11.86666667</v>
      </c>
      <c r="H906" s="33">
        <v>40118.0</v>
      </c>
      <c r="I906" s="32">
        <f t="shared" si="3"/>
        <v>13.21666667</v>
      </c>
      <c r="J906" s="34">
        <v>89.0</v>
      </c>
      <c r="K906" s="34">
        <v>65.5</v>
      </c>
      <c r="L906" s="35" t="s">
        <v>29</v>
      </c>
      <c r="M906" s="35"/>
      <c r="N906" s="35"/>
      <c r="O906" s="35" t="s">
        <v>34</v>
      </c>
      <c r="P906" s="36" t="s">
        <v>1527</v>
      </c>
      <c r="Q906" s="35"/>
      <c r="R906" s="29"/>
      <c r="S906" s="33"/>
      <c r="T906" s="32"/>
    </row>
    <row r="907">
      <c r="A907" s="15" t="s">
        <v>1528</v>
      </c>
      <c r="B907" s="16" t="s">
        <v>27</v>
      </c>
      <c r="C907" s="16" t="s">
        <v>28</v>
      </c>
      <c r="D907" s="17" t="str">
        <f t="shared" si="1"/>
        <v>Removed</v>
      </c>
      <c r="E907" s="18">
        <v>44763.0</v>
      </c>
      <c r="F907" s="52">
        <v>45306.0</v>
      </c>
      <c r="G907" s="20">
        <f t="shared" si="2"/>
        <v>17.8</v>
      </c>
      <c r="H907" s="18">
        <v>44672.0</v>
      </c>
      <c r="I907" s="20">
        <f t="shared" si="3"/>
        <v>0.25</v>
      </c>
      <c r="J907" s="53">
        <v>81.0</v>
      </c>
      <c r="K907" s="53">
        <v>10.5</v>
      </c>
      <c r="L907" s="23" t="s">
        <v>787</v>
      </c>
      <c r="M907" s="23"/>
      <c r="N907" s="23"/>
      <c r="O907" s="23" t="s">
        <v>132</v>
      </c>
      <c r="P907" s="54" t="s">
        <v>1529</v>
      </c>
      <c r="Q907" s="23"/>
      <c r="R907" s="17"/>
      <c r="S907" s="18"/>
      <c r="T907" s="20"/>
    </row>
    <row r="908">
      <c r="A908" s="27" t="s">
        <v>1530</v>
      </c>
      <c r="B908" s="28" t="s">
        <v>27</v>
      </c>
      <c r="C908" s="28" t="s">
        <v>121</v>
      </c>
      <c r="D908" s="29" t="str">
        <f t="shared" si="1"/>
        <v>Removed</v>
      </c>
      <c r="E908" s="33">
        <v>44760.0</v>
      </c>
      <c r="F908" s="31">
        <v>45306.0</v>
      </c>
      <c r="G908" s="32">
        <f t="shared" si="2"/>
        <v>17.9</v>
      </c>
      <c r="H908" s="33">
        <v>44419.0</v>
      </c>
      <c r="I908" s="32">
        <f t="shared" si="3"/>
        <v>0.9361111111</v>
      </c>
      <c r="J908" s="34">
        <v>70.0</v>
      </c>
      <c r="K908" s="34">
        <v>10.0</v>
      </c>
      <c r="L908" s="35" t="s">
        <v>29</v>
      </c>
      <c r="M908" s="35"/>
      <c r="N908" s="35"/>
      <c r="O908" s="35" t="s">
        <v>334</v>
      </c>
      <c r="P908" s="36" t="s">
        <v>483</v>
      </c>
      <c r="Q908" s="35"/>
      <c r="R908" s="29"/>
      <c r="S908" s="33"/>
      <c r="T908" s="32"/>
    </row>
    <row r="909">
      <c r="A909" s="15" t="s">
        <v>1531</v>
      </c>
      <c r="B909" s="16" t="s">
        <v>27</v>
      </c>
      <c r="C909" s="16" t="s">
        <v>28</v>
      </c>
      <c r="D909" s="17" t="str">
        <f t="shared" si="1"/>
        <v>Removed</v>
      </c>
      <c r="E909" s="18">
        <v>44735.0</v>
      </c>
      <c r="F909" s="52">
        <v>45291.0</v>
      </c>
      <c r="G909" s="20">
        <f t="shared" si="2"/>
        <v>18.23333333</v>
      </c>
      <c r="H909" s="18">
        <v>44420.0</v>
      </c>
      <c r="I909" s="20">
        <f t="shared" si="3"/>
        <v>0.8638888889</v>
      </c>
      <c r="J909" s="53">
        <v>71.0</v>
      </c>
      <c r="K909" s="53">
        <v>48.0</v>
      </c>
      <c r="L909" s="23" t="s">
        <v>366</v>
      </c>
      <c r="M909" s="23"/>
      <c r="N909" s="23"/>
      <c r="O909" s="132" t="s">
        <v>125</v>
      </c>
      <c r="P909" s="54" t="s">
        <v>475</v>
      </c>
      <c r="Q909" s="23"/>
      <c r="R909" s="17"/>
      <c r="S909" s="18"/>
      <c r="T909" s="20"/>
    </row>
    <row r="910">
      <c r="A910" s="27" t="s">
        <v>1532</v>
      </c>
      <c r="B910" s="28" t="s">
        <v>27</v>
      </c>
      <c r="C910" s="28"/>
      <c r="D910" s="29" t="str">
        <f t="shared" si="1"/>
        <v>Removed</v>
      </c>
      <c r="E910" s="33">
        <v>44908.0</v>
      </c>
      <c r="F910" s="31">
        <v>45275.0</v>
      </c>
      <c r="G910" s="32">
        <f t="shared" si="2"/>
        <v>12.06666667</v>
      </c>
      <c r="H910" s="33">
        <v>44908.0</v>
      </c>
      <c r="I910" s="32">
        <f t="shared" si="3"/>
        <v>0</v>
      </c>
      <c r="J910" s="34">
        <f>7.6*10</f>
        <v>76</v>
      </c>
      <c r="K910" s="34">
        <v>10.0</v>
      </c>
      <c r="L910" s="35" t="s">
        <v>50</v>
      </c>
      <c r="M910" s="35"/>
      <c r="N910" s="35"/>
      <c r="O910" s="133" t="s">
        <v>334</v>
      </c>
      <c r="P910" s="36" t="s">
        <v>1533</v>
      </c>
      <c r="Q910" s="35"/>
      <c r="R910" s="29"/>
      <c r="S910" s="33"/>
      <c r="T910" s="32"/>
    </row>
    <row r="911">
      <c r="A911" s="134" t="s">
        <v>1534</v>
      </c>
      <c r="B911" s="16" t="s">
        <v>27</v>
      </c>
      <c r="C911" s="16" t="s">
        <v>28</v>
      </c>
      <c r="D911" s="17" t="str">
        <f t="shared" si="1"/>
        <v>Removed</v>
      </c>
      <c r="E911" s="18">
        <v>44903.0</v>
      </c>
      <c r="F911" s="52">
        <v>45275.0</v>
      </c>
      <c r="G911" s="20">
        <f t="shared" si="2"/>
        <v>12.23333333</v>
      </c>
      <c r="H911" s="18">
        <v>44903.0</v>
      </c>
      <c r="I911" s="20">
        <f t="shared" si="3"/>
        <v>0</v>
      </c>
      <c r="J911" s="53">
        <v>92.0</v>
      </c>
      <c r="K911" s="53">
        <v>31.0</v>
      </c>
      <c r="L911" s="23" t="s">
        <v>29</v>
      </c>
      <c r="M911" s="23"/>
      <c r="N911" s="23"/>
      <c r="O911" s="23" t="s">
        <v>34</v>
      </c>
      <c r="P911" s="54"/>
      <c r="Q911" s="23"/>
      <c r="R911" s="17"/>
      <c r="S911" s="18"/>
      <c r="T911" s="20"/>
    </row>
    <row r="912">
      <c r="A912" s="27" t="s">
        <v>1535</v>
      </c>
      <c r="B912" s="28" t="s">
        <v>40</v>
      </c>
      <c r="C912" s="28"/>
      <c r="D912" s="29" t="str">
        <f t="shared" si="1"/>
        <v>Removed</v>
      </c>
      <c r="E912" s="33">
        <v>44810.0</v>
      </c>
      <c r="F912" s="31">
        <v>45275.0</v>
      </c>
      <c r="G912" s="32">
        <f t="shared" si="2"/>
        <v>15.3</v>
      </c>
      <c r="H912" s="33">
        <v>43076.0</v>
      </c>
      <c r="I912" s="32">
        <f t="shared" si="3"/>
        <v>4.747222222</v>
      </c>
      <c r="J912" s="34">
        <v>90.0</v>
      </c>
      <c r="K912" s="34">
        <v>15.0</v>
      </c>
      <c r="L912" s="35" t="s">
        <v>731</v>
      </c>
      <c r="M912" s="35"/>
      <c r="N912" s="35" t="s">
        <v>1536</v>
      </c>
      <c r="O912" s="35" t="s">
        <v>125</v>
      </c>
      <c r="P912" s="36" t="s">
        <v>1537</v>
      </c>
      <c r="Q912" s="35"/>
      <c r="R912" s="28"/>
      <c r="S912" s="33"/>
      <c r="T912" s="32"/>
    </row>
    <row r="913">
      <c r="A913" s="15" t="s">
        <v>1538</v>
      </c>
      <c r="B913" s="16" t="s">
        <v>27</v>
      </c>
      <c r="C913" s="16" t="s">
        <v>121</v>
      </c>
      <c r="D913" s="17" t="str">
        <f t="shared" si="1"/>
        <v>Removed</v>
      </c>
      <c r="E913" s="18">
        <v>44532.0</v>
      </c>
      <c r="F913" s="52">
        <v>45275.0</v>
      </c>
      <c r="G913" s="20">
        <f t="shared" si="2"/>
        <v>24.43333333</v>
      </c>
      <c r="H913" s="18">
        <v>44532.0</v>
      </c>
      <c r="I913" s="20">
        <f t="shared" si="3"/>
        <v>0</v>
      </c>
      <c r="J913" s="53">
        <v>74.0</v>
      </c>
      <c r="K913" s="53">
        <v>2.5</v>
      </c>
      <c r="L913" s="23" t="s">
        <v>687</v>
      </c>
      <c r="M913" s="23"/>
      <c r="N913" s="23"/>
      <c r="O913" s="23" t="s">
        <v>334</v>
      </c>
      <c r="P913" s="54" t="s">
        <v>483</v>
      </c>
      <c r="Q913" s="23"/>
      <c r="R913" s="17"/>
      <c r="S913" s="18"/>
      <c r="T913" s="20"/>
    </row>
    <row r="914">
      <c r="A914" s="27" t="s">
        <v>1539</v>
      </c>
      <c r="B914" s="28" t="s">
        <v>27</v>
      </c>
      <c r="C914" s="28" t="s">
        <v>28</v>
      </c>
      <c r="D914" s="29" t="str">
        <f t="shared" si="1"/>
        <v>Removed</v>
      </c>
      <c r="E914" s="33">
        <v>44896.0</v>
      </c>
      <c r="F914" s="31">
        <v>45260.0</v>
      </c>
      <c r="G914" s="32">
        <f t="shared" si="2"/>
        <v>11.96666667</v>
      </c>
      <c r="H914" s="33">
        <v>44546.0</v>
      </c>
      <c r="I914" s="32">
        <f t="shared" si="3"/>
        <v>0.9583333333</v>
      </c>
      <c r="J914" s="34">
        <v>82.0</v>
      </c>
      <c r="K914" s="34">
        <v>20.0</v>
      </c>
      <c r="L914" s="35" t="s">
        <v>529</v>
      </c>
      <c r="M914" s="35"/>
      <c r="N914" s="35"/>
      <c r="O914" s="35" t="s">
        <v>125</v>
      </c>
      <c r="P914" s="36" t="s">
        <v>1540</v>
      </c>
      <c r="Q914" s="35"/>
      <c r="R914" s="29"/>
      <c r="S914" s="33"/>
      <c r="T914" s="32"/>
    </row>
    <row r="915">
      <c r="A915" s="15" t="s">
        <v>1541</v>
      </c>
      <c r="B915" s="16" t="s">
        <v>27</v>
      </c>
      <c r="C915" s="16" t="s">
        <v>121</v>
      </c>
      <c r="D915" s="17" t="str">
        <f t="shared" si="1"/>
        <v>Removed</v>
      </c>
      <c r="E915" s="18">
        <v>44719.0</v>
      </c>
      <c r="F915" s="52">
        <v>45260.0</v>
      </c>
      <c r="G915" s="20">
        <f t="shared" si="2"/>
        <v>17.76666667</v>
      </c>
      <c r="H915" s="18">
        <v>44126.0</v>
      </c>
      <c r="I915" s="20">
        <f t="shared" si="3"/>
        <v>1.625</v>
      </c>
      <c r="J915" s="53">
        <v>83.0</v>
      </c>
      <c r="K915" s="53">
        <v>3.0</v>
      </c>
      <c r="L915" s="23" t="s">
        <v>37</v>
      </c>
      <c r="M915" s="23"/>
      <c r="N915" s="23"/>
      <c r="O915" s="23" t="s">
        <v>125</v>
      </c>
      <c r="P915" s="54" t="s">
        <v>368</v>
      </c>
      <c r="Q915" s="23"/>
      <c r="R915" s="17"/>
      <c r="S915" s="18"/>
      <c r="T915" s="20"/>
    </row>
    <row r="916">
      <c r="A916" s="27" t="s">
        <v>1542</v>
      </c>
      <c r="B916" s="28" t="s">
        <v>27</v>
      </c>
      <c r="C916" s="28" t="s">
        <v>121</v>
      </c>
      <c r="D916" s="29" t="str">
        <f t="shared" si="1"/>
        <v>Removed</v>
      </c>
      <c r="E916" s="33">
        <v>44532.0</v>
      </c>
      <c r="F916" s="31">
        <v>45260.0</v>
      </c>
      <c r="G916" s="32">
        <f t="shared" si="2"/>
        <v>23.93333333</v>
      </c>
      <c r="H916" s="33">
        <v>44440.0</v>
      </c>
      <c r="I916" s="32">
        <f t="shared" si="3"/>
        <v>0.2527777778</v>
      </c>
      <c r="J916" s="34"/>
      <c r="K916" s="34">
        <v>3.0</v>
      </c>
      <c r="L916" s="35" t="s">
        <v>1078</v>
      </c>
      <c r="M916" s="35"/>
      <c r="N916" s="35"/>
      <c r="O916" s="35" t="s">
        <v>125</v>
      </c>
      <c r="P916" s="36" t="s">
        <v>1493</v>
      </c>
      <c r="Q916" s="35"/>
      <c r="R916" s="29"/>
      <c r="S916" s="33"/>
      <c r="T916" s="32"/>
    </row>
    <row r="917">
      <c r="A917" s="15" t="s">
        <v>1543</v>
      </c>
      <c r="B917" s="16" t="s">
        <v>68</v>
      </c>
      <c r="C917" s="16"/>
      <c r="D917" s="17" t="str">
        <f t="shared" si="1"/>
        <v>Removed</v>
      </c>
      <c r="E917" s="18">
        <v>44418.0</v>
      </c>
      <c r="F917" s="52">
        <v>45260.0</v>
      </c>
      <c r="G917" s="20">
        <f t="shared" si="2"/>
        <v>27.66666667</v>
      </c>
      <c r="H917" s="18">
        <v>43719.0</v>
      </c>
      <c r="I917" s="20">
        <f t="shared" si="3"/>
        <v>1.913888889</v>
      </c>
      <c r="J917" s="53">
        <v>79.0</v>
      </c>
      <c r="K917" s="53">
        <v>21.0</v>
      </c>
      <c r="L917" s="43" t="s">
        <v>500</v>
      </c>
      <c r="M917" s="23"/>
      <c r="N917" s="23"/>
      <c r="O917" s="23" t="s">
        <v>132</v>
      </c>
      <c r="P917" s="54"/>
      <c r="Q917" s="23"/>
      <c r="R917" s="17"/>
      <c r="S917" s="18"/>
      <c r="T917" s="20"/>
    </row>
    <row r="918">
      <c r="A918" s="27" t="s">
        <v>1544</v>
      </c>
      <c r="B918" s="28" t="s">
        <v>68</v>
      </c>
      <c r="C918" s="28"/>
      <c r="D918" s="29" t="str">
        <f t="shared" si="1"/>
        <v>Removed</v>
      </c>
      <c r="E918" s="33">
        <v>44145.0</v>
      </c>
      <c r="F918" s="31">
        <v>45260.0</v>
      </c>
      <c r="G918" s="32">
        <f t="shared" si="2"/>
        <v>36.66666667</v>
      </c>
      <c r="H918" s="33">
        <v>40002.0</v>
      </c>
      <c r="I918" s="32">
        <f t="shared" si="3"/>
        <v>11.33888889</v>
      </c>
      <c r="J918" s="34">
        <v>83.0</v>
      </c>
      <c r="K918" s="34">
        <v>24.0</v>
      </c>
      <c r="L918" s="35" t="s">
        <v>512</v>
      </c>
      <c r="M918" s="35"/>
      <c r="N918" s="35" t="s">
        <v>1545</v>
      </c>
      <c r="O918" s="35" t="s">
        <v>125</v>
      </c>
      <c r="P918" s="36" t="s">
        <v>475</v>
      </c>
      <c r="Q918" s="35" t="s">
        <v>863</v>
      </c>
      <c r="R918" s="29"/>
      <c r="S918" s="33"/>
      <c r="T918" s="32"/>
    </row>
    <row r="919">
      <c r="A919" s="15" t="s">
        <v>1546</v>
      </c>
      <c r="B919" s="16" t="s">
        <v>68</v>
      </c>
      <c r="C919" s="16"/>
      <c r="D919" s="17" t="str">
        <f t="shared" si="1"/>
        <v>Removed</v>
      </c>
      <c r="E919" s="18">
        <v>44145.0</v>
      </c>
      <c r="F919" s="52">
        <v>45260.0</v>
      </c>
      <c r="G919" s="20">
        <f t="shared" si="2"/>
        <v>36.66666667</v>
      </c>
      <c r="H919" s="18">
        <v>39622.0</v>
      </c>
      <c r="I919" s="20">
        <f t="shared" si="3"/>
        <v>12.38055556</v>
      </c>
      <c r="J919" s="53">
        <v>83.0</v>
      </c>
      <c r="K919" s="53">
        <v>7.5</v>
      </c>
      <c r="L919" s="23" t="s">
        <v>299</v>
      </c>
      <c r="M919" s="23"/>
      <c r="N919" s="23" t="s">
        <v>1545</v>
      </c>
      <c r="O919" s="23" t="s">
        <v>125</v>
      </c>
      <c r="P919" s="54" t="s">
        <v>1547</v>
      </c>
      <c r="Q919" s="23" t="s">
        <v>863</v>
      </c>
      <c r="R919" s="17"/>
      <c r="S919" s="18"/>
      <c r="T919" s="20"/>
    </row>
    <row r="920">
      <c r="A920" s="27" t="s">
        <v>1548</v>
      </c>
      <c r="B920" s="28" t="s">
        <v>27</v>
      </c>
      <c r="C920" s="28"/>
      <c r="D920" s="29" t="str">
        <f t="shared" si="1"/>
        <v>Removed</v>
      </c>
      <c r="E920" s="33">
        <v>44145.0</v>
      </c>
      <c r="F920" s="31">
        <v>45260.0</v>
      </c>
      <c r="G920" s="32">
        <f t="shared" si="2"/>
        <v>36.66666667</v>
      </c>
      <c r="H920" s="33">
        <v>40239.0</v>
      </c>
      <c r="I920" s="32">
        <f t="shared" si="3"/>
        <v>10.68888889</v>
      </c>
      <c r="J920" s="34">
        <v>88.0</v>
      </c>
      <c r="K920" s="34">
        <v>7.0</v>
      </c>
      <c r="L920" s="35" t="s">
        <v>184</v>
      </c>
      <c r="M920" s="35"/>
      <c r="N920" s="35" t="s">
        <v>1545</v>
      </c>
      <c r="O920" s="35" t="s">
        <v>34</v>
      </c>
      <c r="P920" s="36" t="s">
        <v>446</v>
      </c>
      <c r="Q920" s="35" t="s">
        <v>863</v>
      </c>
      <c r="R920" s="29"/>
      <c r="S920" s="33"/>
      <c r="T920" s="32"/>
    </row>
    <row r="921">
      <c r="A921" s="15" t="s">
        <v>1549</v>
      </c>
      <c r="B921" s="16" t="s">
        <v>27</v>
      </c>
      <c r="C921" s="16" t="s">
        <v>28</v>
      </c>
      <c r="D921" s="17" t="str">
        <f t="shared" si="1"/>
        <v>Removed</v>
      </c>
      <c r="E921" s="18">
        <v>44887.0</v>
      </c>
      <c r="F921" s="52">
        <v>45245.0</v>
      </c>
      <c r="G921" s="20">
        <f t="shared" si="2"/>
        <v>11.76666667</v>
      </c>
      <c r="H921" s="18">
        <v>44887.0</v>
      </c>
      <c r="I921" s="20">
        <f t="shared" si="3"/>
        <v>0</v>
      </c>
      <c r="J921" s="53">
        <v>56.0</v>
      </c>
      <c r="K921" s="53">
        <v>13.0</v>
      </c>
      <c r="L921" s="23" t="s">
        <v>366</v>
      </c>
      <c r="M921" s="23"/>
      <c r="N921" s="23"/>
      <c r="O921" s="23" t="s">
        <v>34</v>
      </c>
      <c r="P921" s="54" t="s">
        <v>1138</v>
      </c>
      <c r="Q921" s="23"/>
      <c r="R921" s="17"/>
      <c r="S921" s="18"/>
      <c r="T921" s="20"/>
    </row>
    <row r="922">
      <c r="A922" s="27" t="s">
        <v>1550</v>
      </c>
      <c r="B922" s="28" t="s">
        <v>27</v>
      </c>
      <c r="C922" s="28" t="s">
        <v>28</v>
      </c>
      <c r="D922" s="29" t="str">
        <f t="shared" si="1"/>
        <v>Removed</v>
      </c>
      <c r="E922" s="33">
        <v>44882.0</v>
      </c>
      <c r="F922" s="31">
        <v>45245.0</v>
      </c>
      <c r="G922" s="32">
        <f t="shared" si="2"/>
        <v>11.93333333</v>
      </c>
      <c r="H922" s="33">
        <v>44882.0</v>
      </c>
      <c r="I922" s="32">
        <f t="shared" si="3"/>
        <v>0</v>
      </c>
      <c r="J922" s="34"/>
      <c r="K922" s="34">
        <v>6.0</v>
      </c>
      <c r="L922" s="35" t="s">
        <v>44</v>
      </c>
      <c r="M922" s="35"/>
      <c r="N922" s="35"/>
      <c r="O922" s="35" t="s">
        <v>132</v>
      </c>
      <c r="P922" s="36"/>
      <c r="Q922" s="35"/>
      <c r="R922" s="29"/>
      <c r="S922" s="33"/>
      <c r="T922" s="32"/>
    </row>
    <row r="923">
      <c r="A923" s="15" t="s">
        <v>1551</v>
      </c>
      <c r="B923" s="16" t="s">
        <v>27</v>
      </c>
      <c r="C923" s="16" t="s">
        <v>121</v>
      </c>
      <c r="D923" s="17" t="str">
        <f t="shared" si="1"/>
        <v>Removed</v>
      </c>
      <c r="E923" s="18">
        <v>44873.0</v>
      </c>
      <c r="F923" s="52">
        <v>45245.0</v>
      </c>
      <c r="G923" s="20">
        <f t="shared" si="2"/>
        <v>12.23333333</v>
      </c>
      <c r="H923" s="18">
        <v>44873.0</v>
      </c>
      <c r="I923" s="20">
        <f t="shared" si="3"/>
        <v>0</v>
      </c>
      <c r="J923" s="53">
        <v>81.0</v>
      </c>
      <c r="K923" s="53">
        <v>42.5</v>
      </c>
      <c r="L923" s="23" t="s">
        <v>1552</v>
      </c>
      <c r="M923" s="23"/>
      <c r="N923" s="23"/>
      <c r="O923" s="23" t="s">
        <v>132</v>
      </c>
      <c r="P923" s="54"/>
      <c r="Q923" s="23"/>
      <c r="R923" s="17"/>
      <c r="S923" s="18"/>
      <c r="T923" s="20"/>
    </row>
    <row r="924">
      <c r="A924" s="27" t="s">
        <v>1553</v>
      </c>
      <c r="B924" s="28" t="s">
        <v>27</v>
      </c>
      <c r="C924" s="28" t="s">
        <v>121</v>
      </c>
      <c r="D924" s="29" t="str">
        <f t="shared" si="1"/>
        <v>Removed</v>
      </c>
      <c r="E924" s="33">
        <v>44868.0</v>
      </c>
      <c r="F924" s="31">
        <v>45245.0</v>
      </c>
      <c r="G924" s="32">
        <f t="shared" si="2"/>
        <v>12.4</v>
      </c>
      <c r="H924" s="33">
        <v>44868.0</v>
      </c>
      <c r="I924" s="32">
        <f t="shared" si="3"/>
        <v>0</v>
      </c>
      <c r="J924" s="34">
        <v>86.0</v>
      </c>
      <c r="K924" s="34">
        <v>7.5</v>
      </c>
      <c r="L924" s="35" t="s">
        <v>721</v>
      </c>
      <c r="M924" s="35"/>
      <c r="N924" s="35"/>
      <c r="O924" s="35" t="s">
        <v>125</v>
      </c>
      <c r="P924" s="36" t="s">
        <v>1554</v>
      </c>
      <c r="Q924" s="35"/>
      <c r="R924" s="29"/>
      <c r="S924" s="33"/>
      <c r="T924" s="32"/>
    </row>
    <row r="925">
      <c r="A925" s="15" t="s">
        <v>1555</v>
      </c>
      <c r="B925" s="16" t="s">
        <v>40</v>
      </c>
      <c r="C925" s="16"/>
      <c r="D925" s="17" t="str">
        <f t="shared" si="1"/>
        <v>Removed</v>
      </c>
      <c r="E925" s="18">
        <v>44798.0</v>
      </c>
      <c r="F925" s="52">
        <v>45245.0</v>
      </c>
      <c r="G925" s="20">
        <f t="shared" si="2"/>
        <v>14.66666667</v>
      </c>
      <c r="H925" s="18">
        <v>43395.0</v>
      </c>
      <c r="I925" s="20">
        <f t="shared" si="3"/>
        <v>3.841666667</v>
      </c>
      <c r="J925" s="53">
        <v>80.0</v>
      </c>
      <c r="K925" s="53">
        <v>26.5</v>
      </c>
      <c r="L925" s="23" t="s">
        <v>50</v>
      </c>
      <c r="M925" s="23"/>
      <c r="N925" s="23"/>
      <c r="O925" s="23" t="s">
        <v>34</v>
      </c>
      <c r="P925" s="54" t="s">
        <v>1556</v>
      </c>
      <c r="Q925" s="23"/>
      <c r="R925" s="16"/>
      <c r="S925" s="18"/>
      <c r="T925" s="20"/>
    </row>
    <row r="926">
      <c r="A926" s="27" t="s">
        <v>1557</v>
      </c>
      <c r="B926" s="28" t="s">
        <v>27</v>
      </c>
      <c r="C926" s="28" t="s">
        <v>121</v>
      </c>
      <c r="D926" s="29" t="str">
        <f t="shared" si="1"/>
        <v>Removed</v>
      </c>
      <c r="E926" s="33">
        <v>44789.0</v>
      </c>
      <c r="F926" s="31">
        <v>45245.0</v>
      </c>
      <c r="G926" s="32">
        <f t="shared" si="2"/>
        <v>14.96666667</v>
      </c>
      <c r="H926" s="33">
        <v>43859.0</v>
      </c>
      <c r="I926" s="32">
        <f t="shared" si="3"/>
        <v>2.547222222</v>
      </c>
      <c r="J926" s="34">
        <v>75.0</v>
      </c>
      <c r="K926" s="34">
        <v>4.0</v>
      </c>
      <c r="L926" s="35" t="s">
        <v>362</v>
      </c>
      <c r="M926" s="35"/>
      <c r="N926" s="35"/>
      <c r="O926" s="35" t="s">
        <v>125</v>
      </c>
      <c r="P926" s="36" t="s">
        <v>1558</v>
      </c>
      <c r="Q926" s="35"/>
      <c r="R926" s="29"/>
      <c r="S926" s="33"/>
      <c r="T926" s="32"/>
    </row>
    <row r="927">
      <c r="A927" s="15" t="s">
        <v>1559</v>
      </c>
      <c r="B927" s="16" t="s">
        <v>27</v>
      </c>
      <c r="C927" s="16" t="s">
        <v>121</v>
      </c>
      <c r="D927" s="17" t="str">
        <f t="shared" si="1"/>
        <v>Removed</v>
      </c>
      <c r="E927" s="18">
        <v>44532.0</v>
      </c>
      <c r="F927" s="52">
        <v>45245.0</v>
      </c>
      <c r="G927" s="20">
        <f t="shared" si="2"/>
        <v>23.43333333</v>
      </c>
      <c r="H927" s="18">
        <v>44012.0</v>
      </c>
      <c r="I927" s="20">
        <f t="shared" si="3"/>
        <v>1.422222222</v>
      </c>
      <c r="J927" s="53">
        <v>86.0</v>
      </c>
      <c r="K927" s="53">
        <v>3.0</v>
      </c>
      <c r="L927" s="23" t="s">
        <v>50</v>
      </c>
      <c r="M927" s="23"/>
      <c r="N927" s="23"/>
      <c r="O927" s="23" t="s">
        <v>132</v>
      </c>
      <c r="P927" s="54"/>
      <c r="Q927" s="23"/>
      <c r="R927" s="17"/>
      <c r="S927" s="18"/>
      <c r="T927" s="20"/>
    </row>
    <row r="928">
      <c r="A928" s="27" t="s">
        <v>1560</v>
      </c>
      <c r="B928" s="28" t="s">
        <v>27</v>
      </c>
      <c r="C928" s="28"/>
      <c r="D928" s="29" t="str">
        <f t="shared" si="1"/>
        <v>Removed</v>
      </c>
      <c r="E928" s="33">
        <v>44145.0</v>
      </c>
      <c r="F928" s="31">
        <v>45244.0</v>
      </c>
      <c r="G928" s="32">
        <f t="shared" si="2"/>
        <v>36.13333333</v>
      </c>
      <c r="H928" s="33">
        <v>44026.0</v>
      </c>
      <c r="I928" s="32">
        <f t="shared" si="3"/>
        <v>0.3222222222</v>
      </c>
      <c r="J928" s="34">
        <v>71.0</v>
      </c>
      <c r="K928" s="34">
        <v>3.0</v>
      </c>
      <c r="L928" s="35" t="s">
        <v>184</v>
      </c>
      <c r="M928" s="35"/>
      <c r="N928" s="35"/>
      <c r="O928" s="35" t="s">
        <v>125</v>
      </c>
      <c r="P928" s="36" t="s">
        <v>483</v>
      </c>
      <c r="Q928" s="35"/>
      <c r="R928" s="29"/>
      <c r="S928" s="33"/>
      <c r="T928" s="32"/>
    </row>
    <row r="929">
      <c r="A929" s="15" t="s">
        <v>1561</v>
      </c>
      <c r="B929" s="16" t="s">
        <v>27</v>
      </c>
      <c r="C929" s="16" t="s">
        <v>28</v>
      </c>
      <c r="D929" s="17" t="str">
        <f t="shared" si="1"/>
        <v>Removed</v>
      </c>
      <c r="E929" s="18">
        <v>44861.0</v>
      </c>
      <c r="F929" s="52">
        <v>45230.0</v>
      </c>
      <c r="G929" s="20">
        <f t="shared" si="2"/>
        <v>12.1</v>
      </c>
      <c r="H929" s="18">
        <v>44517.0</v>
      </c>
      <c r="I929" s="20">
        <f t="shared" si="3"/>
        <v>0.9444444444</v>
      </c>
      <c r="J929" s="53">
        <v>77.0</v>
      </c>
      <c r="K929" s="53">
        <v>3.0</v>
      </c>
      <c r="L929" s="23" t="s">
        <v>791</v>
      </c>
      <c r="M929" s="23" t="s">
        <v>30</v>
      </c>
      <c r="N929" s="23"/>
      <c r="O929" s="23" t="s">
        <v>125</v>
      </c>
      <c r="P929" s="54" t="s">
        <v>475</v>
      </c>
      <c r="Q929" s="23"/>
      <c r="R929" s="17"/>
      <c r="S929" s="18"/>
      <c r="T929" s="20"/>
    </row>
    <row r="930">
      <c r="A930" s="27" t="s">
        <v>1562</v>
      </c>
      <c r="B930" s="28" t="s">
        <v>27</v>
      </c>
      <c r="C930" s="28" t="s">
        <v>28</v>
      </c>
      <c r="D930" s="29" t="str">
        <f t="shared" si="1"/>
        <v>Removed</v>
      </c>
      <c r="E930" s="33">
        <v>44861.0</v>
      </c>
      <c r="F930" s="31">
        <v>45230.0</v>
      </c>
      <c r="G930" s="32">
        <f t="shared" si="2"/>
        <v>12.1</v>
      </c>
      <c r="H930" s="33">
        <v>44861.0</v>
      </c>
      <c r="I930" s="32">
        <f t="shared" si="3"/>
        <v>0</v>
      </c>
      <c r="J930" s="34">
        <v>81.0</v>
      </c>
      <c r="K930" s="34">
        <v>9.0</v>
      </c>
      <c r="L930" s="35" t="s">
        <v>37</v>
      </c>
      <c r="M930" s="35"/>
      <c r="N930" s="35"/>
      <c r="O930" s="35" t="s">
        <v>34</v>
      </c>
      <c r="P930" s="36" t="s">
        <v>551</v>
      </c>
      <c r="Q930" s="35"/>
      <c r="R930" s="29"/>
      <c r="S930" s="33"/>
      <c r="T930" s="32"/>
    </row>
    <row r="931">
      <c r="A931" s="15" t="s">
        <v>1563</v>
      </c>
      <c r="B931" s="16" t="s">
        <v>27</v>
      </c>
      <c r="C931" s="16" t="s">
        <v>121</v>
      </c>
      <c r="D931" s="17" t="str">
        <f t="shared" si="1"/>
        <v>Removed</v>
      </c>
      <c r="E931" s="18">
        <v>44855.0</v>
      </c>
      <c r="F931" s="52">
        <v>45230.0</v>
      </c>
      <c r="G931" s="20">
        <f t="shared" si="2"/>
        <v>12.3</v>
      </c>
      <c r="H931" s="18">
        <v>43769.0</v>
      </c>
      <c r="I931" s="20">
        <f t="shared" si="3"/>
        <v>2.975</v>
      </c>
      <c r="J931" s="53">
        <v>94.0</v>
      </c>
      <c r="K931" s="53">
        <v>103.0</v>
      </c>
      <c r="L931" s="23" t="s">
        <v>29</v>
      </c>
      <c r="M931" s="23"/>
      <c r="N931" s="23"/>
      <c r="O931" s="23" t="s">
        <v>34</v>
      </c>
      <c r="P931" s="54" t="s">
        <v>1564</v>
      </c>
      <c r="Q931" s="23"/>
      <c r="R931" s="17"/>
      <c r="S931" s="18"/>
      <c r="T931" s="20"/>
    </row>
    <row r="932">
      <c r="A932" s="27" t="s">
        <v>1565</v>
      </c>
      <c r="B932" s="28" t="s">
        <v>27</v>
      </c>
      <c r="C932" s="28" t="s">
        <v>28</v>
      </c>
      <c r="D932" s="29" t="str">
        <f t="shared" si="1"/>
        <v>Removed</v>
      </c>
      <c r="E932" s="33">
        <v>44504.0</v>
      </c>
      <c r="F932" s="31">
        <v>45230.0</v>
      </c>
      <c r="G932" s="32">
        <f t="shared" si="2"/>
        <v>23.86666667</v>
      </c>
      <c r="H932" s="33">
        <v>44056.0</v>
      </c>
      <c r="I932" s="32">
        <f t="shared" si="3"/>
        <v>1.225</v>
      </c>
      <c r="J932" s="34">
        <f>(68+78)/2</f>
        <v>73</v>
      </c>
      <c r="K932" s="34">
        <v>3.0</v>
      </c>
      <c r="L932" s="35" t="s">
        <v>1016</v>
      </c>
      <c r="M932" s="35"/>
      <c r="N932" s="35"/>
      <c r="O932" s="35" t="s">
        <v>334</v>
      </c>
      <c r="P932" s="36" t="s">
        <v>586</v>
      </c>
      <c r="Q932" s="35"/>
      <c r="R932" s="29"/>
      <c r="S932" s="33"/>
      <c r="T932" s="32"/>
    </row>
    <row r="933">
      <c r="A933" s="15" t="s">
        <v>1566</v>
      </c>
      <c r="B933" s="16" t="s">
        <v>27</v>
      </c>
      <c r="C933" s="16" t="s">
        <v>28</v>
      </c>
      <c r="D933" s="17" t="str">
        <f t="shared" si="1"/>
        <v>Removed</v>
      </c>
      <c r="E933" s="18">
        <v>44343.0</v>
      </c>
      <c r="F933" s="52">
        <v>45230.0</v>
      </c>
      <c r="G933" s="20">
        <f t="shared" si="2"/>
        <v>29.1</v>
      </c>
      <c r="H933" s="18">
        <v>44124.0</v>
      </c>
      <c r="I933" s="20">
        <f t="shared" si="3"/>
        <v>0.6027777778</v>
      </c>
      <c r="J933" s="53">
        <v>78.0</v>
      </c>
      <c r="K933" s="53">
        <v>39.5</v>
      </c>
      <c r="L933" s="23" t="s">
        <v>529</v>
      </c>
      <c r="M933" s="23"/>
      <c r="N933" s="23" t="s">
        <v>1567</v>
      </c>
      <c r="O933" s="23" t="s">
        <v>125</v>
      </c>
      <c r="P933" s="54" t="s">
        <v>1568</v>
      </c>
      <c r="Q933" s="23"/>
      <c r="R933" s="17"/>
      <c r="S933" s="18"/>
      <c r="T933" s="20"/>
    </row>
    <row r="934">
      <c r="A934" s="27" t="s">
        <v>1569</v>
      </c>
      <c r="B934" s="28" t="s">
        <v>27</v>
      </c>
      <c r="C934" s="28" t="s">
        <v>28</v>
      </c>
      <c r="D934" s="29" t="str">
        <f t="shared" si="1"/>
        <v>Removed</v>
      </c>
      <c r="E934" s="33">
        <v>44865.0</v>
      </c>
      <c r="F934" s="31">
        <v>45214.0</v>
      </c>
      <c r="G934" s="32">
        <f t="shared" si="2"/>
        <v>11.5</v>
      </c>
      <c r="H934" s="33">
        <v>44865.0</v>
      </c>
      <c r="I934" s="32">
        <f t="shared" si="3"/>
        <v>0</v>
      </c>
      <c r="J934" s="34">
        <v>80.0</v>
      </c>
      <c r="K934" s="34">
        <v>5.0</v>
      </c>
      <c r="L934" s="35" t="s">
        <v>918</v>
      </c>
      <c r="M934" s="35"/>
      <c r="N934" s="35"/>
      <c r="O934" s="35" t="s">
        <v>125</v>
      </c>
      <c r="P934" s="36" t="s">
        <v>1176</v>
      </c>
      <c r="Q934" s="35"/>
      <c r="R934" s="29"/>
      <c r="S934" s="33"/>
      <c r="T934" s="32"/>
    </row>
    <row r="935">
      <c r="A935" s="15" t="s">
        <v>1570</v>
      </c>
      <c r="B935" s="16" t="s">
        <v>27</v>
      </c>
      <c r="C935" s="16" t="s">
        <v>28</v>
      </c>
      <c r="D935" s="17" t="str">
        <f t="shared" si="1"/>
        <v>Removed</v>
      </c>
      <c r="E935" s="18">
        <v>44845.0</v>
      </c>
      <c r="F935" s="52">
        <v>45214.0</v>
      </c>
      <c r="G935" s="20">
        <f t="shared" si="2"/>
        <v>12.13333333</v>
      </c>
      <c r="H935" s="18">
        <v>44845.0</v>
      </c>
      <c r="I935" s="20">
        <f t="shared" si="3"/>
        <v>0</v>
      </c>
      <c r="J935" s="53">
        <v>71.0</v>
      </c>
      <c r="K935" s="53">
        <v>8.0</v>
      </c>
      <c r="L935" s="23" t="s">
        <v>37</v>
      </c>
      <c r="M935" s="23"/>
      <c r="N935" s="23"/>
      <c r="O935" s="23" t="s">
        <v>125</v>
      </c>
      <c r="P935" s="54" t="s">
        <v>551</v>
      </c>
      <c r="Q935" s="23"/>
      <c r="R935" s="17"/>
      <c r="S935" s="18"/>
      <c r="T935" s="20"/>
    </row>
    <row r="936">
      <c r="A936" s="27" t="s">
        <v>1571</v>
      </c>
      <c r="B936" s="28" t="s">
        <v>40</v>
      </c>
      <c r="C936" s="28"/>
      <c r="D936" s="29" t="str">
        <f t="shared" si="1"/>
        <v>Removed</v>
      </c>
      <c r="E936" s="33">
        <v>44777.0</v>
      </c>
      <c r="F936" s="31">
        <v>45214.0</v>
      </c>
      <c r="G936" s="32">
        <f t="shared" si="2"/>
        <v>14.36666667</v>
      </c>
      <c r="H936" s="33">
        <v>42649.0</v>
      </c>
      <c r="I936" s="32">
        <f t="shared" si="3"/>
        <v>5.827777778</v>
      </c>
      <c r="J936" s="34">
        <v>88.0</v>
      </c>
      <c r="K936" s="34">
        <v>25.0</v>
      </c>
      <c r="L936" s="35" t="s">
        <v>731</v>
      </c>
      <c r="M936" s="35"/>
      <c r="N936" s="35"/>
      <c r="O936" s="35" t="s">
        <v>125</v>
      </c>
      <c r="P936" s="36" t="s">
        <v>1572</v>
      </c>
      <c r="Q936" s="35"/>
      <c r="R936" s="28"/>
      <c r="S936" s="33"/>
      <c r="T936" s="32"/>
    </row>
    <row r="937">
      <c r="A937" s="15" t="s">
        <v>1573</v>
      </c>
      <c r="B937" s="16" t="s">
        <v>40</v>
      </c>
      <c r="C937" s="16"/>
      <c r="D937" s="17" t="str">
        <f t="shared" si="1"/>
        <v>Removed</v>
      </c>
      <c r="E937" s="18">
        <v>44756.0</v>
      </c>
      <c r="F937" s="52">
        <v>45214.0</v>
      </c>
      <c r="G937" s="20">
        <f t="shared" si="2"/>
        <v>15.03333333</v>
      </c>
      <c r="H937" s="18">
        <v>43292.0</v>
      </c>
      <c r="I937" s="20">
        <f t="shared" si="3"/>
        <v>4.008333333</v>
      </c>
      <c r="J937" s="53">
        <v>74.0</v>
      </c>
      <c r="K937" s="53">
        <v>6.0</v>
      </c>
      <c r="L937" s="23" t="s">
        <v>918</v>
      </c>
      <c r="M937" s="23"/>
      <c r="N937" s="23"/>
      <c r="O937" s="23" t="s">
        <v>334</v>
      </c>
      <c r="P937" s="54" t="s">
        <v>483</v>
      </c>
      <c r="Q937" s="23"/>
      <c r="R937" s="16"/>
      <c r="S937" s="18"/>
      <c r="T937" s="20"/>
    </row>
    <row r="938">
      <c r="A938" s="27" t="s">
        <v>1574</v>
      </c>
      <c r="B938" s="28" t="s">
        <v>27</v>
      </c>
      <c r="C938" s="28" t="s">
        <v>28</v>
      </c>
      <c r="D938" s="29" t="str">
        <f t="shared" si="1"/>
        <v>Removed</v>
      </c>
      <c r="E938" s="33">
        <v>44686.0</v>
      </c>
      <c r="F938" s="31">
        <v>45214.0</v>
      </c>
      <c r="G938" s="32">
        <f t="shared" si="2"/>
        <v>17.33333333</v>
      </c>
      <c r="H938" s="33">
        <v>44686.0</v>
      </c>
      <c r="I938" s="32">
        <f t="shared" si="3"/>
        <v>0</v>
      </c>
      <c r="J938" s="34">
        <v>72.0</v>
      </c>
      <c r="K938" s="34">
        <v>5.0</v>
      </c>
      <c r="L938" s="35" t="s">
        <v>366</v>
      </c>
      <c r="M938" s="35"/>
      <c r="N938" s="35"/>
      <c r="O938" s="35" t="s">
        <v>34</v>
      </c>
      <c r="P938" s="36" t="s">
        <v>368</v>
      </c>
      <c r="Q938" s="35"/>
      <c r="R938" s="29"/>
      <c r="S938" s="33"/>
      <c r="T938" s="32"/>
    </row>
    <row r="939">
      <c r="A939" s="15" t="s">
        <v>1575</v>
      </c>
      <c r="B939" s="16" t="s">
        <v>27</v>
      </c>
      <c r="C939" s="16" t="s">
        <v>121</v>
      </c>
      <c r="D939" s="17" t="str">
        <f t="shared" si="1"/>
        <v>Removed</v>
      </c>
      <c r="E939" s="18">
        <v>44670.0</v>
      </c>
      <c r="F939" s="52">
        <v>45214.0</v>
      </c>
      <c r="G939" s="20">
        <f t="shared" si="2"/>
        <v>17.86666667</v>
      </c>
      <c r="H939" s="18">
        <v>44308.0</v>
      </c>
      <c r="I939" s="20">
        <f t="shared" si="3"/>
        <v>0.9916666667</v>
      </c>
      <c r="J939" s="53">
        <v>72.0</v>
      </c>
      <c r="K939" s="53">
        <v>2.0</v>
      </c>
      <c r="L939" s="23" t="s">
        <v>1576</v>
      </c>
      <c r="M939" s="23"/>
      <c r="N939" s="23"/>
      <c r="O939" s="23" t="s">
        <v>334</v>
      </c>
      <c r="P939" s="54" t="s">
        <v>1577</v>
      </c>
      <c r="Q939" s="23"/>
      <c r="R939" s="17"/>
      <c r="S939" s="18"/>
      <c r="T939" s="20"/>
    </row>
    <row r="940">
      <c r="A940" s="27" t="s">
        <v>1578</v>
      </c>
      <c r="B940" s="28" t="s">
        <v>27</v>
      </c>
      <c r="C940" s="28" t="s">
        <v>28</v>
      </c>
      <c r="D940" s="29" t="str">
        <f t="shared" si="1"/>
        <v>Removed</v>
      </c>
      <c r="E940" s="33">
        <v>44833.0</v>
      </c>
      <c r="F940" s="31">
        <v>45199.0</v>
      </c>
      <c r="G940" s="32">
        <f t="shared" si="2"/>
        <v>12.03333333</v>
      </c>
      <c r="H940" s="33">
        <v>44833.0</v>
      </c>
      <c r="I940" s="32">
        <f t="shared" si="3"/>
        <v>0</v>
      </c>
      <c r="J940" s="34">
        <v>80.0</v>
      </c>
      <c r="K940" s="34">
        <v>9.5</v>
      </c>
      <c r="L940" s="35" t="s">
        <v>119</v>
      </c>
      <c r="M940" s="35"/>
      <c r="N940" s="35"/>
      <c r="O940" s="35" t="s">
        <v>125</v>
      </c>
      <c r="P940" s="36" t="s">
        <v>712</v>
      </c>
      <c r="Q940" s="35"/>
      <c r="R940" s="29"/>
      <c r="S940" s="33"/>
      <c r="T940" s="32"/>
    </row>
    <row r="941">
      <c r="A941" s="15" t="s">
        <v>1579</v>
      </c>
      <c r="B941" s="16" t="s">
        <v>27</v>
      </c>
      <c r="C941" s="16" t="s">
        <v>28</v>
      </c>
      <c r="D941" s="17" t="str">
        <f t="shared" si="1"/>
        <v>Removed</v>
      </c>
      <c r="E941" s="18">
        <v>44831.0</v>
      </c>
      <c r="F941" s="52">
        <v>45199.0</v>
      </c>
      <c r="G941" s="20">
        <f t="shared" si="2"/>
        <v>12.1</v>
      </c>
      <c r="H941" s="18">
        <v>44831.0</v>
      </c>
      <c r="I941" s="20">
        <f t="shared" si="3"/>
        <v>0</v>
      </c>
      <c r="J941" s="53">
        <v>76.0</v>
      </c>
      <c r="K941" s="53">
        <v>8.5</v>
      </c>
      <c r="L941" s="23" t="s">
        <v>37</v>
      </c>
      <c r="M941" s="23"/>
      <c r="N941" s="23"/>
      <c r="O941" s="23" t="s">
        <v>125</v>
      </c>
      <c r="P941" s="54" t="s">
        <v>1554</v>
      </c>
      <c r="Q941" s="23"/>
      <c r="R941" s="17"/>
      <c r="S941" s="18"/>
      <c r="T941" s="20"/>
    </row>
    <row r="942">
      <c r="A942" s="91" t="s">
        <v>1580</v>
      </c>
      <c r="B942" s="92" t="s">
        <v>27</v>
      </c>
      <c r="C942" s="28" t="s">
        <v>28</v>
      </c>
      <c r="D942" s="92" t="str">
        <f t="shared" si="1"/>
        <v>Removed</v>
      </c>
      <c r="E942" s="103">
        <v>44826.0</v>
      </c>
      <c r="F942" s="31">
        <v>45199.0</v>
      </c>
      <c r="G942" s="32">
        <f t="shared" si="2"/>
        <v>12.26666667</v>
      </c>
      <c r="H942" s="103">
        <v>44826.0</v>
      </c>
      <c r="I942" s="32">
        <f t="shared" si="3"/>
        <v>0</v>
      </c>
      <c r="J942" s="135">
        <v>83.0</v>
      </c>
      <c r="K942" s="34">
        <v>5.0</v>
      </c>
      <c r="L942" s="96" t="s">
        <v>362</v>
      </c>
      <c r="M942" s="85"/>
      <c r="N942" s="85"/>
      <c r="O942" s="96" t="s">
        <v>125</v>
      </c>
      <c r="P942" s="96" t="s">
        <v>1581</v>
      </c>
      <c r="Q942" s="85"/>
      <c r="R942" s="29"/>
      <c r="S942" s="33"/>
      <c r="T942" s="32"/>
    </row>
    <row r="943">
      <c r="A943" s="15" t="s">
        <v>1582</v>
      </c>
      <c r="B943" s="16" t="s">
        <v>40</v>
      </c>
      <c r="C943" s="16"/>
      <c r="D943" s="17" t="str">
        <f t="shared" si="1"/>
        <v>Removed</v>
      </c>
      <c r="E943" s="18">
        <v>44747.0</v>
      </c>
      <c r="F943" s="52">
        <v>45199.0</v>
      </c>
      <c r="G943" s="20">
        <f t="shared" si="2"/>
        <v>14.83333333</v>
      </c>
      <c r="H943" s="18">
        <v>44747.0</v>
      </c>
      <c r="I943" s="20">
        <f t="shared" si="3"/>
        <v>0</v>
      </c>
      <c r="J943" s="53">
        <v>80.0</v>
      </c>
      <c r="K943" s="53">
        <v>64.5</v>
      </c>
      <c r="L943" s="23" t="s">
        <v>1583</v>
      </c>
      <c r="M943" s="23"/>
      <c r="N943" s="23"/>
      <c r="O943" s="23" t="s">
        <v>125</v>
      </c>
      <c r="P943" s="54"/>
      <c r="Q943" s="23"/>
      <c r="R943" s="16"/>
      <c r="S943" s="18"/>
      <c r="T943" s="20"/>
    </row>
    <row r="944">
      <c r="A944" s="27" t="s">
        <v>1584</v>
      </c>
      <c r="B944" s="28" t="s">
        <v>27</v>
      </c>
      <c r="C944" s="28" t="s">
        <v>28</v>
      </c>
      <c r="D944" s="29" t="str">
        <f t="shared" si="1"/>
        <v>Removed</v>
      </c>
      <c r="E944" s="33">
        <v>44651.0</v>
      </c>
      <c r="F944" s="31">
        <v>45199.0</v>
      </c>
      <c r="G944" s="32">
        <f t="shared" si="2"/>
        <v>18</v>
      </c>
      <c r="H944" s="33">
        <v>44651.0</v>
      </c>
      <c r="I944" s="32">
        <f t="shared" si="3"/>
        <v>0</v>
      </c>
      <c r="J944" s="34">
        <f>average(78,81)</f>
        <v>79.5</v>
      </c>
      <c r="K944" s="34">
        <v>21.0</v>
      </c>
      <c r="L944" s="35" t="s">
        <v>1585</v>
      </c>
      <c r="M944" s="35"/>
      <c r="N944" s="35" t="s">
        <v>1586</v>
      </c>
      <c r="O944" s="35" t="s">
        <v>34</v>
      </c>
      <c r="P944" s="36" t="s">
        <v>432</v>
      </c>
      <c r="Q944" s="35"/>
      <c r="R944" s="29"/>
      <c r="S944" s="33"/>
      <c r="T944" s="32"/>
    </row>
    <row r="945">
      <c r="A945" s="15" t="s">
        <v>1587</v>
      </c>
      <c r="B945" s="16" t="s">
        <v>27</v>
      </c>
      <c r="C945" s="16" t="s">
        <v>28</v>
      </c>
      <c r="D945" s="17" t="str">
        <f t="shared" si="1"/>
        <v>Removed</v>
      </c>
      <c r="E945" s="18">
        <v>44371.0</v>
      </c>
      <c r="F945" s="52">
        <v>45199.0</v>
      </c>
      <c r="G945" s="20">
        <f t="shared" si="2"/>
        <v>27.2</v>
      </c>
      <c r="H945" s="18">
        <v>44144.0</v>
      </c>
      <c r="I945" s="20">
        <f t="shared" si="3"/>
        <v>0.625</v>
      </c>
      <c r="J945" s="53">
        <f>(75+96)/2</f>
        <v>85.5</v>
      </c>
      <c r="K945" s="53">
        <v>5.5</v>
      </c>
      <c r="L945" s="23" t="s">
        <v>184</v>
      </c>
      <c r="M945" s="23"/>
      <c r="N945" s="23" t="s">
        <v>1588</v>
      </c>
      <c r="O945" s="23" t="s">
        <v>34</v>
      </c>
      <c r="P945" s="54" t="s">
        <v>832</v>
      </c>
      <c r="Q945" s="23"/>
      <c r="R945" s="17"/>
      <c r="S945" s="18"/>
      <c r="T945" s="20"/>
    </row>
    <row r="946">
      <c r="A946" s="27" t="s">
        <v>1589</v>
      </c>
      <c r="B946" s="28" t="s">
        <v>27</v>
      </c>
      <c r="C946" s="28" t="s">
        <v>28</v>
      </c>
      <c r="D946" s="29" t="str">
        <f t="shared" si="1"/>
        <v>Removed</v>
      </c>
      <c r="E946" s="33">
        <v>44287.0</v>
      </c>
      <c r="F946" s="31">
        <v>45199.0</v>
      </c>
      <c r="G946" s="32">
        <f t="shared" si="2"/>
        <v>29.96666667</v>
      </c>
      <c r="H946" s="33">
        <v>44287.0</v>
      </c>
      <c r="I946" s="32">
        <f t="shared" si="3"/>
        <v>0</v>
      </c>
      <c r="J946" s="34">
        <v>78.0</v>
      </c>
      <c r="K946" s="34">
        <v>15.0</v>
      </c>
      <c r="L946" s="35" t="s">
        <v>509</v>
      </c>
      <c r="M946" s="35" t="s">
        <v>123</v>
      </c>
      <c r="N946" s="35" t="s">
        <v>1590</v>
      </c>
      <c r="O946" s="35" t="s">
        <v>34</v>
      </c>
      <c r="P946" s="36" t="s">
        <v>1040</v>
      </c>
      <c r="Q946" s="35"/>
      <c r="R946" s="29"/>
      <c r="S946" s="33"/>
      <c r="T946" s="32"/>
    </row>
    <row r="947">
      <c r="A947" s="15" t="s">
        <v>1591</v>
      </c>
      <c r="B947" s="16" t="s">
        <v>27</v>
      </c>
      <c r="C947" s="16" t="s">
        <v>28</v>
      </c>
      <c r="D947" s="17" t="str">
        <f t="shared" si="1"/>
        <v>Removed</v>
      </c>
      <c r="E947" s="18">
        <v>45001.0</v>
      </c>
      <c r="F947" s="52">
        <v>45184.0</v>
      </c>
      <c r="G947" s="20">
        <f t="shared" si="2"/>
        <v>5.966666667</v>
      </c>
      <c r="H947" s="18">
        <v>42664.0</v>
      </c>
      <c r="I947" s="20">
        <f t="shared" si="3"/>
        <v>6.402777778</v>
      </c>
      <c r="J947" s="53">
        <v>87.0</v>
      </c>
      <c r="K947" s="53">
        <v>23.0</v>
      </c>
      <c r="L947" s="23" t="s">
        <v>119</v>
      </c>
      <c r="M947" s="23"/>
      <c r="N947" s="23"/>
      <c r="O947" s="23" t="s">
        <v>334</v>
      </c>
      <c r="P947" s="54" t="s">
        <v>1592</v>
      </c>
      <c r="Q947" s="23"/>
      <c r="R947" s="17"/>
      <c r="S947" s="18"/>
      <c r="T947" s="20"/>
    </row>
    <row r="948">
      <c r="A948" s="27" t="s">
        <v>1593</v>
      </c>
      <c r="B948" s="28" t="s">
        <v>27</v>
      </c>
      <c r="C948" s="28" t="s">
        <v>121</v>
      </c>
      <c r="D948" s="29" t="str">
        <f t="shared" si="1"/>
        <v>Removed</v>
      </c>
      <c r="E948" s="33">
        <v>44819.0</v>
      </c>
      <c r="F948" s="31">
        <v>45184.0</v>
      </c>
      <c r="G948" s="32">
        <f t="shared" si="2"/>
        <v>12</v>
      </c>
      <c r="H948" s="33">
        <v>42747.0</v>
      </c>
      <c r="I948" s="32">
        <f t="shared" si="3"/>
        <v>5.675</v>
      </c>
      <c r="J948" s="34">
        <v>80.0</v>
      </c>
      <c r="K948" s="34">
        <v>39.0</v>
      </c>
      <c r="L948" s="35" t="s">
        <v>1594</v>
      </c>
      <c r="M948" s="35"/>
      <c r="N948" s="35"/>
      <c r="O948" s="35" t="s">
        <v>34</v>
      </c>
      <c r="P948" s="36" t="s">
        <v>1595</v>
      </c>
      <c r="Q948" s="35"/>
      <c r="R948" s="29"/>
      <c r="S948" s="33"/>
      <c r="T948" s="32"/>
    </row>
    <row r="949">
      <c r="A949" s="15" t="s">
        <v>1596</v>
      </c>
      <c r="B949" s="16" t="s">
        <v>27</v>
      </c>
      <c r="C949" s="16" t="s">
        <v>121</v>
      </c>
      <c r="D949" s="17" t="str">
        <f t="shared" si="1"/>
        <v>Removed</v>
      </c>
      <c r="E949" s="18">
        <v>44819.0</v>
      </c>
      <c r="F949" s="52">
        <v>45184.0</v>
      </c>
      <c r="G949" s="20">
        <f t="shared" si="2"/>
        <v>12</v>
      </c>
      <c r="H949" s="18">
        <v>44405.0</v>
      </c>
      <c r="I949" s="20">
        <f t="shared" si="3"/>
        <v>1.130555556</v>
      </c>
      <c r="J949" s="53">
        <v>87.0</v>
      </c>
      <c r="K949" s="53">
        <v>19.5</v>
      </c>
      <c r="L949" s="23" t="s">
        <v>742</v>
      </c>
      <c r="M949" s="23"/>
      <c r="N949" s="23"/>
      <c r="O949" s="23" t="s">
        <v>125</v>
      </c>
      <c r="P949" s="54" t="s">
        <v>1597</v>
      </c>
      <c r="Q949" s="23"/>
      <c r="R949" s="17"/>
      <c r="S949" s="18"/>
      <c r="T949" s="20"/>
    </row>
    <row r="950">
      <c r="A950" s="27" t="s">
        <v>1598</v>
      </c>
      <c r="B950" s="28" t="s">
        <v>27</v>
      </c>
      <c r="C950" s="28" t="s">
        <v>28</v>
      </c>
      <c r="D950" s="29" t="str">
        <f t="shared" si="1"/>
        <v>Removed</v>
      </c>
      <c r="E950" s="33">
        <v>44819.0</v>
      </c>
      <c r="F950" s="31">
        <v>45184.0</v>
      </c>
      <c r="G950" s="32">
        <f t="shared" si="2"/>
        <v>12</v>
      </c>
      <c r="H950" s="33">
        <v>44819.0</v>
      </c>
      <c r="I950" s="32">
        <f t="shared" si="3"/>
        <v>0</v>
      </c>
      <c r="J950" s="34">
        <v>79.0</v>
      </c>
      <c r="K950" s="34">
        <v>6.0</v>
      </c>
      <c r="L950" s="35" t="s">
        <v>1599</v>
      </c>
      <c r="M950" s="35"/>
      <c r="N950" s="35" t="s">
        <v>1600</v>
      </c>
      <c r="O950" s="35" t="s">
        <v>125</v>
      </c>
      <c r="P950" s="36" t="s">
        <v>1601</v>
      </c>
      <c r="Q950" s="35" t="s">
        <v>621</v>
      </c>
      <c r="R950" s="29"/>
      <c r="S950" s="33"/>
      <c r="T950" s="32"/>
    </row>
    <row r="951">
      <c r="A951" s="15" t="s">
        <v>1602</v>
      </c>
      <c r="B951" s="16" t="s">
        <v>40</v>
      </c>
      <c r="C951" s="16"/>
      <c r="D951" s="17" t="str">
        <f t="shared" si="1"/>
        <v>Removed</v>
      </c>
      <c r="E951" s="18">
        <v>44818.0</v>
      </c>
      <c r="F951" s="52">
        <v>45184.0</v>
      </c>
      <c r="G951" s="20">
        <f t="shared" si="2"/>
        <v>12.03333333</v>
      </c>
      <c r="H951" s="18">
        <v>43476.0</v>
      </c>
      <c r="I951" s="20">
        <f t="shared" si="3"/>
        <v>3.675</v>
      </c>
      <c r="J951" s="53">
        <v>73.0</v>
      </c>
      <c r="K951" s="53">
        <v>100.0</v>
      </c>
      <c r="L951" s="23" t="s">
        <v>522</v>
      </c>
      <c r="M951" s="23"/>
      <c r="N951" s="23"/>
      <c r="O951" s="23" t="s">
        <v>334</v>
      </c>
      <c r="P951" s="54" t="s">
        <v>1370</v>
      </c>
      <c r="Q951" s="23"/>
      <c r="R951" s="16"/>
      <c r="S951" s="18"/>
      <c r="T951" s="20"/>
    </row>
    <row r="952">
      <c r="A952" s="27" t="s">
        <v>1603</v>
      </c>
      <c r="B952" s="28" t="s">
        <v>27</v>
      </c>
      <c r="C952" s="28" t="s">
        <v>121</v>
      </c>
      <c r="D952" s="29" t="str">
        <f t="shared" si="1"/>
        <v>Removed</v>
      </c>
      <c r="E952" s="33">
        <v>44817.0</v>
      </c>
      <c r="F952" s="31">
        <v>45184.0</v>
      </c>
      <c r="G952" s="32">
        <f t="shared" si="2"/>
        <v>12.06666667</v>
      </c>
      <c r="H952" s="33">
        <v>44757.0</v>
      </c>
      <c r="I952" s="32">
        <f t="shared" si="3"/>
        <v>0.1611111111</v>
      </c>
      <c r="J952" s="34">
        <v>60.0</v>
      </c>
      <c r="K952" s="34">
        <v>3.0</v>
      </c>
      <c r="L952" s="35" t="s">
        <v>1604</v>
      </c>
      <c r="M952" s="35"/>
      <c r="N952" s="35"/>
      <c r="O952" s="35" t="s">
        <v>334</v>
      </c>
      <c r="P952" s="36" t="s">
        <v>483</v>
      </c>
      <c r="Q952" s="35"/>
      <c r="R952" s="29"/>
      <c r="S952" s="33"/>
      <c r="T952" s="32"/>
    </row>
    <row r="953">
      <c r="A953" s="15" t="s">
        <v>1605</v>
      </c>
      <c r="B953" s="16" t="s">
        <v>27</v>
      </c>
      <c r="C953" s="16"/>
      <c r="D953" s="17" t="str">
        <f t="shared" si="1"/>
        <v>Removed</v>
      </c>
      <c r="E953" s="18">
        <v>44810.0</v>
      </c>
      <c r="F953" s="52">
        <v>45184.0</v>
      </c>
      <c r="G953" s="20">
        <f t="shared" si="2"/>
        <v>12.3</v>
      </c>
      <c r="H953" s="18">
        <v>44810.0</v>
      </c>
      <c r="I953" s="20">
        <f t="shared" si="3"/>
        <v>0</v>
      </c>
      <c r="J953" s="53">
        <v>78.0</v>
      </c>
      <c r="K953" s="53">
        <v>466.0</v>
      </c>
      <c r="L953" s="23" t="s">
        <v>50</v>
      </c>
      <c r="M953" s="23"/>
      <c r="N953" s="23"/>
      <c r="O953" s="23" t="s">
        <v>132</v>
      </c>
      <c r="P953" s="54"/>
      <c r="Q953" s="23"/>
      <c r="R953" s="17"/>
      <c r="S953" s="18"/>
      <c r="T953" s="20"/>
    </row>
    <row r="954">
      <c r="A954" s="27" t="s">
        <v>1606</v>
      </c>
      <c r="B954" s="28" t="s">
        <v>27</v>
      </c>
      <c r="C954" s="28" t="s">
        <v>121</v>
      </c>
      <c r="D954" s="29" t="str">
        <f t="shared" si="1"/>
        <v>Removed</v>
      </c>
      <c r="E954" s="33">
        <v>44642.0</v>
      </c>
      <c r="F954" s="31">
        <v>45184.0</v>
      </c>
      <c r="G954" s="32">
        <f t="shared" si="2"/>
        <v>17.76666667</v>
      </c>
      <c r="H954" s="33">
        <v>44000.0</v>
      </c>
      <c r="I954" s="32">
        <f t="shared" si="3"/>
        <v>1.761111111</v>
      </c>
      <c r="J954" s="34">
        <v>82.0</v>
      </c>
      <c r="K954" s="34">
        <v>13.5</v>
      </c>
      <c r="L954" s="35" t="s">
        <v>1607</v>
      </c>
      <c r="M954" s="35"/>
      <c r="N954" s="35"/>
      <c r="O954" s="35" t="s">
        <v>34</v>
      </c>
      <c r="P954" s="36" t="s">
        <v>1493</v>
      </c>
      <c r="Q954" s="35"/>
      <c r="R954" s="29"/>
      <c r="S954" s="33"/>
      <c r="T954" s="32"/>
    </row>
    <row r="955">
      <c r="A955" s="15" t="s">
        <v>1608</v>
      </c>
      <c r="B955" s="16" t="s">
        <v>27</v>
      </c>
      <c r="C955" s="16" t="s">
        <v>121</v>
      </c>
      <c r="D955" s="17" t="str">
        <f t="shared" si="1"/>
        <v>Removed</v>
      </c>
      <c r="E955" s="18">
        <v>44456.0</v>
      </c>
      <c r="F955" s="52">
        <v>45184.0</v>
      </c>
      <c r="G955" s="20">
        <f t="shared" si="2"/>
        <v>23.93333333</v>
      </c>
      <c r="H955" s="18">
        <v>44456.0</v>
      </c>
      <c r="I955" s="20">
        <f t="shared" si="3"/>
        <v>0</v>
      </c>
      <c r="J955" s="53">
        <f>(65+73)/2</f>
        <v>69</v>
      </c>
      <c r="K955" s="53">
        <v>13.5</v>
      </c>
      <c r="L955" s="23" t="s">
        <v>366</v>
      </c>
      <c r="M955" s="23"/>
      <c r="N955" s="23"/>
      <c r="O955" s="23" t="s">
        <v>34</v>
      </c>
      <c r="P955" s="54" t="s">
        <v>551</v>
      </c>
      <c r="Q955" s="23"/>
      <c r="R955" s="17"/>
      <c r="S955" s="18"/>
      <c r="T955" s="20"/>
    </row>
    <row r="956">
      <c r="A956" s="27" t="s">
        <v>1609</v>
      </c>
      <c r="B956" s="28" t="s">
        <v>1610</v>
      </c>
      <c r="C956" s="29"/>
      <c r="D956" s="29" t="s">
        <v>1611</v>
      </c>
      <c r="E956" s="70">
        <v>45139.0</v>
      </c>
      <c r="F956" s="30">
        <v>45169.0</v>
      </c>
      <c r="G956" s="32">
        <f t="shared" si="2"/>
        <v>0.9666666667</v>
      </c>
      <c r="H956" s="33"/>
      <c r="I956" s="32">
        <f t="shared" si="3"/>
        <v>-2.205555556</v>
      </c>
      <c r="J956" s="34"/>
      <c r="K956" s="34"/>
      <c r="L956" s="35"/>
      <c r="M956" s="35"/>
      <c r="N956" s="35" t="s">
        <v>1612</v>
      </c>
      <c r="O956" s="35"/>
      <c r="P956" s="36"/>
      <c r="Q956" s="35"/>
      <c r="R956" s="29"/>
      <c r="S956" s="33"/>
      <c r="T956" s="32"/>
    </row>
    <row r="957">
      <c r="A957" s="15" t="s">
        <v>1613</v>
      </c>
      <c r="B957" s="16" t="s">
        <v>1610</v>
      </c>
      <c r="C957" s="17"/>
      <c r="D957" s="17" t="s">
        <v>1611</v>
      </c>
      <c r="E957" s="76">
        <v>45139.0</v>
      </c>
      <c r="F957" s="62">
        <v>45169.0</v>
      </c>
      <c r="G957" s="20">
        <f t="shared" si="2"/>
        <v>0.9666666667</v>
      </c>
      <c r="H957" s="18"/>
      <c r="I957" s="20">
        <f t="shared" si="3"/>
        <v>-2.205555556</v>
      </c>
      <c r="J957" s="53"/>
      <c r="K957" s="53"/>
      <c r="L957" s="23"/>
      <c r="M957" s="23" t="s">
        <v>1614</v>
      </c>
      <c r="N957" s="23" t="s">
        <v>1612</v>
      </c>
      <c r="O957" s="23"/>
      <c r="P957" s="54"/>
      <c r="Q957" s="23"/>
      <c r="R957" s="17"/>
      <c r="S957" s="18"/>
      <c r="T957" s="20"/>
    </row>
    <row r="958">
      <c r="A958" s="27" t="s">
        <v>1615</v>
      </c>
      <c r="B958" s="28" t="s">
        <v>27</v>
      </c>
      <c r="C958" s="28" t="s">
        <v>28</v>
      </c>
      <c r="D958" s="29" t="str">
        <f t="shared" ref="D958:D963" si="25">IF(E958&gt;TODAY(),"Coming Soon",IF(F958="","Active",IF(F958&gt;TODAY(),"Leaving Soon","Removed")))</f>
        <v>Removed</v>
      </c>
      <c r="E958" s="33">
        <v>44803.0</v>
      </c>
      <c r="F958" s="31">
        <v>45169.0</v>
      </c>
      <c r="G958" s="32">
        <f t="shared" si="2"/>
        <v>12</v>
      </c>
      <c r="H958" s="33">
        <v>44803.0</v>
      </c>
      <c r="I958" s="32">
        <f t="shared" si="3"/>
        <v>0</v>
      </c>
      <c r="J958" s="34">
        <v>60.0</v>
      </c>
      <c r="K958" s="34">
        <v>10.0</v>
      </c>
      <c r="L958" s="35" t="s">
        <v>726</v>
      </c>
      <c r="M958" s="35"/>
      <c r="N958" s="35"/>
      <c r="O958" s="35" t="s">
        <v>125</v>
      </c>
      <c r="P958" s="36" t="s">
        <v>1616</v>
      </c>
      <c r="Q958" s="35" t="s">
        <v>1617</v>
      </c>
      <c r="R958" s="29"/>
      <c r="S958" s="33"/>
      <c r="T958" s="32"/>
    </row>
    <row r="959">
      <c r="A959" s="15" t="s">
        <v>1618</v>
      </c>
      <c r="B959" s="16" t="s">
        <v>27</v>
      </c>
      <c r="C959" s="16" t="s">
        <v>28</v>
      </c>
      <c r="D959" s="17" t="str">
        <f t="shared" si="25"/>
        <v>Removed</v>
      </c>
      <c r="E959" s="18">
        <v>44803.0</v>
      </c>
      <c r="F959" s="52">
        <v>45169.0</v>
      </c>
      <c r="G959" s="20">
        <f t="shared" si="2"/>
        <v>12</v>
      </c>
      <c r="H959" s="18">
        <v>44803.0</v>
      </c>
      <c r="I959" s="20">
        <f t="shared" si="3"/>
        <v>0</v>
      </c>
      <c r="J959" s="53">
        <v>91.0</v>
      </c>
      <c r="K959" s="53">
        <v>5.0</v>
      </c>
      <c r="L959" s="23" t="s">
        <v>1458</v>
      </c>
      <c r="M959" s="23" t="s">
        <v>30</v>
      </c>
      <c r="N959" s="23"/>
      <c r="O959" s="23" t="s">
        <v>34</v>
      </c>
      <c r="P959" s="54" t="s">
        <v>1619</v>
      </c>
      <c r="Q959" s="23"/>
      <c r="R959" s="17"/>
      <c r="S959" s="18"/>
      <c r="T959" s="20"/>
    </row>
    <row r="960">
      <c r="A960" s="27" t="s">
        <v>1620</v>
      </c>
      <c r="B960" s="28" t="s">
        <v>27</v>
      </c>
      <c r="C960" s="28"/>
      <c r="D960" s="29" t="str">
        <f t="shared" si="25"/>
        <v>Removed</v>
      </c>
      <c r="E960" s="33">
        <v>44803.0</v>
      </c>
      <c r="F960" s="31">
        <v>45169.0</v>
      </c>
      <c r="G960" s="32">
        <f t="shared" si="2"/>
        <v>12</v>
      </c>
      <c r="H960" s="33">
        <v>44803.0</v>
      </c>
      <c r="I960" s="32">
        <f t="shared" si="3"/>
        <v>0</v>
      </c>
      <c r="J960" s="34">
        <v>81.0</v>
      </c>
      <c r="K960" s="34">
        <v>6.0</v>
      </c>
      <c r="L960" s="35" t="s">
        <v>557</v>
      </c>
      <c r="M960" s="35"/>
      <c r="N960" s="35"/>
      <c r="O960" s="35" t="s">
        <v>334</v>
      </c>
      <c r="P960" s="36" t="s">
        <v>1621</v>
      </c>
      <c r="Q960" s="35"/>
      <c r="R960" s="29"/>
      <c r="S960" s="33"/>
      <c r="T960" s="32"/>
    </row>
    <row r="961">
      <c r="A961" s="15" t="s">
        <v>1622</v>
      </c>
      <c r="B961" s="16" t="s">
        <v>27</v>
      </c>
      <c r="C961" s="16" t="s">
        <v>28</v>
      </c>
      <c r="D961" s="17" t="str">
        <f t="shared" si="25"/>
        <v>Removed</v>
      </c>
      <c r="E961" s="18">
        <v>44448.0</v>
      </c>
      <c r="F961" s="52">
        <v>45169.0</v>
      </c>
      <c r="G961" s="20">
        <f t="shared" si="2"/>
        <v>23.7</v>
      </c>
      <c r="H961" s="18">
        <v>42343.0</v>
      </c>
      <c r="I961" s="20">
        <f t="shared" si="3"/>
        <v>5.761111111</v>
      </c>
      <c r="J961" s="53">
        <v>89.0</v>
      </c>
      <c r="K961" s="53">
        <v>15.5</v>
      </c>
      <c r="L961" s="23" t="s">
        <v>675</v>
      </c>
      <c r="M961" s="23"/>
      <c r="N961" s="23"/>
      <c r="O961" s="23" t="s">
        <v>334</v>
      </c>
      <c r="P961" s="54" t="s">
        <v>1204</v>
      </c>
      <c r="Q961" s="23"/>
      <c r="R961" s="17"/>
      <c r="S961" s="18"/>
      <c r="T961" s="20"/>
    </row>
    <row r="962">
      <c r="A962" s="27" t="s">
        <v>1623</v>
      </c>
      <c r="B962" s="28" t="s">
        <v>27</v>
      </c>
      <c r="C962" s="28" t="s">
        <v>28</v>
      </c>
      <c r="D962" s="29" t="str">
        <f t="shared" si="25"/>
        <v>Removed</v>
      </c>
      <c r="E962" s="33">
        <v>44441.0</v>
      </c>
      <c r="F962" s="31">
        <v>45169.0</v>
      </c>
      <c r="G962" s="32">
        <f t="shared" si="2"/>
        <v>23.93333333</v>
      </c>
      <c r="H962" s="33">
        <v>44070.0</v>
      </c>
      <c r="I962" s="32">
        <f t="shared" si="3"/>
        <v>1.013888889</v>
      </c>
      <c r="J962" s="34">
        <v>69.0</v>
      </c>
      <c r="K962" s="34">
        <v>4.0</v>
      </c>
      <c r="L962" s="35" t="s">
        <v>50</v>
      </c>
      <c r="M962" s="35"/>
      <c r="N962" s="35"/>
      <c r="O962" s="35" t="s">
        <v>34</v>
      </c>
      <c r="P962" s="36" t="s">
        <v>619</v>
      </c>
      <c r="Q962" s="35"/>
      <c r="R962" s="29"/>
      <c r="S962" s="33"/>
      <c r="T962" s="32"/>
    </row>
    <row r="963">
      <c r="A963" s="64" t="s">
        <v>1624</v>
      </c>
      <c r="B963" s="16" t="s">
        <v>68</v>
      </c>
      <c r="C963" s="16" t="s">
        <v>28</v>
      </c>
      <c r="D963" s="17" t="str">
        <f t="shared" si="25"/>
        <v>Removed</v>
      </c>
      <c r="E963" s="76">
        <v>43594.0</v>
      </c>
      <c r="F963" s="52">
        <v>45169.0</v>
      </c>
      <c r="G963" s="20">
        <f t="shared" si="2"/>
        <v>51.7</v>
      </c>
      <c r="H963" s="18">
        <v>42432.0</v>
      </c>
      <c r="I963" s="20">
        <f t="shared" si="3"/>
        <v>3.183333333</v>
      </c>
      <c r="J963" s="65">
        <v>75.0</v>
      </c>
      <c r="K963" s="53">
        <v>72.0</v>
      </c>
      <c r="L963" s="43" t="s">
        <v>1130</v>
      </c>
      <c r="M963" s="43"/>
      <c r="N963" s="43"/>
      <c r="O963" s="23" t="s">
        <v>125</v>
      </c>
      <c r="P963" s="54" t="s">
        <v>768</v>
      </c>
      <c r="Q963" s="23"/>
      <c r="R963" s="17"/>
      <c r="S963" s="18"/>
      <c r="T963" s="20"/>
    </row>
    <row r="964">
      <c r="A964" s="27" t="s">
        <v>1625</v>
      </c>
      <c r="B964" s="28" t="s">
        <v>1610</v>
      </c>
      <c r="C964" s="29"/>
      <c r="D964" s="29" t="s">
        <v>1611</v>
      </c>
      <c r="E964" s="70">
        <v>45123.0</v>
      </c>
      <c r="F964" s="30">
        <v>45153.0</v>
      </c>
      <c r="G964" s="32">
        <f t="shared" si="2"/>
        <v>0.9666666667</v>
      </c>
      <c r="H964" s="33"/>
      <c r="I964" s="32">
        <f t="shared" si="3"/>
        <v>-2.247222222</v>
      </c>
      <c r="J964" s="34"/>
      <c r="K964" s="34"/>
      <c r="L964" s="35"/>
      <c r="M964" s="35"/>
      <c r="N964" s="35"/>
      <c r="O964" s="35"/>
      <c r="P964" s="36"/>
      <c r="Q964" s="35"/>
      <c r="R964" s="29"/>
      <c r="S964" s="33"/>
      <c r="T964" s="32"/>
    </row>
    <row r="965">
      <c r="A965" s="15" t="s">
        <v>1626</v>
      </c>
      <c r="B965" s="16" t="s">
        <v>40</v>
      </c>
      <c r="C965" s="16"/>
      <c r="D965" s="17" t="str">
        <f t="shared" ref="D965:D968" si="26">IF(E965&gt;TODAY(),"Coming Soon",IF(F965="","Active",IF(F965&gt;TODAY(),"Leaving Soon","Removed")))</f>
        <v>Removed</v>
      </c>
      <c r="E965" s="18">
        <v>44796.0</v>
      </c>
      <c r="F965" s="52">
        <v>45153.0</v>
      </c>
      <c r="G965" s="20">
        <f t="shared" si="2"/>
        <v>11.73333333</v>
      </c>
      <c r="H965" s="18">
        <v>43777.0</v>
      </c>
      <c r="I965" s="20">
        <f t="shared" si="3"/>
        <v>2.791666667</v>
      </c>
      <c r="J965" s="53">
        <v>86.0</v>
      </c>
      <c r="K965" s="53">
        <v>40.5</v>
      </c>
      <c r="L965" s="23" t="s">
        <v>37</v>
      </c>
      <c r="M965" s="23"/>
      <c r="N965" s="23"/>
      <c r="O965" s="23" t="s">
        <v>34</v>
      </c>
      <c r="P965" s="54" t="s">
        <v>1627</v>
      </c>
      <c r="Q965" s="23"/>
      <c r="R965" s="16"/>
      <c r="S965" s="18"/>
      <c r="T965" s="20"/>
    </row>
    <row r="966">
      <c r="A966" s="27" t="s">
        <v>1628</v>
      </c>
      <c r="B966" s="28" t="s">
        <v>27</v>
      </c>
      <c r="C966" s="28" t="s">
        <v>28</v>
      </c>
      <c r="D966" s="29" t="str">
        <f t="shared" si="26"/>
        <v>Removed</v>
      </c>
      <c r="E966" s="33">
        <v>44796.0</v>
      </c>
      <c r="F966" s="31">
        <v>45153.0</v>
      </c>
      <c r="G966" s="32">
        <f t="shared" si="2"/>
        <v>11.73333333</v>
      </c>
      <c r="H966" s="33">
        <v>44796.0</v>
      </c>
      <c r="I966" s="32">
        <f t="shared" si="3"/>
        <v>0</v>
      </c>
      <c r="J966" s="34">
        <v>75.0</v>
      </c>
      <c r="K966" s="34">
        <v>5.0</v>
      </c>
      <c r="L966" s="35" t="s">
        <v>1121</v>
      </c>
      <c r="M966" s="35"/>
      <c r="N966" s="35"/>
      <c r="O966" s="35" t="s">
        <v>34</v>
      </c>
      <c r="P966" s="36" t="s">
        <v>1629</v>
      </c>
      <c r="Q966" s="35"/>
      <c r="R966" s="29"/>
      <c r="S966" s="33"/>
      <c r="T966" s="32"/>
    </row>
    <row r="967">
      <c r="A967" s="15" t="s">
        <v>1630</v>
      </c>
      <c r="B967" s="16" t="s">
        <v>40</v>
      </c>
      <c r="C967" s="16"/>
      <c r="D967" s="17" t="str">
        <f t="shared" si="26"/>
        <v>Removed</v>
      </c>
      <c r="E967" s="18">
        <v>44609.0</v>
      </c>
      <c r="F967" s="52">
        <v>45153.0</v>
      </c>
      <c r="G967" s="20">
        <f t="shared" si="2"/>
        <v>17.93333333</v>
      </c>
      <c r="H967" s="18">
        <v>44609.0</v>
      </c>
      <c r="I967" s="20">
        <f t="shared" si="3"/>
        <v>0</v>
      </c>
      <c r="J967" s="53">
        <v>88.0</v>
      </c>
      <c r="K967" s="53">
        <v>28.5</v>
      </c>
      <c r="L967" s="23" t="s">
        <v>119</v>
      </c>
      <c r="M967" s="23"/>
      <c r="N967" s="23"/>
      <c r="O967" s="23" t="s">
        <v>125</v>
      </c>
      <c r="P967" s="54" t="s">
        <v>1631</v>
      </c>
      <c r="Q967" s="23"/>
      <c r="R967" s="16"/>
      <c r="S967" s="18"/>
      <c r="T967" s="20"/>
    </row>
    <row r="968">
      <c r="A968" s="27" t="s">
        <v>1632</v>
      </c>
      <c r="B968" s="28" t="s">
        <v>27</v>
      </c>
      <c r="C968" s="28" t="s">
        <v>121</v>
      </c>
      <c r="D968" s="29" t="str">
        <f t="shared" si="26"/>
        <v>Removed</v>
      </c>
      <c r="E968" s="33">
        <v>44602.0</v>
      </c>
      <c r="F968" s="31">
        <v>45153.0</v>
      </c>
      <c r="G968" s="32">
        <f t="shared" si="2"/>
        <v>18.16666667</v>
      </c>
      <c r="H968" s="33">
        <v>43439.0</v>
      </c>
      <c r="I968" s="32">
        <f t="shared" si="3"/>
        <v>3.180555556</v>
      </c>
      <c r="J968" s="34">
        <v>67.0</v>
      </c>
      <c r="K968" s="34">
        <v>30.5</v>
      </c>
      <c r="L968" s="35" t="s">
        <v>509</v>
      </c>
      <c r="M968" s="35"/>
      <c r="N968" s="35"/>
      <c r="O968" s="35" t="s">
        <v>125</v>
      </c>
      <c r="P968" s="36" t="s">
        <v>1633</v>
      </c>
      <c r="Q968" s="35"/>
      <c r="R968" s="29"/>
      <c r="S968" s="33"/>
      <c r="T968" s="32"/>
    </row>
    <row r="969">
      <c r="A969" s="15" t="s">
        <v>1634</v>
      </c>
      <c r="B969" s="16" t="s">
        <v>1610</v>
      </c>
      <c r="C969" s="17"/>
      <c r="D969" s="17" t="s">
        <v>1611</v>
      </c>
      <c r="E969" s="76">
        <v>45108.0</v>
      </c>
      <c r="F969" s="62">
        <v>45138.0</v>
      </c>
      <c r="G969" s="20">
        <f t="shared" si="2"/>
        <v>0.9666666667</v>
      </c>
      <c r="H969" s="18"/>
      <c r="I969" s="20">
        <f t="shared" si="3"/>
        <v>-2.288888889</v>
      </c>
      <c r="J969" s="53"/>
      <c r="K969" s="53"/>
      <c r="L969" s="23"/>
      <c r="M969" s="23" t="s">
        <v>1614</v>
      </c>
      <c r="N969" s="23"/>
      <c r="O969" s="23"/>
      <c r="P969" s="54"/>
      <c r="Q969" s="23"/>
      <c r="R969" s="17"/>
      <c r="S969" s="18"/>
      <c r="T969" s="20"/>
    </row>
    <row r="970">
      <c r="A970" s="27" t="s">
        <v>1635</v>
      </c>
      <c r="B970" s="28" t="s">
        <v>40</v>
      </c>
      <c r="C970" s="28"/>
      <c r="D970" s="29" t="str">
        <f t="shared" ref="D970:D973" si="27">IF(E970&gt;TODAY(),"Coming Soon",IF(F970="","Active",IF(F970&gt;TODAY(),"Leaving Soon","Removed")))</f>
        <v>Removed</v>
      </c>
      <c r="E970" s="33">
        <v>44784.0</v>
      </c>
      <c r="F970" s="31">
        <v>45138.0</v>
      </c>
      <c r="G970" s="32">
        <f t="shared" si="2"/>
        <v>11.63333333</v>
      </c>
      <c r="H970" s="33">
        <v>44581.0</v>
      </c>
      <c r="I970" s="32">
        <f t="shared" si="3"/>
        <v>0.5583333333</v>
      </c>
      <c r="J970" s="34">
        <v>80.0</v>
      </c>
      <c r="K970" s="34">
        <v>39.0</v>
      </c>
      <c r="L970" s="35" t="s">
        <v>567</v>
      </c>
      <c r="M970" s="35"/>
      <c r="N970" s="35"/>
      <c r="O970" s="35" t="s">
        <v>125</v>
      </c>
      <c r="P970" s="36" t="s">
        <v>1493</v>
      </c>
      <c r="Q970" s="35"/>
      <c r="R970" s="28"/>
      <c r="S970" s="33"/>
      <c r="T970" s="32"/>
    </row>
    <row r="971">
      <c r="A971" s="15" t="s">
        <v>1636</v>
      </c>
      <c r="B971" s="16" t="s">
        <v>27</v>
      </c>
      <c r="C971" s="16" t="s">
        <v>121</v>
      </c>
      <c r="D971" s="17" t="str">
        <f t="shared" si="27"/>
        <v>Removed</v>
      </c>
      <c r="E971" s="18">
        <v>44782.0</v>
      </c>
      <c r="F971" s="52">
        <v>45138.0</v>
      </c>
      <c r="G971" s="20">
        <f t="shared" si="2"/>
        <v>11.7</v>
      </c>
      <c r="H971" s="18">
        <v>44782.0</v>
      </c>
      <c r="I971" s="20">
        <f t="shared" si="3"/>
        <v>0</v>
      </c>
      <c r="J971" s="53">
        <v>84.0</v>
      </c>
      <c r="K971" s="53">
        <v>27.0</v>
      </c>
      <c r="L971" s="23" t="s">
        <v>50</v>
      </c>
      <c r="M971" s="23"/>
      <c r="N971" s="23"/>
      <c r="O971" s="23" t="s">
        <v>125</v>
      </c>
      <c r="P971" s="54" t="s">
        <v>1637</v>
      </c>
      <c r="Q971" s="23"/>
      <c r="R971" s="17"/>
      <c r="S971" s="18"/>
      <c r="T971" s="20"/>
    </row>
    <row r="972">
      <c r="A972" s="27" t="s">
        <v>1638</v>
      </c>
      <c r="B972" s="28" t="s">
        <v>27</v>
      </c>
      <c r="C972" s="28" t="s">
        <v>121</v>
      </c>
      <c r="D972" s="29" t="str">
        <f t="shared" si="27"/>
        <v>Removed</v>
      </c>
      <c r="E972" s="33">
        <v>44595.0</v>
      </c>
      <c r="F972" s="31">
        <v>45138.0</v>
      </c>
      <c r="G972" s="32">
        <f t="shared" si="2"/>
        <v>17.9</v>
      </c>
      <c r="H972" s="33">
        <v>44057.0</v>
      </c>
      <c r="I972" s="32">
        <f t="shared" si="3"/>
        <v>1.469444444</v>
      </c>
      <c r="J972" s="34">
        <v>80.0</v>
      </c>
      <c r="K972" s="34">
        <v>12.0</v>
      </c>
      <c r="L972" s="35" t="s">
        <v>1307</v>
      </c>
      <c r="M972" s="35"/>
      <c r="N972" s="35"/>
      <c r="O972" s="35" t="s">
        <v>334</v>
      </c>
      <c r="P972" s="36" t="s">
        <v>1639</v>
      </c>
      <c r="Q972" s="35"/>
      <c r="R972" s="29"/>
      <c r="S972" s="33"/>
      <c r="T972" s="32"/>
    </row>
    <row r="973">
      <c r="A973" s="15" t="s">
        <v>1640</v>
      </c>
      <c r="B973" s="16" t="s">
        <v>27</v>
      </c>
      <c r="C973" s="16" t="s">
        <v>28</v>
      </c>
      <c r="D973" s="17" t="str">
        <f t="shared" si="27"/>
        <v>Removed</v>
      </c>
      <c r="E973" s="18">
        <v>44469.0</v>
      </c>
      <c r="F973" s="52">
        <v>45138.0</v>
      </c>
      <c r="G973" s="20">
        <f t="shared" si="2"/>
        <v>22</v>
      </c>
      <c r="H973" s="18">
        <v>44078.0</v>
      </c>
      <c r="I973" s="20">
        <f t="shared" si="3"/>
        <v>1.072222222</v>
      </c>
      <c r="J973" s="53">
        <f>(66+68)/2</f>
        <v>67</v>
      </c>
      <c r="K973" s="53">
        <v>11.5</v>
      </c>
      <c r="L973" s="23" t="s">
        <v>1641</v>
      </c>
      <c r="M973" s="23"/>
      <c r="N973" s="23"/>
      <c r="O973" s="23" t="s">
        <v>125</v>
      </c>
      <c r="P973" s="54" t="s">
        <v>1013</v>
      </c>
      <c r="Q973" s="23"/>
      <c r="R973" s="17"/>
      <c r="S973" s="18"/>
      <c r="T973" s="20"/>
    </row>
    <row r="974">
      <c r="A974" s="27" t="s">
        <v>1642</v>
      </c>
      <c r="B974" s="28" t="s">
        <v>1610</v>
      </c>
      <c r="C974" s="29"/>
      <c r="D974" s="29" t="s">
        <v>1611</v>
      </c>
      <c r="E974" s="70">
        <v>45093.0</v>
      </c>
      <c r="F974" s="30">
        <v>45122.0</v>
      </c>
      <c r="G974" s="32">
        <f t="shared" si="2"/>
        <v>0.9666666667</v>
      </c>
      <c r="H974" s="33"/>
      <c r="I974" s="32">
        <f t="shared" si="3"/>
        <v>-2.330555556</v>
      </c>
      <c r="J974" s="34"/>
      <c r="K974" s="34"/>
      <c r="L974" s="35"/>
      <c r="M974" s="35"/>
      <c r="N974" s="35"/>
      <c r="O974" s="35"/>
      <c r="P974" s="36"/>
      <c r="Q974" s="35"/>
      <c r="R974" s="29"/>
      <c r="S974" s="33"/>
      <c r="T974" s="32"/>
    </row>
    <row r="975">
      <c r="A975" s="15" t="s">
        <v>1643</v>
      </c>
      <c r="B975" s="16" t="s">
        <v>27</v>
      </c>
      <c r="C975" s="16" t="s">
        <v>121</v>
      </c>
      <c r="D975" s="17" t="str">
        <f t="shared" ref="D975:D977" si="28">IF(E975&gt;TODAY(),"Coming Soon",IF(F975="","Active",IF(F975&gt;TODAY(),"Leaving Soon","Removed")))</f>
        <v>Removed</v>
      </c>
      <c r="E975" s="18">
        <v>44756.0</v>
      </c>
      <c r="F975" s="52">
        <v>45122.0</v>
      </c>
      <c r="G975" s="20">
        <f t="shared" si="2"/>
        <v>12.03333333</v>
      </c>
      <c r="H975" s="18">
        <v>44421.0</v>
      </c>
      <c r="I975" s="20">
        <f t="shared" si="3"/>
        <v>0.9194444444</v>
      </c>
      <c r="J975" s="53">
        <v>40.0</v>
      </c>
      <c r="K975" s="53">
        <v>2.0</v>
      </c>
      <c r="L975" s="23" t="s">
        <v>366</v>
      </c>
      <c r="M975" s="23"/>
      <c r="N975" s="23"/>
      <c r="O975" s="23" t="s">
        <v>132</v>
      </c>
      <c r="P975" s="54"/>
      <c r="Q975" s="23"/>
      <c r="R975" s="17"/>
      <c r="S975" s="18"/>
      <c r="T975" s="20"/>
    </row>
    <row r="976">
      <c r="A976" s="27" t="s">
        <v>1644</v>
      </c>
      <c r="B976" s="28" t="s">
        <v>27</v>
      </c>
      <c r="C976" s="28" t="s">
        <v>121</v>
      </c>
      <c r="D976" s="29" t="str">
        <f t="shared" si="28"/>
        <v>Removed</v>
      </c>
      <c r="E976" s="33">
        <v>44574.0</v>
      </c>
      <c r="F976" s="31">
        <v>45122.0</v>
      </c>
      <c r="G976" s="32">
        <f t="shared" si="2"/>
        <v>18.06666667</v>
      </c>
      <c r="H976" s="33">
        <v>44089.0</v>
      </c>
      <c r="I976" s="32">
        <f t="shared" si="3"/>
        <v>1.327777778</v>
      </c>
      <c r="J976" s="34">
        <f>(87+91)/2</f>
        <v>89</v>
      </c>
      <c r="K976" s="34">
        <v>28.0</v>
      </c>
      <c r="L976" s="35" t="s">
        <v>721</v>
      </c>
      <c r="M976" s="35"/>
      <c r="N976" s="35"/>
      <c r="O976" s="35" t="s">
        <v>125</v>
      </c>
      <c r="P976" s="36" t="s">
        <v>772</v>
      </c>
      <c r="Q976" s="35"/>
      <c r="R976" s="29"/>
      <c r="S976" s="33"/>
      <c r="T976" s="32"/>
    </row>
    <row r="977">
      <c r="A977" s="15" t="s">
        <v>1645</v>
      </c>
      <c r="B977" s="16" t="s">
        <v>27</v>
      </c>
      <c r="C977" s="16" t="s">
        <v>121</v>
      </c>
      <c r="D977" s="17" t="str">
        <f t="shared" si="28"/>
        <v>Removed</v>
      </c>
      <c r="E977" s="18">
        <v>44518.0</v>
      </c>
      <c r="F977" s="52">
        <v>45122.0</v>
      </c>
      <c r="G977" s="20">
        <f t="shared" si="2"/>
        <v>19.9</v>
      </c>
      <c r="H977" s="18">
        <v>44518.0</v>
      </c>
      <c r="I977" s="20">
        <f t="shared" si="3"/>
        <v>0</v>
      </c>
      <c r="J977" s="53">
        <f>(78+81)/2</f>
        <v>79.5</v>
      </c>
      <c r="K977" s="53">
        <v>2.0</v>
      </c>
      <c r="L977" s="23" t="s">
        <v>1247</v>
      </c>
      <c r="M977" s="23"/>
      <c r="N977" s="23"/>
      <c r="O977" s="23" t="s">
        <v>132</v>
      </c>
      <c r="P977" s="54"/>
      <c r="Q977" s="23"/>
      <c r="R977" s="17"/>
      <c r="S977" s="18"/>
      <c r="T977" s="20"/>
    </row>
    <row r="978">
      <c r="A978" s="27" t="s">
        <v>1646</v>
      </c>
      <c r="B978" s="28" t="s">
        <v>1610</v>
      </c>
      <c r="C978" s="29"/>
      <c r="D978" s="29" t="s">
        <v>1611</v>
      </c>
      <c r="E978" s="70">
        <v>45078.0</v>
      </c>
      <c r="F978" s="30">
        <v>45107.0</v>
      </c>
      <c r="G978" s="32">
        <f t="shared" si="2"/>
        <v>0.9666666667</v>
      </c>
      <c r="H978" s="33"/>
      <c r="I978" s="32">
        <f t="shared" si="3"/>
        <v>-2.372222222</v>
      </c>
      <c r="J978" s="34"/>
      <c r="K978" s="34"/>
      <c r="L978" s="35"/>
      <c r="M978" s="35"/>
      <c r="N978" s="35" t="s">
        <v>1612</v>
      </c>
      <c r="O978" s="35"/>
      <c r="P978" s="36"/>
      <c r="Q978" s="35"/>
      <c r="R978" s="29"/>
      <c r="S978" s="33"/>
      <c r="T978" s="32"/>
    </row>
    <row r="979">
      <c r="A979" s="15" t="s">
        <v>1647</v>
      </c>
      <c r="B979" s="16" t="s">
        <v>27</v>
      </c>
      <c r="C979" s="16" t="s">
        <v>28</v>
      </c>
      <c r="D979" s="17" t="str">
        <f t="shared" ref="D979:D983" si="29">IF(E979&gt;TODAY(),"Coming Soon",IF(F979="","Active",IF(F979&gt;TODAY(),"Leaving Soon","Removed")))</f>
        <v>Removed</v>
      </c>
      <c r="E979" s="18">
        <v>44749.0</v>
      </c>
      <c r="F979" s="52">
        <v>45107.0</v>
      </c>
      <c r="G979" s="20">
        <f t="shared" si="2"/>
        <v>11.76666667</v>
      </c>
      <c r="H979" s="18">
        <v>43817.0</v>
      </c>
      <c r="I979" s="20">
        <f t="shared" si="3"/>
        <v>2.552777778</v>
      </c>
      <c r="J979" s="53">
        <v>75.0</v>
      </c>
      <c r="K979" s="53">
        <v>44.0</v>
      </c>
      <c r="L979" s="23" t="s">
        <v>1648</v>
      </c>
      <c r="M979" s="23"/>
      <c r="N979" s="23"/>
      <c r="O979" s="23" t="s">
        <v>125</v>
      </c>
      <c r="P979" s="54" t="s">
        <v>1649</v>
      </c>
      <c r="Q979" s="23"/>
      <c r="R979" s="17"/>
      <c r="S979" s="18"/>
      <c r="T979" s="20"/>
    </row>
    <row r="980">
      <c r="A980" s="27" t="s">
        <v>1650</v>
      </c>
      <c r="B980" s="28" t="s">
        <v>27</v>
      </c>
      <c r="C980" s="28" t="s">
        <v>121</v>
      </c>
      <c r="D980" s="29" t="str">
        <f t="shared" si="29"/>
        <v>Removed</v>
      </c>
      <c r="E980" s="33">
        <v>44749.0</v>
      </c>
      <c r="F980" s="31">
        <v>45107.0</v>
      </c>
      <c r="G980" s="32">
        <f t="shared" si="2"/>
        <v>11.76666667</v>
      </c>
      <c r="H980" s="33">
        <v>44749.0</v>
      </c>
      <c r="I980" s="32">
        <f t="shared" si="3"/>
        <v>0</v>
      </c>
      <c r="J980" s="34">
        <v>60.0</v>
      </c>
      <c r="K980" s="34">
        <v>10.5</v>
      </c>
      <c r="L980" s="35" t="s">
        <v>1651</v>
      </c>
      <c r="M980" s="35"/>
      <c r="N980" s="35"/>
      <c r="O980" s="35" t="s">
        <v>132</v>
      </c>
      <c r="P980" s="36"/>
      <c r="Q980" s="35"/>
      <c r="R980" s="29"/>
      <c r="S980" s="33"/>
      <c r="T980" s="32"/>
    </row>
    <row r="981">
      <c r="A981" s="15" t="s">
        <v>1652</v>
      </c>
      <c r="B981" s="16" t="s">
        <v>27</v>
      </c>
      <c r="C981" s="16" t="s">
        <v>28</v>
      </c>
      <c r="D981" s="17" t="str">
        <f t="shared" si="29"/>
        <v>Removed</v>
      </c>
      <c r="E981" s="18">
        <v>44728.0</v>
      </c>
      <c r="F981" s="52">
        <v>45107.0</v>
      </c>
      <c r="G981" s="20">
        <f t="shared" si="2"/>
        <v>12.46666667</v>
      </c>
      <c r="H981" s="18">
        <v>44190.0</v>
      </c>
      <c r="I981" s="20">
        <f t="shared" si="3"/>
        <v>1.475</v>
      </c>
      <c r="J981" s="53">
        <v>87.0</v>
      </c>
      <c r="K981" s="53">
        <v>20.5</v>
      </c>
      <c r="L981" s="23" t="s">
        <v>29</v>
      </c>
      <c r="M981" s="23"/>
      <c r="N981" s="23"/>
      <c r="O981" s="23" t="s">
        <v>34</v>
      </c>
      <c r="P981" s="54" t="s">
        <v>446</v>
      </c>
      <c r="Q981" s="23" t="s">
        <v>1653</v>
      </c>
      <c r="R981" s="17"/>
      <c r="S981" s="18"/>
      <c r="T981" s="20"/>
    </row>
    <row r="982">
      <c r="A982" s="27" t="s">
        <v>1654</v>
      </c>
      <c r="B982" s="28" t="s">
        <v>27</v>
      </c>
      <c r="C982" s="28" t="s">
        <v>28</v>
      </c>
      <c r="D982" s="29" t="str">
        <f t="shared" si="29"/>
        <v>Removed</v>
      </c>
      <c r="E982" s="33">
        <v>44565.0</v>
      </c>
      <c r="F982" s="31">
        <v>45107.0</v>
      </c>
      <c r="G982" s="32">
        <f t="shared" si="2"/>
        <v>17.86666667</v>
      </c>
      <c r="H982" s="33">
        <v>44224.0</v>
      </c>
      <c r="I982" s="32">
        <f t="shared" si="3"/>
        <v>0.9333333333</v>
      </c>
      <c r="J982" s="34">
        <f>(77+79)/2</f>
        <v>78</v>
      </c>
      <c r="K982" s="34">
        <v>5.0</v>
      </c>
      <c r="L982" s="35" t="s">
        <v>37</v>
      </c>
      <c r="M982" s="35"/>
      <c r="N982" s="35"/>
      <c r="O982" s="35" t="s">
        <v>125</v>
      </c>
      <c r="P982" s="36" t="s">
        <v>1305</v>
      </c>
      <c r="Q982" s="35"/>
      <c r="R982" s="29"/>
      <c r="S982" s="33"/>
      <c r="T982" s="32"/>
    </row>
    <row r="983">
      <c r="A983" s="15" t="s">
        <v>1655</v>
      </c>
      <c r="B983" s="16" t="s">
        <v>27</v>
      </c>
      <c r="C983" s="16" t="s">
        <v>121</v>
      </c>
      <c r="D983" s="17" t="str">
        <f t="shared" si="29"/>
        <v>Removed</v>
      </c>
      <c r="E983" s="18">
        <v>44273.0</v>
      </c>
      <c r="F983" s="52">
        <v>45107.0</v>
      </c>
      <c r="G983" s="20">
        <f t="shared" si="2"/>
        <v>27.4</v>
      </c>
      <c r="H983" s="18">
        <v>44166.0</v>
      </c>
      <c r="I983" s="20">
        <f t="shared" si="3"/>
        <v>0.2972222222</v>
      </c>
      <c r="J983" s="53">
        <f>(63+68)/2</f>
        <v>65.5</v>
      </c>
      <c r="K983" s="53">
        <v>8.0</v>
      </c>
      <c r="L983" s="23" t="s">
        <v>567</v>
      </c>
      <c r="M983" s="23"/>
      <c r="N983" s="23"/>
      <c r="O983" s="23" t="s">
        <v>34</v>
      </c>
      <c r="P983" s="54" t="s">
        <v>1656</v>
      </c>
      <c r="Q983" s="23"/>
      <c r="R983" s="17"/>
      <c r="S983" s="18"/>
      <c r="T983" s="20"/>
    </row>
    <row r="984">
      <c r="A984" s="27" t="s">
        <v>1657</v>
      </c>
      <c r="B984" s="28" t="s">
        <v>1610</v>
      </c>
      <c r="C984" s="29"/>
      <c r="D984" s="29" t="s">
        <v>1611</v>
      </c>
      <c r="E984" s="70">
        <v>45062.0</v>
      </c>
      <c r="F984" s="30">
        <v>45092.0</v>
      </c>
      <c r="G984" s="32">
        <f t="shared" si="2"/>
        <v>0.9666666667</v>
      </c>
      <c r="H984" s="33"/>
      <c r="I984" s="32">
        <f t="shared" si="3"/>
        <v>-2.413888889</v>
      </c>
      <c r="J984" s="34"/>
      <c r="K984" s="34"/>
      <c r="L984" s="35"/>
      <c r="M984" s="35"/>
      <c r="N984" s="35"/>
      <c r="O984" s="35"/>
      <c r="P984" s="36"/>
      <c r="Q984" s="35"/>
      <c r="R984" s="29"/>
      <c r="S984" s="33"/>
      <c r="T984" s="32"/>
    </row>
    <row r="985">
      <c r="A985" s="15" t="s">
        <v>1658</v>
      </c>
      <c r="B985" s="16" t="s">
        <v>27</v>
      </c>
      <c r="C985" s="16" t="s">
        <v>28</v>
      </c>
      <c r="D985" s="17" t="str">
        <f t="shared" ref="D985:D989" si="30">IF(E985&gt;TODAY(),"Coming Soon",IF(F985="","Active",IF(F985&gt;TODAY(),"Leaving Soon","Removed")))</f>
        <v>Removed</v>
      </c>
      <c r="E985" s="18">
        <v>44931.0</v>
      </c>
      <c r="F985" s="52">
        <v>45092.0</v>
      </c>
      <c r="G985" s="20">
        <f t="shared" si="2"/>
        <v>5.333333333</v>
      </c>
      <c r="H985" s="18">
        <v>44061.0</v>
      </c>
      <c r="I985" s="20">
        <f t="shared" si="3"/>
        <v>2.380555556</v>
      </c>
      <c r="J985" s="53">
        <v>76.0</v>
      </c>
      <c r="K985" s="53">
        <v>10.0</v>
      </c>
      <c r="L985" s="23" t="s">
        <v>122</v>
      </c>
      <c r="M985" s="23"/>
      <c r="N985" s="23" t="s">
        <v>1659</v>
      </c>
      <c r="O985" s="23" t="s">
        <v>34</v>
      </c>
      <c r="P985" s="54" t="s">
        <v>368</v>
      </c>
      <c r="Q985" s="23"/>
      <c r="R985" s="17"/>
      <c r="S985" s="18"/>
      <c r="T985" s="20"/>
    </row>
    <row r="986">
      <c r="A986" s="27" t="s">
        <v>1660</v>
      </c>
      <c r="B986" s="28" t="s">
        <v>40</v>
      </c>
      <c r="C986" s="28"/>
      <c r="D986" s="29" t="str">
        <f t="shared" si="30"/>
        <v>Removed</v>
      </c>
      <c r="E986" s="33">
        <v>44733.0</v>
      </c>
      <c r="F986" s="31">
        <v>45092.0</v>
      </c>
      <c r="G986" s="32">
        <f t="shared" si="2"/>
        <v>11.8</v>
      </c>
      <c r="H986" s="33">
        <v>43608.0</v>
      </c>
      <c r="I986" s="32">
        <f t="shared" si="3"/>
        <v>3.077777778</v>
      </c>
      <c r="J986" s="34">
        <v>85.0</v>
      </c>
      <c r="K986" s="34">
        <v>48.0</v>
      </c>
      <c r="L986" s="35" t="s">
        <v>119</v>
      </c>
      <c r="M986" s="35"/>
      <c r="N986" s="35"/>
      <c r="O986" s="35" t="s">
        <v>125</v>
      </c>
      <c r="P986" s="136" t="s">
        <v>475</v>
      </c>
      <c r="Q986" s="35"/>
      <c r="R986" s="28"/>
      <c r="S986" s="33"/>
      <c r="T986" s="32"/>
    </row>
    <row r="987">
      <c r="A987" s="15" t="s">
        <v>1661</v>
      </c>
      <c r="B987" s="16" t="s">
        <v>27</v>
      </c>
      <c r="C987" s="16" t="s">
        <v>121</v>
      </c>
      <c r="D987" s="17" t="str">
        <f t="shared" si="30"/>
        <v>Removed</v>
      </c>
      <c r="E987" s="18">
        <v>44719.0</v>
      </c>
      <c r="F987" s="52">
        <v>45092.0</v>
      </c>
      <c r="G987" s="20">
        <f t="shared" si="2"/>
        <v>12.26666667</v>
      </c>
      <c r="H987" s="18">
        <v>44533.0</v>
      </c>
      <c r="I987" s="20">
        <f t="shared" si="3"/>
        <v>0.5111111111</v>
      </c>
      <c r="J987" s="53">
        <v>78.0</v>
      </c>
      <c r="K987" s="53">
        <v>14.5</v>
      </c>
      <c r="L987" s="23" t="s">
        <v>366</v>
      </c>
      <c r="M987" s="23"/>
      <c r="N987" s="23"/>
      <c r="O987" s="23" t="s">
        <v>125</v>
      </c>
      <c r="P987" s="54" t="s">
        <v>823</v>
      </c>
      <c r="Q987" s="23"/>
      <c r="R987" s="17"/>
      <c r="S987" s="18"/>
      <c r="T987" s="20"/>
    </row>
    <row r="988">
      <c r="A988" s="27" t="s">
        <v>1662</v>
      </c>
      <c r="B988" s="28" t="s">
        <v>27</v>
      </c>
      <c r="C988" s="28" t="s">
        <v>28</v>
      </c>
      <c r="D988" s="29" t="str">
        <f t="shared" si="30"/>
        <v>Removed</v>
      </c>
      <c r="E988" s="33">
        <v>44537.0</v>
      </c>
      <c r="F988" s="31">
        <v>45092.0</v>
      </c>
      <c r="G988" s="32">
        <f t="shared" si="2"/>
        <v>18.26666667</v>
      </c>
      <c r="H988" s="33">
        <v>44098.0</v>
      </c>
      <c r="I988" s="32">
        <f t="shared" si="3"/>
        <v>1.202777778</v>
      </c>
      <c r="J988" s="34">
        <v>68.0</v>
      </c>
      <c r="K988" s="34">
        <v>9.5</v>
      </c>
      <c r="L988" s="35" t="s">
        <v>184</v>
      </c>
      <c r="M988" s="35" t="s">
        <v>30</v>
      </c>
      <c r="N988" s="35"/>
      <c r="O988" s="35" t="s">
        <v>34</v>
      </c>
      <c r="P988" s="36" t="s">
        <v>1663</v>
      </c>
      <c r="Q988" s="35"/>
      <c r="R988" s="29"/>
      <c r="S988" s="33"/>
      <c r="T988" s="32"/>
    </row>
    <row r="989">
      <c r="A989" s="15" t="s">
        <v>1664</v>
      </c>
      <c r="B989" s="16" t="s">
        <v>27</v>
      </c>
      <c r="C989" s="16" t="s">
        <v>121</v>
      </c>
      <c r="D989" s="17" t="str">
        <f t="shared" si="30"/>
        <v>Removed</v>
      </c>
      <c r="E989" s="76">
        <v>43625.0</v>
      </c>
      <c r="F989" s="52">
        <v>45092.0</v>
      </c>
      <c r="G989" s="20">
        <f t="shared" si="2"/>
        <v>48.2</v>
      </c>
      <c r="H989" s="18">
        <v>43089.0</v>
      </c>
      <c r="I989" s="20">
        <f t="shared" si="3"/>
        <v>1.469444444</v>
      </c>
      <c r="J989" s="65">
        <v>78.0</v>
      </c>
      <c r="K989" s="53">
        <v>13.5</v>
      </c>
      <c r="L989" s="43" t="s">
        <v>731</v>
      </c>
      <c r="M989" s="43"/>
      <c r="N989" s="43"/>
      <c r="O989" s="23" t="s">
        <v>132</v>
      </c>
      <c r="P989" s="54" t="s">
        <v>340</v>
      </c>
      <c r="Q989" s="23"/>
      <c r="R989" s="17"/>
      <c r="S989" s="18"/>
      <c r="T989" s="20"/>
    </row>
    <row r="990">
      <c r="A990" s="27" t="s">
        <v>1665</v>
      </c>
      <c r="B990" s="28" t="s">
        <v>1610</v>
      </c>
      <c r="C990" s="29"/>
      <c r="D990" s="29" t="s">
        <v>1611</v>
      </c>
      <c r="E990" s="70">
        <v>45047.0</v>
      </c>
      <c r="F990" s="30">
        <v>45077.0</v>
      </c>
      <c r="G990" s="32">
        <f t="shared" si="2"/>
        <v>0.9666666667</v>
      </c>
      <c r="H990" s="33"/>
      <c r="I990" s="32">
        <f t="shared" si="3"/>
        <v>-2.455555556</v>
      </c>
      <c r="J990" s="34"/>
      <c r="K990" s="34"/>
      <c r="L990" s="35"/>
      <c r="M990" s="35"/>
      <c r="N990" s="35"/>
      <c r="O990" s="35"/>
      <c r="P990" s="36"/>
      <c r="Q990" s="35"/>
      <c r="R990" s="29"/>
      <c r="S990" s="33"/>
      <c r="T990" s="32"/>
    </row>
    <row r="991">
      <c r="A991" s="15" t="s">
        <v>1666</v>
      </c>
      <c r="B991" s="16" t="s">
        <v>27</v>
      </c>
      <c r="C991" s="16" t="s">
        <v>121</v>
      </c>
      <c r="D991" s="17" t="str">
        <f t="shared" ref="D991:D995" si="31">IF(E991&gt;TODAY(),"Coming Soon",IF(F991="","Active",IF(F991&gt;TODAY(),"Leaving Soon","Removed")))</f>
        <v>Removed</v>
      </c>
      <c r="E991" s="18">
        <v>44705.0</v>
      </c>
      <c r="F991" s="52">
        <v>45077.0</v>
      </c>
      <c r="G991" s="20">
        <f t="shared" si="2"/>
        <v>12.2</v>
      </c>
      <c r="H991" s="18">
        <v>44705.0</v>
      </c>
      <c r="I991" s="20">
        <f t="shared" si="3"/>
        <v>0</v>
      </c>
      <c r="J991" s="53">
        <v>81.0</v>
      </c>
      <c r="K991" s="53">
        <v>8.0</v>
      </c>
      <c r="L991" s="23" t="s">
        <v>1057</v>
      </c>
      <c r="M991" s="23"/>
      <c r="N991" s="23"/>
      <c r="O991" s="23" t="s">
        <v>334</v>
      </c>
      <c r="P991" s="54" t="s">
        <v>483</v>
      </c>
      <c r="Q991" s="23"/>
      <c r="R991" s="17"/>
      <c r="S991" s="18"/>
      <c r="T991" s="20"/>
    </row>
    <row r="992">
      <c r="A992" s="27" t="s">
        <v>1667</v>
      </c>
      <c r="B992" s="28" t="s">
        <v>27</v>
      </c>
      <c r="C992" s="28" t="s">
        <v>121</v>
      </c>
      <c r="D992" s="29" t="str">
        <f t="shared" si="31"/>
        <v>Removed</v>
      </c>
      <c r="E992" s="33">
        <v>44532.0</v>
      </c>
      <c r="F992" s="31">
        <v>45077.0</v>
      </c>
      <c r="G992" s="32">
        <f t="shared" si="2"/>
        <v>17.93333333</v>
      </c>
      <c r="H992" s="33">
        <v>44418.0</v>
      </c>
      <c r="I992" s="32">
        <f t="shared" si="3"/>
        <v>0.3111111111</v>
      </c>
      <c r="J992" s="34">
        <f>(69+72)/2</f>
        <v>70.5</v>
      </c>
      <c r="K992" s="34">
        <v>17.0</v>
      </c>
      <c r="L992" s="35" t="s">
        <v>50</v>
      </c>
      <c r="M992" s="35"/>
      <c r="N992" s="35" t="s">
        <v>1668</v>
      </c>
      <c r="O992" s="35" t="s">
        <v>132</v>
      </c>
      <c r="P992" s="36"/>
      <c r="Q992" s="35"/>
      <c r="R992" s="29"/>
      <c r="S992" s="33"/>
      <c r="T992" s="32"/>
    </row>
    <row r="993">
      <c r="A993" s="15" t="s">
        <v>1669</v>
      </c>
      <c r="B993" s="16" t="s">
        <v>27</v>
      </c>
      <c r="C993" s="16" t="s">
        <v>28</v>
      </c>
      <c r="D993" s="17" t="str">
        <f t="shared" si="31"/>
        <v>Removed</v>
      </c>
      <c r="E993" s="18">
        <v>44530.0</v>
      </c>
      <c r="F993" s="52">
        <v>45077.0</v>
      </c>
      <c r="G993" s="20">
        <f t="shared" si="2"/>
        <v>18</v>
      </c>
      <c r="H993" s="18">
        <v>44275.0</v>
      </c>
      <c r="I993" s="20">
        <f t="shared" si="3"/>
        <v>0.6944444444</v>
      </c>
      <c r="J993" s="53">
        <v>76.0</v>
      </c>
      <c r="K993" s="53">
        <v>28.5</v>
      </c>
      <c r="L993" s="23" t="s">
        <v>522</v>
      </c>
      <c r="M993" s="23"/>
      <c r="N993" s="23"/>
      <c r="O993" s="23" t="s">
        <v>125</v>
      </c>
      <c r="P993" s="54" t="s">
        <v>823</v>
      </c>
      <c r="Q993" s="23" t="s">
        <v>1670</v>
      </c>
      <c r="R993" s="17"/>
      <c r="S993" s="18"/>
      <c r="T993" s="20"/>
    </row>
    <row r="994">
      <c r="A994" s="27" t="s">
        <v>1671</v>
      </c>
      <c r="B994" s="28" t="s">
        <v>27</v>
      </c>
      <c r="C994" s="28"/>
      <c r="D994" s="29" t="str">
        <f t="shared" si="31"/>
        <v>Removed</v>
      </c>
      <c r="E994" s="33">
        <v>44322.0</v>
      </c>
      <c r="F994" s="31">
        <v>45077.0</v>
      </c>
      <c r="G994" s="32">
        <f t="shared" si="2"/>
        <v>24.8</v>
      </c>
      <c r="H994" s="33">
        <v>44110.0</v>
      </c>
      <c r="I994" s="32">
        <f t="shared" si="3"/>
        <v>0.5833333333</v>
      </c>
      <c r="J994" s="34">
        <v>77.0</v>
      </c>
      <c r="K994" s="34">
        <v>81.0</v>
      </c>
      <c r="L994" s="35" t="s">
        <v>856</v>
      </c>
      <c r="M994" s="35" t="s">
        <v>123</v>
      </c>
      <c r="N994" s="35"/>
      <c r="O994" s="35" t="s">
        <v>132</v>
      </c>
      <c r="P994" s="36"/>
      <c r="Q994" s="35"/>
      <c r="R994" s="29"/>
      <c r="S994" s="33"/>
      <c r="T994" s="32"/>
    </row>
    <row r="995">
      <c r="A995" s="64" t="s">
        <v>1672</v>
      </c>
      <c r="B995" s="17" t="s">
        <v>40</v>
      </c>
      <c r="C995" s="17"/>
      <c r="D995" s="17" t="str">
        <f t="shared" si="31"/>
        <v>Removed</v>
      </c>
      <c r="E995" s="76">
        <v>43803.0</v>
      </c>
      <c r="F995" s="52">
        <v>45077.0</v>
      </c>
      <c r="G995" s="20">
        <f t="shared" si="2"/>
        <v>41.86666667</v>
      </c>
      <c r="H995" s="18">
        <v>41499.0</v>
      </c>
      <c r="I995" s="20">
        <f t="shared" si="3"/>
        <v>6.308333333</v>
      </c>
      <c r="J995" s="65">
        <v>87.0</v>
      </c>
      <c r="K995" s="53">
        <v>225.0</v>
      </c>
      <c r="L995" s="43" t="s">
        <v>119</v>
      </c>
      <c r="M995" s="43"/>
      <c r="N995" s="43"/>
      <c r="O995" s="23" t="s">
        <v>125</v>
      </c>
      <c r="P995" s="54" t="s">
        <v>1673</v>
      </c>
      <c r="Q995" s="23"/>
      <c r="R995" s="16"/>
      <c r="S995" s="18"/>
      <c r="T995" s="20"/>
    </row>
    <row r="996">
      <c r="A996" s="27" t="s">
        <v>1674</v>
      </c>
      <c r="B996" s="28" t="s">
        <v>1610</v>
      </c>
      <c r="C996" s="29"/>
      <c r="D996" s="29" t="s">
        <v>1611</v>
      </c>
      <c r="E996" s="70">
        <v>45032.0</v>
      </c>
      <c r="F996" s="30">
        <v>45061.0</v>
      </c>
      <c r="G996" s="32">
        <f t="shared" si="2"/>
        <v>0.9666666667</v>
      </c>
      <c r="H996" s="33"/>
      <c r="I996" s="32">
        <f t="shared" si="3"/>
        <v>-2.497222222</v>
      </c>
      <c r="J996" s="34"/>
      <c r="K996" s="34"/>
      <c r="L996" s="35"/>
      <c r="M996" s="35"/>
      <c r="N996" s="35"/>
      <c r="O996" s="35"/>
      <c r="P996" s="36"/>
      <c r="Q996" s="35"/>
      <c r="R996" s="29"/>
      <c r="S996" s="33"/>
      <c r="T996" s="32"/>
    </row>
    <row r="997">
      <c r="A997" s="15" t="s">
        <v>1675</v>
      </c>
      <c r="B997" s="16" t="s">
        <v>40</v>
      </c>
      <c r="C997" s="16"/>
      <c r="D997" s="17" t="str">
        <f t="shared" ref="D997:D1002" si="32">IF(E997&gt;TODAY(),"Coming Soon",IF(F997="","Active",IF(F997&gt;TODAY(),"Leaving Soon","Removed")))</f>
        <v>Removed</v>
      </c>
      <c r="E997" s="18">
        <v>44698.0</v>
      </c>
      <c r="F997" s="52">
        <v>45061.0</v>
      </c>
      <c r="G997" s="20">
        <f t="shared" si="2"/>
        <v>11.93333333</v>
      </c>
      <c r="H997" s="18">
        <v>42179.0</v>
      </c>
      <c r="I997" s="20">
        <f t="shared" si="3"/>
        <v>6.897222222</v>
      </c>
      <c r="J997" s="53">
        <v>86.0</v>
      </c>
      <c r="K997" s="53">
        <v>2.0</v>
      </c>
      <c r="L997" s="23" t="s">
        <v>1247</v>
      </c>
      <c r="M997" s="23"/>
      <c r="N997" s="23"/>
      <c r="O997" s="23" t="s">
        <v>34</v>
      </c>
      <c r="P997" s="54" t="s">
        <v>1676</v>
      </c>
      <c r="Q997" s="23"/>
      <c r="R997" s="16"/>
      <c r="S997" s="18"/>
      <c r="T997" s="20"/>
    </row>
    <row r="998">
      <c r="A998" s="27" t="s">
        <v>1677</v>
      </c>
      <c r="B998" s="28" t="s">
        <v>27</v>
      </c>
      <c r="C998" s="28" t="s">
        <v>121</v>
      </c>
      <c r="D998" s="29" t="str">
        <f t="shared" si="32"/>
        <v>Removed</v>
      </c>
      <c r="E998" s="33">
        <v>44698.0</v>
      </c>
      <c r="F998" s="31">
        <v>45061.0</v>
      </c>
      <c r="G998" s="32">
        <f t="shared" si="2"/>
        <v>11.93333333</v>
      </c>
      <c r="H998" s="33">
        <v>44352.0</v>
      </c>
      <c r="I998" s="32">
        <f t="shared" si="3"/>
        <v>0.95</v>
      </c>
      <c r="J998" s="34">
        <v>84.0</v>
      </c>
      <c r="K998" s="34">
        <v>2.5</v>
      </c>
      <c r="L998" s="35" t="s">
        <v>362</v>
      </c>
      <c r="M998" s="35"/>
      <c r="N998" s="35"/>
      <c r="O998" s="35" t="s">
        <v>125</v>
      </c>
      <c r="P998" s="36" t="s">
        <v>491</v>
      </c>
      <c r="Q998" s="35"/>
      <c r="R998" s="29"/>
      <c r="S998" s="33"/>
      <c r="T998" s="32"/>
    </row>
    <row r="999">
      <c r="A999" s="15" t="s">
        <v>1678</v>
      </c>
      <c r="B999" s="16" t="s">
        <v>27</v>
      </c>
      <c r="C999" s="16" t="s">
        <v>121</v>
      </c>
      <c r="D999" s="17" t="str">
        <f t="shared" si="32"/>
        <v>Removed</v>
      </c>
      <c r="E999" s="18">
        <v>44691.0</v>
      </c>
      <c r="F999" s="52">
        <v>45061.0</v>
      </c>
      <c r="G999" s="20">
        <f t="shared" si="2"/>
        <v>12.16666667</v>
      </c>
      <c r="H999" s="18">
        <v>41116.0</v>
      </c>
      <c r="I999" s="20">
        <f t="shared" si="3"/>
        <v>9.788888889</v>
      </c>
      <c r="J999" s="53">
        <v>83.0</v>
      </c>
      <c r="K999" s="53">
        <v>33.5</v>
      </c>
      <c r="L999" s="23" t="s">
        <v>1594</v>
      </c>
      <c r="M999" s="23"/>
      <c r="N999" s="23"/>
      <c r="O999" s="23" t="s">
        <v>34</v>
      </c>
      <c r="P999" s="54" t="s">
        <v>1032</v>
      </c>
      <c r="Q999" s="23"/>
      <c r="R999" s="17"/>
      <c r="S999" s="18"/>
      <c r="T999" s="20"/>
    </row>
    <row r="1000">
      <c r="A1000" s="27" t="s">
        <v>1679</v>
      </c>
      <c r="B1000" s="28" t="s">
        <v>27</v>
      </c>
      <c r="C1000" s="28" t="s">
        <v>28</v>
      </c>
      <c r="D1000" s="29" t="str">
        <f t="shared" si="32"/>
        <v>Removed</v>
      </c>
      <c r="E1000" s="33">
        <v>44531.0</v>
      </c>
      <c r="F1000" s="31">
        <v>45061.0</v>
      </c>
      <c r="G1000" s="32">
        <f t="shared" si="2"/>
        <v>17.46666667</v>
      </c>
      <c r="H1000" s="33">
        <v>44329.0</v>
      </c>
      <c r="I1000" s="32">
        <f t="shared" si="3"/>
        <v>0.55</v>
      </c>
      <c r="J1000" s="34">
        <v>72.0</v>
      </c>
      <c r="K1000" s="34">
        <v>11.5</v>
      </c>
      <c r="L1000" s="35" t="s">
        <v>50</v>
      </c>
      <c r="M1000" s="35"/>
      <c r="N1000" s="35"/>
      <c r="O1000" s="35" t="s">
        <v>334</v>
      </c>
      <c r="P1000" s="36" t="s">
        <v>483</v>
      </c>
      <c r="Q1000" s="35"/>
      <c r="R1000" s="29"/>
      <c r="S1000" s="33"/>
      <c r="T1000" s="32"/>
    </row>
    <row r="1001">
      <c r="A1001" s="64" t="s">
        <v>1680</v>
      </c>
      <c r="B1001" s="16" t="s">
        <v>27</v>
      </c>
      <c r="C1001" s="16" t="s">
        <v>28</v>
      </c>
      <c r="D1001" s="17" t="str">
        <f t="shared" si="32"/>
        <v>Removed</v>
      </c>
      <c r="E1001" s="62">
        <v>44518.0</v>
      </c>
      <c r="F1001" s="52">
        <v>45061.0</v>
      </c>
      <c r="G1001" s="20">
        <f t="shared" si="2"/>
        <v>17.9</v>
      </c>
      <c r="H1001" s="18">
        <v>43636.0</v>
      </c>
      <c r="I1001" s="20">
        <f t="shared" si="3"/>
        <v>2.411111111</v>
      </c>
      <c r="J1001" s="65">
        <v>80.0</v>
      </c>
      <c r="K1001" s="53">
        <v>4.0</v>
      </c>
      <c r="L1001" s="43" t="s">
        <v>366</v>
      </c>
      <c r="M1001" s="23" t="s">
        <v>451</v>
      </c>
      <c r="N1001" s="23" t="s">
        <v>1681</v>
      </c>
      <c r="O1001" s="23" t="s">
        <v>34</v>
      </c>
      <c r="P1001" s="54" t="s">
        <v>740</v>
      </c>
      <c r="Q1001" s="23"/>
      <c r="R1001" s="17"/>
      <c r="S1001" s="18"/>
      <c r="T1001" s="20"/>
    </row>
    <row r="1002">
      <c r="A1002" s="67" t="s">
        <v>1682</v>
      </c>
      <c r="B1002" s="29" t="s">
        <v>40</v>
      </c>
      <c r="C1002" s="29"/>
      <c r="D1002" s="29" t="str">
        <f t="shared" si="32"/>
        <v>Removed</v>
      </c>
      <c r="E1002" s="70">
        <v>43784.0</v>
      </c>
      <c r="F1002" s="31">
        <v>45061.0</v>
      </c>
      <c r="G1002" s="32">
        <f t="shared" si="2"/>
        <v>42</v>
      </c>
      <c r="H1002" s="33">
        <v>42527.0</v>
      </c>
      <c r="I1002" s="32">
        <f t="shared" si="3"/>
        <v>3.441666667</v>
      </c>
      <c r="J1002" s="69">
        <v>83.0</v>
      </c>
      <c r="K1002" s="34">
        <v>42.5</v>
      </c>
      <c r="L1002" s="44" t="s">
        <v>119</v>
      </c>
      <c r="M1002" s="44"/>
      <c r="N1002" s="44"/>
      <c r="O1002" s="35" t="s">
        <v>125</v>
      </c>
      <c r="P1002" s="36" t="s">
        <v>1683</v>
      </c>
      <c r="Q1002" s="35"/>
      <c r="R1002" s="28"/>
      <c r="S1002" s="33"/>
      <c r="T1002" s="32"/>
    </row>
    <row r="1003">
      <c r="A1003" s="15" t="s">
        <v>1684</v>
      </c>
      <c r="B1003" s="16" t="s">
        <v>1610</v>
      </c>
      <c r="C1003" s="17"/>
      <c r="D1003" s="17" t="s">
        <v>1611</v>
      </c>
      <c r="E1003" s="76">
        <v>45017.0</v>
      </c>
      <c r="F1003" s="62">
        <v>45046.0</v>
      </c>
      <c r="G1003" s="20">
        <f t="shared" si="2"/>
        <v>0.9666666667</v>
      </c>
      <c r="H1003" s="18"/>
      <c r="I1003" s="20">
        <f t="shared" si="3"/>
        <v>-2.538888889</v>
      </c>
      <c r="J1003" s="53"/>
      <c r="K1003" s="53"/>
      <c r="L1003" s="23"/>
      <c r="M1003" s="23" t="s">
        <v>1614</v>
      </c>
      <c r="N1003" s="23"/>
      <c r="O1003" s="23"/>
      <c r="P1003" s="54"/>
      <c r="Q1003" s="23"/>
      <c r="R1003" s="17"/>
      <c r="S1003" s="18"/>
      <c r="T1003" s="20"/>
    </row>
    <row r="1004">
      <c r="A1004" s="27" t="s">
        <v>1685</v>
      </c>
      <c r="B1004" s="28" t="s">
        <v>27</v>
      </c>
      <c r="C1004" s="28" t="s">
        <v>121</v>
      </c>
      <c r="D1004" s="29" t="str">
        <f t="shared" ref="D1004:D1009" si="33">IF(E1004&gt;TODAY(),"Coming Soon",IF(F1004="","Active",IF(F1004&gt;TODAY(),"Leaving Soon","Removed")))</f>
        <v>Removed</v>
      </c>
      <c r="E1004" s="33">
        <v>44679.0</v>
      </c>
      <c r="F1004" s="31">
        <v>45046.0</v>
      </c>
      <c r="G1004" s="32">
        <f t="shared" si="2"/>
        <v>12.06666667</v>
      </c>
      <c r="H1004" s="33">
        <v>44147.0</v>
      </c>
      <c r="I1004" s="32">
        <f t="shared" si="3"/>
        <v>1.461111111</v>
      </c>
      <c r="J1004" s="34">
        <f>average(75,79)</f>
        <v>77</v>
      </c>
      <c r="K1004" s="34">
        <v>7.5</v>
      </c>
      <c r="L1004" s="35" t="s">
        <v>362</v>
      </c>
      <c r="M1004" s="35"/>
      <c r="N1004" s="35"/>
      <c r="O1004" s="35" t="s">
        <v>334</v>
      </c>
      <c r="P1004" s="36" t="s">
        <v>1686</v>
      </c>
      <c r="Q1004" s="35"/>
      <c r="R1004" s="29"/>
      <c r="S1004" s="33"/>
      <c r="T1004" s="32"/>
    </row>
    <row r="1005">
      <c r="A1005" s="15" t="s">
        <v>1687</v>
      </c>
      <c r="B1005" s="16" t="s">
        <v>27</v>
      </c>
      <c r="C1005" s="16" t="s">
        <v>28</v>
      </c>
      <c r="D1005" s="17" t="str">
        <f t="shared" si="33"/>
        <v>Removed</v>
      </c>
      <c r="E1005" s="18">
        <v>44679.0</v>
      </c>
      <c r="F1005" s="52">
        <v>45046.0</v>
      </c>
      <c r="G1005" s="20">
        <f t="shared" si="2"/>
        <v>12.06666667</v>
      </c>
      <c r="H1005" s="18">
        <v>44517.0</v>
      </c>
      <c r="I1005" s="20">
        <f t="shared" si="3"/>
        <v>0.4472222222</v>
      </c>
      <c r="J1005" s="53">
        <v>84.0</v>
      </c>
      <c r="K1005" s="53">
        <v>2.0</v>
      </c>
      <c r="L1005" s="23" t="s">
        <v>122</v>
      </c>
      <c r="M1005" s="23"/>
      <c r="N1005" s="23"/>
      <c r="O1005" s="23" t="s">
        <v>34</v>
      </c>
      <c r="P1005" s="54" t="s">
        <v>832</v>
      </c>
      <c r="Q1005" s="23"/>
      <c r="R1005" s="17"/>
      <c r="S1005" s="18"/>
      <c r="T1005" s="20"/>
    </row>
    <row r="1006">
      <c r="A1006" s="27" t="s">
        <v>1688</v>
      </c>
      <c r="B1006" s="28" t="s">
        <v>27</v>
      </c>
      <c r="C1006" s="28" t="s">
        <v>28</v>
      </c>
      <c r="D1006" s="29" t="str">
        <f t="shared" si="33"/>
        <v>Removed</v>
      </c>
      <c r="E1006" s="33">
        <v>44320.0</v>
      </c>
      <c r="F1006" s="31">
        <v>45046.0</v>
      </c>
      <c r="G1006" s="32">
        <f t="shared" si="2"/>
        <v>23.86666667</v>
      </c>
      <c r="H1006" s="33">
        <v>43658.0</v>
      </c>
      <c r="I1006" s="32">
        <f t="shared" si="3"/>
        <v>1.811111111</v>
      </c>
      <c r="J1006" s="34">
        <v>85.0</v>
      </c>
      <c r="K1006" s="34">
        <v>56.0</v>
      </c>
      <c r="L1006" s="35" t="s">
        <v>529</v>
      </c>
      <c r="M1006" s="35"/>
      <c r="N1006" s="35"/>
      <c r="O1006" s="35" t="s">
        <v>334</v>
      </c>
      <c r="P1006" s="36" t="s">
        <v>1689</v>
      </c>
      <c r="Q1006" s="35"/>
      <c r="R1006" s="29"/>
      <c r="S1006" s="33"/>
      <c r="T1006" s="32"/>
    </row>
    <row r="1007">
      <c r="A1007" s="15" t="s">
        <v>1690</v>
      </c>
      <c r="B1007" s="16" t="s">
        <v>27</v>
      </c>
      <c r="C1007" s="16" t="s">
        <v>28</v>
      </c>
      <c r="D1007" s="17" t="str">
        <f t="shared" si="33"/>
        <v>Removed</v>
      </c>
      <c r="E1007" s="18">
        <v>44315.0</v>
      </c>
      <c r="F1007" s="52">
        <v>45046.0</v>
      </c>
      <c r="G1007" s="20">
        <f t="shared" si="2"/>
        <v>24.03333333</v>
      </c>
      <c r="H1007" s="18">
        <v>44040.0</v>
      </c>
      <c r="I1007" s="20">
        <f t="shared" si="3"/>
        <v>0.7527777778</v>
      </c>
      <c r="J1007" s="53">
        <f>(68+71)/2</f>
        <v>69.5</v>
      </c>
      <c r="K1007" s="53">
        <v>7.5</v>
      </c>
      <c r="L1007" s="23" t="s">
        <v>366</v>
      </c>
      <c r="M1007" s="23"/>
      <c r="N1007" s="23"/>
      <c r="O1007" s="23" t="s">
        <v>125</v>
      </c>
      <c r="P1007" s="54" t="s">
        <v>1691</v>
      </c>
      <c r="Q1007" s="23"/>
      <c r="R1007" s="17"/>
      <c r="S1007" s="18"/>
      <c r="T1007" s="20"/>
    </row>
    <row r="1008">
      <c r="A1008" s="27" t="s">
        <v>1692</v>
      </c>
      <c r="B1008" s="28" t="s">
        <v>68</v>
      </c>
      <c r="C1008" s="28"/>
      <c r="D1008" s="29" t="str">
        <f t="shared" si="33"/>
        <v>Removed</v>
      </c>
      <c r="E1008" s="33">
        <v>44298.0</v>
      </c>
      <c r="F1008" s="31">
        <v>45046.0</v>
      </c>
      <c r="G1008" s="32">
        <f t="shared" si="2"/>
        <v>24.6</v>
      </c>
      <c r="H1008" s="33">
        <v>44120.0</v>
      </c>
      <c r="I1008" s="32">
        <f t="shared" si="3"/>
        <v>0.4888888889</v>
      </c>
      <c r="J1008" s="34">
        <v>81.0</v>
      </c>
      <c r="K1008" s="34">
        <v>9.0</v>
      </c>
      <c r="L1008" s="35" t="s">
        <v>580</v>
      </c>
      <c r="M1008" s="35"/>
      <c r="N1008" s="35"/>
      <c r="O1008" s="35" t="s">
        <v>334</v>
      </c>
      <c r="P1008" s="36" t="s">
        <v>465</v>
      </c>
      <c r="Q1008" s="35"/>
      <c r="R1008" s="29"/>
      <c r="S1008" s="33"/>
      <c r="T1008" s="32"/>
    </row>
    <row r="1009">
      <c r="A1009" s="15" t="s">
        <v>1693</v>
      </c>
      <c r="B1009" s="16" t="s">
        <v>27</v>
      </c>
      <c r="C1009" s="16"/>
      <c r="D1009" s="17" t="str">
        <f t="shared" si="33"/>
        <v>Removed</v>
      </c>
      <c r="E1009" s="18">
        <v>44145.0</v>
      </c>
      <c r="F1009" s="52">
        <v>45046.0</v>
      </c>
      <c r="G1009" s="20">
        <f t="shared" si="2"/>
        <v>29.66666667</v>
      </c>
      <c r="H1009" s="18">
        <v>44145.0</v>
      </c>
      <c r="I1009" s="20">
        <f t="shared" si="3"/>
        <v>0</v>
      </c>
      <c r="J1009" s="53">
        <f>(80+88)/2</f>
        <v>84</v>
      </c>
      <c r="K1009" s="53">
        <v>2.5</v>
      </c>
      <c r="L1009" s="23" t="s">
        <v>731</v>
      </c>
      <c r="M1009" s="23" t="s">
        <v>123</v>
      </c>
      <c r="N1009" s="23"/>
      <c r="O1009" s="23" t="s">
        <v>132</v>
      </c>
      <c r="P1009" s="54"/>
      <c r="Q1009" s="23"/>
      <c r="R1009" s="17"/>
      <c r="S1009" s="18"/>
      <c r="T1009" s="20"/>
    </row>
    <row r="1010">
      <c r="A1010" s="27" t="s">
        <v>1694</v>
      </c>
      <c r="B1010" s="28" t="s">
        <v>1610</v>
      </c>
      <c r="C1010" s="29"/>
      <c r="D1010" s="29" t="s">
        <v>1611</v>
      </c>
      <c r="E1010" s="70">
        <v>45001.0</v>
      </c>
      <c r="F1010" s="30">
        <v>45031.0</v>
      </c>
      <c r="G1010" s="32">
        <f t="shared" si="2"/>
        <v>0.9666666667</v>
      </c>
      <c r="H1010" s="33"/>
      <c r="I1010" s="32">
        <f t="shared" si="3"/>
        <v>-2.580555556</v>
      </c>
      <c r="J1010" s="34"/>
      <c r="K1010" s="34"/>
      <c r="L1010" s="35"/>
      <c r="M1010" s="35"/>
      <c r="N1010" s="35" t="s">
        <v>1612</v>
      </c>
      <c r="O1010" s="35"/>
      <c r="P1010" s="36"/>
      <c r="Q1010" s="35"/>
      <c r="R1010" s="29"/>
      <c r="S1010" s="33"/>
      <c r="T1010" s="32"/>
    </row>
    <row r="1011">
      <c r="A1011" s="15" t="s">
        <v>1695</v>
      </c>
      <c r="B1011" s="16" t="s">
        <v>27</v>
      </c>
      <c r="C1011" s="16" t="s">
        <v>121</v>
      </c>
      <c r="D1011" s="17" t="str">
        <f t="shared" ref="D1011:D1016" si="34">IF(E1011&gt;TODAY(),"Coming Soon",IF(F1011="","Active",IF(F1011&gt;TODAY(),"Leaving Soon","Removed")))</f>
        <v>Removed</v>
      </c>
      <c r="E1011" s="18">
        <v>44663.0</v>
      </c>
      <c r="F1011" s="52">
        <v>45031.0</v>
      </c>
      <c r="G1011" s="20">
        <f t="shared" si="2"/>
        <v>12.1</v>
      </c>
      <c r="H1011" s="18">
        <v>44449.0</v>
      </c>
      <c r="I1011" s="20">
        <f t="shared" si="3"/>
        <v>0.5888888889</v>
      </c>
      <c r="J1011" s="53">
        <v>79.0</v>
      </c>
      <c r="K1011" s="53">
        <v>10.0</v>
      </c>
      <c r="L1011" s="23" t="s">
        <v>362</v>
      </c>
      <c r="M1011" s="23"/>
      <c r="N1011" s="23"/>
      <c r="O1011" s="23" t="s">
        <v>34</v>
      </c>
      <c r="P1011" s="54" t="s">
        <v>1696</v>
      </c>
      <c r="Q1011" s="23" t="s">
        <v>1697</v>
      </c>
      <c r="R1011" s="17"/>
      <c r="S1011" s="18"/>
      <c r="T1011" s="20"/>
    </row>
    <row r="1012">
      <c r="A1012" s="27" t="s">
        <v>1698</v>
      </c>
      <c r="B1012" s="28" t="s">
        <v>40</v>
      </c>
      <c r="C1012" s="28"/>
      <c r="D1012" s="29" t="str">
        <f t="shared" si="34"/>
        <v>Removed</v>
      </c>
      <c r="E1012" s="33">
        <v>44663.0</v>
      </c>
      <c r="F1012" s="31">
        <v>45031.0</v>
      </c>
      <c r="G1012" s="32">
        <f t="shared" si="2"/>
        <v>12.1</v>
      </c>
      <c r="H1012" s="33">
        <v>43909.0</v>
      </c>
      <c r="I1012" s="32">
        <f t="shared" si="3"/>
        <v>2.063888889</v>
      </c>
      <c r="J1012" s="34">
        <v>86.0</v>
      </c>
      <c r="K1012" s="34">
        <v>59.5</v>
      </c>
      <c r="L1012" s="35" t="s">
        <v>119</v>
      </c>
      <c r="M1012" s="35"/>
      <c r="N1012" s="35"/>
      <c r="O1012" s="35" t="s">
        <v>334</v>
      </c>
      <c r="P1012" s="36" t="s">
        <v>1699</v>
      </c>
      <c r="Q1012" s="35"/>
      <c r="R1012" s="28"/>
      <c r="S1012" s="33"/>
      <c r="T1012" s="32"/>
    </row>
    <row r="1013">
      <c r="A1013" s="15" t="s">
        <v>1700</v>
      </c>
      <c r="B1013" s="16" t="s">
        <v>27</v>
      </c>
      <c r="C1013" s="16" t="s">
        <v>121</v>
      </c>
      <c r="D1013" s="17" t="str">
        <f t="shared" si="34"/>
        <v>Removed</v>
      </c>
      <c r="E1013" s="18">
        <v>44637.0</v>
      </c>
      <c r="F1013" s="52">
        <v>45031.0</v>
      </c>
      <c r="G1013" s="20">
        <f t="shared" si="2"/>
        <v>12.93333333</v>
      </c>
      <c r="H1013" s="18">
        <v>44070.0</v>
      </c>
      <c r="I1013" s="20">
        <f t="shared" si="3"/>
        <v>1.555555556</v>
      </c>
      <c r="J1013" s="53">
        <f>average(72,77)</f>
        <v>74.5</v>
      </c>
      <c r="K1013" s="53">
        <v>31.0</v>
      </c>
      <c r="L1013" s="23" t="s">
        <v>1701</v>
      </c>
      <c r="M1013" s="23"/>
      <c r="N1013" s="23"/>
      <c r="O1013" s="23" t="s">
        <v>34</v>
      </c>
      <c r="P1013" s="54" t="s">
        <v>1702</v>
      </c>
      <c r="Q1013" s="23"/>
      <c r="R1013" s="17"/>
      <c r="S1013" s="18"/>
      <c r="T1013" s="20"/>
    </row>
    <row r="1014">
      <c r="A1014" s="27" t="s">
        <v>1703</v>
      </c>
      <c r="B1014" s="28" t="s">
        <v>27</v>
      </c>
      <c r="C1014" s="28" t="s">
        <v>121</v>
      </c>
      <c r="D1014" s="29" t="str">
        <f t="shared" si="34"/>
        <v>Removed</v>
      </c>
      <c r="E1014" s="33">
        <v>44495.0</v>
      </c>
      <c r="F1014" s="31">
        <v>45031.0</v>
      </c>
      <c r="G1014" s="32">
        <f t="shared" si="2"/>
        <v>17.63333333</v>
      </c>
      <c r="H1014" s="33">
        <v>44495.0</v>
      </c>
      <c r="I1014" s="32">
        <f t="shared" si="3"/>
        <v>0</v>
      </c>
      <c r="J1014" s="34">
        <f>(72+79)/2</f>
        <v>75.5</v>
      </c>
      <c r="K1014" s="34">
        <v>23.0</v>
      </c>
      <c r="L1014" s="35" t="s">
        <v>1704</v>
      </c>
      <c r="M1014" s="35" t="s">
        <v>123</v>
      </c>
      <c r="N1014" s="35"/>
      <c r="O1014" s="35" t="s">
        <v>132</v>
      </c>
      <c r="P1014" s="36"/>
      <c r="Q1014" s="35"/>
      <c r="R1014" s="29"/>
      <c r="S1014" s="33"/>
      <c r="T1014" s="32"/>
    </row>
    <row r="1015">
      <c r="A1015" s="15" t="s">
        <v>1705</v>
      </c>
      <c r="B1015" s="16" t="s">
        <v>27</v>
      </c>
      <c r="C1015" s="16" t="s">
        <v>28</v>
      </c>
      <c r="D1015" s="17" t="str">
        <f t="shared" si="34"/>
        <v>Removed</v>
      </c>
      <c r="E1015" s="18">
        <v>44483.0</v>
      </c>
      <c r="F1015" s="52">
        <v>45031.0</v>
      </c>
      <c r="G1015" s="20">
        <f t="shared" si="2"/>
        <v>18.03333333</v>
      </c>
      <c r="H1015" s="18">
        <v>44483.0</v>
      </c>
      <c r="I1015" s="20">
        <f t="shared" si="3"/>
        <v>0</v>
      </c>
      <c r="J1015" s="53">
        <f>(79+82)/2</f>
        <v>80.5</v>
      </c>
      <c r="K1015" s="53">
        <v>21.5</v>
      </c>
      <c r="L1015" s="23" t="s">
        <v>576</v>
      </c>
      <c r="M1015" s="23" t="s">
        <v>984</v>
      </c>
      <c r="N1015" s="23"/>
      <c r="O1015" s="23" t="s">
        <v>125</v>
      </c>
      <c r="P1015" s="54" t="s">
        <v>368</v>
      </c>
      <c r="Q1015" s="23" t="s">
        <v>1706</v>
      </c>
      <c r="R1015" s="17"/>
      <c r="S1015" s="18"/>
      <c r="T1015" s="20"/>
    </row>
    <row r="1016">
      <c r="A1016" s="67" t="s">
        <v>1707</v>
      </c>
      <c r="B1016" s="28" t="s">
        <v>27</v>
      </c>
      <c r="C1016" s="28" t="s">
        <v>28</v>
      </c>
      <c r="D1016" s="29" t="str">
        <f t="shared" si="34"/>
        <v>Removed</v>
      </c>
      <c r="E1016" s="70">
        <v>43937.0</v>
      </c>
      <c r="F1016" s="31">
        <v>45031.0</v>
      </c>
      <c r="G1016" s="32">
        <f t="shared" si="2"/>
        <v>35.96666667</v>
      </c>
      <c r="H1016" s="33">
        <v>42948.0</v>
      </c>
      <c r="I1016" s="32">
        <f t="shared" si="3"/>
        <v>2.708333333</v>
      </c>
      <c r="J1016" s="69">
        <v>76.0</v>
      </c>
      <c r="K1016" s="34">
        <v>17.5</v>
      </c>
      <c r="L1016" s="44" t="s">
        <v>362</v>
      </c>
      <c r="M1016" s="44"/>
      <c r="N1016" s="44"/>
      <c r="O1016" s="35" t="s">
        <v>125</v>
      </c>
      <c r="P1016" s="36" t="s">
        <v>919</v>
      </c>
      <c r="Q1016" s="137"/>
      <c r="R1016" s="29"/>
      <c r="S1016" s="33"/>
      <c r="T1016" s="32"/>
    </row>
    <row r="1017">
      <c r="A1017" s="15" t="s">
        <v>1708</v>
      </c>
      <c r="B1017" s="16" t="s">
        <v>1610</v>
      </c>
      <c r="C1017" s="17"/>
      <c r="D1017" s="17" t="s">
        <v>1611</v>
      </c>
      <c r="E1017" s="76">
        <v>44986.0</v>
      </c>
      <c r="F1017" s="62">
        <v>45016.0</v>
      </c>
      <c r="G1017" s="20">
        <f t="shared" si="2"/>
        <v>0.9666666667</v>
      </c>
      <c r="H1017" s="18"/>
      <c r="I1017" s="20">
        <f t="shared" si="3"/>
        <v>-2.622222222</v>
      </c>
      <c r="J1017" s="53"/>
      <c r="K1017" s="53"/>
      <c r="L1017" s="23"/>
      <c r="M1017" s="23"/>
      <c r="N1017" s="23"/>
      <c r="O1017" s="23"/>
      <c r="P1017" s="54"/>
      <c r="Q1017" s="23"/>
      <c r="R1017" s="17"/>
      <c r="S1017" s="18"/>
      <c r="T1017" s="20"/>
    </row>
    <row r="1018">
      <c r="A1018" s="27" t="s">
        <v>1709</v>
      </c>
      <c r="B1018" s="28" t="s">
        <v>1610</v>
      </c>
      <c r="C1018" s="29"/>
      <c r="D1018" s="29" t="s">
        <v>1611</v>
      </c>
      <c r="E1018" s="70">
        <v>44986.0</v>
      </c>
      <c r="F1018" s="30">
        <v>45016.0</v>
      </c>
      <c r="G1018" s="32">
        <f t="shared" si="2"/>
        <v>0.9666666667</v>
      </c>
      <c r="H1018" s="33"/>
      <c r="I1018" s="32">
        <f t="shared" si="3"/>
        <v>-2.622222222</v>
      </c>
      <c r="J1018" s="34"/>
      <c r="K1018" s="34"/>
      <c r="L1018" s="35"/>
      <c r="M1018" s="35"/>
      <c r="N1018" s="35" t="s">
        <v>1612</v>
      </c>
      <c r="O1018" s="35"/>
      <c r="P1018" s="36"/>
      <c r="Q1018" s="35"/>
      <c r="R1018" s="29"/>
      <c r="S1018" s="33"/>
      <c r="T1018" s="32"/>
    </row>
    <row r="1019">
      <c r="A1019" s="15" t="s">
        <v>1710</v>
      </c>
      <c r="B1019" s="16" t="s">
        <v>27</v>
      </c>
      <c r="C1019" s="16" t="s">
        <v>121</v>
      </c>
      <c r="D1019" s="17" t="str">
        <f t="shared" ref="D1019:D1025" si="35">IF(E1019&gt;TODAY(),"Coming Soon",IF(F1019="","Active",IF(F1019&gt;TODAY(),"Leaving Soon","Removed")))</f>
        <v>Removed</v>
      </c>
      <c r="E1019" s="18">
        <v>44658.0</v>
      </c>
      <c r="F1019" s="52">
        <v>45016.0</v>
      </c>
      <c r="G1019" s="20">
        <f t="shared" si="2"/>
        <v>11.76666667</v>
      </c>
      <c r="H1019" s="18">
        <v>44658.0</v>
      </c>
      <c r="I1019" s="20">
        <f t="shared" si="3"/>
        <v>0</v>
      </c>
      <c r="J1019" s="53">
        <v>67.0</v>
      </c>
      <c r="K1019" s="53">
        <v>7.0</v>
      </c>
      <c r="L1019" s="23" t="s">
        <v>711</v>
      </c>
      <c r="M1019" s="23"/>
      <c r="N1019" s="23"/>
      <c r="O1019" s="23" t="s">
        <v>125</v>
      </c>
      <c r="P1019" s="54" t="s">
        <v>1711</v>
      </c>
      <c r="Q1019" s="23"/>
      <c r="R1019" s="17"/>
      <c r="S1019" s="18"/>
      <c r="T1019" s="20"/>
    </row>
    <row r="1020">
      <c r="A1020" s="27" t="s">
        <v>1712</v>
      </c>
      <c r="B1020" s="28" t="s">
        <v>68</v>
      </c>
      <c r="C1020" s="28" t="s">
        <v>121</v>
      </c>
      <c r="D1020" s="29" t="str">
        <f t="shared" si="35"/>
        <v>Removed</v>
      </c>
      <c r="E1020" s="33">
        <v>44656.0</v>
      </c>
      <c r="F1020" s="31">
        <v>45016.0</v>
      </c>
      <c r="G1020" s="32">
        <f t="shared" si="2"/>
        <v>11.83333333</v>
      </c>
      <c r="H1020" s="33">
        <v>44656.0</v>
      </c>
      <c r="I1020" s="32">
        <f t="shared" si="3"/>
        <v>0</v>
      </c>
      <c r="J1020" s="34">
        <v>80.0</v>
      </c>
      <c r="K1020" s="34">
        <v>214.0</v>
      </c>
      <c r="L1020" s="35" t="s">
        <v>694</v>
      </c>
      <c r="M1020" s="35"/>
      <c r="N1020" s="35"/>
      <c r="O1020" s="35" t="s">
        <v>132</v>
      </c>
      <c r="P1020" s="36"/>
      <c r="Q1020" s="35"/>
      <c r="R1020" s="29"/>
      <c r="S1020" s="33"/>
      <c r="T1020" s="32"/>
    </row>
    <row r="1021">
      <c r="A1021" s="15" t="s">
        <v>1713</v>
      </c>
      <c r="B1021" s="16" t="s">
        <v>27</v>
      </c>
      <c r="C1021" s="16" t="s">
        <v>121</v>
      </c>
      <c r="D1021" s="17" t="str">
        <f t="shared" si="35"/>
        <v>Removed</v>
      </c>
      <c r="E1021" s="18">
        <v>44644.0</v>
      </c>
      <c r="F1021" s="52">
        <v>45016.0</v>
      </c>
      <c r="G1021" s="20">
        <f t="shared" si="2"/>
        <v>12.2</v>
      </c>
      <c r="H1021" s="18">
        <v>44644.0</v>
      </c>
      <c r="I1021" s="20">
        <f t="shared" si="3"/>
        <v>0</v>
      </c>
      <c r="J1021" s="53">
        <v>74.0</v>
      </c>
      <c r="K1021" s="53">
        <v>1.0</v>
      </c>
      <c r="L1021" s="23" t="s">
        <v>362</v>
      </c>
      <c r="M1021" s="23"/>
      <c r="N1021" s="23"/>
      <c r="O1021" s="23" t="s">
        <v>132</v>
      </c>
      <c r="P1021" s="54"/>
      <c r="Q1021" s="23"/>
      <c r="R1021" s="17"/>
      <c r="S1021" s="18"/>
      <c r="T1021" s="20"/>
    </row>
    <row r="1022">
      <c r="A1022" s="27" t="s">
        <v>1714</v>
      </c>
      <c r="B1022" s="28" t="s">
        <v>27</v>
      </c>
      <c r="C1022" s="28" t="s">
        <v>121</v>
      </c>
      <c r="D1022" s="29" t="str">
        <f t="shared" si="35"/>
        <v>Removed</v>
      </c>
      <c r="E1022" s="33">
        <v>44642.0</v>
      </c>
      <c r="F1022" s="31">
        <v>45016.0</v>
      </c>
      <c r="G1022" s="32">
        <f t="shared" si="2"/>
        <v>12.26666667</v>
      </c>
      <c r="H1022" s="33">
        <v>44642.0</v>
      </c>
      <c r="I1022" s="32">
        <f t="shared" si="3"/>
        <v>0</v>
      </c>
      <c r="J1022" s="34">
        <f>average(50,70)</f>
        <v>60</v>
      </c>
      <c r="K1022" s="34">
        <v>7.5</v>
      </c>
      <c r="L1022" s="35" t="s">
        <v>362</v>
      </c>
      <c r="M1022" s="35"/>
      <c r="N1022" s="35"/>
      <c r="O1022" s="35" t="s">
        <v>334</v>
      </c>
      <c r="P1022" s="36" t="s">
        <v>1018</v>
      </c>
      <c r="Q1022" s="35"/>
      <c r="R1022" s="29"/>
      <c r="S1022" s="33"/>
      <c r="T1022" s="32"/>
    </row>
    <row r="1023">
      <c r="A1023" s="64" t="s">
        <v>1715</v>
      </c>
      <c r="B1023" s="16" t="s">
        <v>27</v>
      </c>
      <c r="C1023" s="16" t="s">
        <v>28</v>
      </c>
      <c r="D1023" s="17" t="str">
        <f t="shared" si="35"/>
        <v>Removed</v>
      </c>
      <c r="E1023" s="76">
        <v>43916.0</v>
      </c>
      <c r="F1023" s="52">
        <v>45016.0</v>
      </c>
      <c r="G1023" s="20">
        <f t="shared" si="2"/>
        <v>36.13333333</v>
      </c>
      <c r="H1023" s="18">
        <v>43550.0</v>
      </c>
      <c r="I1023" s="20">
        <f t="shared" si="3"/>
        <v>1</v>
      </c>
      <c r="J1023" s="65">
        <v>53.0</v>
      </c>
      <c r="K1023" s="53">
        <v>2.0</v>
      </c>
      <c r="L1023" s="43" t="s">
        <v>303</v>
      </c>
      <c r="M1023" s="23" t="s">
        <v>451</v>
      </c>
      <c r="N1023" s="43"/>
      <c r="O1023" s="23" t="s">
        <v>125</v>
      </c>
      <c r="P1023" s="54" t="s">
        <v>475</v>
      </c>
      <c r="Q1023" s="23"/>
      <c r="R1023" s="17"/>
      <c r="S1023" s="18"/>
      <c r="T1023" s="20"/>
    </row>
    <row r="1024">
      <c r="A1024" s="67" t="s">
        <v>1716</v>
      </c>
      <c r="B1024" s="28" t="s">
        <v>27</v>
      </c>
      <c r="C1024" s="28" t="s">
        <v>28</v>
      </c>
      <c r="D1024" s="29" t="str">
        <f t="shared" si="35"/>
        <v>Removed</v>
      </c>
      <c r="E1024" s="70">
        <v>43191.0</v>
      </c>
      <c r="F1024" s="31">
        <v>45016.0</v>
      </c>
      <c r="G1024" s="32">
        <f t="shared" si="2"/>
        <v>59.96666667</v>
      </c>
      <c r="H1024" s="33">
        <v>42640.0</v>
      </c>
      <c r="I1024" s="32">
        <f t="shared" si="3"/>
        <v>1.511111111</v>
      </c>
      <c r="J1024" s="69">
        <v>69.0</v>
      </c>
      <c r="K1024" s="34">
        <v>3.5</v>
      </c>
      <c r="L1024" s="44" t="s">
        <v>44</v>
      </c>
      <c r="M1024" s="44"/>
      <c r="N1024" s="44"/>
      <c r="O1024" s="35" t="s">
        <v>132</v>
      </c>
      <c r="P1024" s="36" t="s">
        <v>465</v>
      </c>
      <c r="Q1024" s="35"/>
      <c r="R1024" s="29"/>
      <c r="S1024" s="33"/>
      <c r="T1024" s="32"/>
    </row>
    <row r="1025">
      <c r="A1025" s="64" t="s">
        <v>1717</v>
      </c>
      <c r="B1025" s="16" t="s">
        <v>68</v>
      </c>
      <c r="C1025" s="16" t="s">
        <v>121</v>
      </c>
      <c r="D1025" s="17" t="str">
        <f t="shared" si="35"/>
        <v>Removed</v>
      </c>
      <c r="E1025" s="76">
        <v>42887.0</v>
      </c>
      <c r="F1025" s="52">
        <v>45016.0</v>
      </c>
      <c r="G1025" s="20">
        <f t="shared" si="2"/>
        <v>69.96666667</v>
      </c>
      <c r="H1025" s="18">
        <v>41163.0</v>
      </c>
      <c r="I1025" s="20">
        <f t="shared" si="3"/>
        <v>4.722222222</v>
      </c>
      <c r="J1025" s="65">
        <v>66.0</v>
      </c>
      <c r="K1025" s="53">
        <v>3.5</v>
      </c>
      <c r="L1025" s="43" t="s">
        <v>362</v>
      </c>
      <c r="M1025" s="43"/>
      <c r="N1025" s="43"/>
      <c r="O1025" s="121" t="s">
        <v>125</v>
      </c>
      <c r="P1025" s="54" t="s">
        <v>1718</v>
      </c>
      <c r="Q1025" s="23"/>
      <c r="R1025" s="17"/>
      <c r="S1025" s="18"/>
      <c r="T1025" s="20"/>
    </row>
    <row r="1026">
      <c r="A1026" s="27" t="s">
        <v>1719</v>
      </c>
      <c r="B1026" s="28" t="s">
        <v>1610</v>
      </c>
      <c r="C1026" s="29"/>
      <c r="D1026" s="29" t="s">
        <v>1611</v>
      </c>
      <c r="E1026" s="70">
        <v>44973.0</v>
      </c>
      <c r="F1026" s="30">
        <v>45000.0</v>
      </c>
      <c r="G1026" s="32">
        <f t="shared" si="2"/>
        <v>0.9666666667</v>
      </c>
      <c r="H1026" s="33"/>
      <c r="I1026" s="32">
        <f t="shared" si="3"/>
        <v>-2.663888889</v>
      </c>
      <c r="J1026" s="34"/>
      <c r="K1026" s="34"/>
      <c r="L1026" s="35"/>
      <c r="M1026" s="35"/>
      <c r="N1026" s="35"/>
      <c r="O1026" s="35"/>
      <c r="P1026" s="36"/>
      <c r="Q1026" s="35"/>
      <c r="R1026" s="29"/>
      <c r="S1026" s="33"/>
      <c r="T1026" s="32"/>
    </row>
    <row r="1027">
      <c r="A1027" s="15" t="s">
        <v>1720</v>
      </c>
      <c r="B1027" s="16" t="s">
        <v>27</v>
      </c>
      <c r="C1027" s="16" t="s">
        <v>121</v>
      </c>
      <c r="D1027" s="17" t="str">
        <f t="shared" ref="D1027:D1033" si="36">IF(E1027&gt;TODAY(),"Coming Soon",IF(F1027="","Active",IF(F1027&gt;TODAY(),"Leaving Soon","Removed")))</f>
        <v>Removed</v>
      </c>
      <c r="E1027" s="18">
        <v>44642.0</v>
      </c>
      <c r="F1027" s="52">
        <v>45000.0</v>
      </c>
      <c r="G1027" s="20">
        <f t="shared" si="2"/>
        <v>11.76666667</v>
      </c>
      <c r="H1027" s="18">
        <v>42818.0</v>
      </c>
      <c r="I1027" s="20">
        <f t="shared" si="3"/>
        <v>4.994444444</v>
      </c>
      <c r="J1027" s="53">
        <v>86.0</v>
      </c>
      <c r="K1027" s="53">
        <v>33.5</v>
      </c>
      <c r="L1027" s="23" t="s">
        <v>1409</v>
      </c>
      <c r="M1027" s="23"/>
      <c r="N1027" s="23"/>
      <c r="O1027" s="23" t="s">
        <v>34</v>
      </c>
      <c r="P1027" s="54" t="s">
        <v>1721</v>
      </c>
      <c r="Q1027" s="23"/>
      <c r="R1027" s="17"/>
      <c r="S1027" s="18"/>
      <c r="T1027" s="20"/>
    </row>
    <row r="1028">
      <c r="A1028" s="27" t="s">
        <v>1722</v>
      </c>
      <c r="B1028" s="28" t="s">
        <v>27</v>
      </c>
      <c r="C1028" s="28" t="s">
        <v>121</v>
      </c>
      <c r="D1028" s="29" t="str">
        <f t="shared" si="36"/>
        <v>Removed</v>
      </c>
      <c r="E1028" s="33">
        <v>44636.0</v>
      </c>
      <c r="F1028" s="31">
        <v>45000.0</v>
      </c>
      <c r="G1028" s="32">
        <f t="shared" si="2"/>
        <v>11.96666667</v>
      </c>
      <c r="H1028" s="33">
        <v>44098.0</v>
      </c>
      <c r="I1028" s="32">
        <f t="shared" si="3"/>
        <v>1.477777778</v>
      </c>
      <c r="J1028" s="34">
        <v>81.0</v>
      </c>
      <c r="K1028" s="34">
        <v>12.0</v>
      </c>
      <c r="L1028" s="35" t="s">
        <v>362</v>
      </c>
      <c r="M1028" s="35"/>
      <c r="N1028" s="35"/>
      <c r="O1028" s="35" t="s">
        <v>34</v>
      </c>
      <c r="P1028" s="36" t="s">
        <v>1723</v>
      </c>
      <c r="Q1028" s="35"/>
      <c r="R1028" s="29"/>
      <c r="S1028" s="33"/>
      <c r="T1028" s="32"/>
    </row>
    <row r="1029">
      <c r="A1029" s="15" t="s">
        <v>1724</v>
      </c>
      <c r="B1029" s="16" t="s">
        <v>27</v>
      </c>
      <c r="C1029" s="16" t="s">
        <v>121</v>
      </c>
      <c r="D1029" s="17" t="str">
        <f t="shared" si="36"/>
        <v>Removed</v>
      </c>
      <c r="E1029" s="18">
        <v>44630.0</v>
      </c>
      <c r="F1029" s="52">
        <v>45000.0</v>
      </c>
      <c r="G1029" s="20">
        <f t="shared" si="2"/>
        <v>12.16666667</v>
      </c>
      <c r="H1029" s="18">
        <v>41327.0</v>
      </c>
      <c r="I1029" s="20">
        <f t="shared" si="3"/>
        <v>9.05</v>
      </c>
      <c r="J1029" s="53">
        <f>average(86,87)</f>
        <v>86.5</v>
      </c>
      <c r="K1029" s="53">
        <v>10.0</v>
      </c>
      <c r="L1029" s="23" t="s">
        <v>362</v>
      </c>
      <c r="M1029" s="23"/>
      <c r="N1029" s="23"/>
      <c r="O1029" s="23" t="s">
        <v>125</v>
      </c>
      <c r="P1029" s="54" t="s">
        <v>1725</v>
      </c>
      <c r="Q1029" s="23"/>
      <c r="R1029" s="17"/>
      <c r="S1029" s="18"/>
      <c r="T1029" s="20"/>
    </row>
    <row r="1030">
      <c r="A1030" s="27" t="s">
        <v>1726</v>
      </c>
      <c r="B1030" s="28" t="s">
        <v>27</v>
      </c>
      <c r="C1030" s="28" t="s">
        <v>28</v>
      </c>
      <c r="D1030" s="29" t="str">
        <f t="shared" si="36"/>
        <v>Removed</v>
      </c>
      <c r="E1030" s="33">
        <v>44630.0</v>
      </c>
      <c r="F1030" s="31">
        <v>45000.0</v>
      </c>
      <c r="G1030" s="32">
        <f t="shared" si="2"/>
        <v>12.16666667</v>
      </c>
      <c r="H1030" s="33">
        <v>44495.0</v>
      </c>
      <c r="I1030" s="32">
        <f t="shared" si="3"/>
        <v>0.3722222222</v>
      </c>
      <c r="J1030" s="34">
        <f>average(78,84)</f>
        <v>81</v>
      </c>
      <c r="K1030" s="34">
        <v>17.0</v>
      </c>
      <c r="L1030" s="35" t="s">
        <v>37</v>
      </c>
      <c r="M1030" s="35"/>
      <c r="N1030" s="35"/>
      <c r="O1030" s="35" t="s">
        <v>125</v>
      </c>
      <c r="P1030" s="36" t="s">
        <v>1727</v>
      </c>
      <c r="Q1030" s="138"/>
      <c r="R1030" s="29"/>
      <c r="S1030" s="33"/>
      <c r="T1030" s="32"/>
    </row>
    <row r="1031">
      <c r="A1031" s="15" t="s">
        <v>1728</v>
      </c>
      <c r="B1031" s="16" t="s">
        <v>27</v>
      </c>
      <c r="C1031" s="16" t="s">
        <v>121</v>
      </c>
      <c r="D1031" s="17" t="str">
        <f t="shared" si="36"/>
        <v>Removed</v>
      </c>
      <c r="E1031" s="18">
        <v>44630.0</v>
      </c>
      <c r="F1031" s="52">
        <v>45000.0</v>
      </c>
      <c r="G1031" s="20">
        <f t="shared" si="2"/>
        <v>12.16666667</v>
      </c>
      <c r="H1031" s="18">
        <v>44425.0</v>
      </c>
      <c r="I1031" s="20">
        <f t="shared" si="3"/>
        <v>0.5638888889</v>
      </c>
      <c r="J1031" s="53">
        <v>83.0</v>
      </c>
      <c r="K1031" s="53">
        <v>21.5</v>
      </c>
      <c r="L1031" s="23" t="s">
        <v>1209</v>
      </c>
      <c r="M1031" s="23"/>
      <c r="N1031" s="23"/>
      <c r="O1031" s="23" t="s">
        <v>34</v>
      </c>
      <c r="P1031" s="54" t="s">
        <v>1729</v>
      </c>
      <c r="Q1031" s="23"/>
      <c r="R1031" s="17"/>
      <c r="S1031" s="18"/>
      <c r="T1031" s="20"/>
    </row>
    <row r="1032">
      <c r="A1032" s="27" t="s">
        <v>1730</v>
      </c>
      <c r="B1032" s="28" t="s">
        <v>68</v>
      </c>
      <c r="C1032" s="28"/>
      <c r="D1032" s="29" t="str">
        <f t="shared" si="36"/>
        <v>Removed</v>
      </c>
      <c r="E1032" s="33">
        <v>44418.0</v>
      </c>
      <c r="F1032" s="31">
        <v>45000.0</v>
      </c>
      <c r="G1032" s="32">
        <f t="shared" si="2"/>
        <v>19.16666667</v>
      </c>
      <c r="H1032" s="33">
        <v>44022.0</v>
      </c>
      <c r="I1032" s="32">
        <f t="shared" si="3"/>
        <v>1.083333333</v>
      </c>
      <c r="J1032" s="34">
        <v>91.0</v>
      </c>
      <c r="K1032" s="34">
        <v>31.5</v>
      </c>
      <c r="L1032" s="44" t="s">
        <v>500</v>
      </c>
      <c r="M1032" s="35"/>
      <c r="N1032" s="35"/>
      <c r="O1032" s="35" t="s">
        <v>132</v>
      </c>
      <c r="P1032" s="36"/>
      <c r="Q1032" s="35"/>
      <c r="R1032" s="29"/>
      <c r="S1032" s="33"/>
      <c r="T1032" s="32"/>
    </row>
    <row r="1033">
      <c r="A1033" s="64" t="s">
        <v>1731</v>
      </c>
      <c r="B1033" s="16" t="s">
        <v>27</v>
      </c>
      <c r="C1033" s="16" t="s">
        <v>28</v>
      </c>
      <c r="D1033" s="17" t="str">
        <f t="shared" si="36"/>
        <v>Removed</v>
      </c>
      <c r="E1033" s="76">
        <v>43650.0</v>
      </c>
      <c r="F1033" s="52">
        <v>45000.0</v>
      </c>
      <c r="G1033" s="20">
        <f t="shared" si="2"/>
        <v>44.36666667</v>
      </c>
      <c r="H1033" s="18">
        <v>42262.0</v>
      </c>
      <c r="I1033" s="20">
        <f t="shared" si="3"/>
        <v>3.802777778</v>
      </c>
      <c r="J1033" s="65">
        <v>92.0</v>
      </c>
      <c r="K1033" s="53">
        <v>6.5</v>
      </c>
      <c r="L1033" s="23" t="s">
        <v>29</v>
      </c>
      <c r="M1033" s="23"/>
      <c r="N1033" s="23"/>
      <c r="O1033" s="23" t="s">
        <v>334</v>
      </c>
      <c r="P1033" s="54" t="s">
        <v>1732</v>
      </c>
      <c r="Q1033" s="23"/>
      <c r="R1033" s="17"/>
      <c r="S1033" s="18"/>
      <c r="T1033" s="20"/>
    </row>
    <row r="1034">
      <c r="A1034" s="27" t="s">
        <v>1733</v>
      </c>
      <c r="B1034" s="28" t="s">
        <v>1610</v>
      </c>
      <c r="C1034" s="29"/>
      <c r="D1034" s="29" t="s">
        <v>1611</v>
      </c>
      <c r="E1034" s="70">
        <v>44958.0</v>
      </c>
      <c r="F1034" s="30">
        <v>44985.0</v>
      </c>
      <c r="G1034" s="32">
        <f t="shared" si="2"/>
        <v>0.9</v>
      </c>
      <c r="H1034" s="33"/>
      <c r="I1034" s="32">
        <f t="shared" si="3"/>
        <v>-2.705555556</v>
      </c>
      <c r="J1034" s="34"/>
      <c r="K1034" s="34"/>
      <c r="L1034" s="35"/>
      <c r="M1034" s="35"/>
      <c r="N1034" s="35"/>
      <c r="O1034" s="35"/>
      <c r="P1034" s="36"/>
      <c r="Q1034" s="35"/>
      <c r="R1034" s="29"/>
      <c r="S1034" s="33"/>
      <c r="T1034" s="32"/>
    </row>
    <row r="1035">
      <c r="A1035" s="15" t="s">
        <v>1734</v>
      </c>
      <c r="B1035" s="16" t="s">
        <v>27</v>
      </c>
      <c r="C1035" s="16"/>
      <c r="D1035" s="17" t="str">
        <f t="shared" ref="D1035:D1040" si="37">IF(E1035&gt;TODAY(),"Coming Soon",IF(F1035="","Active",IF(F1035&gt;TODAY(),"Leaving Soon","Removed")))</f>
        <v>Removed</v>
      </c>
      <c r="E1035" s="18">
        <v>44623.0</v>
      </c>
      <c r="F1035" s="52">
        <v>44985.0</v>
      </c>
      <c r="G1035" s="20">
        <f t="shared" si="2"/>
        <v>11.83333333</v>
      </c>
      <c r="H1035" s="18">
        <v>41599.0</v>
      </c>
      <c r="I1035" s="20">
        <f t="shared" si="3"/>
        <v>8.283333333</v>
      </c>
      <c r="J1035" s="53">
        <f>average(66,69)</f>
        <v>67.5</v>
      </c>
      <c r="K1035" s="53">
        <v>33.5</v>
      </c>
      <c r="L1035" s="23" t="s">
        <v>122</v>
      </c>
      <c r="M1035" s="23"/>
      <c r="N1035" s="23"/>
      <c r="O1035" s="23" t="s">
        <v>125</v>
      </c>
      <c r="P1035" s="54" t="s">
        <v>998</v>
      </c>
      <c r="Q1035" s="23"/>
      <c r="R1035" s="17"/>
      <c r="S1035" s="18"/>
      <c r="T1035" s="20"/>
    </row>
    <row r="1036">
      <c r="A1036" s="27" t="s">
        <v>1735</v>
      </c>
      <c r="B1036" s="28" t="s">
        <v>27</v>
      </c>
      <c r="C1036" s="28" t="s">
        <v>121</v>
      </c>
      <c r="D1036" s="29" t="str">
        <f t="shared" si="37"/>
        <v>Removed</v>
      </c>
      <c r="E1036" s="33">
        <v>44621.0</v>
      </c>
      <c r="F1036" s="31">
        <v>44985.0</v>
      </c>
      <c r="G1036" s="32">
        <f t="shared" si="2"/>
        <v>11.9</v>
      </c>
      <c r="H1036" s="33">
        <v>44621.0</v>
      </c>
      <c r="I1036" s="32">
        <f t="shared" si="3"/>
        <v>0</v>
      </c>
      <c r="J1036" s="34">
        <f>average(73,80)</f>
        <v>76.5</v>
      </c>
      <c r="K1036" s="34">
        <v>5.0</v>
      </c>
      <c r="L1036" s="35" t="s">
        <v>562</v>
      </c>
      <c r="M1036" s="35"/>
      <c r="N1036" s="35"/>
      <c r="O1036" s="35" t="s">
        <v>132</v>
      </c>
      <c r="P1036" s="36"/>
      <c r="Q1036" s="35"/>
      <c r="R1036" s="29"/>
      <c r="S1036" s="33"/>
      <c r="T1036" s="32"/>
    </row>
    <row r="1037">
      <c r="A1037" s="15" t="s">
        <v>1736</v>
      </c>
      <c r="B1037" s="16" t="s">
        <v>27</v>
      </c>
      <c r="C1037" s="16" t="s">
        <v>28</v>
      </c>
      <c r="D1037" s="17" t="str">
        <f t="shared" si="37"/>
        <v>Removed</v>
      </c>
      <c r="E1037" s="18">
        <v>44490.0</v>
      </c>
      <c r="F1037" s="52">
        <v>44985.0</v>
      </c>
      <c r="G1037" s="20">
        <f t="shared" si="2"/>
        <v>16.23333333</v>
      </c>
      <c r="H1037" s="18">
        <v>43126.0</v>
      </c>
      <c r="I1037" s="20">
        <f t="shared" si="3"/>
        <v>3.736111111</v>
      </c>
      <c r="J1037" s="53">
        <f>(85+86)/2</f>
        <v>85.5</v>
      </c>
      <c r="K1037" s="53">
        <v>12.0</v>
      </c>
      <c r="L1037" s="23" t="s">
        <v>303</v>
      </c>
      <c r="M1037" s="23"/>
      <c r="N1037" s="23" t="s">
        <v>1737</v>
      </c>
      <c r="O1037" s="23" t="s">
        <v>125</v>
      </c>
      <c r="P1037" s="54" t="s">
        <v>1738</v>
      </c>
      <c r="Q1037" s="23"/>
      <c r="R1037" s="17"/>
      <c r="S1037" s="18"/>
      <c r="T1037" s="20"/>
    </row>
    <row r="1038">
      <c r="A1038" s="27" t="s">
        <v>1739</v>
      </c>
      <c r="B1038" s="28" t="s">
        <v>27</v>
      </c>
      <c r="C1038" s="28" t="s">
        <v>121</v>
      </c>
      <c r="D1038" s="29" t="str">
        <f t="shared" si="37"/>
        <v>Removed</v>
      </c>
      <c r="E1038" s="33">
        <v>44446.0</v>
      </c>
      <c r="F1038" s="31">
        <v>44985.0</v>
      </c>
      <c r="G1038" s="32">
        <f t="shared" si="2"/>
        <v>17.7</v>
      </c>
      <c r="H1038" s="33">
        <v>44120.0</v>
      </c>
      <c r="I1038" s="32">
        <f t="shared" si="3"/>
        <v>0.8916666667</v>
      </c>
      <c r="J1038" s="34">
        <v>83.0</v>
      </c>
      <c r="K1038" s="34">
        <v>17.0</v>
      </c>
      <c r="L1038" s="35" t="s">
        <v>1701</v>
      </c>
      <c r="M1038" s="35"/>
      <c r="N1038" s="35"/>
      <c r="O1038" s="35" t="s">
        <v>125</v>
      </c>
      <c r="P1038" s="36" t="s">
        <v>1740</v>
      </c>
      <c r="Q1038" s="35"/>
      <c r="R1038" s="29"/>
      <c r="S1038" s="33"/>
      <c r="T1038" s="32"/>
    </row>
    <row r="1039">
      <c r="A1039" s="15" t="s">
        <v>1741</v>
      </c>
      <c r="B1039" s="16" t="s">
        <v>27</v>
      </c>
      <c r="C1039" s="16"/>
      <c r="D1039" s="17" t="str">
        <f t="shared" si="37"/>
        <v>Removed</v>
      </c>
      <c r="E1039" s="18">
        <v>44257.0</v>
      </c>
      <c r="F1039" s="52">
        <v>44985.0</v>
      </c>
      <c r="G1039" s="20">
        <f t="shared" si="2"/>
        <v>23.86666667</v>
      </c>
      <c r="H1039" s="18">
        <v>44071.0</v>
      </c>
      <c r="I1039" s="20">
        <f t="shared" si="3"/>
        <v>0.5111111111</v>
      </c>
      <c r="J1039" s="53">
        <f>(63+69)/2</f>
        <v>66</v>
      </c>
      <c r="K1039" s="53">
        <v>21.5</v>
      </c>
      <c r="L1039" s="23" t="s">
        <v>494</v>
      </c>
      <c r="M1039" s="23" t="s">
        <v>123</v>
      </c>
      <c r="N1039" s="23"/>
      <c r="O1039" s="23" t="s">
        <v>132</v>
      </c>
      <c r="P1039" s="54" t="s">
        <v>495</v>
      </c>
      <c r="Q1039" s="23"/>
      <c r="R1039" s="17"/>
      <c r="S1039" s="18"/>
      <c r="T1039" s="20"/>
    </row>
    <row r="1040">
      <c r="A1040" s="67" t="s">
        <v>1742</v>
      </c>
      <c r="B1040" s="28" t="s">
        <v>27</v>
      </c>
      <c r="C1040" s="29"/>
      <c r="D1040" s="29" t="str">
        <f t="shared" si="37"/>
        <v>Removed</v>
      </c>
      <c r="E1040" s="70">
        <v>43524.0</v>
      </c>
      <c r="F1040" s="31">
        <v>44985.0</v>
      </c>
      <c r="G1040" s="32">
        <f t="shared" si="2"/>
        <v>48</v>
      </c>
      <c r="H1040" s="33">
        <v>41919.0</v>
      </c>
      <c r="I1040" s="32">
        <f t="shared" si="3"/>
        <v>4.391666667</v>
      </c>
      <c r="J1040" s="69">
        <v>78.0</v>
      </c>
      <c r="K1040" s="34">
        <v>18.5</v>
      </c>
      <c r="L1040" s="44" t="s">
        <v>37</v>
      </c>
      <c r="M1040" s="35" t="s">
        <v>451</v>
      </c>
      <c r="N1040" s="44"/>
      <c r="O1040" s="35" t="s">
        <v>34</v>
      </c>
      <c r="P1040" s="36" t="s">
        <v>446</v>
      </c>
      <c r="Q1040" s="35"/>
      <c r="R1040" s="29"/>
      <c r="S1040" s="33"/>
      <c r="T1040" s="32"/>
    </row>
    <row r="1041">
      <c r="A1041" s="15" t="s">
        <v>1743</v>
      </c>
      <c r="B1041" s="16" t="s">
        <v>1610</v>
      </c>
      <c r="C1041" s="17"/>
      <c r="D1041" s="17" t="s">
        <v>1611</v>
      </c>
      <c r="E1041" s="76">
        <v>44942.0</v>
      </c>
      <c r="F1041" s="62">
        <v>44972.0</v>
      </c>
      <c r="G1041" s="20">
        <f t="shared" si="2"/>
        <v>0.9666666667</v>
      </c>
      <c r="H1041" s="18"/>
      <c r="I1041" s="20">
        <f t="shared" si="3"/>
        <v>-2.747222222</v>
      </c>
      <c r="J1041" s="53"/>
      <c r="K1041" s="53"/>
      <c r="L1041" s="23"/>
      <c r="M1041" s="23" t="s">
        <v>1614</v>
      </c>
      <c r="N1041" s="23"/>
      <c r="O1041" s="23"/>
      <c r="P1041" s="54"/>
      <c r="Q1041" s="23"/>
      <c r="R1041" s="17"/>
      <c r="S1041" s="18"/>
      <c r="T1041" s="20"/>
    </row>
    <row r="1042">
      <c r="A1042" s="27" t="s">
        <v>1744</v>
      </c>
      <c r="B1042" s="28" t="s">
        <v>27</v>
      </c>
      <c r="C1042" s="28" t="s">
        <v>28</v>
      </c>
      <c r="D1042" s="29" t="str">
        <f t="shared" ref="D1042:D1046" si="38">IF(E1042&gt;TODAY(),"Coming Soon",IF(F1042="","Active",IF(F1042&gt;TODAY(),"Leaving Soon","Removed")))</f>
        <v>Removed</v>
      </c>
      <c r="E1042" s="33">
        <v>44604.0</v>
      </c>
      <c r="F1042" s="31">
        <v>44972.0</v>
      </c>
      <c r="G1042" s="32">
        <f t="shared" si="2"/>
        <v>12.1</v>
      </c>
      <c r="H1042" s="33">
        <v>44604.0</v>
      </c>
      <c r="I1042" s="32">
        <f t="shared" si="3"/>
        <v>0</v>
      </c>
      <c r="J1042" s="34">
        <f>average(84,85)</f>
        <v>84.5</v>
      </c>
      <c r="K1042" s="34">
        <v>7.0</v>
      </c>
      <c r="L1042" s="35" t="s">
        <v>37</v>
      </c>
      <c r="M1042" s="35"/>
      <c r="N1042" s="35"/>
      <c r="O1042" s="35" t="s">
        <v>34</v>
      </c>
      <c r="P1042" s="36" t="s">
        <v>1745</v>
      </c>
      <c r="Q1042" s="35"/>
      <c r="R1042" s="29"/>
      <c r="S1042" s="33"/>
      <c r="T1042" s="32"/>
    </row>
    <row r="1043">
      <c r="A1043" s="15" t="s">
        <v>1746</v>
      </c>
      <c r="B1043" s="16" t="s">
        <v>68</v>
      </c>
      <c r="C1043" s="16" t="s">
        <v>28</v>
      </c>
      <c r="D1043" s="17" t="str">
        <f t="shared" si="38"/>
        <v>Removed</v>
      </c>
      <c r="E1043" s="18">
        <v>44602.0</v>
      </c>
      <c r="F1043" s="52">
        <v>44972.0</v>
      </c>
      <c r="G1043" s="20">
        <f t="shared" si="2"/>
        <v>12.16666667</v>
      </c>
      <c r="H1043" s="18">
        <v>44602.0</v>
      </c>
      <c r="I1043" s="20">
        <f t="shared" si="3"/>
        <v>0</v>
      </c>
      <c r="J1043" s="53">
        <v>43.0</v>
      </c>
      <c r="K1043" s="53">
        <v>3.0</v>
      </c>
      <c r="L1043" s="23" t="s">
        <v>32</v>
      </c>
      <c r="M1043" s="23"/>
      <c r="N1043" s="23" t="s">
        <v>1747</v>
      </c>
      <c r="O1043" s="23" t="s">
        <v>34</v>
      </c>
      <c r="P1043" s="54" t="s">
        <v>628</v>
      </c>
      <c r="Q1043" s="23"/>
      <c r="R1043" s="17"/>
      <c r="S1043" s="18"/>
      <c r="T1043" s="20"/>
    </row>
    <row r="1044">
      <c r="A1044" s="27" t="s">
        <v>1748</v>
      </c>
      <c r="B1044" s="28" t="s">
        <v>27</v>
      </c>
      <c r="C1044" s="28" t="s">
        <v>28</v>
      </c>
      <c r="D1044" s="29" t="str">
        <f t="shared" si="38"/>
        <v>Removed</v>
      </c>
      <c r="E1044" s="33">
        <v>44602.0</v>
      </c>
      <c r="F1044" s="31">
        <v>44972.0</v>
      </c>
      <c r="G1044" s="32">
        <f t="shared" si="2"/>
        <v>12.16666667</v>
      </c>
      <c r="H1044" s="33">
        <v>43880.0</v>
      </c>
      <c r="I1044" s="32">
        <f t="shared" si="3"/>
        <v>1.975</v>
      </c>
      <c r="J1044" s="34">
        <v>80.0</v>
      </c>
      <c r="K1044" s="34">
        <v>21.5</v>
      </c>
      <c r="L1044" s="35" t="s">
        <v>44</v>
      </c>
      <c r="M1044" s="35"/>
      <c r="N1044" s="35"/>
      <c r="O1044" s="35" t="s">
        <v>125</v>
      </c>
      <c r="P1044" s="36" t="s">
        <v>551</v>
      </c>
      <c r="Q1044" s="35"/>
      <c r="R1044" s="29"/>
      <c r="S1044" s="33"/>
      <c r="T1044" s="32"/>
    </row>
    <row r="1045">
      <c r="A1045" s="15" t="s">
        <v>1749</v>
      </c>
      <c r="B1045" s="16" t="s">
        <v>27</v>
      </c>
      <c r="C1045" s="16" t="s">
        <v>121</v>
      </c>
      <c r="D1045" s="17" t="str">
        <f t="shared" si="38"/>
        <v>Removed</v>
      </c>
      <c r="E1045" s="18">
        <v>44602.0</v>
      </c>
      <c r="F1045" s="52">
        <v>44972.0</v>
      </c>
      <c r="G1045" s="20">
        <f t="shared" si="2"/>
        <v>12.16666667</v>
      </c>
      <c r="H1045" s="18">
        <v>44351.0</v>
      </c>
      <c r="I1045" s="20">
        <f t="shared" si="3"/>
        <v>0.6833333333</v>
      </c>
      <c r="J1045" s="53">
        <f>average(70,55,55)</f>
        <v>60</v>
      </c>
      <c r="K1045" s="53">
        <v>6.0</v>
      </c>
      <c r="L1045" s="23" t="s">
        <v>122</v>
      </c>
      <c r="M1045" s="23"/>
      <c r="N1045" s="23"/>
      <c r="O1045" s="23" t="s">
        <v>334</v>
      </c>
      <c r="P1045" s="54" t="s">
        <v>483</v>
      </c>
      <c r="Q1045" s="23"/>
      <c r="R1045" s="17"/>
      <c r="S1045" s="18"/>
      <c r="T1045" s="20"/>
    </row>
    <row r="1046">
      <c r="A1046" s="27" t="s">
        <v>1750</v>
      </c>
      <c r="B1046" s="28" t="s">
        <v>27</v>
      </c>
      <c r="C1046" s="28" t="s">
        <v>28</v>
      </c>
      <c r="D1046" s="29" t="str">
        <f t="shared" si="38"/>
        <v>Removed</v>
      </c>
      <c r="E1046" s="33">
        <v>44427.0</v>
      </c>
      <c r="F1046" s="31">
        <v>44972.0</v>
      </c>
      <c r="G1046" s="32">
        <f t="shared" si="2"/>
        <v>17.86666667</v>
      </c>
      <c r="H1046" s="33">
        <v>44427.0</v>
      </c>
      <c r="I1046" s="32">
        <f t="shared" si="3"/>
        <v>0</v>
      </c>
      <c r="J1046" s="34">
        <f>(58+69)/2</f>
        <v>63.5</v>
      </c>
      <c r="K1046" s="34">
        <v>4.5</v>
      </c>
      <c r="L1046" s="35" t="s">
        <v>37</v>
      </c>
      <c r="M1046" s="35" t="s">
        <v>984</v>
      </c>
      <c r="N1046" s="35"/>
      <c r="O1046" s="35" t="s">
        <v>125</v>
      </c>
      <c r="P1046" s="36" t="s">
        <v>475</v>
      </c>
      <c r="Q1046" s="35"/>
      <c r="R1046" s="29"/>
      <c r="S1046" s="33"/>
      <c r="T1046" s="32"/>
    </row>
    <row r="1047">
      <c r="A1047" s="15" t="s">
        <v>1751</v>
      </c>
      <c r="B1047" s="16" t="s">
        <v>1610</v>
      </c>
      <c r="C1047" s="17"/>
      <c r="D1047" s="17" t="s">
        <v>1611</v>
      </c>
      <c r="E1047" s="76">
        <v>44927.0</v>
      </c>
      <c r="F1047" s="62">
        <v>44957.0</v>
      </c>
      <c r="G1047" s="20">
        <f t="shared" si="2"/>
        <v>0.9666666667</v>
      </c>
      <c r="H1047" s="18"/>
      <c r="I1047" s="20">
        <f t="shared" si="3"/>
        <v>-2.788888889</v>
      </c>
      <c r="J1047" s="53"/>
      <c r="K1047" s="53"/>
      <c r="L1047" s="23"/>
      <c r="M1047" s="23"/>
      <c r="N1047" s="23"/>
      <c r="O1047" s="23"/>
      <c r="P1047" s="54"/>
      <c r="Q1047" s="23"/>
      <c r="R1047" s="17"/>
      <c r="S1047" s="18"/>
      <c r="T1047" s="20"/>
    </row>
    <row r="1048">
      <c r="A1048" s="27" t="s">
        <v>1752</v>
      </c>
      <c r="B1048" s="28" t="s">
        <v>27</v>
      </c>
      <c r="C1048" s="28" t="s">
        <v>121</v>
      </c>
      <c r="D1048" s="29" t="str">
        <f t="shared" ref="D1048:D1050" si="39">IF(E1048&gt;TODAY(),"Coming Soon",IF(F1048="","Active",IF(F1048&gt;TODAY(),"Leaving Soon","Removed")))</f>
        <v>Removed</v>
      </c>
      <c r="E1048" s="33">
        <v>44595.0</v>
      </c>
      <c r="F1048" s="31">
        <v>44957.0</v>
      </c>
      <c r="G1048" s="32">
        <f t="shared" si="2"/>
        <v>11.9</v>
      </c>
      <c r="H1048" s="33">
        <v>43700.0</v>
      </c>
      <c r="I1048" s="32">
        <f t="shared" si="3"/>
        <v>2.444444444</v>
      </c>
      <c r="J1048" s="34">
        <f>average(80,84)</f>
        <v>82</v>
      </c>
      <c r="K1048" s="34">
        <v>4.0</v>
      </c>
      <c r="L1048" s="35" t="s">
        <v>362</v>
      </c>
      <c r="M1048" s="35"/>
      <c r="N1048" s="35"/>
      <c r="O1048" s="35" t="s">
        <v>34</v>
      </c>
      <c r="P1048" s="36" t="s">
        <v>1753</v>
      </c>
      <c r="Q1048" s="35"/>
      <c r="R1048" s="29"/>
      <c r="S1048" s="33"/>
      <c r="T1048" s="32"/>
    </row>
    <row r="1049">
      <c r="A1049" s="15" t="s">
        <v>1754</v>
      </c>
      <c r="B1049" s="16" t="s">
        <v>27</v>
      </c>
      <c r="C1049" s="16"/>
      <c r="D1049" s="17" t="str">
        <f t="shared" si="39"/>
        <v>Removed</v>
      </c>
      <c r="E1049" s="18">
        <v>44588.0</v>
      </c>
      <c r="F1049" s="52">
        <v>44957.0</v>
      </c>
      <c r="G1049" s="20">
        <f t="shared" si="2"/>
        <v>12.1</v>
      </c>
      <c r="H1049" s="18">
        <v>44581.0</v>
      </c>
      <c r="I1049" s="20">
        <f t="shared" si="3"/>
        <v>0.01944444444</v>
      </c>
      <c r="J1049" s="53">
        <v>80.0</v>
      </c>
      <c r="K1049" s="53">
        <v>2.5</v>
      </c>
      <c r="L1049" s="23" t="s">
        <v>1648</v>
      </c>
      <c r="M1049" s="23"/>
      <c r="N1049" s="23"/>
      <c r="O1049" s="23" t="s">
        <v>125</v>
      </c>
      <c r="P1049" s="54" t="s">
        <v>1755</v>
      </c>
      <c r="Q1049" s="23"/>
      <c r="R1049" s="17"/>
      <c r="S1049" s="18"/>
      <c r="T1049" s="20"/>
    </row>
    <row r="1050">
      <c r="A1050" s="27" t="s">
        <v>1756</v>
      </c>
      <c r="B1050" s="28" t="s">
        <v>27</v>
      </c>
      <c r="C1050" s="28" t="s">
        <v>28</v>
      </c>
      <c r="D1050" s="29" t="str">
        <f t="shared" si="39"/>
        <v>Removed</v>
      </c>
      <c r="E1050" s="70">
        <v>43669.0</v>
      </c>
      <c r="F1050" s="31">
        <v>44957.0</v>
      </c>
      <c r="G1050" s="32">
        <f t="shared" si="2"/>
        <v>42.23333333</v>
      </c>
      <c r="H1050" s="33">
        <v>42605.0</v>
      </c>
      <c r="I1050" s="32">
        <f t="shared" si="3"/>
        <v>2.916666667</v>
      </c>
      <c r="J1050" s="69">
        <v>75.0</v>
      </c>
      <c r="K1050" s="34">
        <v>13.0</v>
      </c>
      <c r="L1050" s="44" t="s">
        <v>366</v>
      </c>
      <c r="M1050" s="44"/>
      <c r="N1050" s="35" t="s">
        <v>1081</v>
      </c>
      <c r="O1050" s="35" t="s">
        <v>334</v>
      </c>
      <c r="P1050" s="36" t="s">
        <v>1757</v>
      </c>
      <c r="Q1050" s="44"/>
      <c r="R1050" s="29"/>
      <c r="S1050" s="33"/>
      <c r="T1050" s="32"/>
    </row>
    <row r="1051">
      <c r="A1051" s="15" t="s">
        <v>1758</v>
      </c>
      <c r="B1051" s="16" t="s">
        <v>1610</v>
      </c>
      <c r="C1051" s="17"/>
      <c r="D1051" s="17" t="s">
        <v>1611</v>
      </c>
      <c r="E1051" s="76">
        <v>44911.0</v>
      </c>
      <c r="F1051" s="62">
        <v>44941.0</v>
      </c>
      <c r="G1051" s="20">
        <f t="shared" si="2"/>
        <v>0.9666666667</v>
      </c>
      <c r="H1051" s="18"/>
      <c r="I1051" s="20">
        <f t="shared" si="3"/>
        <v>-2.830555556</v>
      </c>
      <c r="J1051" s="53"/>
      <c r="K1051" s="53"/>
      <c r="L1051" s="23"/>
      <c r="M1051" s="23"/>
      <c r="N1051" s="23"/>
      <c r="O1051" s="23"/>
      <c r="P1051" s="54"/>
      <c r="Q1051" s="23"/>
      <c r="R1051" s="17"/>
      <c r="S1051" s="18"/>
      <c r="T1051" s="20"/>
    </row>
    <row r="1052">
      <c r="A1052" s="27" t="s">
        <v>1759</v>
      </c>
      <c r="B1052" s="28" t="s">
        <v>27</v>
      </c>
      <c r="C1052" s="28" t="s">
        <v>121</v>
      </c>
      <c r="D1052" s="29" t="str">
        <f t="shared" ref="D1052:D1056" si="40">IF(E1052&gt;TODAY(),"Coming Soon",IF(F1052="","Active",IF(F1052&gt;TODAY(),"Leaving Soon","Removed")))</f>
        <v>Removed</v>
      </c>
      <c r="E1052" s="33">
        <v>44581.0</v>
      </c>
      <c r="F1052" s="31">
        <v>44941.0</v>
      </c>
      <c r="G1052" s="32">
        <f t="shared" si="2"/>
        <v>11.83333333</v>
      </c>
      <c r="H1052" s="33">
        <v>44581.0</v>
      </c>
      <c r="I1052" s="32">
        <f t="shared" si="3"/>
        <v>0</v>
      </c>
      <c r="J1052" s="34">
        <f>average(66,70)</f>
        <v>68</v>
      </c>
      <c r="K1052" s="34">
        <v>1.5</v>
      </c>
      <c r="L1052" s="35" t="s">
        <v>362</v>
      </c>
      <c r="M1052" s="35"/>
      <c r="N1052" s="35"/>
      <c r="O1052" s="35" t="s">
        <v>132</v>
      </c>
      <c r="P1052" s="36" t="s">
        <v>491</v>
      </c>
      <c r="Q1052" s="35"/>
      <c r="R1052" s="29"/>
      <c r="S1052" s="33"/>
      <c r="T1052" s="32"/>
    </row>
    <row r="1053">
      <c r="A1053" s="15" t="s">
        <v>1760</v>
      </c>
      <c r="B1053" s="16" t="s">
        <v>27</v>
      </c>
      <c r="C1053" s="16" t="s">
        <v>121</v>
      </c>
      <c r="D1053" s="17" t="str">
        <f t="shared" si="40"/>
        <v>Removed</v>
      </c>
      <c r="E1053" s="18">
        <v>44581.0</v>
      </c>
      <c r="F1053" s="52">
        <v>44941.0</v>
      </c>
      <c r="G1053" s="20">
        <f t="shared" si="2"/>
        <v>11.83333333</v>
      </c>
      <c r="H1053" s="18">
        <v>44581.0</v>
      </c>
      <c r="I1053" s="20">
        <f t="shared" si="3"/>
        <v>0</v>
      </c>
      <c r="J1053" s="53">
        <f>(72+75)/2</f>
        <v>73.5</v>
      </c>
      <c r="K1053" s="53">
        <v>1.0</v>
      </c>
      <c r="L1053" s="23" t="s">
        <v>1761</v>
      </c>
      <c r="M1053" s="23"/>
      <c r="N1053" s="23"/>
      <c r="O1053" s="23" t="s">
        <v>132</v>
      </c>
      <c r="P1053" s="54"/>
      <c r="Q1053" s="23"/>
      <c r="R1053" s="17"/>
      <c r="S1053" s="18"/>
      <c r="T1053" s="20"/>
    </row>
    <row r="1054">
      <c r="A1054" s="27" t="s">
        <v>1762</v>
      </c>
      <c r="B1054" s="28" t="s">
        <v>27</v>
      </c>
      <c r="C1054" s="28" t="s">
        <v>121</v>
      </c>
      <c r="D1054" s="29" t="str">
        <f t="shared" si="40"/>
        <v>Removed</v>
      </c>
      <c r="E1054" s="33">
        <v>44579.0</v>
      </c>
      <c r="F1054" s="31">
        <v>44941.0</v>
      </c>
      <c r="G1054" s="32">
        <f t="shared" si="2"/>
        <v>11.9</v>
      </c>
      <c r="H1054" s="33">
        <v>40507.0</v>
      </c>
      <c r="I1054" s="32">
        <f t="shared" si="3"/>
        <v>11.14722222</v>
      </c>
      <c r="J1054" s="34">
        <v>82.0</v>
      </c>
      <c r="K1054" s="34">
        <v>25.0</v>
      </c>
      <c r="L1054" s="35" t="s">
        <v>1594</v>
      </c>
      <c r="M1054" s="35"/>
      <c r="N1054" s="35"/>
      <c r="O1054" s="35" t="s">
        <v>34</v>
      </c>
      <c r="P1054" s="36" t="s">
        <v>1763</v>
      </c>
      <c r="Q1054" s="35"/>
      <c r="R1054" s="29"/>
      <c r="S1054" s="33"/>
      <c r="T1054" s="32"/>
    </row>
    <row r="1055">
      <c r="A1055" s="15" t="s">
        <v>1764</v>
      </c>
      <c r="B1055" s="16" t="s">
        <v>27</v>
      </c>
      <c r="C1055" s="16" t="s">
        <v>28</v>
      </c>
      <c r="D1055" s="17" t="str">
        <f t="shared" si="40"/>
        <v>Removed</v>
      </c>
      <c r="E1055" s="18">
        <v>44579.0</v>
      </c>
      <c r="F1055" s="52">
        <v>44941.0</v>
      </c>
      <c r="G1055" s="20">
        <f t="shared" si="2"/>
        <v>11.9</v>
      </c>
      <c r="H1055" s="18">
        <v>44579.0</v>
      </c>
      <c r="I1055" s="20">
        <f t="shared" si="3"/>
        <v>0</v>
      </c>
      <c r="J1055" s="53">
        <f>average(78,79)</f>
        <v>78.5</v>
      </c>
      <c r="K1055" s="53">
        <v>13.5</v>
      </c>
      <c r="L1055" s="23" t="s">
        <v>122</v>
      </c>
      <c r="M1055" s="23"/>
      <c r="N1055" s="23"/>
      <c r="O1055" s="23" t="s">
        <v>125</v>
      </c>
      <c r="P1055" s="54" t="s">
        <v>1765</v>
      </c>
      <c r="Q1055" s="23"/>
      <c r="R1055" s="17"/>
      <c r="S1055" s="18"/>
      <c r="T1055" s="20"/>
    </row>
    <row r="1056">
      <c r="A1056" s="27" t="s">
        <v>1766</v>
      </c>
      <c r="B1056" s="28" t="s">
        <v>27</v>
      </c>
      <c r="C1056" s="28" t="s">
        <v>28</v>
      </c>
      <c r="D1056" s="29" t="str">
        <f t="shared" si="40"/>
        <v>Removed</v>
      </c>
      <c r="E1056" s="33">
        <v>44574.0</v>
      </c>
      <c r="F1056" s="31">
        <v>44941.0</v>
      </c>
      <c r="G1056" s="32">
        <f t="shared" si="2"/>
        <v>12.06666667</v>
      </c>
      <c r="H1056" s="33">
        <v>44574.0</v>
      </c>
      <c r="I1056" s="32">
        <f t="shared" si="3"/>
        <v>0</v>
      </c>
      <c r="J1056" s="34">
        <v>55.0</v>
      </c>
      <c r="K1056" s="34">
        <v>5.5</v>
      </c>
      <c r="L1056" s="35" t="s">
        <v>32</v>
      </c>
      <c r="M1056" s="35"/>
      <c r="N1056" s="35"/>
      <c r="O1056" s="35" t="s">
        <v>125</v>
      </c>
      <c r="P1056" s="36" t="s">
        <v>1493</v>
      </c>
      <c r="Q1056" s="35"/>
      <c r="R1056" s="29"/>
      <c r="S1056" s="33"/>
      <c r="T1056" s="32"/>
    </row>
    <row r="1057">
      <c r="A1057" s="15" t="s">
        <v>1767</v>
      </c>
      <c r="B1057" s="16" t="s">
        <v>1610</v>
      </c>
      <c r="C1057" s="17"/>
      <c r="D1057" s="17" t="s">
        <v>1611</v>
      </c>
      <c r="E1057" s="76">
        <v>44896.0</v>
      </c>
      <c r="F1057" s="62">
        <v>44926.0</v>
      </c>
      <c r="G1057" s="20">
        <f t="shared" si="2"/>
        <v>0.9666666667</v>
      </c>
      <c r="H1057" s="18"/>
      <c r="I1057" s="20">
        <f t="shared" si="3"/>
        <v>-2.872222222</v>
      </c>
      <c r="J1057" s="53"/>
      <c r="K1057" s="53"/>
      <c r="L1057" s="23"/>
      <c r="M1057" s="23"/>
      <c r="N1057" s="23"/>
      <c r="O1057" s="23"/>
      <c r="P1057" s="54"/>
      <c r="Q1057" s="23"/>
      <c r="R1057" s="17"/>
      <c r="S1057" s="18"/>
      <c r="T1057" s="20"/>
    </row>
    <row r="1058">
      <c r="A1058" s="27" t="s">
        <v>1768</v>
      </c>
      <c r="B1058" s="28" t="s">
        <v>27</v>
      </c>
      <c r="C1058" s="28" t="s">
        <v>28</v>
      </c>
      <c r="D1058" s="29" t="str">
        <f t="shared" ref="D1058:D1066" si="41">IF(E1058&gt;TODAY(),"Coming Soon",IF(F1058="","Active",IF(F1058&gt;TODAY(),"Leaving Soon","Removed")))</f>
        <v>Removed</v>
      </c>
      <c r="E1058" s="33">
        <v>44567.0</v>
      </c>
      <c r="F1058" s="31">
        <v>44926.0</v>
      </c>
      <c r="G1058" s="32">
        <f t="shared" si="2"/>
        <v>11.8</v>
      </c>
      <c r="H1058" s="33">
        <v>43972.0</v>
      </c>
      <c r="I1058" s="32">
        <f t="shared" si="3"/>
        <v>1.625</v>
      </c>
      <c r="J1058" s="34">
        <v>72.0</v>
      </c>
      <c r="K1058" s="34">
        <v>7.5</v>
      </c>
      <c r="L1058" s="35" t="s">
        <v>366</v>
      </c>
      <c r="M1058" s="35"/>
      <c r="N1058" s="35"/>
      <c r="O1058" s="35" t="s">
        <v>334</v>
      </c>
      <c r="P1058" s="36" t="s">
        <v>1769</v>
      </c>
      <c r="Q1058" s="35"/>
      <c r="R1058" s="29"/>
      <c r="S1058" s="33"/>
      <c r="T1058" s="32"/>
    </row>
    <row r="1059">
      <c r="A1059" s="64" t="s">
        <v>1770</v>
      </c>
      <c r="B1059" s="16" t="s">
        <v>27</v>
      </c>
      <c r="C1059" s="16" t="s">
        <v>28</v>
      </c>
      <c r="D1059" s="17" t="str">
        <f t="shared" si="41"/>
        <v>Removed</v>
      </c>
      <c r="E1059" s="62">
        <v>44567.0</v>
      </c>
      <c r="F1059" s="52">
        <v>44926.0</v>
      </c>
      <c r="G1059" s="20">
        <f t="shared" si="2"/>
        <v>11.8</v>
      </c>
      <c r="H1059" s="18">
        <v>43614.0</v>
      </c>
      <c r="I1059" s="20">
        <f t="shared" si="3"/>
        <v>2.602777778</v>
      </c>
      <c r="J1059" s="65">
        <v>85.0</v>
      </c>
      <c r="K1059" s="53">
        <v>15.0</v>
      </c>
      <c r="L1059" s="43" t="s">
        <v>362</v>
      </c>
      <c r="M1059" s="43"/>
      <c r="N1059" s="23" t="s">
        <v>1771</v>
      </c>
      <c r="O1059" s="23" t="s">
        <v>334</v>
      </c>
      <c r="P1059" s="54" t="s">
        <v>1772</v>
      </c>
      <c r="Q1059" s="23"/>
      <c r="R1059" s="17"/>
      <c r="S1059" s="18"/>
      <c r="T1059" s="20"/>
    </row>
    <row r="1060">
      <c r="A1060" s="27" t="s">
        <v>1773</v>
      </c>
      <c r="B1060" s="28" t="s">
        <v>27</v>
      </c>
      <c r="C1060" s="28" t="s">
        <v>28</v>
      </c>
      <c r="D1060" s="29" t="str">
        <f t="shared" si="41"/>
        <v>Removed</v>
      </c>
      <c r="E1060" s="33">
        <v>44565.0</v>
      </c>
      <c r="F1060" s="31">
        <v>44926.0</v>
      </c>
      <c r="G1060" s="32">
        <f t="shared" si="2"/>
        <v>11.86666667</v>
      </c>
      <c r="H1060" s="33">
        <v>43083.0</v>
      </c>
      <c r="I1060" s="32">
        <f t="shared" si="3"/>
        <v>4.055555556</v>
      </c>
      <c r="J1060" s="34">
        <f>(80+84)/2</f>
        <v>82</v>
      </c>
      <c r="K1060" s="34">
        <v>2.0</v>
      </c>
      <c r="L1060" s="35" t="s">
        <v>562</v>
      </c>
      <c r="M1060" s="35"/>
      <c r="N1060" s="35"/>
      <c r="O1060" s="35" t="s">
        <v>132</v>
      </c>
      <c r="P1060" s="36"/>
      <c r="Q1060" s="35"/>
      <c r="R1060" s="29"/>
      <c r="S1060" s="33"/>
      <c r="T1060" s="32"/>
    </row>
    <row r="1061">
      <c r="A1061" s="15" t="s">
        <v>1774</v>
      </c>
      <c r="B1061" s="16" t="s">
        <v>27</v>
      </c>
      <c r="C1061" s="16" t="s">
        <v>121</v>
      </c>
      <c r="D1061" s="17" t="str">
        <f t="shared" si="41"/>
        <v>Removed</v>
      </c>
      <c r="E1061" s="18">
        <v>44565.0</v>
      </c>
      <c r="F1061" s="52">
        <v>44926.0</v>
      </c>
      <c r="G1061" s="20">
        <f t="shared" si="2"/>
        <v>11.86666667</v>
      </c>
      <c r="H1061" s="18">
        <v>43859.0</v>
      </c>
      <c r="I1061" s="20">
        <f t="shared" si="3"/>
        <v>1.930555556</v>
      </c>
      <c r="J1061" s="53">
        <v>81.0</v>
      </c>
      <c r="K1061" s="53">
        <v>4.0</v>
      </c>
      <c r="L1061" s="23" t="s">
        <v>549</v>
      </c>
      <c r="M1061" s="23"/>
      <c r="N1061" s="23"/>
      <c r="O1061" s="23" t="s">
        <v>334</v>
      </c>
      <c r="P1061" s="54" t="s">
        <v>586</v>
      </c>
      <c r="Q1061" s="23"/>
      <c r="R1061" s="17"/>
      <c r="S1061" s="18"/>
      <c r="T1061" s="20"/>
    </row>
    <row r="1062">
      <c r="A1062" s="27" t="s">
        <v>1775</v>
      </c>
      <c r="B1062" s="28" t="s">
        <v>27</v>
      </c>
      <c r="C1062" s="28" t="s">
        <v>28</v>
      </c>
      <c r="D1062" s="29" t="str">
        <f t="shared" si="41"/>
        <v>Removed</v>
      </c>
      <c r="E1062" s="33">
        <v>44469.0</v>
      </c>
      <c r="F1062" s="31">
        <v>44926.0</v>
      </c>
      <c r="G1062" s="32">
        <f t="shared" si="2"/>
        <v>15</v>
      </c>
      <c r="H1062" s="33">
        <v>44372.0</v>
      </c>
      <c r="I1062" s="32">
        <f t="shared" si="3"/>
        <v>0.2638888889</v>
      </c>
      <c r="J1062" s="34">
        <f>(77+79)/2</f>
        <v>78</v>
      </c>
      <c r="K1062" s="34">
        <v>25.0</v>
      </c>
      <c r="L1062" s="35" t="s">
        <v>122</v>
      </c>
      <c r="M1062" s="35"/>
      <c r="N1062" s="35"/>
      <c r="O1062" s="35" t="s">
        <v>125</v>
      </c>
      <c r="P1062" s="36" t="s">
        <v>1776</v>
      </c>
      <c r="Q1062" s="35"/>
      <c r="R1062" s="29"/>
      <c r="S1062" s="33"/>
      <c r="T1062" s="32"/>
    </row>
    <row r="1063">
      <c r="A1063" s="15" t="s">
        <v>1777</v>
      </c>
      <c r="B1063" s="16" t="s">
        <v>27</v>
      </c>
      <c r="C1063" s="16" t="s">
        <v>28</v>
      </c>
      <c r="D1063" s="17" t="str">
        <f t="shared" si="41"/>
        <v>Removed</v>
      </c>
      <c r="E1063" s="18">
        <v>44378.0</v>
      </c>
      <c r="F1063" s="52">
        <v>44926.0</v>
      </c>
      <c r="G1063" s="20">
        <f t="shared" si="2"/>
        <v>17.96666667</v>
      </c>
      <c r="H1063" s="18">
        <v>43749.0</v>
      </c>
      <c r="I1063" s="20">
        <f t="shared" si="3"/>
        <v>1.722222222</v>
      </c>
      <c r="J1063" s="53">
        <f>(67+70)/2</f>
        <v>68.5</v>
      </c>
      <c r="K1063" s="53">
        <v>20.5</v>
      </c>
      <c r="L1063" s="23" t="s">
        <v>1057</v>
      </c>
      <c r="M1063" s="23"/>
      <c r="N1063" s="23"/>
      <c r="O1063" s="23" t="s">
        <v>34</v>
      </c>
      <c r="P1063" s="54" t="s">
        <v>551</v>
      </c>
      <c r="Q1063" s="23"/>
      <c r="R1063" s="17"/>
      <c r="S1063" s="18"/>
      <c r="T1063" s="20"/>
    </row>
    <row r="1064">
      <c r="A1064" s="27" t="s">
        <v>1778</v>
      </c>
      <c r="B1064" s="28" t="s">
        <v>40</v>
      </c>
      <c r="C1064" s="28"/>
      <c r="D1064" s="29" t="str">
        <f t="shared" si="41"/>
        <v>Removed</v>
      </c>
      <c r="E1064" s="33">
        <v>44371.0</v>
      </c>
      <c r="F1064" s="31">
        <v>44926.0</v>
      </c>
      <c r="G1064" s="32">
        <f t="shared" si="2"/>
        <v>18.2</v>
      </c>
      <c r="H1064" s="33">
        <v>44075.0</v>
      </c>
      <c r="I1064" s="32">
        <f t="shared" si="3"/>
        <v>0.8138888889</v>
      </c>
      <c r="J1064" s="34">
        <v>75.0</v>
      </c>
      <c r="K1064" s="34">
        <v>23.0</v>
      </c>
      <c r="L1064" s="35" t="s">
        <v>726</v>
      </c>
      <c r="M1064" s="35"/>
      <c r="N1064" s="35"/>
      <c r="O1064" s="35" t="s">
        <v>34</v>
      </c>
      <c r="P1064" s="36" t="s">
        <v>779</v>
      </c>
      <c r="Q1064" s="35"/>
      <c r="R1064" s="28"/>
      <c r="S1064" s="33"/>
      <c r="T1064" s="32"/>
    </row>
    <row r="1065">
      <c r="A1065" s="15" t="s">
        <v>1779</v>
      </c>
      <c r="B1065" s="16" t="s">
        <v>27</v>
      </c>
      <c r="C1065" s="16" t="s">
        <v>121</v>
      </c>
      <c r="D1065" s="17" t="str">
        <f t="shared" si="41"/>
        <v>Removed</v>
      </c>
      <c r="E1065" s="18">
        <v>44273.0</v>
      </c>
      <c r="F1065" s="52">
        <v>44926.0</v>
      </c>
      <c r="G1065" s="20">
        <f t="shared" si="2"/>
        <v>21.4</v>
      </c>
      <c r="H1065" s="18">
        <v>43553.0</v>
      </c>
      <c r="I1065" s="20">
        <f t="shared" si="3"/>
        <v>1.969444444</v>
      </c>
      <c r="J1065" s="53">
        <v>78.0</v>
      </c>
      <c r="K1065" s="53">
        <v>27.0</v>
      </c>
      <c r="L1065" s="23" t="s">
        <v>522</v>
      </c>
      <c r="M1065" s="23"/>
      <c r="N1065" s="23" t="s">
        <v>1780</v>
      </c>
      <c r="O1065" s="23" t="s">
        <v>125</v>
      </c>
      <c r="P1065" s="54" t="s">
        <v>1781</v>
      </c>
      <c r="Q1065" s="23"/>
      <c r="R1065" s="17"/>
      <c r="S1065" s="18"/>
      <c r="T1065" s="20"/>
    </row>
    <row r="1066">
      <c r="A1066" s="67" t="s">
        <v>1782</v>
      </c>
      <c r="B1066" s="28" t="s">
        <v>27</v>
      </c>
      <c r="C1066" s="28" t="s">
        <v>28</v>
      </c>
      <c r="D1066" s="29" t="str">
        <f t="shared" si="41"/>
        <v>Removed</v>
      </c>
      <c r="E1066" s="70">
        <v>43761.0</v>
      </c>
      <c r="F1066" s="31">
        <v>44926.0</v>
      </c>
      <c r="G1066" s="32">
        <f t="shared" si="2"/>
        <v>38.23333333</v>
      </c>
      <c r="H1066" s="33">
        <v>43761.0</v>
      </c>
      <c r="I1066" s="32">
        <f t="shared" si="3"/>
        <v>0</v>
      </c>
      <c r="J1066" s="69">
        <v>70.0</v>
      </c>
      <c r="K1066" s="34">
        <v>3.0</v>
      </c>
      <c r="L1066" s="44" t="s">
        <v>366</v>
      </c>
      <c r="M1066" s="44"/>
      <c r="N1066" s="44"/>
      <c r="O1066" s="35" t="s">
        <v>125</v>
      </c>
      <c r="P1066" s="36" t="s">
        <v>465</v>
      </c>
      <c r="Q1066" s="35"/>
      <c r="R1066" s="29"/>
      <c r="S1066" s="33"/>
      <c r="T1066" s="32"/>
    </row>
    <row r="1067">
      <c r="A1067" s="15" t="s">
        <v>1783</v>
      </c>
      <c r="B1067" s="16" t="s">
        <v>1610</v>
      </c>
      <c r="C1067" s="17"/>
      <c r="D1067" s="17" t="s">
        <v>1611</v>
      </c>
      <c r="E1067" s="76">
        <v>44881.0</v>
      </c>
      <c r="F1067" s="62">
        <v>44910.0</v>
      </c>
      <c r="G1067" s="20">
        <f t="shared" si="2"/>
        <v>0.9666666667</v>
      </c>
      <c r="H1067" s="18"/>
      <c r="I1067" s="20">
        <f t="shared" si="3"/>
        <v>-2.913888889</v>
      </c>
      <c r="J1067" s="53"/>
      <c r="K1067" s="53"/>
      <c r="L1067" s="23"/>
      <c r="M1067" s="23"/>
      <c r="N1067" s="23"/>
      <c r="O1067" s="23"/>
      <c r="P1067" s="54"/>
      <c r="Q1067" s="23"/>
      <c r="R1067" s="17"/>
      <c r="S1067" s="18"/>
      <c r="T1067" s="20"/>
    </row>
    <row r="1068">
      <c r="A1068" s="27" t="s">
        <v>1784</v>
      </c>
      <c r="B1068" s="28" t="s">
        <v>27</v>
      </c>
      <c r="C1068" s="28" t="s">
        <v>121</v>
      </c>
      <c r="D1068" s="29" t="str">
        <f t="shared" ref="D1068:D1077" si="42">IF(E1068&gt;TODAY(),"Coming Soon",IF(F1068="","Active",IF(F1068&gt;TODAY(),"Leaving Soon","Removed")))</f>
        <v>Removed</v>
      </c>
      <c r="E1068" s="33">
        <v>44546.0</v>
      </c>
      <c r="F1068" s="31">
        <v>44910.0</v>
      </c>
      <c r="G1068" s="32">
        <f t="shared" si="2"/>
        <v>11.96666667</v>
      </c>
      <c r="H1068" s="33">
        <v>44440.0</v>
      </c>
      <c r="I1068" s="32">
        <f t="shared" si="3"/>
        <v>0.2916666667</v>
      </c>
      <c r="J1068" s="34">
        <f>(72+73)/2</f>
        <v>72.5</v>
      </c>
      <c r="K1068" s="34">
        <v>6.5</v>
      </c>
      <c r="L1068" s="35" t="s">
        <v>362</v>
      </c>
      <c r="M1068" s="35"/>
      <c r="N1068" s="35"/>
      <c r="O1068" s="35" t="s">
        <v>34</v>
      </c>
      <c r="P1068" s="36" t="s">
        <v>1785</v>
      </c>
      <c r="Q1068" s="35"/>
      <c r="R1068" s="29"/>
      <c r="S1068" s="33"/>
      <c r="T1068" s="32"/>
    </row>
    <row r="1069">
      <c r="A1069" s="15" t="s">
        <v>1786</v>
      </c>
      <c r="B1069" s="16" t="s">
        <v>27</v>
      </c>
      <c r="C1069" s="16" t="s">
        <v>121</v>
      </c>
      <c r="D1069" s="17" t="str">
        <f t="shared" si="42"/>
        <v>Removed</v>
      </c>
      <c r="E1069" s="18">
        <v>44546.0</v>
      </c>
      <c r="F1069" s="52">
        <v>44910.0</v>
      </c>
      <c r="G1069" s="20">
        <f t="shared" si="2"/>
        <v>11.96666667</v>
      </c>
      <c r="H1069" s="18">
        <v>43770.0</v>
      </c>
      <c r="I1069" s="20">
        <f t="shared" si="3"/>
        <v>2.125</v>
      </c>
      <c r="J1069" s="53">
        <v>51.0</v>
      </c>
      <c r="K1069" s="53">
        <v>1.0</v>
      </c>
      <c r="L1069" s="23" t="s">
        <v>500</v>
      </c>
      <c r="M1069" s="23"/>
      <c r="N1069" s="23"/>
      <c r="O1069" s="23" t="s">
        <v>132</v>
      </c>
      <c r="P1069" s="54" t="s">
        <v>902</v>
      </c>
      <c r="Q1069" s="23" t="s">
        <v>1787</v>
      </c>
      <c r="R1069" s="17"/>
      <c r="S1069" s="18"/>
      <c r="T1069" s="20"/>
    </row>
    <row r="1070">
      <c r="A1070" s="27" t="s">
        <v>1788</v>
      </c>
      <c r="B1070" s="28" t="s">
        <v>27</v>
      </c>
      <c r="C1070" s="28" t="s">
        <v>28</v>
      </c>
      <c r="D1070" s="29" t="str">
        <f t="shared" si="42"/>
        <v>Removed</v>
      </c>
      <c r="E1070" s="33">
        <v>44546.0</v>
      </c>
      <c r="F1070" s="31">
        <v>44910.0</v>
      </c>
      <c r="G1070" s="32">
        <f t="shared" si="2"/>
        <v>11.96666667</v>
      </c>
      <c r="H1070" s="33">
        <v>43903.0</v>
      </c>
      <c r="I1070" s="32">
        <f t="shared" si="3"/>
        <v>1.758333333</v>
      </c>
      <c r="J1070" s="34">
        <v>73.0</v>
      </c>
      <c r="K1070" s="34">
        <v>5.5</v>
      </c>
      <c r="L1070" s="35" t="s">
        <v>721</v>
      </c>
      <c r="M1070" s="35"/>
      <c r="N1070" s="35"/>
      <c r="O1070" s="35" t="s">
        <v>334</v>
      </c>
      <c r="P1070" s="36" t="s">
        <v>1204</v>
      </c>
      <c r="Q1070" s="35" t="s">
        <v>1789</v>
      </c>
      <c r="R1070" s="29"/>
      <c r="S1070" s="33"/>
      <c r="T1070" s="32"/>
    </row>
    <row r="1071">
      <c r="A1071" s="15" t="s">
        <v>1790</v>
      </c>
      <c r="B1071" s="16" t="s">
        <v>27</v>
      </c>
      <c r="C1071" s="16" t="s">
        <v>121</v>
      </c>
      <c r="D1071" s="17" t="str">
        <f t="shared" si="42"/>
        <v>Removed</v>
      </c>
      <c r="E1071" s="18">
        <v>44546.0</v>
      </c>
      <c r="F1071" s="52">
        <v>44910.0</v>
      </c>
      <c r="G1071" s="20">
        <f t="shared" si="2"/>
        <v>11.96666667</v>
      </c>
      <c r="H1071" s="18">
        <v>44127.0</v>
      </c>
      <c r="I1071" s="20">
        <f t="shared" si="3"/>
        <v>1.147222222</v>
      </c>
      <c r="J1071" s="53">
        <v>71.0</v>
      </c>
      <c r="K1071" s="53">
        <v>9.0</v>
      </c>
      <c r="L1071" s="23" t="s">
        <v>119</v>
      </c>
      <c r="M1071" s="23"/>
      <c r="N1071" s="23"/>
      <c r="O1071" s="23" t="s">
        <v>334</v>
      </c>
      <c r="P1071" s="54" t="s">
        <v>483</v>
      </c>
      <c r="Q1071" s="23"/>
      <c r="R1071" s="17"/>
      <c r="S1071" s="18"/>
      <c r="T1071" s="20"/>
    </row>
    <row r="1072">
      <c r="A1072" s="27" t="s">
        <v>160</v>
      </c>
      <c r="B1072" s="28" t="s">
        <v>27</v>
      </c>
      <c r="C1072" s="28" t="s">
        <v>28</v>
      </c>
      <c r="D1072" s="29" t="str">
        <f t="shared" si="42"/>
        <v>Removed</v>
      </c>
      <c r="E1072" s="33">
        <v>44544.0</v>
      </c>
      <c r="F1072" s="31">
        <v>44910.0</v>
      </c>
      <c r="G1072" s="32">
        <f t="shared" si="2"/>
        <v>12.03333333</v>
      </c>
      <c r="H1072" s="33">
        <v>44432.0</v>
      </c>
      <c r="I1072" s="32">
        <f t="shared" si="3"/>
        <v>0.3055555556</v>
      </c>
      <c r="J1072" s="34">
        <f>(69+70)/2</f>
        <v>69.5</v>
      </c>
      <c r="K1072" s="34">
        <v>9.0</v>
      </c>
      <c r="L1072" s="35" t="s">
        <v>366</v>
      </c>
      <c r="M1072" s="35"/>
      <c r="N1072" s="35"/>
      <c r="O1072" s="35" t="s">
        <v>34</v>
      </c>
      <c r="P1072" s="36" t="s">
        <v>432</v>
      </c>
      <c r="Q1072" s="35"/>
      <c r="R1072" s="29"/>
      <c r="S1072" s="33"/>
      <c r="T1072" s="32"/>
    </row>
    <row r="1073">
      <c r="A1073" s="15" t="s">
        <v>1791</v>
      </c>
      <c r="B1073" s="16" t="s">
        <v>27</v>
      </c>
      <c r="C1073" s="16" t="s">
        <v>121</v>
      </c>
      <c r="D1073" s="17" t="str">
        <f t="shared" si="42"/>
        <v>Removed</v>
      </c>
      <c r="E1073" s="18">
        <v>44539.0</v>
      </c>
      <c r="F1073" s="52">
        <v>44910.0</v>
      </c>
      <c r="G1073" s="20">
        <f t="shared" si="2"/>
        <v>12.2</v>
      </c>
      <c r="H1073" s="18">
        <v>43916.0</v>
      </c>
      <c r="I1073" s="20">
        <f t="shared" si="3"/>
        <v>1.702777778</v>
      </c>
      <c r="J1073" s="53">
        <v>76.0</v>
      </c>
      <c r="K1073" s="53">
        <v>16.0</v>
      </c>
      <c r="L1073" s="23" t="s">
        <v>687</v>
      </c>
      <c r="M1073" s="23"/>
      <c r="N1073" s="23"/>
      <c r="O1073" s="23" t="s">
        <v>125</v>
      </c>
      <c r="P1073" s="54" t="s">
        <v>1792</v>
      </c>
      <c r="Q1073" s="23"/>
      <c r="R1073" s="17"/>
      <c r="S1073" s="18"/>
      <c r="T1073" s="20"/>
    </row>
    <row r="1074">
      <c r="A1074" s="27" t="s">
        <v>1793</v>
      </c>
      <c r="B1074" s="28" t="s">
        <v>27</v>
      </c>
      <c r="C1074" s="28" t="s">
        <v>28</v>
      </c>
      <c r="D1074" s="29" t="str">
        <f t="shared" si="42"/>
        <v>Removed</v>
      </c>
      <c r="E1074" s="33">
        <v>44448.0</v>
      </c>
      <c r="F1074" s="31">
        <v>44910.0</v>
      </c>
      <c r="G1074" s="32">
        <f t="shared" si="2"/>
        <v>15.2</v>
      </c>
      <c r="H1074" s="33">
        <v>43356.0</v>
      </c>
      <c r="I1074" s="32">
        <f t="shared" si="3"/>
        <v>2.988888889</v>
      </c>
      <c r="J1074" s="34">
        <v>71.0</v>
      </c>
      <c r="K1074" s="34">
        <v>5.5</v>
      </c>
      <c r="L1074" s="35" t="s">
        <v>362</v>
      </c>
      <c r="M1074" s="35"/>
      <c r="N1074" s="35" t="s">
        <v>1794</v>
      </c>
      <c r="O1074" s="35" t="s">
        <v>125</v>
      </c>
      <c r="P1074" s="36" t="s">
        <v>1795</v>
      </c>
      <c r="Q1074" s="35"/>
      <c r="R1074" s="29"/>
      <c r="S1074" s="33"/>
      <c r="T1074" s="32"/>
    </row>
    <row r="1075">
      <c r="A1075" s="15" t="s">
        <v>1796</v>
      </c>
      <c r="B1075" s="16" t="s">
        <v>27</v>
      </c>
      <c r="C1075" s="16" t="s">
        <v>121</v>
      </c>
      <c r="D1075" s="17" t="str">
        <f t="shared" si="42"/>
        <v>Removed</v>
      </c>
      <c r="E1075" s="18">
        <v>44182.0</v>
      </c>
      <c r="F1075" s="52">
        <v>44910.0</v>
      </c>
      <c r="G1075" s="20">
        <f t="shared" si="2"/>
        <v>23.93333333</v>
      </c>
      <c r="H1075" s="18">
        <v>43474.0</v>
      </c>
      <c r="I1075" s="20">
        <f t="shared" si="3"/>
        <v>1.938888889</v>
      </c>
      <c r="J1075" s="53">
        <f>(60*2+70*2+80)/5</f>
        <v>68</v>
      </c>
      <c r="K1075" s="53">
        <v>3.0</v>
      </c>
      <c r="L1075" s="23" t="s">
        <v>1797</v>
      </c>
      <c r="M1075" s="23"/>
      <c r="N1075" s="23"/>
      <c r="O1075" s="23" t="s">
        <v>125</v>
      </c>
      <c r="P1075" s="54" t="s">
        <v>609</v>
      </c>
      <c r="Q1075" s="23"/>
      <c r="R1075" s="17"/>
      <c r="S1075" s="18"/>
      <c r="T1075" s="20"/>
    </row>
    <row r="1076">
      <c r="A1076" s="27" t="s">
        <v>1798</v>
      </c>
      <c r="B1076" s="28" t="s">
        <v>27</v>
      </c>
      <c r="C1076" s="28" t="s">
        <v>121</v>
      </c>
      <c r="D1076" s="29" t="str">
        <f t="shared" si="42"/>
        <v>Removed</v>
      </c>
      <c r="E1076" s="30">
        <v>44169.0</v>
      </c>
      <c r="F1076" s="31">
        <v>44910.0</v>
      </c>
      <c r="G1076" s="32">
        <f t="shared" si="2"/>
        <v>24.36666667</v>
      </c>
      <c r="H1076" s="30">
        <v>42945.0</v>
      </c>
      <c r="I1076" s="32">
        <f t="shared" si="3"/>
        <v>3.347222222</v>
      </c>
      <c r="J1076" s="34">
        <v>91.0</v>
      </c>
      <c r="K1076" s="34">
        <v>56.0</v>
      </c>
      <c r="L1076" s="35" t="s">
        <v>29</v>
      </c>
      <c r="M1076" s="35"/>
      <c r="N1076" s="35"/>
      <c r="O1076" s="35" t="s">
        <v>125</v>
      </c>
      <c r="P1076" s="36" t="s">
        <v>1799</v>
      </c>
      <c r="Q1076" s="35"/>
      <c r="R1076" s="29"/>
      <c r="S1076" s="33"/>
      <c r="T1076" s="32"/>
    </row>
    <row r="1077">
      <c r="A1077" s="15" t="s">
        <v>1800</v>
      </c>
      <c r="B1077" s="16" t="s">
        <v>68</v>
      </c>
      <c r="C1077" s="16"/>
      <c r="D1077" s="17" t="str">
        <f t="shared" si="42"/>
        <v>Removed</v>
      </c>
      <c r="E1077" s="18">
        <v>44145.0</v>
      </c>
      <c r="F1077" s="52">
        <v>44910.0</v>
      </c>
      <c r="G1077" s="20">
        <f t="shared" si="2"/>
        <v>25.16666667</v>
      </c>
      <c r="H1077" s="18">
        <v>42199.0</v>
      </c>
      <c r="I1077" s="20">
        <f t="shared" si="3"/>
        <v>5.322222222</v>
      </c>
      <c r="J1077" s="53">
        <v>60.0</v>
      </c>
      <c r="K1077" s="53">
        <v>40.0</v>
      </c>
      <c r="L1077" s="23" t="s">
        <v>1006</v>
      </c>
      <c r="M1077" s="23"/>
      <c r="N1077" s="23"/>
      <c r="O1077" s="23" t="s">
        <v>132</v>
      </c>
      <c r="P1077" s="54"/>
      <c r="Q1077" s="23"/>
      <c r="R1077" s="17"/>
      <c r="S1077" s="18"/>
      <c r="T1077" s="20"/>
    </row>
    <row r="1078">
      <c r="A1078" s="27" t="s">
        <v>1801</v>
      </c>
      <c r="B1078" s="28" t="s">
        <v>1610</v>
      </c>
      <c r="C1078" s="29"/>
      <c r="D1078" s="29" t="s">
        <v>1611</v>
      </c>
      <c r="E1078" s="70">
        <v>44866.0</v>
      </c>
      <c r="F1078" s="30">
        <v>44895.0</v>
      </c>
      <c r="G1078" s="32">
        <f t="shared" si="2"/>
        <v>0.9666666667</v>
      </c>
      <c r="H1078" s="33"/>
      <c r="I1078" s="32">
        <f t="shared" si="3"/>
        <v>-2.955555556</v>
      </c>
      <c r="J1078" s="34"/>
      <c r="K1078" s="34"/>
      <c r="L1078" s="35"/>
      <c r="M1078" s="35"/>
      <c r="N1078" s="35"/>
      <c r="O1078" s="35"/>
      <c r="P1078" s="36"/>
      <c r="Q1078" s="35"/>
      <c r="R1078" s="29"/>
      <c r="S1078" s="33"/>
      <c r="T1078" s="32"/>
    </row>
    <row r="1079">
      <c r="A1079" s="15" t="s">
        <v>1802</v>
      </c>
      <c r="B1079" s="16" t="s">
        <v>27</v>
      </c>
      <c r="C1079" s="16" t="s">
        <v>121</v>
      </c>
      <c r="D1079" s="17" t="str">
        <f t="shared" ref="D1079:D1085" si="43">IF(E1079&gt;TODAY(),"Coming Soon",IF(F1079="","Active",IF(F1079&gt;TODAY(),"Leaving Soon","Removed")))</f>
        <v>Removed</v>
      </c>
      <c r="E1079" s="18">
        <v>44537.0</v>
      </c>
      <c r="F1079" s="52">
        <v>44895.0</v>
      </c>
      <c r="G1079" s="20">
        <f t="shared" si="2"/>
        <v>11.76666667</v>
      </c>
      <c r="H1079" s="18">
        <v>44537.0</v>
      </c>
      <c r="I1079" s="20">
        <f t="shared" si="3"/>
        <v>0</v>
      </c>
      <c r="J1079" s="53">
        <f>(60+80)/2</f>
        <v>70</v>
      </c>
      <c r="K1079" s="53">
        <v>2.0</v>
      </c>
      <c r="L1079" s="23" t="s">
        <v>50</v>
      </c>
      <c r="M1079" s="23"/>
      <c r="N1079" s="23"/>
      <c r="O1079" s="23" t="s">
        <v>125</v>
      </c>
      <c r="P1079" s="54" t="s">
        <v>1803</v>
      </c>
      <c r="Q1079" s="23"/>
      <c r="R1079" s="17"/>
      <c r="S1079" s="18"/>
      <c r="T1079" s="20"/>
    </row>
    <row r="1080">
      <c r="A1080" s="27" t="s">
        <v>1804</v>
      </c>
      <c r="B1080" s="28" t="s">
        <v>27</v>
      </c>
      <c r="C1080" s="28" t="s">
        <v>121</v>
      </c>
      <c r="D1080" s="29" t="str">
        <f t="shared" si="43"/>
        <v>Removed</v>
      </c>
      <c r="E1080" s="33">
        <v>44532.0</v>
      </c>
      <c r="F1080" s="31">
        <v>44895.0</v>
      </c>
      <c r="G1080" s="32">
        <f t="shared" si="2"/>
        <v>11.93333333</v>
      </c>
      <c r="H1080" s="33">
        <v>44532.0</v>
      </c>
      <c r="I1080" s="32">
        <f t="shared" si="3"/>
        <v>0</v>
      </c>
      <c r="J1080" s="34">
        <v>84.0</v>
      </c>
      <c r="K1080" s="34">
        <v>9.0</v>
      </c>
      <c r="L1080" s="35" t="s">
        <v>1805</v>
      </c>
      <c r="M1080" s="35"/>
      <c r="N1080" s="35"/>
      <c r="O1080" s="35" t="s">
        <v>125</v>
      </c>
      <c r="P1080" s="36" t="s">
        <v>551</v>
      </c>
      <c r="Q1080" s="35"/>
      <c r="R1080" s="29"/>
      <c r="S1080" s="33"/>
      <c r="T1080" s="32"/>
    </row>
    <row r="1081">
      <c r="A1081" s="15" t="s">
        <v>1806</v>
      </c>
      <c r="B1081" s="16" t="s">
        <v>27</v>
      </c>
      <c r="C1081" s="16"/>
      <c r="D1081" s="17" t="str">
        <f t="shared" si="43"/>
        <v>Removed</v>
      </c>
      <c r="E1081" s="18">
        <v>44532.0</v>
      </c>
      <c r="F1081" s="52">
        <v>44895.0</v>
      </c>
      <c r="G1081" s="20">
        <f t="shared" si="2"/>
        <v>11.93333333</v>
      </c>
      <c r="H1081" s="18">
        <v>40892.0</v>
      </c>
      <c r="I1081" s="20">
        <f t="shared" si="3"/>
        <v>9.963888889</v>
      </c>
      <c r="J1081" s="53">
        <f>(75+82)/2</f>
        <v>78.5</v>
      </c>
      <c r="K1081" s="53">
        <v>28.0</v>
      </c>
      <c r="L1081" s="23" t="s">
        <v>29</v>
      </c>
      <c r="M1081" s="23"/>
      <c r="N1081" s="23"/>
      <c r="O1081" s="23" t="s">
        <v>125</v>
      </c>
      <c r="P1081" s="54" t="s">
        <v>1807</v>
      </c>
      <c r="Q1081" s="23"/>
      <c r="R1081" s="17"/>
      <c r="S1081" s="18"/>
      <c r="T1081" s="20"/>
    </row>
    <row r="1082">
      <c r="A1082" s="27" t="s">
        <v>1808</v>
      </c>
      <c r="B1082" s="28" t="s">
        <v>27</v>
      </c>
      <c r="C1082" s="28" t="s">
        <v>28</v>
      </c>
      <c r="D1082" s="29" t="str">
        <f t="shared" si="43"/>
        <v>Removed</v>
      </c>
      <c r="E1082" s="33">
        <v>44532.0</v>
      </c>
      <c r="F1082" s="31">
        <v>44895.0</v>
      </c>
      <c r="G1082" s="32">
        <f t="shared" si="2"/>
        <v>11.93333333</v>
      </c>
      <c r="H1082" s="33">
        <v>44392.0</v>
      </c>
      <c r="I1082" s="32">
        <f t="shared" si="3"/>
        <v>0.3805555556</v>
      </c>
      <c r="J1082" s="34">
        <v>74.0</v>
      </c>
      <c r="K1082" s="34">
        <v>19.5</v>
      </c>
      <c r="L1082" s="35" t="s">
        <v>119</v>
      </c>
      <c r="M1082" s="35"/>
      <c r="N1082" s="35"/>
      <c r="O1082" s="35" t="s">
        <v>34</v>
      </c>
      <c r="P1082" s="36" t="s">
        <v>1493</v>
      </c>
      <c r="Q1082" s="35"/>
      <c r="R1082" s="29"/>
      <c r="S1082" s="33"/>
      <c r="T1082" s="32"/>
    </row>
    <row r="1083">
      <c r="A1083" s="15" t="s">
        <v>1809</v>
      </c>
      <c r="B1083" s="16" t="s">
        <v>27</v>
      </c>
      <c r="C1083" s="16" t="s">
        <v>28</v>
      </c>
      <c r="D1083" s="17" t="str">
        <f t="shared" si="43"/>
        <v>Removed</v>
      </c>
      <c r="E1083" s="18">
        <v>44531.0</v>
      </c>
      <c r="F1083" s="52">
        <v>44895.0</v>
      </c>
      <c r="G1083" s="20">
        <f t="shared" si="2"/>
        <v>11.96666667</v>
      </c>
      <c r="H1083" s="18">
        <v>44336.0</v>
      </c>
      <c r="I1083" s="20">
        <f t="shared" si="3"/>
        <v>0.5305555556</v>
      </c>
      <c r="J1083" s="53">
        <v>75.0</v>
      </c>
      <c r="K1083" s="53">
        <v>2.5</v>
      </c>
      <c r="L1083" s="23" t="s">
        <v>1810</v>
      </c>
      <c r="M1083" s="23"/>
      <c r="N1083" s="23"/>
      <c r="O1083" s="23" t="s">
        <v>34</v>
      </c>
      <c r="P1083" s="54" t="s">
        <v>1811</v>
      </c>
      <c r="Q1083" s="23"/>
      <c r="R1083" s="17"/>
      <c r="S1083" s="18"/>
      <c r="T1083" s="20"/>
    </row>
    <row r="1084">
      <c r="A1084" s="27" t="s">
        <v>1812</v>
      </c>
      <c r="B1084" s="28" t="s">
        <v>27</v>
      </c>
      <c r="C1084" s="28" t="s">
        <v>28</v>
      </c>
      <c r="D1084" s="29" t="str">
        <f t="shared" si="43"/>
        <v>Removed</v>
      </c>
      <c r="E1084" s="33">
        <v>44523.0</v>
      </c>
      <c r="F1084" s="31">
        <v>44895.0</v>
      </c>
      <c r="G1084" s="32">
        <f t="shared" si="2"/>
        <v>12.23333333</v>
      </c>
      <c r="H1084" s="33">
        <v>43851.0</v>
      </c>
      <c r="I1084" s="32">
        <f t="shared" si="3"/>
        <v>1.838888889</v>
      </c>
      <c r="J1084" s="34">
        <f>(40*2+60)/3</f>
        <v>46.66666667</v>
      </c>
      <c r="K1084" s="34">
        <v>1.0</v>
      </c>
      <c r="L1084" s="35" t="s">
        <v>366</v>
      </c>
      <c r="M1084" s="35"/>
      <c r="N1084" s="35"/>
      <c r="O1084" s="35" t="s">
        <v>125</v>
      </c>
      <c r="P1084" s="36" t="s">
        <v>475</v>
      </c>
      <c r="Q1084" s="35"/>
      <c r="R1084" s="29"/>
      <c r="S1084" s="33"/>
      <c r="T1084" s="32"/>
    </row>
    <row r="1085">
      <c r="A1085" s="15" t="s">
        <v>1813</v>
      </c>
      <c r="B1085" s="16" t="s">
        <v>27</v>
      </c>
      <c r="C1085" s="16" t="s">
        <v>121</v>
      </c>
      <c r="D1085" s="17" t="str">
        <f t="shared" si="43"/>
        <v>Removed</v>
      </c>
      <c r="E1085" s="18">
        <v>44518.0</v>
      </c>
      <c r="F1085" s="52">
        <v>44895.0</v>
      </c>
      <c r="G1085" s="20">
        <f t="shared" si="2"/>
        <v>12.4</v>
      </c>
      <c r="H1085" s="18">
        <v>44518.0</v>
      </c>
      <c r="I1085" s="20">
        <f t="shared" si="3"/>
        <v>0</v>
      </c>
      <c r="J1085" s="53">
        <f>(56+60+70*2+73+90)/6</f>
        <v>69.83333333</v>
      </c>
      <c r="K1085" s="53">
        <v>4.0</v>
      </c>
      <c r="L1085" s="23" t="s">
        <v>29</v>
      </c>
      <c r="M1085" s="23"/>
      <c r="N1085" s="23"/>
      <c r="O1085" s="23" t="s">
        <v>125</v>
      </c>
      <c r="P1085" s="54" t="s">
        <v>1814</v>
      </c>
      <c r="Q1085" s="23"/>
      <c r="R1085" s="17"/>
      <c r="S1085" s="18"/>
      <c r="T1085" s="20"/>
    </row>
    <row r="1086">
      <c r="A1086" s="27" t="s">
        <v>1815</v>
      </c>
      <c r="B1086" s="28" t="s">
        <v>1610</v>
      </c>
      <c r="C1086" s="29"/>
      <c r="D1086" s="29" t="s">
        <v>1611</v>
      </c>
      <c r="E1086" s="70">
        <v>44850.0</v>
      </c>
      <c r="F1086" s="30">
        <v>44880.0</v>
      </c>
      <c r="G1086" s="32">
        <f t="shared" si="2"/>
        <v>0.9666666667</v>
      </c>
      <c r="H1086" s="33"/>
      <c r="I1086" s="32">
        <f t="shared" si="3"/>
        <v>-2.997222222</v>
      </c>
      <c r="J1086" s="34"/>
      <c r="K1086" s="34"/>
      <c r="L1086" s="35"/>
      <c r="M1086" s="35"/>
      <c r="N1086" s="35" t="s">
        <v>1612</v>
      </c>
      <c r="O1086" s="35"/>
      <c r="P1086" s="36"/>
      <c r="Q1086" s="35"/>
      <c r="R1086" s="29"/>
      <c r="S1086" s="33"/>
      <c r="T1086" s="32"/>
    </row>
    <row r="1087">
      <c r="A1087" s="15" t="s">
        <v>1816</v>
      </c>
      <c r="B1087" s="16" t="s">
        <v>27</v>
      </c>
      <c r="C1087" s="16" t="s">
        <v>121</v>
      </c>
      <c r="D1087" s="17" t="str">
        <f t="shared" ref="D1087:D1093" si="44">IF(E1087&gt;TODAY(),"Coming Soon",IF(F1087="","Active",IF(F1087&gt;TODAY(),"Leaving Soon","Removed")))</f>
        <v>Removed</v>
      </c>
      <c r="E1087" s="18">
        <v>44518.0</v>
      </c>
      <c r="F1087" s="52">
        <v>44880.0</v>
      </c>
      <c r="G1087" s="20">
        <f t="shared" si="2"/>
        <v>11.9</v>
      </c>
      <c r="H1087" s="18">
        <v>44043.0</v>
      </c>
      <c r="I1087" s="20">
        <f t="shared" si="3"/>
        <v>1.3</v>
      </c>
      <c r="J1087" s="53">
        <v>77.0</v>
      </c>
      <c r="K1087" s="53">
        <v>32.5</v>
      </c>
      <c r="L1087" s="23" t="s">
        <v>567</v>
      </c>
      <c r="M1087" s="23"/>
      <c r="N1087" s="23"/>
      <c r="O1087" s="23" t="s">
        <v>334</v>
      </c>
      <c r="P1087" s="54" t="s">
        <v>1204</v>
      </c>
      <c r="Q1087" s="23"/>
      <c r="R1087" s="17"/>
      <c r="S1087" s="18"/>
      <c r="T1087" s="20"/>
    </row>
    <row r="1088">
      <c r="A1088" s="27" t="s">
        <v>1817</v>
      </c>
      <c r="B1088" s="28" t="s">
        <v>27</v>
      </c>
      <c r="C1088" s="28" t="s">
        <v>28</v>
      </c>
      <c r="D1088" s="29" t="str">
        <f t="shared" si="44"/>
        <v>Removed</v>
      </c>
      <c r="E1088" s="33">
        <v>44517.0</v>
      </c>
      <c r="F1088" s="31">
        <v>44880.0</v>
      </c>
      <c r="G1088" s="32">
        <f t="shared" si="2"/>
        <v>11.93333333</v>
      </c>
      <c r="H1088" s="33">
        <v>44517.0</v>
      </c>
      <c r="I1088" s="32">
        <f t="shared" si="3"/>
        <v>0</v>
      </c>
      <c r="J1088" s="34">
        <f>(60+75+80)/3</f>
        <v>71.66666667</v>
      </c>
      <c r="K1088" s="34">
        <v>18.0</v>
      </c>
      <c r="L1088" s="35" t="s">
        <v>50</v>
      </c>
      <c r="M1088" s="35"/>
      <c r="N1088" s="35"/>
      <c r="O1088" s="35" t="s">
        <v>34</v>
      </c>
      <c r="P1088" s="36" t="s">
        <v>1818</v>
      </c>
      <c r="Q1088" s="35" t="s">
        <v>1819</v>
      </c>
      <c r="R1088" s="29"/>
      <c r="S1088" s="33"/>
      <c r="T1088" s="32"/>
    </row>
    <row r="1089">
      <c r="A1089" s="15" t="s">
        <v>1820</v>
      </c>
      <c r="B1089" s="16" t="s">
        <v>27</v>
      </c>
      <c r="C1089" s="16" t="s">
        <v>121</v>
      </c>
      <c r="D1089" s="17" t="str">
        <f t="shared" si="44"/>
        <v>Removed</v>
      </c>
      <c r="E1089" s="18">
        <v>44511.0</v>
      </c>
      <c r="F1089" s="52">
        <v>44880.0</v>
      </c>
      <c r="G1089" s="20">
        <f t="shared" si="2"/>
        <v>12.13333333</v>
      </c>
      <c r="H1089" s="18">
        <v>43916.0</v>
      </c>
      <c r="I1089" s="20">
        <f t="shared" si="3"/>
        <v>1.625</v>
      </c>
      <c r="J1089" s="53">
        <v>82.0</v>
      </c>
      <c r="K1089" s="53">
        <v>7.5</v>
      </c>
      <c r="L1089" s="23" t="s">
        <v>1821</v>
      </c>
      <c r="M1089" s="23"/>
      <c r="N1089" s="23"/>
      <c r="O1089" s="23" t="s">
        <v>334</v>
      </c>
      <c r="P1089" s="54" t="s">
        <v>1822</v>
      </c>
      <c r="Q1089" s="23"/>
      <c r="R1089" s="17"/>
      <c r="S1089" s="18"/>
      <c r="T1089" s="20"/>
    </row>
    <row r="1090">
      <c r="A1090" s="27" t="s">
        <v>1823</v>
      </c>
      <c r="B1090" s="28" t="s">
        <v>27</v>
      </c>
      <c r="C1090" s="28" t="s">
        <v>121</v>
      </c>
      <c r="D1090" s="29" t="str">
        <f t="shared" si="44"/>
        <v>Removed</v>
      </c>
      <c r="E1090" s="33">
        <v>44420.0</v>
      </c>
      <c r="F1090" s="31">
        <v>44880.0</v>
      </c>
      <c r="G1090" s="32">
        <f t="shared" si="2"/>
        <v>15.1</v>
      </c>
      <c r="H1090" s="33">
        <v>44097.0</v>
      </c>
      <c r="I1090" s="32">
        <f t="shared" si="3"/>
        <v>0.8861111111</v>
      </c>
      <c r="J1090" s="34">
        <v>80.0</v>
      </c>
      <c r="K1090" s="34">
        <v>16.5</v>
      </c>
      <c r="L1090" s="35" t="s">
        <v>500</v>
      </c>
      <c r="M1090" s="35" t="s">
        <v>123</v>
      </c>
      <c r="N1090" s="35"/>
      <c r="O1090" s="35" t="s">
        <v>132</v>
      </c>
      <c r="P1090" s="36"/>
      <c r="Q1090" s="35"/>
      <c r="R1090" s="29"/>
      <c r="S1090" s="33"/>
      <c r="T1090" s="32"/>
    </row>
    <row r="1091">
      <c r="A1091" s="15" t="s">
        <v>1824</v>
      </c>
      <c r="B1091" s="16" t="s">
        <v>27</v>
      </c>
      <c r="C1091" s="16"/>
      <c r="D1091" s="17" t="str">
        <f t="shared" si="44"/>
        <v>Removed</v>
      </c>
      <c r="E1091" s="18">
        <v>44126.0</v>
      </c>
      <c r="F1091" s="52">
        <v>44880.0</v>
      </c>
      <c r="G1091" s="20">
        <f t="shared" si="2"/>
        <v>24.76666667</v>
      </c>
      <c r="H1091" s="18">
        <v>43560.0</v>
      </c>
      <c r="I1091" s="20">
        <f t="shared" si="3"/>
        <v>1.547222222</v>
      </c>
      <c r="J1091" s="53">
        <v>82.0</v>
      </c>
      <c r="K1091" s="53">
        <v>13.0</v>
      </c>
      <c r="L1091" s="23" t="s">
        <v>37</v>
      </c>
      <c r="M1091" s="23"/>
      <c r="N1091" s="23"/>
      <c r="O1091" s="23" t="s">
        <v>125</v>
      </c>
      <c r="P1091" s="54" t="s">
        <v>1577</v>
      </c>
      <c r="Q1091" s="23"/>
      <c r="R1091" s="17"/>
      <c r="S1091" s="18"/>
      <c r="T1091" s="20"/>
    </row>
    <row r="1092">
      <c r="A1092" s="67" t="s">
        <v>1825</v>
      </c>
      <c r="B1092" s="28" t="s">
        <v>27</v>
      </c>
      <c r="C1092" s="28" t="s">
        <v>28</v>
      </c>
      <c r="D1092" s="29" t="str">
        <f t="shared" si="44"/>
        <v>Removed</v>
      </c>
      <c r="E1092" s="70">
        <v>43776.0</v>
      </c>
      <c r="F1092" s="31">
        <v>44880.0</v>
      </c>
      <c r="G1092" s="32">
        <f t="shared" si="2"/>
        <v>36.26666667</v>
      </c>
      <c r="H1092" s="33">
        <v>43123.0</v>
      </c>
      <c r="I1092" s="32">
        <f t="shared" si="3"/>
        <v>1.788888889</v>
      </c>
      <c r="J1092" s="69">
        <v>81.0</v>
      </c>
      <c r="K1092" s="34">
        <v>27.0</v>
      </c>
      <c r="L1092" s="44" t="s">
        <v>362</v>
      </c>
      <c r="M1092" s="35" t="s">
        <v>123</v>
      </c>
      <c r="N1092" s="35"/>
      <c r="O1092" s="35" t="s">
        <v>334</v>
      </c>
      <c r="P1092" s="36" t="s">
        <v>823</v>
      </c>
      <c r="Q1092" s="35"/>
      <c r="R1092" s="29"/>
      <c r="S1092" s="33"/>
      <c r="T1092" s="32"/>
    </row>
    <row r="1093">
      <c r="A1093" s="15" t="s">
        <v>1826</v>
      </c>
      <c r="B1093" s="16" t="s">
        <v>27</v>
      </c>
      <c r="C1093" s="16" t="s">
        <v>121</v>
      </c>
      <c r="D1093" s="17" t="str">
        <f t="shared" si="44"/>
        <v>Removed</v>
      </c>
      <c r="E1093" s="18">
        <v>44509.0</v>
      </c>
      <c r="F1093" s="52">
        <v>44873.0</v>
      </c>
      <c r="G1093" s="20">
        <f t="shared" si="2"/>
        <v>11.96666667</v>
      </c>
      <c r="H1093" s="18">
        <v>44509.0</v>
      </c>
      <c r="I1093" s="20">
        <f t="shared" si="3"/>
        <v>0</v>
      </c>
      <c r="J1093" s="53">
        <v>86.0</v>
      </c>
      <c r="K1093" s="53">
        <v>85.0</v>
      </c>
      <c r="L1093" s="43" t="s">
        <v>1552</v>
      </c>
      <c r="M1093" s="23"/>
      <c r="N1093" s="23"/>
      <c r="O1093" s="23" t="s">
        <v>132</v>
      </c>
      <c r="P1093" s="54"/>
      <c r="Q1093" s="23"/>
      <c r="R1093" s="17"/>
      <c r="S1093" s="18"/>
      <c r="T1093" s="20"/>
    </row>
    <row r="1094">
      <c r="A1094" s="27" t="s">
        <v>1827</v>
      </c>
      <c r="B1094" s="28" t="s">
        <v>1610</v>
      </c>
      <c r="C1094" s="29"/>
      <c r="D1094" s="29" t="s">
        <v>1611</v>
      </c>
      <c r="E1094" s="70">
        <v>44835.0</v>
      </c>
      <c r="F1094" s="30">
        <v>44865.0</v>
      </c>
      <c r="G1094" s="32">
        <f t="shared" si="2"/>
        <v>0.9666666667</v>
      </c>
      <c r="H1094" s="33"/>
      <c r="I1094" s="32">
        <f t="shared" si="3"/>
        <v>-3.038888889</v>
      </c>
      <c r="J1094" s="34"/>
      <c r="K1094" s="34"/>
      <c r="L1094" s="35"/>
      <c r="M1094" s="35"/>
      <c r="N1094" s="35"/>
      <c r="O1094" s="35"/>
      <c r="P1094" s="36"/>
      <c r="Q1094" s="35"/>
      <c r="R1094" s="29"/>
      <c r="S1094" s="33"/>
      <c r="T1094" s="32"/>
    </row>
    <row r="1095">
      <c r="A1095" s="15" t="s">
        <v>1828</v>
      </c>
      <c r="B1095" s="16" t="s">
        <v>27</v>
      </c>
      <c r="C1095" s="16"/>
      <c r="D1095" s="17" t="str">
        <f t="shared" ref="D1095:D1102" si="45">IF(E1095&gt;TODAY(),"Coming Soon",IF(F1095="","Active",IF(F1095&gt;TODAY(),"Leaving Soon","Removed")))</f>
        <v>Removed</v>
      </c>
      <c r="E1095" s="18">
        <v>44497.0</v>
      </c>
      <c r="F1095" s="52">
        <v>44865.0</v>
      </c>
      <c r="G1095" s="20">
        <f t="shared" si="2"/>
        <v>12.06666667</v>
      </c>
      <c r="H1095" s="18">
        <v>40961.0</v>
      </c>
      <c r="I1095" s="20">
        <f t="shared" si="3"/>
        <v>9.683333333</v>
      </c>
      <c r="J1095" s="53">
        <v>75.0</v>
      </c>
      <c r="K1095" s="53">
        <v>3.5</v>
      </c>
      <c r="L1095" s="23" t="s">
        <v>201</v>
      </c>
      <c r="M1095" s="23"/>
      <c r="N1095" s="23"/>
      <c r="O1095" s="23" t="s">
        <v>125</v>
      </c>
      <c r="P1095" s="54" t="s">
        <v>1829</v>
      </c>
      <c r="Q1095" s="23"/>
      <c r="R1095" s="17"/>
      <c r="S1095" s="18"/>
      <c r="T1095" s="20"/>
    </row>
    <row r="1096">
      <c r="A1096" s="27" t="s">
        <v>1830</v>
      </c>
      <c r="B1096" s="28" t="s">
        <v>27</v>
      </c>
      <c r="C1096" s="28" t="s">
        <v>28</v>
      </c>
      <c r="D1096" s="29" t="str">
        <f t="shared" si="45"/>
        <v>Removed</v>
      </c>
      <c r="E1096" s="33">
        <v>44497.0</v>
      </c>
      <c r="F1096" s="31">
        <v>44865.0</v>
      </c>
      <c r="G1096" s="32">
        <f t="shared" si="2"/>
        <v>12.06666667</v>
      </c>
      <c r="H1096" s="33">
        <v>44497.0</v>
      </c>
      <c r="I1096" s="32">
        <f t="shared" si="3"/>
        <v>0</v>
      </c>
      <c r="J1096" s="34">
        <f>(70+80)/2</f>
        <v>75</v>
      </c>
      <c r="K1096" s="34"/>
      <c r="L1096" s="35" t="s">
        <v>543</v>
      </c>
      <c r="M1096" s="35" t="s">
        <v>123</v>
      </c>
      <c r="N1096" s="35"/>
      <c r="O1096" s="35" t="s">
        <v>132</v>
      </c>
      <c r="P1096" s="36"/>
      <c r="Q1096" s="35"/>
      <c r="R1096" s="29"/>
      <c r="S1096" s="33"/>
      <c r="T1096" s="32"/>
    </row>
    <row r="1097">
      <c r="A1097" s="15" t="s">
        <v>1831</v>
      </c>
      <c r="B1097" s="16" t="s">
        <v>27</v>
      </c>
      <c r="C1097" s="16" t="s">
        <v>28</v>
      </c>
      <c r="D1097" s="17" t="str">
        <f t="shared" si="45"/>
        <v>Removed</v>
      </c>
      <c r="E1097" s="18">
        <v>44497.0</v>
      </c>
      <c r="F1097" s="52">
        <v>44865.0</v>
      </c>
      <c r="G1097" s="20">
        <f t="shared" si="2"/>
        <v>12.06666667</v>
      </c>
      <c r="H1097" s="18">
        <v>44321.0</v>
      </c>
      <c r="I1097" s="20">
        <f t="shared" si="3"/>
        <v>0.4805555556</v>
      </c>
      <c r="J1097" s="53">
        <f>(70+85)/2</f>
        <v>77.5</v>
      </c>
      <c r="K1097" s="53">
        <v>20.0</v>
      </c>
      <c r="L1097" s="23" t="s">
        <v>444</v>
      </c>
      <c r="M1097" s="23"/>
      <c r="N1097" s="23"/>
      <c r="O1097" s="139" t="s">
        <v>125</v>
      </c>
      <c r="P1097" s="54" t="s">
        <v>368</v>
      </c>
      <c r="Q1097" s="139"/>
      <c r="R1097" s="17"/>
      <c r="S1097" s="18"/>
      <c r="T1097" s="20"/>
    </row>
    <row r="1098">
      <c r="A1098" s="27" t="s">
        <v>1832</v>
      </c>
      <c r="B1098" s="28" t="s">
        <v>27</v>
      </c>
      <c r="C1098" s="28" t="s">
        <v>121</v>
      </c>
      <c r="D1098" s="29" t="str">
        <f t="shared" si="45"/>
        <v>Removed</v>
      </c>
      <c r="E1098" s="33">
        <v>44497.0</v>
      </c>
      <c r="F1098" s="31">
        <v>44865.0</v>
      </c>
      <c r="G1098" s="32">
        <f t="shared" si="2"/>
        <v>12.06666667</v>
      </c>
      <c r="H1098" s="33">
        <v>44405.0</v>
      </c>
      <c r="I1098" s="32">
        <f t="shared" si="3"/>
        <v>0.25</v>
      </c>
      <c r="J1098" s="34">
        <f>(85+86)/2</f>
        <v>85.5</v>
      </c>
      <c r="K1098" s="34">
        <v>5.0</v>
      </c>
      <c r="L1098" s="35" t="s">
        <v>529</v>
      </c>
      <c r="M1098" s="35" t="s">
        <v>123</v>
      </c>
      <c r="N1098" s="35"/>
      <c r="O1098" s="35" t="s">
        <v>125</v>
      </c>
      <c r="P1098" s="36" t="s">
        <v>1833</v>
      </c>
      <c r="Q1098" s="35" t="s">
        <v>1834</v>
      </c>
      <c r="R1098" s="29"/>
      <c r="S1098" s="33"/>
      <c r="T1098" s="32"/>
    </row>
    <row r="1099">
      <c r="A1099" s="15" t="s">
        <v>1835</v>
      </c>
      <c r="B1099" s="16" t="s">
        <v>27</v>
      </c>
      <c r="C1099" s="16" t="s">
        <v>28</v>
      </c>
      <c r="D1099" s="17" t="str">
        <f t="shared" si="45"/>
        <v>Removed</v>
      </c>
      <c r="E1099" s="18">
        <v>44406.0</v>
      </c>
      <c r="F1099" s="52">
        <v>44865.0</v>
      </c>
      <c r="G1099" s="20">
        <f t="shared" si="2"/>
        <v>15.03333333</v>
      </c>
      <c r="H1099" s="18">
        <v>44166.0</v>
      </c>
      <c r="I1099" s="20">
        <f t="shared" si="3"/>
        <v>0.6611111111</v>
      </c>
      <c r="J1099" s="53">
        <v>75.0</v>
      </c>
      <c r="K1099" s="53">
        <v>11.0</v>
      </c>
      <c r="L1099" s="23" t="s">
        <v>821</v>
      </c>
      <c r="M1099" s="23"/>
      <c r="N1099" s="23"/>
      <c r="O1099" s="23" t="s">
        <v>125</v>
      </c>
      <c r="P1099" s="54" t="s">
        <v>924</v>
      </c>
      <c r="Q1099" s="23"/>
      <c r="R1099" s="17"/>
      <c r="S1099" s="18"/>
      <c r="T1099" s="20"/>
    </row>
    <row r="1100">
      <c r="A1100" s="27" t="s">
        <v>1836</v>
      </c>
      <c r="B1100" s="28" t="s">
        <v>27</v>
      </c>
      <c r="C1100" s="28" t="s">
        <v>28</v>
      </c>
      <c r="D1100" s="29" t="str">
        <f t="shared" si="45"/>
        <v>Removed</v>
      </c>
      <c r="E1100" s="33">
        <v>44355.0</v>
      </c>
      <c r="F1100" s="31">
        <v>44865.0</v>
      </c>
      <c r="G1100" s="32">
        <f t="shared" si="2"/>
        <v>16.73333333</v>
      </c>
      <c r="H1100" s="33">
        <v>44355.0</v>
      </c>
      <c r="I1100" s="32">
        <f t="shared" si="3"/>
        <v>0</v>
      </c>
      <c r="J1100" s="34">
        <v>73.0</v>
      </c>
      <c r="K1100" s="34">
        <v>4.5</v>
      </c>
      <c r="L1100" s="35" t="s">
        <v>1837</v>
      </c>
      <c r="M1100" s="35" t="s">
        <v>123</v>
      </c>
      <c r="N1100" s="35" t="s">
        <v>1838</v>
      </c>
      <c r="O1100" s="35" t="s">
        <v>34</v>
      </c>
      <c r="P1100" s="36" t="s">
        <v>1839</v>
      </c>
      <c r="Q1100" s="35"/>
      <c r="R1100" s="29"/>
      <c r="S1100" s="33"/>
      <c r="T1100" s="32"/>
    </row>
    <row r="1101">
      <c r="A1101" s="15" t="s">
        <v>1840</v>
      </c>
      <c r="B1101" s="16" t="s">
        <v>27</v>
      </c>
      <c r="C1101" s="16" t="s">
        <v>28</v>
      </c>
      <c r="D1101" s="17" t="str">
        <f t="shared" si="45"/>
        <v>Removed</v>
      </c>
      <c r="E1101" s="18">
        <v>44314.0</v>
      </c>
      <c r="F1101" s="52">
        <v>44865.0</v>
      </c>
      <c r="G1101" s="20">
        <f t="shared" si="2"/>
        <v>18.06666667</v>
      </c>
      <c r="H1101" s="18">
        <v>44117.0</v>
      </c>
      <c r="I1101" s="20">
        <f t="shared" si="3"/>
        <v>0.5416666667</v>
      </c>
      <c r="J1101" s="53">
        <f>(60+70+70+75)/4</f>
        <v>68.75</v>
      </c>
      <c r="K1101" s="53">
        <v>5.5</v>
      </c>
      <c r="L1101" s="23" t="s">
        <v>184</v>
      </c>
      <c r="M1101" s="23" t="s">
        <v>123</v>
      </c>
      <c r="N1101" s="23"/>
      <c r="O1101" s="23" t="s">
        <v>34</v>
      </c>
      <c r="P1101" s="54" t="s">
        <v>628</v>
      </c>
      <c r="Q1101" s="23"/>
      <c r="R1101" s="17"/>
      <c r="S1101" s="18"/>
      <c r="T1101" s="20"/>
    </row>
    <row r="1102">
      <c r="A1102" s="67" t="s">
        <v>1841</v>
      </c>
      <c r="B1102" s="28" t="s">
        <v>68</v>
      </c>
      <c r="C1102" s="28" t="s">
        <v>28</v>
      </c>
      <c r="D1102" s="29" t="str">
        <f t="shared" si="45"/>
        <v>Removed</v>
      </c>
      <c r="E1102" s="70">
        <v>43405.0</v>
      </c>
      <c r="F1102" s="31">
        <v>44865.0</v>
      </c>
      <c r="G1102" s="32">
        <f t="shared" si="2"/>
        <v>47.96666667</v>
      </c>
      <c r="H1102" s="33">
        <v>42780.0</v>
      </c>
      <c r="I1102" s="32">
        <f t="shared" si="3"/>
        <v>1.713888889</v>
      </c>
      <c r="J1102" s="69">
        <v>81.0</v>
      </c>
      <c r="K1102" s="34">
        <v>10.0</v>
      </c>
      <c r="L1102" s="44" t="s">
        <v>1842</v>
      </c>
      <c r="M1102" s="44"/>
      <c r="N1102" s="44"/>
      <c r="O1102" s="35" t="s">
        <v>34</v>
      </c>
      <c r="P1102" s="36" t="s">
        <v>676</v>
      </c>
      <c r="Q1102" s="35"/>
      <c r="R1102" s="29"/>
      <c r="S1102" s="33"/>
      <c r="T1102" s="32"/>
    </row>
    <row r="1103">
      <c r="A1103" s="15" t="s">
        <v>1843</v>
      </c>
      <c r="B1103" s="16" t="s">
        <v>1610</v>
      </c>
      <c r="C1103" s="17"/>
      <c r="D1103" s="17" t="s">
        <v>1611</v>
      </c>
      <c r="E1103" s="76">
        <v>44820.0</v>
      </c>
      <c r="F1103" s="62">
        <v>44849.0</v>
      </c>
      <c r="G1103" s="20">
        <f t="shared" si="2"/>
        <v>0.9666666667</v>
      </c>
      <c r="H1103" s="18"/>
      <c r="I1103" s="20">
        <f t="shared" si="3"/>
        <v>-3.080555556</v>
      </c>
      <c r="J1103" s="53"/>
      <c r="K1103" s="53"/>
      <c r="L1103" s="23"/>
      <c r="M1103" s="23"/>
      <c r="N1103" s="23"/>
      <c r="O1103" s="23"/>
      <c r="P1103" s="54"/>
      <c r="Q1103" s="23"/>
      <c r="R1103" s="17"/>
      <c r="S1103" s="18"/>
      <c r="T1103" s="20"/>
    </row>
    <row r="1104">
      <c r="A1104" s="27" t="s">
        <v>1844</v>
      </c>
      <c r="B1104" s="28" t="s">
        <v>27</v>
      </c>
      <c r="C1104" s="28" t="s">
        <v>121</v>
      </c>
      <c r="D1104" s="29" t="str">
        <f t="shared" ref="D1104:D1111" si="46">IF(E1104&gt;TODAY(),"Coming Soon",IF(F1104="","Active",IF(F1104&gt;TODAY(),"Leaving Soon","Removed")))</f>
        <v>Removed</v>
      </c>
      <c r="E1104" s="33">
        <v>44490.0</v>
      </c>
      <c r="F1104" s="31">
        <v>44849.0</v>
      </c>
      <c r="G1104" s="32">
        <f t="shared" si="2"/>
        <v>11.8</v>
      </c>
      <c r="H1104" s="33">
        <v>44490.0</v>
      </c>
      <c r="I1104" s="32">
        <f t="shared" si="3"/>
        <v>0</v>
      </c>
      <c r="J1104" s="34">
        <f>(75+76)/2</f>
        <v>75.5</v>
      </c>
      <c r="K1104" s="34">
        <v>7.0</v>
      </c>
      <c r="L1104" s="35" t="s">
        <v>362</v>
      </c>
      <c r="M1104" s="35" t="s">
        <v>123</v>
      </c>
      <c r="N1104" s="35"/>
      <c r="O1104" s="35" t="s">
        <v>334</v>
      </c>
      <c r="P1104" s="36" t="s">
        <v>1204</v>
      </c>
      <c r="Q1104" s="35"/>
      <c r="R1104" s="29"/>
      <c r="S1104" s="33"/>
      <c r="T1104" s="32"/>
    </row>
    <row r="1105">
      <c r="A1105" s="15" t="s">
        <v>1845</v>
      </c>
      <c r="B1105" s="16" t="s">
        <v>27</v>
      </c>
      <c r="C1105" s="16" t="s">
        <v>28</v>
      </c>
      <c r="D1105" s="17" t="str">
        <f t="shared" si="46"/>
        <v>Removed</v>
      </c>
      <c r="E1105" s="18">
        <v>44488.0</v>
      </c>
      <c r="F1105" s="52">
        <v>44849.0</v>
      </c>
      <c r="G1105" s="20">
        <f t="shared" si="2"/>
        <v>11.86666667</v>
      </c>
      <c r="H1105" s="18">
        <v>44488.0</v>
      </c>
      <c r="I1105" s="20">
        <f t="shared" si="3"/>
        <v>0</v>
      </c>
      <c r="J1105" s="53">
        <f>(67+74)/2</f>
        <v>70.5</v>
      </c>
      <c r="K1105" s="53">
        <v>4.0</v>
      </c>
      <c r="L1105" s="23" t="s">
        <v>184</v>
      </c>
      <c r="M1105" s="23"/>
      <c r="N1105" s="23"/>
      <c r="O1105" s="23" t="s">
        <v>125</v>
      </c>
      <c r="P1105" s="54" t="s">
        <v>1493</v>
      </c>
      <c r="Q1105" s="23"/>
      <c r="R1105" s="17"/>
      <c r="S1105" s="18"/>
      <c r="T1105" s="20"/>
    </row>
    <row r="1106">
      <c r="A1106" s="27" t="s">
        <v>1846</v>
      </c>
      <c r="B1106" s="28" t="s">
        <v>27</v>
      </c>
      <c r="C1106" s="28" t="s">
        <v>121</v>
      </c>
      <c r="D1106" s="29" t="str">
        <f t="shared" si="46"/>
        <v>Removed</v>
      </c>
      <c r="E1106" s="33">
        <v>44484.0</v>
      </c>
      <c r="F1106" s="31">
        <v>44849.0</v>
      </c>
      <c r="G1106" s="32">
        <f t="shared" si="2"/>
        <v>12</v>
      </c>
      <c r="H1106" s="33">
        <v>44484.0</v>
      </c>
      <c r="I1106" s="32">
        <f t="shared" si="3"/>
        <v>0</v>
      </c>
      <c r="J1106" s="34">
        <v>61.0</v>
      </c>
      <c r="K1106" s="34">
        <v>19.5</v>
      </c>
      <c r="L1106" s="35" t="s">
        <v>588</v>
      </c>
      <c r="M1106" s="35"/>
      <c r="N1106" s="35"/>
      <c r="O1106" s="35" t="s">
        <v>125</v>
      </c>
      <c r="P1106" s="36" t="s">
        <v>1847</v>
      </c>
      <c r="Q1106" s="35"/>
      <c r="R1106" s="29"/>
      <c r="S1106" s="33"/>
      <c r="T1106" s="32"/>
    </row>
    <row r="1107">
      <c r="A1107" s="15" t="s">
        <v>1848</v>
      </c>
      <c r="B1107" s="16" t="s">
        <v>27</v>
      </c>
      <c r="C1107" s="16" t="s">
        <v>121</v>
      </c>
      <c r="D1107" s="17" t="str">
        <f t="shared" si="46"/>
        <v>Removed</v>
      </c>
      <c r="E1107" s="18">
        <v>44483.0</v>
      </c>
      <c r="F1107" s="52">
        <v>44849.0</v>
      </c>
      <c r="G1107" s="20">
        <f t="shared" si="2"/>
        <v>12.03333333</v>
      </c>
      <c r="H1107" s="18">
        <v>44119.0</v>
      </c>
      <c r="I1107" s="20">
        <f t="shared" si="3"/>
        <v>0.9972222222</v>
      </c>
      <c r="J1107" s="53">
        <v>74.0</v>
      </c>
      <c r="K1107" s="53">
        <v>7.5</v>
      </c>
      <c r="L1107" s="23" t="s">
        <v>1057</v>
      </c>
      <c r="M1107" s="23"/>
      <c r="N1107" s="23"/>
      <c r="O1107" s="23" t="s">
        <v>334</v>
      </c>
      <c r="P1107" s="54" t="s">
        <v>483</v>
      </c>
      <c r="Q1107" s="23"/>
      <c r="R1107" s="17"/>
      <c r="S1107" s="18"/>
      <c r="T1107" s="20"/>
    </row>
    <row r="1108">
      <c r="A1108" s="27" t="s">
        <v>1849</v>
      </c>
      <c r="B1108" s="28" t="s">
        <v>27</v>
      </c>
      <c r="C1108" s="28" t="s">
        <v>121</v>
      </c>
      <c r="D1108" s="29" t="str">
        <f t="shared" si="46"/>
        <v>Removed</v>
      </c>
      <c r="E1108" s="33">
        <v>44462.0</v>
      </c>
      <c r="F1108" s="31">
        <v>44849.0</v>
      </c>
      <c r="G1108" s="32">
        <f t="shared" si="2"/>
        <v>12.73333333</v>
      </c>
      <c r="H1108" s="33">
        <v>44462.0</v>
      </c>
      <c r="I1108" s="32">
        <f t="shared" si="3"/>
        <v>0</v>
      </c>
      <c r="J1108" s="34">
        <f>(70+77)/2</f>
        <v>73.5</v>
      </c>
      <c r="K1108" s="34">
        <v>7.0</v>
      </c>
      <c r="L1108" s="35" t="s">
        <v>362</v>
      </c>
      <c r="M1108" s="35"/>
      <c r="N1108" s="35"/>
      <c r="O1108" s="35" t="s">
        <v>334</v>
      </c>
      <c r="P1108" s="36" t="s">
        <v>1850</v>
      </c>
      <c r="Q1108" s="35"/>
      <c r="R1108" s="29"/>
      <c r="S1108" s="33"/>
      <c r="T1108" s="32"/>
    </row>
    <row r="1109">
      <c r="A1109" s="15" t="s">
        <v>1851</v>
      </c>
      <c r="B1109" s="16" t="s">
        <v>27</v>
      </c>
      <c r="C1109" s="16" t="s">
        <v>121</v>
      </c>
      <c r="D1109" s="17" t="str">
        <f t="shared" si="46"/>
        <v>Removed</v>
      </c>
      <c r="E1109" s="18">
        <v>44392.0</v>
      </c>
      <c r="F1109" s="52">
        <v>44849.0</v>
      </c>
      <c r="G1109" s="20">
        <f t="shared" si="2"/>
        <v>15</v>
      </c>
      <c r="H1109" s="18">
        <v>43889.0</v>
      </c>
      <c r="I1109" s="20">
        <f t="shared" si="3"/>
        <v>1.380555556</v>
      </c>
      <c r="J1109" s="53">
        <v>76.0</v>
      </c>
      <c r="K1109" s="53">
        <v>5.5</v>
      </c>
      <c r="L1109" s="23" t="s">
        <v>366</v>
      </c>
      <c r="M1109" s="23"/>
      <c r="N1109" s="23"/>
      <c r="O1109" s="23" t="s">
        <v>34</v>
      </c>
      <c r="P1109" s="54" t="s">
        <v>1852</v>
      </c>
      <c r="Q1109" s="23"/>
      <c r="R1109" s="17"/>
      <c r="S1109" s="18"/>
      <c r="T1109" s="20"/>
    </row>
    <row r="1110">
      <c r="A1110" s="67" t="s">
        <v>1853</v>
      </c>
      <c r="B1110" s="28" t="s">
        <v>68</v>
      </c>
      <c r="C1110" s="28"/>
      <c r="D1110" s="29" t="str">
        <f t="shared" si="46"/>
        <v>Removed</v>
      </c>
      <c r="E1110" s="30">
        <v>44418.0</v>
      </c>
      <c r="F1110" s="30">
        <v>44837.0</v>
      </c>
      <c r="G1110" s="32">
        <f t="shared" si="2"/>
        <v>13.76666667</v>
      </c>
      <c r="H1110" s="33">
        <v>42892.0</v>
      </c>
      <c r="I1110" s="32">
        <f t="shared" si="3"/>
        <v>4.177777778</v>
      </c>
      <c r="J1110" s="69">
        <v>86.0</v>
      </c>
      <c r="K1110" s="34">
        <v>31.0</v>
      </c>
      <c r="L1110" s="44" t="s">
        <v>1854</v>
      </c>
      <c r="M1110" s="35" t="s">
        <v>867</v>
      </c>
      <c r="N1110" s="35" t="s">
        <v>1855</v>
      </c>
      <c r="O1110" s="35" t="s">
        <v>132</v>
      </c>
      <c r="P1110" s="36"/>
      <c r="Q1110" s="35" t="s">
        <v>868</v>
      </c>
      <c r="R1110" s="29"/>
      <c r="S1110" s="33"/>
      <c r="T1110" s="32"/>
    </row>
    <row r="1111">
      <c r="A1111" s="64" t="s">
        <v>1856</v>
      </c>
      <c r="B1111" s="16" t="s">
        <v>68</v>
      </c>
      <c r="C1111" s="17"/>
      <c r="D1111" s="17" t="str">
        <f t="shared" si="46"/>
        <v>Removed</v>
      </c>
      <c r="E1111" s="62">
        <v>44418.0</v>
      </c>
      <c r="F1111" s="62">
        <v>44837.0</v>
      </c>
      <c r="G1111" s="20">
        <f t="shared" si="2"/>
        <v>13.76666667</v>
      </c>
      <c r="H1111" s="18">
        <v>42345.0</v>
      </c>
      <c r="I1111" s="20">
        <f t="shared" si="3"/>
        <v>5.675</v>
      </c>
      <c r="J1111" s="53">
        <v>86.0</v>
      </c>
      <c r="K1111" s="53">
        <v>27.5</v>
      </c>
      <c r="L1111" s="43" t="s">
        <v>500</v>
      </c>
      <c r="M1111" s="43"/>
      <c r="N1111" s="23" t="s">
        <v>1857</v>
      </c>
      <c r="O1111" s="23" t="s">
        <v>132</v>
      </c>
      <c r="P1111" s="54"/>
      <c r="Q1111" s="23"/>
      <c r="R1111" s="17"/>
      <c r="S1111" s="18"/>
      <c r="T1111" s="20"/>
    </row>
    <row r="1112">
      <c r="A1112" s="27" t="s">
        <v>1858</v>
      </c>
      <c r="B1112" s="28" t="s">
        <v>1859</v>
      </c>
      <c r="C1112" s="29"/>
      <c r="D1112" s="29" t="s">
        <v>1860</v>
      </c>
      <c r="E1112" s="70">
        <v>44819.0</v>
      </c>
      <c r="F1112" s="30">
        <v>44834.0</v>
      </c>
      <c r="G1112" s="32">
        <f t="shared" si="2"/>
        <v>0.5</v>
      </c>
      <c r="H1112" s="33"/>
      <c r="I1112" s="32">
        <f t="shared" si="3"/>
        <v>-3.083333333</v>
      </c>
      <c r="J1112" s="34"/>
      <c r="K1112" s="34"/>
      <c r="L1112" s="35"/>
      <c r="M1112" s="35"/>
      <c r="N1112" s="35" t="s">
        <v>1612</v>
      </c>
      <c r="O1112" s="35"/>
      <c r="P1112" s="36"/>
      <c r="Q1112" s="35"/>
      <c r="R1112" s="29"/>
      <c r="S1112" s="33"/>
      <c r="T1112" s="32"/>
    </row>
    <row r="1113">
      <c r="A1113" s="15" t="s">
        <v>1861</v>
      </c>
      <c r="B1113" s="16" t="s">
        <v>1610</v>
      </c>
      <c r="C1113" s="17"/>
      <c r="D1113" s="17" t="s">
        <v>1611</v>
      </c>
      <c r="E1113" s="76">
        <v>44805.0</v>
      </c>
      <c r="F1113" s="62">
        <v>44834.0</v>
      </c>
      <c r="G1113" s="20">
        <f t="shared" si="2"/>
        <v>0.9666666667</v>
      </c>
      <c r="H1113" s="18"/>
      <c r="I1113" s="20">
        <f t="shared" si="3"/>
        <v>-3.122222222</v>
      </c>
      <c r="J1113" s="53"/>
      <c r="K1113" s="53"/>
      <c r="L1113" s="23"/>
      <c r="M1113" s="23"/>
      <c r="N1113" s="23"/>
      <c r="O1113" s="23"/>
      <c r="P1113" s="54"/>
      <c r="Q1113" s="23"/>
      <c r="R1113" s="17"/>
      <c r="S1113" s="18"/>
      <c r="T1113" s="20"/>
    </row>
    <row r="1114">
      <c r="A1114" s="27" t="s">
        <v>1862</v>
      </c>
      <c r="B1114" s="28" t="s">
        <v>27</v>
      </c>
      <c r="C1114" s="28" t="s">
        <v>121</v>
      </c>
      <c r="D1114" s="29" t="str">
        <f t="shared" ref="D1114:D1123" si="47">IF(E1114&gt;TODAY(),"Coming Soon",IF(F1114="","Active",IF(F1114&gt;TODAY(),"Leaving Soon","Removed")))</f>
        <v>Removed</v>
      </c>
      <c r="E1114" s="33">
        <v>44476.0</v>
      </c>
      <c r="F1114" s="31">
        <v>44834.0</v>
      </c>
      <c r="G1114" s="32">
        <f t="shared" si="2"/>
        <v>11.76666667</v>
      </c>
      <c r="H1114" s="33">
        <v>43930.0</v>
      </c>
      <c r="I1114" s="32">
        <f t="shared" si="3"/>
        <v>1.494444444</v>
      </c>
      <c r="J1114" s="34">
        <v>78.0</v>
      </c>
      <c r="K1114" s="34">
        <v>3.0</v>
      </c>
      <c r="L1114" s="35" t="s">
        <v>362</v>
      </c>
      <c r="M1114" s="35"/>
      <c r="N1114" s="35"/>
      <c r="O1114" s="35" t="s">
        <v>34</v>
      </c>
      <c r="P1114" s="36" t="s">
        <v>1527</v>
      </c>
      <c r="Q1114" s="35"/>
      <c r="R1114" s="29"/>
      <c r="S1114" s="33"/>
      <c r="T1114" s="32"/>
    </row>
    <row r="1115">
      <c r="A1115" s="15" t="s">
        <v>1863</v>
      </c>
      <c r="B1115" s="16" t="s">
        <v>27</v>
      </c>
      <c r="C1115" s="16" t="s">
        <v>121</v>
      </c>
      <c r="D1115" s="17" t="str">
        <f t="shared" si="47"/>
        <v>Removed</v>
      </c>
      <c r="E1115" s="18">
        <v>44476.0</v>
      </c>
      <c r="F1115" s="52">
        <v>44834.0</v>
      </c>
      <c r="G1115" s="20">
        <f t="shared" si="2"/>
        <v>11.76666667</v>
      </c>
      <c r="H1115" s="18">
        <v>43375.0</v>
      </c>
      <c r="I1115" s="20">
        <f t="shared" si="3"/>
        <v>3.013888889</v>
      </c>
      <c r="J1115" s="53">
        <f>(78+81)/2</f>
        <v>79.5</v>
      </c>
      <c r="K1115" s="53">
        <v>6.0</v>
      </c>
      <c r="L1115" s="23" t="s">
        <v>562</v>
      </c>
      <c r="M1115" s="23" t="s">
        <v>123</v>
      </c>
      <c r="N1115" s="23"/>
      <c r="O1115" s="23" t="s">
        <v>34</v>
      </c>
      <c r="P1115" s="54" t="s">
        <v>1864</v>
      </c>
      <c r="Q1115" s="23"/>
      <c r="R1115" s="17"/>
      <c r="S1115" s="18"/>
      <c r="T1115" s="20"/>
    </row>
    <row r="1116">
      <c r="A1116" s="27" t="s">
        <v>1865</v>
      </c>
      <c r="B1116" s="28" t="s">
        <v>27</v>
      </c>
      <c r="C1116" s="28" t="s">
        <v>28</v>
      </c>
      <c r="D1116" s="29" t="str">
        <f t="shared" si="47"/>
        <v>Removed</v>
      </c>
      <c r="E1116" s="33">
        <v>44469.0</v>
      </c>
      <c r="F1116" s="31">
        <v>44834.0</v>
      </c>
      <c r="G1116" s="32">
        <f t="shared" si="2"/>
        <v>12</v>
      </c>
      <c r="H1116" s="33">
        <v>43725.0</v>
      </c>
      <c r="I1116" s="32">
        <f t="shared" si="3"/>
        <v>2.036111111</v>
      </c>
      <c r="J1116" s="34">
        <v>86.0</v>
      </c>
      <c r="K1116" s="34">
        <v>23.5</v>
      </c>
      <c r="L1116" s="35" t="s">
        <v>362</v>
      </c>
      <c r="M1116" s="35"/>
      <c r="N1116" s="35"/>
      <c r="O1116" s="35" t="s">
        <v>34</v>
      </c>
      <c r="P1116" s="36" t="s">
        <v>1300</v>
      </c>
      <c r="Q1116" s="35"/>
      <c r="R1116" s="29"/>
      <c r="S1116" s="33"/>
      <c r="T1116" s="32"/>
    </row>
    <row r="1117">
      <c r="A1117" s="15" t="s">
        <v>1866</v>
      </c>
      <c r="B1117" s="16" t="s">
        <v>27</v>
      </c>
      <c r="C1117" s="16" t="s">
        <v>121</v>
      </c>
      <c r="D1117" s="17" t="str">
        <f t="shared" si="47"/>
        <v>Removed</v>
      </c>
      <c r="E1117" s="18">
        <v>44469.0</v>
      </c>
      <c r="F1117" s="52">
        <v>44834.0</v>
      </c>
      <c r="G1117" s="20">
        <f t="shared" si="2"/>
        <v>12</v>
      </c>
      <c r="H1117" s="18">
        <v>44469.0</v>
      </c>
      <c r="I1117" s="20">
        <f t="shared" si="3"/>
        <v>0</v>
      </c>
      <c r="J1117" s="53">
        <v>68.0</v>
      </c>
      <c r="K1117" s="53">
        <v>30.0</v>
      </c>
      <c r="L1117" s="23" t="s">
        <v>29</v>
      </c>
      <c r="M1117" s="23"/>
      <c r="N1117" s="23"/>
      <c r="O1117" s="23" t="s">
        <v>125</v>
      </c>
      <c r="P1117" s="54" t="s">
        <v>1867</v>
      </c>
      <c r="Q1117" s="23" t="s">
        <v>1868</v>
      </c>
      <c r="R1117" s="17"/>
      <c r="S1117" s="18"/>
      <c r="T1117" s="20"/>
    </row>
    <row r="1118">
      <c r="A1118" s="27" t="s">
        <v>1869</v>
      </c>
      <c r="B1118" s="28" t="s">
        <v>27</v>
      </c>
      <c r="C1118" s="28"/>
      <c r="D1118" s="29" t="str">
        <f t="shared" si="47"/>
        <v>Removed</v>
      </c>
      <c r="E1118" s="33">
        <v>44469.0</v>
      </c>
      <c r="F1118" s="31">
        <v>44834.0</v>
      </c>
      <c r="G1118" s="32">
        <f t="shared" si="2"/>
        <v>12</v>
      </c>
      <c r="H1118" s="33">
        <v>44469.0</v>
      </c>
      <c r="I1118" s="32">
        <f t="shared" si="3"/>
        <v>0</v>
      </c>
      <c r="J1118" s="34">
        <v>80.0</v>
      </c>
      <c r="K1118" s="34">
        <v>8.0</v>
      </c>
      <c r="L1118" s="35" t="s">
        <v>37</v>
      </c>
      <c r="M1118" s="35"/>
      <c r="N1118" s="35"/>
      <c r="O1118" s="35" t="s">
        <v>125</v>
      </c>
      <c r="P1118" s="36" t="s">
        <v>551</v>
      </c>
      <c r="Q1118" s="35"/>
      <c r="R1118" s="29"/>
      <c r="S1118" s="33"/>
      <c r="T1118" s="32"/>
    </row>
    <row r="1119">
      <c r="A1119" s="15" t="s">
        <v>1870</v>
      </c>
      <c r="B1119" s="16" t="s">
        <v>27</v>
      </c>
      <c r="C1119" s="16" t="s">
        <v>121</v>
      </c>
      <c r="D1119" s="17" t="str">
        <f t="shared" si="47"/>
        <v>Removed</v>
      </c>
      <c r="E1119" s="18">
        <v>44467.0</v>
      </c>
      <c r="F1119" s="52">
        <v>44834.0</v>
      </c>
      <c r="G1119" s="20">
        <f t="shared" si="2"/>
        <v>12.06666667</v>
      </c>
      <c r="H1119" s="18">
        <v>44280.0</v>
      </c>
      <c r="I1119" s="20">
        <f t="shared" si="3"/>
        <v>0.5083333333</v>
      </c>
      <c r="J1119" s="53">
        <v>80.0</v>
      </c>
      <c r="K1119" s="53">
        <v>8.0</v>
      </c>
      <c r="L1119" s="23" t="s">
        <v>366</v>
      </c>
      <c r="M1119" s="23"/>
      <c r="N1119" s="23"/>
      <c r="O1119" s="23" t="s">
        <v>334</v>
      </c>
      <c r="P1119" s="54" t="s">
        <v>483</v>
      </c>
      <c r="Q1119" s="23"/>
      <c r="R1119" s="17"/>
      <c r="S1119" s="18"/>
      <c r="T1119" s="20"/>
    </row>
    <row r="1120">
      <c r="A1120" s="27" t="s">
        <v>1871</v>
      </c>
      <c r="B1120" s="28" t="s">
        <v>27</v>
      </c>
      <c r="C1120" s="28"/>
      <c r="D1120" s="29" t="str">
        <f t="shared" si="47"/>
        <v>Removed</v>
      </c>
      <c r="E1120" s="33">
        <v>44467.0</v>
      </c>
      <c r="F1120" s="31">
        <v>44834.0</v>
      </c>
      <c r="G1120" s="32">
        <f t="shared" si="2"/>
        <v>12.06666667</v>
      </c>
      <c r="H1120" s="33">
        <v>44467.0</v>
      </c>
      <c r="I1120" s="32">
        <f t="shared" si="3"/>
        <v>0</v>
      </c>
      <c r="J1120" s="34">
        <v>78.0</v>
      </c>
      <c r="K1120" s="34">
        <v>60.0</v>
      </c>
      <c r="L1120" s="35" t="s">
        <v>184</v>
      </c>
      <c r="M1120" s="35"/>
      <c r="N1120" s="35"/>
      <c r="O1120" s="35" t="s">
        <v>125</v>
      </c>
      <c r="P1120" s="36" t="s">
        <v>475</v>
      </c>
      <c r="Q1120" s="35" t="s">
        <v>1872</v>
      </c>
      <c r="R1120" s="29"/>
      <c r="S1120" s="33"/>
      <c r="T1120" s="32"/>
    </row>
    <row r="1121">
      <c r="A1121" s="15" t="s">
        <v>1873</v>
      </c>
      <c r="B1121" s="16" t="s">
        <v>27</v>
      </c>
      <c r="C1121" s="16" t="s">
        <v>28</v>
      </c>
      <c r="D1121" s="17" t="str">
        <f t="shared" si="47"/>
        <v>Removed</v>
      </c>
      <c r="E1121" s="18">
        <v>44462.0</v>
      </c>
      <c r="F1121" s="52">
        <v>44834.0</v>
      </c>
      <c r="G1121" s="20">
        <f t="shared" si="2"/>
        <v>12.23333333</v>
      </c>
      <c r="H1121" s="18">
        <v>43495.0</v>
      </c>
      <c r="I1121" s="20">
        <f t="shared" si="3"/>
        <v>2.647222222</v>
      </c>
      <c r="J1121" s="53">
        <f>(82+83)/2</f>
        <v>82.5</v>
      </c>
      <c r="K1121" s="53">
        <v>20.0</v>
      </c>
      <c r="L1121" s="23" t="s">
        <v>362</v>
      </c>
      <c r="M1121" s="23"/>
      <c r="N1121" s="23"/>
      <c r="O1121" s="23" t="s">
        <v>334</v>
      </c>
      <c r="P1121" s="54" t="s">
        <v>1874</v>
      </c>
      <c r="Q1121" s="23"/>
      <c r="R1121" s="17"/>
      <c r="S1121" s="18"/>
      <c r="T1121" s="20"/>
    </row>
    <row r="1122">
      <c r="A1122" s="27" t="s">
        <v>1875</v>
      </c>
      <c r="B1122" s="28" t="s">
        <v>27</v>
      </c>
      <c r="C1122" s="28" t="s">
        <v>121</v>
      </c>
      <c r="D1122" s="29" t="str">
        <f t="shared" si="47"/>
        <v>Removed</v>
      </c>
      <c r="E1122" s="33">
        <v>44376.0</v>
      </c>
      <c r="F1122" s="31">
        <v>44834.0</v>
      </c>
      <c r="G1122" s="32">
        <f t="shared" si="2"/>
        <v>15.03333333</v>
      </c>
      <c r="H1122" s="33">
        <v>44098.0</v>
      </c>
      <c r="I1122" s="32">
        <f t="shared" si="3"/>
        <v>0.7638888889</v>
      </c>
      <c r="J1122" s="34">
        <f>(73+78)/2</f>
        <v>75.5</v>
      </c>
      <c r="K1122" s="34">
        <v>8.0</v>
      </c>
      <c r="L1122" s="35" t="s">
        <v>366</v>
      </c>
      <c r="M1122" s="35"/>
      <c r="N1122" s="35"/>
      <c r="O1122" s="35" t="s">
        <v>125</v>
      </c>
      <c r="P1122" s="36" t="s">
        <v>1876</v>
      </c>
      <c r="Q1122" s="35"/>
      <c r="R1122" s="29"/>
      <c r="S1122" s="33"/>
      <c r="T1122" s="32"/>
    </row>
    <row r="1123">
      <c r="A1123" s="15" t="s">
        <v>1877</v>
      </c>
      <c r="B1123" s="16" t="s">
        <v>27</v>
      </c>
      <c r="C1123" s="16" t="s">
        <v>28</v>
      </c>
      <c r="D1123" s="17" t="str">
        <f t="shared" si="47"/>
        <v>Removed</v>
      </c>
      <c r="E1123" s="62">
        <v>44168.0</v>
      </c>
      <c r="F1123" s="52">
        <v>44834.0</v>
      </c>
      <c r="G1123" s="20">
        <f t="shared" si="2"/>
        <v>21.9</v>
      </c>
      <c r="H1123" s="18">
        <v>42948.0</v>
      </c>
      <c r="I1123" s="20">
        <f t="shared" si="3"/>
        <v>3.338888889</v>
      </c>
      <c r="J1123" s="53">
        <v>80.0</v>
      </c>
      <c r="K1123" s="53">
        <v>15.0</v>
      </c>
      <c r="L1123" s="23" t="s">
        <v>505</v>
      </c>
      <c r="M1123" s="23"/>
      <c r="N1123" s="23"/>
      <c r="O1123" s="23" t="s">
        <v>334</v>
      </c>
      <c r="P1123" s="54" t="s">
        <v>483</v>
      </c>
      <c r="Q1123" s="23"/>
      <c r="R1123" s="17"/>
      <c r="S1123" s="18"/>
      <c r="T1123" s="20"/>
    </row>
    <row r="1124">
      <c r="A1124" s="27" t="s">
        <v>1878</v>
      </c>
      <c r="B1124" s="28" t="s">
        <v>1610</v>
      </c>
      <c r="C1124" s="29"/>
      <c r="D1124" s="29" t="s">
        <v>1611</v>
      </c>
      <c r="E1124" s="70">
        <v>44789.0</v>
      </c>
      <c r="F1124" s="30">
        <v>44820.0</v>
      </c>
      <c r="G1124" s="32">
        <f t="shared" si="2"/>
        <v>1</v>
      </c>
      <c r="H1124" s="33"/>
      <c r="I1124" s="32">
        <f t="shared" si="3"/>
        <v>-3.163888889</v>
      </c>
      <c r="J1124" s="34"/>
      <c r="K1124" s="34"/>
      <c r="L1124" s="35"/>
      <c r="M1124" s="35"/>
      <c r="N1124" s="35"/>
      <c r="O1124" s="35"/>
      <c r="P1124" s="36"/>
      <c r="Q1124" s="35"/>
      <c r="R1124" s="29"/>
      <c r="S1124" s="33"/>
      <c r="T1124" s="32"/>
    </row>
    <row r="1125">
      <c r="A1125" s="15" t="s">
        <v>1879</v>
      </c>
      <c r="B1125" s="16" t="s">
        <v>1859</v>
      </c>
      <c r="C1125" s="17"/>
      <c r="D1125" s="17" t="s">
        <v>1860</v>
      </c>
      <c r="E1125" s="76">
        <v>44805.0</v>
      </c>
      <c r="F1125" s="62">
        <v>44819.0</v>
      </c>
      <c r="G1125" s="20">
        <f t="shared" si="2"/>
        <v>0.4666666667</v>
      </c>
      <c r="H1125" s="18"/>
      <c r="I1125" s="20">
        <f t="shared" si="3"/>
        <v>-3.122222222</v>
      </c>
      <c r="J1125" s="53"/>
      <c r="K1125" s="53"/>
      <c r="L1125" s="23"/>
      <c r="M1125" s="23"/>
      <c r="N1125" s="23" t="s">
        <v>1612</v>
      </c>
      <c r="O1125" s="23"/>
      <c r="P1125" s="54"/>
      <c r="Q1125" s="23"/>
      <c r="R1125" s="17"/>
      <c r="S1125" s="18"/>
      <c r="T1125" s="20"/>
    </row>
    <row r="1126">
      <c r="A1126" s="27" t="s">
        <v>1880</v>
      </c>
      <c r="B1126" s="28" t="s">
        <v>27</v>
      </c>
      <c r="C1126" s="28" t="s">
        <v>121</v>
      </c>
      <c r="D1126" s="29" t="str">
        <f t="shared" ref="D1126:D1135" si="48">IF(E1126&gt;TODAY(),"Coming Soon",IF(F1126="","Active",IF(F1126&gt;TODAY(),"Leaving Soon","Removed")))</f>
        <v>Removed</v>
      </c>
      <c r="E1126" s="33">
        <v>44469.0</v>
      </c>
      <c r="F1126" s="31">
        <v>44819.0</v>
      </c>
      <c r="G1126" s="32">
        <f t="shared" si="2"/>
        <v>11.5</v>
      </c>
      <c r="H1126" s="33">
        <v>44352.0</v>
      </c>
      <c r="I1126" s="32">
        <f t="shared" si="3"/>
        <v>0.3194444444</v>
      </c>
      <c r="J1126" s="34">
        <v>71.0</v>
      </c>
      <c r="K1126" s="34">
        <v>2.0</v>
      </c>
      <c r="L1126" s="35" t="s">
        <v>675</v>
      </c>
      <c r="M1126" s="35"/>
      <c r="N1126" s="35"/>
      <c r="O1126" s="35" t="s">
        <v>125</v>
      </c>
      <c r="P1126" s="36" t="s">
        <v>551</v>
      </c>
      <c r="Q1126" s="35"/>
      <c r="R1126" s="29"/>
      <c r="S1126" s="33"/>
      <c r="T1126" s="32"/>
    </row>
    <row r="1127">
      <c r="A1127" s="15" t="s">
        <v>1881</v>
      </c>
      <c r="B1127" s="16" t="s">
        <v>27</v>
      </c>
      <c r="C1127" s="16" t="s">
        <v>121</v>
      </c>
      <c r="D1127" s="17" t="str">
        <f t="shared" si="48"/>
        <v>Removed</v>
      </c>
      <c r="E1127" s="18">
        <v>44462.0</v>
      </c>
      <c r="F1127" s="52">
        <v>44819.0</v>
      </c>
      <c r="G1127" s="20">
        <f t="shared" si="2"/>
        <v>11.73333333</v>
      </c>
      <c r="H1127" s="18">
        <v>43917.0</v>
      </c>
      <c r="I1127" s="20">
        <f t="shared" si="3"/>
        <v>1.488888889</v>
      </c>
      <c r="J1127" s="53">
        <f>(74+80)/2</f>
        <v>77</v>
      </c>
      <c r="K1127" s="53">
        <v>4.5</v>
      </c>
      <c r="L1127" s="23" t="s">
        <v>557</v>
      </c>
      <c r="M1127" s="23"/>
      <c r="N1127" s="23"/>
      <c r="O1127" s="23" t="s">
        <v>132</v>
      </c>
      <c r="P1127" s="54" t="s">
        <v>1497</v>
      </c>
      <c r="Q1127" s="23"/>
      <c r="R1127" s="17"/>
      <c r="S1127" s="18"/>
      <c r="T1127" s="20"/>
    </row>
    <row r="1128">
      <c r="A1128" s="27" t="s">
        <v>1882</v>
      </c>
      <c r="B1128" s="28" t="s">
        <v>27</v>
      </c>
      <c r="C1128" s="28" t="s">
        <v>121</v>
      </c>
      <c r="D1128" s="29" t="str">
        <f t="shared" si="48"/>
        <v>Removed</v>
      </c>
      <c r="E1128" s="33">
        <v>44455.0</v>
      </c>
      <c r="F1128" s="31">
        <v>44819.0</v>
      </c>
      <c r="G1128" s="32">
        <f t="shared" si="2"/>
        <v>11.96666667</v>
      </c>
      <c r="H1128" s="33">
        <v>44455.0</v>
      </c>
      <c r="I1128" s="32">
        <f t="shared" si="3"/>
        <v>0</v>
      </c>
      <c r="J1128" s="34">
        <f>(68+69)/2</f>
        <v>68.5</v>
      </c>
      <c r="K1128" s="34">
        <v>5.0</v>
      </c>
      <c r="L1128" s="35" t="s">
        <v>1458</v>
      </c>
      <c r="M1128" s="35"/>
      <c r="N1128" s="35"/>
      <c r="O1128" s="35" t="s">
        <v>125</v>
      </c>
      <c r="P1128" s="36" t="s">
        <v>1418</v>
      </c>
      <c r="Q1128" s="35"/>
      <c r="R1128" s="29"/>
      <c r="S1128" s="33"/>
      <c r="T1128" s="32"/>
    </row>
    <row r="1129">
      <c r="A1129" s="15" t="s">
        <v>1883</v>
      </c>
      <c r="B1129" s="16" t="s">
        <v>27</v>
      </c>
      <c r="C1129" s="16" t="s">
        <v>121</v>
      </c>
      <c r="D1129" s="17" t="str">
        <f t="shared" si="48"/>
        <v>Removed</v>
      </c>
      <c r="E1129" s="18">
        <v>44455.0</v>
      </c>
      <c r="F1129" s="52">
        <v>44819.0</v>
      </c>
      <c r="G1129" s="20">
        <f t="shared" si="2"/>
        <v>11.96666667</v>
      </c>
      <c r="H1129" s="18">
        <v>44455.0</v>
      </c>
      <c r="I1129" s="20">
        <f t="shared" si="3"/>
        <v>0</v>
      </c>
      <c r="J1129" s="53">
        <f>(61+63)/2</f>
        <v>62</v>
      </c>
      <c r="K1129" s="53">
        <v>5.5</v>
      </c>
      <c r="L1129" s="23" t="s">
        <v>941</v>
      </c>
      <c r="M1129" s="23"/>
      <c r="N1129" s="23"/>
      <c r="O1129" s="23" t="s">
        <v>125</v>
      </c>
      <c r="P1129" s="54" t="s">
        <v>1884</v>
      </c>
      <c r="Q1129" s="23"/>
      <c r="R1129" s="17"/>
      <c r="S1129" s="18"/>
      <c r="T1129" s="20"/>
    </row>
    <row r="1130">
      <c r="A1130" s="27" t="s">
        <v>1885</v>
      </c>
      <c r="B1130" s="28" t="s">
        <v>27</v>
      </c>
      <c r="C1130" s="28" t="s">
        <v>121</v>
      </c>
      <c r="D1130" s="29" t="str">
        <f t="shared" si="48"/>
        <v>Removed</v>
      </c>
      <c r="E1130" s="33">
        <v>44454.0</v>
      </c>
      <c r="F1130" s="31">
        <v>44819.0</v>
      </c>
      <c r="G1130" s="32">
        <f t="shared" si="2"/>
        <v>12</v>
      </c>
      <c r="H1130" s="33">
        <v>44454.0</v>
      </c>
      <c r="I1130" s="32">
        <f t="shared" si="3"/>
        <v>0</v>
      </c>
      <c r="J1130" s="34">
        <v>85.0</v>
      </c>
      <c r="K1130" s="34">
        <v>6.0</v>
      </c>
      <c r="L1130" s="35" t="s">
        <v>918</v>
      </c>
      <c r="M1130" s="35"/>
      <c r="N1130" s="35"/>
      <c r="O1130" s="35" t="s">
        <v>334</v>
      </c>
      <c r="P1130" s="36" t="s">
        <v>483</v>
      </c>
      <c r="Q1130" s="35"/>
      <c r="R1130" s="29"/>
      <c r="S1130" s="33"/>
      <c r="T1130" s="32"/>
    </row>
    <row r="1131">
      <c r="A1131" s="15" t="s">
        <v>1886</v>
      </c>
      <c r="B1131" s="16" t="s">
        <v>27</v>
      </c>
      <c r="C1131" s="16" t="s">
        <v>121</v>
      </c>
      <c r="D1131" s="17" t="str">
        <f t="shared" si="48"/>
        <v>Removed</v>
      </c>
      <c r="E1131" s="18">
        <v>44448.0</v>
      </c>
      <c r="F1131" s="52">
        <v>44819.0</v>
      </c>
      <c r="G1131" s="20">
        <f t="shared" si="2"/>
        <v>12.2</v>
      </c>
      <c r="H1131" s="18">
        <v>44448.0</v>
      </c>
      <c r="I1131" s="20">
        <f t="shared" si="3"/>
        <v>0</v>
      </c>
      <c r="J1131" s="53">
        <f>(80+82)/2</f>
        <v>81</v>
      </c>
      <c r="K1131" s="53">
        <v>4.5</v>
      </c>
      <c r="L1131" s="23" t="s">
        <v>44</v>
      </c>
      <c r="M1131" s="23"/>
      <c r="N1131" s="23"/>
      <c r="O1131" s="23" t="s">
        <v>334</v>
      </c>
      <c r="P1131" s="54" t="s">
        <v>1887</v>
      </c>
      <c r="Q1131" s="23"/>
      <c r="R1131" s="17"/>
      <c r="S1131" s="18"/>
      <c r="T1131" s="20"/>
    </row>
    <row r="1132">
      <c r="A1132" s="27" t="s">
        <v>1888</v>
      </c>
      <c r="B1132" s="28" t="s">
        <v>27</v>
      </c>
      <c r="C1132" s="28" t="s">
        <v>28</v>
      </c>
      <c r="D1132" s="29" t="str">
        <f t="shared" si="48"/>
        <v>Removed</v>
      </c>
      <c r="E1132" s="33">
        <v>44441.0</v>
      </c>
      <c r="F1132" s="31">
        <v>44819.0</v>
      </c>
      <c r="G1132" s="32">
        <f t="shared" si="2"/>
        <v>12.43333333</v>
      </c>
      <c r="H1132" s="33">
        <v>44078.0</v>
      </c>
      <c r="I1132" s="32">
        <f t="shared" si="3"/>
        <v>0.9944444444</v>
      </c>
      <c r="J1132" s="101">
        <f>7*10</f>
        <v>70</v>
      </c>
      <c r="K1132" s="34">
        <v>27.0</v>
      </c>
      <c r="L1132" s="35" t="s">
        <v>37</v>
      </c>
      <c r="M1132" s="35"/>
      <c r="N1132" s="35"/>
      <c r="O1132" s="35" t="s">
        <v>125</v>
      </c>
      <c r="P1132" s="36" t="s">
        <v>1889</v>
      </c>
      <c r="Q1132" s="35"/>
      <c r="R1132" s="29"/>
      <c r="S1132" s="33"/>
      <c r="T1132" s="32"/>
    </row>
    <row r="1133">
      <c r="A1133" s="15" t="s">
        <v>1890</v>
      </c>
      <c r="B1133" s="16" t="s">
        <v>27</v>
      </c>
      <c r="C1133" s="16"/>
      <c r="D1133" s="17" t="str">
        <f t="shared" si="48"/>
        <v>Removed</v>
      </c>
      <c r="E1133" s="18">
        <v>44441.0</v>
      </c>
      <c r="F1133" s="52">
        <v>44819.0</v>
      </c>
      <c r="G1133" s="20">
        <f t="shared" si="2"/>
        <v>12.43333333</v>
      </c>
      <c r="H1133" s="18">
        <v>40246.0</v>
      </c>
      <c r="I1133" s="20">
        <f t="shared" si="3"/>
        <v>11.48055556</v>
      </c>
      <c r="J1133" s="53">
        <f>(65+82)/2</f>
        <v>73.5</v>
      </c>
      <c r="K1133" s="53">
        <v>48.5</v>
      </c>
      <c r="L1133" s="23" t="s">
        <v>29</v>
      </c>
      <c r="M1133" s="23"/>
      <c r="N1133" s="23"/>
      <c r="O1133" s="23" t="s">
        <v>125</v>
      </c>
      <c r="P1133" s="54" t="s">
        <v>1891</v>
      </c>
      <c r="Q1133" s="23"/>
      <c r="R1133" s="17"/>
      <c r="S1133" s="18"/>
      <c r="T1133" s="20"/>
    </row>
    <row r="1134">
      <c r="A1134" s="27" t="s">
        <v>1892</v>
      </c>
      <c r="B1134" s="28" t="s">
        <v>27</v>
      </c>
      <c r="C1134" s="28" t="s">
        <v>121</v>
      </c>
      <c r="D1134" s="29" t="str">
        <f t="shared" si="48"/>
        <v>Removed</v>
      </c>
      <c r="E1134" s="33">
        <v>44378.0</v>
      </c>
      <c r="F1134" s="31">
        <v>44819.0</v>
      </c>
      <c r="G1134" s="32">
        <f t="shared" si="2"/>
        <v>14.46666667</v>
      </c>
      <c r="H1134" s="33">
        <v>43790.0</v>
      </c>
      <c r="I1134" s="32">
        <f t="shared" si="3"/>
        <v>1.611111111</v>
      </c>
      <c r="J1134" s="34">
        <v>86.0</v>
      </c>
      <c r="K1134" s="34">
        <v>25.5</v>
      </c>
      <c r="L1134" s="35" t="s">
        <v>29</v>
      </c>
      <c r="M1134" s="35"/>
      <c r="N1134" s="35"/>
      <c r="O1134" s="35" t="s">
        <v>132</v>
      </c>
      <c r="P1134" s="36" t="s">
        <v>340</v>
      </c>
      <c r="Q1134" s="35"/>
      <c r="R1134" s="29"/>
      <c r="S1134" s="33"/>
      <c r="T1134" s="32"/>
    </row>
    <row r="1135">
      <c r="A1135" s="64" t="s">
        <v>1893</v>
      </c>
      <c r="B1135" s="16" t="s">
        <v>27</v>
      </c>
      <c r="C1135" s="16" t="s">
        <v>28</v>
      </c>
      <c r="D1135" s="17" t="str">
        <f t="shared" si="48"/>
        <v>Removed</v>
      </c>
      <c r="E1135" s="76">
        <v>43853.0</v>
      </c>
      <c r="F1135" s="52">
        <v>44819.0</v>
      </c>
      <c r="G1135" s="20">
        <f t="shared" si="2"/>
        <v>31.73333333</v>
      </c>
      <c r="H1135" s="18">
        <v>43599.0</v>
      </c>
      <c r="I1135" s="20">
        <f t="shared" si="3"/>
        <v>0.6916666667</v>
      </c>
      <c r="J1135" s="65">
        <v>83.0</v>
      </c>
      <c r="K1135" s="53">
        <v>10.5</v>
      </c>
      <c r="L1135" s="43" t="s">
        <v>37</v>
      </c>
      <c r="M1135" s="23" t="s">
        <v>123</v>
      </c>
      <c r="N1135" s="23"/>
      <c r="O1135" s="23" t="s">
        <v>34</v>
      </c>
      <c r="P1135" s="54" t="s">
        <v>432</v>
      </c>
      <c r="Q1135" s="23"/>
      <c r="R1135" s="17"/>
      <c r="S1135" s="18"/>
      <c r="T1135" s="20"/>
    </row>
    <row r="1136">
      <c r="A1136" s="27" t="s">
        <v>1894</v>
      </c>
      <c r="B1136" s="28" t="s">
        <v>1859</v>
      </c>
      <c r="C1136" s="29"/>
      <c r="D1136" s="29" t="s">
        <v>1860</v>
      </c>
      <c r="E1136" s="70">
        <v>44788.0</v>
      </c>
      <c r="F1136" s="30">
        <v>44804.0</v>
      </c>
      <c r="G1136" s="32">
        <f t="shared" si="2"/>
        <v>0.5</v>
      </c>
      <c r="H1136" s="33"/>
      <c r="I1136" s="32">
        <f t="shared" si="3"/>
        <v>-3.166666667</v>
      </c>
      <c r="J1136" s="34"/>
      <c r="K1136" s="34"/>
      <c r="L1136" s="35"/>
      <c r="M1136" s="35"/>
      <c r="N1136" s="35" t="s">
        <v>1612</v>
      </c>
      <c r="O1136" s="35"/>
      <c r="P1136" s="36"/>
      <c r="Q1136" s="35"/>
      <c r="R1136" s="29"/>
      <c r="S1136" s="33"/>
      <c r="T1136" s="32"/>
    </row>
    <row r="1137">
      <c r="A1137" s="15" t="s">
        <v>1895</v>
      </c>
      <c r="B1137" s="16" t="s">
        <v>1610</v>
      </c>
      <c r="C1137" s="17"/>
      <c r="D1137" s="17" t="s">
        <v>1611</v>
      </c>
      <c r="E1137" s="76">
        <v>44774.0</v>
      </c>
      <c r="F1137" s="62">
        <v>44804.0</v>
      </c>
      <c r="G1137" s="20">
        <f t="shared" si="2"/>
        <v>0.9666666667</v>
      </c>
      <c r="H1137" s="18"/>
      <c r="I1137" s="20">
        <f t="shared" si="3"/>
        <v>-3.205555556</v>
      </c>
      <c r="J1137" s="53"/>
      <c r="K1137" s="53"/>
      <c r="L1137" s="23"/>
      <c r="M1137" s="23"/>
      <c r="N1137" s="23" t="s">
        <v>1612</v>
      </c>
      <c r="O1137" s="23"/>
      <c r="P1137" s="54"/>
      <c r="Q1137" s="23"/>
      <c r="R1137" s="17"/>
      <c r="S1137" s="18"/>
      <c r="T1137" s="20"/>
    </row>
    <row r="1138">
      <c r="A1138" s="27" t="s">
        <v>1896</v>
      </c>
      <c r="B1138" s="28" t="s">
        <v>68</v>
      </c>
      <c r="C1138" s="28" t="s">
        <v>28</v>
      </c>
      <c r="D1138" s="29" t="str">
        <f t="shared" ref="D1138:D1144" si="49">IF(E1138&gt;TODAY(),"Coming Soon",IF(F1138="","Active",IF(F1138&gt;TODAY(),"Leaving Soon","Removed")))</f>
        <v>Removed</v>
      </c>
      <c r="E1138" s="33">
        <v>44679.0</v>
      </c>
      <c r="F1138" s="31">
        <v>44804.0</v>
      </c>
      <c r="G1138" s="32">
        <f t="shared" si="2"/>
        <v>4.066666667</v>
      </c>
      <c r="H1138" s="33">
        <v>44449.0</v>
      </c>
      <c r="I1138" s="32">
        <f t="shared" si="3"/>
        <v>0.6333333333</v>
      </c>
      <c r="J1138" s="34">
        <v>76.0</v>
      </c>
      <c r="K1138" s="34">
        <v>125.0</v>
      </c>
      <c r="L1138" s="35" t="s">
        <v>922</v>
      </c>
      <c r="M1138" s="35"/>
      <c r="N1138" s="35"/>
      <c r="O1138" s="35" t="s">
        <v>132</v>
      </c>
      <c r="P1138" s="36"/>
      <c r="Q1138" s="35"/>
      <c r="R1138" s="29"/>
      <c r="S1138" s="33"/>
      <c r="T1138" s="32"/>
    </row>
    <row r="1139">
      <c r="A1139" s="15" t="s">
        <v>1897</v>
      </c>
      <c r="B1139" s="16" t="s">
        <v>27</v>
      </c>
      <c r="C1139" s="16" t="s">
        <v>121</v>
      </c>
      <c r="D1139" s="17" t="str">
        <f t="shared" si="49"/>
        <v>Removed</v>
      </c>
      <c r="E1139" s="18">
        <v>44441.0</v>
      </c>
      <c r="F1139" s="52">
        <v>44804.0</v>
      </c>
      <c r="G1139" s="20">
        <f t="shared" si="2"/>
        <v>11.93333333</v>
      </c>
      <c r="H1139" s="18">
        <v>43965.0</v>
      </c>
      <c r="I1139" s="20">
        <f t="shared" si="3"/>
        <v>1.3</v>
      </c>
      <c r="J1139" s="53">
        <v>77.0</v>
      </c>
      <c r="K1139" s="53">
        <v>4.0</v>
      </c>
      <c r="L1139" s="23" t="s">
        <v>604</v>
      </c>
      <c r="M1139" s="23"/>
      <c r="N1139" s="23"/>
      <c r="O1139" s="23" t="s">
        <v>334</v>
      </c>
      <c r="P1139" s="54" t="s">
        <v>1898</v>
      </c>
      <c r="Q1139" s="23" t="s">
        <v>863</v>
      </c>
      <c r="R1139" s="17"/>
      <c r="S1139" s="18"/>
      <c r="T1139" s="20"/>
    </row>
    <row r="1140">
      <c r="A1140" s="27" t="s">
        <v>1899</v>
      </c>
      <c r="B1140" s="28" t="s">
        <v>27</v>
      </c>
      <c r="C1140" s="28" t="s">
        <v>28</v>
      </c>
      <c r="D1140" s="29" t="str">
        <f t="shared" si="49"/>
        <v>Removed</v>
      </c>
      <c r="E1140" s="33">
        <v>44434.0</v>
      </c>
      <c r="F1140" s="31">
        <v>44804.0</v>
      </c>
      <c r="G1140" s="32">
        <f t="shared" si="2"/>
        <v>12.13333333</v>
      </c>
      <c r="H1140" s="33">
        <v>44434.0</v>
      </c>
      <c r="I1140" s="32">
        <f t="shared" si="3"/>
        <v>0</v>
      </c>
      <c r="J1140" s="34">
        <v>79.0</v>
      </c>
      <c r="K1140" s="34">
        <v>5.5</v>
      </c>
      <c r="L1140" s="35" t="s">
        <v>562</v>
      </c>
      <c r="M1140" s="35"/>
      <c r="N1140" s="35" t="s">
        <v>1900</v>
      </c>
      <c r="O1140" s="35" t="s">
        <v>132</v>
      </c>
      <c r="P1140" s="36"/>
      <c r="Q1140" s="35"/>
      <c r="R1140" s="29"/>
      <c r="S1140" s="33"/>
      <c r="T1140" s="32"/>
    </row>
    <row r="1141">
      <c r="A1141" s="15" t="s">
        <v>1901</v>
      </c>
      <c r="B1141" s="16" t="s">
        <v>27</v>
      </c>
      <c r="C1141" s="16" t="s">
        <v>28</v>
      </c>
      <c r="D1141" s="17" t="str">
        <f t="shared" si="49"/>
        <v>Removed</v>
      </c>
      <c r="E1141" s="18">
        <v>44427.0</v>
      </c>
      <c r="F1141" s="52">
        <v>44804.0</v>
      </c>
      <c r="G1141" s="20">
        <f t="shared" si="2"/>
        <v>12.36666667</v>
      </c>
      <c r="H1141" s="18">
        <v>44427.0</v>
      </c>
      <c r="I1141" s="20">
        <f t="shared" si="3"/>
        <v>0</v>
      </c>
      <c r="J1141" s="53">
        <f>(71+74+77)/3</f>
        <v>74</v>
      </c>
      <c r="K1141" s="53">
        <v>4.5</v>
      </c>
      <c r="L1141" s="23" t="s">
        <v>362</v>
      </c>
      <c r="M1141" s="23" t="s">
        <v>123</v>
      </c>
      <c r="N1141" s="23"/>
      <c r="O1141" s="23" t="s">
        <v>34</v>
      </c>
      <c r="P1141" s="54" t="s">
        <v>1902</v>
      </c>
      <c r="Q1141" s="23" t="s">
        <v>1903</v>
      </c>
      <c r="R1141" s="17"/>
      <c r="S1141" s="18"/>
      <c r="T1141" s="20"/>
    </row>
    <row r="1142">
      <c r="A1142" s="27" t="s">
        <v>1904</v>
      </c>
      <c r="B1142" s="28" t="s">
        <v>68</v>
      </c>
      <c r="C1142" s="28" t="s">
        <v>28</v>
      </c>
      <c r="D1142" s="29" t="str">
        <f t="shared" si="49"/>
        <v>Removed</v>
      </c>
      <c r="E1142" s="33">
        <v>44252.0</v>
      </c>
      <c r="F1142" s="31">
        <v>44804.0</v>
      </c>
      <c r="G1142" s="32">
        <f t="shared" si="2"/>
        <v>18.16666667</v>
      </c>
      <c r="H1142" s="33">
        <v>41989.0</v>
      </c>
      <c r="I1142" s="32">
        <f t="shared" si="3"/>
        <v>6.191666667</v>
      </c>
      <c r="J1142" s="34">
        <v>80.0</v>
      </c>
      <c r="K1142" s="34">
        <v>89.5</v>
      </c>
      <c r="L1142" s="35" t="s">
        <v>1905</v>
      </c>
      <c r="M1142" s="35"/>
      <c r="N1142" s="35"/>
      <c r="O1142" s="35" t="s">
        <v>125</v>
      </c>
      <c r="P1142" s="36" t="s">
        <v>1906</v>
      </c>
      <c r="Q1142" s="35"/>
      <c r="R1142" s="29"/>
      <c r="S1142" s="33"/>
      <c r="T1142" s="32"/>
    </row>
    <row r="1143">
      <c r="A1143" s="64" t="s">
        <v>1907</v>
      </c>
      <c r="B1143" s="16" t="s">
        <v>27</v>
      </c>
      <c r="C1143" s="16" t="s">
        <v>121</v>
      </c>
      <c r="D1143" s="17" t="str">
        <f t="shared" si="49"/>
        <v>Removed</v>
      </c>
      <c r="E1143" s="76">
        <v>43886.0</v>
      </c>
      <c r="F1143" s="52">
        <v>44804.0</v>
      </c>
      <c r="G1143" s="20">
        <f t="shared" si="2"/>
        <v>30.16666667</v>
      </c>
      <c r="H1143" s="18">
        <v>43220.0</v>
      </c>
      <c r="I1143" s="20">
        <f t="shared" si="3"/>
        <v>1.819444444</v>
      </c>
      <c r="J1143" s="65">
        <v>83.0</v>
      </c>
      <c r="K1143" s="53">
        <v>30.5</v>
      </c>
      <c r="L1143" s="43" t="s">
        <v>50</v>
      </c>
      <c r="M1143" s="23" t="s">
        <v>451</v>
      </c>
      <c r="N1143" s="43"/>
      <c r="O1143" s="23" t="s">
        <v>334</v>
      </c>
      <c r="P1143" s="54" t="s">
        <v>1908</v>
      </c>
      <c r="Q1143" s="23"/>
      <c r="R1143" s="17"/>
      <c r="S1143" s="18"/>
      <c r="T1143" s="20"/>
    </row>
    <row r="1144">
      <c r="A1144" s="67" t="s">
        <v>1909</v>
      </c>
      <c r="B1144" s="28" t="s">
        <v>27</v>
      </c>
      <c r="C1144" s="28" t="s">
        <v>121</v>
      </c>
      <c r="D1144" s="29" t="str">
        <f t="shared" si="49"/>
        <v>Removed</v>
      </c>
      <c r="E1144" s="70">
        <v>43545.0</v>
      </c>
      <c r="F1144" s="31">
        <v>44804.0</v>
      </c>
      <c r="G1144" s="32">
        <f t="shared" si="2"/>
        <v>41.3</v>
      </c>
      <c r="H1144" s="33">
        <v>42850.0</v>
      </c>
      <c r="I1144" s="32">
        <f t="shared" si="3"/>
        <v>1.905555556</v>
      </c>
      <c r="J1144" s="69">
        <v>92.0</v>
      </c>
      <c r="K1144" s="34">
        <v>2.0</v>
      </c>
      <c r="L1144" s="44" t="s">
        <v>562</v>
      </c>
      <c r="M1144" s="44"/>
      <c r="N1144" s="44"/>
      <c r="O1144" s="35" t="s">
        <v>125</v>
      </c>
      <c r="P1144" s="36" t="s">
        <v>1910</v>
      </c>
      <c r="Q1144" s="35"/>
      <c r="R1144" s="29"/>
      <c r="S1144" s="33"/>
      <c r="T1144" s="32"/>
    </row>
    <row r="1145">
      <c r="A1145" s="15" t="s">
        <v>1911</v>
      </c>
      <c r="B1145" s="16" t="s">
        <v>1859</v>
      </c>
      <c r="C1145" s="17"/>
      <c r="D1145" s="17" t="s">
        <v>1860</v>
      </c>
      <c r="E1145" s="76">
        <v>44774.0</v>
      </c>
      <c r="F1145" s="62">
        <v>44788.0</v>
      </c>
      <c r="G1145" s="20">
        <f t="shared" si="2"/>
        <v>0.4666666667</v>
      </c>
      <c r="H1145" s="18"/>
      <c r="I1145" s="20">
        <f t="shared" si="3"/>
        <v>-3.205555556</v>
      </c>
      <c r="J1145" s="53"/>
      <c r="K1145" s="53"/>
      <c r="L1145" s="23"/>
      <c r="M1145" s="23"/>
      <c r="N1145" s="23" t="s">
        <v>1612</v>
      </c>
      <c r="O1145" s="23"/>
      <c r="P1145" s="54"/>
      <c r="Q1145" s="23"/>
      <c r="R1145" s="17"/>
      <c r="S1145" s="18"/>
      <c r="T1145" s="20"/>
    </row>
    <row r="1146">
      <c r="A1146" s="27" t="s">
        <v>1912</v>
      </c>
      <c r="B1146" s="28" t="s">
        <v>1610</v>
      </c>
      <c r="C1146" s="29"/>
      <c r="D1146" s="29" t="s">
        <v>1611</v>
      </c>
      <c r="E1146" s="70">
        <v>44758.0</v>
      </c>
      <c r="F1146" s="30">
        <v>44788.0</v>
      </c>
      <c r="G1146" s="32">
        <f t="shared" si="2"/>
        <v>0.9666666667</v>
      </c>
      <c r="H1146" s="33"/>
      <c r="I1146" s="32">
        <f t="shared" si="3"/>
        <v>-3.247222222</v>
      </c>
      <c r="J1146" s="34"/>
      <c r="K1146" s="34"/>
      <c r="L1146" s="35"/>
      <c r="M1146" s="35" t="s">
        <v>1614</v>
      </c>
      <c r="N1146" s="35" t="s">
        <v>1612</v>
      </c>
      <c r="O1146" s="35"/>
      <c r="P1146" s="36"/>
      <c r="Q1146" s="35"/>
      <c r="R1146" s="29"/>
      <c r="S1146" s="33"/>
      <c r="T1146" s="32"/>
    </row>
    <row r="1147">
      <c r="A1147" s="15" t="s">
        <v>1913</v>
      </c>
      <c r="B1147" s="16" t="s">
        <v>27</v>
      </c>
      <c r="C1147" s="16" t="s">
        <v>121</v>
      </c>
      <c r="D1147" s="17" t="str">
        <f t="shared" ref="D1147:D1151" si="50">IF(E1147&gt;TODAY(),"Coming Soon",IF(F1147="","Active",IF(F1147&gt;TODAY(),"Leaving Soon","Removed")))</f>
        <v>Removed</v>
      </c>
      <c r="E1147" s="18">
        <v>44427.0</v>
      </c>
      <c r="F1147" s="62">
        <v>44788.0</v>
      </c>
      <c r="G1147" s="20">
        <f t="shared" si="2"/>
        <v>11.86666667</v>
      </c>
      <c r="H1147" s="18">
        <v>44063.0</v>
      </c>
      <c r="I1147" s="20">
        <f t="shared" si="3"/>
        <v>0.9972222222</v>
      </c>
      <c r="J1147" s="53">
        <f>(70+80+90)/3</f>
        <v>80</v>
      </c>
      <c r="K1147" s="65"/>
      <c r="L1147" s="23" t="s">
        <v>50</v>
      </c>
      <c r="M1147" s="23" t="s">
        <v>123</v>
      </c>
      <c r="N1147" s="23"/>
      <c r="O1147" s="23" t="s">
        <v>132</v>
      </c>
      <c r="P1147" s="54"/>
      <c r="Q1147" s="23"/>
      <c r="R1147" s="17"/>
      <c r="S1147" s="18"/>
      <c r="T1147" s="20"/>
    </row>
    <row r="1148">
      <c r="A1148" s="27" t="s">
        <v>1914</v>
      </c>
      <c r="B1148" s="28" t="s">
        <v>27</v>
      </c>
      <c r="C1148" s="28" t="s">
        <v>121</v>
      </c>
      <c r="D1148" s="29" t="str">
        <f t="shared" si="50"/>
        <v>Removed</v>
      </c>
      <c r="E1148" s="30">
        <v>44419.0</v>
      </c>
      <c r="F1148" s="30">
        <v>44788.0</v>
      </c>
      <c r="G1148" s="32">
        <f t="shared" si="2"/>
        <v>12.13333333</v>
      </c>
      <c r="H1148" s="33">
        <v>44419.0</v>
      </c>
      <c r="I1148" s="32">
        <f t="shared" si="3"/>
        <v>0</v>
      </c>
      <c r="J1148" s="69">
        <f>(70+73)/2</f>
        <v>71.5</v>
      </c>
      <c r="K1148" s="34">
        <v>5.0</v>
      </c>
      <c r="L1148" s="35" t="s">
        <v>366</v>
      </c>
      <c r="M1148" s="44"/>
      <c r="N1148" s="35"/>
      <c r="O1148" s="35" t="s">
        <v>125</v>
      </c>
      <c r="P1148" s="36" t="s">
        <v>1915</v>
      </c>
      <c r="Q1148" s="35"/>
      <c r="R1148" s="29"/>
      <c r="S1148" s="33"/>
      <c r="T1148" s="32"/>
    </row>
    <row r="1149">
      <c r="A1149" s="15" t="s">
        <v>1916</v>
      </c>
      <c r="B1149" s="16" t="s">
        <v>27</v>
      </c>
      <c r="C1149" s="16" t="s">
        <v>28</v>
      </c>
      <c r="D1149" s="17" t="str">
        <f t="shared" si="50"/>
        <v>Removed</v>
      </c>
      <c r="E1149" s="62">
        <v>44419.0</v>
      </c>
      <c r="F1149" s="62">
        <v>44788.0</v>
      </c>
      <c r="G1149" s="20">
        <f t="shared" si="2"/>
        <v>12.13333333</v>
      </c>
      <c r="H1149" s="18">
        <v>43966.0</v>
      </c>
      <c r="I1149" s="20">
        <f t="shared" si="3"/>
        <v>1.238888889</v>
      </c>
      <c r="J1149" s="118">
        <f>(9+10)/2*10</f>
        <v>95</v>
      </c>
      <c r="K1149" s="53">
        <v>96.5</v>
      </c>
      <c r="L1149" s="23" t="s">
        <v>29</v>
      </c>
      <c r="M1149" s="43"/>
      <c r="N1149" s="23"/>
      <c r="O1149" s="23" t="s">
        <v>34</v>
      </c>
      <c r="P1149" s="54" t="s">
        <v>432</v>
      </c>
      <c r="Q1149" s="23"/>
      <c r="R1149" s="17"/>
      <c r="S1149" s="18"/>
      <c r="T1149" s="20"/>
    </row>
    <row r="1150">
      <c r="A1150" s="27" t="s">
        <v>1917</v>
      </c>
      <c r="B1150" s="28" t="s">
        <v>27</v>
      </c>
      <c r="C1150" s="28" t="s">
        <v>121</v>
      </c>
      <c r="D1150" s="29" t="str">
        <f t="shared" si="50"/>
        <v>Removed</v>
      </c>
      <c r="E1150" s="33">
        <v>44413.0</v>
      </c>
      <c r="F1150" s="30">
        <v>44788.0</v>
      </c>
      <c r="G1150" s="32">
        <f t="shared" si="2"/>
        <v>12.33333333</v>
      </c>
      <c r="H1150" s="33">
        <v>44249.0</v>
      </c>
      <c r="I1150" s="32">
        <f t="shared" si="3"/>
        <v>0.4527777778</v>
      </c>
      <c r="J1150" s="34">
        <f>(78+90)/2</f>
        <v>84</v>
      </c>
      <c r="K1150" s="34">
        <v>25.0</v>
      </c>
      <c r="L1150" s="35" t="s">
        <v>37</v>
      </c>
      <c r="M1150" s="35"/>
      <c r="N1150" s="35"/>
      <c r="O1150" s="35" t="s">
        <v>125</v>
      </c>
      <c r="P1150" s="36" t="s">
        <v>1554</v>
      </c>
      <c r="Q1150" s="35"/>
      <c r="R1150" s="29"/>
      <c r="S1150" s="33"/>
      <c r="T1150" s="32"/>
    </row>
    <row r="1151">
      <c r="A1151" s="15" t="s">
        <v>1918</v>
      </c>
      <c r="B1151" s="16" t="s">
        <v>27</v>
      </c>
      <c r="C1151" s="16" t="s">
        <v>28</v>
      </c>
      <c r="D1151" s="17" t="str">
        <f t="shared" si="50"/>
        <v>Removed</v>
      </c>
      <c r="E1151" s="18">
        <v>44413.0</v>
      </c>
      <c r="F1151" s="62">
        <v>44788.0</v>
      </c>
      <c r="G1151" s="20">
        <f t="shared" si="2"/>
        <v>12.33333333</v>
      </c>
      <c r="H1151" s="18">
        <v>44413.0</v>
      </c>
      <c r="I1151" s="20">
        <f t="shared" si="3"/>
        <v>0</v>
      </c>
      <c r="J1151" s="116">
        <v>62.0</v>
      </c>
      <c r="K1151" s="53"/>
      <c r="L1151" s="23" t="s">
        <v>50</v>
      </c>
      <c r="M1151" s="23"/>
      <c r="N1151" s="23"/>
      <c r="O1151" s="23" t="s">
        <v>125</v>
      </c>
      <c r="P1151" s="54" t="s">
        <v>1919</v>
      </c>
      <c r="Q1151" s="23"/>
      <c r="R1151" s="17"/>
      <c r="S1151" s="18"/>
      <c r="T1151" s="20"/>
    </row>
    <row r="1152">
      <c r="A1152" s="27" t="s">
        <v>1920</v>
      </c>
      <c r="B1152" s="28" t="s">
        <v>1859</v>
      </c>
      <c r="C1152" s="29"/>
      <c r="D1152" s="29" t="s">
        <v>1860</v>
      </c>
      <c r="E1152" s="70">
        <v>44758.0</v>
      </c>
      <c r="F1152" s="30">
        <v>44773.0</v>
      </c>
      <c r="G1152" s="32">
        <f t="shared" si="2"/>
        <v>0.4666666667</v>
      </c>
      <c r="H1152" s="33"/>
      <c r="I1152" s="32">
        <f t="shared" si="3"/>
        <v>-3.247222222</v>
      </c>
      <c r="J1152" s="34"/>
      <c r="K1152" s="34"/>
      <c r="L1152" s="35"/>
      <c r="M1152" s="35"/>
      <c r="N1152" s="35" t="s">
        <v>1612</v>
      </c>
      <c r="O1152" s="35"/>
      <c r="P1152" s="36"/>
      <c r="Q1152" s="35"/>
      <c r="R1152" s="29"/>
      <c r="S1152" s="33"/>
      <c r="T1152" s="32"/>
    </row>
    <row r="1153">
      <c r="A1153" s="15" t="s">
        <v>1921</v>
      </c>
      <c r="B1153" s="16" t="s">
        <v>1610</v>
      </c>
      <c r="C1153" s="17"/>
      <c r="D1153" s="17" t="s">
        <v>1611</v>
      </c>
      <c r="E1153" s="76">
        <v>44743.0</v>
      </c>
      <c r="F1153" s="62">
        <v>44773.0</v>
      </c>
      <c r="G1153" s="20">
        <f t="shared" si="2"/>
        <v>0.9666666667</v>
      </c>
      <c r="H1153" s="18"/>
      <c r="I1153" s="20">
        <f t="shared" si="3"/>
        <v>-3.288888889</v>
      </c>
      <c r="J1153" s="53"/>
      <c r="K1153" s="53"/>
      <c r="L1153" s="23"/>
      <c r="M1153" s="23"/>
      <c r="N1153" s="23" t="s">
        <v>1612</v>
      </c>
      <c r="O1153" s="23"/>
      <c r="P1153" s="54"/>
      <c r="Q1153" s="23"/>
      <c r="R1153" s="17"/>
      <c r="S1153" s="18"/>
      <c r="T1153" s="20"/>
    </row>
    <row r="1154">
      <c r="A1154" s="27" t="s">
        <v>1922</v>
      </c>
      <c r="B1154" s="28" t="s">
        <v>27</v>
      </c>
      <c r="C1154" s="28" t="s">
        <v>28</v>
      </c>
      <c r="D1154" s="29" t="str">
        <f t="shared" ref="D1154:D1158" si="51">IF(E1154&gt;TODAY(),"Coming Soon",IF(F1154="","Active",IF(F1154&gt;TODAY(),"Leaving Soon","Removed")))</f>
        <v>Removed</v>
      </c>
      <c r="E1154" s="33">
        <v>44413.0</v>
      </c>
      <c r="F1154" s="31">
        <v>44773.0</v>
      </c>
      <c r="G1154" s="32">
        <f t="shared" si="2"/>
        <v>11.83333333</v>
      </c>
      <c r="H1154" s="33">
        <v>44413.0</v>
      </c>
      <c r="I1154" s="32">
        <f t="shared" si="3"/>
        <v>0</v>
      </c>
      <c r="J1154" s="34">
        <v>77.0</v>
      </c>
      <c r="K1154" s="34">
        <v>8.0</v>
      </c>
      <c r="L1154" s="35" t="s">
        <v>92</v>
      </c>
      <c r="M1154" s="35"/>
      <c r="N1154" s="35"/>
      <c r="O1154" s="35" t="s">
        <v>132</v>
      </c>
      <c r="P1154" s="36" t="s">
        <v>340</v>
      </c>
      <c r="Q1154" s="35"/>
      <c r="R1154" s="29"/>
      <c r="S1154" s="33"/>
      <c r="T1154" s="32"/>
    </row>
    <row r="1155">
      <c r="A1155" s="15" t="s">
        <v>1923</v>
      </c>
      <c r="B1155" s="16" t="s">
        <v>27</v>
      </c>
      <c r="C1155" s="16" t="s">
        <v>121</v>
      </c>
      <c r="D1155" s="17" t="str">
        <f t="shared" si="51"/>
        <v>Removed</v>
      </c>
      <c r="E1155" s="18">
        <v>44413.0</v>
      </c>
      <c r="F1155" s="52">
        <v>44773.0</v>
      </c>
      <c r="G1155" s="20">
        <f t="shared" si="2"/>
        <v>11.83333333</v>
      </c>
      <c r="H1155" s="18">
        <v>43441.0</v>
      </c>
      <c r="I1155" s="20">
        <f t="shared" si="3"/>
        <v>2.661111111</v>
      </c>
      <c r="J1155" s="53">
        <f>(73+81)/2</f>
        <v>77</v>
      </c>
      <c r="K1155" s="53">
        <v>4.5</v>
      </c>
      <c r="L1155" s="23" t="s">
        <v>1924</v>
      </c>
      <c r="M1155" s="23"/>
      <c r="N1155" s="23"/>
      <c r="O1155" s="23" t="s">
        <v>132</v>
      </c>
      <c r="P1155" s="54" t="s">
        <v>1925</v>
      </c>
      <c r="Q1155" s="23"/>
      <c r="R1155" s="17"/>
      <c r="S1155" s="18"/>
      <c r="T1155" s="20"/>
    </row>
    <row r="1156">
      <c r="A1156" s="27" t="s">
        <v>1926</v>
      </c>
      <c r="B1156" s="28" t="s">
        <v>27</v>
      </c>
      <c r="C1156" s="28" t="s">
        <v>121</v>
      </c>
      <c r="D1156" s="29" t="str">
        <f t="shared" si="51"/>
        <v>Removed</v>
      </c>
      <c r="E1156" s="33">
        <v>44413.0</v>
      </c>
      <c r="F1156" s="31">
        <v>44773.0</v>
      </c>
      <c r="G1156" s="32">
        <f t="shared" si="2"/>
        <v>11.83333333</v>
      </c>
      <c r="H1156" s="33">
        <v>43277.0</v>
      </c>
      <c r="I1156" s="32">
        <f t="shared" si="3"/>
        <v>3.108333333</v>
      </c>
      <c r="J1156" s="34">
        <v>81.0</v>
      </c>
      <c r="K1156" s="34">
        <v>5.0</v>
      </c>
      <c r="L1156" s="35" t="s">
        <v>1927</v>
      </c>
      <c r="M1156" s="35"/>
      <c r="N1156" s="35"/>
      <c r="O1156" s="35" t="s">
        <v>334</v>
      </c>
      <c r="P1156" s="36"/>
      <c r="Q1156" s="35"/>
      <c r="R1156" s="29"/>
      <c r="S1156" s="33"/>
      <c r="T1156" s="32"/>
    </row>
    <row r="1157">
      <c r="A1157" s="15" t="s">
        <v>1928</v>
      </c>
      <c r="B1157" s="16" t="s">
        <v>27</v>
      </c>
      <c r="C1157" s="16" t="s">
        <v>121</v>
      </c>
      <c r="D1157" s="17" t="str">
        <f t="shared" si="51"/>
        <v>Removed</v>
      </c>
      <c r="E1157" s="18">
        <v>44406.0</v>
      </c>
      <c r="F1157" s="52">
        <v>44773.0</v>
      </c>
      <c r="G1157" s="20">
        <f t="shared" si="2"/>
        <v>12.03333333</v>
      </c>
      <c r="H1157" s="18">
        <v>43430.0</v>
      </c>
      <c r="I1157" s="20">
        <f t="shared" si="3"/>
        <v>2.675</v>
      </c>
      <c r="J1157" s="53">
        <v>77.0</v>
      </c>
      <c r="K1157" s="53">
        <v>3.0</v>
      </c>
      <c r="L1157" s="23" t="s">
        <v>1929</v>
      </c>
      <c r="M1157" s="23"/>
      <c r="N1157" s="23"/>
      <c r="O1157" s="23" t="s">
        <v>132</v>
      </c>
      <c r="P1157" s="54"/>
      <c r="Q1157" s="23"/>
      <c r="R1157" s="17"/>
      <c r="S1157" s="18"/>
      <c r="T1157" s="20"/>
    </row>
    <row r="1158">
      <c r="A1158" s="27" t="s">
        <v>1930</v>
      </c>
      <c r="B1158" s="28" t="s">
        <v>27</v>
      </c>
      <c r="C1158" s="28" t="s">
        <v>121</v>
      </c>
      <c r="D1158" s="29" t="str">
        <f t="shared" si="51"/>
        <v>Removed</v>
      </c>
      <c r="E1158" s="33">
        <v>44399.0</v>
      </c>
      <c r="F1158" s="31">
        <v>44773.0</v>
      </c>
      <c r="G1158" s="32">
        <f t="shared" si="2"/>
        <v>12.26666667</v>
      </c>
      <c r="H1158" s="33">
        <v>44119.0</v>
      </c>
      <c r="I1158" s="32">
        <f t="shared" si="3"/>
        <v>0.7694444444</v>
      </c>
      <c r="J1158" s="34">
        <v>70.0</v>
      </c>
      <c r="K1158" s="34">
        <v>5.0</v>
      </c>
      <c r="L1158" s="35" t="s">
        <v>37</v>
      </c>
      <c r="M1158" s="35"/>
      <c r="N1158" s="35"/>
      <c r="O1158" s="35" t="s">
        <v>334</v>
      </c>
      <c r="P1158" s="36" t="s">
        <v>483</v>
      </c>
      <c r="Q1158" s="35"/>
      <c r="R1158" s="29"/>
      <c r="S1158" s="33"/>
      <c r="T1158" s="32"/>
    </row>
    <row r="1159">
      <c r="A1159" s="15" t="s">
        <v>1931</v>
      </c>
      <c r="B1159" s="16" t="s">
        <v>1859</v>
      </c>
      <c r="C1159" s="17"/>
      <c r="D1159" s="17" t="s">
        <v>1860</v>
      </c>
      <c r="E1159" s="76">
        <v>44743.0</v>
      </c>
      <c r="F1159" s="62">
        <v>44757.0</v>
      </c>
      <c r="G1159" s="20">
        <f t="shared" si="2"/>
        <v>0.4666666667</v>
      </c>
      <c r="H1159" s="18"/>
      <c r="I1159" s="20">
        <f t="shared" si="3"/>
        <v>-3.288888889</v>
      </c>
      <c r="J1159" s="53"/>
      <c r="K1159" s="53"/>
      <c r="L1159" s="23"/>
      <c r="M1159" s="23"/>
      <c r="N1159" s="23" t="s">
        <v>1612</v>
      </c>
      <c r="O1159" s="23"/>
      <c r="P1159" s="54"/>
      <c r="Q1159" s="23"/>
      <c r="R1159" s="17"/>
      <c r="S1159" s="18"/>
      <c r="T1159" s="20"/>
    </row>
    <row r="1160">
      <c r="A1160" s="27" t="s">
        <v>1932</v>
      </c>
      <c r="B1160" s="28" t="s">
        <v>1610</v>
      </c>
      <c r="C1160" s="29"/>
      <c r="D1160" s="29" t="s">
        <v>1611</v>
      </c>
      <c r="E1160" s="70">
        <v>44728.0</v>
      </c>
      <c r="F1160" s="30">
        <v>44757.0</v>
      </c>
      <c r="G1160" s="32">
        <f t="shared" si="2"/>
        <v>0.9666666667</v>
      </c>
      <c r="H1160" s="33"/>
      <c r="I1160" s="32">
        <f t="shared" si="3"/>
        <v>-3.330555556</v>
      </c>
      <c r="J1160" s="34"/>
      <c r="K1160" s="34"/>
      <c r="L1160" s="35"/>
      <c r="M1160" s="35"/>
      <c r="N1160" s="35"/>
      <c r="O1160" s="35"/>
      <c r="P1160" s="36"/>
      <c r="Q1160" s="35"/>
      <c r="R1160" s="29"/>
      <c r="S1160" s="33"/>
      <c r="T1160" s="32"/>
    </row>
    <row r="1161">
      <c r="A1161" s="15" t="s">
        <v>1933</v>
      </c>
      <c r="B1161" s="16" t="s">
        <v>27</v>
      </c>
      <c r="C1161" s="16" t="s">
        <v>121</v>
      </c>
      <c r="D1161" s="17" t="str">
        <f t="shared" ref="D1161:D1165" si="52">IF(E1161&gt;TODAY(),"Coming Soon",IF(F1161="","Active",IF(F1161&gt;TODAY(),"Leaving Soon","Removed")))</f>
        <v>Removed</v>
      </c>
      <c r="E1161" s="18">
        <v>44406.0</v>
      </c>
      <c r="F1161" s="52">
        <v>44757.0</v>
      </c>
      <c r="G1161" s="20">
        <f t="shared" si="2"/>
        <v>11.53333333</v>
      </c>
      <c r="H1161" s="18">
        <v>43397.0</v>
      </c>
      <c r="I1161" s="20">
        <f t="shared" si="3"/>
        <v>2.763888889</v>
      </c>
      <c r="J1161" s="53">
        <v>82.0</v>
      </c>
      <c r="K1161" s="53">
        <v>2.0</v>
      </c>
      <c r="L1161" s="23" t="s">
        <v>1934</v>
      </c>
      <c r="M1161" s="23"/>
      <c r="N1161" s="23"/>
      <c r="O1161" s="23" t="s">
        <v>125</v>
      </c>
      <c r="P1161" s="54" t="s">
        <v>593</v>
      </c>
      <c r="Q1161" s="23"/>
      <c r="R1161" s="17"/>
      <c r="S1161" s="18"/>
      <c r="T1161" s="20"/>
    </row>
    <row r="1162">
      <c r="A1162" s="27" t="s">
        <v>1935</v>
      </c>
      <c r="B1162" s="28" t="s">
        <v>27</v>
      </c>
      <c r="C1162" s="28" t="s">
        <v>28</v>
      </c>
      <c r="D1162" s="29" t="str">
        <f t="shared" si="52"/>
        <v>Removed</v>
      </c>
      <c r="E1162" s="33">
        <v>44399.0</v>
      </c>
      <c r="F1162" s="31">
        <v>44757.0</v>
      </c>
      <c r="G1162" s="32">
        <f t="shared" si="2"/>
        <v>11.76666667</v>
      </c>
      <c r="H1162" s="33">
        <v>43713.0</v>
      </c>
      <c r="I1162" s="32">
        <f t="shared" si="3"/>
        <v>1.880555556</v>
      </c>
      <c r="J1162" s="34">
        <v>78.0</v>
      </c>
      <c r="K1162" s="34">
        <v>7.0</v>
      </c>
      <c r="L1162" s="35" t="s">
        <v>366</v>
      </c>
      <c r="M1162" s="35"/>
      <c r="N1162" s="35"/>
      <c r="O1162" s="35" t="s">
        <v>334</v>
      </c>
      <c r="P1162" s="36" t="s">
        <v>1936</v>
      </c>
      <c r="Q1162" s="35"/>
      <c r="R1162" s="29"/>
      <c r="S1162" s="33"/>
      <c r="T1162" s="32"/>
    </row>
    <row r="1163">
      <c r="A1163" s="15" t="s">
        <v>1937</v>
      </c>
      <c r="B1163" s="16" t="s">
        <v>27</v>
      </c>
      <c r="C1163" s="16" t="s">
        <v>121</v>
      </c>
      <c r="D1163" s="17" t="str">
        <f t="shared" si="52"/>
        <v>Removed</v>
      </c>
      <c r="E1163" s="18">
        <v>44397.0</v>
      </c>
      <c r="F1163" s="52">
        <v>44757.0</v>
      </c>
      <c r="G1163" s="20">
        <f t="shared" si="2"/>
        <v>11.83333333</v>
      </c>
      <c r="H1163" s="18">
        <v>44397.0</v>
      </c>
      <c r="I1163" s="20">
        <f t="shared" si="3"/>
        <v>0</v>
      </c>
      <c r="J1163" s="53">
        <f>(73+77)/2</f>
        <v>75</v>
      </c>
      <c r="K1163" s="53">
        <v>21.0</v>
      </c>
      <c r="L1163" s="23" t="s">
        <v>29</v>
      </c>
      <c r="M1163" s="23"/>
      <c r="N1163" s="23"/>
      <c r="O1163" s="23" t="s">
        <v>125</v>
      </c>
      <c r="P1163" s="54" t="s">
        <v>823</v>
      </c>
      <c r="Q1163" s="23"/>
      <c r="R1163" s="17"/>
      <c r="S1163" s="18"/>
      <c r="T1163" s="20"/>
    </row>
    <row r="1164">
      <c r="A1164" s="67" t="s">
        <v>1938</v>
      </c>
      <c r="B1164" s="28" t="s">
        <v>27</v>
      </c>
      <c r="C1164" s="28" t="s">
        <v>28</v>
      </c>
      <c r="D1164" s="29" t="str">
        <f t="shared" si="52"/>
        <v>Removed</v>
      </c>
      <c r="E1164" s="70">
        <v>43846.0</v>
      </c>
      <c r="F1164" s="31">
        <v>44757.0</v>
      </c>
      <c r="G1164" s="32">
        <f t="shared" si="2"/>
        <v>29.96666667</v>
      </c>
      <c r="H1164" s="33">
        <v>43711.0</v>
      </c>
      <c r="I1164" s="32">
        <f t="shared" si="3"/>
        <v>0.3694444444</v>
      </c>
      <c r="J1164" s="69">
        <v>77.0</v>
      </c>
      <c r="K1164" s="34">
        <v>13.5</v>
      </c>
      <c r="L1164" s="35" t="s">
        <v>509</v>
      </c>
      <c r="M1164" s="44"/>
      <c r="N1164" s="44"/>
      <c r="O1164" s="35" t="s">
        <v>125</v>
      </c>
      <c r="P1164" s="36" t="s">
        <v>1176</v>
      </c>
      <c r="Q1164" s="35"/>
      <c r="R1164" s="29"/>
      <c r="S1164" s="33"/>
      <c r="T1164" s="32"/>
    </row>
    <row r="1165">
      <c r="A1165" s="15" t="s">
        <v>1939</v>
      </c>
      <c r="B1165" s="16" t="s">
        <v>27</v>
      </c>
      <c r="C1165" s="16"/>
      <c r="D1165" s="17" t="str">
        <f t="shared" si="52"/>
        <v>Removed</v>
      </c>
      <c r="E1165" s="18">
        <v>44145.0</v>
      </c>
      <c r="F1165" s="52">
        <v>44743.0</v>
      </c>
      <c r="G1165" s="20">
        <f t="shared" si="2"/>
        <v>19.7</v>
      </c>
      <c r="H1165" s="18">
        <v>43735.0</v>
      </c>
      <c r="I1165" s="20">
        <f t="shared" si="3"/>
        <v>1.119444444</v>
      </c>
      <c r="J1165" s="53">
        <v>79.0</v>
      </c>
      <c r="K1165" s="53">
        <v>23.5</v>
      </c>
      <c r="L1165" s="23" t="s">
        <v>856</v>
      </c>
      <c r="M1165" s="23"/>
      <c r="N1165" s="23"/>
      <c r="O1165" s="23" t="s">
        <v>132</v>
      </c>
      <c r="P1165" s="54"/>
      <c r="Q1165" s="23"/>
      <c r="R1165" s="17"/>
      <c r="S1165" s="18"/>
      <c r="T1165" s="20"/>
    </row>
    <row r="1166">
      <c r="A1166" s="27" t="s">
        <v>1940</v>
      </c>
      <c r="B1166" s="28" t="s">
        <v>1859</v>
      </c>
      <c r="C1166" s="29"/>
      <c r="D1166" s="29" t="s">
        <v>1860</v>
      </c>
      <c r="E1166" s="70">
        <v>44728.0</v>
      </c>
      <c r="F1166" s="30">
        <v>44742.0</v>
      </c>
      <c r="G1166" s="32">
        <f t="shared" si="2"/>
        <v>0.4666666667</v>
      </c>
      <c r="H1166" s="33"/>
      <c r="I1166" s="32">
        <f t="shared" si="3"/>
        <v>-3.330555556</v>
      </c>
      <c r="J1166" s="34"/>
      <c r="K1166" s="34"/>
      <c r="L1166" s="35"/>
      <c r="M1166" s="35"/>
      <c r="N1166" s="35" t="s">
        <v>1612</v>
      </c>
      <c r="O1166" s="35"/>
      <c r="P1166" s="36"/>
      <c r="Q1166" s="35"/>
      <c r="R1166" s="29"/>
      <c r="S1166" s="33"/>
      <c r="T1166" s="32"/>
    </row>
    <row r="1167">
      <c r="A1167" s="15" t="s">
        <v>1941</v>
      </c>
      <c r="B1167" s="16" t="s">
        <v>1610</v>
      </c>
      <c r="C1167" s="17"/>
      <c r="D1167" s="17" t="s">
        <v>1611</v>
      </c>
      <c r="E1167" s="76">
        <v>44713.0</v>
      </c>
      <c r="F1167" s="62">
        <v>44742.0</v>
      </c>
      <c r="G1167" s="20">
        <f t="shared" si="2"/>
        <v>0.9666666667</v>
      </c>
      <c r="H1167" s="18"/>
      <c r="I1167" s="20">
        <f t="shared" si="3"/>
        <v>-3.372222222</v>
      </c>
      <c r="J1167" s="53"/>
      <c r="K1167" s="53"/>
      <c r="L1167" s="23"/>
      <c r="M1167" s="23"/>
      <c r="N1167" s="23"/>
      <c r="O1167" s="23"/>
      <c r="P1167" s="54"/>
      <c r="Q1167" s="23"/>
      <c r="R1167" s="17"/>
      <c r="S1167" s="18"/>
      <c r="T1167" s="20"/>
    </row>
    <row r="1168">
      <c r="A1168" s="27" t="s">
        <v>1942</v>
      </c>
      <c r="B1168" s="28" t="s">
        <v>27</v>
      </c>
      <c r="C1168" s="28" t="s">
        <v>121</v>
      </c>
      <c r="D1168" s="29" t="str">
        <f t="shared" ref="D1168:D1170" si="53">IF(E1168&gt;TODAY(),"Coming Soon",IF(F1168="","Active",IF(F1168&gt;TODAY(),"Leaving Soon","Removed")))</f>
        <v>Removed</v>
      </c>
      <c r="E1168" s="33">
        <v>44399.0</v>
      </c>
      <c r="F1168" s="31">
        <v>44742.0</v>
      </c>
      <c r="G1168" s="32">
        <f t="shared" si="2"/>
        <v>11.26666667</v>
      </c>
      <c r="H1168" s="33">
        <v>44399.0</v>
      </c>
      <c r="I1168" s="32">
        <f t="shared" si="3"/>
        <v>0</v>
      </c>
      <c r="J1168" s="34">
        <f>(64+70)/2</f>
        <v>67</v>
      </c>
      <c r="K1168" s="34">
        <v>6.0</v>
      </c>
      <c r="L1168" s="35" t="s">
        <v>362</v>
      </c>
      <c r="M1168" s="35"/>
      <c r="N1168" s="35"/>
      <c r="O1168" s="137" t="s">
        <v>125</v>
      </c>
      <c r="P1168" s="36" t="s">
        <v>1943</v>
      </c>
      <c r="Q1168" s="137" t="s">
        <v>1944</v>
      </c>
      <c r="R1168" s="29"/>
      <c r="S1168" s="33"/>
      <c r="T1168" s="32"/>
    </row>
    <row r="1169">
      <c r="A1169" s="15" t="s">
        <v>1945</v>
      </c>
      <c r="B1169" s="16" t="s">
        <v>68</v>
      </c>
      <c r="C1169" s="16" t="s">
        <v>28</v>
      </c>
      <c r="D1169" s="17" t="str">
        <f t="shared" si="53"/>
        <v>Removed</v>
      </c>
      <c r="E1169" s="18">
        <v>44238.0</v>
      </c>
      <c r="F1169" s="52">
        <v>44742.0</v>
      </c>
      <c r="G1169" s="20">
        <f t="shared" si="2"/>
        <v>16.63333333</v>
      </c>
      <c r="H1169" s="18">
        <v>43263.0</v>
      </c>
      <c r="I1169" s="20">
        <f t="shared" si="3"/>
        <v>2.663888889</v>
      </c>
      <c r="J1169" s="53">
        <v>76.0</v>
      </c>
      <c r="K1169" s="53">
        <v>24.5</v>
      </c>
      <c r="L1169" s="23" t="s">
        <v>522</v>
      </c>
      <c r="M1169" s="23"/>
      <c r="N1169" s="23"/>
      <c r="O1169" s="23" t="s">
        <v>125</v>
      </c>
      <c r="P1169" s="54" t="s">
        <v>680</v>
      </c>
      <c r="Q1169" s="23"/>
      <c r="R1169" s="17"/>
      <c r="S1169" s="18"/>
      <c r="T1169" s="20"/>
    </row>
    <row r="1170">
      <c r="A1170" s="27" t="s">
        <v>1946</v>
      </c>
      <c r="B1170" s="28" t="s">
        <v>27</v>
      </c>
      <c r="C1170" s="28" t="s">
        <v>28</v>
      </c>
      <c r="D1170" s="29" t="str">
        <f t="shared" si="53"/>
        <v>Removed</v>
      </c>
      <c r="E1170" s="33">
        <v>44182.0</v>
      </c>
      <c r="F1170" s="31">
        <v>44742.0</v>
      </c>
      <c r="G1170" s="32">
        <f t="shared" si="2"/>
        <v>18.43333333</v>
      </c>
      <c r="H1170" s="33">
        <v>43944.0</v>
      </c>
      <c r="I1170" s="32">
        <f t="shared" si="3"/>
        <v>0.65</v>
      </c>
      <c r="J1170" s="34">
        <f>(81+82)/2</f>
        <v>81.5</v>
      </c>
      <c r="K1170" s="34">
        <v>61.5</v>
      </c>
      <c r="L1170" s="35" t="s">
        <v>500</v>
      </c>
      <c r="M1170" s="35" t="s">
        <v>1947</v>
      </c>
      <c r="N1170" s="35"/>
      <c r="O1170" s="35" t="s">
        <v>132</v>
      </c>
      <c r="P1170" s="36"/>
      <c r="Q1170" s="35" t="s">
        <v>1948</v>
      </c>
      <c r="R1170" s="29"/>
      <c r="S1170" s="33"/>
      <c r="T1170" s="32"/>
    </row>
    <row r="1171">
      <c r="A1171" s="15" t="s">
        <v>1949</v>
      </c>
      <c r="B1171" s="16" t="s">
        <v>1859</v>
      </c>
      <c r="C1171" s="17"/>
      <c r="D1171" s="17" t="s">
        <v>1860</v>
      </c>
      <c r="E1171" s="76">
        <v>44713.0</v>
      </c>
      <c r="F1171" s="62">
        <v>44727.0</v>
      </c>
      <c r="G1171" s="20">
        <f t="shared" si="2"/>
        <v>0.4666666667</v>
      </c>
      <c r="H1171" s="18"/>
      <c r="I1171" s="20">
        <f t="shared" si="3"/>
        <v>-3.372222222</v>
      </c>
      <c r="J1171" s="53"/>
      <c r="K1171" s="53"/>
      <c r="L1171" s="23"/>
      <c r="M1171" s="23"/>
      <c r="N1171" s="23" t="s">
        <v>1612</v>
      </c>
      <c r="O1171" s="23"/>
      <c r="P1171" s="54"/>
      <c r="Q1171" s="23"/>
      <c r="R1171" s="17"/>
      <c r="S1171" s="18"/>
      <c r="T1171" s="20"/>
    </row>
    <row r="1172">
      <c r="A1172" s="27" t="s">
        <v>1950</v>
      </c>
      <c r="B1172" s="28" t="s">
        <v>1610</v>
      </c>
      <c r="C1172" s="29"/>
      <c r="D1172" s="29" t="s">
        <v>1611</v>
      </c>
      <c r="E1172" s="70">
        <v>44697.0</v>
      </c>
      <c r="F1172" s="30">
        <v>44727.0</v>
      </c>
      <c r="G1172" s="32">
        <f t="shared" si="2"/>
        <v>0.9666666667</v>
      </c>
      <c r="H1172" s="33"/>
      <c r="I1172" s="32">
        <f t="shared" si="3"/>
        <v>-3.413888889</v>
      </c>
      <c r="J1172" s="34"/>
      <c r="K1172" s="34"/>
      <c r="L1172" s="35"/>
      <c r="M1172" s="35"/>
      <c r="N1172" s="35"/>
      <c r="O1172" s="35"/>
      <c r="P1172" s="36"/>
      <c r="Q1172" s="35"/>
      <c r="R1172" s="29"/>
      <c r="S1172" s="33"/>
      <c r="T1172" s="32"/>
    </row>
    <row r="1173">
      <c r="A1173" s="15" t="s">
        <v>1951</v>
      </c>
      <c r="B1173" s="16" t="s">
        <v>27</v>
      </c>
      <c r="C1173" s="16" t="s">
        <v>28</v>
      </c>
      <c r="D1173" s="17" t="str">
        <f t="shared" ref="D1173:D1182" si="54">IF(E1173&gt;TODAY(),"Coming Soon",IF(F1173="","Active",IF(F1173&gt;TODAY(),"Leaving Soon","Removed")))</f>
        <v>Removed</v>
      </c>
      <c r="E1173" s="18">
        <v>44370.0</v>
      </c>
      <c r="F1173" s="52">
        <v>44727.0</v>
      </c>
      <c r="G1173" s="20">
        <f t="shared" si="2"/>
        <v>11.73333333</v>
      </c>
      <c r="H1173" s="18">
        <v>44166.0</v>
      </c>
      <c r="I1173" s="20">
        <f t="shared" si="3"/>
        <v>0.5611111111</v>
      </c>
      <c r="J1173" s="53">
        <v>68.0</v>
      </c>
      <c r="K1173" s="53">
        <v>10.5</v>
      </c>
      <c r="L1173" s="23" t="s">
        <v>366</v>
      </c>
      <c r="M1173" s="23" t="s">
        <v>123</v>
      </c>
      <c r="N1173" s="23"/>
      <c r="O1173" s="23" t="s">
        <v>334</v>
      </c>
      <c r="P1173" s="54" t="s">
        <v>483</v>
      </c>
      <c r="Q1173" s="23"/>
      <c r="R1173" s="17"/>
      <c r="S1173" s="18"/>
      <c r="T1173" s="20"/>
    </row>
    <row r="1174">
      <c r="A1174" s="27" t="s">
        <v>1952</v>
      </c>
      <c r="B1174" s="28" t="s">
        <v>27</v>
      </c>
      <c r="C1174" s="28" t="s">
        <v>28</v>
      </c>
      <c r="D1174" s="29" t="str">
        <f t="shared" si="54"/>
        <v>Removed</v>
      </c>
      <c r="E1174" s="33">
        <v>44369.0</v>
      </c>
      <c r="F1174" s="31">
        <v>44727.0</v>
      </c>
      <c r="G1174" s="32">
        <f t="shared" si="2"/>
        <v>11.76666667</v>
      </c>
      <c r="H1174" s="33">
        <v>44369.0</v>
      </c>
      <c r="I1174" s="32">
        <f t="shared" si="3"/>
        <v>0</v>
      </c>
      <c r="J1174" s="34">
        <f>(54+57)/2</f>
        <v>55.5</v>
      </c>
      <c r="K1174" s="34">
        <v>10.5</v>
      </c>
      <c r="L1174" s="35" t="s">
        <v>122</v>
      </c>
      <c r="M1174" s="35" t="s">
        <v>123</v>
      </c>
      <c r="N1174" s="35"/>
      <c r="O1174" s="35" t="s">
        <v>34</v>
      </c>
      <c r="P1174" s="36" t="s">
        <v>738</v>
      </c>
      <c r="Q1174" s="35"/>
      <c r="R1174" s="29"/>
      <c r="S1174" s="33"/>
      <c r="T1174" s="32"/>
    </row>
    <row r="1175">
      <c r="A1175" s="15" t="s">
        <v>1953</v>
      </c>
      <c r="B1175" s="16" t="s">
        <v>27</v>
      </c>
      <c r="C1175" s="16" t="s">
        <v>28</v>
      </c>
      <c r="D1175" s="17" t="str">
        <f t="shared" si="54"/>
        <v>Removed</v>
      </c>
      <c r="E1175" s="18">
        <v>44175.0</v>
      </c>
      <c r="F1175" s="52">
        <v>44727.0</v>
      </c>
      <c r="G1175" s="20">
        <f t="shared" si="2"/>
        <v>18.16666667</v>
      </c>
      <c r="H1175" s="18">
        <v>43718.0</v>
      </c>
      <c r="I1175" s="20">
        <f t="shared" si="3"/>
        <v>1.25</v>
      </c>
      <c r="J1175" s="53">
        <v>78.0</v>
      </c>
      <c r="K1175" s="53">
        <v>22.0</v>
      </c>
      <c r="L1175" s="23" t="s">
        <v>122</v>
      </c>
      <c r="M1175" s="23"/>
      <c r="N1175" s="23"/>
      <c r="O1175" s="23" t="s">
        <v>34</v>
      </c>
      <c r="P1175" s="54" t="s">
        <v>1954</v>
      </c>
      <c r="Q1175" s="23"/>
      <c r="R1175" s="17"/>
      <c r="S1175" s="18"/>
      <c r="T1175" s="20"/>
    </row>
    <row r="1176">
      <c r="A1176" s="27" t="s">
        <v>1955</v>
      </c>
      <c r="B1176" s="28" t="s">
        <v>40</v>
      </c>
      <c r="C1176" s="28"/>
      <c r="D1176" s="29" t="str">
        <f t="shared" si="54"/>
        <v>Removed</v>
      </c>
      <c r="E1176" s="33">
        <v>44273.0</v>
      </c>
      <c r="F1176" s="31">
        <v>44725.0</v>
      </c>
      <c r="G1176" s="32">
        <f t="shared" si="2"/>
        <v>14.83333333</v>
      </c>
      <c r="H1176" s="33">
        <v>40662.0</v>
      </c>
      <c r="I1176" s="32">
        <f t="shared" si="3"/>
        <v>9.886111111</v>
      </c>
      <c r="J1176" s="34">
        <v>80.0</v>
      </c>
      <c r="K1176" s="34">
        <v>4.0</v>
      </c>
      <c r="L1176" s="35" t="s">
        <v>918</v>
      </c>
      <c r="M1176" s="35"/>
      <c r="N1176" s="35"/>
      <c r="O1176" s="35" t="s">
        <v>125</v>
      </c>
      <c r="P1176" s="36" t="s">
        <v>1493</v>
      </c>
      <c r="Q1176" s="35"/>
      <c r="R1176" s="28"/>
      <c r="S1176" s="33"/>
      <c r="T1176" s="32"/>
    </row>
    <row r="1177">
      <c r="A1177" s="15" t="s">
        <v>1956</v>
      </c>
      <c r="B1177" s="16" t="s">
        <v>40</v>
      </c>
      <c r="C1177" s="16"/>
      <c r="D1177" s="17" t="str">
        <f t="shared" si="54"/>
        <v>Removed</v>
      </c>
      <c r="E1177" s="18">
        <v>44273.0</v>
      </c>
      <c r="F1177" s="52">
        <v>44725.0</v>
      </c>
      <c r="G1177" s="20">
        <f t="shared" si="2"/>
        <v>14.83333333</v>
      </c>
      <c r="H1177" s="18">
        <v>42906.0</v>
      </c>
      <c r="I1177" s="20">
        <f t="shared" si="3"/>
        <v>3.744444444</v>
      </c>
      <c r="J1177" s="53">
        <v>80.0</v>
      </c>
      <c r="K1177" s="53">
        <v>4.5</v>
      </c>
      <c r="L1177" s="23" t="s">
        <v>1078</v>
      </c>
      <c r="M1177" s="23"/>
      <c r="N1177" s="23"/>
      <c r="O1177" s="23" t="s">
        <v>125</v>
      </c>
      <c r="P1177" s="54" t="s">
        <v>1493</v>
      </c>
      <c r="Q1177" s="23"/>
      <c r="R1177" s="16"/>
      <c r="S1177" s="18"/>
      <c r="T1177" s="20"/>
    </row>
    <row r="1178">
      <c r="A1178" s="27" t="s">
        <v>1957</v>
      </c>
      <c r="B1178" s="28" t="s">
        <v>40</v>
      </c>
      <c r="C1178" s="28"/>
      <c r="D1178" s="29" t="str">
        <f t="shared" si="54"/>
        <v>Removed</v>
      </c>
      <c r="E1178" s="33">
        <v>44273.0</v>
      </c>
      <c r="F1178" s="31">
        <v>44725.0</v>
      </c>
      <c r="G1178" s="32">
        <f t="shared" si="2"/>
        <v>14.83333333</v>
      </c>
      <c r="H1178" s="33">
        <v>42747.0</v>
      </c>
      <c r="I1178" s="32">
        <f t="shared" si="3"/>
        <v>4.183333333</v>
      </c>
      <c r="J1178" s="34">
        <v>66.0</v>
      </c>
      <c r="K1178" s="34">
        <v>13.0</v>
      </c>
      <c r="L1178" s="35" t="s">
        <v>562</v>
      </c>
      <c r="M1178" s="35"/>
      <c r="N1178" s="35"/>
      <c r="O1178" s="35" t="s">
        <v>125</v>
      </c>
      <c r="P1178" s="36" t="s">
        <v>1958</v>
      </c>
      <c r="Q1178" s="35"/>
      <c r="R1178" s="28"/>
      <c r="S1178" s="33"/>
      <c r="T1178" s="32"/>
    </row>
    <row r="1179">
      <c r="A1179" s="15" t="s">
        <v>1959</v>
      </c>
      <c r="B1179" s="16" t="s">
        <v>40</v>
      </c>
      <c r="C1179" s="16"/>
      <c r="D1179" s="17" t="str">
        <f t="shared" si="54"/>
        <v>Removed</v>
      </c>
      <c r="E1179" s="18">
        <v>44273.0</v>
      </c>
      <c r="F1179" s="52">
        <v>44725.0</v>
      </c>
      <c r="G1179" s="20">
        <f t="shared" si="2"/>
        <v>14.83333333</v>
      </c>
      <c r="H1179" s="18">
        <v>40737.0</v>
      </c>
      <c r="I1179" s="20">
        <f t="shared" si="3"/>
        <v>9.680555556</v>
      </c>
      <c r="J1179" s="53">
        <v>79.0</v>
      </c>
      <c r="K1179" s="53">
        <v>17.0</v>
      </c>
      <c r="L1179" s="23" t="s">
        <v>567</v>
      </c>
      <c r="M1179" s="23"/>
      <c r="N1179" s="23"/>
      <c r="O1179" s="23" t="s">
        <v>1960</v>
      </c>
      <c r="P1179" s="54"/>
      <c r="Q1179" s="23"/>
      <c r="R1179" s="16"/>
      <c r="S1179" s="18"/>
      <c r="T1179" s="20"/>
    </row>
    <row r="1180">
      <c r="A1180" s="27" t="s">
        <v>1961</v>
      </c>
      <c r="B1180" s="28" t="s">
        <v>40</v>
      </c>
      <c r="C1180" s="28"/>
      <c r="D1180" s="29" t="str">
        <f t="shared" si="54"/>
        <v>Removed</v>
      </c>
      <c r="E1180" s="33">
        <v>44273.0</v>
      </c>
      <c r="F1180" s="31">
        <v>44725.0</v>
      </c>
      <c r="G1180" s="32">
        <f t="shared" si="2"/>
        <v>14.83333333</v>
      </c>
      <c r="H1180" s="33">
        <v>42459.0</v>
      </c>
      <c r="I1180" s="32">
        <f t="shared" si="3"/>
        <v>4.966666667</v>
      </c>
      <c r="J1180" s="34">
        <v>74.0</v>
      </c>
      <c r="K1180" s="34">
        <v>5.5</v>
      </c>
      <c r="L1180" s="35" t="s">
        <v>1962</v>
      </c>
      <c r="M1180" s="35"/>
      <c r="N1180" s="35"/>
      <c r="O1180" s="35" t="s">
        <v>132</v>
      </c>
      <c r="P1180" s="36" t="s">
        <v>1963</v>
      </c>
      <c r="Q1180" s="35"/>
      <c r="R1180" s="28"/>
      <c r="S1180" s="33"/>
      <c r="T1180" s="32"/>
    </row>
    <row r="1181">
      <c r="A1181" s="15" t="s">
        <v>1964</v>
      </c>
      <c r="B1181" s="16" t="s">
        <v>40</v>
      </c>
      <c r="C1181" s="16"/>
      <c r="D1181" s="17" t="str">
        <f t="shared" si="54"/>
        <v>Removed</v>
      </c>
      <c r="E1181" s="18">
        <v>44273.0</v>
      </c>
      <c r="F1181" s="52">
        <v>44725.0</v>
      </c>
      <c r="G1181" s="20">
        <f t="shared" si="2"/>
        <v>14.83333333</v>
      </c>
      <c r="H1181" s="18">
        <v>42992.0</v>
      </c>
      <c r="I1181" s="20">
        <f t="shared" si="3"/>
        <v>3.511111111</v>
      </c>
      <c r="J1181" s="65">
        <f>(70+85)/2</f>
        <v>77.5</v>
      </c>
      <c r="K1181" s="53">
        <v>2.5</v>
      </c>
      <c r="L1181" s="23" t="s">
        <v>362</v>
      </c>
      <c r="M1181" s="23"/>
      <c r="N1181" s="23"/>
      <c r="O1181" s="23" t="s">
        <v>334</v>
      </c>
      <c r="P1181" s="54" t="s">
        <v>1965</v>
      </c>
      <c r="Q1181" s="23"/>
      <c r="R1181" s="16"/>
      <c r="S1181" s="18"/>
      <c r="T1181" s="20"/>
    </row>
    <row r="1182">
      <c r="A1182" s="27" t="s">
        <v>1966</v>
      </c>
      <c r="B1182" s="28" t="s">
        <v>40</v>
      </c>
      <c r="C1182" s="28"/>
      <c r="D1182" s="29" t="str">
        <f t="shared" si="54"/>
        <v>Removed</v>
      </c>
      <c r="E1182" s="33">
        <v>44273.0</v>
      </c>
      <c r="F1182" s="31">
        <v>44725.0</v>
      </c>
      <c r="G1182" s="32">
        <f t="shared" si="2"/>
        <v>14.83333333</v>
      </c>
      <c r="H1182" s="33">
        <v>41241.0</v>
      </c>
      <c r="I1182" s="32">
        <f t="shared" si="3"/>
        <v>8.305555556</v>
      </c>
      <c r="J1182" s="34">
        <v>80.0</v>
      </c>
      <c r="K1182" s="34">
        <v>6.0</v>
      </c>
      <c r="L1182" s="35" t="s">
        <v>549</v>
      </c>
      <c r="M1182" s="35"/>
      <c r="N1182" s="35"/>
      <c r="O1182" s="35" t="s">
        <v>125</v>
      </c>
      <c r="P1182" s="36" t="s">
        <v>1967</v>
      </c>
      <c r="Q1182" s="35"/>
      <c r="R1182" s="28"/>
      <c r="S1182" s="33"/>
      <c r="T1182" s="32"/>
    </row>
    <row r="1183">
      <c r="A1183" s="15" t="s">
        <v>1968</v>
      </c>
      <c r="B1183" s="16" t="s">
        <v>1859</v>
      </c>
      <c r="C1183" s="17"/>
      <c r="D1183" s="17" t="s">
        <v>1860</v>
      </c>
      <c r="E1183" s="76">
        <v>44697.0</v>
      </c>
      <c r="F1183" s="62">
        <v>44712.0</v>
      </c>
      <c r="G1183" s="20">
        <f t="shared" si="2"/>
        <v>0.4666666667</v>
      </c>
      <c r="H1183" s="18"/>
      <c r="I1183" s="20">
        <f t="shared" si="3"/>
        <v>-3.413888889</v>
      </c>
      <c r="J1183" s="53"/>
      <c r="K1183" s="53"/>
      <c r="L1183" s="23"/>
      <c r="M1183" s="23"/>
      <c r="N1183" s="23" t="s">
        <v>1612</v>
      </c>
      <c r="O1183" s="23"/>
      <c r="P1183" s="54"/>
      <c r="Q1183" s="23"/>
      <c r="R1183" s="17"/>
      <c r="S1183" s="18"/>
      <c r="T1183" s="20"/>
    </row>
    <row r="1184">
      <c r="A1184" s="27" t="s">
        <v>1969</v>
      </c>
      <c r="B1184" s="28" t="s">
        <v>1610</v>
      </c>
      <c r="C1184" s="29"/>
      <c r="D1184" s="29" t="s">
        <v>1611</v>
      </c>
      <c r="E1184" s="70">
        <v>44682.0</v>
      </c>
      <c r="F1184" s="30">
        <v>44712.0</v>
      </c>
      <c r="G1184" s="32">
        <f t="shared" si="2"/>
        <v>0.9666666667</v>
      </c>
      <c r="H1184" s="33"/>
      <c r="I1184" s="32">
        <f t="shared" si="3"/>
        <v>-3.455555556</v>
      </c>
      <c r="J1184" s="34"/>
      <c r="K1184" s="34"/>
      <c r="L1184" s="35"/>
      <c r="M1184" s="35"/>
      <c r="N1184" s="35"/>
      <c r="O1184" s="35"/>
      <c r="P1184" s="36"/>
      <c r="Q1184" s="35"/>
      <c r="R1184" s="29"/>
      <c r="S1184" s="33"/>
      <c r="T1184" s="32"/>
    </row>
    <row r="1185">
      <c r="A1185" s="15" t="s">
        <v>1970</v>
      </c>
      <c r="B1185" s="16" t="s">
        <v>27</v>
      </c>
      <c r="C1185" s="16" t="s">
        <v>121</v>
      </c>
      <c r="D1185" s="17" t="str">
        <f t="shared" ref="D1185:D1190" si="55">IF(E1185&gt;TODAY(),"Coming Soon",IF(F1185="","Active",IF(F1185&gt;TODAY(),"Leaving Soon","Removed")))</f>
        <v>Removed</v>
      </c>
      <c r="E1185" s="18">
        <v>44392.0</v>
      </c>
      <c r="F1185" s="52">
        <v>44712.0</v>
      </c>
      <c r="G1185" s="20">
        <f t="shared" si="2"/>
        <v>10.5</v>
      </c>
      <c r="H1185" s="18">
        <v>43424.0</v>
      </c>
      <c r="I1185" s="20">
        <f t="shared" si="3"/>
        <v>2.652777778</v>
      </c>
      <c r="J1185" s="53">
        <f>(73+77)/2</f>
        <v>75</v>
      </c>
      <c r="K1185" s="53">
        <v>159.0</v>
      </c>
      <c r="L1185" s="23" t="s">
        <v>50</v>
      </c>
      <c r="M1185" s="23"/>
      <c r="N1185" s="23"/>
      <c r="O1185" s="23" t="s">
        <v>132</v>
      </c>
      <c r="P1185" s="54"/>
      <c r="Q1185" s="23"/>
      <c r="R1185" s="17"/>
      <c r="S1185" s="18"/>
      <c r="T1185" s="20"/>
    </row>
    <row r="1186">
      <c r="A1186" s="27" t="s">
        <v>1971</v>
      </c>
      <c r="B1186" s="28" t="s">
        <v>40</v>
      </c>
      <c r="C1186" s="28"/>
      <c r="D1186" s="29" t="str">
        <f t="shared" si="55"/>
        <v>Removed</v>
      </c>
      <c r="E1186" s="33">
        <v>44343.0</v>
      </c>
      <c r="F1186" s="31">
        <v>44712.0</v>
      </c>
      <c r="G1186" s="32">
        <f t="shared" si="2"/>
        <v>12.1</v>
      </c>
      <c r="H1186" s="33">
        <v>43613.0</v>
      </c>
      <c r="I1186" s="32">
        <f t="shared" si="3"/>
        <v>1.997222222</v>
      </c>
      <c r="J1186" s="34">
        <f>(72+78)/2</f>
        <v>75</v>
      </c>
      <c r="K1186" s="34">
        <v>21.5</v>
      </c>
      <c r="L1186" s="35" t="s">
        <v>1972</v>
      </c>
      <c r="M1186" s="35"/>
      <c r="N1186" s="35"/>
      <c r="O1186" s="35" t="s">
        <v>34</v>
      </c>
      <c r="P1186" s="36" t="s">
        <v>779</v>
      </c>
      <c r="Q1186" s="35"/>
      <c r="R1186" s="28"/>
      <c r="S1186" s="33"/>
      <c r="T1186" s="32"/>
    </row>
    <row r="1187">
      <c r="A1187" s="15" t="s">
        <v>1973</v>
      </c>
      <c r="B1187" s="16" t="s">
        <v>27</v>
      </c>
      <c r="C1187" s="16"/>
      <c r="D1187" s="17" t="str">
        <f t="shared" si="55"/>
        <v>Removed</v>
      </c>
      <c r="E1187" s="18">
        <v>44337.0</v>
      </c>
      <c r="F1187" s="52">
        <v>44712.0</v>
      </c>
      <c r="G1187" s="20">
        <f t="shared" si="2"/>
        <v>12.3</v>
      </c>
      <c r="H1187" s="18">
        <v>44337.0</v>
      </c>
      <c r="I1187" s="20">
        <f t="shared" si="3"/>
        <v>0</v>
      </c>
      <c r="J1187" s="53">
        <f>(80+82+83)/3</f>
        <v>81.66666667</v>
      </c>
      <c r="K1187" s="53">
        <v>33.5</v>
      </c>
      <c r="L1187" s="23" t="s">
        <v>1761</v>
      </c>
      <c r="M1187" s="23" t="s">
        <v>123</v>
      </c>
      <c r="N1187" s="23"/>
      <c r="O1187" s="23" t="s">
        <v>334</v>
      </c>
      <c r="P1187" s="54" t="s">
        <v>483</v>
      </c>
      <c r="Q1187" s="23"/>
      <c r="R1187" s="17"/>
      <c r="S1187" s="18"/>
      <c r="T1187" s="20"/>
    </row>
    <row r="1188">
      <c r="A1188" s="27" t="s">
        <v>1974</v>
      </c>
      <c r="B1188" s="28" t="s">
        <v>27</v>
      </c>
      <c r="C1188" s="28" t="s">
        <v>121</v>
      </c>
      <c r="D1188" s="29" t="str">
        <f t="shared" si="55"/>
        <v>Removed</v>
      </c>
      <c r="E1188" s="30">
        <v>44168.0</v>
      </c>
      <c r="F1188" s="31">
        <v>44712.0</v>
      </c>
      <c r="G1188" s="32">
        <f t="shared" si="2"/>
        <v>17.9</v>
      </c>
      <c r="H1188" s="33">
        <v>43896.0</v>
      </c>
      <c r="I1188" s="32">
        <f t="shared" si="3"/>
        <v>0.7416666667</v>
      </c>
      <c r="J1188" s="34">
        <v>75.0</v>
      </c>
      <c r="K1188" s="34">
        <v>5.5</v>
      </c>
      <c r="L1188" s="35" t="s">
        <v>1975</v>
      </c>
      <c r="M1188" s="35" t="s">
        <v>123</v>
      </c>
      <c r="N1188" s="35"/>
      <c r="O1188" s="35" t="s">
        <v>125</v>
      </c>
      <c r="P1188" s="36" t="s">
        <v>1976</v>
      </c>
      <c r="Q1188" s="35"/>
      <c r="R1188" s="29"/>
      <c r="S1188" s="33"/>
      <c r="T1188" s="32"/>
    </row>
    <row r="1189">
      <c r="A1189" s="15" t="s">
        <v>1977</v>
      </c>
      <c r="B1189" s="16" t="s">
        <v>68</v>
      </c>
      <c r="C1189" s="16"/>
      <c r="D1189" s="17" t="str">
        <f t="shared" si="55"/>
        <v>Removed</v>
      </c>
      <c r="E1189" s="18">
        <v>44145.0</v>
      </c>
      <c r="F1189" s="52">
        <v>44712.0</v>
      </c>
      <c r="G1189" s="20">
        <f t="shared" si="2"/>
        <v>18.66666667</v>
      </c>
      <c r="H1189" s="18">
        <v>43721.0</v>
      </c>
      <c r="I1189" s="20">
        <f t="shared" si="3"/>
        <v>1.158333333</v>
      </c>
      <c r="J1189" s="53">
        <v>85.0</v>
      </c>
      <c r="K1189" s="53">
        <v>44.5</v>
      </c>
      <c r="L1189" s="23" t="s">
        <v>580</v>
      </c>
      <c r="M1189" s="23"/>
      <c r="N1189" s="23"/>
      <c r="O1189" s="23" t="s">
        <v>334</v>
      </c>
      <c r="P1189" s="54" t="s">
        <v>465</v>
      </c>
      <c r="Q1189" s="23"/>
      <c r="R1189" s="17"/>
      <c r="S1189" s="18"/>
      <c r="T1189" s="20"/>
    </row>
    <row r="1190">
      <c r="A1190" s="27" t="s">
        <v>1978</v>
      </c>
      <c r="B1190" s="28" t="s">
        <v>27</v>
      </c>
      <c r="C1190" s="28" t="s">
        <v>28</v>
      </c>
      <c r="D1190" s="29" t="str">
        <f t="shared" si="55"/>
        <v>Removed</v>
      </c>
      <c r="E1190" s="30">
        <v>44077.0</v>
      </c>
      <c r="F1190" s="31">
        <v>44712.0</v>
      </c>
      <c r="G1190" s="32">
        <f t="shared" si="2"/>
        <v>20.9</v>
      </c>
      <c r="H1190" s="33">
        <v>42759.0</v>
      </c>
      <c r="I1190" s="32">
        <f t="shared" si="3"/>
        <v>3.608333333</v>
      </c>
      <c r="J1190" s="34">
        <f>(83+86)/2</f>
        <v>84.5</v>
      </c>
      <c r="K1190" s="34">
        <v>9.5</v>
      </c>
      <c r="L1190" s="35" t="s">
        <v>37</v>
      </c>
      <c r="M1190" s="35"/>
      <c r="N1190" s="35"/>
      <c r="O1190" s="35" t="s">
        <v>34</v>
      </c>
      <c r="P1190" s="36" t="s">
        <v>35</v>
      </c>
      <c r="Q1190" s="35"/>
      <c r="R1190" s="29"/>
      <c r="S1190" s="33"/>
      <c r="T1190" s="32"/>
    </row>
    <row r="1191">
      <c r="A1191" s="15" t="s">
        <v>1979</v>
      </c>
      <c r="B1191" s="16" t="s">
        <v>1859</v>
      </c>
      <c r="C1191" s="17"/>
      <c r="D1191" s="17" t="s">
        <v>1860</v>
      </c>
      <c r="E1191" s="76">
        <v>44682.0</v>
      </c>
      <c r="F1191" s="62">
        <v>44696.0</v>
      </c>
      <c r="G1191" s="20">
        <f t="shared" si="2"/>
        <v>0.4666666667</v>
      </c>
      <c r="H1191" s="18"/>
      <c r="I1191" s="20">
        <f t="shared" si="3"/>
        <v>-3.455555556</v>
      </c>
      <c r="J1191" s="53"/>
      <c r="K1191" s="53"/>
      <c r="L1191" s="23"/>
      <c r="M1191" s="23"/>
      <c r="N1191" s="23" t="s">
        <v>1612</v>
      </c>
      <c r="O1191" s="23"/>
      <c r="P1191" s="54"/>
      <c r="Q1191" s="23"/>
      <c r="R1191" s="17"/>
      <c r="S1191" s="18"/>
      <c r="T1191" s="20"/>
    </row>
    <row r="1192">
      <c r="A1192" s="27" t="s">
        <v>1980</v>
      </c>
      <c r="B1192" s="28" t="s">
        <v>1610</v>
      </c>
      <c r="C1192" s="29"/>
      <c r="D1192" s="29" t="s">
        <v>1611</v>
      </c>
      <c r="E1192" s="70">
        <v>44667.0</v>
      </c>
      <c r="F1192" s="30">
        <v>44696.0</v>
      </c>
      <c r="G1192" s="32">
        <f t="shared" si="2"/>
        <v>0.9666666667</v>
      </c>
      <c r="H1192" s="33"/>
      <c r="I1192" s="32">
        <f t="shared" si="3"/>
        <v>-3.497222222</v>
      </c>
      <c r="J1192" s="34"/>
      <c r="K1192" s="34"/>
      <c r="L1192" s="35"/>
      <c r="M1192" s="35"/>
      <c r="N1192" s="35"/>
      <c r="O1192" s="35"/>
      <c r="P1192" s="36"/>
      <c r="Q1192" s="35"/>
      <c r="R1192" s="29"/>
      <c r="S1192" s="33"/>
      <c r="T1192" s="32"/>
    </row>
    <row r="1193">
      <c r="A1193" s="15" t="s">
        <v>1981</v>
      </c>
      <c r="B1193" s="16" t="s">
        <v>27</v>
      </c>
      <c r="C1193" s="16" t="s">
        <v>28</v>
      </c>
      <c r="D1193" s="17" t="str">
        <f t="shared" ref="D1193:D1197" si="56">IF(E1193&gt;TODAY(),"Coming Soon",IF(F1193="","Active",IF(F1193&gt;TODAY(),"Leaving Soon","Removed")))</f>
        <v>Removed</v>
      </c>
      <c r="E1193" s="18">
        <v>44336.0</v>
      </c>
      <c r="F1193" s="52">
        <v>44696.0</v>
      </c>
      <c r="G1193" s="20">
        <f t="shared" si="2"/>
        <v>11.83333333</v>
      </c>
      <c r="H1193" s="18">
        <v>44012.0</v>
      </c>
      <c r="I1193" s="20">
        <f t="shared" si="3"/>
        <v>0.8888888889</v>
      </c>
      <c r="J1193" s="53">
        <v>90.0</v>
      </c>
      <c r="K1193" s="53"/>
      <c r="L1193" s="23" t="s">
        <v>543</v>
      </c>
      <c r="M1193" s="23"/>
      <c r="N1193" s="23"/>
      <c r="O1193" s="23" t="s">
        <v>132</v>
      </c>
      <c r="P1193" s="54"/>
      <c r="Q1193" s="23"/>
      <c r="R1193" s="17"/>
      <c r="S1193" s="18"/>
      <c r="T1193" s="20"/>
    </row>
    <row r="1194">
      <c r="A1194" s="27" t="s">
        <v>1982</v>
      </c>
      <c r="B1194" s="28" t="s">
        <v>27</v>
      </c>
      <c r="C1194" s="28" t="s">
        <v>121</v>
      </c>
      <c r="D1194" s="29" t="str">
        <f t="shared" si="56"/>
        <v>Removed</v>
      </c>
      <c r="E1194" s="33">
        <v>44336.0</v>
      </c>
      <c r="F1194" s="31">
        <v>44696.0</v>
      </c>
      <c r="G1194" s="32">
        <f t="shared" si="2"/>
        <v>11.83333333</v>
      </c>
      <c r="H1194" s="33">
        <v>44336.0</v>
      </c>
      <c r="I1194" s="32">
        <f t="shared" si="3"/>
        <v>0</v>
      </c>
      <c r="J1194" s="34">
        <v>76.0</v>
      </c>
      <c r="K1194" s="34">
        <v>11.5</v>
      </c>
      <c r="L1194" s="35" t="s">
        <v>1206</v>
      </c>
      <c r="M1194" s="35" t="s">
        <v>123</v>
      </c>
      <c r="N1194" s="35"/>
      <c r="O1194" s="35" t="s">
        <v>334</v>
      </c>
      <c r="P1194" s="36" t="s">
        <v>1983</v>
      </c>
      <c r="Q1194" s="35"/>
      <c r="R1194" s="29"/>
      <c r="S1194" s="33"/>
      <c r="T1194" s="32"/>
    </row>
    <row r="1195">
      <c r="A1195" s="15" t="s">
        <v>1984</v>
      </c>
      <c r="B1195" s="16" t="s">
        <v>27</v>
      </c>
      <c r="C1195" s="16"/>
      <c r="D1195" s="17" t="str">
        <f t="shared" si="56"/>
        <v>Removed</v>
      </c>
      <c r="E1195" s="18">
        <v>44329.0</v>
      </c>
      <c r="F1195" s="52">
        <v>44696.0</v>
      </c>
      <c r="G1195" s="20">
        <f t="shared" si="2"/>
        <v>12.06666667</v>
      </c>
      <c r="H1195" s="18">
        <v>41634.0</v>
      </c>
      <c r="I1195" s="20">
        <f t="shared" si="3"/>
        <v>7.380555556</v>
      </c>
      <c r="J1195" s="53">
        <f>(83+85)/2</f>
        <v>84</v>
      </c>
      <c r="K1195" s="53">
        <v>78.5</v>
      </c>
      <c r="L1195" s="23" t="s">
        <v>1985</v>
      </c>
      <c r="M1195" s="23"/>
      <c r="N1195" s="23"/>
      <c r="O1195" s="23" t="s">
        <v>125</v>
      </c>
      <c r="P1195" s="54" t="s">
        <v>1986</v>
      </c>
      <c r="Q1195" s="23"/>
      <c r="R1195" s="17"/>
      <c r="S1195" s="18"/>
      <c r="T1195" s="20"/>
    </row>
    <row r="1196">
      <c r="A1196" s="27" t="s">
        <v>91</v>
      </c>
      <c r="B1196" s="28" t="s">
        <v>68</v>
      </c>
      <c r="C1196" s="28" t="s">
        <v>121</v>
      </c>
      <c r="D1196" s="29" t="str">
        <f t="shared" si="56"/>
        <v>Removed</v>
      </c>
      <c r="E1196" s="33">
        <v>44322.0</v>
      </c>
      <c r="F1196" s="31">
        <v>44696.0</v>
      </c>
      <c r="G1196" s="32">
        <f t="shared" si="2"/>
        <v>12.3</v>
      </c>
      <c r="H1196" s="33">
        <v>42705.0</v>
      </c>
      <c r="I1196" s="32">
        <f t="shared" si="3"/>
        <v>4.430555556</v>
      </c>
      <c r="J1196" s="34">
        <v>72.0</v>
      </c>
      <c r="K1196" s="34">
        <v>12.0</v>
      </c>
      <c r="L1196" s="35" t="s">
        <v>944</v>
      </c>
      <c r="M1196" s="35" t="s">
        <v>1947</v>
      </c>
      <c r="N1196" s="35"/>
      <c r="O1196" s="35" t="s">
        <v>125</v>
      </c>
      <c r="P1196" s="36" t="s">
        <v>1581</v>
      </c>
      <c r="Q1196" s="35" t="s">
        <v>1948</v>
      </c>
      <c r="R1196" s="29"/>
      <c r="S1196" s="33"/>
      <c r="T1196" s="32"/>
    </row>
    <row r="1197">
      <c r="A1197" s="15" t="s">
        <v>1987</v>
      </c>
      <c r="B1197" s="16" t="s">
        <v>68</v>
      </c>
      <c r="C1197" s="16" t="s">
        <v>28</v>
      </c>
      <c r="D1197" s="17" t="str">
        <f t="shared" si="56"/>
        <v>Removed</v>
      </c>
      <c r="E1197" s="18">
        <v>44511.0</v>
      </c>
      <c r="F1197" s="52">
        <v>44691.0</v>
      </c>
      <c r="G1197" s="20">
        <f t="shared" si="2"/>
        <v>5.966666667</v>
      </c>
      <c r="H1197" s="18">
        <v>44511.0</v>
      </c>
      <c r="I1197" s="20">
        <f t="shared" si="3"/>
        <v>0</v>
      </c>
      <c r="J1197" s="53">
        <f>(49+56)/2</f>
        <v>52.5</v>
      </c>
      <c r="K1197" s="53">
        <v>31.0</v>
      </c>
      <c r="L1197" s="23" t="s">
        <v>1988</v>
      </c>
      <c r="M1197" s="23"/>
      <c r="N1197" s="23"/>
      <c r="O1197" s="23" t="s">
        <v>34</v>
      </c>
      <c r="P1197" s="54" t="s">
        <v>976</v>
      </c>
      <c r="Q1197" s="23"/>
      <c r="R1197" s="17"/>
      <c r="S1197" s="18"/>
      <c r="T1197" s="20"/>
    </row>
    <row r="1198">
      <c r="A1198" s="27" t="s">
        <v>1989</v>
      </c>
      <c r="B1198" s="28" t="s">
        <v>1859</v>
      </c>
      <c r="C1198" s="29"/>
      <c r="D1198" s="29" t="s">
        <v>1860</v>
      </c>
      <c r="E1198" s="70">
        <v>44667.0</v>
      </c>
      <c r="F1198" s="30">
        <v>44681.0</v>
      </c>
      <c r="G1198" s="32">
        <f t="shared" si="2"/>
        <v>0.4666666667</v>
      </c>
      <c r="H1198" s="33"/>
      <c r="I1198" s="32">
        <f t="shared" si="3"/>
        <v>-3.497222222</v>
      </c>
      <c r="J1198" s="34"/>
      <c r="K1198" s="34"/>
      <c r="L1198" s="35"/>
      <c r="M1198" s="35"/>
      <c r="N1198" s="35" t="s">
        <v>1612</v>
      </c>
      <c r="O1198" s="35"/>
      <c r="P1198" s="36"/>
      <c r="Q1198" s="35"/>
      <c r="R1198" s="29"/>
      <c r="S1198" s="33"/>
      <c r="T1198" s="32"/>
    </row>
    <row r="1199">
      <c r="A1199" s="15" t="s">
        <v>1990</v>
      </c>
      <c r="B1199" s="16" t="s">
        <v>1610</v>
      </c>
      <c r="C1199" s="17"/>
      <c r="D1199" s="17" t="s">
        <v>1611</v>
      </c>
      <c r="E1199" s="76">
        <v>44652.0</v>
      </c>
      <c r="F1199" s="62">
        <v>44681.0</v>
      </c>
      <c r="G1199" s="20">
        <f t="shared" si="2"/>
        <v>0.9666666667</v>
      </c>
      <c r="H1199" s="18"/>
      <c r="I1199" s="20">
        <f t="shared" si="3"/>
        <v>-3.538888889</v>
      </c>
      <c r="J1199" s="53"/>
      <c r="K1199" s="53"/>
      <c r="L1199" s="23"/>
      <c r="M1199" s="23"/>
      <c r="N1199" s="23" t="s">
        <v>1612</v>
      </c>
      <c r="O1199" s="23"/>
      <c r="P1199" s="54"/>
      <c r="Q1199" s="23"/>
      <c r="R1199" s="17"/>
      <c r="S1199" s="18"/>
      <c r="T1199" s="20"/>
    </row>
    <row r="1200">
      <c r="A1200" s="27" t="s">
        <v>1991</v>
      </c>
      <c r="B1200" s="28" t="s">
        <v>27</v>
      </c>
      <c r="C1200" s="28" t="s">
        <v>121</v>
      </c>
      <c r="D1200" s="29" t="str">
        <f t="shared" ref="D1200:D1203" si="57">IF(E1200&gt;TODAY(),"Coming Soon",IF(F1200="","Active",IF(F1200&gt;TODAY(),"Leaving Soon","Removed")))</f>
        <v>Removed</v>
      </c>
      <c r="E1200" s="33">
        <v>44322.0</v>
      </c>
      <c r="F1200" s="31">
        <v>44681.0</v>
      </c>
      <c r="G1200" s="32">
        <f t="shared" si="2"/>
        <v>11.8</v>
      </c>
      <c r="H1200" s="33">
        <v>42850.0</v>
      </c>
      <c r="I1200" s="32">
        <f t="shared" si="3"/>
        <v>4.030555556</v>
      </c>
      <c r="J1200" s="34">
        <f>(75+77)/2</f>
        <v>76</v>
      </c>
      <c r="K1200" s="34">
        <v>7.5</v>
      </c>
      <c r="L1200" s="35" t="s">
        <v>362</v>
      </c>
      <c r="M1200" s="35"/>
      <c r="N1200" s="35"/>
      <c r="O1200" s="35" t="s">
        <v>34</v>
      </c>
      <c r="P1200" s="36" t="s">
        <v>1992</v>
      </c>
      <c r="Q1200" s="35"/>
      <c r="R1200" s="29"/>
      <c r="S1200" s="33"/>
      <c r="T1200" s="32"/>
    </row>
    <row r="1201">
      <c r="A1201" s="15" t="s">
        <v>1993</v>
      </c>
      <c r="B1201" s="16" t="s">
        <v>27</v>
      </c>
      <c r="C1201" s="16" t="s">
        <v>28</v>
      </c>
      <c r="D1201" s="17" t="str">
        <f t="shared" si="57"/>
        <v>Removed</v>
      </c>
      <c r="E1201" s="18">
        <v>44126.0</v>
      </c>
      <c r="F1201" s="52">
        <v>44681.0</v>
      </c>
      <c r="G1201" s="20">
        <f t="shared" si="2"/>
        <v>18.26666667</v>
      </c>
      <c r="H1201" s="18">
        <v>43613.0</v>
      </c>
      <c r="I1201" s="20">
        <f t="shared" si="3"/>
        <v>1.4</v>
      </c>
      <c r="J1201" s="53">
        <v>73.0</v>
      </c>
      <c r="K1201" s="53">
        <v>20.0</v>
      </c>
      <c r="L1201" s="23" t="s">
        <v>92</v>
      </c>
      <c r="M1201" s="23"/>
      <c r="N1201" s="23"/>
      <c r="O1201" s="23" t="s">
        <v>132</v>
      </c>
      <c r="P1201" s="54"/>
      <c r="Q1201" s="23"/>
      <c r="R1201" s="17"/>
      <c r="S1201" s="18"/>
      <c r="T1201" s="20"/>
    </row>
    <row r="1202">
      <c r="A1202" s="67" t="s">
        <v>1994</v>
      </c>
      <c r="B1202" s="28" t="s">
        <v>27</v>
      </c>
      <c r="C1202" s="28" t="s">
        <v>121</v>
      </c>
      <c r="D1202" s="29" t="str">
        <f t="shared" si="57"/>
        <v>Removed</v>
      </c>
      <c r="E1202" s="70">
        <v>43951.0</v>
      </c>
      <c r="F1202" s="31">
        <v>44681.0</v>
      </c>
      <c r="G1202" s="32">
        <f t="shared" si="2"/>
        <v>24</v>
      </c>
      <c r="H1202" s="33">
        <v>43951.0</v>
      </c>
      <c r="I1202" s="32">
        <f t="shared" si="3"/>
        <v>0</v>
      </c>
      <c r="J1202" s="69">
        <v>81.0</v>
      </c>
      <c r="K1202" s="34">
        <v>3.0</v>
      </c>
      <c r="L1202" s="44" t="s">
        <v>687</v>
      </c>
      <c r="M1202" s="44"/>
      <c r="N1202" s="44"/>
      <c r="O1202" s="35" t="s">
        <v>125</v>
      </c>
      <c r="P1202" s="36" t="s">
        <v>1995</v>
      </c>
      <c r="Q1202" s="35"/>
      <c r="R1202" s="29"/>
      <c r="S1202" s="33"/>
      <c r="T1202" s="32"/>
    </row>
    <row r="1203">
      <c r="A1203" s="15" t="s">
        <v>1996</v>
      </c>
      <c r="B1203" s="16" t="s">
        <v>27</v>
      </c>
      <c r="C1203" s="16" t="s">
        <v>28</v>
      </c>
      <c r="D1203" s="17" t="str">
        <f t="shared" si="57"/>
        <v>Removed</v>
      </c>
      <c r="E1203" s="62">
        <v>44042.0</v>
      </c>
      <c r="F1203" s="52">
        <v>44669.0</v>
      </c>
      <c r="G1203" s="20">
        <f t="shared" si="2"/>
        <v>20.6</v>
      </c>
      <c r="H1203" s="18">
        <v>43644.0</v>
      </c>
      <c r="I1203" s="20">
        <f t="shared" si="3"/>
        <v>1.088888889</v>
      </c>
      <c r="J1203" s="53">
        <f>(87+89)/2</f>
        <v>88</v>
      </c>
      <c r="K1203" s="53">
        <v>15.0</v>
      </c>
      <c r="L1203" s="23" t="s">
        <v>500</v>
      </c>
      <c r="M1203" s="23"/>
      <c r="N1203" s="23" t="s">
        <v>1997</v>
      </c>
      <c r="O1203" s="23" t="s">
        <v>132</v>
      </c>
      <c r="P1203" s="54"/>
      <c r="Q1203" s="23"/>
      <c r="R1203" s="17"/>
      <c r="S1203" s="18"/>
      <c r="T1203" s="20"/>
    </row>
    <row r="1204">
      <c r="A1204" s="27" t="s">
        <v>1998</v>
      </c>
      <c r="B1204" s="28" t="s">
        <v>1859</v>
      </c>
      <c r="C1204" s="29"/>
      <c r="D1204" s="29" t="s">
        <v>1860</v>
      </c>
      <c r="E1204" s="70">
        <v>44652.0</v>
      </c>
      <c r="F1204" s="30">
        <v>44666.0</v>
      </c>
      <c r="G1204" s="32">
        <f t="shared" si="2"/>
        <v>0.4666666667</v>
      </c>
      <c r="H1204" s="33"/>
      <c r="I1204" s="32">
        <f t="shared" si="3"/>
        <v>-3.538888889</v>
      </c>
      <c r="J1204" s="34"/>
      <c r="K1204" s="34"/>
      <c r="L1204" s="35"/>
      <c r="M1204" s="35"/>
      <c r="N1204" s="35" t="s">
        <v>1612</v>
      </c>
      <c r="O1204" s="35"/>
      <c r="P1204" s="36"/>
      <c r="Q1204" s="35"/>
      <c r="R1204" s="29"/>
      <c r="S1204" s="33"/>
      <c r="T1204" s="32"/>
    </row>
    <row r="1205">
      <c r="A1205" s="15" t="s">
        <v>1999</v>
      </c>
      <c r="B1205" s="16" t="s">
        <v>1610</v>
      </c>
      <c r="C1205" s="17"/>
      <c r="D1205" s="17" t="s">
        <v>1611</v>
      </c>
      <c r="E1205" s="76">
        <v>44636.0</v>
      </c>
      <c r="F1205" s="62">
        <v>44666.0</v>
      </c>
      <c r="G1205" s="20">
        <f t="shared" si="2"/>
        <v>0.9666666667</v>
      </c>
      <c r="H1205" s="18"/>
      <c r="I1205" s="20">
        <f t="shared" si="3"/>
        <v>-3.580555556</v>
      </c>
      <c r="J1205" s="53"/>
      <c r="K1205" s="53"/>
      <c r="L1205" s="23"/>
      <c r="M1205" s="23"/>
      <c r="N1205" s="23"/>
      <c r="O1205" s="23"/>
      <c r="P1205" s="54"/>
      <c r="Q1205" s="23"/>
      <c r="R1205" s="17"/>
      <c r="S1205" s="18"/>
      <c r="T1205" s="20"/>
    </row>
    <row r="1206">
      <c r="A1206" s="27" t="s">
        <v>2000</v>
      </c>
      <c r="B1206" s="28" t="s">
        <v>68</v>
      </c>
      <c r="C1206" s="28" t="s">
        <v>28</v>
      </c>
      <c r="D1206" s="29" t="str">
        <f t="shared" ref="D1206:D1209" si="58">IF(E1206&gt;TODAY(),"Coming Soon",IF(F1206="","Active",IF(F1206&gt;TODAY(),"Leaving Soon","Removed")))</f>
        <v>Removed</v>
      </c>
      <c r="E1206" s="33">
        <v>44306.0</v>
      </c>
      <c r="F1206" s="31">
        <v>44666.0</v>
      </c>
      <c r="G1206" s="32">
        <f t="shared" si="2"/>
        <v>11.83333333</v>
      </c>
      <c r="H1206" s="33">
        <v>44306.0</v>
      </c>
      <c r="I1206" s="32">
        <f t="shared" si="3"/>
        <v>0</v>
      </c>
      <c r="J1206" s="34">
        <v>80.0</v>
      </c>
      <c r="K1206" s="34">
        <v>80.0</v>
      </c>
      <c r="L1206" s="35" t="s">
        <v>694</v>
      </c>
      <c r="M1206" s="35" t="s">
        <v>123</v>
      </c>
      <c r="N1206" s="35"/>
      <c r="O1206" s="35" t="s">
        <v>132</v>
      </c>
      <c r="P1206" s="36"/>
      <c r="Q1206" s="35"/>
      <c r="R1206" s="29"/>
      <c r="S1206" s="33"/>
      <c r="T1206" s="32"/>
    </row>
    <row r="1207">
      <c r="A1207" s="15" t="s">
        <v>2001</v>
      </c>
      <c r="B1207" s="16" t="s">
        <v>40</v>
      </c>
      <c r="C1207" s="16"/>
      <c r="D1207" s="17" t="str">
        <f t="shared" si="58"/>
        <v>Removed</v>
      </c>
      <c r="E1207" s="18">
        <v>44301.0</v>
      </c>
      <c r="F1207" s="52">
        <v>44666.0</v>
      </c>
      <c r="G1207" s="20">
        <f t="shared" si="2"/>
        <v>12</v>
      </c>
      <c r="H1207" s="18">
        <v>43566.0</v>
      </c>
      <c r="I1207" s="20">
        <f t="shared" si="3"/>
        <v>2.011111111</v>
      </c>
      <c r="J1207" s="53">
        <v>68.0</v>
      </c>
      <c r="K1207" s="53">
        <v>10.0</v>
      </c>
      <c r="L1207" s="23" t="s">
        <v>567</v>
      </c>
      <c r="M1207" s="23"/>
      <c r="N1207" s="23"/>
      <c r="O1207" s="23" t="s">
        <v>125</v>
      </c>
      <c r="P1207" s="54" t="s">
        <v>1493</v>
      </c>
      <c r="Q1207" s="23"/>
      <c r="R1207" s="16"/>
      <c r="S1207" s="18"/>
      <c r="T1207" s="20"/>
    </row>
    <row r="1208">
      <c r="A1208" s="27" t="s">
        <v>2002</v>
      </c>
      <c r="B1208" s="28" t="s">
        <v>27</v>
      </c>
      <c r="C1208" s="28" t="s">
        <v>121</v>
      </c>
      <c r="D1208" s="29" t="str">
        <f t="shared" si="58"/>
        <v>Removed</v>
      </c>
      <c r="E1208" s="33">
        <v>44301.0</v>
      </c>
      <c r="F1208" s="31">
        <v>44666.0</v>
      </c>
      <c r="G1208" s="32">
        <f t="shared" si="2"/>
        <v>12</v>
      </c>
      <c r="H1208" s="33">
        <v>44301.0</v>
      </c>
      <c r="I1208" s="32">
        <f t="shared" si="3"/>
        <v>0</v>
      </c>
      <c r="J1208" s="34">
        <v>78.0</v>
      </c>
      <c r="K1208" s="34">
        <v>2.5</v>
      </c>
      <c r="L1208" s="35" t="s">
        <v>362</v>
      </c>
      <c r="M1208" s="35"/>
      <c r="N1208" s="35"/>
      <c r="O1208" s="35" t="s">
        <v>334</v>
      </c>
      <c r="P1208" s="36" t="s">
        <v>483</v>
      </c>
      <c r="Q1208" s="35"/>
      <c r="R1208" s="29"/>
      <c r="S1208" s="33"/>
      <c r="T1208" s="32"/>
    </row>
    <row r="1209">
      <c r="A1209" s="15" t="s">
        <v>2003</v>
      </c>
      <c r="B1209" s="16" t="s">
        <v>40</v>
      </c>
      <c r="C1209" s="16"/>
      <c r="D1209" s="17" t="str">
        <f t="shared" si="58"/>
        <v>Removed</v>
      </c>
      <c r="E1209" s="18">
        <v>44096.0</v>
      </c>
      <c r="F1209" s="52">
        <v>44662.0</v>
      </c>
      <c r="G1209" s="20">
        <f t="shared" si="2"/>
        <v>18.63333333</v>
      </c>
      <c r="H1209" s="18">
        <v>42984.0</v>
      </c>
      <c r="I1209" s="20">
        <f t="shared" si="3"/>
        <v>3.044444444</v>
      </c>
      <c r="J1209" s="53">
        <v>87.0</v>
      </c>
      <c r="K1209" s="53">
        <v>12.0</v>
      </c>
      <c r="L1209" s="23" t="s">
        <v>1042</v>
      </c>
      <c r="M1209" s="23" t="s">
        <v>123</v>
      </c>
      <c r="N1209" s="23" t="s">
        <v>2004</v>
      </c>
      <c r="O1209" s="23" t="s">
        <v>125</v>
      </c>
      <c r="P1209" s="54" t="s">
        <v>601</v>
      </c>
      <c r="Q1209" s="23"/>
      <c r="R1209" s="16"/>
      <c r="S1209" s="18"/>
      <c r="T1209" s="20"/>
    </row>
    <row r="1210">
      <c r="A1210" s="27" t="s">
        <v>2005</v>
      </c>
      <c r="B1210" s="28" t="s">
        <v>1859</v>
      </c>
      <c r="C1210" s="29"/>
      <c r="D1210" s="29" t="s">
        <v>1860</v>
      </c>
      <c r="E1210" s="70">
        <v>44636.0</v>
      </c>
      <c r="F1210" s="30">
        <v>44651.0</v>
      </c>
      <c r="G1210" s="32">
        <f t="shared" si="2"/>
        <v>0.4666666667</v>
      </c>
      <c r="H1210" s="33"/>
      <c r="I1210" s="32">
        <f t="shared" si="3"/>
        <v>-3.580555556</v>
      </c>
      <c r="J1210" s="34"/>
      <c r="K1210" s="34"/>
      <c r="L1210" s="35"/>
      <c r="M1210" s="35"/>
      <c r="N1210" s="35" t="s">
        <v>1612</v>
      </c>
      <c r="O1210" s="35"/>
      <c r="P1210" s="36"/>
      <c r="Q1210" s="35"/>
      <c r="R1210" s="29"/>
      <c r="S1210" s="33"/>
      <c r="T1210" s="32"/>
    </row>
    <row r="1211">
      <c r="A1211" s="15" t="s">
        <v>2006</v>
      </c>
      <c r="B1211" s="16" t="s">
        <v>1610</v>
      </c>
      <c r="C1211" s="17"/>
      <c r="D1211" s="17" t="s">
        <v>1611</v>
      </c>
      <c r="E1211" s="76">
        <v>44621.0</v>
      </c>
      <c r="F1211" s="62">
        <v>44651.0</v>
      </c>
      <c r="G1211" s="20">
        <f t="shared" si="2"/>
        <v>0.9666666667</v>
      </c>
      <c r="H1211" s="18"/>
      <c r="I1211" s="20">
        <f t="shared" si="3"/>
        <v>-3.622222222</v>
      </c>
      <c r="J1211" s="53"/>
      <c r="K1211" s="53"/>
      <c r="L1211" s="23"/>
      <c r="M1211" s="23"/>
      <c r="N1211" s="23"/>
      <c r="O1211" s="23"/>
      <c r="P1211" s="54"/>
      <c r="Q1211" s="23"/>
      <c r="R1211" s="17"/>
      <c r="S1211" s="18"/>
      <c r="T1211" s="20"/>
    </row>
    <row r="1212">
      <c r="A1212" s="27" t="s">
        <v>2007</v>
      </c>
      <c r="B1212" s="28" t="s">
        <v>27</v>
      </c>
      <c r="C1212" s="28" t="s">
        <v>121</v>
      </c>
      <c r="D1212" s="29" t="str">
        <f t="shared" ref="D1212:D1217" si="59">IF(E1212&gt;TODAY(),"Coming Soon",IF(F1212="","Active",IF(F1212&gt;TODAY(),"Leaving Soon","Removed")))</f>
        <v>Removed</v>
      </c>
      <c r="E1212" s="33">
        <v>44285.0</v>
      </c>
      <c r="F1212" s="31">
        <v>44651.0</v>
      </c>
      <c r="G1212" s="32">
        <f t="shared" si="2"/>
        <v>12</v>
      </c>
      <c r="H1212" s="33">
        <v>44285.0</v>
      </c>
      <c r="I1212" s="32">
        <f t="shared" si="3"/>
        <v>0</v>
      </c>
      <c r="J1212" s="34">
        <v>73.0</v>
      </c>
      <c r="K1212" s="34">
        <v>7.0</v>
      </c>
      <c r="L1212" s="35" t="s">
        <v>2008</v>
      </c>
      <c r="M1212" s="35"/>
      <c r="N1212" s="35"/>
      <c r="O1212" s="35" t="s">
        <v>125</v>
      </c>
      <c r="P1212" s="36" t="s">
        <v>2009</v>
      </c>
      <c r="Q1212" s="35"/>
      <c r="R1212" s="29"/>
      <c r="S1212" s="33"/>
      <c r="T1212" s="32"/>
    </row>
    <row r="1213">
      <c r="A1213" s="15" t="s">
        <v>2010</v>
      </c>
      <c r="B1213" s="16" t="s">
        <v>27</v>
      </c>
      <c r="C1213" s="16" t="s">
        <v>28</v>
      </c>
      <c r="D1213" s="17" t="str">
        <f t="shared" si="59"/>
        <v>Removed</v>
      </c>
      <c r="E1213" s="18">
        <v>44145.0</v>
      </c>
      <c r="F1213" s="52">
        <v>44651.0</v>
      </c>
      <c r="G1213" s="20">
        <f t="shared" si="2"/>
        <v>16.66666667</v>
      </c>
      <c r="H1213" s="18">
        <v>43676.0</v>
      </c>
      <c r="I1213" s="20">
        <f t="shared" si="3"/>
        <v>1.277777778</v>
      </c>
      <c r="J1213" s="53">
        <v>79.0</v>
      </c>
      <c r="K1213" s="53">
        <v>53.5</v>
      </c>
      <c r="L1213" s="23" t="s">
        <v>494</v>
      </c>
      <c r="M1213" s="23"/>
      <c r="N1213" s="23"/>
      <c r="O1213" s="23" t="s">
        <v>132</v>
      </c>
      <c r="P1213" s="54" t="s">
        <v>495</v>
      </c>
      <c r="Q1213" s="23"/>
      <c r="R1213" s="17"/>
      <c r="S1213" s="18"/>
      <c r="T1213" s="20"/>
    </row>
    <row r="1214">
      <c r="A1214" s="67" t="s">
        <v>2011</v>
      </c>
      <c r="B1214" s="28" t="s">
        <v>27</v>
      </c>
      <c r="C1214" s="28" t="s">
        <v>28</v>
      </c>
      <c r="D1214" s="29" t="str">
        <f t="shared" si="59"/>
        <v>Removed</v>
      </c>
      <c r="E1214" s="70">
        <v>43454.0</v>
      </c>
      <c r="F1214" s="31">
        <v>44651.0</v>
      </c>
      <c r="G1214" s="32">
        <f t="shared" si="2"/>
        <v>39.33333333</v>
      </c>
      <c r="H1214" s="33">
        <v>42656.0</v>
      </c>
      <c r="I1214" s="32">
        <f t="shared" si="3"/>
        <v>2.186111111</v>
      </c>
      <c r="J1214" s="69">
        <v>78.0</v>
      </c>
      <c r="K1214" s="34">
        <v>7.5</v>
      </c>
      <c r="L1214" s="35" t="s">
        <v>1042</v>
      </c>
      <c r="M1214" s="35" t="s">
        <v>867</v>
      </c>
      <c r="N1214" s="44"/>
      <c r="O1214" s="35" t="s">
        <v>34</v>
      </c>
      <c r="P1214" s="36" t="s">
        <v>2012</v>
      </c>
      <c r="Q1214" s="35" t="s">
        <v>868</v>
      </c>
      <c r="R1214" s="29"/>
      <c r="S1214" s="33"/>
      <c r="T1214" s="32"/>
    </row>
    <row r="1215">
      <c r="A1215" s="15" t="s">
        <v>2013</v>
      </c>
      <c r="B1215" s="16" t="s">
        <v>40</v>
      </c>
      <c r="C1215" s="16"/>
      <c r="D1215" s="17" t="str">
        <f t="shared" si="59"/>
        <v>Removed</v>
      </c>
      <c r="E1215" s="18">
        <v>44273.0</v>
      </c>
      <c r="F1215" s="52">
        <v>44648.0</v>
      </c>
      <c r="G1215" s="20">
        <f t="shared" si="2"/>
        <v>12.33333333</v>
      </c>
      <c r="H1215" s="18">
        <v>42647.0</v>
      </c>
      <c r="I1215" s="20">
        <f t="shared" si="3"/>
        <v>4.455555556</v>
      </c>
      <c r="J1215" s="53">
        <v>71.0</v>
      </c>
      <c r="K1215" s="53">
        <v>6.5</v>
      </c>
      <c r="L1215" s="23" t="s">
        <v>366</v>
      </c>
      <c r="M1215" s="23"/>
      <c r="N1215" s="23"/>
      <c r="O1215" s="23" t="s">
        <v>34</v>
      </c>
      <c r="P1215" s="54" t="s">
        <v>551</v>
      </c>
      <c r="Q1215" s="23"/>
      <c r="R1215" s="16"/>
      <c r="S1215" s="18"/>
      <c r="T1215" s="20"/>
    </row>
    <row r="1216">
      <c r="A1216" s="27" t="s">
        <v>2014</v>
      </c>
      <c r="B1216" s="28" t="s">
        <v>40</v>
      </c>
      <c r="C1216" s="28"/>
      <c r="D1216" s="29" t="str">
        <f t="shared" si="59"/>
        <v>Removed</v>
      </c>
      <c r="E1216" s="33">
        <v>44273.0</v>
      </c>
      <c r="F1216" s="31">
        <v>44648.0</v>
      </c>
      <c r="G1216" s="32">
        <f t="shared" si="2"/>
        <v>12.33333333</v>
      </c>
      <c r="H1216" s="33">
        <v>43124.0</v>
      </c>
      <c r="I1216" s="32">
        <f t="shared" si="3"/>
        <v>3.15</v>
      </c>
      <c r="J1216" s="69">
        <f>(60+70)/2</f>
        <v>65</v>
      </c>
      <c r="K1216" s="34">
        <v>12.0</v>
      </c>
      <c r="L1216" s="35" t="s">
        <v>29</v>
      </c>
      <c r="M1216" s="35"/>
      <c r="N1216" s="35"/>
      <c r="O1216" s="133" t="s">
        <v>334</v>
      </c>
      <c r="P1216" s="36" t="s">
        <v>2015</v>
      </c>
      <c r="Q1216" s="133"/>
      <c r="R1216" s="28"/>
      <c r="S1216" s="33"/>
      <c r="T1216" s="32"/>
    </row>
    <row r="1217">
      <c r="A1217" s="15" t="s">
        <v>2016</v>
      </c>
      <c r="B1217" s="16" t="s">
        <v>40</v>
      </c>
      <c r="C1217" s="16"/>
      <c r="D1217" s="17" t="str">
        <f t="shared" si="59"/>
        <v>Removed</v>
      </c>
      <c r="E1217" s="18">
        <v>44273.0</v>
      </c>
      <c r="F1217" s="52">
        <v>44648.0</v>
      </c>
      <c r="G1217" s="20">
        <f t="shared" si="2"/>
        <v>12.33333333</v>
      </c>
      <c r="H1217" s="18">
        <v>42836.0</v>
      </c>
      <c r="I1217" s="20">
        <f t="shared" si="3"/>
        <v>3.936111111</v>
      </c>
      <c r="J1217" s="53">
        <v>83.0</v>
      </c>
      <c r="K1217" s="53">
        <v>6.0</v>
      </c>
      <c r="L1217" s="23" t="s">
        <v>362</v>
      </c>
      <c r="M1217" s="23"/>
      <c r="N1217" s="23"/>
      <c r="O1217" s="23" t="s">
        <v>125</v>
      </c>
      <c r="P1217" s="54" t="s">
        <v>2017</v>
      </c>
      <c r="Q1217" s="23"/>
      <c r="R1217" s="16"/>
      <c r="S1217" s="18"/>
      <c r="T1217" s="20"/>
    </row>
    <row r="1218">
      <c r="A1218" s="27" t="s">
        <v>2018</v>
      </c>
      <c r="B1218" s="28" t="s">
        <v>1859</v>
      </c>
      <c r="C1218" s="29"/>
      <c r="D1218" s="29" t="s">
        <v>1860</v>
      </c>
      <c r="E1218" s="70">
        <v>44621.0</v>
      </c>
      <c r="F1218" s="30">
        <v>44635.0</v>
      </c>
      <c r="G1218" s="32">
        <f t="shared" si="2"/>
        <v>0.4666666667</v>
      </c>
      <c r="H1218" s="33"/>
      <c r="I1218" s="32">
        <f t="shared" si="3"/>
        <v>-3.622222222</v>
      </c>
      <c r="J1218" s="34"/>
      <c r="K1218" s="34"/>
      <c r="L1218" s="35"/>
      <c r="M1218" s="35"/>
      <c r="N1218" s="35" t="s">
        <v>1612</v>
      </c>
      <c r="O1218" s="35"/>
      <c r="P1218" s="36"/>
      <c r="Q1218" s="35"/>
      <c r="R1218" s="29"/>
      <c r="S1218" s="33"/>
      <c r="T1218" s="32"/>
    </row>
    <row r="1219">
      <c r="A1219" s="15" t="s">
        <v>2019</v>
      </c>
      <c r="B1219" s="16" t="s">
        <v>1610</v>
      </c>
      <c r="C1219" s="17"/>
      <c r="D1219" s="17" t="s">
        <v>1611</v>
      </c>
      <c r="E1219" s="76">
        <v>44608.0</v>
      </c>
      <c r="F1219" s="62">
        <v>44635.0</v>
      </c>
      <c r="G1219" s="20">
        <f t="shared" si="2"/>
        <v>0.9666666667</v>
      </c>
      <c r="H1219" s="18"/>
      <c r="I1219" s="20">
        <f t="shared" si="3"/>
        <v>-3.663888889</v>
      </c>
      <c r="J1219" s="53"/>
      <c r="K1219" s="53"/>
      <c r="L1219" s="23"/>
      <c r="M1219" s="23" t="s">
        <v>1614</v>
      </c>
      <c r="N1219" s="23" t="s">
        <v>1612</v>
      </c>
      <c r="O1219" s="23"/>
      <c r="P1219" s="54"/>
      <c r="Q1219" s="23"/>
      <c r="R1219" s="17"/>
      <c r="S1219" s="18"/>
      <c r="T1219" s="20"/>
    </row>
    <row r="1220">
      <c r="A1220" s="27" t="s">
        <v>2020</v>
      </c>
      <c r="B1220" s="28" t="s">
        <v>27</v>
      </c>
      <c r="C1220" s="28" t="s">
        <v>121</v>
      </c>
      <c r="D1220" s="29" t="str">
        <f t="shared" ref="D1220:D1224" si="60">IF(E1220&gt;TODAY(),"Coming Soon",IF(F1220="","Active",IF(F1220&gt;TODAY(),"Leaving Soon","Removed")))</f>
        <v>Removed</v>
      </c>
      <c r="E1220" s="33">
        <v>44210.0</v>
      </c>
      <c r="F1220" s="31">
        <v>44635.0</v>
      </c>
      <c r="G1220" s="32">
        <f t="shared" si="2"/>
        <v>14.03333333</v>
      </c>
      <c r="H1220" s="33">
        <v>43995.0</v>
      </c>
      <c r="I1220" s="32">
        <f t="shared" si="3"/>
        <v>0.5861111111</v>
      </c>
      <c r="J1220" s="34">
        <f>(65+68)/2</f>
        <v>66.5</v>
      </c>
      <c r="K1220" s="34">
        <v>15.5</v>
      </c>
      <c r="L1220" s="35" t="s">
        <v>529</v>
      </c>
      <c r="M1220" s="35"/>
      <c r="N1220" s="35"/>
      <c r="O1220" s="35" t="s">
        <v>125</v>
      </c>
      <c r="P1220" s="36" t="s">
        <v>1493</v>
      </c>
      <c r="Q1220" s="35"/>
      <c r="R1220" s="29"/>
      <c r="S1220" s="33"/>
      <c r="T1220" s="32"/>
    </row>
    <row r="1221">
      <c r="A1221" s="15" t="s">
        <v>2021</v>
      </c>
      <c r="B1221" s="16" t="s">
        <v>27</v>
      </c>
      <c r="C1221" s="16" t="s">
        <v>28</v>
      </c>
      <c r="D1221" s="17" t="str">
        <f t="shared" si="60"/>
        <v>Removed</v>
      </c>
      <c r="E1221" s="62">
        <v>44168.0</v>
      </c>
      <c r="F1221" s="52">
        <v>44635.0</v>
      </c>
      <c r="G1221" s="20">
        <f t="shared" si="2"/>
        <v>15.4</v>
      </c>
      <c r="H1221" s="18">
        <v>44168.0</v>
      </c>
      <c r="I1221" s="20">
        <f t="shared" si="3"/>
        <v>0</v>
      </c>
      <c r="J1221" s="53">
        <v>81.0</v>
      </c>
      <c r="K1221" s="53">
        <v>7.5</v>
      </c>
      <c r="L1221" s="23" t="s">
        <v>731</v>
      </c>
      <c r="M1221" s="23"/>
      <c r="N1221" s="23"/>
      <c r="O1221" s="23" t="s">
        <v>132</v>
      </c>
      <c r="P1221" s="54" t="s">
        <v>955</v>
      </c>
      <c r="Q1221" s="23"/>
      <c r="R1221" s="17"/>
      <c r="S1221" s="18"/>
      <c r="T1221" s="20"/>
    </row>
    <row r="1222">
      <c r="A1222" s="27" t="s">
        <v>2022</v>
      </c>
      <c r="B1222" s="28" t="s">
        <v>27</v>
      </c>
      <c r="C1222" s="28" t="s">
        <v>121</v>
      </c>
      <c r="D1222" s="29" t="str">
        <f t="shared" si="60"/>
        <v>Removed</v>
      </c>
      <c r="E1222" s="70">
        <v>43923.0</v>
      </c>
      <c r="F1222" s="31">
        <v>44635.0</v>
      </c>
      <c r="G1222" s="32">
        <f t="shared" si="2"/>
        <v>23.43333333</v>
      </c>
      <c r="H1222" s="33">
        <v>42789.0</v>
      </c>
      <c r="I1222" s="32">
        <f t="shared" si="3"/>
        <v>3.108333333</v>
      </c>
      <c r="J1222" s="69">
        <v>90.0</v>
      </c>
      <c r="K1222" s="34">
        <v>20.5</v>
      </c>
      <c r="L1222" s="35" t="s">
        <v>122</v>
      </c>
      <c r="M1222" s="44"/>
      <c r="N1222" s="35" t="s">
        <v>2023</v>
      </c>
      <c r="O1222" s="35" t="s">
        <v>34</v>
      </c>
      <c r="P1222" s="36" t="s">
        <v>885</v>
      </c>
      <c r="Q1222" s="35"/>
      <c r="R1222" s="29"/>
      <c r="S1222" s="33"/>
      <c r="T1222" s="32"/>
    </row>
    <row r="1223">
      <c r="A1223" s="64" t="s">
        <v>2024</v>
      </c>
      <c r="B1223" s="16" t="s">
        <v>27</v>
      </c>
      <c r="C1223" s="16" t="s">
        <v>28</v>
      </c>
      <c r="D1223" s="17" t="str">
        <f t="shared" si="60"/>
        <v>Removed</v>
      </c>
      <c r="E1223" s="76">
        <v>43909.0</v>
      </c>
      <c r="F1223" s="52">
        <v>44635.0</v>
      </c>
      <c r="G1223" s="20">
        <f t="shared" si="2"/>
        <v>23.86666667</v>
      </c>
      <c r="H1223" s="18">
        <v>43732.0</v>
      </c>
      <c r="I1223" s="20">
        <f t="shared" si="3"/>
        <v>0.4861111111</v>
      </c>
      <c r="J1223" s="65">
        <v>78.0</v>
      </c>
      <c r="K1223" s="53">
        <v>21.5</v>
      </c>
      <c r="L1223" s="23" t="s">
        <v>122</v>
      </c>
      <c r="M1223" s="43"/>
      <c r="N1223" s="43"/>
      <c r="O1223" s="23" t="s">
        <v>34</v>
      </c>
      <c r="P1223" s="54" t="s">
        <v>1138</v>
      </c>
      <c r="Q1223" s="23"/>
      <c r="R1223" s="17"/>
      <c r="S1223" s="18"/>
      <c r="T1223" s="20"/>
    </row>
    <row r="1224">
      <c r="A1224" s="27" t="s">
        <v>2025</v>
      </c>
      <c r="B1224" s="28" t="s">
        <v>27</v>
      </c>
      <c r="C1224" s="28"/>
      <c r="D1224" s="29" t="str">
        <f t="shared" si="60"/>
        <v>Removed</v>
      </c>
      <c r="E1224" s="33">
        <v>44145.0</v>
      </c>
      <c r="F1224" s="31">
        <v>44621.0</v>
      </c>
      <c r="G1224" s="32">
        <f t="shared" si="2"/>
        <v>15.7</v>
      </c>
      <c r="H1224" s="33">
        <v>41709.0</v>
      </c>
      <c r="I1224" s="32">
        <f t="shared" si="3"/>
        <v>6.663888889</v>
      </c>
      <c r="J1224" s="34">
        <v>83.0</v>
      </c>
      <c r="K1224" s="34">
        <v>12.0</v>
      </c>
      <c r="L1224" s="35" t="s">
        <v>184</v>
      </c>
      <c r="M1224" s="35" t="s">
        <v>867</v>
      </c>
      <c r="N1224" s="35" t="s">
        <v>871</v>
      </c>
      <c r="O1224" s="35" t="s">
        <v>34</v>
      </c>
      <c r="P1224" s="36" t="s">
        <v>432</v>
      </c>
      <c r="Q1224" s="35" t="s">
        <v>868</v>
      </c>
      <c r="R1224" s="29"/>
      <c r="S1224" s="33"/>
      <c r="T1224" s="32"/>
    </row>
    <row r="1225">
      <c r="A1225" s="15" t="s">
        <v>2026</v>
      </c>
      <c r="B1225" s="16" t="s">
        <v>1859</v>
      </c>
      <c r="C1225" s="17"/>
      <c r="D1225" s="17" t="s">
        <v>1860</v>
      </c>
      <c r="E1225" s="76">
        <v>44608.0</v>
      </c>
      <c r="F1225" s="62">
        <v>44620.0</v>
      </c>
      <c r="G1225" s="20">
        <f t="shared" si="2"/>
        <v>0.4</v>
      </c>
      <c r="H1225" s="18"/>
      <c r="I1225" s="20">
        <f t="shared" si="3"/>
        <v>-3.663888889</v>
      </c>
      <c r="J1225" s="53"/>
      <c r="K1225" s="53"/>
      <c r="L1225" s="23"/>
      <c r="M1225" s="23"/>
      <c r="N1225" s="23" t="s">
        <v>1612</v>
      </c>
      <c r="O1225" s="23"/>
      <c r="P1225" s="54"/>
      <c r="Q1225" s="23"/>
      <c r="R1225" s="17"/>
      <c r="S1225" s="18"/>
      <c r="T1225" s="20"/>
    </row>
    <row r="1226">
      <c r="A1226" s="27" t="s">
        <v>2027</v>
      </c>
      <c r="B1226" s="28" t="s">
        <v>1610</v>
      </c>
      <c r="C1226" s="29"/>
      <c r="D1226" s="29" t="s">
        <v>1611</v>
      </c>
      <c r="E1226" s="70">
        <v>44593.0</v>
      </c>
      <c r="F1226" s="30">
        <v>44620.0</v>
      </c>
      <c r="G1226" s="32">
        <f t="shared" si="2"/>
        <v>0.9</v>
      </c>
      <c r="H1226" s="33"/>
      <c r="I1226" s="32">
        <f t="shared" si="3"/>
        <v>-3.705555556</v>
      </c>
      <c r="J1226" s="34"/>
      <c r="K1226" s="34"/>
      <c r="L1226" s="35"/>
      <c r="M1226" s="35"/>
      <c r="N1226" s="35"/>
      <c r="O1226" s="35"/>
      <c r="P1226" s="36"/>
      <c r="Q1226" s="35"/>
      <c r="R1226" s="29"/>
      <c r="S1226" s="33"/>
      <c r="T1226" s="32"/>
    </row>
    <row r="1227">
      <c r="A1227" s="15" t="s">
        <v>2028</v>
      </c>
      <c r="B1227" s="16" t="s">
        <v>68</v>
      </c>
      <c r="C1227" s="16" t="s">
        <v>121</v>
      </c>
      <c r="D1227" s="17" t="str">
        <f t="shared" ref="D1227:D1230" si="61">IF(E1227&gt;TODAY(),"Coming Soon",IF(F1227="","Active",IF(F1227&gt;TODAY(),"Leaving Soon","Removed")))</f>
        <v>Removed</v>
      </c>
      <c r="E1227" s="18">
        <v>44250.0</v>
      </c>
      <c r="F1227" s="52">
        <v>44620.0</v>
      </c>
      <c r="G1227" s="20">
        <f t="shared" si="2"/>
        <v>12.16666667</v>
      </c>
      <c r="H1227" s="18">
        <v>43749.0</v>
      </c>
      <c r="I1227" s="20">
        <f t="shared" si="3"/>
        <v>1.366666667</v>
      </c>
      <c r="J1227" s="53">
        <v>83.0</v>
      </c>
      <c r="K1227" s="53">
        <v>9.0</v>
      </c>
      <c r="L1227" s="23" t="s">
        <v>2029</v>
      </c>
      <c r="M1227" s="23"/>
      <c r="N1227" s="23"/>
      <c r="O1227" s="23" t="s">
        <v>334</v>
      </c>
      <c r="P1227" s="54" t="s">
        <v>483</v>
      </c>
      <c r="Q1227" s="23"/>
      <c r="R1227" s="17"/>
      <c r="S1227" s="18"/>
      <c r="T1227" s="20"/>
    </row>
    <row r="1228">
      <c r="A1228" s="27" t="s">
        <v>2030</v>
      </c>
      <c r="B1228" s="28" t="s">
        <v>27</v>
      </c>
      <c r="C1228" s="28" t="s">
        <v>121</v>
      </c>
      <c r="D1228" s="29" t="str">
        <f t="shared" si="61"/>
        <v>Removed</v>
      </c>
      <c r="E1228" s="30">
        <v>44077.0</v>
      </c>
      <c r="F1228" s="31">
        <v>44620.0</v>
      </c>
      <c r="G1228" s="32">
        <f t="shared" si="2"/>
        <v>17.83333333</v>
      </c>
      <c r="H1228" s="30">
        <v>43522.0</v>
      </c>
      <c r="I1228" s="32">
        <f t="shared" si="3"/>
        <v>1.519444444</v>
      </c>
      <c r="J1228" s="34">
        <v>77.0</v>
      </c>
      <c r="K1228" s="34">
        <v>5.0</v>
      </c>
      <c r="L1228" s="35" t="s">
        <v>366</v>
      </c>
      <c r="M1228" s="35"/>
      <c r="N1228" s="35"/>
      <c r="O1228" s="35" t="s">
        <v>125</v>
      </c>
      <c r="P1228" s="36" t="s">
        <v>1493</v>
      </c>
      <c r="Q1228" s="35"/>
      <c r="R1228" s="29"/>
      <c r="S1228" s="33"/>
      <c r="T1228" s="32"/>
    </row>
    <row r="1229">
      <c r="A1229" s="64" t="s">
        <v>2031</v>
      </c>
      <c r="B1229" s="16" t="s">
        <v>68</v>
      </c>
      <c r="C1229" s="17"/>
      <c r="D1229" s="17" t="str">
        <f t="shared" si="61"/>
        <v>Removed</v>
      </c>
      <c r="E1229" s="76">
        <v>43886.0</v>
      </c>
      <c r="F1229" s="52">
        <v>44620.0</v>
      </c>
      <c r="G1229" s="20">
        <f t="shared" si="2"/>
        <v>24.1</v>
      </c>
      <c r="H1229" s="18">
        <v>43490.0</v>
      </c>
      <c r="I1229" s="20">
        <f t="shared" si="3"/>
        <v>1.083333333</v>
      </c>
      <c r="J1229" s="65">
        <v>80.0</v>
      </c>
      <c r="K1229" s="53">
        <v>29.0</v>
      </c>
      <c r="L1229" s="23" t="s">
        <v>122</v>
      </c>
      <c r="M1229" s="43"/>
      <c r="N1229" s="43"/>
      <c r="O1229" s="23" t="s">
        <v>334</v>
      </c>
      <c r="P1229" s="54" t="s">
        <v>626</v>
      </c>
      <c r="Q1229" s="43"/>
      <c r="R1229" s="17"/>
      <c r="S1229" s="18"/>
      <c r="T1229" s="20"/>
    </row>
    <row r="1230">
      <c r="A1230" s="67" t="s">
        <v>2032</v>
      </c>
      <c r="B1230" s="28" t="s">
        <v>68</v>
      </c>
      <c r="C1230" s="28" t="s">
        <v>28</v>
      </c>
      <c r="D1230" s="29" t="str">
        <f t="shared" si="61"/>
        <v>Removed</v>
      </c>
      <c r="E1230" s="70">
        <v>43625.0</v>
      </c>
      <c r="F1230" s="31">
        <v>44620.0</v>
      </c>
      <c r="G1230" s="32">
        <f t="shared" si="2"/>
        <v>32.63333333</v>
      </c>
      <c r="H1230" s="33">
        <v>41942.0</v>
      </c>
      <c r="I1230" s="32">
        <f t="shared" si="3"/>
        <v>4.608333333</v>
      </c>
      <c r="J1230" s="69">
        <v>77.0</v>
      </c>
      <c r="K1230" s="34">
        <v>9.0</v>
      </c>
      <c r="L1230" s="44" t="s">
        <v>721</v>
      </c>
      <c r="M1230" s="44"/>
      <c r="N1230" s="44"/>
      <c r="O1230" s="35" t="s">
        <v>125</v>
      </c>
      <c r="P1230" s="36" t="s">
        <v>551</v>
      </c>
      <c r="Q1230" s="35"/>
      <c r="R1230" s="29"/>
      <c r="S1230" s="33"/>
      <c r="T1230" s="32"/>
    </row>
    <row r="1231">
      <c r="A1231" s="15" t="s">
        <v>2033</v>
      </c>
      <c r="B1231" s="16" t="s">
        <v>1859</v>
      </c>
      <c r="C1231" s="17"/>
      <c r="D1231" s="17" t="s">
        <v>1860</v>
      </c>
      <c r="E1231" s="76">
        <v>44593.0</v>
      </c>
      <c r="F1231" s="62">
        <v>44607.0</v>
      </c>
      <c r="G1231" s="20">
        <f t="shared" si="2"/>
        <v>0.4666666667</v>
      </c>
      <c r="H1231" s="18"/>
      <c r="I1231" s="20">
        <f t="shared" si="3"/>
        <v>-3.705555556</v>
      </c>
      <c r="J1231" s="53"/>
      <c r="K1231" s="53"/>
      <c r="L1231" s="23"/>
      <c r="M1231" s="23"/>
      <c r="N1231" s="23" t="s">
        <v>1612</v>
      </c>
      <c r="O1231" s="23"/>
      <c r="P1231" s="54"/>
      <c r="Q1231" s="23"/>
      <c r="R1231" s="17"/>
      <c r="S1231" s="18"/>
      <c r="T1231" s="20"/>
    </row>
    <row r="1232">
      <c r="A1232" s="27" t="s">
        <v>2034</v>
      </c>
      <c r="B1232" s="28" t="s">
        <v>1610</v>
      </c>
      <c r="C1232" s="29"/>
      <c r="D1232" s="29" t="s">
        <v>1611</v>
      </c>
      <c r="E1232" s="70">
        <v>44577.0</v>
      </c>
      <c r="F1232" s="30">
        <v>44607.0</v>
      </c>
      <c r="G1232" s="32">
        <f t="shared" si="2"/>
        <v>0.9666666667</v>
      </c>
      <c r="H1232" s="33"/>
      <c r="I1232" s="32">
        <f t="shared" si="3"/>
        <v>-3.747222222</v>
      </c>
      <c r="J1232" s="34"/>
      <c r="K1232" s="34"/>
      <c r="L1232" s="35"/>
      <c r="M1232" s="35"/>
      <c r="N1232" s="35"/>
      <c r="O1232" s="35"/>
      <c r="P1232" s="36"/>
      <c r="Q1232" s="35"/>
      <c r="R1232" s="29"/>
      <c r="S1232" s="33"/>
      <c r="T1232" s="32"/>
    </row>
    <row r="1233">
      <c r="A1233" s="15" t="s">
        <v>2035</v>
      </c>
      <c r="B1233" s="16" t="s">
        <v>27</v>
      </c>
      <c r="C1233" s="16"/>
      <c r="D1233" s="17" t="str">
        <f t="shared" ref="D1233:D1239" si="62">IF(E1233&gt;TODAY(),"Coming Soon",IF(F1233="","Active",IF(F1233&gt;TODAY(),"Leaving Soon","Removed")))</f>
        <v>Removed</v>
      </c>
      <c r="E1233" s="18">
        <v>44238.0</v>
      </c>
      <c r="F1233" s="52">
        <v>44607.0</v>
      </c>
      <c r="G1233" s="20">
        <f t="shared" si="2"/>
        <v>12.13333333</v>
      </c>
      <c r="H1233" s="18">
        <v>42927.0</v>
      </c>
      <c r="I1233" s="20">
        <f t="shared" si="3"/>
        <v>3.583333333</v>
      </c>
      <c r="J1233" s="53">
        <f>(80+83)/2</f>
        <v>81.5</v>
      </c>
      <c r="K1233" s="53">
        <v>40.5</v>
      </c>
      <c r="L1233" s="23" t="s">
        <v>29</v>
      </c>
      <c r="M1233" s="23"/>
      <c r="N1233" s="23"/>
      <c r="O1233" s="23" t="s">
        <v>125</v>
      </c>
      <c r="P1233" s="54" t="s">
        <v>2036</v>
      </c>
      <c r="Q1233" s="23"/>
      <c r="R1233" s="17"/>
      <c r="S1233" s="18"/>
      <c r="T1233" s="20"/>
    </row>
    <row r="1234">
      <c r="A1234" s="27" t="s">
        <v>2037</v>
      </c>
      <c r="B1234" s="28" t="s">
        <v>27</v>
      </c>
      <c r="C1234" s="28" t="s">
        <v>121</v>
      </c>
      <c r="D1234" s="29" t="str">
        <f t="shared" si="62"/>
        <v>Removed</v>
      </c>
      <c r="E1234" s="33">
        <v>44231.0</v>
      </c>
      <c r="F1234" s="31">
        <v>44607.0</v>
      </c>
      <c r="G1234" s="32">
        <f t="shared" si="2"/>
        <v>12.36666667</v>
      </c>
      <c r="H1234" s="33">
        <v>43503.0</v>
      </c>
      <c r="I1234" s="32">
        <f t="shared" si="3"/>
        <v>1.991666667</v>
      </c>
      <c r="J1234" s="34">
        <v>75.0</v>
      </c>
      <c r="K1234" s="34">
        <v>9.5</v>
      </c>
      <c r="L1234" s="35" t="s">
        <v>576</v>
      </c>
      <c r="M1234" s="35"/>
      <c r="N1234" s="35"/>
      <c r="O1234" s="35" t="s">
        <v>125</v>
      </c>
      <c r="P1234" s="36" t="s">
        <v>2038</v>
      </c>
      <c r="Q1234" s="35"/>
      <c r="R1234" s="29"/>
      <c r="S1234" s="33"/>
      <c r="T1234" s="32"/>
    </row>
    <row r="1235">
      <c r="A1235" s="15" t="s">
        <v>2039</v>
      </c>
      <c r="B1235" s="16" t="s">
        <v>27</v>
      </c>
      <c r="C1235" s="16" t="s">
        <v>28</v>
      </c>
      <c r="D1235" s="17" t="str">
        <f t="shared" si="62"/>
        <v>Removed</v>
      </c>
      <c r="E1235" s="18">
        <v>44231.0</v>
      </c>
      <c r="F1235" s="52">
        <v>44607.0</v>
      </c>
      <c r="G1235" s="20">
        <f t="shared" si="2"/>
        <v>12.36666667</v>
      </c>
      <c r="H1235" s="18">
        <v>44145.0</v>
      </c>
      <c r="I1235" s="20">
        <f t="shared" si="3"/>
        <v>0.2333333333</v>
      </c>
      <c r="J1235" s="53">
        <f>(62+67)/2</f>
        <v>64.5</v>
      </c>
      <c r="K1235" s="53">
        <v>10.0</v>
      </c>
      <c r="L1235" s="23" t="s">
        <v>37</v>
      </c>
      <c r="M1235" s="23" t="s">
        <v>123</v>
      </c>
      <c r="N1235" s="23"/>
      <c r="O1235" s="23" t="s">
        <v>125</v>
      </c>
      <c r="P1235" s="54" t="s">
        <v>558</v>
      </c>
      <c r="Q1235" s="23"/>
      <c r="R1235" s="17"/>
      <c r="S1235" s="18"/>
      <c r="T1235" s="20"/>
    </row>
    <row r="1236">
      <c r="A1236" s="27" t="s">
        <v>2040</v>
      </c>
      <c r="B1236" s="28" t="s">
        <v>27</v>
      </c>
      <c r="C1236" s="28" t="s">
        <v>121</v>
      </c>
      <c r="D1236" s="29" t="str">
        <f t="shared" si="62"/>
        <v>Removed</v>
      </c>
      <c r="E1236" s="33">
        <v>44224.0</v>
      </c>
      <c r="F1236" s="31">
        <v>44607.0</v>
      </c>
      <c r="G1236" s="32">
        <f t="shared" si="2"/>
        <v>12.56666667</v>
      </c>
      <c r="H1236" s="33">
        <v>44224.0</v>
      </c>
      <c r="I1236" s="32">
        <f t="shared" si="3"/>
        <v>0</v>
      </c>
      <c r="J1236" s="34">
        <f>(71+76)/2</f>
        <v>73.5</v>
      </c>
      <c r="K1236" s="34">
        <v>7.5</v>
      </c>
      <c r="L1236" s="35" t="s">
        <v>362</v>
      </c>
      <c r="M1236" s="35" t="s">
        <v>30</v>
      </c>
      <c r="N1236" s="35"/>
      <c r="O1236" s="35" t="s">
        <v>34</v>
      </c>
      <c r="P1236" s="36" t="s">
        <v>446</v>
      </c>
      <c r="Q1236" s="35"/>
      <c r="R1236" s="29"/>
      <c r="S1236" s="33"/>
      <c r="T1236" s="32"/>
    </row>
    <row r="1237">
      <c r="A1237" s="15" t="s">
        <v>2041</v>
      </c>
      <c r="B1237" s="16" t="s">
        <v>27</v>
      </c>
      <c r="C1237" s="16" t="s">
        <v>28</v>
      </c>
      <c r="D1237" s="17" t="str">
        <f t="shared" si="62"/>
        <v>Removed</v>
      </c>
      <c r="E1237" s="18">
        <v>44182.0</v>
      </c>
      <c r="F1237" s="52">
        <v>44607.0</v>
      </c>
      <c r="G1237" s="20">
        <f t="shared" si="2"/>
        <v>13.93333333</v>
      </c>
      <c r="H1237" s="18">
        <v>43734.0</v>
      </c>
      <c r="I1237" s="20">
        <f t="shared" si="3"/>
        <v>1.225</v>
      </c>
      <c r="J1237" s="53">
        <v>75.0</v>
      </c>
      <c r="K1237" s="53">
        <v>25.0</v>
      </c>
      <c r="L1237" s="23" t="s">
        <v>392</v>
      </c>
      <c r="M1237" s="23"/>
      <c r="N1237" s="23"/>
      <c r="O1237" s="23" t="s">
        <v>34</v>
      </c>
      <c r="P1237" s="54" t="s">
        <v>1333</v>
      </c>
      <c r="Q1237" s="23"/>
      <c r="R1237" s="17"/>
      <c r="S1237" s="18"/>
      <c r="T1237" s="20"/>
    </row>
    <row r="1238">
      <c r="A1238" s="27" t="s">
        <v>2042</v>
      </c>
      <c r="B1238" s="28" t="s">
        <v>27</v>
      </c>
      <c r="C1238" s="28" t="s">
        <v>28</v>
      </c>
      <c r="D1238" s="29" t="str">
        <f t="shared" si="62"/>
        <v>Removed</v>
      </c>
      <c r="E1238" s="33">
        <v>44168.0</v>
      </c>
      <c r="F1238" s="31">
        <v>44607.0</v>
      </c>
      <c r="G1238" s="32">
        <f t="shared" si="2"/>
        <v>14.4</v>
      </c>
      <c r="H1238" s="33">
        <v>43704.0</v>
      </c>
      <c r="I1238" s="32">
        <f t="shared" si="3"/>
        <v>1.266666667</v>
      </c>
      <c r="J1238" s="34">
        <v>84.0</v>
      </c>
      <c r="K1238" s="34">
        <v>11.5</v>
      </c>
      <c r="L1238" s="35" t="s">
        <v>201</v>
      </c>
      <c r="M1238" s="35"/>
      <c r="N1238" s="35"/>
      <c r="O1238" s="35" t="s">
        <v>34</v>
      </c>
      <c r="P1238" s="36" t="s">
        <v>446</v>
      </c>
      <c r="Q1238" s="35"/>
      <c r="R1238" s="29"/>
      <c r="S1238" s="33"/>
      <c r="T1238" s="32"/>
    </row>
    <row r="1239">
      <c r="A1239" s="15" t="s">
        <v>2043</v>
      </c>
      <c r="B1239" s="16" t="s">
        <v>40</v>
      </c>
      <c r="C1239" s="16"/>
      <c r="D1239" s="17" t="str">
        <f t="shared" si="62"/>
        <v>Removed</v>
      </c>
      <c r="E1239" s="18">
        <v>44273.0</v>
      </c>
      <c r="F1239" s="52">
        <v>44602.0</v>
      </c>
      <c r="G1239" s="20">
        <f t="shared" si="2"/>
        <v>10.73333333</v>
      </c>
      <c r="H1239" s="18">
        <v>42556.0</v>
      </c>
      <c r="I1239" s="20">
        <f t="shared" si="3"/>
        <v>4.702777778</v>
      </c>
      <c r="J1239" s="53">
        <v>76.0</v>
      </c>
      <c r="K1239" s="53">
        <v>5.5</v>
      </c>
      <c r="L1239" s="23" t="s">
        <v>1078</v>
      </c>
      <c r="M1239" s="23"/>
      <c r="N1239" s="23"/>
      <c r="O1239" s="23" t="s">
        <v>34</v>
      </c>
      <c r="P1239" s="54" t="s">
        <v>2044</v>
      </c>
      <c r="Q1239" s="23"/>
      <c r="R1239" s="16"/>
      <c r="S1239" s="18"/>
      <c r="T1239" s="20"/>
    </row>
    <row r="1240">
      <c r="A1240" s="27" t="s">
        <v>2045</v>
      </c>
      <c r="B1240" s="28" t="s">
        <v>1859</v>
      </c>
      <c r="C1240" s="29"/>
      <c r="D1240" s="29" t="s">
        <v>1860</v>
      </c>
      <c r="E1240" s="70">
        <v>44577.0</v>
      </c>
      <c r="F1240" s="30">
        <v>44592.0</v>
      </c>
      <c r="G1240" s="32">
        <f t="shared" si="2"/>
        <v>0.4666666667</v>
      </c>
      <c r="H1240" s="33"/>
      <c r="I1240" s="32">
        <f t="shared" si="3"/>
        <v>-3.747222222</v>
      </c>
      <c r="J1240" s="34"/>
      <c r="K1240" s="34"/>
      <c r="L1240" s="35"/>
      <c r="M1240" s="35"/>
      <c r="N1240" s="35" t="s">
        <v>1612</v>
      </c>
      <c r="O1240" s="35"/>
      <c r="P1240" s="36"/>
      <c r="Q1240" s="35"/>
      <c r="R1240" s="29"/>
      <c r="S1240" s="33"/>
      <c r="T1240" s="32"/>
    </row>
    <row r="1241">
      <c r="A1241" s="15" t="s">
        <v>2046</v>
      </c>
      <c r="B1241" s="16" t="s">
        <v>1610</v>
      </c>
      <c r="C1241" s="17"/>
      <c r="D1241" s="17" t="s">
        <v>1611</v>
      </c>
      <c r="E1241" s="76">
        <v>44562.0</v>
      </c>
      <c r="F1241" s="62">
        <v>44592.0</v>
      </c>
      <c r="G1241" s="20">
        <f t="shared" si="2"/>
        <v>0.9666666667</v>
      </c>
      <c r="H1241" s="18"/>
      <c r="I1241" s="20">
        <f t="shared" si="3"/>
        <v>-3.788888889</v>
      </c>
      <c r="J1241" s="53"/>
      <c r="K1241" s="53"/>
      <c r="L1241" s="23"/>
      <c r="M1241" s="23"/>
      <c r="N1241" s="23"/>
      <c r="O1241" s="23"/>
      <c r="P1241" s="54"/>
      <c r="Q1241" s="23"/>
      <c r="R1241" s="17"/>
      <c r="S1241" s="18"/>
      <c r="T1241" s="20"/>
    </row>
    <row r="1242">
      <c r="A1242" s="27" t="s">
        <v>2047</v>
      </c>
      <c r="B1242" s="28" t="s">
        <v>40</v>
      </c>
      <c r="C1242" s="28"/>
      <c r="D1242" s="29" t="str">
        <f t="shared" ref="D1242:D1250" si="63">IF(E1242&gt;TODAY(),"Coming Soon",IF(F1242="","Active",IF(F1242&gt;TODAY(),"Leaving Soon","Removed")))</f>
        <v>Removed</v>
      </c>
      <c r="E1242" s="33">
        <v>44224.0</v>
      </c>
      <c r="F1242" s="31">
        <v>44592.0</v>
      </c>
      <c r="G1242" s="32">
        <f t="shared" si="2"/>
        <v>12.06666667</v>
      </c>
      <c r="H1242" s="33">
        <v>42283.0</v>
      </c>
      <c r="I1242" s="32">
        <f t="shared" si="3"/>
        <v>5.311111111</v>
      </c>
      <c r="J1242" s="34">
        <v>83.0</v>
      </c>
      <c r="K1242" s="34">
        <v>15.5</v>
      </c>
      <c r="L1242" s="35" t="s">
        <v>522</v>
      </c>
      <c r="M1242" s="35"/>
      <c r="N1242" s="35"/>
      <c r="O1242" s="35" t="s">
        <v>34</v>
      </c>
      <c r="P1242" s="36" t="s">
        <v>2048</v>
      </c>
      <c r="Q1242" s="35"/>
      <c r="R1242" s="28"/>
      <c r="S1242" s="33"/>
      <c r="T1242" s="32"/>
    </row>
    <row r="1243">
      <c r="A1243" s="15" t="s">
        <v>2049</v>
      </c>
      <c r="B1243" s="16" t="s">
        <v>27</v>
      </c>
      <c r="C1243" s="16" t="s">
        <v>28</v>
      </c>
      <c r="D1243" s="17" t="str">
        <f t="shared" si="63"/>
        <v>Removed</v>
      </c>
      <c r="E1243" s="18">
        <v>44222.0</v>
      </c>
      <c r="F1243" s="52">
        <v>44592.0</v>
      </c>
      <c r="G1243" s="20">
        <f t="shared" si="2"/>
        <v>12.13333333</v>
      </c>
      <c r="H1243" s="18">
        <v>44222.0</v>
      </c>
      <c r="I1243" s="20">
        <f t="shared" si="3"/>
        <v>0</v>
      </c>
      <c r="J1243" s="53">
        <f>(82+83)/2</f>
        <v>82.5</v>
      </c>
      <c r="K1243" s="53">
        <v>7.5</v>
      </c>
      <c r="L1243" s="23" t="s">
        <v>918</v>
      </c>
      <c r="M1243" s="23"/>
      <c r="N1243" s="23"/>
      <c r="O1243" s="23" t="s">
        <v>334</v>
      </c>
      <c r="P1243" s="54" t="s">
        <v>586</v>
      </c>
      <c r="Q1243" s="23"/>
      <c r="R1243" s="17"/>
      <c r="S1243" s="18"/>
      <c r="T1243" s="20"/>
    </row>
    <row r="1244">
      <c r="A1244" s="27" t="s">
        <v>2050</v>
      </c>
      <c r="B1244" s="28" t="s">
        <v>27</v>
      </c>
      <c r="C1244" s="28" t="s">
        <v>121</v>
      </c>
      <c r="D1244" s="29" t="str">
        <f t="shared" si="63"/>
        <v>Removed</v>
      </c>
      <c r="E1244" s="30">
        <v>44049.0</v>
      </c>
      <c r="F1244" s="31">
        <v>44592.0</v>
      </c>
      <c r="G1244" s="32">
        <f t="shared" si="2"/>
        <v>17.8</v>
      </c>
      <c r="H1244" s="33">
        <v>43766.0</v>
      </c>
      <c r="I1244" s="32">
        <f t="shared" si="3"/>
        <v>0.7722222222</v>
      </c>
      <c r="J1244" s="34">
        <v>74.0</v>
      </c>
      <c r="K1244" s="34">
        <v>5.0</v>
      </c>
      <c r="L1244" s="35" t="s">
        <v>907</v>
      </c>
      <c r="M1244" s="35"/>
      <c r="N1244" s="35"/>
      <c r="O1244" s="35" t="s">
        <v>125</v>
      </c>
      <c r="P1244" s="36" t="s">
        <v>551</v>
      </c>
      <c r="Q1244" s="35"/>
      <c r="R1244" s="29"/>
      <c r="S1244" s="33"/>
      <c r="T1244" s="32"/>
    </row>
    <row r="1245">
      <c r="A1245" s="15" t="s">
        <v>2051</v>
      </c>
      <c r="B1245" s="16" t="s">
        <v>27</v>
      </c>
      <c r="C1245" s="16" t="s">
        <v>121</v>
      </c>
      <c r="D1245" s="17" t="str">
        <f t="shared" si="63"/>
        <v>Removed</v>
      </c>
      <c r="E1245" s="62">
        <v>44041.0</v>
      </c>
      <c r="F1245" s="52">
        <v>44592.0</v>
      </c>
      <c r="G1245" s="20">
        <f t="shared" si="2"/>
        <v>18.03333333</v>
      </c>
      <c r="H1245" s="18">
        <v>43018.0</v>
      </c>
      <c r="I1245" s="20">
        <f t="shared" si="3"/>
        <v>2.802777778</v>
      </c>
      <c r="J1245" s="53">
        <v>73.0</v>
      </c>
      <c r="K1245" s="53">
        <v>12.0</v>
      </c>
      <c r="L1245" s="23" t="s">
        <v>119</v>
      </c>
      <c r="M1245" s="23"/>
      <c r="N1245" s="23"/>
      <c r="O1245" s="23" t="s">
        <v>125</v>
      </c>
      <c r="P1245" s="54" t="s">
        <v>2052</v>
      </c>
      <c r="Q1245" s="23"/>
      <c r="R1245" s="17"/>
      <c r="S1245" s="18"/>
      <c r="T1245" s="20"/>
    </row>
    <row r="1246">
      <c r="A1246" s="27" t="s">
        <v>2053</v>
      </c>
      <c r="B1246" s="28" t="s">
        <v>40</v>
      </c>
      <c r="C1246" s="28"/>
      <c r="D1246" s="29" t="str">
        <f t="shared" si="63"/>
        <v>Removed</v>
      </c>
      <c r="E1246" s="33">
        <v>44273.0</v>
      </c>
      <c r="F1246" s="31">
        <v>44578.0</v>
      </c>
      <c r="G1246" s="32">
        <f t="shared" si="2"/>
        <v>9.966666667</v>
      </c>
      <c r="H1246" s="33">
        <v>43124.0</v>
      </c>
      <c r="I1246" s="32">
        <f t="shared" si="3"/>
        <v>3.15</v>
      </c>
      <c r="J1246" s="34">
        <v>67.0</v>
      </c>
      <c r="K1246" s="34">
        <v>43.5</v>
      </c>
      <c r="L1246" s="35" t="s">
        <v>29</v>
      </c>
      <c r="M1246" s="35"/>
      <c r="N1246" s="35"/>
      <c r="O1246" s="35"/>
      <c r="P1246" s="36"/>
      <c r="Q1246" s="35"/>
      <c r="R1246" s="28"/>
      <c r="S1246" s="33"/>
      <c r="T1246" s="32"/>
    </row>
    <row r="1247">
      <c r="A1247" s="15" t="s">
        <v>2054</v>
      </c>
      <c r="B1247" s="16" t="s">
        <v>40</v>
      </c>
      <c r="C1247" s="16"/>
      <c r="D1247" s="17" t="str">
        <f t="shared" si="63"/>
        <v>Removed</v>
      </c>
      <c r="E1247" s="18">
        <v>44273.0</v>
      </c>
      <c r="F1247" s="52">
        <v>44578.0</v>
      </c>
      <c r="G1247" s="20">
        <f t="shared" si="2"/>
        <v>9.966666667</v>
      </c>
      <c r="H1247" s="18">
        <v>41957.0</v>
      </c>
      <c r="I1247" s="20">
        <f t="shared" si="3"/>
        <v>6.344444444</v>
      </c>
      <c r="J1247" s="53">
        <v>83.0</v>
      </c>
      <c r="K1247" s="53">
        <v>10.5</v>
      </c>
      <c r="L1247" s="23" t="s">
        <v>1206</v>
      </c>
      <c r="M1247" s="23"/>
      <c r="N1247" s="23"/>
      <c r="O1247" s="23" t="s">
        <v>34</v>
      </c>
      <c r="P1247" s="54" t="s">
        <v>1207</v>
      </c>
      <c r="Q1247" s="23"/>
      <c r="R1247" s="16"/>
      <c r="S1247" s="18"/>
      <c r="T1247" s="20"/>
    </row>
    <row r="1248">
      <c r="A1248" s="27" t="s">
        <v>2055</v>
      </c>
      <c r="B1248" s="28" t="s">
        <v>40</v>
      </c>
      <c r="C1248" s="28"/>
      <c r="D1248" s="29" t="str">
        <f t="shared" si="63"/>
        <v>Removed</v>
      </c>
      <c r="E1248" s="33">
        <v>44273.0</v>
      </c>
      <c r="F1248" s="31">
        <v>44578.0</v>
      </c>
      <c r="G1248" s="32">
        <f t="shared" si="2"/>
        <v>9.966666667</v>
      </c>
      <c r="H1248" s="33">
        <v>41172.0</v>
      </c>
      <c r="I1248" s="32">
        <f t="shared" si="3"/>
        <v>8.494444444</v>
      </c>
      <c r="J1248" s="34">
        <v>88.0</v>
      </c>
      <c r="K1248" s="34">
        <v>20.5</v>
      </c>
      <c r="L1248" s="35" t="s">
        <v>122</v>
      </c>
      <c r="M1248" s="35"/>
      <c r="N1248" s="35"/>
      <c r="O1248" s="35"/>
      <c r="P1248" s="36"/>
      <c r="Q1248" s="35"/>
      <c r="R1248" s="28"/>
      <c r="S1248" s="33"/>
      <c r="T1248" s="32"/>
    </row>
    <row r="1249">
      <c r="A1249" s="15" t="s">
        <v>2056</v>
      </c>
      <c r="B1249" s="16" t="s">
        <v>40</v>
      </c>
      <c r="C1249" s="16"/>
      <c r="D1249" s="17" t="str">
        <f t="shared" si="63"/>
        <v>Removed</v>
      </c>
      <c r="E1249" s="18">
        <v>44273.0</v>
      </c>
      <c r="F1249" s="52">
        <v>44578.0</v>
      </c>
      <c r="G1249" s="20">
        <f t="shared" si="2"/>
        <v>9.966666667</v>
      </c>
      <c r="H1249" s="18">
        <v>40884.0</v>
      </c>
      <c r="I1249" s="20">
        <f t="shared" si="3"/>
        <v>9.280555556</v>
      </c>
      <c r="J1249" s="53">
        <v>84.0</v>
      </c>
      <c r="K1249" s="53">
        <v>9.0</v>
      </c>
      <c r="L1249" s="23" t="s">
        <v>549</v>
      </c>
      <c r="M1249" s="23"/>
      <c r="N1249" s="23"/>
      <c r="O1249" s="23"/>
      <c r="P1249" s="54"/>
      <c r="Q1249" s="23"/>
      <c r="R1249" s="16"/>
      <c r="S1249" s="18"/>
      <c r="T1249" s="20"/>
    </row>
    <row r="1250">
      <c r="A1250" s="27" t="s">
        <v>2057</v>
      </c>
      <c r="B1250" s="28" t="s">
        <v>40</v>
      </c>
      <c r="C1250" s="28"/>
      <c r="D1250" s="29" t="str">
        <f t="shared" si="63"/>
        <v>Removed</v>
      </c>
      <c r="E1250" s="33">
        <v>44273.0</v>
      </c>
      <c r="F1250" s="31">
        <v>44578.0</v>
      </c>
      <c r="G1250" s="32">
        <f t="shared" si="2"/>
        <v>9.966666667</v>
      </c>
      <c r="H1250" s="33">
        <v>43070.0</v>
      </c>
      <c r="I1250" s="32">
        <f t="shared" si="3"/>
        <v>3.297222222</v>
      </c>
      <c r="J1250" s="34">
        <v>80.0</v>
      </c>
      <c r="K1250" s="34">
        <v>4.5</v>
      </c>
      <c r="L1250" s="35" t="s">
        <v>509</v>
      </c>
      <c r="M1250" s="35"/>
      <c r="N1250" s="35"/>
      <c r="O1250" s="35"/>
      <c r="P1250" s="36"/>
      <c r="Q1250" s="35"/>
      <c r="R1250" s="28"/>
      <c r="S1250" s="33"/>
      <c r="T1250" s="32"/>
    </row>
    <row r="1251">
      <c r="A1251" s="15" t="s">
        <v>2058</v>
      </c>
      <c r="B1251" s="16" t="s">
        <v>1859</v>
      </c>
      <c r="C1251" s="17"/>
      <c r="D1251" s="17" t="s">
        <v>1860</v>
      </c>
      <c r="E1251" s="76">
        <v>44562.0</v>
      </c>
      <c r="F1251" s="62">
        <v>44576.0</v>
      </c>
      <c r="G1251" s="20">
        <f t="shared" si="2"/>
        <v>0.4666666667</v>
      </c>
      <c r="H1251" s="18"/>
      <c r="I1251" s="20">
        <f t="shared" si="3"/>
        <v>-3.788888889</v>
      </c>
      <c r="J1251" s="53"/>
      <c r="K1251" s="53"/>
      <c r="L1251" s="23"/>
      <c r="M1251" s="23"/>
      <c r="N1251" s="23" t="s">
        <v>1612</v>
      </c>
      <c r="O1251" s="23"/>
      <c r="P1251" s="54"/>
      <c r="Q1251" s="23"/>
      <c r="R1251" s="17"/>
      <c r="S1251" s="18"/>
      <c r="T1251" s="20"/>
    </row>
    <row r="1252">
      <c r="A1252" s="27" t="s">
        <v>2059</v>
      </c>
      <c r="B1252" s="28" t="s">
        <v>1610</v>
      </c>
      <c r="C1252" s="29"/>
      <c r="D1252" s="29" t="s">
        <v>1611</v>
      </c>
      <c r="E1252" s="70">
        <v>44546.0</v>
      </c>
      <c r="F1252" s="30">
        <v>44576.0</v>
      </c>
      <c r="G1252" s="32">
        <f t="shared" si="2"/>
        <v>0.9666666667</v>
      </c>
      <c r="H1252" s="33"/>
      <c r="I1252" s="32">
        <f t="shared" si="3"/>
        <v>-3.830555556</v>
      </c>
      <c r="J1252" s="34"/>
      <c r="K1252" s="34"/>
      <c r="L1252" s="35"/>
      <c r="M1252" s="35"/>
      <c r="N1252" s="35"/>
      <c r="O1252" s="35"/>
      <c r="P1252" s="36"/>
      <c r="Q1252" s="35"/>
      <c r="R1252" s="29"/>
      <c r="S1252" s="33"/>
      <c r="T1252" s="32"/>
    </row>
    <row r="1253">
      <c r="A1253" s="15" t="s">
        <v>2060</v>
      </c>
      <c r="B1253" s="16" t="s">
        <v>40</v>
      </c>
      <c r="C1253" s="16"/>
      <c r="D1253" s="17" t="str">
        <f t="shared" ref="D1253:D1258" si="64">IF(E1253&gt;TODAY(),"Coming Soon",IF(F1253="","Active",IF(F1253&gt;TODAY(),"Leaving Soon","Removed")))</f>
        <v>Removed</v>
      </c>
      <c r="E1253" s="18">
        <v>44231.0</v>
      </c>
      <c r="F1253" s="52">
        <v>44576.0</v>
      </c>
      <c r="G1253" s="20">
        <f t="shared" si="2"/>
        <v>11.36666667</v>
      </c>
      <c r="H1253" s="18">
        <v>43172.0</v>
      </c>
      <c r="I1253" s="20">
        <f t="shared" si="3"/>
        <v>2.891666667</v>
      </c>
      <c r="J1253" s="53">
        <v>75.0</v>
      </c>
      <c r="K1253" s="53">
        <v>10.5</v>
      </c>
      <c r="L1253" s="23" t="s">
        <v>509</v>
      </c>
      <c r="M1253" s="23"/>
      <c r="N1253" s="23"/>
      <c r="O1253" s="23"/>
      <c r="P1253" s="54"/>
      <c r="Q1253" s="23"/>
      <c r="R1253" s="16"/>
      <c r="S1253" s="18"/>
      <c r="T1253" s="20"/>
    </row>
    <row r="1254">
      <c r="A1254" s="27" t="s">
        <v>2061</v>
      </c>
      <c r="B1254" s="28" t="s">
        <v>27</v>
      </c>
      <c r="C1254" s="28" t="s">
        <v>121</v>
      </c>
      <c r="D1254" s="29" t="str">
        <f t="shared" si="64"/>
        <v>Removed</v>
      </c>
      <c r="E1254" s="33">
        <v>44217.0</v>
      </c>
      <c r="F1254" s="31">
        <v>44576.0</v>
      </c>
      <c r="G1254" s="32">
        <f t="shared" si="2"/>
        <v>11.8</v>
      </c>
      <c r="H1254" s="33">
        <v>43998.0</v>
      </c>
      <c r="I1254" s="32">
        <f t="shared" si="3"/>
        <v>0.5972222222</v>
      </c>
      <c r="J1254" s="34">
        <f>(85+86)/2</f>
        <v>85.5</v>
      </c>
      <c r="K1254" s="34">
        <v>26.5</v>
      </c>
      <c r="L1254" s="35" t="s">
        <v>2062</v>
      </c>
      <c r="M1254" s="35" t="s">
        <v>123</v>
      </c>
      <c r="N1254" s="35"/>
      <c r="O1254" s="35"/>
      <c r="P1254" s="36"/>
      <c r="Q1254" s="35"/>
      <c r="R1254" s="29"/>
      <c r="S1254" s="33"/>
      <c r="T1254" s="32"/>
    </row>
    <row r="1255">
      <c r="A1255" s="15" t="s">
        <v>2063</v>
      </c>
      <c r="B1255" s="16" t="s">
        <v>40</v>
      </c>
      <c r="C1255" s="16"/>
      <c r="D1255" s="17" t="str">
        <f t="shared" si="64"/>
        <v>Removed</v>
      </c>
      <c r="E1255" s="18">
        <v>44210.0</v>
      </c>
      <c r="F1255" s="52">
        <v>44576.0</v>
      </c>
      <c r="G1255" s="20">
        <f t="shared" si="2"/>
        <v>12.03333333</v>
      </c>
      <c r="H1255" s="18">
        <v>43482.0</v>
      </c>
      <c r="I1255" s="20">
        <f t="shared" si="3"/>
        <v>1.991666667</v>
      </c>
      <c r="J1255" s="53">
        <v>64.0</v>
      </c>
      <c r="K1255" s="53">
        <v>56.0</v>
      </c>
      <c r="L1255" s="23" t="s">
        <v>29</v>
      </c>
      <c r="M1255" s="23"/>
      <c r="N1255" s="23"/>
      <c r="O1255" s="23"/>
      <c r="P1255" s="54"/>
      <c r="Q1255" s="23"/>
      <c r="R1255" s="16"/>
      <c r="S1255" s="18"/>
      <c r="T1255" s="20"/>
    </row>
    <row r="1256">
      <c r="A1256" s="27" t="s">
        <v>2064</v>
      </c>
      <c r="B1256" s="28" t="s">
        <v>27</v>
      </c>
      <c r="C1256" s="28" t="s">
        <v>28</v>
      </c>
      <c r="D1256" s="29" t="str">
        <f t="shared" si="64"/>
        <v>Removed</v>
      </c>
      <c r="E1256" s="30">
        <v>44028.0</v>
      </c>
      <c r="F1256" s="31">
        <v>44576.0</v>
      </c>
      <c r="G1256" s="32">
        <f t="shared" si="2"/>
        <v>17.96666667</v>
      </c>
      <c r="H1256" s="33">
        <v>40267.0</v>
      </c>
      <c r="I1256" s="32">
        <f t="shared" si="3"/>
        <v>10.29444444</v>
      </c>
      <c r="J1256" s="34">
        <v>59.0</v>
      </c>
      <c r="K1256" s="34">
        <v>120.0</v>
      </c>
      <c r="L1256" s="35" t="s">
        <v>2065</v>
      </c>
      <c r="M1256" s="35"/>
      <c r="N1256" s="35" t="s">
        <v>771</v>
      </c>
      <c r="O1256" s="35"/>
      <c r="P1256" s="36"/>
      <c r="Q1256" s="35"/>
      <c r="R1256" s="29"/>
      <c r="S1256" s="33"/>
      <c r="T1256" s="32"/>
    </row>
    <row r="1257">
      <c r="A1257" s="64" t="s">
        <v>2066</v>
      </c>
      <c r="B1257" s="16" t="s">
        <v>27</v>
      </c>
      <c r="C1257" s="17"/>
      <c r="D1257" s="17" t="str">
        <f t="shared" si="64"/>
        <v>Removed</v>
      </c>
      <c r="E1257" s="76">
        <v>43678.0</v>
      </c>
      <c r="F1257" s="52">
        <v>44576.0</v>
      </c>
      <c r="G1257" s="20">
        <f t="shared" si="2"/>
        <v>29.46666667</v>
      </c>
      <c r="H1257" s="18">
        <v>43336.0</v>
      </c>
      <c r="I1257" s="20">
        <f t="shared" si="3"/>
        <v>0.9361111111</v>
      </c>
      <c r="J1257" s="65">
        <v>60.0</v>
      </c>
      <c r="K1257" s="53">
        <v>1.0</v>
      </c>
      <c r="L1257" s="43" t="s">
        <v>2067</v>
      </c>
      <c r="M1257" s="43"/>
      <c r="N1257" s="43"/>
      <c r="O1257" s="43"/>
      <c r="P1257" s="66"/>
      <c r="Q1257" s="43"/>
      <c r="R1257" s="17"/>
      <c r="S1257" s="18"/>
      <c r="T1257" s="20"/>
    </row>
    <row r="1258">
      <c r="A1258" s="27" t="s">
        <v>2068</v>
      </c>
      <c r="B1258" s="28" t="s">
        <v>68</v>
      </c>
      <c r="C1258" s="28" t="s">
        <v>28</v>
      </c>
      <c r="D1258" s="29" t="str">
        <f t="shared" si="64"/>
        <v>Removed</v>
      </c>
      <c r="E1258" s="70">
        <v>43416.0</v>
      </c>
      <c r="F1258" s="31">
        <v>44571.0</v>
      </c>
      <c r="G1258" s="32">
        <f t="shared" si="2"/>
        <v>37.93333333</v>
      </c>
      <c r="H1258" s="33">
        <v>42817.0</v>
      </c>
      <c r="I1258" s="32">
        <f t="shared" si="3"/>
        <v>1.636111111</v>
      </c>
      <c r="J1258" s="69">
        <v>85.0</v>
      </c>
      <c r="K1258" s="34">
        <v>142.0</v>
      </c>
      <c r="L1258" s="44" t="s">
        <v>2069</v>
      </c>
      <c r="M1258" s="44"/>
      <c r="N1258" s="35" t="s">
        <v>2070</v>
      </c>
      <c r="O1258" s="44"/>
      <c r="P1258" s="71"/>
      <c r="Q1258" s="35"/>
      <c r="R1258" s="29"/>
      <c r="S1258" s="33"/>
      <c r="T1258" s="32"/>
    </row>
    <row r="1259">
      <c r="A1259" s="15" t="s">
        <v>2071</v>
      </c>
      <c r="B1259" s="16" t="s">
        <v>1859</v>
      </c>
      <c r="C1259" s="17"/>
      <c r="D1259" s="17" t="s">
        <v>1860</v>
      </c>
      <c r="E1259" s="76">
        <v>44546.0</v>
      </c>
      <c r="F1259" s="62">
        <v>44561.0</v>
      </c>
      <c r="G1259" s="20">
        <f t="shared" si="2"/>
        <v>0.4666666667</v>
      </c>
      <c r="H1259" s="18"/>
      <c r="I1259" s="20">
        <f t="shared" si="3"/>
        <v>-3.830555556</v>
      </c>
      <c r="J1259" s="53"/>
      <c r="K1259" s="53"/>
      <c r="L1259" s="23"/>
      <c r="M1259" s="23"/>
      <c r="N1259" s="23" t="s">
        <v>1612</v>
      </c>
      <c r="O1259" s="23"/>
      <c r="P1259" s="54"/>
      <c r="Q1259" s="23"/>
      <c r="R1259" s="17"/>
      <c r="S1259" s="18"/>
      <c r="T1259" s="20"/>
    </row>
    <row r="1260">
      <c r="A1260" s="27" t="s">
        <v>2072</v>
      </c>
      <c r="B1260" s="28" t="s">
        <v>1610</v>
      </c>
      <c r="C1260" s="29"/>
      <c r="D1260" s="29" t="s">
        <v>1611</v>
      </c>
      <c r="E1260" s="70">
        <v>44531.0</v>
      </c>
      <c r="F1260" s="30">
        <v>44561.0</v>
      </c>
      <c r="G1260" s="32">
        <f t="shared" si="2"/>
        <v>0.9666666667</v>
      </c>
      <c r="H1260" s="33"/>
      <c r="I1260" s="32">
        <f t="shared" si="3"/>
        <v>-3.872222222</v>
      </c>
      <c r="J1260" s="34"/>
      <c r="K1260" s="34"/>
      <c r="L1260" s="35"/>
      <c r="M1260" s="35"/>
      <c r="N1260" s="35"/>
      <c r="O1260" s="35"/>
      <c r="P1260" s="36"/>
      <c r="Q1260" s="35"/>
      <c r="R1260" s="29"/>
      <c r="S1260" s="33"/>
      <c r="T1260" s="32"/>
    </row>
    <row r="1261">
      <c r="A1261" s="15" t="s">
        <v>2073</v>
      </c>
      <c r="B1261" s="16" t="s">
        <v>68</v>
      </c>
      <c r="C1261" s="16" t="s">
        <v>28</v>
      </c>
      <c r="D1261" s="17" t="str">
        <f t="shared" ref="D1261:D1262" si="65">IF(E1261&gt;TODAY(),"Coming Soon",IF(F1261="","Active",IF(F1261&gt;TODAY(),"Leaving Soon","Removed")))</f>
        <v>Removed</v>
      </c>
      <c r="E1261" s="18">
        <v>44203.0</v>
      </c>
      <c r="F1261" s="52">
        <v>44561.0</v>
      </c>
      <c r="G1261" s="20">
        <f t="shared" si="2"/>
        <v>11.76666667</v>
      </c>
      <c r="H1261" s="18">
        <v>44089.0</v>
      </c>
      <c r="I1261" s="20">
        <f t="shared" si="3"/>
        <v>0.3111111111</v>
      </c>
      <c r="J1261" s="53">
        <v>73.0</v>
      </c>
      <c r="K1261" s="53">
        <v>15.0</v>
      </c>
      <c r="L1261" s="43" t="s">
        <v>2074</v>
      </c>
      <c r="M1261" s="43"/>
      <c r="N1261" s="43"/>
      <c r="O1261" s="43"/>
      <c r="P1261" s="66"/>
      <c r="Q1261" s="43"/>
      <c r="R1261" s="17"/>
      <c r="S1261" s="18"/>
      <c r="T1261" s="20"/>
    </row>
    <row r="1262">
      <c r="A1262" s="27" t="s">
        <v>2075</v>
      </c>
      <c r="B1262" s="28" t="s">
        <v>68</v>
      </c>
      <c r="C1262" s="28" t="s">
        <v>121</v>
      </c>
      <c r="D1262" s="29" t="str">
        <f t="shared" si="65"/>
        <v>Removed</v>
      </c>
      <c r="E1262" s="33">
        <v>44203.0</v>
      </c>
      <c r="F1262" s="31">
        <v>44561.0</v>
      </c>
      <c r="G1262" s="32">
        <f t="shared" si="2"/>
        <v>11.76666667</v>
      </c>
      <c r="H1262" s="33">
        <v>42717.0</v>
      </c>
      <c r="I1262" s="32">
        <f t="shared" si="3"/>
        <v>4.066666667</v>
      </c>
      <c r="J1262" s="34">
        <v>75.0</v>
      </c>
      <c r="K1262" s="34">
        <v>2.0</v>
      </c>
      <c r="L1262" s="35" t="s">
        <v>362</v>
      </c>
      <c r="M1262" s="35"/>
      <c r="N1262" s="35"/>
      <c r="O1262" s="35"/>
      <c r="P1262" s="36"/>
      <c r="Q1262" s="35"/>
      <c r="R1262" s="29"/>
      <c r="S1262" s="33"/>
      <c r="T1262" s="32"/>
    </row>
    <row r="1263">
      <c r="A1263" s="15" t="s">
        <v>2076</v>
      </c>
      <c r="B1263" s="16" t="s">
        <v>1859</v>
      </c>
      <c r="C1263" s="17"/>
      <c r="D1263" s="17" t="s">
        <v>1860</v>
      </c>
      <c r="E1263" s="76">
        <v>44531.0</v>
      </c>
      <c r="F1263" s="62">
        <v>44545.0</v>
      </c>
      <c r="G1263" s="20">
        <f t="shared" si="2"/>
        <v>0.4666666667</v>
      </c>
      <c r="H1263" s="18"/>
      <c r="I1263" s="20">
        <f t="shared" si="3"/>
        <v>-3.872222222</v>
      </c>
      <c r="J1263" s="53"/>
      <c r="K1263" s="53"/>
      <c r="L1263" s="23"/>
      <c r="M1263" s="23"/>
      <c r="N1263" s="23" t="s">
        <v>1612</v>
      </c>
      <c r="O1263" s="23"/>
      <c r="P1263" s="54"/>
      <c r="Q1263" s="23"/>
      <c r="R1263" s="17"/>
      <c r="S1263" s="18"/>
      <c r="T1263" s="20"/>
    </row>
    <row r="1264">
      <c r="A1264" s="27" t="s">
        <v>2077</v>
      </c>
      <c r="B1264" s="28" t="s">
        <v>1610</v>
      </c>
      <c r="C1264" s="29"/>
      <c r="D1264" s="29" t="s">
        <v>1611</v>
      </c>
      <c r="E1264" s="70">
        <v>44516.0</v>
      </c>
      <c r="F1264" s="30">
        <v>44545.0</v>
      </c>
      <c r="G1264" s="32">
        <f t="shared" si="2"/>
        <v>0.9666666667</v>
      </c>
      <c r="H1264" s="33"/>
      <c r="I1264" s="32">
        <f t="shared" si="3"/>
        <v>-3.913888889</v>
      </c>
      <c r="J1264" s="34"/>
      <c r="K1264" s="34"/>
      <c r="L1264" s="35"/>
      <c r="M1264" s="35"/>
      <c r="N1264" s="35" t="s">
        <v>1612</v>
      </c>
      <c r="O1264" s="35"/>
      <c r="P1264" s="36"/>
      <c r="Q1264" s="35"/>
      <c r="R1264" s="29"/>
      <c r="S1264" s="33"/>
      <c r="T1264" s="32"/>
    </row>
    <row r="1265">
      <c r="A1265" s="15" t="s">
        <v>2078</v>
      </c>
      <c r="B1265" s="16" t="s">
        <v>27</v>
      </c>
      <c r="C1265" s="16" t="s">
        <v>121</v>
      </c>
      <c r="D1265" s="17" t="str">
        <f t="shared" ref="D1265:D1271" si="66">IF(E1265&gt;TODAY(),"Coming Soon",IF(F1265="","Active",IF(F1265&gt;TODAY(),"Leaving Soon","Removed")))</f>
        <v>Removed</v>
      </c>
      <c r="E1265" s="18">
        <v>44182.0</v>
      </c>
      <c r="F1265" s="52">
        <v>44545.0</v>
      </c>
      <c r="G1265" s="20">
        <f t="shared" si="2"/>
        <v>11.93333333</v>
      </c>
      <c r="H1265" s="18">
        <v>43116.0</v>
      </c>
      <c r="I1265" s="20">
        <f t="shared" si="3"/>
        <v>2.919444444</v>
      </c>
      <c r="J1265" s="53">
        <v>74.0</v>
      </c>
      <c r="K1265" s="53">
        <v>5.5</v>
      </c>
      <c r="L1265" s="23" t="s">
        <v>522</v>
      </c>
      <c r="M1265" s="23" t="s">
        <v>451</v>
      </c>
      <c r="N1265" s="23" t="s">
        <v>871</v>
      </c>
      <c r="O1265" s="23"/>
      <c r="P1265" s="54"/>
      <c r="Q1265" s="23"/>
      <c r="R1265" s="17"/>
      <c r="S1265" s="18"/>
      <c r="T1265" s="20"/>
    </row>
    <row r="1266">
      <c r="A1266" s="27" t="s">
        <v>2079</v>
      </c>
      <c r="B1266" s="28" t="s">
        <v>27</v>
      </c>
      <c r="C1266" s="28"/>
      <c r="D1266" s="29" t="str">
        <f t="shared" si="66"/>
        <v>Removed</v>
      </c>
      <c r="E1266" s="33">
        <v>44182.0</v>
      </c>
      <c r="F1266" s="31">
        <v>44545.0</v>
      </c>
      <c r="G1266" s="32">
        <f t="shared" si="2"/>
        <v>11.93333333</v>
      </c>
      <c r="H1266" s="33">
        <v>43706.0</v>
      </c>
      <c r="I1266" s="32">
        <f t="shared" si="3"/>
        <v>1.3</v>
      </c>
      <c r="J1266" s="34">
        <v>85.0</v>
      </c>
      <c r="K1266" s="34">
        <v>8.5</v>
      </c>
      <c r="L1266" s="35" t="s">
        <v>731</v>
      </c>
      <c r="M1266" s="35"/>
      <c r="N1266" s="35"/>
      <c r="O1266" s="35"/>
      <c r="P1266" s="36"/>
      <c r="Q1266" s="35"/>
      <c r="R1266" s="29"/>
      <c r="S1266" s="33"/>
      <c r="T1266" s="32"/>
    </row>
    <row r="1267">
      <c r="A1267" s="15" t="s">
        <v>2080</v>
      </c>
      <c r="B1267" s="16" t="s">
        <v>27</v>
      </c>
      <c r="C1267" s="16" t="s">
        <v>121</v>
      </c>
      <c r="D1267" s="17" t="str">
        <f t="shared" si="66"/>
        <v>Removed</v>
      </c>
      <c r="E1267" s="18">
        <v>44175.0</v>
      </c>
      <c r="F1267" s="52">
        <v>44545.0</v>
      </c>
      <c r="G1267" s="20">
        <f t="shared" si="2"/>
        <v>12.16666667</v>
      </c>
      <c r="H1267" s="18">
        <v>43746.0</v>
      </c>
      <c r="I1267" s="20">
        <f t="shared" si="3"/>
        <v>1.172222222</v>
      </c>
      <c r="J1267" s="53">
        <f>(81+84)/2</f>
        <v>82.5</v>
      </c>
      <c r="K1267" s="53">
        <v>13.0</v>
      </c>
      <c r="L1267" s="23" t="s">
        <v>44</v>
      </c>
      <c r="M1267" s="23"/>
      <c r="N1267" s="23"/>
      <c r="O1267" s="23"/>
      <c r="P1267" s="54"/>
      <c r="Q1267" s="23"/>
      <c r="R1267" s="17"/>
      <c r="S1267" s="18"/>
      <c r="T1267" s="20"/>
    </row>
    <row r="1268">
      <c r="A1268" s="27" t="s">
        <v>2081</v>
      </c>
      <c r="B1268" s="28" t="s">
        <v>27</v>
      </c>
      <c r="C1268" s="28"/>
      <c r="D1268" s="29" t="str">
        <f t="shared" si="66"/>
        <v>Removed</v>
      </c>
      <c r="E1268" s="33">
        <v>44174.0</v>
      </c>
      <c r="F1268" s="31">
        <v>44545.0</v>
      </c>
      <c r="G1268" s="32">
        <f t="shared" si="2"/>
        <v>12.2</v>
      </c>
      <c r="H1268" s="33">
        <v>44174.0</v>
      </c>
      <c r="I1268" s="32">
        <f t="shared" si="3"/>
        <v>0</v>
      </c>
      <c r="J1268" s="34">
        <f>(58+73)/2</f>
        <v>65.5</v>
      </c>
      <c r="K1268" s="34">
        <v>4.5</v>
      </c>
      <c r="L1268" s="35" t="s">
        <v>37</v>
      </c>
      <c r="M1268" s="35"/>
      <c r="N1268" s="35"/>
      <c r="O1268" s="35"/>
      <c r="P1268" s="36"/>
      <c r="Q1268" s="35"/>
      <c r="R1268" s="29"/>
      <c r="S1268" s="33"/>
      <c r="T1268" s="32"/>
    </row>
    <row r="1269">
      <c r="A1269" s="15" t="s">
        <v>2082</v>
      </c>
      <c r="B1269" s="16" t="s">
        <v>27</v>
      </c>
      <c r="C1269" s="17"/>
      <c r="D1269" s="17" t="str">
        <f t="shared" si="66"/>
        <v>Removed</v>
      </c>
      <c r="E1269" s="62">
        <v>44049.0</v>
      </c>
      <c r="F1269" s="52">
        <v>44545.0</v>
      </c>
      <c r="G1269" s="20">
        <f t="shared" si="2"/>
        <v>16.3</v>
      </c>
      <c r="H1269" s="18">
        <v>43707.0</v>
      </c>
      <c r="I1269" s="20">
        <f t="shared" si="3"/>
        <v>0.9333333333</v>
      </c>
      <c r="J1269" s="53">
        <v>69.0</v>
      </c>
      <c r="K1269" s="53">
        <v>4.0</v>
      </c>
      <c r="L1269" s="23" t="s">
        <v>362</v>
      </c>
      <c r="M1269" s="23"/>
      <c r="N1269" s="23"/>
      <c r="O1269" s="23"/>
      <c r="P1269" s="54"/>
      <c r="Q1269" s="23"/>
      <c r="R1269" s="17"/>
      <c r="S1269" s="18"/>
      <c r="T1269" s="20"/>
    </row>
    <row r="1270">
      <c r="A1270" s="67" t="s">
        <v>2083</v>
      </c>
      <c r="B1270" s="28" t="s">
        <v>27</v>
      </c>
      <c r="C1270" s="28" t="s">
        <v>121</v>
      </c>
      <c r="D1270" s="29" t="str">
        <f t="shared" si="66"/>
        <v>Removed</v>
      </c>
      <c r="E1270" s="70">
        <v>43625.0</v>
      </c>
      <c r="F1270" s="31">
        <v>44545.0</v>
      </c>
      <c r="G1270" s="32">
        <f t="shared" si="2"/>
        <v>30.2</v>
      </c>
      <c r="H1270" s="33">
        <v>43333.0</v>
      </c>
      <c r="I1270" s="32">
        <f t="shared" si="3"/>
        <v>0.8</v>
      </c>
      <c r="J1270" s="69">
        <v>85.0</v>
      </c>
      <c r="K1270" s="34">
        <v>8.5</v>
      </c>
      <c r="L1270" s="44" t="s">
        <v>1455</v>
      </c>
      <c r="M1270" s="44"/>
      <c r="N1270" s="44"/>
      <c r="O1270" s="44"/>
      <c r="P1270" s="71"/>
      <c r="Q1270" s="44"/>
      <c r="R1270" s="29"/>
      <c r="S1270" s="33"/>
      <c r="T1270" s="32"/>
    </row>
    <row r="1271">
      <c r="A1271" s="64" t="s">
        <v>2084</v>
      </c>
      <c r="B1271" s="16" t="s">
        <v>40</v>
      </c>
      <c r="C1271" s="17"/>
      <c r="D1271" s="17" t="str">
        <f t="shared" si="66"/>
        <v>Removed</v>
      </c>
      <c r="E1271" s="76">
        <v>43622.0</v>
      </c>
      <c r="F1271" s="52">
        <v>44540.0</v>
      </c>
      <c r="G1271" s="20">
        <f t="shared" si="2"/>
        <v>30.13333333</v>
      </c>
      <c r="H1271" s="18">
        <v>42425.0</v>
      </c>
      <c r="I1271" s="20">
        <f t="shared" si="3"/>
        <v>3.280555556</v>
      </c>
      <c r="J1271" s="65">
        <v>83.0</v>
      </c>
      <c r="K1271" s="53">
        <v>2.5</v>
      </c>
      <c r="L1271" s="43" t="s">
        <v>184</v>
      </c>
      <c r="M1271" s="23" t="s">
        <v>451</v>
      </c>
      <c r="N1271" s="43"/>
      <c r="O1271" s="43"/>
      <c r="P1271" s="66"/>
      <c r="Q1271" s="43"/>
      <c r="R1271" s="16"/>
      <c r="S1271" s="18"/>
      <c r="T1271" s="20"/>
    </row>
    <row r="1272">
      <c r="A1272" s="27" t="s">
        <v>2085</v>
      </c>
      <c r="B1272" s="28" t="s">
        <v>1859</v>
      </c>
      <c r="C1272" s="29"/>
      <c r="D1272" s="29" t="s">
        <v>1860</v>
      </c>
      <c r="E1272" s="70">
        <v>44516.0</v>
      </c>
      <c r="F1272" s="30">
        <v>44530.0</v>
      </c>
      <c r="G1272" s="32">
        <f t="shared" si="2"/>
        <v>0.4666666667</v>
      </c>
      <c r="H1272" s="33"/>
      <c r="I1272" s="32">
        <f t="shared" si="3"/>
        <v>-3.913888889</v>
      </c>
      <c r="J1272" s="34"/>
      <c r="K1272" s="34"/>
      <c r="L1272" s="35"/>
      <c r="M1272" s="35"/>
      <c r="N1272" s="35" t="s">
        <v>1612</v>
      </c>
      <c r="O1272" s="35"/>
      <c r="P1272" s="36"/>
      <c r="Q1272" s="35"/>
      <c r="R1272" s="29"/>
      <c r="S1272" s="33"/>
      <c r="T1272" s="32"/>
    </row>
    <row r="1273">
      <c r="A1273" s="15" t="s">
        <v>2086</v>
      </c>
      <c r="B1273" s="16" t="s">
        <v>1610</v>
      </c>
      <c r="C1273" s="17"/>
      <c r="D1273" s="17" t="s">
        <v>1611</v>
      </c>
      <c r="E1273" s="76">
        <v>44501.0</v>
      </c>
      <c r="F1273" s="62">
        <v>44530.0</v>
      </c>
      <c r="G1273" s="20">
        <f t="shared" si="2"/>
        <v>0.9666666667</v>
      </c>
      <c r="H1273" s="18"/>
      <c r="I1273" s="20">
        <f t="shared" si="3"/>
        <v>-3.955555556</v>
      </c>
      <c r="J1273" s="53"/>
      <c r="K1273" s="53"/>
      <c r="L1273" s="23"/>
      <c r="M1273" s="23"/>
      <c r="N1273" s="23"/>
      <c r="O1273" s="23"/>
      <c r="P1273" s="54"/>
      <c r="Q1273" s="23"/>
      <c r="R1273" s="17"/>
      <c r="S1273" s="18"/>
      <c r="T1273" s="20"/>
    </row>
    <row r="1274">
      <c r="A1274" s="27" t="s">
        <v>2087</v>
      </c>
      <c r="B1274" s="28" t="s">
        <v>27</v>
      </c>
      <c r="C1274" s="28" t="s">
        <v>28</v>
      </c>
      <c r="D1274" s="29" t="str">
        <f t="shared" ref="D1274:D1282" si="67">IF(E1274&gt;TODAY(),"Coming Soon",IF(F1274="","Active",IF(F1274&gt;TODAY(),"Leaving Soon","Removed")))</f>
        <v>Removed</v>
      </c>
      <c r="E1274" s="33">
        <v>44259.0</v>
      </c>
      <c r="F1274" s="31">
        <v>44530.0</v>
      </c>
      <c r="G1274" s="32">
        <f t="shared" si="2"/>
        <v>8.866666667</v>
      </c>
      <c r="H1274" s="33">
        <v>44159.0</v>
      </c>
      <c r="I1274" s="32">
        <f t="shared" si="3"/>
        <v>0.2777777778</v>
      </c>
      <c r="J1274" s="34">
        <f>(78+85)/2</f>
        <v>81.5</v>
      </c>
      <c r="K1274" s="34">
        <v>117.0</v>
      </c>
      <c r="L1274" s="35" t="s">
        <v>50</v>
      </c>
      <c r="M1274" s="35" t="s">
        <v>123</v>
      </c>
      <c r="N1274" s="35"/>
      <c r="O1274" s="35"/>
      <c r="P1274" s="36"/>
      <c r="Q1274" s="35"/>
      <c r="R1274" s="29"/>
      <c r="S1274" s="33"/>
      <c r="T1274" s="32"/>
    </row>
    <row r="1275">
      <c r="A1275" s="15" t="s">
        <v>2088</v>
      </c>
      <c r="B1275" s="16" t="s">
        <v>27</v>
      </c>
      <c r="C1275" s="16" t="s">
        <v>121</v>
      </c>
      <c r="D1275" s="17" t="str">
        <f t="shared" si="67"/>
        <v>Removed</v>
      </c>
      <c r="E1275" s="18">
        <v>44176.0</v>
      </c>
      <c r="F1275" s="52">
        <v>44530.0</v>
      </c>
      <c r="G1275" s="20">
        <f t="shared" si="2"/>
        <v>11.63333333</v>
      </c>
      <c r="H1275" s="18">
        <v>44176.0</v>
      </c>
      <c r="I1275" s="20">
        <f t="shared" si="3"/>
        <v>0</v>
      </c>
      <c r="J1275" s="53">
        <f>(60+73)/2</f>
        <v>66.5</v>
      </c>
      <c r="K1275" s="53">
        <v>2.5</v>
      </c>
      <c r="L1275" s="23" t="s">
        <v>731</v>
      </c>
      <c r="M1275" s="23" t="s">
        <v>123</v>
      </c>
      <c r="N1275" s="23"/>
      <c r="O1275" s="23"/>
      <c r="P1275" s="54"/>
      <c r="Q1275" s="23"/>
      <c r="R1275" s="17"/>
      <c r="S1275" s="18"/>
      <c r="T1275" s="20"/>
    </row>
    <row r="1276">
      <c r="A1276" s="27" t="s">
        <v>2089</v>
      </c>
      <c r="B1276" s="28" t="s">
        <v>27</v>
      </c>
      <c r="C1276" s="28" t="s">
        <v>121</v>
      </c>
      <c r="D1276" s="29" t="str">
        <f t="shared" si="67"/>
        <v>Removed</v>
      </c>
      <c r="E1276" s="33">
        <v>44173.0</v>
      </c>
      <c r="F1276" s="31">
        <v>44530.0</v>
      </c>
      <c r="G1276" s="32">
        <f t="shared" si="2"/>
        <v>11.73333333</v>
      </c>
      <c r="H1276" s="33">
        <v>44173.0</v>
      </c>
      <c r="I1276" s="32">
        <f t="shared" si="3"/>
        <v>0</v>
      </c>
      <c r="J1276" s="34">
        <f>(77+77+82)/3</f>
        <v>78.66666667</v>
      </c>
      <c r="K1276" s="34">
        <v>6.0</v>
      </c>
      <c r="L1276" s="35" t="s">
        <v>529</v>
      </c>
      <c r="M1276" s="35" t="s">
        <v>123</v>
      </c>
      <c r="N1276" s="35"/>
      <c r="O1276" s="35"/>
      <c r="P1276" s="36"/>
      <c r="Q1276" s="35"/>
      <c r="R1276" s="29"/>
      <c r="S1276" s="33"/>
      <c r="T1276" s="32"/>
    </row>
    <row r="1277">
      <c r="A1277" s="15" t="s">
        <v>2090</v>
      </c>
      <c r="B1277" s="16" t="s">
        <v>27</v>
      </c>
      <c r="C1277" s="16" t="s">
        <v>121</v>
      </c>
      <c r="D1277" s="17" t="str">
        <f t="shared" si="67"/>
        <v>Removed</v>
      </c>
      <c r="E1277" s="18">
        <v>44168.0</v>
      </c>
      <c r="F1277" s="52">
        <v>44530.0</v>
      </c>
      <c r="G1277" s="20">
        <f t="shared" si="2"/>
        <v>11.9</v>
      </c>
      <c r="H1277" s="18">
        <v>44168.0</v>
      </c>
      <c r="I1277" s="20">
        <f t="shared" si="3"/>
        <v>0</v>
      </c>
      <c r="J1277" s="53">
        <f>(72+78)/2</f>
        <v>75</v>
      </c>
      <c r="K1277" s="53">
        <v>10.0</v>
      </c>
      <c r="L1277" s="23" t="s">
        <v>529</v>
      </c>
      <c r="M1277" s="23" t="s">
        <v>123</v>
      </c>
      <c r="N1277" s="23"/>
      <c r="O1277" s="23"/>
      <c r="P1277" s="54"/>
      <c r="Q1277" s="23"/>
      <c r="R1277" s="17"/>
      <c r="S1277" s="18"/>
      <c r="T1277" s="20"/>
    </row>
    <row r="1278">
      <c r="A1278" s="27" t="s">
        <v>2091</v>
      </c>
      <c r="B1278" s="28" t="s">
        <v>40</v>
      </c>
      <c r="C1278" s="28"/>
      <c r="D1278" s="29" t="str">
        <f t="shared" si="67"/>
        <v>Removed</v>
      </c>
      <c r="E1278" s="30">
        <v>44168.0</v>
      </c>
      <c r="F1278" s="31">
        <v>44530.0</v>
      </c>
      <c r="G1278" s="32">
        <f t="shared" si="2"/>
        <v>11.9</v>
      </c>
      <c r="H1278" s="33">
        <v>42542.0</v>
      </c>
      <c r="I1278" s="32">
        <f t="shared" si="3"/>
        <v>4.45</v>
      </c>
      <c r="J1278" s="34">
        <v>77.0</v>
      </c>
      <c r="K1278" s="34">
        <v>11.0</v>
      </c>
      <c r="L1278" s="35" t="s">
        <v>1458</v>
      </c>
      <c r="M1278" s="35"/>
      <c r="N1278" s="35"/>
      <c r="O1278" s="35"/>
      <c r="P1278" s="36"/>
      <c r="Q1278" s="35"/>
      <c r="R1278" s="28"/>
      <c r="S1278" s="33"/>
      <c r="T1278" s="32"/>
    </row>
    <row r="1279">
      <c r="A1279" s="15" t="s">
        <v>2092</v>
      </c>
      <c r="B1279" s="16" t="s">
        <v>27</v>
      </c>
      <c r="C1279" s="16"/>
      <c r="D1279" s="17" t="str">
        <f t="shared" si="67"/>
        <v>Removed</v>
      </c>
      <c r="E1279" s="18">
        <v>44145.0</v>
      </c>
      <c r="F1279" s="52">
        <v>44530.0</v>
      </c>
      <c r="G1279" s="20">
        <f t="shared" si="2"/>
        <v>12.66666667</v>
      </c>
      <c r="H1279" s="18">
        <v>43371.0</v>
      </c>
      <c r="I1279" s="20">
        <f t="shared" si="3"/>
        <v>2.116666667</v>
      </c>
      <c r="J1279" s="53">
        <v>83.0</v>
      </c>
      <c r="K1279" s="53">
        <v>48.5</v>
      </c>
      <c r="L1279" s="23" t="s">
        <v>856</v>
      </c>
      <c r="M1279" s="23"/>
      <c r="N1279" s="23"/>
      <c r="O1279" s="23"/>
      <c r="P1279" s="54"/>
      <c r="Q1279" s="23"/>
      <c r="R1279" s="17"/>
      <c r="S1279" s="18"/>
      <c r="T1279" s="20"/>
    </row>
    <row r="1280">
      <c r="A1280" s="67" t="s">
        <v>2093</v>
      </c>
      <c r="B1280" s="28" t="s">
        <v>27</v>
      </c>
      <c r="C1280" s="28" t="s">
        <v>121</v>
      </c>
      <c r="D1280" s="29" t="str">
        <f t="shared" si="67"/>
        <v>Removed</v>
      </c>
      <c r="E1280" s="70">
        <v>43394.0</v>
      </c>
      <c r="F1280" s="31">
        <v>44530.0</v>
      </c>
      <c r="G1280" s="32">
        <f t="shared" si="2"/>
        <v>37.3</v>
      </c>
      <c r="H1280" s="33">
        <v>43077.0</v>
      </c>
      <c r="I1280" s="32">
        <f t="shared" si="3"/>
        <v>0.8694444444</v>
      </c>
      <c r="J1280" s="69">
        <v>42.0</v>
      </c>
      <c r="K1280" s="34">
        <v>9.0</v>
      </c>
      <c r="L1280" s="44" t="s">
        <v>878</v>
      </c>
      <c r="M1280" s="44"/>
      <c r="N1280" s="44"/>
      <c r="O1280" s="44"/>
      <c r="P1280" s="71"/>
      <c r="Q1280" s="44"/>
      <c r="R1280" s="29"/>
      <c r="S1280" s="33"/>
      <c r="T1280" s="32"/>
    </row>
    <row r="1281">
      <c r="A1281" s="15" t="s">
        <v>2094</v>
      </c>
      <c r="B1281" s="16" t="s">
        <v>40</v>
      </c>
      <c r="C1281" s="17"/>
      <c r="D1281" s="17" t="str">
        <f t="shared" si="67"/>
        <v>Removed</v>
      </c>
      <c r="E1281" s="76">
        <v>43391.0</v>
      </c>
      <c r="F1281" s="62">
        <v>44522.0</v>
      </c>
      <c r="G1281" s="20">
        <f t="shared" si="2"/>
        <v>37.13333333</v>
      </c>
      <c r="H1281" s="18">
        <v>43391.0</v>
      </c>
      <c r="I1281" s="20">
        <f t="shared" si="3"/>
        <v>0</v>
      </c>
      <c r="J1281" s="53">
        <v>63.0</v>
      </c>
      <c r="K1281" s="53">
        <v>4.5</v>
      </c>
      <c r="L1281" s="23" t="s">
        <v>509</v>
      </c>
      <c r="M1281" s="43"/>
      <c r="N1281" s="43"/>
      <c r="O1281" s="43"/>
      <c r="P1281" s="66"/>
      <c r="Q1281" s="43"/>
      <c r="R1281" s="16"/>
      <c r="S1281" s="18"/>
      <c r="T1281" s="20"/>
    </row>
    <row r="1282">
      <c r="A1282" s="27" t="s">
        <v>2095</v>
      </c>
      <c r="B1282" s="28" t="s">
        <v>40</v>
      </c>
      <c r="C1282" s="28" t="s">
        <v>28</v>
      </c>
      <c r="D1282" s="29" t="str">
        <f t="shared" si="67"/>
        <v>Removed</v>
      </c>
      <c r="E1282" s="70">
        <v>43160.0</v>
      </c>
      <c r="F1282" s="31">
        <v>44522.0</v>
      </c>
      <c r="G1282" s="32">
        <f t="shared" si="2"/>
        <v>44.7</v>
      </c>
      <c r="H1282" s="33">
        <v>42384.0</v>
      </c>
      <c r="I1282" s="32">
        <f t="shared" si="3"/>
        <v>2.127777778</v>
      </c>
      <c r="J1282" s="69">
        <v>78.0</v>
      </c>
      <c r="K1282" s="34">
        <v>4.5</v>
      </c>
      <c r="L1282" s="35" t="s">
        <v>362</v>
      </c>
      <c r="M1282" s="35"/>
      <c r="N1282" s="35"/>
      <c r="O1282" s="35"/>
      <c r="P1282" s="36"/>
      <c r="Q1282" s="35"/>
      <c r="R1282" s="28"/>
      <c r="S1282" s="33"/>
      <c r="T1282" s="32"/>
    </row>
    <row r="1283">
      <c r="A1283" s="15" t="s">
        <v>2096</v>
      </c>
      <c r="B1283" s="16" t="s">
        <v>1859</v>
      </c>
      <c r="C1283" s="17"/>
      <c r="D1283" s="17" t="s">
        <v>1860</v>
      </c>
      <c r="E1283" s="76">
        <v>44501.0</v>
      </c>
      <c r="F1283" s="62">
        <v>44515.0</v>
      </c>
      <c r="G1283" s="20">
        <f t="shared" si="2"/>
        <v>0.4666666667</v>
      </c>
      <c r="H1283" s="18"/>
      <c r="I1283" s="20">
        <f t="shared" si="3"/>
        <v>-3.955555556</v>
      </c>
      <c r="J1283" s="53"/>
      <c r="K1283" s="53"/>
      <c r="L1283" s="23"/>
      <c r="M1283" s="23"/>
      <c r="N1283" s="23" t="s">
        <v>1612</v>
      </c>
      <c r="O1283" s="23"/>
      <c r="P1283" s="54"/>
      <c r="Q1283" s="23"/>
      <c r="R1283" s="17"/>
      <c r="S1283" s="18"/>
      <c r="T1283" s="20"/>
    </row>
    <row r="1284">
      <c r="A1284" s="27" t="s">
        <v>2097</v>
      </c>
      <c r="B1284" s="28" t="s">
        <v>1610</v>
      </c>
      <c r="C1284" s="29"/>
      <c r="D1284" s="29" t="s">
        <v>1611</v>
      </c>
      <c r="E1284" s="70">
        <v>44485.0</v>
      </c>
      <c r="F1284" s="30">
        <v>44515.0</v>
      </c>
      <c r="G1284" s="32">
        <f t="shared" si="2"/>
        <v>0.9666666667</v>
      </c>
      <c r="H1284" s="33"/>
      <c r="I1284" s="32">
        <f t="shared" si="3"/>
        <v>-3.997222222</v>
      </c>
      <c r="J1284" s="34"/>
      <c r="K1284" s="34"/>
      <c r="L1284" s="35"/>
      <c r="M1284" s="35"/>
      <c r="N1284" s="35" t="s">
        <v>1612</v>
      </c>
      <c r="O1284" s="35"/>
      <c r="P1284" s="36"/>
      <c r="Q1284" s="35"/>
      <c r="R1284" s="29"/>
      <c r="S1284" s="33"/>
      <c r="T1284" s="32"/>
    </row>
    <row r="1285">
      <c r="A1285" s="15" t="s">
        <v>2098</v>
      </c>
      <c r="B1285" s="16" t="s">
        <v>27</v>
      </c>
      <c r="C1285" s="16" t="s">
        <v>121</v>
      </c>
      <c r="D1285" s="17" t="str">
        <f t="shared" ref="D1285:D1290" si="68">IF(E1285&gt;TODAY(),"Coming Soon",IF(F1285="","Active",IF(F1285&gt;TODAY(),"Leaving Soon","Removed")))</f>
        <v>Removed</v>
      </c>
      <c r="E1285" s="62">
        <v>44154.0</v>
      </c>
      <c r="F1285" s="52">
        <v>44515.0</v>
      </c>
      <c r="G1285" s="20">
        <f t="shared" si="2"/>
        <v>11.86666667</v>
      </c>
      <c r="H1285" s="18">
        <v>43713.0</v>
      </c>
      <c r="I1285" s="20">
        <f t="shared" si="3"/>
        <v>1.205555556</v>
      </c>
      <c r="J1285" s="53">
        <v>80.0</v>
      </c>
      <c r="K1285" s="53">
        <v>7.0</v>
      </c>
      <c r="L1285" s="23" t="s">
        <v>687</v>
      </c>
      <c r="M1285" s="23"/>
      <c r="N1285" s="23"/>
      <c r="O1285" s="23"/>
      <c r="P1285" s="54"/>
      <c r="Q1285" s="23"/>
      <c r="R1285" s="17"/>
      <c r="S1285" s="18"/>
      <c r="T1285" s="20"/>
    </row>
    <row r="1286">
      <c r="A1286" s="27" t="s">
        <v>2099</v>
      </c>
      <c r="B1286" s="28" t="s">
        <v>27</v>
      </c>
      <c r="C1286" s="28" t="s">
        <v>121</v>
      </c>
      <c r="D1286" s="29" t="str">
        <f t="shared" si="68"/>
        <v>Removed</v>
      </c>
      <c r="E1286" s="30">
        <v>44154.0</v>
      </c>
      <c r="F1286" s="31">
        <v>44515.0</v>
      </c>
      <c r="G1286" s="32">
        <f t="shared" si="2"/>
        <v>11.86666667</v>
      </c>
      <c r="H1286" s="33">
        <v>44082.0</v>
      </c>
      <c r="I1286" s="32">
        <f t="shared" si="3"/>
        <v>0.1972222222</v>
      </c>
      <c r="J1286" s="34">
        <v>79.0</v>
      </c>
      <c r="K1286" s="34">
        <v>8.5</v>
      </c>
      <c r="L1286" s="35" t="s">
        <v>29</v>
      </c>
      <c r="M1286" s="35"/>
      <c r="N1286" s="35"/>
      <c r="O1286" s="35"/>
      <c r="P1286" s="36"/>
      <c r="Q1286" s="35"/>
      <c r="R1286" s="29"/>
      <c r="S1286" s="33"/>
      <c r="T1286" s="32"/>
    </row>
    <row r="1287">
      <c r="A1287" s="15" t="s">
        <v>2100</v>
      </c>
      <c r="B1287" s="16" t="s">
        <v>27</v>
      </c>
      <c r="C1287" s="16"/>
      <c r="D1287" s="17" t="str">
        <f t="shared" si="68"/>
        <v>Removed</v>
      </c>
      <c r="E1287" s="18">
        <v>44147.0</v>
      </c>
      <c r="F1287" s="52">
        <v>44515.0</v>
      </c>
      <c r="G1287" s="20">
        <f t="shared" si="2"/>
        <v>12.1</v>
      </c>
      <c r="H1287" s="18">
        <v>43711.0</v>
      </c>
      <c r="I1287" s="20">
        <f t="shared" si="3"/>
        <v>1.191666667</v>
      </c>
      <c r="J1287" s="53">
        <f>(73+82)/2</f>
        <v>77.5</v>
      </c>
      <c r="K1287" s="53">
        <v>41.5</v>
      </c>
      <c r="L1287" s="23" t="s">
        <v>122</v>
      </c>
      <c r="M1287" s="23"/>
      <c r="N1287" s="23"/>
      <c r="O1287" s="23"/>
      <c r="P1287" s="54"/>
      <c r="Q1287" s="23"/>
      <c r="R1287" s="17"/>
      <c r="S1287" s="18"/>
      <c r="T1287" s="20"/>
    </row>
    <row r="1288">
      <c r="A1288" s="27" t="s">
        <v>2101</v>
      </c>
      <c r="B1288" s="28" t="s">
        <v>68</v>
      </c>
      <c r="C1288" s="28" t="s">
        <v>28</v>
      </c>
      <c r="D1288" s="29" t="str">
        <f t="shared" si="68"/>
        <v>Removed</v>
      </c>
      <c r="E1288" s="33">
        <v>44145.0</v>
      </c>
      <c r="F1288" s="31">
        <v>44515.0</v>
      </c>
      <c r="G1288" s="32">
        <f t="shared" si="2"/>
        <v>12.16666667</v>
      </c>
      <c r="H1288" s="33">
        <v>42691.0</v>
      </c>
      <c r="I1288" s="32">
        <f t="shared" si="3"/>
        <v>3.980555556</v>
      </c>
      <c r="J1288" s="34">
        <v>85.0</v>
      </c>
      <c r="K1288" s="34">
        <v>25.0</v>
      </c>
      <c r="L1288" s="35" t="s">
        <v>50</v>
      </c>
      <c r="M1288" s="35" t="s">
        <v>123</v>
      </c>
      <c r="N1288" s="35"/>
      <c r="O1288" s="35"/>
      <c r="P1288" s="36"/>
      <c r="Q1288" s="35"/>
      <c r="R1288" s="29"/>
      <c r="S1288" s="33"/>
      <c r="T1288" s="32"/>
    </row>
    <row r="1289">
      <c r="A1289" s="15" t="s">
        <v>2102</v>
      </c>
      <c r="B1289" s="16" t="s">
        <v>27</v>
      </c>
      <c r="C1289" s="16" t="s">
        <v>28</v>
      </c>
      <c r="D1289" s="17" t="str">
        <f t="shared" si="68"/>
        <v>Removed</v>
      </c>
      <c r="E1289" s="62">
        <v>44007.0</v>
      </c>
      <c r="F1289" s="52">
        <v>44515.0</v>
      </c>
      <c r="G1289" s="20">
        <f t="shared" si="2"/>
        <v>16.66666667</v>
      </c>
      <c r="H1289" s="18">
        <v>43658.0</v>
      </c>
      <c r="I1289" s="20">
        <f t="shared" si="3"/>
        <v>0.9527777778</v>
      </c>
      <c r="J1289" s="53">
        <v>82.0</v>
      </c>
      <c r="K1289" s="53">
        <v>12.0</v>
      </c>
      <c r="L1289" s="23" t="s">
        <v>912</v>
      </c>
      <c r="M1289" s="23"/>
      <c r="N1289" s="23"/>
      <c r="O1289" s="23"/>
      <c r="P1289" s="54"/>
      <c r="Q1289" s="23"/>
      <c r="R1289" s="17"/>
      <c r="S1289" s="18"/>
      <c r="T1289" s="20"/>
    </row>
    <row r="1290">
      <c r="A1290" s="67" t="s">
        <v>2103</v>
      </c>
      <c r="B1290" s="28" t="s">
        <v>27</v>
      </c>
      <c r="C1290" s="28" t="s">
        <v>28</v>
      </c>
      <c r="D1290" s="29" t="str">
        <f t="shared" si="68"/>
        <v>Removed</v>
      </c>
      <c r="E1290" s="70">
        <v>43433.0</v>
      </c>
      <c r="F1290" s="31">
        <v>44515.0</v>
      </c>
      <c r="G1290" s="32">
        <f t="shared" si="2"/>
        <v>35.53333333</v>
      </c>
      <c r="H1290" s="33">
        <v>43363.0</v>
      </c>
      <c r="I1290" s="32">
        <f t="shared" si="3"/>
        <v>0.1916666667</v>
      </c>
      <c r="J1290" s="69">
        <v>82.0</v>
      </c>
      <c r="K1290" s="34">
        <v>2.5</v>
      </c>
      <c r="L1290" s="44" t="s">
        <v>562</v>
      </c>
      <c r="M1290" s="35" t="s">
        <v>451</v>
      </c>
      <c r="N1290" s="44"/>
      <c r="O1290" s="44"/>
      <c r="P1290" s="71"/>
      <c r="Q1290" s="44"/>
      <c r="R1290" s="29"/>
      <c r="S1290" s="33"/>
      <c r="T1290" s="32"/>
    </row>
    <row r="1291">
      <c r="A1291" s="15" t="s">
        <v>2104</v>
      </c>
      <c r="B1291" s="16" t="s">
        <v>1859</v>
      </c>
      <c r="C1291" s="17"/>
      <c r="D1291" s="17" t="s">
        <v>1860</v>
      </c>
      <c r="E1291" s="76">
        <v>44485.0</v>
      </c>
      <c r="F1291" s="62">
        <v>44500.0</v>
      </c>
      <c r="G1291" s="20">
        <f t="shared" si="2"/>
        <v>0.4666666667</v>
      </c>
      <c r="H1291" s="18"/>
      <c r="I1291" s="20">
        <f t="shared" si="3"/>
        <v>-3.997222222</v>
      </c>
      <c r="J1291" s="53"/>
      <c r="K1291" s="53"/>
      <c r="L1291" s="23"/>
      <c r="M1291" s="23"/>
      <c r="N1291" s="23" t="s">
        <v>1612</v>
      </c>
      <c r="O1291" s="23"/>
      <c r="P1291" s="54"/>
      <c r="Q1291" s="23"/>
      <c r="R1291" s="17"/>
      <c r="S1291" s="18"/>
      <c r="T1291" s="20"/>
    </row>
    <row r="1292">
      <c r="A1292" s="27" t="s">
        <v>2105</v>
      </c>
      <c r="B1292" s="28" t="s">
        <v>1610</v>
      </c>
      <c r="C1292" s="29"/>
      <c r="D1292" s="29" t="s">
        <v>1611</v>
      </c>
      <c r="E1292" s="70">
        <v>44470.0</v>
      </c>
      <c r="F1292" s="30">
        <v>44500.0</v>
      </c>
      <c r="G1292" s="32">
        <f t="shared" si="2"/>
        <v>0.9666666667</v>
      </c>
      <c r="H1292" s="33"/>
      <c r="I1292" s="32">
        <f t="shared" si="3"/>
        <v>-4.038888889</v>
      </c>
      <c r="J1292" s="34"/>
      <c r="K1292" s="34"/>
      <c r="L1292" s="35"/>
      <c r="M1292" s="35"/>
      <c r="N1292" s="35" t="s">
        <v>1612</v>
      </c>
      <c r="O1292" s="35"/>
      <c r="P1292" s="36"/>
      <c r="Q1292" s="35"/>
      <c r="R1292" s="29"/>
      <c r="S1292" s="33"/>
      <c r="T1292" s="32"/>
    </row>
    <row r="1293">
      <c r="A1293" s="15" t="s">
        <v>2106</v>
      </c>
      <c r="B1293" s="16" t="s">
        <v>40</v>
      </c>
      <c r="C1293" s="16"/>
      <c r="D1293" s="17" t="str">
        <f t="shared" ref="D1293:D1304" si="69">IF(E1293&gt;TODAY(),"Coming Soon",IF(F1293="","Active",IF(F1293&gt;TODAY(),"Leaving Soon","Removed")))</f>
        <v>Removed</v>
      </c>
      <c r="E1293" s="18">
        <v>44140.0</v>
      </c>
      <c r="F1293" s="52">
        <v>44500.0</v>
      </c>
      <c r="G1293" s="20">
        <f t="shared" si="2"/>
        <v>11.83333333</v>
      </c>
      <c r="H1293" s="18">
        <v>43902.0</v>
      </c>
      <c r="I1293" s="20">
        <f t="shared" si="3"/>
        <v>0.6472222222</v>
      </c>
      <c r="J1293" s="53">
        <v>45.0</v>
      </c>
      <c r="K1293" s="53">
        <v>5.0</v>
      </c>
      <c r="L1293" s="23" t="s">
        <v>2107</v>
      </c>
      <c r="M1293" s="23"/>
      <c r="N1293" s="23"/>
      <c r="O1293" s="23"/>
      <c r="P1293" s="54"/>
      <c r="Q1293" s="23"/>
      <c r="R1293" s="16"/>
      <c r="S1293" s="18"/>
      <c r="T1293" s="20"/>
    </row>
    <row r="1294">
      <c r="A1294" s="27" t="s">
        <v>2108</v>
      </c>
      <c r="B1294" s="28" t="s">
        <v>27</v>
      </c>
      <c r="C1294" s="28" t="s">
        <v>121</v>
      </c>
      <c r="D1294" s="29" t="str">
        <f t="shared" si="69"/>
        <v>Removed</v>
      </c>
      <c r="E1294" s="33">
        <v>44140.0</v>
      </c>
      <c r="F1294" s="31">
        <v>44500.0</v>
      </c>
      <c r="G1294" s="32">
        <f t="shared" si="2"/>
        <v>11.83333333</v>
      </c>
      <c r="H1294" s="33">
        <v>43509.0</v>
      </c>
      <c r="I1294" s="32">
        <f t="shared" si="3"/>
        <v>1.727777778</v>
      </c>
      <c r="J1294" s="34">
        <v>78.0</v>
      </c>
      <c r="K1294" s="34">
        <v>11.5</v>
      </c>
      <c r="L1294" s="35" t="s">
        <v>362</v>
      </c>
      <c r="M1294" s="35"/>
      <c r="N1294" s="35"/>
      <c r="O1294" s="35"/>
      <c r="P1294" s="36"/>
      <c r="Q1294" s="35"/>
      <c r="R1294" s="29"/>
      <c r="S1294" s="33"/>
      <c r="T1294" s="32"/>
    </row>
    <row r="1295">
      <c r="A1295" s="15" t="s">
        <v>2109</v>
      </c>
      <c r="B1295" s="16" t="s">
        <v>27</v>
      </c>
      <c r="C1295" s="16"/>
      <c r="D1295" s="17" t="str">
        <f t="shared" si="69"/>
        <v>Removed</v>
      </c>
      <c r="E1295" s="18">
        <v>44140.0</v>
      </c>
      <c r="F1295" s="52">
        <v>44500.0</v>
      </c>
      <c r="G1295" s="20">
        <f t="shared" si="2"/>
        <v>11.83333333</v>
      </c>
      <c r="H1295" s="18">
        <v>43704.0</v>
      </c>
      <c r="I1295" s="20">
        <f t="shared" si="3"/>
        <v>1.188888889</v>
      </c>
      <c r="J1295" s="53">
        <v>79.0</v>
      </c>
      <c r="K1295" s="53">
        <v>7.5</v>
      </c>
      <c r="L1295" s="23" t="s">
        <v>509</v>
      </c>
      <c r="M1295" s="23"/>
      <c r="N1295" s="23"/>
      <c r="O1295" s="23"/>
      <c r="P1295" s="54"/>
      <c r="Q1295" s="23"/>
      <c r="R1295" s="17"/>
      <c r="S1295" s="18"/>
      <c r="T1295" s="20"/>
    </row>
    <row r="1296">
      <c r="A1296" s="27" t="s">
        <v>2110</v>
      </c>
      <c r="B1296" s="28" t="s">
        <v>27</v>
      </c>
      <c r="C1296" s="28" t="s">
        <v>28</v>
      </c>
      <c r="D1296" s="29" t="str">
        <f t="shared" si="69"/>
        <v>Removed</v>
      </c>
      <c r="E1296" s="33">
        <v>44133.0</v>
      </c>
      <c r="F1296" s="31">
        <v>44500.0</v>
      </c>
      <c r="G1296" s="32">
        <f t="shared" si="2"/>
        <v>12.03333333</v>
      </c>
      <c r="H1296" s="33">
        <v>41869.0</v>
      </c>
      <c r="I1296" s="32">
        <f t="shared" si="3"/>
        <v>6.197222222</v>
      </c>
      <c r="J1296" s="34">
        <v>78.0</v>
      </c>
      <c r="K1296" s="34">
        <v>2.0</v>
      </c>
      <c r="L1296" s="35" t="s">
        <v>1206</v>
      </c>
      <c r="M1296" s="35"/>
      <c r="N1296" s="35"/>
      <c r="O1296" s="35"/>
      <c r="P1296" s="36"/>
      <c r="Q1296" s="35"/>
      <c r="R1296" s="29"/>
      <c r="S1296" s="33"/>
      <c r="T1296" s="32"/>
    </row>
    <row r="1297">
      <c r="A1297" s="15" t="s">
        <v>2111</v>
      </c>
      <c r="B1297" s="16" t="s">
        <v>27</v>
      </c>
      <c r="C1297" s="16" t="s">
        <v>28</v>
      </c>
      <c r="D1297" s="17" t="str">
        <f t="shared" si="69"/>
        <v>Removed</v>
      </c>
      <c r="E1297" s="18">
        <v>44133.0</v>
      </c>
      <c r="F1297" s="52">
        <v>44500.0</v>
      </c>
      <c r="G1297" s="20">
        <f t="shared" si="2"/>
        <v>12.03333333</v>
      </c>
      <c r="H1297" s="18">
        <v>41953.0</v>
      </c>
      <c r="I1297" s="20">
        <f t="shared" si="3"/>
        <v>5.969444444</v>
      </c>
      <c r="J1297" s="53">
        <v>62.0</v>
      </c>
      <c r="K1297" s="53">
        <v>2.5</v>
      </c>
      <c r="L1297" s="23" t="s">
        <v>1206</v>
      </c>
      <c r="M1297" s="23"/>
      <c r="N1297" s="23"/>
      <c r="O1297" s="23"/>
      <c r="P1297" s="54"/>
      <c r="Q1297" s="23"/>
      <c r="R1297" s="17"/>
      <c r="S1297" s="18"/>
      <c r="T1297" s="20"/>
    </row>
    <row r="1298">
      <c r="A1298" s="27" t="s">
        <v>2112</v>
      </c>
      <c r="B1298" s="28" t="s">
        <v>27</v>
      </c>
      <c r="C1298" s="28" t="s">
        <v>28</v>
      </c>
      <c r="D1298" s="29" t="str">
        <f t="shared" si="69"/>
        <v>Removed</v>
      </c>
      <c r="E1298" s="33">
        <v>44133.0</v>
      </c>
      <c r="F1298" s="31">
        <v>44500.0</v>
      </c>
      <c r="G1298" s="32">
        <f t="shared" si="2"/>
        <v>12.03333333</v>
      </c>
      <c r="H1298" s="33">
        <v>42065.0</v>
      </c>
      <c r="I1298" s="32">
        <f t="shared" si="3"/>
        <v>5.658333333</v>
      </c>
      <c r="J1298" s="34">
        <v>68.0</v>
      </c>
      <c r="K1298" s="34">
        <v>2.0</v>
      </c>
      <c r="L1298" s="35" t="s">
        <v>362</v>
      </c>
      <c r="M1298" s="35"/>
      <c r="N1298" s="35"/>
      <c r="O1298" s="35"/>
      <c r="P1298" s="36"/>
      <c r="Q1298" s="35"/>
      <c r="R1298" s="29"/>
      <c r="S1298" s="33"/>
      <c r="T1298" s="32"/>
    </row>
    <row r="1299">
      <c r="A1299" s="15" t="s">
        <v>2113</v>
      </c>
      <c r="B1299" s="16" t="s">
        <v>27</v>
      </c>
      <c r="C1299" s="16" t="s">
        <v>28</v>
      </c>
      <c r="D1299" s="17" t="str">
        <f t="shared" si="69"/>
        <v>Removed</v>
      </c>
      <c r="E1299" s="18">
        <v>44133.0</v>
      </c>
      <c r="F1299" s="52">
        <v>44500.0</v>
      </c>
      <c r="G1299" s="20">
        <f t="shared" si="2"/>
        <v>12.03333333</v>
      </c>
      <c r="H1299" s="18">
        <v>42208.0</v>
      </c>
      <c r="I1299" s="20">
        <f t="shared" si="3"/>
        <v>5.266666667</v>
      </c>
      <c r="J1299" s="53">
        <v>51.0</v>
      </c>
      <c r="K1299" s="53">
        <v>2.0</v>
      </c>
      <c r="L1299" s="23" t="s">
        <v>362</v>
      </c>
      <c r="M1299" s="23"/>
      <c r="N1299" s="23"/>
      <c r="O1299" s="23"/>
      <c r="P1299" s="54"/>
      <c r="Q1299" s="23"/>
      <c r="R1299" s="17"/>
      <c r="S1299" s="18"/>
      <c r="T1299" s="20"/>
    </row>
    <row r="1300">
      <c r="A1300" s="27" t="s">
        <v>2114</v>
      </c>
      <c r="B1300" s="28" t="s">
        <v>27</v>
      </c>
      <c r="C1300" s="28" t="s">
        <v>28</v>
      </c>
      <c r="D1300" s="29" t="str">
        <f t="shared" si="69"/>
        <v>Removed</v>
      </c>
      <c r="E1300" s="33">
        <v>44133.0</v>
      </c>
      <c r="F1300" s="31">
        <v>44500.0</v>
      </c>
      <c r="G1300" s="32">
        <f t="shared" si="2"/>
        <v>12.03333333</v>
      </c>
      <c r="H1300" s="33">
        <v>43488.0</v>
      </c>
      <c r="I1300" s="32">
        <f t="shared" si="3"/>
        <v>1.766666667</v>
      </c>
      <c r="J1300" s="34">
        <f>(77+81)/2</f>
        <v>79</v>
      </c>
      <c r="K1300" s="34">
        <v>8.0</v>
      </c>
      <c r="L1300" s="35" t="s">
        <v>1455</v>
      </c>
      <c r="M1300" s="35" t="s">
        <v>451</v>
      </c>
      <c r="N1300" s="35"/>
      <c r="O1300" s="35"/>
      <c r="P1300" s="36"/>
      <c r="Q1300" s="35"/>
      <c r="R1300" s="29"/>
      <c r="S1300" s="33"/>
      <c r="T1300" s="32"/>
    </row>
    <row r="1301">
      <c r="A1301" s="15" t="s">
        <v>2115</v>
      </c>
      <c r="B1301" s="16" t="s">
        <v>27</v>
      </c>
      <c r="C1301" s="16"/>
      <c r="D1301" s="17" t="str">
        <f t="shared" si="69"/>
        <v>Removed</v>
      </c>
      <c r="E1301" s="18">
        <v>44131.0</v>
      </c>
      <c r="F1301" s="52">
        <v>44500.0</v>
      </c>
      <c r="G1301" s="20">
        <f t="shared" si="2"/>
        <v>12.1</v>
      </c>
      <c r="H1301" s="18">
        <v>44131.0</v>
      </c>
      <c r="I1301" s="20">
        <f t="shared" si="3"/>
        <v>0</v>
      </c>
      <c r="J1301" s="53">
        <v>73.0</v>
      </c>
      <c r="K1301" s="53">
        <v>6.0</v>
      </c>
      <c r="L1301" s="23" t="s">
        <v>562</v>
      </c>
      <c r="M1301" s="23"/>
      <c r="N1301" s="23"/>
      <c r="O1301" s="23"/>
      <c r="P1301" s="54"/>
      <c r="Q1301" s="23"/>
      <c r="R1301" s="17"/>
      <c r="S1301" s="18"/>
      <c r="T1301" s="20"/>
    </row>
    <row r="1302">
      <c r="A1302" s="27" t="s">
        <v>2116</v>
      </c>
      <c r="B1302" s="28" t="s">
        <v>40</v>
      </c>
      <c r="C1302" s="28"/>
      <c r="D1302" s="29" t="str">
        <f t="shared" si="69"/>
        <v>Removed</v>
      </c>
      <c r="E1302" s="33">
        <v>44273.0</v>
      </c>
      <c r="F1302" s="31">
        <v>44492.0</v>
      </c>
      <c r="G1302" s="32">
        <f t="shared" si="2"/>
        <v>7.166666667</v>
      </c>
      <c r="H1302" s="33">
        <v>42992.0</v>
      </c>
      <c r="I1302" s="32">
        <f t="shared" si="3"/>
        <v>3.511111111</v>
      </c>
      <c r="J1302" s="101">
        <v>83.0</v>
      </c>
      <c r="K1302" s="34">
        <v>7.5</v>
      </c>
      <c r="L1302" s="35" t="s">
        <v>362</v>
      </c>
      <c r="M1302" s="35"/>
      <c r="N1302" s="35"/>
      <c r="O1302" s="35"/>
      <c r="P1302" s="36"/>
      <c r="Q1302" s="35"/>
      <c r="R1302" s="28"/>
      <c r="S1302" s="33"/>
      <c r="T1302" s="32"/>
    </row>
    <row r="1303">
      <c r="A1303" s="15" t="s">
        <v>2117</v>
      </c>
      <c r="B1303" s="16" t="s">
        <v>40</v>
      </c>
      <c r="C1303" s="16"/>
      <c r="D1303" s="17" t="str">
        <f t="shared" si="69"/>
        <v>Removed</v>
      </c>
      <c r="E1303" s="18">
        <v>44273.0</v>
      </c>
      <c r="F1303" s="52">
        <v>44492.0</v>
      </c>
      <c r="G1303" s="20">
        <f t="shared" si="2"/>
        <v>7.166666667</v>
      </c>
      <c r="H1303" s="18">
        <v>43242.0</v>
      </c>
      <c r="I1303" s="20">
        <f t="shared" si="3"/>
        <v>2.822222222</v>
      </c>
      <c r="J1303" s="53">
        <v>73.0</v>
      </c>
      <c r="K1303" s="53">
        <v>4.0</v>
      </c>
      <c r="L1303" s="23" t="s">
        <v>44</v>
      </c>
      <c r="M1303" s="23"/>
      <c r="N1303" s="23"/>
      <c r="O1303" s="23"/>
      <c r="P1303" s="54"/>
      <c r="Q1303" s="23" t="s">
        <v>1697</v>
      </c>
      <c r="R1303" s="16"/>
      <c r="S1303" s="18"/>
      <c r="T1303" s="20"/>
    </row>
    <row r="1304">
      <c r="A1304" s="67" t="s">
        <v>2118</v>
      </c>
      <c r="B1304" s="28" t="s">
        <v>40</v>
      </c>
      <c r="C1304" s="29"/>
      <c r="D1304" s="29" t="str">
        <f t="shared" si="69"/>
        <v>Removed</v>
      </c>
      <c r="E1304" s="70">
        <v>43374.0</v>
      </c>
      <c r="F1304" s="30">
        <v>44492.0</v>
      </c>
      <c r="G1304" s="32">
        <f t="shared" si="2"/>
        <v>36.73333333</v>
      </c>
      <c r="H1304" s="33">
        <v>42724.0</v>
      </c>
      <c r="I1304" s="32">
        <f t="shared" si="3"/>
        <v>1.780555556</v>
      </c>
      <c r="J1304" s="34">
        <v>76.0</v>
      </c>
      <c r="K1304" s="34">
        <v>6.0</v>
      </c>
      <c r="L1304" s="44" t="s">
        <v>44</v>
      </c>
      <c r="M1304" s="44"/>
      <c r="N1304" s="44"/>
      <c r="O1304" s="44"/>
      <c r="P1304" s="71"/>
      <c r="Q1304" s="44"/>
      <c r="R1304" s="28"/>
      <c r="S1304" s="33"/>
      <c r="T1304" s="32"/>
    </row>
    <row r="1305">
      <c r="A1305" s="15" t="s">
        <v>2119</v>
      </c>
      <c r="B1305" s="16" t="s">
        <v>1859</v>
      </c>
      <c r="C1305" s="17"/>
      <c r="D1305" s="17" t="s">
        <v>1860</v>
      </c>
      <c r="E1305" s="76">
        <v>44470.0</v>
      </c>
      <c r="F1305" s="62">
        <v>44484.0</v>
      </c>
      <c r="G1305" s="20">
        <f t="shared" si="2"/>
        <v>0.4666666667</v>
      </c>
      <c r="H1305" s="18"/>
      <c r="I1305" s="20">
        <f t="shared" si="3"/>
        <v>-4.038888889</v>
      </c>
      <c r="J1305" s="53"/>
      <c r="K1305" s="53"/>
      <c r="L1305" s="23"/>
      <c r="M1305" s="23"/>
      <c r="N1305" s="23" t="s">
        <v>1612</v>
      </c>
      <c r="O1305" s="23"/>
      <c r="P1305" s="54"/>
      <c r="Q1305" s="23"/>
      <c r="R1305" s="17"/>
      <c r="S1305" s="18"/>
      <c r="T1305" s="20"/>
    </row>
    <row r="1306">
      <c r="A1306" s="27" t="s">
        <v>2120</v>
      </c>
      <c r="B1306" s="28" t="s">
        <v>1610</v>
      </c>
      <c r="C1306" s="29"/>
      <c r="D1306" s="29" t="s">
        <v>1611</v>
      </c>
      <c r="E1306" s="70">
        <v>44455.0</v>
      </c>
      <c r="F1306" s="30">
        <v>44484.0</v>
      </c>
      <c r="G1306" s="32">
        <f t="shared" si="2"/>
        <v>0.9666666667</v>
      </c>
      <c r="H1306" s="33"/>
      <c r="I1306" s="32">
        <f t="shared" si="3"/>
        <v>-4.080555556</v>
      </c>
      <c r="J1306" s="34"/>
      <c r="K1306" s="34"/>
      <c r="L1306" s="35"/>
      <c r="M1306" s="35"/>
      <c r="N1306" s="35"/>
      <c r="O1306" s="35"/>
      <c r="P1306" s="36"/>
      <c r="Q1306" s="35"/>
      <c r="R1306" s="29"/>
      <c r="S1306" s="33"/>
      <c r="T1306" s="32"/>
    </row>
    <row r="1307">
      <c r="A1307" s="15" t="s">
        <v>2121</v>
      </c>
      <c r="B1307" s="16" t="s">
        <v>27</v>
      </c>
      <c r="C1307" s="16" t="s">
        <v>121</v>
      </c>
      <c r="D1307" s="17" t="str">
        <f t="shared" ref="D1307:D1312" si="70">IF(E1307&gt;TODAY(),"Coming Soon",IF(F1307="","Active",IF(F1307&gt;TODAY(),"Leaving Soon","Removed")))</f>
        <v>Removed</v>
      </c>
      <c r="E1307" s="18">
        <v>44127.0</v>
      </c>
      <c r="F1307" s="52">
        <v>44484.0</v>
      </c>
      <c r="G1307" s="20">
        <f t="shared" si="2"/>
        <v>11.73333333</v>
      </c>
      <c r="H1307" s="18">
        <v>44126.0</v>
      </c>
      <c r="I1307" s="20">
        <f t="shared" si="3"/>
        <v>0.002777777778</v>
      </c>
      <c r="J1307" s="53">
        <v>75.0</v>
      </c>
      <c r="K1307" s="53">
        <v>7.0</v>
      </c>
      <c r="L1307" s="23" t="s">
        <v>918</v>
      </c>
      <c r="M1307" s="23" t="s">
        <v>123</v>
      </c>
      <c r="N1307" s="23"/>
      <c r="O1307" s="23"/>
      <c r="P1307" s="54"/>
      <c r="Q1307" s="23"/>
      <c r="R1307" s="17"/>
      <c r="S1307" s="18"/>
      <c r="T1307" s="20"/>
    </row>
    <row r="1308">
      <c r="A1308" s="27" t="s">
        <v>2122</v>
      </c>
      <c r="B1308" s="28" t="s">
        <v>40</v>
      </c>
      <c r="C1308" s="28"/>
      <c r="D1308" s="29" t="str">
        <f t="shared" si="70"/>
        <v>Removed</v>
      </c>
      <c r="E1308" s="33">
        <v>44119.0</v>
      </c>
      <c r="F1308" s="31">
        <v>44484.0</v>
      </c>
      <c r="G1308" s="32">
        <f t="shared" si="2"/>
        <v>12</v>
      </c>
      <c r="H1308" s="33">
        <v>43706.0</v>
      </c>
      <c r="I1308" s="32">
        <f t="shared" si="3"/>
        <v>1.127777778</v>
      </c>
      <c r="J1308" s="34">
        <v>76.0</v>
      </c>
      <c r="K1308" s="34">
        <v>3.5</v>
      </c>
      <c r="L1308" s="35" t="s">
        <v>44</v>
      </c>
      <c r="M1308" s="35"/>
      <c r="N1308" s="35"/>
      <c r="O1308" s="35"/>
      <c r="P1308" s="36"/>
      <c r="Q1308" s="35"/>
      <c r="R1308" s="28"/>
      <c r="S1308" s="33"/>
      <c r="T1308" s="32"/>
    </row>
    <row r="1309">
      <c r="A1309" s="15" t="s">
        <v>2123</v>
      </c>
      <c r="B1309" s="16" t="s">
        <v>27</v>
      </c>
      <c r="C1309" s="16" t="s">
        <v>28</v>
      </c>
      <c r="D1309" s="17" t="str">
        <f t="shared" si="70"/>
        <v>Removed</v>
      </c>
      <c r="E1309" s="18">
        <v>44119.0</v>
      </c>
      <c r="F1309" s="52">
        <v>44484.0</v>
      </c>
      <c r="G1309" s="20">
        <f t="shared" si="2"/>
        <v>12</v>
      </c>
      <c r="H1309" s="18">
        <v>43572.0</v>
      </c>
      <c r="I1309" s="20">
        <f t="shared" si="3"/>
        <v>1.494444444</v>
      </c>
      <c r="J1309" s="53">
        <v>83.0</v>
      </c>
      <c r="K1309" s="53">
        <v>4.5</v>
      </c>
      <c r="L1309" s="23" t="s">
        <v>918</v>
      </c>
      <c r="M1309" s="23"/>
      <c r="N1309" s="23"/>
      <c r="O1309" s="23"/>
      <c r="P1309" s="54"/>
      <c r="Q1309" s="23"/>
      <c r="R1309" s="17"/>
      <c r="S1309" s="18"/>
      <c r="T1309" s="20"/>
    </row>
    <row r="1310">
      <c r="A1310" s="27" t="s">
        <v>2124</v>
      </c>
      <c r="B1310" s="28" t="s">
        <v>27</v>
      </c>
      <c r="C1310" s="28"/>
      <c r="D1310" s="29" t="str">
        <f t="shared" si="70"/>
        <v>Removed</v>
      </c>
      <c r="E1310" s="33">
        <v>44119.0</v>
      </c>
      <c r="F1310" s="31">
        <v>44484.0</v>
      </c>
      <c r="G1310" s="32">
        <f t="shared" si="2"/>
        <v>12</v>
      </c>
      <c r="H1310" s="33">
        <v>43476.0</v>
      </c>
      <c r="I1310" s="32">
        <f t="shared" si="3"/>
        <v>1.761111111</v>
      </c>
      <c r="J1310" s="34">
        <v>80.0</v>
      </c>
      <c r="K1310" s="34">
        <v>46.0</v>
      </c>
      <c r="L1310" s="35" t="s">
        <v>509</v>
      </c>
      <c r="M1310" s="35"/>
      <c r="N1310" s="35"/>
      <c r="O1310" s="35"/>
      <c r="P1310" s="36"/>
      <c r="Q1310" s="35"/>
      <c r="R1310" s="29"/>
      <c r="S1310" s="33"/>
      <c r="T1310" s="32"/>
    </row>
    <row r="1311">
      <c r="A1311" s="15" t="s">
        <v>2125</v>
      </c>
      <c r="B1311" s="16" t="s">
        <v>40</v>
      </c>
      <c r="C1311" s="16"/>
      <c r="D1311" s="17" t="str">
        <f t="shared" si="70"/>
        <v>Removed</v>
      </c>
      <c r="E1311" s="18">
        <v>44119.0</v>
      </c>
      <c r="F1311" s="52">
        <v>44484.0</v>
      </c>
      <c r="G1311" s="20">
        <f t="shared" si="2"/>
        <v>12</v>
      </c>
      <c r="H1311" s="18">
        <v>43214.0</v>
      </c>
      <c r="I1311" s="20">
        <f t="shared" si="3"/>
        <v>2.475</v>
      </c>
      <c r="J1311" s="53">
        <v>76.0</v>
      </c>
      <c r="K1311" s="53">
        <v>7.0</v>
      </c>
      <c r="L1311" s="23" t="s">
        <v>122</v>
      </c>
      <c r="M1311" s="23"/>
      <c r="N1311" s="23"/>
      <c r="O1311" s="23"/>
      <c r="P1311" s="54"/>
      <c r="Q1311" s="23"/>
      <c r="R1311" s="16"/>
      <c r="S1311" s="18"/>
      <c r="T1311" s="20"/>
    </row>
    <row r="1312">
      <c r="A1312" s="27" t="s">
        <v>1878</v>
      </c>
      <c r="B1312" s="28" t="s">
        <v>27</v>
      </c>
      <c r="C1312" s="28" t="s">
        <v>121</v>
      </c>
      <c r="D1312" s="29" t="str">
        <f t="shared" si="70"/>
        <v>Removed</v>
      </c>
      <c r="E1312" s="70">
        <v>43867.0</v>
      </c>
      <c r="F1312" s="31">
        <v>44484.0</v>
      </c>
      <c r="G1312" s="32">
        <f t="shared" si="2"/>
        <v>20.3</v>
      </c>
      <c r="H1312" s="33">
        <v>43867.0</v>
      </c>
      <c r="I1312" s="32">
        <f t="shared" si="3"/>
        <v>0</v>
      </c>
      <c r="J1312" s="34">
        <f>(75+76)/2</f>
        <v>75.5</v>
      </c>
      <c r="K1312" s="34">
        <v>2.0</v>
      </c>
      <c r="L1312" s="44" t="s">
        <v>44</v>
      </c>
      <c r="M1312" s="44"/>
      <c r="N1312" s="44"/>
      <c r="O1312" s="44"/>
      <c r="P1312" s="71"/>
      <c r="Q1312" s="44"/>
      <c r="R1312" s="29"/>
      <c r="S1312" s="33"/>
      <c r="T1312" s="32"/>
    </row>
    <row r="1313">
      <c r="A1313" s="15" t="s">
        <v>2126</v>
      </c>
      <c r="B1313" s="16" t="s">
        <v>1859</v>
      </c>
      <c r="C1313" s="17"/>
      <c r="D1313" s="17" t="s">
        <v>1860</v>
      </c>
      <c r="E1313" s="76">
        <v>44455.0</v>
      </c>
      <c r="F1313" s="62">
        <v>44469.0</v>
      </c>
      <c r="G1313" s="20">
        <f t="shared" si="2"/>
        <v>0.4666666667</v>
      </c>
      <c r="H1313" s="18"/>
      <c r="I1313" s="20">
        <f t="shared" si="3"/>
        <v>-4.080555556</v>
      </c>
      <c r="J1313" s="53"/>
      <c r="K1313" s="53"/>
      <c r="L1313" s="23"/>
      <c r="M1313" s="23"/>
      <c r="N1313" s="23" t="s">
        <v>1612</v>
      </c>
      <c r="O1313" s="23"/>
      <c r="P1313" s="54"/>
      <c r="Q1313" s="23"/>
      <c r="R1313" s="17"/>
      <c r="S1313" s="18"/>
      <c r="T1313" s="20"/>
    </row>
    <row r="1314">
      <c r="A1314" s="27" t="s">
        <v>2127</v>
      </c>
      <c r="B1314" s="28" t="s">
        <v>1610</v>
      </c>
      <c r="C1314" s="29"/>
      <c r="D1314" s="29" t="s">
        <v>1611</v>
      </c>
      <c r="E1314" s="70">
        <v>44440.0</v>
      </c>
      <c r="F1314" s="30">
        <v>44469.0</v>
      </c>
      <c r="G1314" s="32">
        <f t="shared" si="2"/>
        <v>0.9666666667</v>
      </c>
      <c r="H1314" s="33"/>
      <c r="I1314" s="32">
        <f t="shared" si="3"/>
        <v>-4.122222222</v>
      </c>
      <c r="J1314" s="34"/>
      <c r="K1314" s="34"/>
      <c r="L1314" s="35"/>
      <c r="M1314" s="35"/>
      <c r="N1314" s="35"/>
      <c r="O1314" s="35"/>
      <c r="P1314" s="36"/>
      <c r="Q1314" s="35"/>
      <c r="R1314" s="29"/>
      <c r="S1314" s="33"/>
      <c r="T1314" s="32"/>
    </row>
    <row r="1315">
      <c r="A1315" s="15" t="s">
        <v>2128</v>
      </c>
      <c r="B1315" s="16" t="s">
        <v>27</v>
      </c>
      <c r="C1315" s="16" t="s">
        <v>121</v>
      </c>
      <c r="D1315" s="17" t="str">
        <f t="shared" ref="D1315:D1318" si="71">IF(E1315&gt;TODAY(),"Coming Soon",IF(F1315="","Active",IF(F1315&gt;TODAY(),"Leaving Soon","Removed")))</f>
        <v>Removed</v>
      </c>
      <c r="E1315" s="18">
        <v>44112.0</v>
      </c>
      <c r="F1315" s="52">
        <v>44469.0</v>
      </c>
      <c r="G1315" s="20">
        <f t="shared" si="2"/>
        <v>11.73333333</v>
      </c>
      <c r="H1315" s="18">
        <v>44112.0</v>
      </c>
      <c r="I1315" s="20">
        <f t="shared" si="3"/>
        <v>0</v>
      </c>
      <c r="J1315" s="53">
        <v>74.0</v>
      </c>
      <c r="K1315" s="53">
        <v>19.0</v>
      </c>
      <c r="L1315" s="23" t="s">
        <v>29</v>
      </c>
      <c r="M1315" s="23"/>
      <c r="N1315" s="23"/>
      <c r="O1315" s="23"/>
      <c r="P1315" s="54"/>
      <c r="Q1315" s="23"/>
      <c r="R1315" s="17"/>
      <c r="S1315" s="18"/>
      <c r="T1315" s="20"/>
    </row>
    <row r="1316">
      <c r="A1316" s="27" t="s">
        <v>2129</v>
      </c>
      <c r="B1316" s="28" t="s">
        <v>40</v>
      </c>
      <c r="C1316" s="28"/>
      <c r="D1316" s="29" t="str">
        <f t="shared" si="71"/>
        <v>Removed</v>
      </c>
      <c r="E1316" s="33">
        <v>44098.0</v>
      </c>
      <c r="F1316" s="31">
        <v>44469.0</v>
      </c>
      <c r="G1316" s="32">
        <f t="shared" si="2"/>
        <v>12.2</v>
      </c>
      <c r="H1316" s="33">
        <v>42495.0</v>
      </c>
      <c r="I1316" s="32">
        <f t="shared" si="3"/>
        <v>4.386111111</v>
      </c>
      <c r="J1316" s="34">
        <v>77.0</v>
      </c>
      <c r="K1316" s="34">
        <v>5.5</v>
      </c>
      <c r="L1316" s="35" t="s">
        <v>362</v>
      </c>
      <c r="M1316" s="35"/>
      <c r="N1316" s="35"/>
      <c r="O1316" s="35"/>
      <c r="P1316" s="36"/>
      <c r="Q1316" s="35"/>
      <c r="R1316" s="28"/>
      <c r="S1316" s="33"/>
      <c r="T1316" s="32"/>
    </row>
    <row r="1317">
      <c r="A1317" s="15" t="s">
        <v>2130</v>
      </c>
      <c r="B1317" s="16" t="s">
        <v>27</v>
      </c>
      <c r="C1317" s="16" t="s">
        <v>28</v>
      </c>
      <c r="D1317" s="17" t="str">
        <f t="shared" si="71"/>
        <v>Removed</v>
      </c>
      <c r="E1317" s="18">
        <v>44098.0</v>
      </c>
      <c r="F1317" s="52">
        <v>44469.0</v>
      </c>
      <c r="G1317" s="20">
        <f t="shared" si="2"/>
        <v>12.2</v>
      </c>
      <c r="H1317" s="18">
        <v>42787.0</v>
      </c>
      <c r="I1317" s="20">
        <f t="shared" si="3"/>
        <v>3.591666667</v>
      </c>
      <c r="J1317" s="53">
        <f>(75+88)/2</f>
        <v>81.5</v>
      </c>
      <c r="K1317" s="53">
        <v>8.5</v>
      </c>
      <c r="L1317" s="23" t="s">
        <v>557</v>
      </c>
      <c r="M1317" s="23"/>
      <c r="N1317" s="23"/>
      <c r="O1317" s="23"/>
      <c r="P1317" s="54"/>
      <c r="Q1317" s="23"/>
      <c r="R1317" s="17"/>
      <c r="S1317" s="18"/>
      <c r="T1317" s="20"/>
    </row>
    <row r="1318">
      <c r="A1318" s="27" t="s">
        <v>2131</v>
      </c>
      <c r="B1318" s="28" t="s">
        <v>27</v>
      </c>
      <c r="C1318" s="28" t="s">
        <v>28</v>
      </c>
      <c r="D1318" s="29" t="str">
        <f t="shared" si="71"/>
        <v>Removed</v>
      </c>
      <c r="E1318" s="30">
        <v>44071.0</v>
      </c>
      <c r="F1318" s="31">
        <v>44469.0</v>
      </c>
      <c r="G1318" s="32">
        <f t="shared" si="2"/>
        <v>13.06666667</v>
      </c>
      <c r="H1318" s="30">
        <v>44071.0</v>
      </c>
      <c r="I1318" s="32">
        <f t="shared" si="3"/>
        <v>0</v>
      </c>
      <c r="J1318" s="34">
        <v>78.0</v>
      </c>
      <c r="K1318" s="34">
        <v>10.0</v>
      </c>
      <c r="L1318" s="35" t="s">
        <v>37</v>
      </c>
      <c r="M1318" s="35"/>
      <c r="N1318" s="35"/>
      <c r="O1318" s="35"/>
      <c r="P1318" s="36"/>
      <c r="Q1318" s="35"/>
      <c r="R1318" s="29"/>
      <c r="S1318" s="33"/>
      <c r="T1318" s="32"/>
    </row>
    <row r="1319">
      <c r="A1319" s="15" t="s">
        <v>2132</v>
      </c>
      <c r="B1319" s="16" t="s">
        <v>1859</v>
      </c>
      <c r="C1319" s="17"/>
      <c r="D1319" s="17" t="s">
        <v>1860</v>
      </c>
      <c r="E1319" s="76">
        <v>44440.0</v>
      </c>
      <c r="F1319" s="62">
        <v>44454.0</v>
      </c>
      <c r="G1319" s="20">
        <f t="shared" si="2"/>
        <v>0.4666666667</v>
      </c>
      <c r="H1319" s="18"/>
      <c r="I1319" s="20">
        <f t="shared" si="3"/>
        <v>-4.122222222</v>
      </c>
      <c r="J1319" s="53"/>
      <c r="K1319" s="53"/>
      <c r="L1319" s="23"/>
      <c r="M1319" s="23"/>
      <c r="N1319" s="23" t="s">
        <v>1612</v>
      </c>
      <c r="O1319" s="23"/>
      <c r="P1319" s="54"/>
      <c r="Q1319" s="23"/>
      <c r="R1319" s="17"/>
      <c r="S1319" s="18"/>
      <c r="T1319" s="20"/>
    </row>
    <row r="1320">
      <c r="A1320" s="27" t="s">
        <v>2133</v>
      </c>
      <c r="B1320" s="28" t="s">
        <v>1610</v>
      </c>
      <c r="C1320" s="29"/>
      <c r="D1320" s="29" t="s">
        <v>1611</v>
      </c>
      <c r="E1320" s="70">
        <v>44424.0</v>
      </c>
      <c r="F1320" s="30">
        <v>44454.0</v>
      </c>
      <c r="G1320" s="32">
        <f t="shared" si="2"/>
        <v>0.9666666667</v>
      </c>
      <c r="H1320" s="33"/>
      <c r="I1320" s="32">
        <f t="shared" si="3"/>
        <v>-4.163888889</v>
      </c>
      <c r="J1320" s="34"/>
      <c r="K1320" s="34"/>
      <c r="L1320" s="35"/>
      <c r="M1320" s="35"/>
      <c r="N1320" s="35"/>
      <c r="O1320" s="35"/>
      <c r="P1320" s="36"/>
      <c r="Q1320" s="35"/>
      <c r="R1320" s="29"/>
      <c r="S1320" s="33"/>
      <c r="T1320" s="32"/>
    </row>
    <row r="1321">
      <c r="A1321" s="15" t="s">
        <v>2134</v>
      </c>
      <c r="B1321" s="16" t="s">
        <v>27</v>
      </c>
      <c r="C1321" s="16" t="s">
        <v>28</v>
      </c>
      <c r="D1321" s="17" t="str">
        <f t="shared" ref="D1321:D1333" si="72">IF(E1321&gt;TODAY(),"Coming Soon",IF(F1321="","Active",IF(F1321&gt;TODAY(),"Leaving Soon","Removed")))</f>
        <v>Removed</v>
      </c>
      <c r="E1321" s="18">
        <v>44112.0</v>
      </c>
      <c r="F1321" s="52">
        <v>44454.0</v>
      </c>
      <c r="G1321" s="20">
        <f t="shared" si="2"/>
        <v>11.23333333</v>
      </c>
      <c r="H1321" s="18">
        <v>43021.0</v>
      </c>
      <c r="I1321" s="20">
        <f t="shared" si="3"/>
        <v>2.986111111</v>
      </c>
      <c r="J1321" s="53">
        <f>(82+86)/2</f>
        <v>84</v>
      </c>
      <c r="K1321" s="53">
        <v>29.5</v>
      </c>
      <c r="L1321" s="23" t="s">
        <v>500</v>
      </c>
      <c r="M1321" s="23"/>
      <c r="N1321" s="23"/>
      <c r="O1321" s="23"/>
      <c r="P1321" s="54"/>
      <c r="Q1321" s="23"/>
      <c r="R1321" s="17"/>
      <c r="S1321" s="18"/>
      <c r="T1321" s="20"/>
    </row>
    <row r="1322">
      <c r="A1322" s="27" t="s">
        <v>2135</v>
      </c>
      <c r="B1322" s="28" t="s">
        <v>40</v>
      </c>
      <c r="C1322" s="28"/>
      <c r="D1322" s="29" t="str">
        <f t="shared" si="72"/>
        <v>Removed</v>
      </c>
      <c r="E1322" s="33">
        <v>44091.0</v>
      </c>
      <c r="F1322" s="31">
        <v>44454.0</v>
      </c>
      <c r="G1322" s="32">
        <f t="shared" si="2"/>
        <v>11.93333333</v>
      </c>
      <c r="H1322" s="33">
        <v>41450.0</v>
      </c>
      <c r="I1322" s="32">
        <f t="shared" si="3"/>
        <v>7.227777778</v>
      </c>
      <c r="J1322" s="34">
        <v>80.0</v>
      </c>
      <c r="K1322" s="34">
        <v>15.0</v>
      </c>
      <c r="L1322" s="35" t="s">
        <v>726</v>
      </c>
      <c r="M1322" s="35"/>
      <c r="N1322" s="35"/>
      <c r="O1322" s="35"/>
      <c r="P1322" s="36"/>
      <c r="Q1322" s="35"/>
      <c r="R1322" s="28"/>
      <c r="S1322" s="33"/>
      <c r="T1322" s="32"/>
    </row>
    <row r="1323">
      <c r="A1323" s="15" t="s">
        <v>2136</v>
      </c>
      <c r="B1323" s="16" t="s">
        <v>40</v>
      </c>
      <c r="C1323" s="17"/>
      <c r="D1323" s="17" t="str">
        <f t="shared" si="72"/>
        <v>Removed</v>
      </c>
      <c r="E1323" s="18">
        <v>44084.0</v>
      </c>
      <c r="F1323" s="52">
        <v>44454.0</v>
      </c>
      <c r="G1323" s="20">
        <f t="shared" si="2"/>
        <v>12.16666667</v>
      </c>
      <c r="H1323" s="18">
        <v>43767.0</v>
      </c>
      <c r="I1323" s="20">
        <f t="shared" si="3"/>
        <v>0.8638888889</v>
      </c>
      <c r="J1323" s="53">
        <v>84.0</v>
      </c>
      <c r="K1323" s="53">
        <v>35.5</v>
      </c>
      <c r="L1323" s="23" t="s">
        <v>567</v>
      </c>
      <c r="M1323" s="23"/>
      <c r="N1323" s="23"/>
      <c r="O1323" s="23"/>
      <c r="P1323" s="54"/>
      <c r="Q1323" s="23"/>
      <c r="R1323" s="16"/>
      <c r="S1323" s="18"/>
      <c r="T1323" s="20"/>
    </row>
    <row r="1324">
      <c r="A1324" s="27" t="s">
        <v>2137</v>
      </c>
      <c r="B1324" s="28" t="s">
        <v>68</v>
      </c>
      <c r="C1324" s="28" t="s">
        <v>121</v>
      </c>
      <c r="D1324" s="29" t="str">
        <f t="shared" si="72"/>
        <v>Removed</v>
      </c>
      <c r="E1324" s="30">
        <v>44084.0</v>
      </c>
      <c r="F1324" s="31">
        <v>44454.0</v>
      </c>
      <c r="G1324" s="32">
        <f t="shared" si="2"/>
        <v>12.16666667</v>
      </c>
      <c r="H1324" s="30">
        <v>44084.0</v>
      </c>
      <c r="I1324" s="32">
        <f t="shared" si="3"/>
        <v>0</v>
      </c>
      <c r="J1324" s="34">
        <v>77.0</v>
      </c>
      <c r="K1324" s="34">
        <v>1.0</v>
      </c>
      <c r="L1324" s="35" t="s">
        <v>500</v>
      </c>
      <c r="M1324" s="35"/>
      <c r="N1324" s="35"/>
      <c r="O1324" s="35"/>
      <c r="P1324" s="36"/>
      <c r="Q1324" s="35"/>
      <c r="R1324" s="29"/>
      <c r="S1324" s="33"/>
      <c r="T1324" s="32"/>
    </row>
    <row r="1325">
      <c r="A1325" s="15" t="s">
        <v>2138</v>
      </c>
      <c r="B1325" s="16" t="s">
        <v>27</v>
      </c>
      <c r="C1325" s="16" t="s">
        <v>121</v>
      </c>
      <c r="D1325" s="17" t="str">
        <f t="shared" si="72"/>
        <v>Removed</v>
      </c>
      <c r="E1325" s="62">
        <v>44084.0</v>
      </c>
      <c r="F1325" s="52">
        <v>44454.0</v>
      </c>
      <c r="G1325" s="20">
        <f t="shared" si="2"/>
        <v>12.16666667</v>
      </c>
      <c r="H1325" s="18">
        <v>43865.0</v>
      </c>
      <c r="I1325" s="20">
        <f t="shared" si="3"/>
        <v>0.6</v>
      </c>
      <c r="J1325" s="53">
        <f>(58+67)/2</f>
        <v>62.5</v>
      </c>
      <c r="K1325" s="53">
        <v>19.0</v>
      </c>
      <c r="L1325" s="23" t="s">
        <v>119</v>
      </c>
      <c r="M1325" s="23"/>
      <c r="N1325" s="23"/>
      <c r="O1325" s="23"/>
      <c r="P1325" s="54"/>
      <c r="Q1325" s="23"/>
      <c r="R1325" s="17"/>
      <c r="S1325" s="18"/>
      <c r="T1325" s="20"/>
    </row>
    <row r="1326">
      <c r="A1326" s="27" t="s">
        <v>2139</v>
      </c>
      <c r="B1326" s="28" t="s">
        <v>68</v>
      </c>
      <c r="C1326" s="28" t="s">
        <v>28</v>
      </c>
      <c r="D1326" s="29" t="str">
        <f t="shared" si="72"/>
        <v>Removed</v>
      </c>
      <c r="E1326" s="30">
        <v>44000.0</v>
      </c>
      <c r="F1326" s="31">
        <v>44454.0</v>
      </c>
      <c r="G1326" s="32">
        <f t="shared" si="2"/>
        <v>14.9</v>
      </c>
      <c r="H1326" s="33">
        <v>43396.0</v>
      </c>
      <c r="I1326" s="32">
        <f t="shared" si="3"/>
        <v>1.652777778</v>
      </c>
      <c r="J1326" s="34">
        <v>85.0</v>
      </c>
      <c r="K1326" s="34">
        <v>26.0</v>
      </c>
      <c r="L1326" s="35" t="s">
        <v>604</v>
      </c>
      <c r="M1326" s="35"/>
      <c r="N1326" s="35"/>
      <c r="O1326" s="35"/>
      <c r="P1326" s="36"/>
      <c r="Q1326" s="35"/>
      <c r="R1326" s="29"/>
      <c r="S1326" s="33"/>
      <c r="T1326" s="32"/>
    </row>
    <row r="1327">
      <c r="A1327" s="15" t="s">
        <v>2140</v>
      </c>
      <c r="B1327" s="16" t="s">
        <v>68</v>
      </c>
      <c r="C1327" s="16" t="s">
        <v>28</v>
      </c>
      <c r="D1327" s="17" t="str">
        <f t="shared" si="72"/>
        <v>Removed</v>
      </c>
      <c r="E1327" s="18">
        <v>44329.0</v>
      </c>
      <c r="F1327" s="52">
        <v>44452.0</v>
      </c>
      <c r="G1327" s="20">
        <f t="shared" si="2"/>
        <v>4</v>
      </c>
      <c r="H1327" s="18">
        <v>43431.0</v>
      </c>
      <c r="I1327" s="20">
        <f t="shared" si="3"/>
        <v>2.461111111</v>
      </c>
      <c r="J1327" s="53">
        <v>85.0</v>
      </c>
      <c r="K1327" s="53">
        <v>8.0</v>
      </c>
      <c r="L1327" s="43" t="s">
        <v>444</v>
      </c>
      <c r="M1327" s="43"/>
      <c r="N1327" s="43"/>
      <c r="O1327" s="43"/>
      <c r="P1327" s="66"/>
      <c r="Q1327" s="43"/>
      <c r="R1327" s="17"/>
      <c r="S1327" s="18"/>
      <c r="T1327" s="20"/>
    </row>
    <row r="1328">
      <c r="A1328" s="27" t="s">
        <v>2141</v>
      </c>
      <c r="B1328" s="28" t="s">
        <v>40</v>
      </c>
      <c r="C1328" s="28"/>
      <c r="D1328" s="29" t="str">
        <f t="shared" si="72"/>
        <v>Removed</v>
      </c>
      <c r="E1328" s="33">
        <v>44273.0</v>
      </c>
      <c r="F1328" s="31">
        <v>44448.0</v>
      </c>
      <c r="G1328" s="32">
        <f t="shared" si="2"/>
        <v>5.7</v>
      </c>
      <c r="H1328" s="33">
        <v>43056.0</v>
      </c>
      <c r="I1328" s="32">
        <f t="shared" si="3"/>
        <v>3.336111111</v>
      </c>
      <c r="J1328" s="34">
        <v>76.0</v>
      </c>
      <c r="K1328" s="34">
        <v>9.5</v>
      </c>
      <c r="L1328" s="35" t="s">
        <v>299</v>
      </c>
      <c r="M1328" s="35"/>
      <c r="N1328" s="35"/>
      <c r="O1328" s="35"/>
      <c r="P1328" s="36"/>
      <c r="Q1328" s="35"/>
      <c r="R1328" s="28"/>
      <c r="S1328" s="33"/>
      <c r="T1328" s="32"/>
    </row>
    <row r="1329">
      <c r="A1329" s="15" t="s">
        <v>2142</v>
      </c>
      <c r="B1329" s="16" t="s">
        <v>40</v>
      </c>
      <c r="C1329" s="16"/>
      <c r="D1329" s="17" t="str">
        <f t="shared" si="72"/>
        <v>Removed</v>
      </c>
      <c r="E1329" s="18">
        <v>44273.0</v>
      </c>
      <c r="F1329" s="52">
        <v>44448.0</v>
      </c>
      <c r="G1329" s="20">
        <f t="shared" si="2"/>
        <v>5.7</v>
      </c>
      <c r="H1329" s="18">
        <v>38657.0</v>
      </c>
      <c r="I1329" s="20">
        <f t="shared" si="3"/>
        <v>15.38055556</v>
      </c>
      <c r="J1329" s="53">
        <v>78.0</v>
      </c>
      <c r="K1329" s="53">
        <v>7.5</v>
      </c>
      <c r="L1329" s="23" t="s">
        <v>675</v>
      </c>
      <c r="M1329" s="23"/>
      <c r="N1329" s="23"/>
      <c r="O1329" s="23"/>
      <c r="P1329" s="54"/>
      <c r="Q1329" s="23"/>
      <c r="R1329" s="16"/>
      <c r="S1329" s="18"/>
      <c r="T1329" s="20"/>
    </row>
    <row r="1330">
      <c r="A1330" s="27" t="s">
        <v>2143</v>
      </c>
      <c r="B1330" s="28" t="s">
        <v>40</v>
      </c>
      <c r="C1330" s="28"/>
      <c r="D1330" s="29" t="str">
        <f t="shared" si="72"/>
        <v>Removed</v>
      </c>
      <c r="E1330" s="33">
        <v>44273.0</v>
      </c>
      <c r="F1330" s="31">
        <v>44448.0</v>
      </c>
      <c r="G1330" s="32">
        <f t="shared" si="2"/>
        <v>5.7</v>
      </c>
      <c r="H1330" s="33">
        <v>38411.0</v>
      </c>
      <c r="I1330" s="32">
        <f t="shared" si="3"/>
        <v>16.05555556</v>
      </c>
      <c r="J1330" s="34">
        <v>78.0</v>
      </c>
      <c r="K1330" s="34">
        <v>9.0</v>
      </c>
      <c r="L1330" s="35" t="s">
        <v>184</v>
      </c>
      <c r="M1330" s="35"/>
      <c r="N1330" s="35"/>
      <c r="O1330" s="35"/>
      <c r="P1330" s="36"/>
      <c r="Q1330" s="35"/>
      <c r="R1330" s="28"/>
      <c r="S1330" s="33"/>
      <c r="T1330" s="32"/>
    </row>
    <row r="1331">
      <c r="A1331" s="64" t="s">
        <v>2072</v>
      </c>
      <c r="B1331" s="17" t="s">
        <v>40</v>
      </c>
      <c r="C1331" s="16" t="s">
        <v>28</v>
      </c>
      <c r="D1331" s="17" t="str">
        <f t="shared" si="72"/>
        <v>Removed</v>
      </c>
      <c r="E1331" s="76">
        <v>43795.0</v>
      </c>
      <c r="F1331" s="52">
        <v>44448.0</v>
      </c>
      <c r="G1331" s="20">
        <f t="shared" si="2"/>
        <v>21.43333333</v>
      </c>
      <c r="H1331" s="18">
        <v>42968.0</v>
      </c>
      <c r="I1331" s="20">
        <f t="shared" si="3"/>
        <v>2.263888889</v>
      </c>
      <c r="J1331" s="53">
        <v>75.0</v>
      </c>
      <c r="K1331" s="53">
        <v>33.0</v>
      </c>
      <c r="L1331" s="43" t="s">
        <v>522</v>
      </c>
      <c r="M1331" s="43"/>
      <c r="N1331" s="43"/>
      <c r="O1331" s="43"/>
      <c r="P1331" s="66"/>
      <c r="Q1331" s="43"/>
      <c r="R1331" s="16"/>
      <c r="S1331" s="18"/>
      <c r="T1331" s="20"/>
    </row>
    <row r="1332">
      <c r="A1332" s="67" t="s">
        <v>2144</v>
      </c>
      <c r="B1332" s="28" t="s">
        <v>40</v>
      </c>
      <c r="C1332" s="28" t="s">
        <v>28</v>
      </c>
      <c r="D1332" s="29" t="str">
        <f t="shared" si="72"/>
        <v>Removed</v>
      </c>
      <c r="E1332" s="70">
        <v>43790.0</v>
      </c>
      <c r="F1332" s="31">
        <v>44448.0</v>
      </c>
      <c r="G1332" s="32">
        <f t="shared" si="2"/>
        <v>21.6</v>
      </c>
      <c r="H1332" s="33">
        <v>43613.0</v>
      </c>
      <c r="I1332" s="32">
        <f t="shared" si="3"/>
        <v>0.4805555556</v>
      </c>
      <c r="J1332" s="69">
        <v>66.0</v>
      </c>
      <c r="K1332" s="34">
        <v>19.0</v>
      </c>
      <c r="L1332" s="44" t="s">
        <v>37</v>
      </c>
      <c r="M1332" s="44"/>
      <c r="N1332" s="44"/>
      <c r="O1332" s="44"/>
      <c r="P1332" s="71"/>
      <c r="Q1332" s="44"/>
      <c r="R1332" s="28"/>
      <c r="S1332" s="33"/>
      <c r="T1332" s="32"/>
    </row>
    <row r="1333">
      <c r="A1333" s="15" t="s">
        <v>2133</v>
      </c>
      <c r="B1333" s="16" t="s">
        <v>40</v>
      </c>
      <c r="C1333" s="17"/>
      <c r="D1333" s="17" t="str">
        <f t="shared" si="72"/>
        <v>Removed</v>
      </c>
      <c r="E1333" s="76">
        <v>43748.0</v>
      </c>
      <c r="F1333" s="52">
        <v>44448.0</v>
      </c>
      <c r="G1333" s="20">
        <f t="shared" si="2"/>
        <v>22.96666667</v>
      </c>
      <c r="H1333" s="18">
        <v>42836.0</v>
      </c>
      <c r="I1333" s="20">
        <f t="shared" si="3"/>
        <v>2.497222222</v>
      </c>
      <c r="J1333" s="53">
        <v>75.0</v>
      </c>
      <c r="K1333" s="53">
        <v>15.0</v>
      </c>
      <c r="L1333" s="43" t="s">
        <v>557</v>
      </c>
      <c r="M1333" s="43"/>
      <c r="N1333" s="43"/>
      <c r="O1333" s="43"/>
      <c r="P1333" s="66"/>
      <c r="Q1333" s="43"/>
      <c r="R1333" s="16"/>
      <c r="S1333" s="18"/>
      <c r="T1333" s="20"/>
    </row>
    <row r="1334">
      <c r="A1334" s="27" t="s">
        <v>2145</v>
      </c>
      <c r="B1334" s="28" t="s">
        <v>1859</v>
      </c>
      <c r="C1334" s="29"/>
      <c r="D1334" s="29" t="s">
        <v>1860</v>
      </c>
      <c r="E1334" s="70">
        <v>44424.0</v>
      </c>
      <c r="F1334" s="30">
        <v>44439.0</v>
      </c>
      <c r="G1334" s="32">
        <f t="shared" si="2"/>
        <v>0.4666666667</v>
      </c>
      <c r="H1334" s="33"/>
      <c r="I1334" s="32">
        <f t="shared" si="3"/>
        <v>-4.163888889</v>
      </c>
      <c r="J1334" s="34"/>
      <c r="K1334" s="34"/>
      <c r="L1334" s="35"/>
      <c r="M1334" s="35"/>
      <c r="N1334" s="35" t="s">
        <v>1612</v>
      </c>
      <c r="O1334" s="35"/>
      <c r="P1334" s="36"/>
      <c r="Q1334" s="35"/>
      <c r="R1334" s="29"/>
      <c r="S1334" s="33"/>
      <c r="T1334" s="32"/>
    </row>
    <row r="1335">
      <c r="A1335" s="15" t="s">
        <v>2146</v>
      </c>
      <c r="B1335" s="16" t="s">
        <v>1610</v>
      </c>
      <c r="C1335" s="17"/>
      <c r="D1335" s="17" t="s">
        <v>1611</v>
      </c>
      <c r="E1335" s="76">
        <v>44409.0</v>
      </c>
      <c r="F1335" s="62">
        <v>44439.0</v>
      </c>
      <c r="G1335" s="20">
        <f t="shared" si="2"/>
        <v>0.9666666667</v>
      </c>
      <c r="H1335" s="18"/>
      <c r="I1335" s="20">
        <f t="shared" si="3"/>
        <v>-4.205555556</v>
      </c>
      <c r="J1335" s="53"/>
      <c r="K1335" s="53"/>
      <c r="L1335" s="23"/>
      <c r="M1335" s="23"/>
      <c r="N1335" s="23" t="s">
        <v>1612</v>
      </c>
      <c r="O1335" s="23"/>
      <c r="P1335" s="54"/>
      <c r="Q1335" s="23"/>
      <c r="R1335" s="17"/>
      <c r="S1335" s="18"/>
      <c r="T1335" s="20"/>
    </row>
    <row r="1336">
      <c r="A1336" s="27" t="s">
        <v>2147</v>
      </c>
      <c r="B1336" s="28" t="s">
        <v>68</v>
      </c>
      <c r="C1336" s="28" t="s">
        <v>28</v>
      </c>
      <c r="D1336" s="29" t="str">
        <f t="shared" ref="D1336:D1349" si="73">IF(E1336&gt;TODAY(),"Coming Soon",IF(F1336="","Active",IF(F1336&gt;TODAY(),"Leaving Soon","Removed")))</f>
        <v>Removed</v>
      </c>
      <c r="E1336" s="33">
        <v>44259.0</v>
      </c>
      <c r="F1336" s="31">
        <v>44439.0</v>
      </c>
      <c r="G1336" s="32">
        <f t="shared" si="2"/>
        <v>5.866666667</v>
      </c>
      <c r="H1336" s="33">
        <v>44078.0</v>
      </c>
      <c r="I1336" s="32">
        <f t="shared" si="3"/>
        <v>0.5</v>
      </c>
      <c r="J1336" s="34">
        <f>(67+80)/2</f>
        <v>73.5</v>
      </c>
      <c r="K1336" s="34">
        <v>50.5</v>
      </c>
      <c r="L1336" s="35" t="s">
        <v>922</v>
      </c>
      <c r="M1336" s="35"/>
      <c r="N1336" s="35"/>
      <c r="O1336" s="35"/>
      <c r="P1336" s="36"/>
      <c r="Q1336" s="35"/>
      <c r="R1336" s="29"/>
      <c r="S1336" s="33"/>
      <c r="T1336" s="32"/>
    </row>
    <row r="1337">
      <c r="A1337" s="15" t="s">
        <v>1843</v>
      </c>
      <c r="B1337" s="16" t="s">
        <v>27</v>
      </c>
      <c r="C1337" s="16" t="s">
        <v>121</v>
      </c>
      <c r="D1337" s="17" t="str">
        <f t="shared" si="73"/>
        <v>Removed</v>
      </c>
      <c r="E1337" s="62">
        <v>44070.0</v>
      </c>
      <c r="F1337" s="52">
        <v>44439.0</v>
      </c>
      <c r="G1337" s="20">
        <f t="shared" si="2"/>
        <v>12.1</v>
      </c>
      <c r="H1337" s="18">
        <v>44056.0</v>
      </c>
      <c r="I1337" s="20">
        <f t="shared" si="3"/>
        <v>0.03888888889</v>
      </c>
      <c r="J1337" s="53">
        <v>76.0</v>
      </c>
      <c r="K1337" s="53">
        <v>3.0</v>
      </c>
      <c r="L1337" s="23" t="s">
        <v>2148</v>
      </c>
      <c r="M1337" s="23"/>
      <c r="N1337" s="23"/>
      <c r="O1337" s="23"/>
      <c r="P1337" s="54"/>
      <c r="Q1337" s="23"/>
      <c r="R1337" s="17"/>
      <c r="S1337" s="18"/>
      <c r="T1337" s="20"/>
    </row>
    <row r="1338">
      <c r="A1338" s="67" t="s">
        <v>2149</v>
      </c>
      <c r="B1338" s="28" t="s">
        <v>27</v>
      </c>
      <c r="C1338" s="28" t="s">
        <v>121</v>
      </c>
      <c r="D1338" s="29" t="str">
        <f t="shared" si="73"/>
        <v>Removed</v>
      </c>
      <c r="E1338" s="70">
        <v>43928.0</v>
      </c>
      <c r="F1338" s="31">
        <v>44439.0</v>
      </c>
      <c r="G1338" s="32">
        <f t="shared" si="2"/>
        <v>16.76666667</v>
      </c>
      <c r="H1338" s="33">
        <v>43650.0</v>
      </c>
      <c r="I1338" s="32">
        <f t="shared" si="3"/>
        <v>0.7583333333</v>
      </c>
      <c r="J1338" s="69">
        <v>62.0</v>
      </c>
      <c r="K1338" s="34">
        <v>8.5</v>
      </c>
      <c r="L1338" s="44" t="s">
        <v>1576</v>
      </c>
      <c r="M1338" s="44"/>
      <c r="N1338" s="44"/>
      <c r="O1338" s="44"/>
      <c r="P1338" s="71"/>
      <c r="Q1338" s="44"/>
      <c r="R1338" s="29"/>
      <c r="S1338" s="33"/>
      <c r="T1338" s="32"/>
    </row>
    <row r="1339">
      <c r="A1339" s="64" t="s">
        <v>2150</v>
      </c>
      <c r="B1339" s="16" t="s">
        <v>27</v>
      </c>
      <c r="C1339" s="16" t="s">
        <v>28</v>
      </c>
      <c r="D1339" s="17" t="str">
        <f t="shared" si="73"/>
        <v>Removed</v>
      </c>
      <c r="E1339" s="76">
        <v>43707.0</v>
      </c>
      <c r="F1339" s="52">
        <v>44439.0</v>
      </c>
      <c r="G1339" s="20">
        <f t="shared" si="2"/>
        <v>24</v>
      </c>
      <c r="H1339" s="18">
        <v>43707.0</v>
      </c>
      <c r="I1339" s="20">
        <f t="shared" si="3"/>
        <v>0</v>
      </c>
      <c r="J1339" s="65">
        <v>66.0</v>
      </c>
      <c r="K1339" s="53">
        <v>5.0</v>
      </c>
      <c r="L1339" s="43" t="s">
        <v>362</v>
      </c>
      <c r="M1339" s="43"/>
      <c r="N1339" s="43"/>
      <c r="O1339" s="43"/>
      <c r="P1339" s="66"/>
      <c r="Q1339" s="43"/>
      <c r="R1339" s="17"/>
      <c r="S1339" s="18"/>
      <c r="T1339" s="20"/>
    </row>
    <row r="1340">
      <c r="A1340" s="27" t="s">
        <v>2151</v>
      </c>
      <c r="B1340" s="28" t="s">
        <v>40</v>
      </c>
      <c r="C1340" s="28"/>
      <c r="D1340" s="29" t="str">
        <f t="shared" si="73"/>
        <v>Removed</v>
      </c>
      <c r="E1340" s="33">
        <v>44273.0</v>
      </c>
      <c r="F1340" s="31">
        <v>44428.0</v>
      </c>
      <c r="G1340" s="32">
        <f t="shared" si="2"/>
        <v>5.066666667</v>
      </c>
      <c r="H1340" s="33">
        <v>42941.0</v>
      </c>
      <c r="I1340" s="32">
        <f t="shared" si="3"/>
        <v>3.647222222</v>
      </c>
      <c r="J1340" s="34">
        <v>82.0</v>
      </c>
      <c r="K1340" s="34">
        <v>11.0</v>
      </c>
      <c r="L1340" s="35" t="s">
        <v>29</v>
      </c>
      <c r="M1340" s="35"/>
      <c r="N1340" s="35"/>
      <c r="O1340" s="35"/>
      <c r="P1340" s="36"/>
      <c r="Q1340" s="35" t="s">
        <v>1697</v>
      </c>
      <c r="R1340" s="28"/>
      <c r="S1340" s="33"/>
      <c r="T1340" s="32"/>
    </row>
    <row r="1341">
      <c r="A1341" s="15" t="s">
        <v>2152</v>
      </c>
      <c r="B1341" s="16" t="s">
        <v>40</v>
      </c>
      <c r="C1341" s="16"/>
      <c r="D1341" s="17" t="str">
        <f t="shared" si="73"/>
        <v>Removed</v>
      </c>
      <c r="E1341" s="18">
        <v>44273.0</v>
      </c>
      <c r="F1341" s="52">
        <v>44428.0</v>
      </c>
      <c r="G1341" s="20">
        <f t="shared" si="2"/>
        <v>5.066666667</v>
      </c>
      <c r="H1341" s="18">
        <v>40953.0</v>
      </c>
      <c r="I1341" s="20">
        <f t="shared" si="3"/>
        <v>9.094444444</v>
      </c>
      <c r="J1341" s="53">
        <v>68.0</v>
      </c>
      <c r="K1341" s="53">
        <v>1.5</v>
      </c>
      <c r="L1341" s="23" t="s">
        <v>362</v>
      </c>
      <c r="M1341" s="23"/>
      <c r="N1341" s="23"/>
      <c r="O1341" s="23"/>
      <c r="P1341" s="54"/>
      <c r="Q1341" s="23"/>
      <c r="R1341" s="16"/>
      <c r="S1341" s="18"/>
      <c r="T1341" s="20"/>
    </row>
    <row r="1342">
      <c r="A1342" s="27" t="s">
        <v>2153</v>
      </c>
      <c r="B1342" s="28" t="s">
        <v>40</v>
      </c>
      <c r="C1342" s="28"/>
      <c r="D1342" s="29" t="str">
        <f t="shared" si="73"/>
        <v>Removed</v>
      </c>
      <c r="E1342" s="33">
        <v>44273.0</v>
      </c>
      <c r="F1342" s="31">
        <v>44428.0</v>
      </c>
      <c r="G1342" s="32">
        <f t="shared" si="2"/>
        <v>5.066666667</v>
      </c>
      <c r="H1342" s="33">
        <v>43298.0</v>
      </c>
      <c r="I1342" s="32">
        <f t="shared" si="3"/>
        <v>2.669444444</v>
      </c>
      <c r="J1342" s="34">
        <v>75.0</v>
      </c>
      <c r="K1342" s="34">
        <v>15.0</v>
      </c>
      <c r="L1342" s="35" t="s">
        <v>2154</v>
      </c>
      <c r="M1342" s="35"/>
      <c r="N1342" s="35"/>
      <c r="O1342" s="35"/>
      <c r="P1342" s="36"/>
      <c r="Q1342" s="35"/>
      <c r="R1342" s="28"/>
      <c r="S1342" s="33"/>
      <c r="T1342" s="32"/>
    </row>
    <row r="1343">
      <c r="A1343" s="15" t="s">
        <v>2155</v>
      </c>
      <c r="B1343" s="16" t="s">
        <v>40</v>
      </c>
      <c r="C1343" s="16"/>
      <c r="D1343" s="17" t="str">
        <f t="shared" si="73"/>
        <v>Removed</v>
      </c>
      <c r="E1343" s="18">
        <v>44273.0</v>
      </c>
      <c r="F1343" s="52">
        <v>44428.0</v>
      </c>
      <c r="G1343" s="20">
        <f t="shared" si="2"/>
        <v>5.066666667</v>
      </c>
      <c r="H1343" s="18">
        <v>42906.0</v>
      </c>
      <c r="I1343" s="20">
        <f t="shared" si="3"/>
        <v>3.744444444</v>
      </c>
      <c r="J1343" s="53">
        <v>84.0</v>
      </c>
      <c r="K1343" s="53">
        <v>1.5</v>
      </c>
      <c r="L1343" s="23" t="s">
        <v>2156</v>
      </c>
      <c r="M1343" s="23"/>
      <c r="N1343" s="23"/>
      <c r="O1343" s="23"/>
      <c r="P1343" s="54"/>
      <c r="Q1343" s="23"/>
      <c r="R1343" s="16"/>
      <c r="S1343" s="18"/>
      <c r="T1343" s="20"/>
    </row>
    <row r="1344">
      <c r="A1344" s="27" t="s">
        <v>2157</v>
      </c>
      <c r="B1344" s="28" t="s">
        <v>40</v>
      </c>
      <c r="C1344" s="28"/>
      <c r="D1344" s="29" t="str">
        <f t="shared" si="73"/>
        <v>Removed</v>
      </c>
      <c r="E1344" s="33">
        <v>44273.0</v>
      </c>
      <c r="F1344" s="31">
        <v>44428.0</v>
      </c>
      <c r="G1344" s="32">
        <f t="shared" si="2"/>
        <v>5.066666667</v>
      </c>
      <c r="H1344" s="33">
        <v>42906.0</v>
      </c>
      <c r="I1344" s="32">
        <f t="shared" si="3"/>
        <v>3.744444444</v>
      </c>
      <c r="J1344" s="34">
        <v>81.0</v>
      </c>
      <c r="K1344" s="34">
        <v>8.0</v>
      </c>
      <c r="L1344" s="35" t="s">
        <v>2156</v>
      </c>
      <c r="M1344" s="35"/>
      <c r="N1344" s="35"/>
      <c r="O1344" s="35"/>
      <c r="P1344" s="36"/>
      <c r="Q1344" s="35"/>
      <c r="R1344" s="28"/>
      <c r="S1344" s="33"/>
      <c r="T1344" s="32"/>
    </row>
    <row r="1345">
      <c r="A1345" s="15" t="s">
        <v>2158</v>
      </c>
      <c r="B1345" s="16" t="s">
        <v>40</v>
      </c>
      <c r="C1345" s="16"/>
      <c r="D1345" s="17" t="str">
        <f t="shared" si="73"/>
        <v>Removed</v>
      </c>
      <c r="E1345" s="18">
        <v>44273.0</v>
      </c>
      <c r="F1345" s="52">
        <v>44428.0</v>
      </c>
      <c r="G1345" s="20">
        <f t="shared" si="2"/>
        <v>5.066666667</v>
      </c>
      <c r="H1345" s="18">
        <v>42249.0</v>
      </c>
      <c r="I1345" s="20">
        <f t="shared" si="3"/>
        <v>5.544444444</v>
      </c>
      <c r="J1345" s="53">
        <v>72.0</v>
      </c>
      <c r="K1345" s="53">
        <v>5.5</v>
      </c>
      <c r="L1345" s="23" t="s">
        <v>119</v>
      </c>
      <c r="M1345" s="23"/>
      <c r="N1345" s="23"/>
      <c r="O1345" s="23"/>
      <c r="P1345" s="54"/>
      <c r="Q1345" s="23"/>
      <c r="R1345" s="16"/>
      <c r="S1345" s="18"/>
      <c r="T1345" s="20"/>
    </row>
    <row r="1346">
      <c r="A1346" s="27" t="s">
        <v>2159</v>
      </c>
      <c r="B1346" s="28" t="s">
        <v>40</v>
      </c>
      <c r="C1346" s="28"/>
      <c r="D1346" s="29" t="str">
        <f t="shared" si="73"/>
        <v>Removed</v>
      </c>
      <c r="E1346" s="33">
        <v>44273.0</v>
      </c>
      <c r="F1346" s="31">
        <v>44428.0</v>
      </c>
      <c r="G1346" s="32">
        <f t="shared" si="2"/>
        <v>5.066666667</v>
      </c>
      <c r="H1346" s="33">
        <v>42048.0</v>
      </c>
      <c r="I1346" s="32">
        <f t="shared" si="3"/>
        <v>6.097222222</v>
      </c>
      <c r="J1346" s="34">
        <v>71.0</v>
      </c>
      <c r="K1346" s="34">
        <v>19.0</v>
      </c>
      <c r="L1346" s="35" t="s">
        <v>522</v>
      </c>
      <c r="M1346" s="35"/>
      <c r="N1346" s="35"/>
      <c r="O1346" s="35"/>
      <c r="P1346" s="36"/>
      <c r="Q1346" s="35"/>
      <c r="R1346" s="28"/>
      <c r="S1346" s="33"/>
      <c r="T1346" s="32"/>
    </row>
    <row r="1347">
      <c r="A1347" s="15" t="s">
        <v>2160</v>
      </c>
      <c r="B1347" s="16" t="s">
        <v>27</v>
      </c>
      <c r="C1347" s="16"/>
      <c r="D1347" s="17" t="str">
        <f t="shared" si="73"/>
        <v>Removed</v>
      </c>
      <c r="E1347" s="18">
        <v>44145.0</v>
      </c>
      <c r="F1347" s="52">
        <v>44428.0</v>
      </c>
      <c r="G1347" s="20">
        <f t="shared" si="2"/>
        <v>9.333333333</v>
      </c>
      <c r="H1347" s="18">
        <v>43319.0</v>
      </c>
      <c r="I1347" s="20">
        <f t="shared" si="3"/>
        <v>2.258333333</v>
      </c>
      <c r="J1347" s="53">
        <v>81.0</v>
      </c>
      <c r="K1347" s="53">
        <v>12.5</v>
      </c>
      <c r="L1347" s="23" t="s">
        <v>494</v>
      </c>
      <c r="M1347" s="23"/>
      <c r="N1347" s="23"/>
      <c r="O1347" s="23"/>
      <c r="P1347" s="54"/>
      <c r="Q1347" s="23"/>
      <c r="R1347" s="17"/>
      <c r="S1347" s="18"/>
      <c r="T1347" s="20"/>
    </row>
    <row r="1348">
      <c r="A1348" s="27" t="s">
        <v>1969</v>
      </c>
      <c r="B1348" s="28" t="s">
        <v>40</v>
      </c>
      <c r="C1348" s="29"/>
      <c r="D1348" s="29" t="str">
        <f t="shared" si="73"/>
        <v>Removed</v>
      </c>
      <c r="E1348" s="70">
        <v>43692.0</v>
      </c>
      <c r="F1348" s="31">
        <v>44428.0</v>
      </c>
      <c r="G1348" s="32">
        <f t="shared" si="2"/>
        <v>24.16666667</v>
      </c>
      <c r="H1348" s="33">
        <v>43249.0</v>
      </c>
      <c r="I1348" s="32">
        <f t="shared" si="3"/>
        <v>1.211111111</v>
      </c>
      <c r="J1348" s="69">
        <v>83.0</v>
      </c>
      <c r="K1348" s="34">
        <v>5.5</v>
      </c>
      <c r="L1348" s="44" t="s">
        <v>2161</v>
      </c>
      <c r="M1348" s="44"/>
      <c r="N1348" s="35" t="s">
        <v>2162</v>
      </c>
      <c r="O1348" s="35"/>
      <c r="P1348" s="36"/>
      <c r="Q1348" s="35"/>
      <c r="R1348" s="28"/>
      <c r="S1348" s="33"/>
      <c r="T1348" s="32"/>
    </row>
    <row r="1349">
      <c r="A1349" s="64" t="s">
        <v>2163</v>
      </c>
      <c r="B1349" s="16" t="s">
        <v>40</v>
      </c>
      <c r="C1349" s="17"/>
      <c r="D1349" s="17" t="str">
        <f t="shared" si="73"/>
        <v>Removed</v>
      </c>
      <c r="E1349" s="76">
        <v>43552.0</v>
      </c>
      <c r="F1349" s="62">
        <v>44428.0</v>
      </c>
      <c r="G1349" s="20">
        <f t="shared" si="2"/>
        <v>28.73333333</v>
      </c>
      <c r="H1349" s="18">
        <v>43256.0</v>
      </c>
      <c r="I1349" s="20">
        <f t="shared" si="3"/>
        <v>0.8138888889</v>
      </c>
      <c r="J1349" s="65">
        <f>ROUND((70+72)/2,)</f>
        <v>71</v>
      </c>
      <c r="K1349" s="53">
        <v>16.5</v>
      </c>
      <c r="L1349" s="23" t="s">
        <v>122</v>
      </c>
      <c r="M1349" s="43"/>
      <c r="N1349" s="43"/>
      <c r="O1349" s="43"/>
      <c r="P1349" s="66"/>
      <c r="Q1349" s="43"/>
      <c r="R1349" s="16"/>
      <c r="S1349" s="18"/>
      <c r="T1349" s="20"/>
    </row>
    <row r="1350">
      <c r="A1350" s="27" t="s">
        <v>2164</v>
      </c>
      <c r="B1350" s="28" t="s">
        <v>1859</v>
      </c>
      <c r="C1350" s="29"/>
      <c r="D1350" s="29" t="s">
        <v>1860</v>
      </c>
      <c r="E1350" s="70">
        <v>44409.0</v>
      </c>
      <c r="F1350" s="30">
        <v>44423.0</v>
      </c>
      <c r="G1350" s="32">
        <f t="shared" si="2"/>
        <v>0.4666666667</v>
      </c>
      <c r="H1350" s="33"/>
      <c r="I1350" s="32">
        <f t="shared" si="3"/>
        <v>-4.205555556</v>
      </c>
      <c r="J1350" s="34"/>
      <c r="K1350" s="34"/>
      <c r="L1350" s="35"/>
      <c r="M1350" s="35"/>
      <c r="N1350" s="35" t="s">
        <v>1612</v>
      </c>
      <c r="O1350" s="35"/>
      <c r="P1350" s="36"/>
      <c r="Q1350" s="35"/>
      <c r="R1350" s="29"/>
      <c r="S1350" s="33"/>
      <c r="T1350" s="32"/>
    </row>
    <row r="1351">
      <c r="A1351" s="15" t="s">
        <v>2165</v>
      </c>
      <c r="B1351" s="16" t="s">
        <v>1610</v>
      </c>
      <c r="C1351" s="17"/>
      <c r="D1351" s="17" t="s">
        <v>1611</v>
      </c>
      <c r="E1351" s="76">
        <v>44393.0</v>
      </c>
      <c r="F1351" s="62">
        <v>44423.0</v>
      </c>
      <c r="G1351" s="20">
        <f t="shared" si="2"/>
        <v>0.9666666667</v>
      </c>
      <c r="H1351" s="18"/>
      <c r="I1351" s="20">
        <f t="shared" si="3"/>
        <v>-4.247222222</v>
      </c>
      <c r="J1351" s="53"/>
      <c r="K1351" s="53"/>
      <c r="L1351" s="23"/>
      <c r="M1351" s="23"/>
      <c r="N1351" s="23"/>
      <c r="O1351" s="23"/>
      <c r="P1351" s="54"/>
      <c r="Q1351" s="23"/>
      <c r="R1351" s="17"/>
      <c r="S1351" s="18"/>
      <c r="T1351" s="20"/>
    </row>
    <row r="1352">
      <c r="A1352" s="27" t="s">
        <v>2166</v>
      </c>
      <c r="B1352" s="28" t="s">
        <v>27</v>
      </c>
      <c r="C1352" s="28" t="s">
        <v>121</v>
      </c>
      <c r="D1352" s="29" t="str">
        <f t="shared" ref="D1352:D1357" si="74">IF(E1352&gt;TODAY(),"Coming Soon",IF(F1352="","Active",IF(F1352&gt;TODAY(),"Leaving Soon","Removed")))</f>
        <v>Removed</v>
      </c>
      <c r="E1352" s="30">
        <v>44063.0</v>
      </c>
      <c r="F1352" s="31">
        <v>44423.0</v>
      </c>
      <c r="G1352" s="32">
        <f t="shared" si="2"/>
        <v>11.83333333</v>
      </c>
      <c r="H1352" s="33">
        <v>41884.0</v>
      </c>
      <c r="I1352" s="32">
        <f t="shared" si="3"/>
        <v>5.966666667</v>
      </c>
      <c r="J1352" s="34">
        <v>75.0</v>
      </c>
      <c r="K1352" s="34">
        <v>35.5</v>
      </c>
      <c r="L1352" s="35" t="s">
        <v>50</v>
      </c>
      <c r="M1352" s="35" t="s">
        <v>451</v>
      </c>
      <c r="N1352" s="35"/>
      <c r="O1352" s="35"/>
      <c r="P1352" s="36"/>
      <c r="Q1352" s="35"/>
      <c r="R1352" s="29"/>
      <c r="S1352" s="33"/>
      <c r="T1352" s="32"/>
    </row>
    <row r="1353">
      <c r="A1353" s="15" t="s">
        <v>2167</v>
      </c>
      <c r="B1353" s="16" t="s">
        <v>40</v>
      </c>
      <c r="C1353" s="17"/>
      <c r="D1353" s="17" t="str">
        <f t="shared" si="74"/>
        <v>Removed</v>
      </c>
      <c r="E1353" s="62">
        <v>44063.0</v>
      </c>
      <c r="F1353" s="52">
        <v>44423.0</v>
      </c>
      <c r="G1353" s="20">
        <f t="shared" si="2"/>
        <v>11.83333333</v>
      </c>
      <c r="H1353" s="18">
        <v>43144.0</v>
      </c>
      <c r="I1353" s="20">
        <f t="shared" si="3"/>
        <v>2.519444444</v>
      </c>
      <c r="J1353" s="53">
        <v>70.0</v>
      </c>
      <c r="K1353" s="53">
        <v>9.0</v>
      </c>
      <c r="L1353" s="23" t="s">
        <v>37</v>
      </c>
      <c r="M1353" s="23"/>
      <c r="N1353" s="23"/>
      <c r="O1353" s="23"/>
      <c r="P1353" s="54"/>
      <c r="Q1353" s="23"/>
      <c r="R1353" s="16"/>
      <c r="S1353" s="18"/>
      <c r="T1353" s="20"/>
    </row>
    <row r="1354">
      <c r="A1354" s="27" t="s">
        <v>2168</v>
      </c>
      <c r="B1354" s="28" t="s">
        <v>27</v>
      </c>
      <c r="C1354" s="29"/>
      <c r="D1354" s="29" t="str">
        <f t="shared" si="74"/>
        <v>Removed</v>
      </c>
      <c r="E1354" s="30">
        <v>44056.0</v>
      </c>
      <c r="F1354" s="31">
        <v>44423.0</v>
      </c>
      <c r="G1354" s="32">
        <f t="shared" si="2"/>
        <v>12.06666667</v>
      </c>
      <c r="H1354" s="33">
        <v>35461.0</v>
      </c>
      <c r="I1354" s="32">
        <f t="shared" si="3"/>
        <v>23.53611111</v>
      </c>
      <c r="J1354" s="34">
        <v>92.0</v>
      </c>
      <c r="K1354" s="34">
        <v>37.5</v>
      </c>
      <c r="L1354" s="35" t="s">
        <v>2169</v>
      </c>
      <c r="M1354" s="35"/>
      <c r="N1354" s="35"/>
      <c r="O1354" s="35"/>
      <c r="P1354" s="36"/>
      <c r="Q1354" s="35"/>
      <c r="R1354" s="29"/>
      <c r="S1354" s="33"/>
      <c r="T1354" s="32"/>
    </row>
    <row r="1355">
      <c r="A1355" s="15" t="s">
        <v>2170</v>
      </c>
      <c r="B1355" s="16" t="s">
        <v>27</v>
      </c>
      <c r="C1355" s="16" t="s">
        <v>28</v>
      </c>
      <c r="D1355" s="17" t="str">
        <f t="shared" si="74"/>
        <v>Removed</v>
      </c>
      <c r="E1355" s="62">
        <v>44049.0</v>
      </c>
      <c r="F1355" s="52">
        <v>44423.0</v>
      </c>
      <c r="G1355" s="20">
        <f t="shared" si="2"/>
        <v>12.3</v>
      </c>
      <c r="H1355" s="18">
        <v>43804.0</v>
      </c>
      <c r="I1355" s="20">
        <f t="shared" si="3"/>
        <v>0.6694444444</v>
      </c>
      <c r="J1355" s="53">
        <v>77.0</v>
      </c>
      <c r="K1355" s="53">
        <v>14.0</v>
      </c>
      <c r="L1355" s="23" t="s">
        <v>509</v>
      </c>
      <c r="M1355" s="23"/>
      <c r="N1355" s="23"/>
      <c r="O1355" s="23"/>
      <c r="P1355" s="54"/>
      <c r="Q1355" s="23"/>
      <c r="R1355" s="17"/>
      <c r="S1355" s="18"/>
      <c r="T1355" s="20"/>
    </row>
    <row r="1356">
      <c r="A1356" s="67" t="s">
        <v>2171</v>
      </c>
      <c r="B1356" s="28" t="s">
        <v>27</v>
      </c>
      <c r="C1356" s="28" t="s">
        <v>28</v>
      </c>
      <c r="D1356" s="29" t="str">
        <f t="shared" si="74"/>
        <v>Removed</v>
      </c>
      <c r="E1356" s="70">
        <v>43895.0</v>
      </c>
      <c r="F1356" s="31">
        <v>44423.0</v>
      </c>
      <c r="G1356" s="32">
        <f t="shared" si="2"/>
        <v>17.33333333</v>
      </c>
      <c r="H1356" s="33">
        <v>43305.0</v>
      </c>
      <c r="I1356" s="32">
        <f t="shared" si="3"/>
        <v>1.613888889</v>
      </c>
      <c r="J1356" s="34">
        <v>76.0</v>
      </c>
      <c r="K1356" s="34">
        <v>13.0</v>
      </c>
      <c r="L1356" s="44" t="s">
        <v>50</v>
      </c>
      <c r="M1356" s="44"/>
      <c r="N1356" s="44"/>
      <c r="O1356" s="44"/>
      <c r="P1356" s="71"/>
      <c r="Q1356" s="44"/>
      <c r="R1356" s="29"/>
      <c r="S1356" s="33"/>
      <c r="T1356" s="32"/>
    </row>
    <row r="1357">
      <c r="A1357" s="64" t="s">
        <v>2172</v>
      </c>
      <c r="B1357" s="17" t="s">
        <v>40</v>
      </c>
      <c r="C1357" s="17"/>
      <c r="D1357" s="17" t="str">
        <f t="shared" si="74"/>
        <v>Removed</v>
      </c>
      <c r="E1357" s="76">
        <v>43699.0</v>
      </c>
      <c r="F1357" s="52">
        <v>44423.0</v>
      </c>
      <c r="G1357" s="20">
        <f t="shared" si="2"/>
        <v>23.76666667</v>
      </c>
      <c r="H1357" s="18">
        <v>43524.0</v>
      </c>
      <c r="I1357" s="20">
        <f t="shared" si="3"/>
        <v>0.4833333333</v>
      </c>
      <c r="J1357" s="65">
        <v>83.0</v>
      </c>
      <c r="K1357" s="53">
        <v>2.5</v>
      </c>
      <c r="L1357" s="43" t="s">
        <v>366</v>
      </c>
      <c r="M1357" s="43"/>
      <c r="N1357" s="43"/>
      <c r="O1357" s="43"/>
      <c r="P1357" s="66"/>
      <c r="Q1357" s="43"/>
      <c r="R1357" s="16"/>
      <c r="S1357" s="18"/>
      <c r="T1357" s="20"/>
    </row>
    <row r="1358">
      <c r="A1358" s="27" t="s">
        <v>2173</v>
      </c>
      <c r="B1358" s="28" t="s">
        <v>1859</v>
      </c>
      <c r="C1358" s="29"/>
      <c r="D1358" s="29" t="s">
        <v>1860</v>
      </c>
      <c r="E1358" s="70">
        <v>44393.0</v>
      </c>
      <c r="F1358" s="30">
        <v>44408.0</v>
      </c>
      <c r="G1358" s="32">
        <f t="shared" si="2"/>
        <v>0.4666666667</v>
      </c>
      <c r="H1358" s="33"/>
      <c r="I1358" s="32">
        <f t="shared" si="3"/>
        <v>-4.247222222</v>
      </c>
      <c r="J1358" s="34"/>
      <c r="K1358" s="34"/>
      <c r="L1358" s="35"/>
      <c r="M1358" s="35"/>
      <c r="N1358" s="35" t="s">
        <v>1612</v>
      </c>
      <c r="O1358" s="35"/>
      <c r="P1358" s="36"/>
      <c r="Q1358" s="35"/>
      <c r="R1358" s="29"/>
      <c r="S1358" s="33"/>
      <c r="T1358" s="32"/>
    </row>
    <row r="1359">
      <c r="A1359" s="15" t="s">
        <v>2174</v>
      </c>
      <c r="B1359" s="16" t="s">
        <v>1610</v>
      </c>
      <c r="C1359" s="17"/>
      <c r="D1359" s="17" t="s">
        <v>1611</v>
      </c>
      <c r="E1359" s="76">
        <v>44378.0</v>
      </c>
      <c r="F1359" s="62">
        <v>44408.0</v>
      </c>
      <c r="G1359" s="20">
        <f t="shared" si="2"/>
        <v>0.9666666667</v>
      </c>
      <c r="H1359" s="18"/>
      <c r="I1359" s="20">
        <f t="shared" si="3"/>
        <v>-4.288888889</v>
      </c>
      <c r="J1359" s="53"/>
      <c r="K1359" s="53"/>
      <c r="L1359" s="23"/>
      <c r="M1359" s="23"/>
      <c r="N1359" s="23" t="s">
        <v>1612</v>
      </c>
      <c r="O1359" s="23"/>
      <c r="P1359" s="54"/>
      <c r="Q1359" s="23"/>
      <c r="R1359" s="17"/>
      <c r="S1359" s="18"/>
      <c r="T1359" s="20"/>
    </row>
    <row r="1360">
      <c r="A1360" s="27" t="s">
        <v>2175</v>
      </c>
      <c r="B1360" s="28" t="s">
        <v>27</v>
      </c>
      <c r="C1360" s="29"/>
      <c r="D1360" s="29" t="str">
        <f t="shared" ref="D1360:D1362" si="75">IF(E1360&gt;TODAY(),"Coming Soon",IF(F1360="","Active",IF(F1360&gt;TODAY(),"Leaving Soon","Removed")))</f>
        <v>Removed</v>
      </c>
      <c r="E1360" s="30">
        <v>44049.0</v>
      </c>
      <c r="F1360" s="31">
        <v>44408.0</v>
      </c>
      <c r="G1360" s="32">
        <f t="shared" si="2"/>
        <v>11.8</v>
      </c>
      <c r="H1360" s="33">
        <v>43614.0</v>
      </c>
      <c r="I1360" s="32">
        <f t="shared" si="3"/>
        <v>1.186111111</v>
      </c>
      <c r="J1360" s="34">
        <v>45.0</v>
      </c>
      <c r="K1360" s="34">
        <v>8.0</v>
      </c>
      <c r="L1360" s="35" t="s">
        <v>122</v>
      </c>
      <c r="M1360" s="35"/>
      <c r="N1360" s="35"/>
      <c r="O1360" s="35"/>
      <c r="P1360" s="36"/>
      <c r="Q1360" s="35"/>
      <c r="R1360" s="29"/>
      <c r="S1360" s="33"/>
      <c r="T1360" s="32"/>
    </row>
    <row r="1361">
      <c r="A1361" s="15" t="s">
        <v>2176</v>
      </c>
      <c r="B1361" s="16" t="s">
        <v>27</v>
      </c>
      <c r="C1361" s="16" t="s">
        <v>121</v>
      </c>
      <c r="D1361" s="17" t="str">
        <f t="shared" si="75"/>
        <v>Removed</v>
      </c>
      <c r="E1361" s="62">
        <v>44049.0</v>
      </c>
      <c r="F1361" s="52">
        <v>44408.0</v>
      </c>
      <c r="G1361" s="20">
        <f t="shared" si="2"/>
        <v>11.8</v>
      </c>
      <c r="H1361" s="18">
        <v>43697.0</v>
      </c>
      <c r="I1361" s="20">
        <f t="shared" si="3"/>
        <v>0.9611111111</v>
      </c>
      <c r="J1361" s="53">
        <v>80.0</v>
      </c>
      <c r="K1361" s="53">
        <v>4.5</v>
      </c>
      <c r="L1361" s="23" t="s">
        <v>509</v>
      </c>
      <c r="M1361" s="23"/>
      <c r="N1361" s="23"/>
      <c r="O1361" s="23"/>
      <c r="P1361" s="54"/>
      <c r="Q1361" s="23"/>
      <c r="R1361" s="17"/>
      <c r="S1361" s="18"/>
      <c r="T1361" s="20"/>
    </row>
    <row r="1362">
      <c r="A1362" s="27" t="s">
        <v>2177</v>
      </c>
      <c r="B1362" s="28" t="s">
        <v>27</v>
      </c>
      <c r="C1362" s="28" t="s">
        <v>121</v>
      </c>
      <c r="D1362" s="29" t="str">
        <f t="shared" si="75"/>
        <v>Removed</v>
      </c>
      <c r="E1362" s="30">
        <v>44042.0</v>
      </c>
      <c r="F1362" s="31">
        <v>44408.0</v>
      </c>
      <c r="G1362" s="32">
        <f t="shared" si="2"/>
        <v>12</v>
      </c>
      <c r="H1362" s="33">
        <v>43790.0</v>
      </c>
      <c r="I1362" s="32">
        <f t="shared" si="3"/>
        <v>0.6916666667</v>
      </c>
      <c r="J1362" s="34">
        <v>79.0</v>
      </c>
      <c r="K1362" s="34">
        <v>5.0</v>
      </c>
      <c r="L1362" s="35" t="s">
        <v>711</v>
      </c>
      <c r="M1362" s="35" t="s">
        <v>123</v>
      </c>
      <c r="N1362" s="35"/>
      <c r="O1362" s="35"/>
      <c r="P1362" s="36"/>
      <c r="Q1362" s="35"/>
      <c r="R1362" s="29"/>
      <c r="S1362" s="33"/>
      <c r="T1362" s="32"/>
    </row>
    <row r="1363">
      <c r="A1363" s="15" t="s">
        <v>2178</v>
      </c>
      <c r="B1363" s="16" t="s">
        <v>1859</v>
      </c>
      <c r="C1363" s="17"/>
      <c r="D1363" s="17" t="s">
        <v>1860</v>
      </c>
      <c r="E1363" s="76">
        <v>44378.0</v>
      </c>
      <c r="F1363" s="62">
        <v>44392.0</v>
      </c>
      <c r="G1363" s="20">
        <f t="shared" si="2"/>
        <v>0.4666666667</v>
      </c>
      <c r="H1363" s="18"/>
      <c r="I1363" s="20">
        <f t="shared" si="3"/>
        <v>-4.288888889</v>
      </c>
      <c r="J1363" s="53"/>
      <c r="K1363" s="53"/>
      <c r="L1363" s="23"/>
      <c r="M1363" s="23" t="s">
        <v>1614</v>
      </c>
      <c r="N1363" s="23" t="s">
        <v>1612</v>
      </c>
      <c r="O1363" s="23"/>
      <c r="P1363" s="54"/>
      <c r="Q1363" s="23"/>
      <c r="R1363" s="17"/>
      <c r="S1363" s="18"/>
      <c r="T1363" s="20"/>
    </row>
    <row r="1364">
      <c r="A1364" s="27" t="s">
        <v>2179</v>
      </c>
      <c r="B1364" s="28" t="s">
        <v>1610</v>
      </c>
      <c r="C1364" s="29"/>
      <c r="D1364" s="29" t="s">
        <v>1611</v>
      </c>
      <c r="E1364" s="70">
        <v>44363.0</v>
      </c>
      <c r="F1364" s="30">
        <v>44392.0</v>
      </c>
      <c r="G1364" s="32">
        <f t="shared" si="2"/>
        <v>0.9666666667</v>
      </c>
      <c r="H1364" s="33"/>
      <c r="I1364" s="32">
        <f t="shared" si="3"/>
        <v>-4.330555556</v>
      </c>
      <c r="J1364" s="34"/>
      <c r="K1364" s="34"/>
      <c r="L1364" s="35"/>
      <c r="M1364" s="35"/>
      <c r="N1364" s="35"/>
      <c r="O1364" s="35"/>
      <c r="P1364" s="36"/>
      <c r="Q1364" s="35"/>
      <c r="R1364" s="29"/>
      <c r="S1364" s="33"/>
      <c r="T1364" s="32"/>
    </row>
    <row r="1365">
      <c r="A1365" s="15" t="s">
        <v>2180</v>
      </c>
      <c r="B1365" s="16" t="s">
        <v>40</v>
      </c>
      <c r="C1365" s="17"/>
      <c r="D1365" s="17" t="str">
        <f t="shared" ref="D1365:D1369" si="76">IF(E1365&gt;TODAY(),"Coming Soon",IF(F1365="","Active",IF(F1365&gt;TODAY(),"Leaving Soon","Removed")))</f>
        <v>Removed</v>
      </c>
      <c r="E1365" s="62">
        <v>44021.0</v>
      </c>
      <c r="F1365" s="52">
        <v>44392.0</v>
      </c>
      <c r="G1365" s="20">
        <f t="shared" si="2"/>
        <v>12.2</v>
      </c>
      <c r="H1365" s="18">
        <v>42874.0</v>
      </c>
      <c r="I1365" s="20">
        <f t="shared" si="3"/>
        <v>3.138888889</v>
      </c>
      <c r="J1365" s="53">
        <v>80.0</v>
      </c>
      <c r="K1365" s="53">
        <v>13.0</v>
      </c>
      <c r="L1365" s="23" t="s">
        <v>119</v>
      </c>
      <c r="M1365" s="23"/>
      <c r="N1365" s="23"/>
      <c r="O1365" s="23"/>
      <c r="P1365" s="54"/>
      <c r="Q1365" s="23"/>
      <c r="R1365" s="16"/>
      <c r="S1365" s="18"/>
      <c r="T1365" s="20"/>
    </row>
    <row r="1366">
      <c r="A1366" s="67" t="s">
        <v>2181</v>
      </c>
      <c r="B1366" s="29" t="s">
        <v>40</v>
      </c>
      <c r="C1366" s="29"/>
      <c r="D1366" s="29" t="str">
        <f t="shared" si="76"/>
        <v>Removed</v>
      </c>
      <c r="E1366" s="70">
        <v>43678.0</v>
      </c>
      <c r="F1366" s="31">
        <v>44392.0</v>
      </c>
      <c r="G1366" s="32">
        <f t="shared" si="2"/>
        <v>23.46666667</v>
      </c>
      <c r="H1366" s="33">
        <v>42292.0</v>
      </c>
      <c r="I1366" s="32">
        <f t="shared" si="3"/>
        <v>3.794444444</v>
      </c>
      <c r="J1366" s="34">
        <v>81.0</v>
      </c>
      <c r="K1366" s="34">
        <v>7.5</v>
      </c>
      <c r="L1366" s="35" t="s">
        <v>2182</v>
      </c>
      <c r="M1366" s="35"/>
      <c r="N1366" s="35"/>
      <c r="O1366" s="35"/>
      <c r="P1366" s="36"/>
      <c r="Q1366" s="35"/>
      <c r="R1366" s="28"/>
      <c r="S1366" s="33"/>
      <c r="T1366" s="32"/>
    </row>
    <row r="1367">
      <c r="A1367" s="64" t="s">
        <v>2183</v>
      </c>
      <c r="B1367" s="16" t="s">
        <v>27</v>
      </c>
      <c r="C1367" s="17"/>
      <c r="D1367" s="17" t="str">
        <f t="shared" si="76"/>
        <v>Removed</v>
      </c>
      <c r="E1367" s="76">
        <v>43626.0</v>
      </c>
      <c r="F1367" s="52">
        <v>44392.0</v>
      </c>
      <c r="G1367" s="20">
        <f t="shared" si="2"/>
        <v>25.16666667</v>
      </c>
      <c r="H1367" s="18">
        <v>42139.0</v>
      </c>
      <c r="I1367" s="20">
        <f t="shared" si="3"/>
        <v>4.069444444</v>
      </c>
      <c r="J1367" s="65">
        <v>86.0</v>
      </c>
      <c r="K1367" s="53">
        <v>31.5</v>
      </c>
      <c r="L1367" s="23" t="s">
        <v>2184</v>
      </c>
      <c r="M1367" s="23" t="s">
        <v>123</v>
      </c>
      <c r="N1367" s="23"/>
      <c r="O1367" s="23"/>
      <c r="P1367" s="54"/>
      <c r="Q1367" s="23"/>
      <c r="R1367" s="17"/>
      <c r="S1367" s="18"/>
      <c r="T1367" s="20"/>
    </row>
    <row r="1368">
      <c r="A1368" s="27" t="s">
        <v>2185</v>
      </c>
      <c r="B1368" s="28" t="s">
        <v>68</v>
      </c>
      <c r="C1368" s="28"/>
      <c r="D1368" s="29" t="str">
        <f t="shared" si="76"/>
        <v>Removed</v>
      </c>
      <c r="E1368" s="33">
        <v>44145.0</v>
      </c>
      <c r="F1368" s="31">
        <v>44391.0</v>
      </c>
      <c r="G1368" s="32">
        <f t="shared" si="2"/>
        <v>8.133333333</v>
      </c>
      <c r="H1368" s="33">
        <v>41807.0</v>
      </c>
      <c r="I1368" s="32">
        <f t="shared" si="3"/>
        <v>6.397222222</v>
      </c>
      <c r="J1368" s="34">
        <v>70.0</v>
      </c>
      <c r="K1368" s="34">
        <v>11.0</v>
      </c>
      <c r="L1368" s="35" t="s">
        <v>759</v>
      </c>
      <c r="M1368" s="35"/>
      <c r="N1368" s="35"/>
      <c r="O1368" s="35"/>
      <c r="P1368" s="36"/>
      <c r="Q1368" s="35"/>
      <c r="R1368" s="29"/>
      <c r="S1368" s="33"/>
      <c r="T1368" s="32"/>
    </row>
    <row r="1369">
      <c r="A1369" s="15" t="s">
        <v>2186</v>
      </c>
      <c r="B1369" s="16" t="s">
        <v>68</v>
      </c>
      <c r="C1369" s="16"/>
      <c r="D1369" s="17" t="str">
        <f t="shared" si="76"/>
        <v>Removed</v>
      </c>
      <c r="E1369" s="18">
        <v>44145.0</v>
      </c>
      <c r="F1369" s="52">
        <v>44391.0</v>
      </c>
      <c r="G1369" s="20">
        <f t="shared" si="2"/>
        <v>8.133333333</v>
      </c>
      <c r="H1369" s="18">
        <v>42444.0</v>
      </c>
      <c r="I1369" s="20">
        <f t="shared" si="3"/>
        <v>4.652777778</v>
      </c>
      <c r="J1369" s="53">
        <v>76.0</v>
      </c>
      <c r="K1369" s="53">
        <v>6.0</v>
      </c>
      <c r="L1369" s="23" t="s">
        <v>759</v>
      </c>
      <c r="M1369" s="23"/>
      <c r="N1369" s="23"/>
      <c r="O1369" s="23"/>
      <c r="P1369" s="54"/>
      <c r="Q1369" s="23"/>
      <c r="R1369" s="17"/>
      <c r="S1369" s="18"/>
      <c r="T1369" s="20"/>
    </row>
    <row r="1370">
      <c r="A1370" s="27" t="s">
        <v>2187</v>
      </c>
      <c r="B1370" s="28" t="s">
        <v>1859</v>
      </c>
      <c r="C1370" s="29"/>
      <c r="D1370" s="29" t="s">
        <v>1860</v>
      </c>
      <c r="E1370" s="70">
        <v>44363.0</v>
      </c>
      <c r="F1370" s="30">
        <v>44377.0</v>
      </c>
      <c r="G1370" s="32">
        <f t="shared" si="2"/>
        <v>0.4666666667</v>
      </c>
      <c r="H1370" s="33"/>
      <c r="I1370" s="32">
        <f t="shared" si="3"/>
        <v>-4.330555556</v>
      </c>
      <c r="J1370" s="34"/>
      <c r="K1370" s="34"/>
      <c r="L1370" s="35"/>
      <c r="M1370" s="35"/>
      <c r="N1370" s="35" t="s">
        <v>1612</v>
      </c>
      <c r="O1370" s="35"/>
      <c r="P1370" s="36"/>
      <c r="Q1370" s="35"/>
      <c r="R1370" s="29"/>
      <c r="S1370" s="33"/>
      <c r="T1370" s="32"/>
    </row>
    <row r="1371">
      <c r="A1371" s="15" t="s">
        <v>2188</v>
      </c>
      <c r="B1371" s="16" t="s">
        <v>1610</v>
      </c>
      <c r="C1371" s="17"/>
      <c r="D1371" s="17" t="s">
        <v>1611</v>
      </c>
      <c r="E1371" s="76">
        <v>44348.0</v>
      </c>
      <c r="F1371" s="62">
        <v>44377.0</v>
      </c>
      <c r="G1371" s="20">
        <f t="shared" si="2"/>
        <v>0.9666666667</v>
      </c>
      <c r="H1371" s="18"/>
      <c r="I1371" s="20">
        <f t="shared" si="3"/>
        <v>-4.372222222</v>
      </c>
      <c r="J1371" s="53"/>
      <c r="K1371" s="53"/>
      <c r="L1371" s="23"/>
      <c r="M1371" s="23"/>
      <c r="N1371" s="23"/>
      <c r="O1371" s="23"/>
      <c r="P1371" s="54"/>
      <c r="Q1371" s="23"/>
      <c r="R1371" s="17"/>
      <c r="S1371" s="18"/>
      <c r="T1371" s="20"/>
    </row>
    <row r="1372">
      <c r="A1372" s="27" t="s">
        <v>2189</v>
      </c>
      <c r="B1372" s="28" t="s">
        <v>40</v>
      </c>
      <c r="C1372" s="29"/>
      <c r="D1372" s="29" t="str">
        <f t="shared" ref="D1372:D1378" si="77">IF(E1372&gt;TODAY(),"Coming Soon",IF(F1372="","Active",IF(F1372&gt;TODAY(),"Leaving Soon","Removed")))</f>
        <v>Removed</v>
      </c>
      <c r="E1372" s="30">
        <v>44013.0</v>
      </c>
      <c r="F1372" s="31">
        <v>44377.0</v>
      </c>
      <c r="G1372" s="32">
        <f t="shared" si="2"/>
        <v>11.96666667</v>
      </c>
      <c r="H1372" s="33">
        <v>43910.0</v>
      </c>
      <c r="I1372" s="32">
        <f t="shared" si="3"/>
        <v>0.2805555556</v>
      </c>
      <c r="J1372" s="101">
        <f>8.7*10</f>
        <v>87</v>
      </c>
      <c r="K1372" s="34">
        <v>34.0</v>
      </c>
      <c r="L1372" s="35" t="s">
        <v>2190</v>
      </c>
      <c r="M1372" s="35"/>
      <c r="N1372" s="35"/>
      <c r="O1372" s="35"/>
      <c r="P1372" s="36"/>
      <c r="Q1372" s="35"/>
      <c r="R1372" s="28"/>
      <c r="S1372" s="33"/>
      <c r="T1372" s="32"/>
    </row>
    <row r="1373">
      <c r="A1373" s="15" t="s">
        <v>2191</v>
      </c>
      <c r="B1373" s="16" t="s">
        <v>68</v>
      </c>
      <c r="C1373" s="17"/>
      <c r="D1373" s="17" t="str">
        <f t="shared" si="77"/>
        <v>Removed</v>
      </c>
      <c r="E1373" s="62">
        <v>44013.0</v>
      </c>
      <c r="F1373" s="52">
        <v>44377.0</v>
      </c>
      <c r="G1373" s="20">
        <f t="shared" si="2"/>
        <v>11.96666667</v>
      </c>
      <c r="H1373" s="18">
        <v>43392.0</v>
      </c>
      <c r="I1373" s="20">
        <f t="shared" si="3"/>
        <v>1.7</v>
      </c>
      <c r="J1373" s="53">
        <v>84.0</v>
      </c>
      <c r="K1373" s="53">
        <v>7.0</v>
      </c>
      <c r="L1373" s="23" t="s">
        <v>303</v>
      </c>
      <c r="M1373" s="23"/>
      <c r="N1373" s="23"/>
      <c r="O1373" s="23"/>
      <c r="P1373" s="54"/>
      <c r="Q1373" s="23"/>
      <c r="R1373" s="17"/>
      <c r="S1373" s="18"/>
      <c r="T1373" s="20"/>
    </row>
    <row r="1374">
      <c r="A1374" s="67" t="s">
        <v>2192</v>
      </c>
      <c r="B1374" s="29" t="s">
        <v>40</v>
      </c>
      <c r="C1374" s="29"/>
      <c r="D1374" s="29" t="str">
        <f t="shared" si="77"/>
        <v>Removed</v>
      </c>
      <c r="E1374" s="70">
        <v>43930.0</v>
      </c>
      <c r="F1374" s="31">
        <v>44377.0</v>
      </c>
      <c r="G1374" s="32">
        <f t="shared" si="2"/>
        <v>14.7</v>
      </c>
      <c r="H1374" s="33">
        <v>43748.0</v>
      </c>
      <c r="I1374" s="32">
        <f t="shared" si="3"/>
        <v>0.4972222222</v>
      </c>
      <c r="J1374" s="69">
        <v>60.0</v>
      </c>
      <c r="K1374" s="34">
        <v>33.5</v>
      </c>
      <c r="L1374" s="35" t="s">
        <v>567</v>
      </c>
      <c r="M1374" s="35"/>
      <c r="N1374" s="35"/>
      <c r="O1374" s="35"/>
      <c r="P1374" s="36"/>
      <c r="Q1374" s="35"/>
      <c r="R1374" s="28"/>
      <c r="S1374" s="33"/>
      <c r="T1374" s="32"/>
    </row>
    <row r="1375">
      <c r="A1375" s="64" t="s">
        <v>2193</v>
      </c>
      <c r="B1375" s="16" t="s">
        <v>27</v>
      </c>
      <c r="C1375" s="16" t="s">
        <v>28</v>
      </c>
      <c r="D1375" s="17" t="str">
        <f t="shared" si="77"/>
        <v>Removed</v>
      </c>
      <c r="E1375" s="76">
        <v>43625.0</v>
      </c>
      <c r="F1375" s="52">
        <v>44377.0</v>
      </c>
      <c r="G1375" s="20">
        <f t="shared" si="2"/>
        <v>24.7</v>
      </c>
      <c r="H1375" s="18">
        <v>43011.0</v>
      </c>
      <c r="I1375" s="20">
        <f t="shared" si="3"/>
        <v>1.683333333</v>
      </c>
      <c r="J1375" s="65">
        <v>84.0</v>
      </c>
      <c r="K1375" s="53">
        <v>28.5</v>
      </c>
      <c r="L1375" s="23" t="s">
        <v>122</v>
      </c>
      <c r="M1375" s="23" t="s">
        <v>451</v>
      </c>
      <c r="N1375" s="43"/>
      <c r="O1375" s="43"/>
      <c r="P1375" s="66"/>
      <c r="Q1375" s="43"/>
      <c r="R1375" s="17"/>
      <c r="S1375" s="18"/>
      <c r="T1375" s="20"/>
    </row>
    <row r="1376">
      <c r="A1376" s="67" t="s">
        <v>2194</v>
      </c>
      <c r="B1376" s="28" t="s">
        <v>27</v>
      </c>
      <c r="C1376" s="28" t="s">
        <v>28</v>
      </c>
      <c r="D1376" s="29" t="str">
        <f t="shared" si="77"/>
        <v>Removed</v>
      </c>
      <c r="E1376" s="70">
        <v>43625.0</v>
      </c>
      <c r="F1376" s="31">
        <v>44377.0</v>
      </c>
      <c r="G1376" s="32">
        <f t="shared" si="2"/>
        <v>24.7</v>
      </c>
      <c r="H1376" s="33">
        <v>43342.0</v>
      </c>
      <c r="I1376" s="32">
        <f t="shared" si="3"/>
        <v>0.775</v>
      </c>
      <c r="J1376" s="69">
        <v>83.0</v>
      </c>
      <c r="K1376" s="34">
        <v>11.0</v>
      </c>
      <c r="L1376" s="44" t="s">
        <v>2195</v>
      </c>
      <c r="M1376" s="44"/>
      <c r="N1376" s="44"/>
      <c r="O1376" s="44"/>
      <c r="P1376" s="71"/>
      <c r="Q1376" s="44"/>
      <c r="R1376" s="29"/>
      <c r="S1376" s="33"/>
      <c r="T1376" s="32"/>
    </row>
    <row r="1377">
      <c r="A1377" s="64" t="s">
        <v>2196</v>
      </c>
      <c r="B1377" s="16" t="s">
        <v>68</v>
      </c>
      <c r="C1377" s="16" t="s">
        <v>28</v>
      </c>
      <c r="D1377" s="17" t="str">
        <f t="shared" si="77"/>
        <v>Removed</v>
      </c>
      <c r="E1377" s="76">
        <v>43573.0</v>
      </c>
      <c r="F1377" s="52">
        <v>44377.0</v>
      </c>
      <c r="G1377" s="20">
        <f t="shared" si="2"/>
        <v>26.4</v>
      </c>
      <c r="H1377" s="18">
        <v>43126.0</v>
      </c>
      <c r="I1377" s="20">
        <f t="shared" si="3"/>
        <v>1.227777778</v>
      </c>
      <c r="J1377" s="65">
        <v>90.0</v>
      </c>
      <c r="K1377" s="53">
        <v>49.0</v>
      </c>
      <c r="L1377" s="23" t="s">
        <v>122</v>
      </c>
      <c r="M1377" s="43"/>
      <c r="N1377" s="43"/>
      <c r="O1377" s="43"/>
      <c r="P1377" s="66"/>
      <c r="Q1377" s="43"/>
      <c r="R1377" s="17"/>
      <c r="S1377" s="18"/>
      <c r="T1377" s="20"/>
    </row>
    <row r="1378">
      <c r="A1378" s="67" t="s">
        <v>2197</v>
      </c>
      <c r="B1378" s="28" t="s">
        <v>27</v>
      </c>
      <c r="C1378" s="28" t="s">
        <v>28</v>
      </c>
      <c r="D1378" s="29" t="str">
        <f t="shared" si="77"/>
        <v>Removed</v>
      </c>
      <c r="E1378" s="70">
        <v>43556.0</v>
      </c>
      <c r="F1378" s="31">
        <v>44377.0</v>
      </c>
      <c r="G1378" s="32">
        <f t="shared" si="2"/>
        <v>26.96666667</v>
      </c>
      <c r="H1378" s="33">
        <v>42997.0</v>
      </c>
      <c r="I1378" s="32">
        <f t="shared" si="3"/>
        <v>1.533333333</v>
      </c>
      <c r="J1378" s="69">
        <v>77.0</v>
      </c>
      <c r="K1378" s="34">
        <v>3.5</v>
      </c>
      <c r="L1378" s="44" t="s">
        <v>303</v>
      </c>
      <c r="M1378" s="44"/>
      <c r="N1378" s="44"/>
      <c r="O1378" s="44"/>
      <c r="P1378" s="71"/>
      <c r="Q1378" s="44"/>
      <c r="R1378" s="29"/>
      <c r="S1378" s="33"/>
      <c r="T1378" s="32"/>
    </row>
    <row r="1379">
      <c r="A1379" s="15" t="s">
        <v>2198</v>
      </c>
      <c r="B1379" s="16" t="s">
        <v>1859</v>
      </c>
      <c r="C1379" s="17"/>
      <c r="D1379" s="17" t="s">
        <v>1860</v>
      </c>
      <c r="E1379" s="76">
        <v>44348.0</v>
      </c>
      <c r="F1379" s="62">
        <v>44362.0</v>
      </c>
      <c r="G1379" s="20">
        <f t="shared" si="2"/>
        <v>0.4666666667</v>
      </c>
      <c r="H1379" s="18"/>
      <c r="I1379" s="20">
        <f t="shared" si="3"/>
        <v>-4.372222222</v>
      </c>
      <c r="J1379" s="53"/>
      <c r="K1379" s="53"/>
      <c r="L1379" s="23"/>
      <c r="M1379" s="23"/>
      <c r="N1379" s="23" t="s">
        <v>1612</v>
      </c>
      <c r="O1379" s="23"/>
      <c r="P1379" s="54"/>
      <c r="Q1379" s="23"/>
      <c r="R1379" s="17"/>
      <c r="S1379" s="18"/>
      <c r="T1379" s="20"/>
    </row>
    <row r="1380">
      <c r="A1380" s="27" t="s">
        <v>2199</v>
      </c>
      <c r="B1380" s="28" t="s">
        <v>1610</v>
      </c>
      <c r="C1380" s="29"/>
      <c r="D1380" s="29" t="s">
        <v>1611</v>
      </c>
      <c r="E1380" s="70">
        <v>44332.0</v>
      </c>
      <c r="F1380" s="30">
        <v>44362.0</v>
      </c>
      <c r="G1380" s="32">
        <f t="shared" si="2"/>
        <v>0.9666666667</v>
      </c>
      <c r="H1380" s="33"/>
      <c r="I1380" s="32">
        <f t="shared" si="3"/>
        <v>-4.413888889</v>
      </c>
      <c r="J1380" s="34"/>
      <c r="K1380" s="34"/>
      <c r="L1380" s="35"/>
      <c r="M1380" s="35"/>
      <c r="N1380" s="35"/>
      <c r="O1380" s="35"/>
      <c r="P1380" s="36"/>
      <c r="Q1380" s="35"/>
      <c r="R1380" s="29"/>
      <c r="S1380" s="33"/>
      <c r="T1380" s="32"/>
    </row>
    <row r="1381">
      <c r="A1381" s="15" t="s">
        <v>2200</v>
      </c>
      <c r="B1381" s="16" t="s">
        <v>27</v>
      </c>
      <c r="C1381" s="16" t="s">
        <v>28</v>
      </c>
      <c r="D1381" s="17" t="str">
        <f t="shared" ref="D1381:D1385" si="78">IF(E1381&gt;TODAY(),"Coming Soon",IF(F1381="","Active",IF(F1381&gt;TODAY(),"Leaving Soon","Removed")))</f>
        <v>Removed</v>
      </c>
      <c r="E1381" s="62">
        <v>44007.0</v>
      </c>
      <c r="F1381" s="52">
        <v>44362.0</v>
      </c>
      <c r="G1381" s="20">
        <f t="shared" si="2"/>
        <v>11.66666667</v>
      </c>
      <c r="H1381" s="18">
        <v>43606.0</v>
      </c>
      <c r="I1381" s="20">
        <f t="shared" si="3"/>
        <v>1.094444444</v>
      </c>
      <c r="J1381" s="53">
        <v>79.0</v>
      </c>
      <c r="K1381" s="53">
        <v>6.0</v>
      </c>
      <c r="L1381" s="23" t="s">
        <v>37</v>
      </c>
      <c r="M1381" s="23"/>
      <c r="N1381" s="23"/>
      <c r="O1381" s="23"/>
      <c r="P1381" s="54"/>
      <c r="Q1381" s="23"/>
      <c r="R1381" s="17"/>
      <c r="S1381" s="18"/>
      <c r="T1381" s="20"/>
    </row>
    <row r="1382">
      <c r="A1382" s="27" t="s">
        <v>2201</v>
      </c>
      <c r="B1382" s="28" t="s">
        <v>27</v>
      </c>
      <c r="C1382" s="28" t="s">
        <v>28</v>
      </c>
      <c r="D1382" s="29" t="str">
        <f t="shared" si="78"/>
        <v>Removed</v>
      </c>
      <c r="E1382" s="30">
        <v>44000.0</v>
      </c>
      <c r="F1382" s="31">
        <v>44362.0</v>
      </c>
      <c r="G1382" s="32">
        <f t="shared" si="2"/>
        <v>11.9</v>
      </c>
      <c r="H1382" s="33">
        <v>44000.0</v>
      </c>
      <c r="I1382" s="32">
        <f t="shared" si="3"/>
        <v>0</v>
      </c>
      <c r="J1382" s="34">
        <v>71.0</v>
      </c>
      <c r="K1382" s="34">
        <v>11.5</v>
      </c>
      <c r="L1382" s="35" t="s">
        <v>2202</v>
      </c>
      <c r="M1382" s="35"/>
      <c r="N1382" s="35"/>
      <c r="O1382" s="35"/>
      <c r="P1382" s="36"/>
      <c r="Q1382" s="35"/>
      <c r="R1382" s="29"/>
      <c r="S1382" s="33"/>
      <c r="T1382" s="32"/>
    </row>
    <row r="1383">
      <c r="A1383" s="64" t="s">
        <v>2203</v>
      </c>
      <c r="B1383" s="16" t="s">
        <v>68</v>
      </c>
      <c r="C1383" s="17"/>
      <c r="D1383" s="17" t="str">
        <f t="shared" si="78"/>
        <v>Removed</v>
      </c>
      <c r="E1383" s="76">
        <v>43909.0</v>
      </c>
      <c r="F1383" s="52">
        <v>44362.0</v>
      </c>
      <c r="G1383" s="20">
        <f t="shared" si="2"/>
        <v>14.86666667</v>
      </c>
      <c r="H1383" s="18">
        <v>43480.0</v>
      </c>
      <c r="I1383" s="20">
        <f t="shared" si="3"/>
        <v>1.177777778</v>
      </c>
      <c r="J1383" s="65">
        <v>79.0</v>
      </c>
      <c r="K1383" s="53">
        <v>10.5</v>
      </c>
      <c r="L1383" s="43" t="s">
        <v>2204</v>
      </c>
      <c r="M1383" s="43"/>
      <c r="N1383" s="43"/>
      <c r="O1383" s="43"/>
      <c r="P1383" s="66"/>
      <c r="Q1383" s="43"/>
      <c r="R1383" s="17"/>
      <c r="S1383" s="18"/>
      <c r="T1383" s="20"/>
    </row>
    <row r="1384">
      <c r="A1384" s="67" t="s">
        <v>2205</v>
      </c>
      <c r="B1384" s="28" t="s">
        <v>27</v>
      </c>
      <c r="C1384" s="28" t="s">
        <v>28</v>
      </c>
      <c r="D1384" s="29" t="str">
        <f t="shared" si="78"/>
        <v>Removed</v>
      </c>
      <c r="E1384" s="70">
        <v>43663.0</v>
      </c>
      <c r="F1384" s="31">
        <v>44362.0</v>
      </c>
      <c r="G1384" s="32">
        <f t="shared" si="2"/>
        <v>22.93333333</v>
      </c>
      <c r="H1384" s="33">
        <v>43663.0</v>
      </c>
      <c r="I1384" s="32">
        <f t="shared" si="3"/>
        <v>0</v>
      </c>
      <c r="J1384" s="69">
        <v>68.0</v>
      </c>
      <c r="K1384" s="34">
        <v>4.0</v>
      </c>
      <c r="L1384" s="44" t="s">
        <v>362</v>
      </c>
      <c r="M1384" s="44"/>
      <c r="N1384" s="44"/>
      <c r="O1384" s="44"/>
      <c r="P1384" s="71"/>
      <c r="Q1384" s="44"/>
      <c r="R1384" s="29"/>
      <c r="S1384" s="33"/>
      <c r="T1384" s="32"/>
    </row>
    <row r="1385">
      <c r="A1385" s="64" t="s">
        <v>2206</v>
      </c>
      <c r="B1385" s="16" t="s">
        <v>27</v>
      </c>
      <c r="C1385" s="16" t="s">
        <v>28</v>
      </c>
      <c r="D1385" s="17" t="str">
        <f t="shared" si="78"/>
        <v>Removed</v>
      </c>
      <c r="E1385" s="76">
        <v>43625.0</v>
      </c>
      <c r="F1385" s="52">
        <v>44362.0</v>
      </c>
      <c r="G1385" s="20">
        <f t="shared" si="2"/>
        <v>24.2</v>
      </c>
      <c r="H1385" s="18">
        <v>43235.0</v>
      </c>
      <c r="I1385" s="20">
        <f t="shared" si="3"/>
        <v>1.066666667</v>
      </c>
      <c r="J1385" s="65">
        <v>79.0</v>
      </c>
      <c r="K1385" s="53">
        <v>6.0</v>
      </c>
      <c r="L1385" s="23" t="s">
        <v>122</v>
      </c>
      <c r="M1385" s="43"/>
      <c r="N1385" s="43"/>
      <c r="O1385" s="43"/>
      <c r="P1385" s="66"/>
      <c r="Q1385" s="43"/>
      <c r="R1385" s="17"/>
      <c r="S1385" s="18"/>
      <c r="T1385" s="20"/>
    </row>
    <row r="1386">
      <c r="A1386" s="27" t="s">
        <v>2207</v>
      </c>
      <c r="B1386" s="28" t="s">
        <v>1859</v>
      </c>
      <c r="C1386" s="29"/>
      <c r="D1386" s="29" t="s">
        <v>1860</v>
      </c>
      <c r="E1386" s="70">
        <v>44332.0</v>
      </c>
      <c r="F1386" s="30">
        <v>44347.0</v>
      </c>
      <c r="G1386" s="32">
        <f t="shared" si="2"/>
        <v>0.4666666667</v>
      </c>
      <c r="H1386" s="33"/>
      <c r="I1386" s="32">
        <f t="shared" si="3"/>
        <v>-4.413888889</v>
      </c>
      <c r="J1386" s="34"/>
      <c r="K1386" s="34"/>
      <c r="L1386" s="35"/>
      <c r="M1386" s="35"/>
      <c r="N1386" s="35" t="s">
        <v>1612</v>
      </c>
      <c r="O1386" s="35"/>
      <c r="P1386" s="36"/>
      <c r="Q1386" s="35"/>
      <c r="R1386" s="29"/>
      <c r="S1386" s="33"/>
      <c r="T1386" s="32"/>
    </row>
    <row r="1387">
      <c r="A1387" s="15" t="s">
        <v>2208</v>
      </c>
      <c r="B1387" s="16" t="s">
        <v>68</v>
      </c>
      <c r="C1387" s="17"/>
      <c r="D1387" s="17" t="str">
        <f t="shared" ref="D1387:D1391" si="79">IF(E1387&gt;TODAY(),"Coming Soon",IF(F1387="","Active",IF(F1387&gt;TODAY(),"Leaving Soon","Removed")))</f>
        <v>Removed</v>
      </c>
      <c r="E1387" s="62">
        <v>43993.0</v>
      </c>
      <c r="F1387" s="52">
        <v>44347.0</v>
      </c>
      <c r="G1387" s="20">
        <f t="shared" si="2"/>
        <v>11.63333333</v>
      </c>
      <c r="H1387" s="18">
        <v>42803.0</v>
      </c>
      <c r="I1387" s="20">
        <f t="shared" si="3"/>
        <v>3.255555556</v>
      </c>
      <c r="J1387" s="53">
        <v>88.0</v>
      </c>
      <c r="K1387" s="53">
        <v>115.0</v>
      </c>
      <c r="L1387" s="23" t="s">
        <v>2209</v>
      </c>
      <c r="M1387" s="23"/>
      <c r="N1387" s="23"/>
      <c r="O1387" s="23"/>
      <c r="P1387" s="54"/>
      <c r="Q1387" s="23"/>
      <c r="R1387" s="17"/>
      <c r="S1387" s="18"/>
      <c r="T1387" s="20"/>
    </row>
    <row r="1388">
      <c r="A1388" s="27" t="s">
        <v>2210</v>
      </c>
      <c r="B1388" s="28" t="s">
        <v>68</v>
      </c>
      <c r="C1388" s="29"/>
      <c r="D1388" s="29" t="str">
        <f t="shared" si="79"/>
        <v>Removed</v>
      </c>
      <c r="E1388" s="30">
        <v>43993.0</v>
      </c>
      <c r="F1388" s="31">
        <v>44347.0</v>
      </c>
      <c r="G1388" s="32">
        <f t="shared" si="2"/>
        <v>11.63333333</v>
      </c>
      <c r="H1388" s="33">
        <v>42759.0</v>
      </c>
      <c r="I1388" s="32">
        <f t="shared" si="3"/>
        <v>3.380555556</v>
      </c>
      <c r="J1388" s="34">
        <v>82.0</v>
      </c>
      <c r="K1388" s="34">
        <v>17.0</v>
      </c>
      <c r="L1388" s="35" t="s">
        <v>2209</v>
      </c>
      <c r="M1388" s="35"/>
      <c r="N1388" s="35"/>
      <c r="O1388" s="35"/>
      <c r="P1388" s="36"/>
      <c r="Q1388" s="35"/>
      <c r="R1388" s="29"/>
      <c r="S1388" s="33"/>
      <c r="T1388" s="32"/>
    </row>
    <row r="1389">
      <c r="A1389" s="64" t="s">
        <v>2211</v>
      </c>
      <c r="B1389" s="17" t="s">
        <v>40</v>
      </c>
      <c r="C1389" s="17"/>
      <c r="D1389" s="17" t="str">
        <f t="shared" si="79"/>
        <v>Removed</v>
      </c>
      <c r="E1389" s="76">
        <v>43625.0</v>
      </c>
      <c r="F1389" s="52">
        <v>44347.0</v>
      </c>
      <c r="G1389" s="20">
        <f t="shared" si="2"/>
        <v>23.7</v>
      </c>
      <c r="H1389" s="18">
        <v>42292.0</v>
      </c>
      <c r="I1389" s="20">
        <f t="shared" si="3"/>
        <v>3.65</v>
      </c>
      <c r="J1389" s="65">
        <v>83.0</v>
      </c>
      <c r="K1389" s="53">
        <v>6.5</v>
      </c>
      <c r="L1389" s="23" t="s">
        <v>1338</v>
      </c>
      <c r="M1389" s="23"/>
      <c r="N1389" s="23"/>
      <c r="O1389" s="23"/>
      <c r="P1389" s="54"/>
      <c r="Q1389" s="23"/>
      <c r="R1389" s="16"/>
      <c r="S1389" s="18"/>
      <c r="T1389" s="20"/>
    </row>
    <row r="1390">
      <c r="A1390" s="67" t="s">
        <v>2212</v>
      </c>
      <c r="B1390" s="28" t="s">
        <v>27</v>
      </c>
      <c r="C1390" s="28" t="s">
        <v>28</v>
      </c>
      <c r="D1390" s="29" t="str">
        <f t="shared" si="79"/>
        <v>Removed</v>
      </c>
      <c r="E1390" s="70">
        <v>43614.0</v>
      </c>
      <c r="F1390" s="31">
        <v>44347.0</v>
      </c>
      <c r="G1390" s="32">
        <f t="shared" si="2"/>
        <v>24.03333333</v>
      </c>
      <c r="H1390" s="33">
        <v>43614.0</v>
      </c>
      <c r="I1390" s="32">
        <f t="shared" si="3"/>
        <v>0</v>
      </c>
      <c r="J1390" s="69">
        <v>75.0</v>
      </c>
      <c r="K1390" s="34">
        <v>8.0</v>
      </c>
      <c r="L1390" s="44" t="s">
        <v>576</v>
      </c>
      <c r="M1390" s="44"/>
      <c r="N1390" s="44"/>
      <c r="O1390" s="44"/>
      <c r="P1390" s="71"/>
      <c r="Q1390" s="44"/>
      <c r="R1390" s="29"/>
      <c r="S1390" s="33"/>
      <c r="T1390" s="32"/>
    </row>
    <row r="1391">
      <c r="A1391" s="64" t="s">
        <v>2213</v>
      </c>
      <c r="B1391" s="16" t="s">
        <v>27</v>
      </c>
      <c r="C1391" s="16" t="s">
        <v>28</v>
      </c>
      <c r="D1391" s="17" t="str">
        <f t="shared" si="79"/>
        <v>Removed</v>
      </c>
      <c r="E1391" s="76">
        <v>43594.0</v>
      </c>
      <c r="F1391" s="52">
        <v>44347.0</v>
      </c>
      <c r="G1391" s="20">
        <f t="shared" si="2"/>
        <v>24.7</v>
      </c>
      <c r="H1391" s="18">
        <v>43174.0</v>
      </c>
      <c r="I1391" s="20">
        <f t="shared" si="3"/>
        <v>1.15</v>
      </c>
      <c r="J1391" s="65">
        <v>76.0</v>
      </c>
      <c r="K1391" s="53">
        <v>18.5</v>
      </c>
      <c r="L1391" s="43" t="s">
        <v>522</v>
      </c>
      <c r="M1391" s="43"/>
      <c r="N1391" s="43"/>
      <c r="O1391" s="43"/>
      <c r="P1391" s="66"/>
      <c r="Q1391" s="43"/>
      <c r="R1391" s="17"/>
      <c r="S1391" s="18"/>
      <c r="T1391" s="20"/>
    </row>
    <row r="1392">
      <c r="A1392" s="27" t="s">
        <v>2214</v>
      </c>
      <c r="B1392" s="28" t="s">
        <v>1610</v>
      </c>
      <c r="C1392" s="29"/>
      <c r="D1392" s="29" t="s">
        <v>1611</v>
      </c>
      <c r="E1392" s="70">
        <v>44317.0</v>
      </c>
      <c r="F1392" s="30">
        <v>44346.0</v>
      </c>
      <c r="G1392" s="32">
        <f t="shared" si="2"/>
        <v>0.9666666667</v>
      </c>
      <c r="H1392" s="33"/>
      <c r="I1392" s="32">
        <f t="shared" si="3"/>
        <v>-4.455555556</v>
      </c>
      <c r="J1392" s="34"/>
      <c r="K1392" s="34"/>
      <c r="L1392" s="35"/>
      <c r="M1392" s="35"/>
      <c r="N1392" s="35"/>
      <c r="O1392" s="35"/>
      <c r="P1392" s="36"/>
      <c r="Q1392" s="35"/>
      <c r="R1392" s="29"/>
      <c r="S1392" s="33"/>
      <c r="T1392" s="32"/>
    </row>
    <row r="1393">
      <c r="A1393" s="15" t="s">
        <v>2215</v>
      </c>
      <c r="B1393" s="16" t="s">
        <v>68</v>
      </c>
      <c r="C1393" s="16" t="s">
        <v>28</v>
      </c>
      <c r="D1393" s="17" t="str">
        <f t="shared" ref="D1393:D1394" si="80">IF(E1393&gt;TODAY(),"Coming Soon",IF(F1393="","Active",IF(F1393&gt;TODAY(),"Leaving Soon","Removed")))</f>
        <v>Removed</v>
      </c>
      <c r="E1393" s="18">
        <v>44175.0</v>
      </c>
      <c r="F1393" s="52">
        <v>44346.0</v>
      </c>
      <c r="G1393" s="20">
        <f t="shared" si="2"/>
        <v>5.666666667</v>
      </c>
      <c r="H1393" s="18">
        <v>41992.0</v>
      </c>
      <c r="I1393" s="20">
        <f t="shared" si="3"/>
        <v>5.975</v>
      </c>
      <c r="J1393" s="53">
        <v>63.0</v>
      </c>
      <c r="K1393" s="53">
        <v>40.5</v>
      </c>
      <c r="L1393" s="23" t="s">
        <v>787</v>
      </c>
      <c r="M1393" s="23"/>
      <c r="N1393" s="23"/>
      <c r="O1393" s="23"/>
      <c r="P1393" s="54"/>
      <c r="Q1393" s="23"/>
      <c r="R1393" s="17"/>
      <c r="S1393" s="18"/>
      <c r="T1393" s="20"/>
    </row>
    <row r="1394">
      <c r="A1394" s="27" t="s">
        <v>2216</v>
      </c>
      <c r="B1394" s="28" t="s">
        <v>40</v>
      </c>
      <c r="C1394" s="28"/>
      <c r="D1394" s="29" t="str">
        <f t="shared" si="80"/>
        <v>Removed</v>
      </c>
      <c r="E1394" s="33">
        <v>44273.0</v>
      </c>
      <c r="F1394" s="31">
        <v>44336.0</v>
      </c>
      <c r="G1394" s="32">
        <f t="shared" si="2"/>
        <v>2.066666667</v>
      </c>
      <c r="H1394" s="33">
        <v>42747.0</v>
      </c>
      <c r="I1394" s="32">
        <f t="shared" si="3"/>
        <v>4.183333333</v>
      </c>
      <c r="J1394" s="34">
        <v>83.0</v>
      </c>
      <c r="K1394" s="34">
        <v>3.0</v>
      </c>
      <c r="L1394" s="35" t="s">
        <v>562</v>
      </c>
      <c r="M1394" s="35"/>
      <c r="N1394" s="35"/>
      <c r="O1394" s="35"/>
      <c r="P1394" s="36"/>
      <c r="Q1394" s="35"/>
      <c r="R1394" s="28"/>
      <c r="S1394" s="33"/>
      <c r="T1394" s="32"/>
    </row>
    <row r="1395">
      <c r="A1395" s="15" t="s">
        <v>2217</v>
      </c>
      <c r="B1395" s="16" t="s">
        <v>1859</v>
      </c>
      <c r="C1395" s="17"/>
      <c r="D1395" s="17" t="s">
        <v>1860</v>
      </c>
      <c r="E1395" s="76">
        <v>44317.0</v>
      </c>
      <c r="F1395" s="62">
        <v>44331.0</v>
      </c>
      <c r="G1395" s="20">
        <f t="shared" si="2"/>
        <v>0.4666666667</v>
      </c>
      <c r="H1395" s="18"/>
      <c r="I1395" s="20">
        <f t="shared" si="3"/>
        <v>-4.455555556</v>
      </c>
      <c r="J1395" s="53"/>
      <c r="K1395" s="53"/>
      <c r="L1395" s="23"/>
      <c r="M1395" s="23"/>
      <c r="N1395" s="23" t="s">
        <v>1612</v>
      </c>
      <c r="O1395" s="23"/>
      <c r="P1395" s="54"/>
      <c r="Q1395" s="23"/>
      <c r="R1395" s="17"/>
      <c r="S1395" s="18"/>
      <c r="T1395" s="20"/>
    </row>
    <row r="1396">
      <c r="A1396" s="27" t="s">
        <v>2218</v>
      </c>
      <c r="B1396" s="28" t="s">
        <v>1610</v>
      </c>
      <c r="C1396" s="29"/>
      <c r="D1396" s="29" t="s">
        <v>1611</v>
      </c>
      <c r="E1396" s="70">
        <v>44302.0</v>
      </c>
      <c r="F1396" s="30">
        <v>44331.0</v>
      </c>
      <c r="G1396" s="32">
        <f t="shared" si="2"/>
        <v>0.9666666667</v>
      </c>
      <c r="H1396" s="33"/>
      <c r="I1396" s="32">
        <f t="shared" si="3"/>
        <v>-4.497222222</v>
      </c>
      <c r="J1396" s="34"/>
      <c r="K1396" s="34"/>
      <c r="L1396" s="35"/>
      <c r="M1396" s="35"/>
      <c r="N1396" s="35" t="s">
        <v>1612</v>
      </c>
      <c r="O1396" s="35"/>
      <c r="P1396" s="36"/>
      <c r="Q1396" s="35"/>
      <c r="R1396" s="29"/>
      <c r="S1396" s="33"/>
      <c r="T1396" s="32"/>
    </row>
    <row r="1397">
      <c r="A1397" s="15" t="s">
        <v>2219</v>
      </c>
      <c r="B1397" s="16" t="s">
        <v>40</v>
      </c>
      <c r="C1397" s="17"/>
      <c r="D1397" s="17" t="str">
        <f t="shared" ref="D1397:D1408" si="81">IF(E1397&gt;TODAY(),"Coming Soon",IF(F1397="","Active",IF(F1397&gt;TODAY(),"Leaving Soon","Removed")))</f>
        <v>Removed</v>
      </c>
      <c r="E1397" s="62">
        <v>43993.0</v>
      </c>
      <c r="F1397" s="52">
        <v>44331.0</v>
      </c>
      <c r="G1397" s="20">
        <f t="shared" si="2"/>
        <v>11.13333333</v>
      </c>
      <c r="H1397" s="18">
        <v>43489.0</v>
      </c>
      <c r="I1397" s="20">
        <f t="shared" si="3"/>
        <v>1.380555556</v>
      </c>
      <c r="J1397" s="53">
        <v>77.0</v>
      </c>
      <c r="K1397" s="53">
        <v>120.0</v>
      </c>
      <c r="L1397" s="23" t="s">
        <v>726</v>
      </c>
      <c r="M1397" s="23"/>
      <c r="N1397" s="23"/>
      <c r="O1397" s="23"/>
      <c r="P1397" s="54"/>
      <c r="Q1397" s="23"/>
      <c r="R1397" s="16"/>
      <c r="S1397" s="18"/>
      <c r="T1397" s="20"/>
    </row>
    <row r="1398">
      <c r="A1398" s="27" t="s">
        <v>2220</v>
      </c>
      <c r="B1398" s="28" t="s">
        <v>27</v>
      </c>
      <c r="C1398" s="28" t="s">
        <v>28</v>
      </c>
      <c r="D1398" s="29" t="str">
        <f t="shared" si="81"/>
        <v>Removed</v>
      </c>
      <c r="E1398" s="30">
        <v>43993.0</v>
      </c>
      <c r="F1398" s="31">
        <v>44331.0</v>
      </c>
      <c r="G1398" s="32">
        <f t="shared" si="2"/>
        <v>11.13333333</v>
      </c>
      <c r="H1398" s="33">
        <v>41939.0</v>
      </c>
      <c r="I1398" s="32">
        <f t="shared" si="3"/>
        <v>5.622222222</v>
      </c>
      <c r="J1398" s="34">
        <f>(78+79)/2</f>
        <v>78.5</v>
      </c>
      <c r="K1398" s="34">
        <v>7.0</v>
      </c>
      <c r="L1398" s="35" t="s">
        <v>567</v>
      </c>
      <c r="M1398" s="35"/>
      <c r="N1398" s="35"/>
      <c r="O1398" s="35"/>
      <c r="P1398" s="36"/>
      <c r="Q1398" s="35"/>
      <c r="R1398" s="29"/>
      <c r="S1398" s="33"/>
      <c r="T1398" s="32"/>
    </row>
    <row r="1399">
      <c r="A1399" s="15" t="s">
        <v>2221</v>
      </c>
      <c r="B1399" s="16" t="s">
        <v>40</v>
      </c>
      <c r="C1399" s="17"/>
      <c r="D1399" s="17" t="str">
        <f t="shared" si="81"/>
        <v>Removed</v>
      </c>
      <c r="E1399" s="62">
        <v>43977.0</v>
      </c>
      <c r="F1399" s="52">
        <v>44331.0</v>
      </c>
      <c r="G1399" s="20">
        <f t="shared" si="2"/>
        <v>11.63333333</v>
      </c>
      <c r="H1399" s="18">
        <v>43929.0</v>
      </c>
      <c r="I1399" s="20">
        <f t="shared" si="3"/>
        <v>0.1333333333</v>
      </c>
      <c r="J1399" s="53">
        <v>84.0</v>
      </c>
      <c r="K1399" s="53">
        <v>5.0</v>
      </c>
      <c r="L1399" s="23" t="s">
        <v>567</v>
      </c>
      <c r="M1399" s="23"/>
      <c r="N1399" s="23"/>
      <c r="O1399" s="23"/>
      <c r="P1399" s="54"/>
      <c r="Q1399" s="23"/>
      <c r="R1399" s="16"/>
      <c r="S1399" s="18"/>
      <c r="T1399" s="20"/>
    </row>
    <row r="1400">
      <c r="A1400" s="27" t="s">
        <v>2222</v>
      </c>
      <c r="B1400" s="28" t="s">
        <v>27</v>
      </c>
      <c r="C1400" s="29"/>
      <c r="D1400" s="29" t="str">
        <f t="shared" si="81"/>
        <v>Removed</v>
      </c>
      <c r="E1400" s="30">
        <v>43972.0</v>
      </c>
      <c r="F1400" s="31">
        <v>44331.0</v>
      </c>
      <c r="G1400" s="32">
        <f t="shared" si="2"/>
        <v>11.8</v>
      </c>
      <c r="H1400" s="33">
        <v>40312.0</v>
      </c>
      <c r="I1400" s="32">
        <f t="shared" si="3"/>
        <v>10.01944444</v>
      </c>
      <c r="J1400" s="69">
        <v>83.0</v>
      </c>
      <c r="K1400" s="34">
        <v>11.0</v>
      </c>
      <c r="L1400" s="44" t="s">
        <v>201</v>
      </c>
      <c r="M1400" s="35" t="s">
        <v>451</v>
      </c>
      <c r="N1400" s="44"/>
      <c r="O1400" s="35"/>
      <c r="P1400" s="36"/>
      <c r="Q1400" s="35" t="s">
        <v>2223</v>
      </c>
      <c r="R1400" s="29"/>
      <c r="S1400" s="33"/>
      <c r="T1400" s="32"/>
    </row>
    <row r="1401">
      <c r="A1401" s="15" t="s">
        <v>2224</v>
      </c>
      <c r="B1401" s="16" t="s">
        <v>27</v>
      </c>
      <c r="C1401" s="17"/>
      <c r="D1401" s="17" t="str">
        <f t="shared" si="81"/>
        <v>Removed</v>
      </c>
      <c r="E1401" s="62">
        <v>43965.0</v>
      </c>
      <c r="F1401" s="52">
        <v>44331.0</v>
      </c>
      <c r="G1401" s="20">
        <f t="shared" si="2"/>
        <v>12.03333333</v>
      </c>
      <c r="H1401" s="18">
        <v>36714.0</v>
      </c>
      <c r="I1401" s="20">
        <f t="shared" si="3"/>
        <v>19.85277778</v>
      </c>
      <c r="J1401" s="65">
        <v>85.0</v>
      </c>
      <c r="K1401" s="53">
        <v>40.0</v>
      </c>
      <c r="L1401" s="23" t="s">
        <v>1607</v>
      </c>
      <c r="M1401" s="43"/>
      <c r="N1401" s="43"/>
      <c r="O1401" s="43"/>
      <c r="P1401" s="66"/>
      <c r="Q1401" s="23"/>
      <c r="R1401" s="17"/>
      <c r="S1401" s="18"/>
      <c r="T1401" s="20"/>
    </row>
    <row r="1402">
      <c r="A1402" s="67" t="s">
        <v>2225</v>
      </c>
      <c r="B1402" s="29" t="s">
        <v>40</v>
      </c>
      <c r="C1402" s="29"/>
      <c r="D1402" s="29" t="str">
        <f t="shared" si="81"/>
        <v>Removed</v>
      </c>
      <c r="E1402" s="70">
        <v>43625.0</v>
      </c>
      <c r="F1402" s="31">
        <v>44331.0</v>
      </c>
      <c r="G1402" s="32">
        <f t="shared" si="2"/>
        <v>23.2</v>
      </c>
      <c r="H1402" s="33">
        <v>41205.0</v>
      </c>
      <c r="I1402" s="32">
        <f t="shared" si="3"/>
        <v>6.627777778</v>
      </c>
      <c r="J1402" s="69">
        <v>85.0</v>
      </c>
      <c r="K1402" s="34">
        <v>5.0</v>
      </c>
      <c r="L1402" s="44" t="s">
        <v>366</v>
      </c>
      <c r="M1402" s="44"/>
      <c r="N1402" s="44"/>
      <c r="O1402" s="44"/>
      <c r="P1402" s="71"/>
      <c r="Q1402" s="44"/>
      <c r="R1402" s="28"/>
      <c r="S1402" s="33"/>
      <c r="T1402" s="32"/>
    </row>
    <row r="1403">
      <c r="A1403" s="15" t="s">
        <v>2226</v>
      </c>
      <c r="B1403" s="16" t="s">
        <v>27</v>
      </c>
      <c r="C1403" s="16"/>
      <c r="D1403" s="17" t="str">
        <f t="shared" si="81"/>
        <v>Removed</v>
      </c>
      <c r="E1403" s="18">
        <v>44145.0</v>
      </c>
      <c r="F1403" s="52">
        <v>44322.0</v>
      </c>
      <c r="G1403" s="20">
        <f t="shared" si="2"/>
        <v>5.866666667</v>
      </c>
      <c r="H1403" s="18">
        <v>41905.0</v>
      </c>
      <c r="I1403" s="20">
        <f t="shared" si="3"/>
        <v>6.130555556</v>
      </c>
      <c r="J1403" s="53">
        <v>82.0</v>
      </c>
      <c r="K1403" s="53">
        <v>128.0</v>
      </c>
      <c r="L1403" s="23" t="s">
        <v>856</v>
      </c>
      <c r="M1403" s="23"/>
      <c r="N1403" s="23"/>
      <c r="O1403" s="23"/>
      <c r="P1403" s="54"/>
      <c r="Q1403" s="23"/>
      <c r="R1403" s="17"/>
      <c r="S1403" s="18"/>
      <c r="T1403" s="20"/>
    </row>
    <row r="1404">
      <c r="A1404" s="27" t="s">
        <v>2227</v>
      </c>
      <c r="B1404" s="28" t="s">
        <v>27</v>
      </c>
      <c r="C1404" s="28"/>
      <c r="D1404" s="29" t="str">
        <f t="shared" si="81"/>
        <v>Removed</v>
      </c>
      <c r="E1404" s="33">
        <v>44145.0</v>
      </c>
      <c r="F1404" s="31">
        <v>44322.0</v>
      </c>
      <c r="G1404" s="32">
        <f t="shared" si="2"/>
        <v>5.866666667</v>
      </c>
      <c r="H1404" s="33">
        <v>42269.0</v>
      </c>
      <c r="I1404" s="32">
        <f t="shared" si="3"/>
        <v>5.133333333</v>
      </c>
      <c r="J1404" s="34">
        <v>84.0</v>
      </c>
      <c r="K1404" s="34">
        <v>108.0</v>
      </c>
      <c r="L1404" s="35" t="s">
        <v>856</v>
      </c>
      <c r="M1404" s="35"/>
      <c r="N1404" s="35"/>
      <c r="O1404" s="35"/>
      <c r="P1404" s="36"/>
      <c r="Q1404" s="35"/>
      <c r="R1404" s="29"/>
      <c r="S1404" s="33"/>
      <c r="T1404" s="32"/>
    </row>
    <row r="1405">
      <c r="A1405" s="15" t="s">
        <v>2228</v>
      </c>
      <c r="B1405" s="16" t="s">
        <v>27</v>
      </c>
      <c r="C1405" s="16"/>
      <c r="D1405" s="17" t="str">
        <f t="shared" si="81"/>
        <v>Removed</v>
      </c>
      <c r="E1405" s="18">
        <v>44145.0</v>
      </c>
      <c r="F1405" s="52">
        <v>44322.0</v>
      </c>
      <c r="G1405" s="20">
        <f t="shared" si="2"/>
        <v>5.866666667</v>
      </c>
      <c r="H1405" s="18">
        <v>42640.0</v>
      </c>
      <c r="I1405" s="20">
        <f t="shared" si="3"/>
        <v>4.119444444</v>
      </c>
      <c r="J1405" s="53">
        <v>84.0</v>
      </c>
      <c r="K1405" s="53">
        <v>52.0</v>
      </c>
      <c r="L1405" s="23" t="s">
        <v>856</v>
      </c>
      <c r="M1405" s="23"/>
      <c r="N1405" s="23"/>
      <c r="O1405" s="23"/>
      <c r="P1405" s="54"/>
      <c r="Q1405" s="23"/>
      <c r="R1405" s="17"/>
      <c r="S1405" s="18"/>
      <c r="T1405" s="20"/>
    </row>
    <row r="1406">
      <c r="A1406" s="27" t="s">
        <v>2229</v>
      </c>
      <c r="B1406" s="28" t="s">
        <v>27</v>
      </c>
      <c r="C1406" s="28"/>
      <c r="D1406" s="29" t="str">
        <f t="shared" si="81"/>
        <v>Removed</v>
      </c>
      <c r="E1406" s="33">
        <v>44145.0</v>
      </c>
      <c r="F1406" s="31">
        <v>44322.0</v>
      </c>
      <c r="G1406" s="32">
        <f t="shared" si="2"/>
        <v>5.866666667</v>
      </c>
      <c r="H1406" s="33">
        <v>43007.0</v>
      </c>
      <c r="I1406" s="32">
        <f t="shared" si="3"/>
        <v>3.113888889</v>
      </c>
      <c r="J1406" s="34">
        <v>83.0</v>
      </c>
      <c r="K1406" s="34">
        <v>36.5</v>
      </c>
      <c r="L1406" s="35" t="s">
        <v>856</v>
      </c>
      <c r="M1406" s="35"/>
      <c r="N1406" s="35"/>
      <c r="O1406" s="35"/>
      <c r="P1406" s="36"/>
      <c r="Q1406" s="35"/>
      <c r="R1406" s="29"/>
      <c r="S1406" s="33"/>
      <c r="T1406" s="32"/>
    </row>
    <row r="1407">
      <c r="A1407" s="15" t="s">
        <v>2230</v>
      </c>
      <c r="B1407" s="16" t="s">
        <v>68</v>
      </c>
      <c r="C1407" s="16"/>
      <c r="D1407" s="17" t="str">
        <f t="shared" si="81"/>
        <v>Removed</v>
      </c>
      <c r="E1407" s="18">
        <v>44145.0</v>
      </c>
      <c r="F1407" s="52">
        <v>44322.0</v>
      </c>
      <c r="G1407" s="20">
        <f t="shared" si="2"/>
        <v>5.866666667</v>
      </c>
      <c r="H1407" s="18">
        <v>41940.0</v>
      </c>
      <c r="I1407" s="20">
        <f t="shared" si="3"/>
        <v>6.033333333</v>
      </c>
      <c r="J1407" s="53">
        <v>53.0</v>
      </c>
      <c r="K1407" s="53">
        <v>39.0</v>
      </c>
      <c r="L1407" s="23" t="s">
        <v>922</v>
      </c>
      <c r="M1407" s="23"/>
      <c r="N1407" s="23"/>
      <c r="O1407" s="23"/>
      <c r="P1407" s="54"/>
      <c r="Q1407" s="23"/>
      <c r="R1407" s="17"/>
      <c r="S1407" s="18"/>
      <c r="T1407" s="20"/>
    </row>
    <row r="1408">
      <c r="A1408" s="27" t="s">
        <v>2231</v>
      </c>
      <c r="B1408" s="28" t="s">
        <v>68</v>
      </c>
      <c r="C1408" s="28"/>
      <c r="D1408" s="29" t="str">
        <f t="shared" si="81"/>
        <v>Removed</v>
      </c>
      <c r="E1408" s="33">
        <v>44145.0</v>
      </c>
      <c r="F1408" s="31">
        <v>44322.0</v>
      </c>
      <c r="G1408" s="32">
        <f t="shared" si="2"/>
        <v>5.866666667</v>
      </c>
      <c r="H1408" s="33">
        <v>42993.0</v>
      </c>
      <c r="I1408" s="32">
        <f t="shared" si="3"/>
        <v>3.152777778</v>
      </c>
      <c r="J1408" s="34">
        <v>72.0</v>
      </c>
      <c r="K1408" s="34">
        <v>158.0</v>
      </c>
      <c r="L1408" s="35" t="s">
        <v>922</v>
      </c>
      <c r="M1408" s="35"/>
      <c r="N1408" s="35"/>
      <c r="O1408" s="35"/>
      <c r="P1408" s="36"/>
      <c r="Q1408" s="35"/>
      <c r="R1408" s="29"/>
      <c r="S1408" s="33"/>
      <c r="T1408" s="32"/>
    </row>
    <row r="1409">
      <c r="A1409" s="15" t="s">
        <v>2232</v>
      </c>
      <c r="B1409" s="16" t="s">
        <v>1859</v>
      </c>
      <c r="C1409" s="17"/>
      <c r="D1409" s="17" t="s">
        <v>1860</v>
      </c>
      <c r="E1409" s="76">
        <v>44302.0</v>
      </c>
      <c r="F1409" s="62">
        <v>44316.0</v>
      </c>
      <c r="G1409" s="20">
        <f t="shared" si="2"/>
        <v>0.4666666667</v>
      </c>
      <c r="H1409" s="18"/>
      <c r="I1409" s="20">
        <f t="shared" si="3"/>
        <v>-4.497222222</v>
      </c>
      <c r="J1409" s="53"/>
      <c r="K1409" s="53"/>
      <c r="L1409" s="23"/>
      <c r="M1409" s="23"/>
      <c r="N1409" s="23" t="s">
        <v>1612</v>
      </c>
      <c r="O1409" s="23"/>
      <c r="P1409" s="54"/>
      <c r="Q1409" s="23"/>
      <c r="R1409" s="17"/>
      <c r="S1409" s="18"/>
      <c r="T1409" s="20"/>
    </row>
    <row r="1410">
      <c r="A1410" s="27" t="s">
        <v>2233</v>
      </c>
      <c r="B1410" s="28" t="s">
        <v>1610</v>
      </c>
      <c r="C1410" s="29"/>
      <c r="D1410" s="29" t="s">
        <v>1611</v>
      </c>
      <c r="E1410" s="70">
        <v>44287.0</v>
      </c>
      <c r="F1410" s="30">
        <v>44316.0</v>
      </c>
      <c r="G1410" s="32">
        <f t="shared" si="2"/>
        <v>0.9666666667</v>
      </c>
      <c r="H1410" s="33"/>
      <c r="I1410" s="32">
        <f t="shared" si="3"/>
        <v>-4.538888889</v>
      </c>
      <c r="J1410" s="34"/>
      <c r="K1410" s="34"/>
      <c r="L1410" s="35"/>
      <c r="M1410" s="35"/>
      <c r="N1410" s="35"/>
      <c r="O1410" s="35"/>
      <c r="P1410" s="36"/>
      <c r="Q1410" s="35"/>
      <c r="R1410" s="29"/>
      <c r="S1410" s="33"/>
      <c r="T1410" s="32"/>
    </row>
    <row r="1411">
      <c r="A1411" s="15" t="s">
        <v>2234</v>
      </c>
      <c r="B1411" s="16" t="s">
        <v>68</v>
      </c>
      <c r="C1411" s="16" t="s">
        <v>28</v>
      </c>
      <c r="D1411" s="17" t="str">
        <f t="shared" ref="D1411:D1424" si="82">IF(E1411&gt;TODAY(),"Coming Soon",IF(F1411="","Active",IF(F1411&gt;TODAY(),"Leaving Soon","Removed")))</f>
        <v>Removed</v>
      </c>
      <c r="E1411" s="62">
        <v>43970.0</v>
      </c>
      <c r="F1411" s="52">
        <v>44316.0</v>
      </c>
      <c r="G1411" s="20">
        <f t="shared" si="2"/>
        <v>11.36666667</v>
      </c>
      <c r="H1411" s="18">
        <v>43783.0</v>
      </c>
      <c r="I1411" s="20">
        <f t="shared" si="3"/>
        <v>0.5138888889</v>
      </c>
      <c r="J1411" s="53">
        <v>86.0</v>
      </c>
      <c r="K1411" s="53">
        <v>0.5</v>
      </c>
      <c r="L1411" s="43" t="s">
        <v>362</v>
      </c>
      <c r="M1411" s="43"/>
      <c r="N1411" s="43"/>
      <c r="O1411" s="43"/>
      <c r="P1411" s="66"/>
      <c r="Q1411" s="43"/>
      <c r="R1411" s="17"/>
      <c r="S1411" s="18"/>
      <c r="T1411" s="20"/>
    </row>
    <row r="1412">
      <c r="A1412" s="27" t="s">
        <v>2235</v>
      </c>
      <c r="B1412" s="28" t="s">
        <v>40</v>
      </c>
      <c r="C1412" s="29"/>
      <c r="D1412" s="29" t="str">
        <f t="shared" si="82"/>
        <v>Removed</v>
      </c>
      <c r="E1412" s="30">
        <v>43965.0</v>
      </c>
      <c r="F1412" s="31">
        <v>44316.0</v>
      </c>
      <c r="G1412" s="32">
        <f t="shared" si="2"/>
        <v>11.53333333</v>
      </c>
      <c r="H1412" s="33">
        <v>41900.0</v>
      </c>
      <c r="I1412" s="32">
        <f t="shared" si="3"/>
        <v>5.655555556</v>
      </c>
      <c r="J1412" s="69">
        <v>82.0</v>
      </c>
      <c r="K1412" s="34">
        <v>14.0</v>
      </c>
      <c r="L1412" s="44" t="s">
        <v>119</v>
      </c>
      <c r="M1412" s="44"/>
      <c r="N1412" s="44"/>
      <c r="O1412" s="44"/>
      <c r="P1412" s="71"/>
      <c r="Q1412" s="44"/>
      <c r="R1412" s="28"/>
      <c r="S1412" s="33"/>
      <c r="T1412" s="32"/>
    </row>
    <row r="1413">
      <c r="A1413" s="64" t="s">
        <v>2236</v>
      </c>
      <c r="B1413" s="16" t="s">
        <v>27</v>
      </c>
      <c r="C1413" s="16" t="s">
        <v>28</v>
      </c>
      <c r="D1413" s="17" t="str">
        <f t="shared" si="82"/>
        <v>Removed</v>
      </c>
      <c r="E1413" s="76">
        <v>43951.0</v>
      </c>
      <c r="F1413" s="52">
        <v>44316.0</v>
      </c>
      <c r="G1413" s="20">
        <f t="shared" si="2"/>
        <v>12</v>
      </c>
      <c r="H1413" s="18">
        <v>43573.0</v>
      </c>
      <c r="I1413" s="20">
        <f t="shared" si="3"/>
        <v>1.033333333</v>
      </c>
      <c r="J1413" s="53">
        <v>82.0</v>
      </c>
      <c r="K1413" s="53">
        <v>66.0</v>
      </c>
      <c r="L1413" s="23" t="s">
        <v>918</v>
      </c>
      <c r="M1413" s="23"/>
      <c r="N1413" s="23"/>
      <c r="O1413" s="23"/>
      <c r="P1413" s="54"/>
      <c r="Q1413" s="23"/>
      <c r="R1413" s="17"/>
      <c r="S1413" s="18"/>
      <c r="T1413" s="20"/>
    </row>
    <row r="1414">
      <c r="A1414" s="67" t="s">
        <v>2086</v>
      </c>
      <c r="B1414" s="28" t="s">
        <v>27</v>
      </c>
      <c r="C1414" s="28" t="s">
        <v>28</v>
      </c>
      <c r="D1414" s="29" t="str">
        <f t="shared" si="82"/>
        <v>Removed</v>
      </c>
      <c r="E1414" s="70">
        <v>43949.0</v>
      </c>
      <c r="F1414" s="31">
        <v>44316.0</v>
      </c>
      <c r="G1414" s="32">
        <f t="shared" si="2"/>
        <v>12.06666667</v>
      </c>
      <c r="H1414" s="33">
        <v>43941.0</v>
      </c>
      <c r="I1414" s="32">
        <f t="shared" si="3"/>
        <v>0.02222222222</v>
      </c>
      <c r="J1414" s="69">
        <v>78.0</v>
      </c>
      <c r="K1414" s="34">
        <v>4.0</v>
      </c>
      <c r="L1414" s="44" t="s">
        <v>1016</v>
      </c>
      <c r="M1414" s="35" t="s">
        <v>451</v>
      </c>
      <c r="N1414" s="44"/>
      <c r="O1414" s="44"/>
      <c r="P1414" s="71"/>
      <c r="Q1414" s="44"/>
      <c r="R1414" s="29"/>
      <c r="S1414" s="33"/>
      <c r="T1414" s="32"/>
    </row>
    <row r="1415">
      <c r="A1415" s="64" t="s">
        <v>2237</v>
      </c>
      <c r="B1415" s="17" t="s">
        <v>40</v>
      </c>
      <c r="C1415" s="17"/>
      <c r="D1415" s="17" t="str">
        <f t="shared" si="82"/>
        <v>Removed</v>
      </c>
      <c r="E1415" s="76">
        <v>43625.0</v>
      </c>
      <c r="F1415" s="52">
        <v>44316.0</v>
      </c>
      <c r="G1415" s="20">
        <f t="shared" si="2"/>
        <v>22.7</v>
      </c>
      <c r="H1415" s="18">
        <v>42653.0</v>
      </c>
      <c r="I1415" s="20">
        <f t="shared" si="3"/>
        <v>2.663888889</v>
      </c>
      <c r="J1415" s="53">
        <v>86.0</v>
      </c>
      <c r="K1415" s="53">
        <v>7.5</v>
      </c>
      <c r="L1415" s="23" t="s">
        <v>1648</v>
      </c>
      <c r="M1415" s="23"/>
      <c r="N1415" s="23"/>
      <c r="O1415" s="23"/>
      <c r="P1415" s="54"/>
      <c r="Q1415" s="23"/>
      <c r="R1415" s="16"/>
      <c r="S1415" s="18"/>
      <c r="T1415" s="20"/>
    </row>
    <row r="1416">
      <c r="A1416" s="67" t="s">
        <v>2238</v>
      </c>
      <c r="B1416" s="28" t="s">
        <v>27</v>
      </c>
      <c r="C1416" s="28" t="s">
        <v>28</v>
      </c>
      <c r="D1416" s="29" t="str">
        <f t="shared" si="82"/>
        <v>Removed</v>
      </c>
      <c r="E1416" s="70">
        <v>43595.0</v>
      </c>
      <c r="F1416" s="31">
        <v>44316.0</v>
      </c>
      <c r="G1416" s="32">
        <f t="shared" si="2"/>
        <v>23.66666667</v>
      </c>
      <c r="H1416" s="33">
        <v>43158.0</v>
      </c>
      <c r="I1416" s="32">
        <f t="shared" si="3"/>
        <v>1.202777778</v>
      </c>
      <c r="J1416" s="69">
        <v>87.0</v>
      </c>
      <c r="K1416" s="34">
        <v>10.0</v>
      </c>
      <c r="L1416" s="35" t="s">
        <v>567</v>
      </c>
      <c r="M1416" s="44"/>
      <c r="N1416" s="44"/>
      <c r="O1416" s="44"/>
      <c r="P1416" s="71"/>
      <c r="Q1416" s="44"/>
      <c r="R1416" s="29"/>
      <c r="S1416" s="33"/>
      <c r="T1416" s="32"/>
    </row>
    <row r="1417">
      <c r="A1417" s="64" t="s">
        <v>2239</v>
      </c>
      <c r="B1417" s="16" t="s">
        <v>27</v>
      </c>
      <c r="C1417" s="17"/>
      <c r="D1417" s="17" t="str">
        <f t="shared" si="82"/>
        <v>Removed</v>
      </c>
      <c r="E1417" s="76">
        <v>43291.0</v>
      </c>
      <c r="F1417" s="62">
        <v>44316.0</v>
      </c>
      <c r="G1417" s="20">
        <f t="shared" si="2"/>
        <v>33.66666667</v>
      </c>
      <c r="H1417" s="18">
        <v>43027.0</v>
      </c>
      <c r="I1417" s="20">
        <f t="shared" si="3"/>
        <v>0.725</v>
      </c>
      <c r="J1417" s="65">
        <f>ROUND((74+75)/2,)</f>
        <v>75</v>
      </c>
      <c r="K1417" s="53">
        <v>17.0</v>
      </c>
      <c r="L1417" s="43" t="s">
        <v>119</v>
      </c>
      <c r="M1417" s="43"/>
      <c r="N1417" s="43"/>
      <c r="O1417" s="43"/>
      <c r="P1417" s="66"/>
      <c r="Q1417" s="43"/>
      <c r="R1417" s="17"/>
      <c r="S1417" s="18"/>
      <c r="T1417" s="20"/>
    </row>
    <row r="1418">
      <c r="A1418" s="27" t="s">
        <v>2240</v>
      </c>
      <c r="B1418" s="28" t="s">
        <v>68</v>
      </c>
      <c r="C1418" s="28"/>
      <c r="D1418" s="29" t="str">
        <f t="shared" si="82"/>
        <v>Removed</v>
      </c>
      <c r="E1418" s="33">
        <v>44145.0</v>
      </c>
      <c r="F1418" s="31">
        <v>44302.0</v>
      </c>
      <c r="G1418" s="32">
        <f t="shared" si="2"/>
        <v>5.2</v>
      </c>
      <c r="H1418" s="33">
        <v>41877.0</v>
      </c>
      <c r="I1418" s="32">
        <f t="shared" si="3"/>
        <v>6.205555556</v>
      </c>
      <c r="J1418" s="34">
        <v>80.0</v>
      </c>
      <c r="K1418" s="34">
        <v>41.0</v>
      </c>
      <c r="L1418" s="35" t="s">
        <v>494</v>
      </c>
      <c r="M1418" s="35"/>
      <c r="N1418" s="35"/>
      <c r="O1418" s="35"/>
      <c r="P1418" s="36"/>
      <c r="Q1418" s="35"/>
      <c r="R1418" s="29"/>
      <c r="S1418" s="33"/>
      <c r="T1418" s="32"/>
    </row>
    <row r="1419">
      <c r="A1419" s="15" t="s">
        <v>2241</v>
      </c>
      <c r="B1419" s="16" t="s">
        <v>68</v>
      </c>
      <c r="C1419" s="16"/>
      <c r="D1419" s="17" t="str">
        <f t="shared" si="82"/>
        <v>Removed</v>
      </c>
      <c r="E1419" s="18">
        <v>44145.0</v>
      </c>
      <c r="F1419" s="52">
        <v>44302.0</v>
      </c>
      <c r="G1419" s="20">
        <f t="shared" si="2"/>
        <v>5.2</v>
      </c>
      <c r="H1419" s="18">
        <v>42241.0</v>
      </c>
      <c r="I1419" s="20">
        <f t="shared" si="3"/>
        <v>5.208333333</v>
      </c>
      <c r="J1419" s="53">
        <v>84.0</v>
      </c>
      <c r="K1419" s="53">
        <v>43.0</v>
      </c>
      <c r="L1419" s="23" t="s">
        <v>494</v>
      </c>
      <c r="M1419" s="23"/>
      <c r="N1419" s="23"/>
      <c r="O1419" s="23"/>
      <c r="P1419" s="54"/>
      <c r="Q1419" s="23"/>
      <c r="R1419" s="17"/>
      <c r="S1419" s="18"/>
      <c r="T1419" s="20"/>
    </row>
    <row r="1420">
      <c r="A1420" s="27" t="s">
        <v>2242</v>
      </c>
      <c r="B1420" s="28" t="s">
        <v>68</v>
      </c>
      <c r="C1420" s="28"/>
      <c r="D1420" s="29" t="str">
        <f t="shared" si="82"/>
        <v>Removed</v>
      </c>
      <c r="E1420" s="33">
        <v>44145.0</v>
      </c>
      <c r="F1420" s="31">
        <v>44302.0</v>
      </c>
      <c r="G1420" s="32">
        <f t="shared" si="2"/>
        <v>5.2</v>
      </c>
      <c r="H1420" s="33">
        <v>42605.0</v>
      </c>
      <c r="I1420" s="32">
        <f t="shared" si="3"/>
        <v>4.213888889</v>
      </c>
      <c r="J1420" s="34">
        <v>83.0</v>
      </c>
      <c r="K1420" s="34">
        <v>40.5</v>
      </c>
      <c r="L1420" s="35" t="s">
        <v>494</v>
      </c>
      <c r="M1420" s="35"/>
      <c r="N1420" s="35"/>
      <c r="O1420" s="35"/>
      <c r="P1420" s="36"/>
      <c r="Q1420" s="35"/>
      <c r="R1420" s="29"/>
      <c r="S1420" s="33"/>
      <c r="T1420" s="32"/>
    </row>
    <row r="1421">
      <c r="A1421" s="15" t="s">
        <v>2243</v>
      </c>
      <c r="B1421" s="16" t="s">
        <v>68</v>
      </c>
      <c r="C1421" s="16"/>
      <c r="D1421" s="17" t="str">
        <f t="shared" si="82"/>
        <v>Removed</v>
      </c>
      <c r="E1421" s="18">
        <v>44145.0</v>
      </c>
      <c r="F1421" s="52">
        <v>44302.0</v>
      </c>
      <c r="G1421" s="20">
        <f t="shared" si="2"/>
        <v>5.2</v>
      </c>
      <c r="H1421" s="18">
        <v>42972.0</v>
      </c>
      <c r="I1421" s="20">
        <f t="shared" si="3"/>
        <v>3.208333333</v>
      </c>
      <c r="J1421" s="53">
        <v>82.0</v>
      </c>
      <c r="K1421" s="53">
        <v>15.5</v>
      </c>
      <c r="L1421" s="23" t="s">
        <v>494</v>
      </c>
      <c r="M1421" s="23"/>
      <c r="N1421" s="23"/>
      <c r="O1421" s="23"/>
      <c r="P1421" s="54"/>
      <c r="Q1421" s="23"/>
      <c r="R1421" s="17"/>
      <c r="S1421" s="18"/>
      <c r="T1421" s="20"/>
    </row>
    <row r="1422">
      <c r="A1422" s="27" t="s">
        <v>2244</v>
      </c>
      <c r="B1422" s="28" t="s">
        <v>68</v>
      </c>
      <c r="C1422" s="28"/>
      <c r="D1422" s="29" t="str">
        <f t="shared" si="82"/>
        <v>Removed</v>
      </c>
      <c r="E1422" s="33">
        <v>44145.0</v>
      </c>
      <c r="F1422" s="31">
        <v>44302.0</v>
      </c>
      <c r="G1422" s="32">
        <f t="shared" si="2"/>
        <v>5.2</v>
      </c>
      <c r="H1422" s="33">
        <v>41513.0</v>
      </c>
      <c r="I1422" s="32">
        <f t="shared" si="3"/>
        <v>7.202777778</v>
      </c>
      <c r="J1422" s="34">
        <v>73.0</v>
      </c>
      <c r="K1422" s="34">
        <v>45.0</v>
      </c>
      <c r="L1422" s="35" t="s">
        <v>494</v>
      </c>
      <c r="M1422" s="35"/>
      <c r="N1422" s="35"/>
      <c r="O1422" s="35"/>
      <c r="P1422" s="36"/>
      <c r="Q1422" s="35"/>
      <c r="R1422" s="29"/>
      <c r="S1422" s="33"/>
      <c r="T1422" s="32"/>
    </row>
    <row r="1423">
      <c r="A1423" s="15" t="s">
        <v>2245</v>
      </c>
      <c r="B1423" s="16" t="s">
        <v>68</v>
      </c>
      <c r="C1423" s="16"/>
      <c r="D1423" s="17" t="str">
        <f t="shared" si="82"/>
        <v>Removed</v>
      </c>
      <c r="E1423" s="18">
        <v>44145.0</v>
      </c>
      <c r="F1423" s="52">
        <v>44302.0</v>
      </c>
      <c r="G1423" s="20">
        <f t="shared" si="2"/>
        <v>5.2</v>
      </c>
      <c r="H1423" s="18">
        <v>42993.0</v>
      </c>
      <c r="I1423" s="20">
        <f t="shared" si="3"/>
        <v>3.152777778</v>
      </c>
      <c r="J1423" s="53">
        <v>77.0</v>
      </c>
      <c r="K1423" s="53">
        <v>40.0</v>
      </c>
      <c r="L1423" s="23" t="s">
        <v>580</v>
      </c>
      <c r="M1423" s="23"/>
      <c r="N1423" s="23"/>
      <c r="O1423" s="23"/>
      <c r="P1423" s="54"/>
      <c r="Q1423" s="23"/>
      <c r="R1423" s="17"/>
      <c r="S1423" s="18"/>
      <c r="T1423" s="20"/>
    </row>
    <row r="1424">
      <c r="A1424" s="27" t="s">
        <v>2246</v>
      </c>
      <c r="B1424" s="28" t="s">
        <v>68</v>
      </c>
      <c r="C1424" s="28"/>
      <c r="D1424" s="29" t="str">
        <f t="shared" si="82"/>
        <v>Removed</v>
      </c>
      <c r="E1424" s="33">
        <v>44145.0</v>
      </c>
      <c r="F1424" s="31">
        <v>44302.0</v>
      </c>
      <c r="G1424" s="32">
        <f t="shared" si="2"/>
        <v>5.2</v>
      </c>
      <c r="H1424" s="33">
        <v>43357.0</v>
      </c>
      <c r="I1424" s="32">
        <f t="shared" si="3"/>
        <v>2.155555556</v>
      </c>
      <c r="J1424" s="34">
        <v>82.0</v>
      </c>
      <c r="K1424" s="34">
        <v>39.5</v>
      </c>
      <c r="L1424" s="35" t="s">
        <v>580</v>
      </c>
      <c r="M1424" s="35"/>
      <c r="N1424" s="35"/>
      <c r="O1424" s="35"/>
      <c r="P1424" s="36"/>
      <c r="Q1424" s="35"/>
      <c r="R1424" s="29"/>
      <c r="S1424" s="33"/>
      <c r="T1424" s="32"/>
    </row>
    <row r="1425">
      <c r="A1425" s="15" t="s">
        <v>2247</v>
      </c>
      <c r="B1425" s="16" t="s">
        <v>1859</v>
      </c>
      <c r="C1425" s="17"/>
      <c r="D1425" s="17" t="s">
        <v>1860</v>
      </c>
      <c r="E1425" s="76">
        <v>44287.0</v>
      </c>
      <c r="F1425" s="62">
        <v>44301.0</v>
      </c>
      <c r="G1425" s="20">
        <f t="shared" si="2"/>
        <v>0.4666666667</v>
      </c>
      <c r="H1425" s="18"/>
      <c r="I1425" s="20">
        <f t="shared" si="3"/>
        <v>-4.538888889</v>
      </c>
      <c r="J1425" s="53"/>
      <c r="K1425" s="53"/>
      <c r="L1425" s="23"/>
      <c r="M1425" s="23"/>
      <c r="N1425" s="23" t="s">
        <v>1612</v>
      </c>
      <c r="O1425" s="23"/>
      <c r="P1425" s="54"/>
      <c r="Q1425" s="23"/>
      <c r="R1425" s="17"/>
      <c r="S1425" s="18"/>
      <c r="T1425" s="20"/>
    </row>
    <row r="1426">
      <c r="A1426" s="27" t="s">
        <v>2248</v>
      </c>
      <c r="B1426" s="28" t="s">
        <v>1610</v>
      </c>
      <c r="C1426" s="29"/>
      <c r="D1426" s="29" t="s">
        <v>1611</v>
      </c>
      <c r="E1426" s="70">
        <v>44271.0</v>
      </c>
      <c r="F1426" s="30">
        <v>44301.0</v>
      </c>
      <c r="G1426" s="32">
        <f t="shared" si="2"/>
        <v>0.9666666667</v>
      </c>
      <c r="H1426" s="33"/>
      <c r="I1426" s="32">
        <f t="shared" si="3"/>
        <v>-4.580555556</v>
      </c>
      <c r="J1426" s="34"/>
      <c r="K1426" s="34"/>
      <c r="L1426" s="35"/>
      <c r="M1426" s="35"/>
      <c r="N1426" s="35" t="s">
        <v>1612</v>
      </c>
      <c r="O1426" s="35"/>
      <c r="P1426" s="36"/>
      <c r="Q1426" s="35"/>
      <c r="R1426" s="29"/>
      <c r="S1426" s="33"/>
      <c r="T1426" s="32"/>
    </row>
    <row r="1427">
      <c r="A1427" s="64" t="s">
        <v>2249</v>
      </c>
      <c r="B1427" s="16" t="s">
        <v>27</v>
      </c>
      <c r="C1427" s="16" t="s">
        <v>28</v>
      </c>
      <c r="D1427" s="17" t="str">
        <f t="shared" ref="D1427:D1429" si="83">IF(E1427&gt;TODAY(),"Coming Soon",IF(F1427="","Active",IF(F1427&gt;TODAY(),"Leaving Soon","Removed")))</f>
        <v>Removed</v>
      </c>
      <c r="E1427" s="76">
        <v>43944.0</v>
      </c>
      <c r="F1427" s="52">
        <v>44301.0</v>
      </c>
      <c r="G1427" s="20">
        <f t="shared" si="2"/>
        <v>11.73333333</v>
      </c>
      <c r="H1427" s="18">
        <v>43748.0</v>
      </c>
      <c r="I1427" s="20">
        <f t="shared" si="3"/>
        <v>0.5361111111</v>
      </c>
      <c r="J1427" s="65">
        <v>75.0</v>
      </c>
      <c r="K1427" s="53">
        <v>5.0</v>
      </c>
      <c r="L1427" s="43" t="s">
        <v>37</v>
      </c>
      <c r="M1427" s="43"/>
      <c r="N1427" s="43"/>
      <c r="O1427" s="43"/>
      <c r="P1427" s="66"/>
      <c r="Q1427" s="43"/>
      <c r="R1427" s="17"/>
      <c r="S1427" s="18"/>
      <c r="T1427" s="20"/>
    </row>
    <row r="1428">
      <c r="A1428" s="67" t="s">
        <v>2250</v>
      </c>
      <c r="B1428" s="28" t="s">
        <v>27</v>
      </c>
      <c r="C1428" s="28" t="s">
        <v>28</v>
      </c>
      <c r="D1428" s="29" t="str">
        <f t="shared" si="83"/>
        <v>Removed</v>
      </c>
      <c r="E1428" s="70">
        <v>43942.0</v>
      </c>
      <c r="F1428" s="31">
        <v>44301.0</v>
      </c>
      <c r="G1428" s="32">
        <f t="shared" si="2"/>
        <v>11.8</v>
      </c>
      <c r="H1428" s="33">
        <v>43615.0</v>
      </c>
      <c r="I1428" s="32">
        <f t="shared" si="3"/>
        <v>0.8916666667</v>
      </c>
      <c r="J1428" s="69">
        <v>79.0</v>
      </c>
      <c r="K1428" s="34">
        <v>3.0</v>
      </c>
      <c r="L1428" s="44" t="s">
        <v>721</v>
      </c>
      <c r="M1428" s="44"/>
      <c r="N1428" s="44"/>
      <c r="O1428" s="44"/>
      <c r="P1428" s="71"/>
      <c r="Q1428" s="44"/>
      <c r="R1428" s="29"/>
      <c r="S1428" s="33"/>
      <c r="T1428" s="32"/>
    </row>
    <row r="1429">
      <c r="A1429" s="64" t="s">
        <v>2251</v>
      </c>
      <c r="B1429" s="16" t="s">
        <v>27</v>
      </c>
      <c r="C1429" s="17"/>
      <c r="D1429" s="17" t="str">
        <f t="shared" si="83"/>
        <v>Removed</v>
      </c>
      <c r="E1429" s="76">
        <v>43587.0</v>
      </c>
      <c r="F1429" s="52">
        <v>44301.0</v>
      </c>
      <c r="G1429" s="20">
        <f t="shared" si="2"/>
        <v>23.43333333</v>
      </c>
      <c r="H1429" s="18">
        <v>43497.0</v>
      </c>
      <c r="I1429" s="20">
        <f t="shared" si="3"/>
        <v>0.2527777778</v>
      </c>
      <c r="J1429" s="65">
        <v>81.0</v>
      </c>
      <c r="K1429" s="53">
        <v>20.5</v>
      </c>
      <c r="L1429" s="23" t="s">
        <v>119</v>
      </c>
      <c r="M1429" s="23"/>
      <c r="N1429" s="23"/>
      <c r="O1429" s="23"/>
      <c r="P1429" s="54"/>
      <c r="Q1429" s="23"/>
      <c r="R1429" s="17"/>
      <c r="S1429" s="18"/>
      <c r="T1429" s="20"/>
    </row>
    <row r="1430">
      <c r="A1430" s="27" t="s">
        <v>2252</v>
      </c>
      <c r="B1430" s="28" t="s">
        <v>1859</v>
      </c>
      <c r="C1430" s="29"/>
      <c r="D1430" s="29" t="s">
        <v>1860</v>
      </c>
      <c r="E1430" s="70">
        <v>44271.0</v>
      </c>
      <c r="F1430" s="30">
        <v>44286.0</v>
      </c>
      <c r="G1430" s="32">
        <f t="shared" si="2"/>
        <v>0.4666666667</v>
      </c>
      <c r="H1430" s="33"/>
      <c r="I1430" s="32">
        <f t="shared" si="3"/>
        <v>-4.580555556</v>
      </c>
      <c r="J1430" s="34"/>
      <c r="K1430" s="34"/>
      <c r="L1430" s="35"/>
      <c r="M1430" s="35"/>
      <c r="N1430" s="35" t="s">
        <v>1612</v>
      </c>
      <c r="O1430" s="35"/>
      <c r="P1430" s="36"/>
      <c r="Q1430" s="35"/>
      <c r="R1430" s="29"/>
      <c r="S1430" s="33"/>
      <c r="T1430" s="32"/>
    </row>
    <row r="1431">
      <c r="A1431" s="15" t="s">
        <v>2253</v>
      </c>
      <c r="B1431" s="16" t="s">
        <v>1610</v>
      </c>
      <c r="C1431" s="17"/>
      <c r="D1431" s="17" t="s">
        <v>1611</v>
      </c>
      <c r="E1431" s="76">
        <v>44256.0</v>
      </c>
      <c r="F1431" s="62">
        <v>44286.0</v>
      </c>
      <c r="G1431" s="20">
        <f t="shared" si="2"/>
        <v>0.9666666667</v>
      </c>
      <c r="H1431" s="18"/>
      <c r="I1431" s="20">
        <f t="shared" si="3"/>
        <v>-4.622222222</v>
      </c>
      <c r="J1431" s="53"/>
      <c r="K1431" s="53"/>
      <c r="L1431" s="23"/>
      <c r="M1431" s="23"/>
      <c r="N1431" s="23"/>
      <c r="O1431" s="23"/>
      <c r="P1431" s="54"/>
      <c r="Q1431" s="23"/>
      <c r="R1431" s="17"/>
      <c r="S1431" s="18"/>
      <c r="T1431" s="20"/>
    </row>
    <row r="1432">
      <c r="A1432" s="27" t="s">
        <v>2254</v>
      </c>
      <c r="B1432" s="28" t="s">
        <v>27</v>
      </c>
      <c r="C1432" s="28" t="s">
        <v>28</v>
      </c>
      <c r="D1432" s="29" t="str">
        <f t="shared" ref="D1432:D1448" si="84">IF(E1432&gt;TODAY(),"Coming Soon",IF(F1432="","Active",IF(F1432&gt;TODAY(),"Leaving Soon","Removed")))</f>
        <v>Removed</v>
      </c>
      <c r="E1432" s="70">
        <v>43951.0</v>
      </c>
      <c r="F1432" s="31">
        <v>44286.0</v>
      </c>
      <c r="G1432" s="32">
        <f t="shared" si="2"/>
        <v>11</v>
      </c>
      <c r="H1432" s="33">
        <v>43861.0</v>
      </c>
      <c r="I1432" s="32">
        <f t="shared" si="3"/>
        <v>0.25</v>
      </c>
      <c r="J1432" s="34">
        <v>73.0</v>
      </c>
      <c r="K1432" s="34">
        <v>2.0</v>
      </c>
      <c r="L1432" s="44" t="s">
        <v>366</v>
      </c>
      <c r="M1432" s="44"/>
      <c r="N1432" s="44"/>
      <c r="O1432" s="44"/>
      <c r="P1432" s="71"/>
      <c r="Q1432" s="44"/>
      <c r="R1432" s="29"/>
      <c r="S1432" s="33"/>
      <c r="T1432" s="32"/>
    </row>
    <row r="1433">
      <c r="A1433" s="64" t="s">
        <v>2255</v>
      </c>
      <c r="B1433" s="17" t="s">
        <v>40</v>
      </c>
      <c r="C1433" s="17"/>
      <c r="D1433" s="17" t="str">
        <f t="shared" si="84"/>
        <v>Removed</v>
      </c>
      <c r="E1433" s="76">
        <v>43938.0</v>
      </c>
      <c r="F1433" s="52">
        <v>44286.0</v>
      </c>
      <c r="G1433" s="20">
        <f t="shared" si="2"/>
        <v>11.43333333</v>
      </c>
      <c r="H1433" s="18">
        <v>40102.0</v>
      </c>
      <c r="I1433" s="20">
        <f t="shared" si="3"/>
        <v>10.50277778</v>
      </c>
      <c r="J1433" s="53">
        <v>85.0</v>
      </c>
      <c r="K1433" s="53">
        <v>5.0</v>
      </c>
      <c r="L1433" s="23" t="s">
        <v>562</v>
      </c>
      <c r="M1433" s="23"/>
      <c r="N1433" s="23"/>
      <c r="O1433" s="23"/>
      <c r="P1433" s="54"/>
      <c r="Q1433" s="23" t="s">
        <v>1697</v>
      </c>
      <c r="R1433" s="16"/>
      <c r="S1433" s="18"/>
      <c r="T1433" s="20"/>
    </row>
    <row r="1434">
      <c r="A1434" s="27" t="s">
        <v>2256</v>
      </c>
      <c r="B1434" s="28" t="s">
        <v>40</v>
      </c>
      <c r="C1434" s="28"/>
      <c r="D1434" s="29" t="str">
        <f t="shared" si="84"/>
        <v>Removed</v>
      </c>
      <c r="E1434" s="33">
        <v>44273.0</v>
      </c>
      <c r="F1434" s="31">
        <v>44284.0</v>
      </c>
      <c r="G1434" s="32">
        <f t="shared" si="2"/>
        <v>0.3666666667</v>
      </c>
      <c r="H1434" s="33">
        <v>42038.0</v>
      </c>
      <c r="I1434" s="32">
        <f t="shared" si="3"/>
        <v>6.125</v>
      </c>
      <c r="J1434" s="34">
        <v>78.0</v>
      </c>
      <c r="K1434" s="34">
        <v>8.0</v>
      </c>
      <c r="L1434" s="35" t="s">
        <v>918</v>
      </c>
      <c r="M1434" s="35"/>
      <c r="N1434" s="35"/>
      <c r="O1434" s="35"/>
      <c r="P1434" s="36"/>
      <c r="Q1434" s="35"/>
      <c r="R1434" s="28"/>
      <c r="S1434" s="33"/>
      <c r="T1434" s="32"/>
    </row>
    <row r="1435">
      <c r="A1435" s="15" t="s">
        <v>2257</v>
      </c>
      <c r="B1435" s="16" t="s">
        <v>40</v>
      </c>
      <c r="C1435" s="16"/>
      <c r="D1435" s="17" t="str">
        <f t="shared" si="84"/>
        <v>Removed</v>
      </c>
      <c r="E1435" s="18">
        <v>44273.0</v>
      </c>
      <c r="F1435" s="52">
        <v>44284.0</v>
      </c>
      <c r="G1435" s="20">
        <f t="shared" si="2"/>
        <v>0.3666666667</v>
      </c>
      <c r="H1435" s="18">
        <v>43438.0</v>
      </c>
      <c r="I1435" s="20">
        <f t="shared" si="3"/>
        <v>2.288888889</v>
      </c>
      <c r="J1435" s="53">
        <v>78.0</v>
      </c>
      <c r="K1435" s="53">
        <v>13.0</v>
      </c>
      <c r="L1435" s="23" t="s">
        <v>119</v>
      </c>
      <c r="M1435" s="23"/>
      <c r="N1435" s="23" t="s">
        <v>2258</v>
      </c>
      <c r="O1435" s="23"/>
      <c r="P1435" s="54"/>
      <c r="Q1435" s="23"/>
      <c r="R1435" s="16"/>
      <c r="S1435" s="18"/>
      <c r="T1435" s="20"/>
    </row>
    <row r="1436">
      <c r="A1436" s="27" t="s">
        <v>2259</v>
      </c>
      <c r="B1436" s="28" t="s">
        <v>40</v>
      </c>
      <c r="C1436" s="28"/>
      <c r="D1436" s="29" t="str">
        <f t="shared" si="84"/>
        <v>Removed</v>
      </c>
      <c r="E1436" s="33">
        <v>44273.0</v>
      </c>
      <c r="F1436" s="31">
        <v>44284.0</v>
      </c>
      <c r="G1436" s="32">
        <f t="shared" si="2"/>
        <v>0.3666666667</v>
      </c>
      <c r="H1436" s="33">
        <v>43249.0</v>
      </c>
      <c r="I1436" s="32">
        <f t="shared" si="3"/>
        <v>2.802777778</v>
      </c>
      <c r="J1436" s="34">
        <v>78.0</v>
      </c>
      <c r="K1436" s="34">
        <v>8.0</v>
      </c>
      <c r="L1436" s="35" t="s">
        <v>549</v>
      </c>
      <c r="M1436" s="35"/>
      <c r="N1436" s="35"/>
      <c r="O1436" s="35"/>
      <c r="P1436" s="36"/>
      <c r="Q1436" s="35"/>
      <c r="R1436" s="28"/>
      <c r="S1436" s="33"/>
      <c r="T1436" s="32"/>
    </row>
    <row r="1437">
      <c r="A1437" s="15" t="s">
        <v>2260</v>
      </c>
      <c r="B1437" s="16" t="s">
        <v>40</v>
      </c>
      <c r="C1437" s="16"/>
      <c r="D1437" s="17" t="str">
        <f t="shared" si="84"/>
        <v>Removed</v>
      </c>
      <c r="E1437" s="18">
        <v>44273.0</v>
      </c>
      <c r="F1437" s="52">
        <v>44284.0</v>
      </c>
      <c r="G1437" s="20">
        <f t="shared" si="2"/>
        <v>0.3666666667</v>
      </c>
      <c r="H1437" s="18">
        <v>36280.0</v>
      </c>
      <c r="I1437" s="20">
        <f t="shared" si="3"/>
        <v>21.88333333</v>
      </c>
      <c r="J1437" s="53">
        <v>63.0</v>
      </c>
      <c r="K1437" s="53">
        <v>6.0</v>
      </c>
      <c r="L1437" s="23" t="s">
        <v>500</v>
      </c>
      <c r="M1437" s="23"/>
      <c r="N1437" s="23"/>
      <c r="O1437" s="23"/>
      <c r="P1437" s="54"/>
      <c r="Q1437" s="23" t="s">
        <v>1697</v>
      </c>
      <c r="R1437" s="16"/>
      <c r="S1437" s="18"/>
      <c r="T1437" s="20"/>
    </row>
    <row r="1438">
      <c r="A1438" s="27" t="s">
        <v>2261</v>
      </c>
      <c r="B1438" s="28" t="s">
        <v>40</v>
      </c>
      <c r="C1438" s="28"/>
      <c r="D1438" s="29" t="str">
        <f t="shared" si="84"/>
        <v>Removed</v>
      </c>
      <c r="E1438" s="33">
        <v>44273.0</v>
      </c>
      <c r="F1438" s="31">
        <v>44284.0</v>
      </c>
      <c r="G1438" s="32">
        <f t="shared" si="2"/>
        <v>0.3666666667</v>
      </c>
      <c r="H1438" s="33">
        <v>37206.0</v>
      </c>
      <c r="I1438" s="32">
        <f t="shared" si="3"/>
        <v>19.35277778</v>
      </c>
      <c r="J1438" s="69">
        <f>(80+82+85)/3</f>
        <v>82.33333333</v>
      </c>
      <c r="K1438" s="34">
        <v>34.0</v>
      </c>
      <c r="L1438" s="35" t="s">
        <v>2262</v>
      </c>
      <c r="M1438" s="35"/>
      <c r="N1438" s="35"/>
      <c r="O1438" s="35"/>
      <c r="P1438" s="36"/>
      <c r="Q1438" s="35" t="s">
        <v>1697</v>
      </c>
      <c r="R1438" s="28"/>
      <c r="S1438" s="33"/>
      <c r="T1438" s="32"/>
    </row>
    <row r="1439">
      <c r="A1439" s="15" t="s">
        <v>2263</v>
      </c>
      <c r="B1439" s="16" t="s">
        <v>40</v>
      </c>
      <c r="C1439" s="16"/>
      <c r="D1439" s="17" t="str">
        <f t="shared" si="84"/>
        <v>Removed</v>
      </c>
      <c r="E1439" s="18">
        <v>44273.0</v>
      </c>
      <c r="F1439" s="52">
        <v>44284.0</v>
      </c>
      <c r="G1439" s="20">
        <f t="shared" si="2"/>
        <v>0.3666666667</v>
      </c>
      <c r="H1439" s="18">
        <v>35850.0</v>
      </c>
      <c r="I1439" s="20">
        <f t="shared" si="3"/>
        <v>23.06666667</v>
      </c>
      <c r="J1439" s="118">
        <f>8.3*10</f>
        <v>83</v>
      </c>
      <c r="K1439" s="53">
        <v>8.5</v>
      </c>
      <c r="L1439" s="23" t="s">
        <v>299</v>
      </c>
      <c r="M1439" s="23"/>
      <c r="N1439" s="23"/>
      <c r="O1439" s="23"/>
      <c r="P1439" s="54"/>
      <c r="Q1439" s="23" t="s">
        <v>1697</v>
      </c>
      <c r="R1439" s="16"/>
      <c r="S1439" s="18"/>
      <c r="T1439" s="20"/>
    </row>
    <row r="1440">
      <c r="A1440" s="27" t="s">
        <v>2264</v>
      </c>
      <c r="B1440" s="28" t="s">
        <v>40</v>
      </c>
      <c r="C1440" s="28"/>
      <c r="D1440" s="29" t="str">
        <f t="shared" si="84"/>
        <v>Removed</v>
      </c>
      <c r="E1440" s="33">
        <v>44273.0</v>
      </c>
      <c r="F1440" s="31">
        <v>44284.0</v>
      </c>
      <c r="G1440" s="32">
        <f t="shared" si="2"/>
        <v>0.3666666667</v>
      </c>
      <c r="H1440" s="33">
        <v>35854.0</v>
      </c>
      <c r="I1440" s="32">
        <f t="shared" si="3"/>
        <v>23.05555556</v>
      </c>
      <c r="J1440" s="101">
        <f>8.7*10</f>
        <v>87</v>
      </c>
      <c r="K1440" s="34">
        <v>17.0</v>
      </c>
      <c r="L1440" s="35" t="s">
        <v>119</v>
      </c>
      <c r="M1440" s="35"/>
      <c r="N1440" s="35"/>
      <c r="O1440" s="35"/>
      <c r="P1440" s="36"/>
      <c r="Q1440" s="35" t="s">
        <v>1697</v>
      </c>
      <c r="R1440" s="28"/>
      <c r="S1440" s="33"/>
      <c r="T1440" s="32"/>
    </row>
    <row r="1441">
      <c r="A1441" s="15" t="s">
        <v>2265</v>
      </c>
      <c r="B1441" s="16" t="s">
        <v>40</v>
      </c>
      <c r="C1441" s="16"/>
      <c r="D1441" s="17" t="str">
        <f t="shared" si="84"/>
        <v>Removed</v>
      </c>
      <c r="E1441" s="18">
        <v>44273.0</v>
      </c>
      <c r="F1441" s="52">
        <v>44284.0</v>
      </c>
      <c r="G1441" s="20">
        <f t="shared" si="2"/>
        <v>0.3666666667</v>
      </c>
      <c r="H1441" s="18">
        <v>36132.0</v>
      </c>
      <c r="I1441" s="20">
        <f t="shared" si="3"/>
        <v>22.29166667</v>
      </c>
      <c r="J1441" s="118">
        <f>7.6*10</f>
        <v>76</v>
      </c>
      <c r="K1441" s="53">
        <v>9.0</v>
      </c>
      <c r="L1441" s="23" t="s">
        <v>675</v>
      </c>
      <c r="M1441" s="23"/>
      <c r="N1441" s="23"/>
      <c r="O1441" s="23"/>
      <c r="P1441" s="54"/>
      <c r="Q1441" s="23" t="s">
        <v>1697</v>
      </c>
      <c r="R1441" s="16"/>
      <c r="S1441" s="18"/>
      <c r="T1441" s="20"/>
    </row>
    <row r="1442">
      <c r="A1442" s="27" t="s">
        <v>2266</v>
      </c>
      <c r="B1442" s="28" t="s">
        <v>40</v>
      </c>
      <c r="C1442" s="28"/>
      <c r="D1442" s="29" t="str">
        <f t="shared" si="84"/>
        <v>Removed</v>
      </c>
      <c r="E1442" s="33">
        <v>44273.0</v>
      </c>
      <c r="F1442" s="31">
        <v>44284.0</v>
      </c>
      <c r="G1442" s="32">
        <f t="shared" si="2"/>
        <v>0.3666666667</v>
      </c>
      <c r="H1442" s="33">
        <v>35402.0</v>
      </c>
      <c r="I1442" s="32">
        <f t="shared" si="3"/>
        <v>24.29166667</v>
      </c>
      <c r="J1442" s="119">
        <f>7.8*10</f>
        <v>78</v>
      </c>
      <c r="K1442" s="34">
        <v>5.0</v>
      </c>
      <c r="L1442" s="35" t="s">
        <v>1842</v>
      </c>
      <c r="M1442" s="35"/>
      <c r="N1442" s="35"/>
      <c r="O1442" s="35"/>
      <c r="P1442" s="36"/>
      <c r="Q1442" s="35" t="s">
        <v>1697</v>
      </c>
      <c r="R1442" s="28"/>
      <c r="S1442" s="33"/>
      <c r="T1442" s="32"/>
    </row>
    <row r="1443">
      <c r="A1443" s="15" t="s">
        <v>2267</v>
      </c>
      <c r="B1443" s="16" t="s">
        <v>40</v>
      </c>
      <c r="C1443" s="16"/>
      <c r="D1443" s="17" t="str">
        <f t="shared" si="84"/>
        <v>Removed</v>
      </c>
      <c r="E1443" s="18">
        <v>44273.0</v>
      </c>
      <c r="F1443" s="52">
        <v>44284.0</v>
      </c>
      <c r="G1443" s="20">
        <f t="shared" si="2"/>
        <v>0.3666666667</v>
      </c>
      <c r="H1443" s="18">
        <v>36942.0</v>
      </c>
      <c r="I1443" s="20">
        <f t="shared" si="3"/>
        <v>20.07777778</v>
      </c>
      <c r="J1443" s="53">
        <v>71.0</v>
      </c>
      <c r="K1443" s="53">
        <v>4.5</v>
      </c>
      <c r="L1443" s="23" t="s">
        <v>821</v>
      </c>
      <c r="M1443" s="23"/>
      <c r="N1443" s="23"/>
      <c r="O1443" s="23"/>
      <c r="P1443" s="54"/>
      <c r="Q1443" s="23" t="s">
        <v>1697</v>
      </c>
      <c r="R1443" s="16"/>
      <c r="S1443" s="18"/>
      <c r="T1443" s="20"/>
    </row>
    <row r="1444">
      <c r="A1444" s="27" t="s">
        <v>2268</v>
      </c>
      <c r="B1444" s="28" t="s">
        <v>40</v>
      </c>
      <c r="C1444" s="28"/>
      <c r="D1444" s="29" t="str">
        <f t="shared" si="84"/>
        <v>Removed</v>
      </c>
      <c r="E1444" s="33">
        <v>44273.0</v>
      </c>
      <c r="F1444" s="31">
        <v>44284.0</v>
      </c>
      <c r="G1444" s="32">
        <f t="shared" si="2"/>
        <v>0.3666666667</v>
      </c>
      <c r="H1444" s="33">
        <v>36219.0</v>
      </c>
      <c r="I1444" s="32">
        <f t="shared" si="3"/>
        <v>22.05555556</v>
      </c>
      <c r="J1444" s="119">
        <f>8.3*10</f>
        <v>83</v>
      </c>
      <c r="K1444" s="34">
        <v>20.0</v>
      </c>
      <c r="L1444" s="35" t="s">
        <v>1012</v>
      </c>
      <c r="M1444" s="35"/>
      <c r="N1444" s="35"/>
      <c r="O1444" s="35"/>
      <c r="P1444" s="36"/>
      <c r="Q1444" s="35" t="s">
        <v>1697</v>
      </c>
      <c r="R1444" s="28"/>
      <c r="S1444" s="33"/>
      <c r="T1444" s="32"/>
    </row>
    <row r="1445">
      <c r="A1445" s="15" t="s">
        <v>2269</v>
      </c>
      <c r="B1445" s="16" t="s">
        <v>40</v>
      </c>
      <c r="C1445" s="16"/>
      <c r="D1445" s="17" t="str">
        <f t="shared" si="84"/>
        <v>Removed</v>
      </c>
      <c r="E1445" s="18">
        <v>44273.0</v>
      </c>
      <c r="F1445" s="52">
        <v>44284.0</v>
      </c>
      <c r="G1445" s="20">
        <f t="shared" si="2"/>
        <v>0.3666666667</v>
      </c>
      <c r="H1445" s="18">
        <v>34745.0</v>
      </c>
      <c r="I1445" s="20">
        <f t="shared" si="3"/>
        <v>26.09166667</v>
      </c>
      <c r="J1445" s="118">
        <f>7.5*10</f>
        <v>75</v>
      </c>
      <c r="K1445" s="53">
        <v>9.0</v>
      </c>
      <c r="L1445" s="23" t="s">
        <v>184</v>
      </c>
      <c r="M1445" s="23"/>
      <c r="N1445" s="23"/>
      <c r="O1445" s="23"/>
      <c r="P1445" s="54"/>
      <c r="Q1445" s="23" t="s">
        <v>1697</v>
      </c>
      <c r="R1445" s="16"/>
      <c r="S1445" s="18"/>
      <c r="T1445" s="20"/>
    </row>
    <row r="1446">
      <c r="A1446" s="67" t="s">
        <v>2270</v>
      </c>
      <c r="B1446" s="29" t="s">
        <v>40</v>
      </c>
      <c r="C1446" s="29"/>
      <c r="D1446" s="29" t="str">
        <f t="shared" si="84"/>
        <v>Removed</v>
      </c>
      <c r="E1446" s="70">
        <v>43625.0</v>
      </c>
      <c r="F1446" s="31">
        <v>44284.0</v>
      </c>
      <c r="G1446" s="32">
        <f t="shared" si="2"/>
        <v>21.66666667</v>
      </c>
      <c r="H1446" s="33">
        <v>43158.0</v>
      </c>
      <c r="I1446" s="32">
        <f t="shared" si="3"/>
        <v>1.283333333</v>
      </c>
      <c r="J1446" s="34">
        <v>90.0</v>
      </c>
      <c r="K1446" s="34">
        <v>5.0</v>
      </c>
      <c r="L1446" s="44" t="s">
        <v>119</v>
      </c>
      <c r="M1446" s="44"/>
      <c r="N1446" s="44"/>
      <c r="O1446" s="44"/>
      <c r="P1446" s="71"/>
      <c r="Q1446" s="44"/>
      <c r="R1446" s="28"/>
      <c r="S1446" s="33"/>
      <c r="T1446" s="32"/>
    </row>
    <row r="1447">
      <c r="A1447" s="64" t="s">
        <v>2271</v>
      </c>
      <c r="B1447" s="16" t="s">
        <v>40</v>
      </c>
      <c r="C1447" s="17"/>
      <c r="D1447" s="17" t="str">
        <f t="shared" si="84"/>
        <v>Removed</v>
      </c>
      <c r="E1447" s="76">
        <v>43344.0</v>
      </c>
      <c r="F1447" s="62">
        <v>44284.0</v>
      </c>
      <c r="G1447" s="20">
        <f t="shared" si="2"/>
        <v>30.93333333</v>
      </c>
      <c r="H1447" s="18">
        <v>42822.0</v>
      </c>
      <c r="I1447" s="20">
        <f t="shared" si="3"/>
        <v>1.425</v>
      </c>
      <c r="J1447" s="65">
        <v>74.0</v>
      </c>
      <c r="K1447" s="53">
        <v>5.0</v>
      </c>
      <c r="L1447" s="43" t="s">
        <v>549</v>
      </c>
      <c r="M1447" s="43"/>
      <c r="N1447" s="43"/>
      <c r="O1447" s="43"/>
      <c r="P1447" s="66"/>
      <c r="Q1447" s="43"/>
      <c r="R1447" s="16"/>
      <c r="S1447" s="18"/>
      <c r="T1447" s="20"/>
    </row>
    <row r="1448">
      <c r="A1448" s="67" t="s">
        <v>1980</v>
      </c>
      <c r="B1448" s="28" t="s">
        <v>40</v>
      </c>
      <c r="C1448" s="29"/>
      <c r="D1448" s="29" t="str">
        <f t="shared" si="84"/>
        <v>Removed</v>
      </c>
      <c r="E1448" s="70">
        <v>42979.0</v>
      </c>
      <c r="F1448" s="31">
        <v>44284.0</v>
      </c>
      <c r="G1448" s="32">
        <f t="shared" si="2"/>
        <v>42.93333333</v>
      </c>
      <c r="H1448" s="33">
        <v>42612.0</v>
      </c>
      <c r="I1448" s="32">
        <f t="shared" si="3"/>
        <v>1.002777778</v>
      </c>
      <c r="J1448" s="34">
        <v>79.0</v>
      </c>
      <c r="K1448" s="34">
        <v>4.5</v>
      </c>
      <c r="L1448" s="44" t="s">
        <v>44</v>
      </c>
      <c r="M1448" s="44"/>
      <c r="N1448" s="44"/>
      <c r="O1448" s="44"/>
      <c r="P1448" s="71"/>
      <c r="Q1448" s="44"/>
      <c r="R1448" s="28"/>
      <c r="S1448" s="33"/>
      <c r="T1448" s="32"/>
    </row>
    <row r="1449">
      <c r="A1449" s="15" t="s">
        <v>2272</v>
      </c>
      <c r="B1449" s="16" t="s">
        <v>1859</v>
      </c>
      <c r="C1449" s="17"/>
      <c r="D1449" s="17" t="s">
        <v>1860</v>
      </c>
      <c r="E1449" s="76">
        <v>44256.0</v>
      </c>
      <c r="F1449" s="62">
        <v>44270.0</v>
      </c>
      <c r="G1449" s="20">
        <f t="shared" si="2"/>
        <v>0.4666666667</v>
      </c>
      <c r="H1449" s="18"/>
      <c r="I1449" s="20">
        <f t="shared" si="3"/>
        <v>-4.622222222</v>
      </c>
      <c r="J1449" s="53"/>
      <c r="K1449" s="53"/>
      <c r="L1449" s="23"/>
      <c r="M1449" s="23"/>
      <c r="N1449" s="23" t="s">
        <v>1612</v>
      </c>
      <c r="O1449" s="23"/>
      <c r="P1449" s="54"/>
      <c r="Q1449" s="23"/>
      <c r="R1449" s="17"/>
      <c r="S1449" s="18"/>
      <c r="T1449" s="20"/>
    </row>
    <row r="1450">
      <c r="A1450" s="27" t="s">
        <v>2273</v>
      </c>
      <c r="B1450" s="28" t="s">
        <v>1610</v>
      </c>
      <c r="C1450" s="29"/>
      <c r="D1450" s="29" t="s">
        <v>1611</v>
      </c>
      <c r="E1450" s="70">
        <v>44243.0</v>
      </c>
      <c r="F1450" s="30">
        <v>44270.0</v>
      </c>
      <c r="G1450" s="32">
        <f t="shared" si="2"/>
        <v>0.9666666667</v>
      </c>
      <c r="H1450" s="33"/>
      <c r="I1450" s="32">
        <f t="shared" si="3"/>
        <v>-4.663888889</v>
      </c>
      <c r="J1450" s="34"/>
      <c r="K1450" s="34"/>
      <c r="L1450" s="35"/>
      <c r="M1450" s="35"/>
      <c r="N1450" s="35"/>
      <c r="O1450" s="35"/>
      <c r="P1450" s="36"/>
      <c r="Q1450" s="35"/>
      <c r="R1450" s="29"/>
      <c r="S1450" s="33"/>
      <c r="T1450" s="32"/>
    </row>
    <row r="1451">
      <c r="A1451" s="64" t="s">
        <v>2274</v>
      </c>
      <c r="B1451" s="16" t="s">
        <v>27</v>
      </c>
      <c r="C1451" s="17"/>
      <c r="D1451" s="17" t="str">
        <f t="shared" ref="D1451:D1453" si="85">IF(E1451&gt;TODAY(),"Coming Soon",IF(F1451="","Active",IF(F1451&gt;TODAY(),"Leaving Soon","Removed")))</f>
        <v>Removed</v>
      </c>
      <c r="E1451" s="76">
        <v>43930.0</v>
      </c>
      <c r="F1451" s="52">
        <v>44270.0</v>
      </c>
      <c r="G1451" s="20">
        <f t="shared" si="2"/>
        <v>11.2</v>
      </c>
      <c r="H1451" s="18">
        <v>43508.0</v>
      </c>
      <c r="I1451" s="20">
        <f t="shared" si="3"/>
        <v>1.158333333</v>
      </c>
      <c r="J1451" s="65">
        <v>80.0</v>
      </c>
      <c r="K1451" s="53">
        <v>7.0</v>
      </c>
      <c r="L1451" s="23" t="s">
        <v>29</v>
      </c>
      <c r="M1451" s="43"/>
      <c r="N1451" s="43"/>
      <c r="O1451" s="43"/>
      <c r="P1451" s="66"/>
      <c r="Q1451" s="43"/>
      <c r="R1451" s="17"/>
      <c r="S1451" s="18"/>
      <c r="T1451" s="20"/>
    </row>
    <row r="1452">
      <c r="A1452" s="67" t="s">
        <v>2275</v>
      </c>
      <c r="B1452" s="29" t="s">
        <v>40</v>
      </c>
      <c r="C1452" s="29"/>
      <c r="D1452" s="29" t="str">
        <f t="shared" si="85"/>
        <v>Removed</v>
      </c>
      <c r="E1452" s="70">
        <v>43916.0</v>
      </c>
      <c r="F1452" s="31">
        <v>44270.0</v>
      </c>
      <c r="G1452" s="32">
        <f t="shared" si="2"/>
        <v>11.63333333</v>
      </c>
      <c r="H1452" s="33">
        <v>43587.0</v>
      </c>
      <c r="I1452" s="32">
        <f t="shared" si="3"/>
        <v>0.9</v>
      </c>
      <c r="J1452" s="69">
        <v>74.0</v>
      </c>
      <c r="K1452" s="34">
        <v>7.5</v>
      </c>
      <c r="L1452" s="35" t="s">
        <v>362</v>
      </c>
      <c r="M1452" s="35"/>
      <c r="N1452" s="35"/>
      <c r="O1452" s="35"/>
      <c r="P1452" s="36"/>
      <c r="Q1452" s="35"/>
      <c r="R1452" s="28"/>
      <c r="S1452" s="33"/>
      <c r="T1452" s="32"/>
    </row>
    <row r="1453">
      <c r="A1453" s="64" t="s">
        <v>2276</v>
      </c>
      <c r="B1453" s="16" t="s">
        <v>68</v>
      </c>
      <c r="C1453" s="16" t="s">
        <v>28</v>
      </c>
      <c r="D1453" s="17" t="str">
        <f t="shared" si="85"/>
        <v>Removed</v>
      </c>
      <c r="E1453" s="76">
        <v>43818.0</v>
      </c>
      <c r="F1453" s="52">
        <v>44270.0</v>
      </c>
      <c r="G1453" s="20">
        <f t="shared" si="2"/>
        <v>14.86666667</v>
      </c>
      <c r="H1453" s="18">
        <v>42143.0</v>
      </c>
      <c r="I1453" s="20">
        <f t="shared" si="3"/>
        <v>4.583333333</v>
      </c>
      <c r="J1453" s="65">
        <v>91.0</v>
      </c>
      <c r="K1453" s="53">
        <v>51.0</v>
      </c>
      <c r="L1453" s="23" t="s">
        <v>509</v>
      </c>
      <c r="M1453" s="43"/>
      <c r="N1453" s="43"/>
      <c r="O1453" s="43"/>
      <c r="P1453" s="66"/>
      <c r="Q1453" s="43"/>
      <c r="R1453" s="17"/>
      <c r="S1453" s="18"/>
      <c r="T1453" s="20"/>
    </row>
    <row r="1454">
      <c r="A1454" s="27" t="s">
        <v>2277</v>
      </c>
      <c r="B1454" s="28" t="s">
        <v>1859</v>
      </c>
      <c r="C1454" s="29"/>
      <c r="D1454" s="29" t="s">
        <v>1860</v>
      </c>
      <c r="E1454" s="70">
        <v>44243.0</v>
      </c>
      <c r="F1454" s="30">
        <v>44255.0</v>
      </c>
      <c r="G1454" s="32">
        <f t="shared" si="2"/>
        <v>0.4</v>
      </c>
      <c r="H1454" s="33"/>
      <c r="I1454" s="32">
        <f t="shared" si="3"/>
        <v>-4.663888889</v>
      </c>
      <c r="J1454" s="34"/>
      <c r="K1454" s="34"/>
      <c r="L1454" s="35"/>
      <c r="M1454" s="35"/>
      <c r="N1454" s="35" t="s">
        <v>1612</v>
      </c>
      <c r="O1454" s="35"/>
      <c r="P1454" s="36"/>
      <c r="Q1454" s="35"/>
      <c r="R1454" s="29"/>
      <c r="S1454" s="33"/>
      <c r="T1454" s="32"/>
    </row>
    <row r="1455">
      <c r="A1455" s="15" t="s">
        <v>2278</v>
      </c>
      <c r="B1455" s="16" t="s">
        <v>1610</v>
      </c>
      <c r="C1455" s="17"/>
      <c r="D1455" s="17" t="s">
        <v>1611</v>
      </c>
      <c r="E1455" s="76">
        <v>44228.0</v>
      </c>
      <c r="F1455" s="62">
        <v>44255.0</v>
      </c>
      <c r="G1455" s="20">
        <f t="shared" si="2"/>
        <v>0.9</v>
      </c>
      <c r="H1455" s="18"/>
      <c r="I1455" s="20">
        <f t="shared" si="3"/>
        <v>-4.705555556</v>
      </c>
      <c r="J1455" s="53"/>
      <c r="K1455" s="53"/>
      <c r="L1455" s="23"/>
      <c r="M1455" s="23" t="s">
        <v>1614</v>
      </c>
      <c r="N1455" s="23" t="s">
        <v>1612</v>
      </c>
      <c r="O1455" s="23"/>
      <c r="P1455" s="54"/>
      <c r="Q1455" s="23"/>
      <c r="R1455" s="17"/>
      <c r="S1455" s="18"/>
      <c r="T1455" s="20"/>
    </row>
    <row r="1456">
      <c r="A1456" s="27" t="s">
        <v>2279</v>
      </c>
      <c r="B1456" s="28" t="s">
        <v>1610</v>
      </c>
      <c r="C1456" s="29"/>
      <c r="D1456" s="29" t="s">
        <v>1611</v>
      </c>
      <c r="E1456" s="70">
        <v>44228.0</v>
      </c>
      <c r="F1456" s="30">
        <v>44255.0</v>
      </c>
      <c r="G1456" s="32">
        <f t="shared" si="2"/>
        <v>0.9</v>
      </c>
      <c r="H1456" s="33"/>
      <c r="I1456" s="32">
        <f t="shared" si="3"/>
        <v>-4.705555556</v>
      </c>
      <c r="J1456" s="34"/>
      <c r="K1456" s="34"/>
      <c r="L1456" s="35"/>
      <c r="M1456" s="35"/>
      <c r="N1456" s="35"/>
      <c r="O1456" s="35"/>
      <c r="P1456" s="36"/>
      <c r="Q1456" s="35"/>
      <c r="R1456" s="29"/>
      <c r="S1456" s="33"/>
      <c r="T1456" s="32"/>
    </row>
    <row r="1457">
      <c r="A1457" s="15" t="s">
        <v>2280</v>
      </c>
      <c r="B1457" s="16" t="s">
        <v>68</v>
      </c>
      <c r="C1457" s="16" t="s">
        <v>28</v>
      </c>
      <c r="D1457" s="17" t="str">
        <f t="shared" ref="D1457:D1460" si="86">IF(E1457&gt;TODAY(),"Coming Soon",IF(F1457="","Active",IF(F1457&gt;TODAY(),"Leaving Soon","Removed")))</f>
        <v>Removed</v>
      </c>
      <c r="E1457" s="62">
        <v>44077.0</v>
      </c>
      <c r="F1457" s="52">
        <v>44255.0</v>
      </c>
      <c r="G1457" s="20">
        <f t="shared" si="2"/>
        <v>5.833333333</v>
      </c>
      <c r="H1457" s="18">
        <v>43025.0</v>
      </c>
      <c r="I1457" s="20">
        <f t="shared" si="3"/>
        <v>2.877777778</v>
      </c>
      <c r="J1457" s="53">
        <v>84.0</v>
      </c>
      <c r="K1457" s="53">
        <v>16.0</v>
      </c>
      <c r="L1457" s="23" t="s">
        <v>2281</v>
      </c>
      <c r="M1457" s="23"/>
      <c r="N1457" s="23"/>
      <c r="O1457" s="23"/>
      <c r="P1457" s="54"/>
      <c r="Q1457" s="23"/>
      <c r="R1457" s="17"/>
      <c r="S1457" s="18"/>
      <c r="T1457" s="20"/>
    </row>
    <row r="1458">
      <c r="A1458" s="67" t="s">
        <v>2282</v>
      </c>
      <c r="B1458" s="29" t="s">
        <v>40</v>
      </c>
      <c r="C1458" s="29"/>
      <c r="D1458" s="29" t="str">
        <f t="shared" si="86"/>
        <v>Removed</v>
      </c>
      <c r="E1458" s="70">
        <v>43894.0</v>
      </c>
      <c r="F1458" s="31">
        <v>44255.0</v>
      </c>
      <c r="G1458" s="32">
        <f t="shared" si="2"/>
        <v>11.8</v>
      </c>
      <c r="H1458" s="33">
        <v>42618.0</v>
      </c>
      <c r="I1458" s="32">
        <f t="shared" si="3"/>
        <v>3.497222222</v>
      </c>
      <c r="J1458" s="69">
        <v>70.0</v>
      </c>
      <c r="K1458" s="34">
        <v>4.0</v>
      </c>
      <c r="L1458" s="44" t="s">
        <v>687</v>
      </c>
      <c r="M1458" s="44"/>
      <c r="N1458" s="44"/>
      <c r="O1458" s="44"/>
      <c r="P1458" s="71"/>
      <c r="Q1458" s="44"/>
      <c r="R1458" s="28"/>
      <c r="S1458" s="33"/>
      <c r="T1458" s="32"/>
    </row>
    <row r="1459">
      <c r="A1459" s="64" t="s">
        <v>2283</v>
      </c>
      <c r="B1459" s="16" t="s">
        <v>27</v>
      </c>
      <c r="C1459" s="16" t="s">
        <v>28</v>
      </c>
      <c r="D1459" s="17" t="str">
        <f t="shared" si="86"/>
        <v>Removed</v>
      </c>
      <c r="E1459" s="76">
        <v>43625.0</v>
      </c>
      <c r="F1459" s="52">
        <v>44255.0</v>
      </c>
      <c r="G1459" s="20">
        <f t="shared" si="2"/>
        <v>20.63333333</v>
      </c>
      <c r="H1459" s="18">
        <v>42433.0</v>
      </c>
      <c r="I1459" s="20">
        <f t="shared" si="3"/>
        <v>3.263888889</v>
      </c>
      <c r="J1459" s="65">
        <v>77.0</v>
      </c>
      <c r="K1459" s="53">
        <v>4.0</v>
      </c>
      <c r="L1459" s="43" t="s">
        <v>44</v>
      </c>
      <c r="M1459" s="43"/>
      <c r="N1459" s="43"/>
      <c r="O1459" s="43"/>
      <c r="P1459" s="66"/>
      <c r="Q1459" s="43"/>
      <c r="R1459" s="17"/>
      <c r="S1459" s="18"/>
      <c r="T1459" s="20"/>
    </row>
    <row r="1460">
      <c r="A1460" s="27" t="s">
        <v>2284</v>
      </c>
      <c r="B1460" s="28" t="s">
        <v>68</v>
      </c>
      <c r="C1460" s="28"/>
      <c r="D1460" s="29" t="str">
        <f t="shared" si="86"/>
        <v>Removed</v>
      </c>
      <c r="E1460" s="33">
        <v>44145.0</v>
      </c>
      <c r="F1460" s="31">
        <v>44246.0</v>
      </c>
      <c r="G1460" s="32">
        <f t="shared" si="2"/>
        <v>3.3</v>
      </c>
      <c r="H1460" s="33">
        <v>40715.0</v>
      </c>
      <c r="I1460" s="32">
        <f t="shared" si="3"/>
        <v>9.386111111</v>
      </c>
      <c r="J1460" s="34">
        <v>76.0</v>
      </c>
      <c r="K1460" s="34">
        <v>8.5</v>
      </c>
      <c r="L1460" s="35" t="s">
        <v>32</v>
      </c>
      <c r="M1460" s="35"/>
      <c r="N1460" s="35"/>
      <c r="O1460" s="35"/>
      <c r="P1460" s="36"/>
      <c r="Q1460" s="35"/>
      <c r="R1460" s="29"/>
      <c r="S1460" s="33"/>
      <c r="T1460" s="32"/>
    </row>
    <row r="1461">
      <c r="A1461" s="15" t="s">
        <v>2285</v>
      </c>
      <c r="B1461" s="16" t="s">
        <v>1859</v>
      </c>
      <c r="C1461" s="17"/>
      <c r="D1461" s="17" t="s">
        <v>1860</v>
      </c>
      <c r="E1461" s="76">
        <v>44228.0</v>
      </c>
      <c r="F1461" s="62">
        <v>44243.0</v>
      </c>
      <c r="G1461" s="20">
        <f t="shared" si="2"/>
        <v>0.5</v>
      </c>
      <c r="H1461" s="18"/>
      <c r="I1461" s="20">
        <f t="shared" si="3"/>
        <v>-4.705555556</v>
      </c>
      <c r="J1461" s="53"/>
      <c r="K1461" s="53"/>
      <c r="L1461" s="23"/>
      <c r="M1461" s="23" t="s">
        <v>1614</v>
      </c>
      <c r="N1461" s="23" t="s">
        <v>1612</v>
      </c>
      <c r="O1461" s="23"/>
      <c r="P1461" s="54"/>
      <c r="Q1461" s="23"/>
      <c r="R1461" s="17"/>
      <c r="S1461" s="18"/>
      <c r="T1461" s="20"/>
    </row>
    <row r="1462">
      <c r="A1462" s="27" t="s">
        <v>2286</v>
      </c>
      <c r="B1462" s="28" t="s">
        <v>1610</v>
      </c>
      <c r="C1462" s="29"/>
      <c r="D1462" s="29" t="s">
        <v>1611</v>
      </c>
      <c r="E1462" s="70">
        <v>44212.0</v>
      </c>
      <c r="F1462" s="30">
        <v>44242.0</v>
      </c>
      <c r="G1462" s="32">
        <f t="shared" si="2"/>
        <v>0.9666666667</v>
      </c>
      <c r="H1462" s="33"/>
      <c r="I1462" s="32">
        <f t="shared" si="3"/>
        <v>-4.747222222</v>
      </c>
      <c r="J1462" s="34"/>
      <c r="K1462" s="34"/>
      <c r="L1462" s="35"/>
      <c r="M1462" s="35"/>
      <c r="N1462" s="35"/>
      <c r="O1462" s="35"/>
      <c r="P1462" s="36"/>
      <c r="Q1462" s="35"/>
      <c r="R1462" s="29"/>
      <c r="S1462" s="33"/>
      <c r="T1462" s="32"/>
    </row>
    <row r="1463">
      <c r="A1463" s="64" t="s">
        <v>2287</v>
      </c>
      <c r="B1463" s="16" t="s">
        <v>68</v>
      </c>
      <c r="C1463" s="17"/>
      <c r="D1463" s="17" t="str">
        <f t="shared" ref="D1463:D1465" si="87">IF(E1463&gt;TODAY(),"Coming Soon",IF(F1463="","Active",IF(F1463&gt;TODAY(),"Leaving Soon","Removed")))</f>
        <v>Removed</v>
      </c>
      <c r="E1463" s="76">
        <v>43881.0</v>
      </c>
      <c r="F1463" s="52">
        <v>44242.0</v>
      </c>
      <c r="G1463" s="20">
        <f t="shared" si="2"/>
        <v>11.83333333</v>
      </c>
      <c r="H1463" s="18">
        <v>39602.0</v>
      </c>
      <c r="I1463" s="20">
        <f t="shared" si="3"/>
        <v>11.71388889</v>
      </c>
      <c r="J1463" s="65">
        <v>81.0</v>
      </c>
      <c r="K1463" s="53">
        <v>14.0</v>
      </c>
      <c r="L1463" s="43" t="s">
        <v>366</v>
      </c>
      <c r="M1463" s="43"/>
      <c r="N1463" s="43"/>
      <c r="O1463" s="43"/>
      <c r="P1463" s="66"/>
      <c r="Q1463" s="23" t="s">
        <v>863</v>
      </c>
      <c r="R1463" s="17"/>
      <c r="S1463" s="18"/>
      <c r="T1463" s="20"/>
    </row>
    <row r="1464">
      <c r="A1464" s="27" t="s">
        <v>2288</v>
      </c>
      <c r="B1464" s="29" t="s">
        <v>40</v>
      </c>
      <c r="C1464" s="29"/>
      <c r="D1464" s="29" t="str">
        <f t="shared" si="87"/>
        <v>Removed</v>
      </c>
      <c r="E1464" s="70">
        <v>43881.0</v>
      </c>
      <c r="F1464" s="31">
        <v>44242.0</v>
      </c>
      <c r="G1464" s="32">
        <f t="shared" si="2"/>
        <v>11.83333333</v>
      </c>
      <c r="H1464" s="33">
        <v>43881.0</v>
      </c>
      <c r="I1464" s="32">
        <f t="shared" si="3"/>
        <v>0</v>
      </c>
      <c r="J1464" s="34">
        <v>80.0</v>
      </c>
      <c r="K1464" s="34">
        <v>2.5</v>
      </c>
      <c r="L1464" s="35" t="s">
        <v>29</v>
      </c>
      <c r="M1464" s="44"/>
      <c r="N1464" s="44"/>
      <c r="O1464" s="44"/>
      <c r="P1464" s="71"/>
      <c r="Q1464" s="44"/>
      <c r="R1464" s="28"/>
      <c r="S1464" s="33"/>
      <c r="T1464" s="32"/>
    </row>
    <row r="1465">
      <c r="A1465" s="64" t="s">
        <v>2289</v>
      </c>
      <c r="B1465" s="16" t="s">
        <v>68</v>
      </c>
      <c r="C1465" s="17"/>
      <c r="D1465" s="17" t="str">
        <f t="shared" si="87"/>
        <v>Removed</v>
      </c>
      <c r="E1465" s="76">
        <v>43510.0</v>
      </c>
      <c r="F1465" s="52">
        <v>44242.0</v>
      </c>
      <c r="G1465" s="20">
        <f t="shared" si="2"/>
        <v>24.03333333</v>
      </c>
      <c r="H1465" s="18">
        <v>39713.0</v>
      </c>
      <c r="I1465" s="20">
        <f t="shared" si="3"/>
        <v>10.39444444</v>
      </c>
      <c r="J1465" s="65">
        <v>72.0</v>
      </c>
      <c r="K1465" s="53">
        <v>8.0</v>
      </c>
      <c r="L1465" s="43" t="s">
        <v>549</v>
      </c>
      <c r="M1465" s="43"/>
      <c r="N1465" s="43"/>
      <c r="O1465" s="43"/>
      <c r="P1465" s="66"/>
      <c r="Q1465" s="23" t="s">
        <v>1697</v>
      </c>
      <c r="R1465" s="17"/>
      <c r="S1465" s="18"/>
      <c r="T1465" s="20"/>
    </row>
    <row r="1466">
      <c r="A1466" s="27" t="s">
        <v>2290</v>
      </c>
      <c r="B1466" s="28" t="s">
        <v>1859</v>
      </c>
      <c r="C1466" s="29"/>
      <c r="D1466" s="29" t="s">
        <v>1860</v>
      </c>
      <c r="E1466" s="70">
        <v>44212.0</v>
      </c>
      <c r="F1466" s="30">
        <v>44227.0</v>
      </c>
      <c r="G1466" s="32">
        <f t="shared" si="2"/>
        <v>0.4666666667</v>
      </c>
      <c r="H1466" s="33"/>
      <c r="I1466" s="32">
        <f t="shared" si="3"/>
        <v>-4.747222222</v>
      </c>
      <c r="J1466" s="34"/>
      <c r="K1466" s="34"/>
      <c r="L1466" s="35"/>
      <c r="M1466" s="35" t="s">
        <v>1614</v>
      </c>
      <c r="N1466" s="35" t="s">
        <v>1612</v>
      </c>
      <c r="O1466" s="35"/>
      <c r="P1466" s="36"/>
      <c r="Q1466" s="35"/>
      <c r="R1466" s="29"/>
      <c r="S1466" s="33"/>
      <c r="T1466" s="32"/>
    </row>
    <row r="1467">
      <c r="A1467" s="15" t="s">
        <v>2291</v>
      </c>
      <c r="B1467" s="16" t="s">
        <v>1610</v>
      </c>
      <c r="C1467" s="17"/>
      <c r="D1467" s="17" t="s">
        <v>1611</v>
      </c>
      <c r="E1467" s="76">
        <v>44197.0</v>
      </c>
      <c r="F1467" s="62">
        <v>44227.0</v>
      </c>
      <c r="G1467" s="20">
        <f t="shared" si="2"/>
        <v>0.9666666667</v>
      </c>
      <c r="H1467" s="18"/>
      <c r="I1467" s="20">
        <f t="shared" si="3"/>
        <v>-4.788888889</v>
      </c>
      <c r="J1467" s="53"/>
      <c r="K1467" s="53"/>
      <c r="L1467" s="23"/>
      <c r="M1467" s="23"/>
      <c r="N1467" s="23"/>
      <c r="O1467" s="23"/>
      <c r="P1467" s="54"/>
      <c r="Q1467" s="23"/>
      <c r="R1467" s="17"/>
      <c r="S1467" s="18"/>
      <c r="T1467" s="20"/>
    </row>
    <row r="1468">
      <c r="A1468" s="67" t="s">
        <v>2292</v>
      </c>
      <c r="B1468" s="29" t="s">
        <v>40</v>
      </c>
      <c r="C1468" s="29"/>
      <c r="D1468" s="29" t="str">
        <f t="shared" ref="D1468:D1473" si="88">IF(E1468&gt;TODAY(),"Coming Soon",IF(F1468="","Active",IF(F1468&gt;TODAY(),"Leaving Soon","Removed")))</f>
        <v>Removed</v>
      </c>
      <c r="E1468" s="70">
        <v>43881.0</v>
      </c>
      <c r="F1468" s="31">
        <v>44225.0</v>
      </c>
      <c r="G1468" s="32">
        <f t="shared" si="2"/>
        <v>11.3</v>
      </c>
      <c r="H1468" s="33">
        <v>43391.0</v>
      </c>
      <c r="I1468" s="32">
        <f t="shared" si="3"/>
        <v>1.338888889</v>
      </c>
      <c r="J1468" s="69">
        <v>84.0</v>
      </c>
      <c r="K1468" s="34">
        <v>2.0</v>
      </c>
      <c r="L1468" s="44" t="s">
        <v>50</v>
      </c>
      <c r="M1468" s="44"/>
      <c r="N1468" s="44"/>
      <c r="O1468" s="44"/>
      <c r="P1468" s="71"/>
      <c r="Q1468" s="44"/>
      <c r="R1468" s="28"/>
      <c r="S1468" s="33"/>
      <c r="T1468" s="32"/>
    </row>
    <row r="1469">
      <c r="A1469" s="64" t="s">
        <v>2293</v>
      </c>
      <c r="B1469" s="16" t="s">
        <v>68</v>
      </c>
      <c r="C1469" s="16" t="s">
        <v>28</v>
      </c>
      <c r="D1469" s="17" t="str">
        <f t="shared" si="88"/>
        <v>Removed</v>
      </c>
      <c r="E1469" s="76">
        <v>43874.0</v>
      </c>
      <c r="F1469" s="52">
        <v>44225.0</v>
      </c>
      <c r="G1469" s="20">
        <f t="shared" si="2"/>
        <v>11.53333333</v>
      </c>
      <c r="H1469" s="18">
        <v>42808.0</v>
      </c>
      <c r="I1469" s="20">
        <f t="shared" si="3"/>
        <v>2.913888889</v>
      </c>
      <c r="J1469" s="65">
        <v>80.0</v>
      </c>
      <c r="K1469" s="53">
        <v>6.0</v>
      </c>
      <c r="L1469" s="43" t="s">
        <v>2294</v>
      </c>
      <c r="M1469" s="43"/>
      <c r="N1469" s="43"/>
      <c r="O1469" s="43"/>
      <c r="P1469" s="66"/>
      <c r="Q1469" s="43"/>
      <c r="R1469" s="17"/>
      <c r="S1469" s="18"/>
      <c r="T1469" s="20"/>
    </row>
    <row r="1470">
      <c r="A1470" s="27" t="s">
        <v>2295</v>
      </c>
      <c r="B1470" s="29" t="s">
        <v>40</v>
      </c>
      <c r="C1470" s="29"/>
      <c r="D1470" s="29" t="str">
        <f t="shared" si="88"/>
        <v>Removed</v>
      </c>
      <c r="E1470" s="70">
        <v>43874.0</v>
      </c>
      <c r="F1470" s="31">
        <v>44225.0</v>
      </c>
      <c r="G1470" s="32">
        <f t="shared" si="2"/>
        <v>11.53333333</v>
      </c>
      <c r="H1470" s="33">
        <v>43326.0</v>
      </c>
      <c r="I1470" s="32">
        <f t="shared" si="3"/>
        <v>1.497222222</v>
      </c>
      <c r="J1470" s="69">
        <v>71.0</v>
      </c>
      <c r="K1470" s="34">
        <v>10.0</v>
      </c>
      <c r="L1470" s="35" t="s">
        <v>122</v>
      </c>
      <c r="M1470" s="44"/>
      <c r="N1470" s="44"/>
      <c r="O1470" s="44"/>
      <c r="P1470" s="71"/>
      <c r="Q1470" s="44"/>
      <c r="R1470" s="28"/>
      <c r="S1470" s="33"/>
      <c r="T1470" s="32"/>
    </row>
    <row r="1471">
      <c r="A1471" s="64" t="s">
        <v>2296</v>
      </c>
      <c r="B1471" s="16" t="s">
        <v>27</v>
      </c>
      <c r="C1471" s="17"/>
      <c r="D1471" s="17" t="str">
        <f t="shared" si="88"/>
        <v>Removed</v>
      </c>
      <c r="E1471" s="76">
        <v>43867.0</v>
      </c>
      <c r="F1471" s="52">
        <v>44225.0</v>
      </c>
      <c r="G1471" s="20">
        <f t="shared" si="2"/>
        <v>11.76666667</v>
      </c>
      <c r="H1471" s="18">
        <v>42703.0</v>
      </c>
      <c r="I1471" s="20">
        <f t="shared" si="3"/>
        <v>3.186111111</v>
      </c>
      <c r="J1471" s="65">
        <v>83.0</v>
      </c>
      <c r="K1471" s="53">
        <v>28.0</v>
      </c>
      <c r="L1471" s="23" t="s">
        <v>392</v>
      </c>
      <c r="M1471" s="43"/>
      <c r="N1471" s="43"/>
      <c r="O1471" s="43"/>
      <c r="P1471" s="66"/>
      <c r="Q1471" s="43"/>
      <c r="R1471" s="17"/>
      <c r="S1471" s="18"/>
      <c r="T1471" s="20"/>
    </row>
    <row r="1472">
      <c r="A1472" s="67" t="s">
        <v>2297</v>
      </c>
      <c r="B1472" s="28" t="s">
        <v>27</v>
      </c>
      <c r="C1472" s="28" t="s">
        <v>28</v>
      </c>
      <c r="D1472" s="29" t="str">
        <f t="shared" si="88"/>
        <v>Removed</v>
      </c>
      <c r="E1472" s="70">
        <v>43860.0</v>
      </c>
      <c r="F1472" s="31">
        <v>44225.0</v>
      </c>
      <c r="G1472" s="32">
        <f t="shared" si="2"/>
        <v>11.96666667</v>
      </c>
      <c r="H1472" s="33">
        <v>43361.0</v>
      </c>
      <c r="I1472" s="32">
        <f t="shared" si="3"/>
        <v>1.366666667</v>
      </c>
      <c r="J1472" s="34">
        <v>70.0</v>
      </c>
      <c r="K1472" s="34"/>
      <c r="L1472" s="44" t="s">
        <v>2298</v>
      </c>
      <c r="M1472" s="44"/>
      <c r="N1472" s="44"/>
      <c r="O1472" s="44"/>
      <c r="P1472" s="71"/>
      <c r="Q1472" s="44"/>
      <c r="R1472" s="29"/>
      <c r="S1472" s="33"/>
      <c r="T1472" s="32"/>
    </row>
    <row r="1473">
      <c r="A1473" s="64" t="s">
        <v>2299</v>
      </c>
      <c r="B1473" s="16" t="s">
        <v>27</v>
      </c>
      <c r="C1473" s="16" t="s">
        <v>28</v>
      </c>
      <c r="D1473" s="17" t="str">
        <f t="shared" si="88"/>
        <v>Removed</v>
      </c>
      <c r="E1473" s="76">
        <v>43860.0</v>
      </c>
      <c r="F1473" s="52">
        <v>44225.0</v>
      </c>
      <c r="G1473" s="20">
        <f t="shared" si="2"/>
        <v>11.96666667</v>
      </c>
      <c r="H1473" s="18">
        <v>43755.0</v>
      </c>
      <c r="I1473" s="20">
        <f t="shared" si="3"/>
        <v>0.2861111111</v>
      </c>
      <c r="J1473" s="65">
        <v>68.0</v>
      </c>
      <c r="K1473" s="53">
        <v>4.0</v>
      </c>
      <c r="L1473" s="43" t="s">
        <v>2300</v>
      </c>
      <c r="M1473" s="43"/>
      <c r="N1473" s="43"/>
      <c r="O1473" s="43"/>
      <c r="P1473" s="66"/>
      <c r="Q1473" s="43"/>
      <c r="R1473" s="17"/>
      <c r="S1473" s="18"/>
      <c r="T1473" s="20"/>
    </row>
    <row r="1474">
      <c r="A1474" s="27" t="s">
        <v>2301</v>
      </c>
      <c r="B1474" s="28" t="s">
        <v>1610</v>
      </c>
      <c r="C1474" s="29"/>
      <c r="D1474" s="29" t="s">
        <v>1611</v>
      </c>
      <c r="E1474" s="70">
        <v>44181.0</v>
      </c>
      <c r="F1474" s="30">
        <v>44212.0</v>
      </c>
      <c r="G1474" s="32">
        <f t="shared" si="2"/>
        <v>1</v>
      </c>
      <c r="H1474" s="33"/>
      <c r="I1474" s="32">
        <f t="shared" si="3"/>
        <v>-4.830555556</v>
      </c>
      <c r="J1474" s="34"/>
      <c r="K1474" s="34"/>
      <c r="L1474" s="35"/>
      <c r="M1474" s="35"/>
      <c r="N1474" s="35"/>
      <c r="O1474" s="35"/>
      <c r="P1474" s="36"/>
      <c r="Q1474" s="35"/>
      <c r="R1474" s="29"/>
      <c r="S1474" s="33"/>
      <c r="T1474" s="32"/>
    </row>
    <row r="1475">
      <c r="A1475" s="15" t="s">
        <v>2302</v>
      </c>
      <c r="B1475" s="16" t="s">
        <v>1859</v>
      </c>
      <c r="C1475" s="17"/>
      <c r="D1475" s="17" t="s">
        <v>1860</v>
      </c>
      <c r="E1475" s="76">
        <v>44197.0</v>
      </c>
      <c r="F1475" s="62">
        <v>44211.0</v>
      </c>
      <c r="G1475" s="20">
        <f t="shared" si="2"/>
        <v>0.4666666667</v>
      </c>
      <c r="H1475" s="18"/>
      <c r="I1475" s="20">
        <f t="shared" si="3"/>
        <v>-4.788888889</v>
      </c>
      <c r="J1475" s="53"/>
      <c r="K1475" s="53"/>
      <c r="L1475" s="23"/>
      <c r="M1475" s="23"/>
      <c r="N1475" s="23" t="s">
        <v>1612</v>
      </c>
      <c r="O1475" s="23"/>
      <c r="P1475" s="54"/>
      <c r="Q1475" s="23"/>
      <c r="R1475" s="17"/>
      <c r="S1475" s="18"/>
      <c r="T1475" s="20"/>
    </row>
    <row r="1476">
      <c r="A1476" s="67" t="s">
        <v>2303</v>
      </c>
      <c r="B1476" s="28" t="s">
        <v>68</v>
      </c>
      <c r="C1476" s="29"/>
      <c r="D1476" s="29" t="str">
        <f t="shared" ref="D1476:D1478" si="89">IF(E1476&gt;TODAY(),"Coming Soon",IF(F1476="","Active",IF(F1476&gt;TODAY(),"Leaving Soon","Removed")))</f>
        <v>Removed</v>
      </c>
      <c r="E1476" s="30">
        <v>43846.0</v>
      </c>
      <c r="F1476" s="31">
        <v>44211.0</v>
      </c>
      <c r="G1476" s="32">
        <f t="shared" si="2"/>
        <v>11.96666667</v>
      </c>
      <c r="H1476" s="33">
        <v>42081.0</v>
      </c>
      <c r="I1476" s="32">
        <f t="shared" si="3"/>
        <v>4.827777778</v>
      </c>
      <c r="J1476" s="69">
        <v>81.0</v>
      </c>
      <c r="K1476" s="34">
        <v>3.5</v>
      </c>
      <c r="L1476" s="44" t="s">
        <v>303</v>
      </c>
      <c r="M1476" s="44"/>
      <c r="N1476" s="44"/>
      <c r="O1476" s="44"/>
      <c r="P1476" s="71"/>
      <c r="Q1476" s="44"/>
      <c r="R1476" s="29"/>
      <c r="S1476" s="33"/>
      <c r="T1476" s="32"/>
    </row>
    <row r="1477">
      <c r="A1477" s="64" t="s">
        <v>2304</v>
      </c>
      <c r="B1477" s="16" t="s">
        <v>68</v>
      </c>
      <c r="C1477" s="17"/>
      <c r="D1477" s="17" t="str">
        <f t="shared" si="89"/>
        <v>Removed</v>
      </c>
      <c r="E1477" s="62">
        <v>43839.0</v>
      </c>
      <c r="F1477" s="52">
        <v>44211.0</v>
      </c>
      <c r="G1477" s="20">
        <f t="shared" si="2"/>
        <v>12.2</v>
      </c>
      <c r="H1477" s="18">
        <v>43139.0</v>
      </c>
      <c r="I1477" s="20">
        <f t="shared" si="3"/>
        <v>1.919444444</v>
      </c>
      <c r="J1477" s="65">
        <v>72.0</v>
      </c>
      <c r="K1477" s="53">
        <v>27.0</v>
      </c>
      <c r="L1477" s="23" t="s">
        <v>1375</v>
      </c>
      <c r="M1477" s="43"/>
      <c r="N1477" s="43"/>
      <c r="O1477" s="43"/>
      <c r="P1477" s="66"/>
      <c r="Q1477" s="43"/>
      <c r="R1477" s="17"/>
      <c r="S1477" s="18"/>
      <c r="T1477" s="20"/>
    </row>
    <row r="1478">
      <c r="A1478" s="67" t="s">
        <v>2305</v>
      </c>
      <c r="B1478" s="29" t="s">
        <v>40</v>
      </c>
      <c r="C1478" s="29"/>
      <c r="D1478" s="29" t="str">
        <f t="shared" si="89"/>
        <v>Removed</v>
      </c>
      <c r="E1478" s="70">
        <v>43837.0</v>
      </c>
      <c r="F1478" s="31">
        <v>44211.0</v>
      </c>
      <c r="G1478" s="32">
        <f t="shared" si="2"/>
        <v>12.26666667</v>
      </c>
      <c r="H1478" s="33">
        <v>41166.0</v>
      </c>
      <c r="I1478" s="32">
        <f t="shared" si="3"/>
        <v>7.313888889</v>
      </c>
      <c r="J1478" s="69">
        <v>84.0</v>
      </c>
      <c r="K1478" s="34">
        <v>11.5</v>
      </c>
      <c r="L1478" s="35" t="s">
        <v>567</v>
      </c>
      <c r="M1478" s="44"/>
      <c r="N1478" s="44"/>
      <c r="O1478" s="44"/>
      <c r="P1478" s="71"/>
      <c r="Q1478" s="44"/>
      <c r="R1478" s="28"/>
      <c r="S1478" s="33"/>
      <c r="T1478" s="32"/>
    </row>
    <row r="1479">
      <c r="A1479" s="15" t="s">
        <v>561</v>
      </c>
      <c r="B1479" s="16" t="s">
        <v>1859</v>
      </c>
      <c r="C1479" s="17"/>
      <c r="D1479" s="17" t="s">
        <v>1860</v>
      </c>
      <c r="E1479" s="76">
        <v>44181.0</v>
      </c>
      <c r="F1479" s="62">
        <v>44196.0</v>
      </c>
      <c r="G1479" s="20">
        <f t="shared" si="2"/>
        <v>0.4666666667</v>
      </c>
      <c r="H1479" s="18"/>
      <c r="I1479" s="20">
        <f t="shared" si="3"/>
        <v>-4.830555556</v>
      </c>
      <c r="J1479" s="53"/>
      <c r="K1479" s="53"/>
      <c r="L1479" s="23"/>
      <c r="M1479" s="23"/>
      <c r="N1479" s="23" t="s">
        <v>1612</v>
      </c>
      <c r="O1479" s="23"/>
      <c r="P1479" s="54"/>
      <c r="Q1479" s="23"/>
      <c r="R1479" s="17"/>
      <c r="S1479" s="18"/>
      <c r="T1479" s="20"/>
    </row>
    <row r="1480">
      <c r="A1480" s="27" t="s">
        <v>2306</v>
      </c>
      <c r="B1480" s="28" t="s">
        <v>1610</v>
      </c>
      <c r="C1480" s="29"/>
      <c r="D1480" s="29" t="s">
        <v>1611</v>
      </c>
      <c r="E1480" s="70">
        <v>44166.0</v>
      </c>
      <c r="F1480" s="30">
        <v>44196.0</v>
      </c>
      <c r="G1480" s="32">
        <f t="shared" si="2"/>
        <v>0.9666666667</v>
      </c>
      <c r="H1480" s="33"/>
      <c r="I1480" s="32">
        <f t="shared" si="3"/>
        <v>-4.872222222</v>
      </c>
      <c r="J1480" s="34"/>
      <c r="K1480" s="34"/>
      <c r="L1480" s="35"/>
      <c r="M1480" s="35"/>
      <c r="N1480" s="35"/>
      <c r="O1480" s="35"/>
      <c r="P1480" s="36"/>
      <c r="Q1480" s="35"/>
      <c r="R1480" s="29"/>
      <c r="S1480" s="33"/>
      <c r="T1480" s="32"/>
    </row>
    <row r="1481">
      <c r="A1481" s="64" t="s">
        <v>2307</v>
      </c>
      <c r="B1481" s="17" t="s">
        <v>40</v>
      </c>
      <c r="C1481" s="17"/>
      <c r="D1481" s="17" t="str">
        <f t="shared" ref="D1481:D1483" si="90">IF(E1481&gt;TODAY(),"Coming Soon",IF(F1481="","Active",IF(F1481&gt;TODAY(),"Leaving Soon","Removed")))</f>
        <v>Removed</v>
      </c>
      <c r="E1481" s="76">
        <v>43931.0</v>
      </c>
      <c r="F1481" s="52">
        <v>44195.0</v>
      </c>
      <c r="G1481" s="20">
        <f t="shared" si="2"/>
        <v>8.666666667</v>
      </c>
      <c r="H1481" s="18">
        <v>43787.0</v>
      </c>
      <c r="I1481" s="20">
        <f t="shared" si="3"/>
        <v>0.3944444444</v>
      </c>
      <c r="J1481" s="65">
        <v>84.0</v>
      </c>
      <c r="K1481" s="53">
        <v>580.0</v>
      </c>
      <c r="L1481" s="43" t="s">
        <v>1552</v>
      </c>
      <c r="M1481" s="43"/>
      <c r="N1481" s="43"/>
      <c r="O1481" s="43"/>
      <c r="P1481" s="66"/>
      <c r="Q1481" s="43"/>
      <c r="R1481" s="16"/>
      <c r="S1481" s="18"/>
      <c r="T1481" s="20"/>
    </row>
    <row r="1482">
      <c r="A1482" s="67" t="s">
        <v>2308</v>
      </c>
      <c r="B1482" s="28" t="s">
        <v>27</v>
      </c>
      <c r="C1482" s="28" t="s">
        <v>28</v>
      </c>
      <c r="D1482" s="29" t="str">
        <f t="shared" si="90"/>
        <v>Removed</v>
      </c>
      <c r="E1482" s="70">
        <v>43468.0</v>
      </c>
      <c r="F1482" s="31">
        <v>44195.0</v>
      </c>
      <c r="G1482" s="32">
        <f t="shared" si="2"/>
        <v>23.9</v>
      </c>
      <c r="H1482" s="33">
        <v>42667.0</v>
      </c>
      <c r="I1482" s="32">
        <f t="shared" si="3"/>
        <v>2.191666667</v>
      </c>
      <c r="J1482" s="69">
        <v>65.0</v>
      </c>
      <c r="K1482" s="34">
        <v>37.0</v>
      </c>
      <c r="L1482" s="44" t="s">
        <v>50</v>
      </c>
      <c r="M1482" s="44"/>
      <c r="N1482" s="44"/>
      <c r="O1482" s="44"/>
      <c r="P1482" s="71"/>
      <c r="Q1482" s="44"/>
      <c r="R1482" s="29"/>
      <c r="S1482" s="33"/>
      <c r="T1482" s="32"/>
    </row>
    <row r="1483">
      <c r="A1483" s="64" t="s">
        <v>2309</v>
      </c>
      <c r="B1483" s="16" t="s">
        <v>68</v>
      </c>
      <c r="C1483" s="16" t="s">
        <v>28</v>
      </c>
      <c r="D1483" s="17" t="str">
        <f t="shared" si="90"/>
        <v>Removed</v>
      </c>
      <c r="E1483" s="76">
        <v>43441.0</v>
      </c>
      <c r="F1483" s="52">
        <v>44195.0</v>
      </c>
      <c r="G1483" s="20">
        <f t="shared" si="2"/>
        <v>24.76666667</v>
      </c>
      <c r="H1483" s="18">
        <v>42108.0</v>
      </c>
      <c r="I1483" s="20">
        <f t="shared" si="3"/>
        <v>3.647222222</v>
      </c>
      <c r="J1483" s="65">
        <v>86.0</v>
      </c>
      <c r="K1483" s="53">
        <v>5.5</v>
      </c>
      <c r="L1483" s="43" t="s">
        <v>303</v>
      </c>
      <c r="M1483" s="43"/>
      <c r="N1483" s="43"/>
      <c r="O1483" s="43"/>
      <c r="P1483" s="66"/>
      <c r="Q1483" s="43"/>
      <c r="R1483" s="17"/>
      <c r="S1483" s="18"/>
      <c r="T1483" s="20"/>
    </row>
    <row r="1484">
      <c r="A1484" s="27" t="s">
        <v>2310</v>
      </c>
      <c r="B1484" s="28" t="s">
        <v>1859</v>
      </c>
      <c r="C1484" s="29"/>
      <c r="D1484" s="29" t="s">
        <v>1860</v>
      </c>
      <c r="E1484" s="70">
        <v>44166.0</v>
      </c>
      <c r="F1484" s="30">
        <v>44180.0</v>
      </c>
      <c r="G1484" s="32">
        <f t="shared" si="2"/>
        <v>0.4666666667</v>
      </c>
      <c r="H1484" s="33"/>
      <c r="I1484" s="32">
        <f t="shared" si="3"/>
        <v>-4.872222222</v>
      </c>
      <c r="J1484" s="34"/>
      <c r="K1484" s="34"/>
      <c r="L1484" s="35"/>
      <c r="M1484" s="35"/>
      <c r="N1484" s="35" t="s">
        <v>1612</v>
      </c>
      <c r="O1484" s="35"/>
      <c r="P1484" s="36"/>
      <c r="Q1484" s="35"/>
      <c r="R1484" s="29"/>
      <c r="S1484" s="33"/>
      <c r="T1484" s="32"/>
    </row>
    <row r="1485">
      <c r="A1485" s="15" t="s">
        <v>2311</v>
      </c>
      <c r="B1485" s="16" t="s">
        <v>1610</v>
      </c>
      <c r="C1485" s="17"/>
      <c r="D1485" s="17" t="s">
        <v>1611</v>
      </c>
      <c r="E1485" s="76">
        <v>44151.0</v>
      </c>
      <c r="F1485" s="62">
        <v>44180.0</v>
      </c>
      <c r="G1485" s="20">
        <f t="shared" si="2"/>
        <v>0.9666666667</v>
      </c>
      <c r="H1485" s="18"/>
      <c r="I1485" s="20">
        <f t="shared" si="3"/>
        <v>-4.913888889</v>
      </c>
      <c r="J1485" s="53"/>
      <c r="K1485" s="53"/>
      <c r="L1485" s="23"/>
      <c r="M1485" s="23"/>
      <c r="N1485" s="23"/>
      <c r="O1485" s="23"/>
      <c r="P1485" s="54"/>
      <c r="Q1485" s="23"/>
      <c r="R1485" s="17"/>
      <c r="S1485" s="18"/>
      <c r="T1485" s="20"/>
    </row>
    <row r="1486">
      <c r="A1486" s="67" t="s">
        <v>2312</v>
      </c>
      <c r="B1486" s="29" t="s">
        <v>40</v>
      </c>
      <c r="C1486" s="29"/>
      <c r="D1486" s="29" t="str">
        <f t="shared" ref="D1486:D1501" si="91">IF(E1486&gt;TODAY(),"Coming Soon",IF(F1486="","Active",IF(F1486&gt;TODAY(),"Leaving Soon","Removed")))</f>
        <v>Removed</v>
      </c>
      <c r="E1486" s="70">
        <v>43818.0</v>
      </c>
      <c r="F1486" s="31">
        <v>44180.0</v>
      </c>
      <c r="G1486" s="32">
        <f t="shared" si="2"/>
        <v>11.86666667</v>
      </c>
      <c r="H1486" s="33">
        <v>42185.0</v>
      </c>
      <c r="I1486" s="32">
        <f t="shared" si="3"/>
        <v>4.469444444</v>
      </c>
      <c r="J1486" s="69">
        <v>85.0</v>
      </c>
      <c r="K1486" s="34">
        <v>38.0</v>
      </c>
      <c r="L1486" s="35" t="s">
        <v>731</v>
      </c>
      <c r="M1486" s="35"/>
      <c r="N1486" s="35"/>
      <c r="O1486" s="35"/>
      <c r="P1486" s="36"/>
      <c r="Q1486" s="35"/>
      <c r="R1486" s="28"/>
      <c r="S1486" s="33"/>
      <c r="T1486" s="32"/>
    </row>
    <row r="1487">
      <c r="A1487" s="64" t="s">
        <v>2313</v>
      </c>
      <c r="B1487" s="16" t="s">
        <v>68</v>
      </c>
      <c r="C1487" s="16" t="s">
        <v>28</v>
      </c>
      <c r="D1487" s="17" t="str">
        <f t="shared" si="91"/>
        <v>Removed</v>
      </c>
      <c r="E1487" s="76">
        <v>43816.0</v>
      </c>
      <c r="F1487" s="52">
        <v>44180.0</v>
      </c>
      <c r="G1487" s="20">
        <f t="shared" si="2"/>
        <v>11.93333333</v>
      </c>
      <c r="H1487" s="18">
        <v>43728.0</v>
      </c>
      <c r="I1487" s="20">
        <f t="shared" si="3"/>
        <v>0.2416666667</v>
      </c>
      <c r="J1487" s="65">
        <v>81.0</v>
      </c>
      <c r="K1487" s="53">
        <v>3.0</v>
      </c>
      <c r="L1487" s="43" t="s">
        <v>366</v>
      </c>
      <c r="M1487" s="23" t="s">
        <v>451</v>
      </c>
      <c r="N1487" s="43"/>
      <c r="O1487" s="43"/>
      <c r="P1487" s="66"/>
      <c r="Q1487" s="43"/>
      <c r="R1487" s="17"/>
      <c r="S1487" s="18"/>
      <c r="T1487" s="20"/>
    </row>
    <row r="1488">
      <c r="A1488" s="67" t="s">
        <v>2314</v>
      </c>
      <c r="B1488" s="28" t="s">
        <v>27</v>
      </c>
      <c r="C1488" s="28" t="s">
        <v>28</v>
      </c>
      <c r="D1488" s="29" t="str">
        <f t="shared" si="91"/>
        <v>Removed</v>
      </c>
      <c r="E1488" s="70">
        <v>43811.0</v>
      </c>
      <c r="F1488" s="31">
        <v>44180.0</v>
      </c>
      <c r="G1488" s="32">
        <f t="shared" si="2"/>
        <v>12.1</v>
      </c>
      <c r="H1488" s="33">
        <v>43608.0</v>
      </c>
      <c r="I1488" s="32">
        <f t="shared" si="3"/>
        <v>0.5527777778</v>
      </c>
      <c r="J1488" s="69">
        <v>67.0</v>
      </c>
      <c r="K1488" s="34">
        <v>19.0</v>
      </c>
      <c r="L1488" s="35" t="s">
        <v>529</v>
      </c>
      <c r="M1488" s="44"/>
      <c r="N1488" s="44"/>
      <c r="O1488" s="44"/>
      <c r="P1488" s="71"/>
      <c r="Q1488" s="44"/>
      <c r="R1488" s="29"/>
      <c r="S1488" s="33"/>
      <c r="T1488" s="32"/>
    </row>
    <row r="1489">
      <c r="A1489" s="64" t="s">
        <v>2315</v>
      </c>
      <c r="B1489" s="16" t="s">
        <v>27</v>
      </c>
      <c r="C1489" s="17"/>
      <c r="D1489" s="17" t="str">
        <f t="shared" si="91"/>
        <v>Removed</v>
      </c>
      <c r="E1489" s="76">
        <v>43809.0</v>
      </c>
      <c r="F1489" s="52">
        <v>44180.0</v>
      </c>
      <c r="G1489" s="20">
        <f t="shared" si="2"/>
        <v>12.16666667</v>
      </c>
      <c r="H1489" s="18">
        <v>39624.0</v>
      </c>
      <c r="I1489" s="20">
        <f t="shared" si="3"/>
        <v>11.45833333</v>
      </c>
      <c r="J1489" s="53">
        <v>70.0</v>
      </c>
      <c r="K1489" s="53">
        <v>0.5</v>
      </c>
      <c r="L1489" s="43" t="s">
        <v>608</v>
      </c>
      <c r="M1489" s="43"/>
      <c r="N1489" s="43"/>
      <c r="O1489" s="43"/>
      <c r="P1489" s="66"/>
      <c r="Q1489" s="23" t="s">
        <v>863</v>
      </c>
      <c r="R1489" s="17"/>
      <c r="S1489" s="18"/>
      <c r="T1489" s="20"/>
    </row>
    <row r="1490">
      <c r="A1490" s="67" t="s">
        <v>2316</v>
      </c>
      <c r="B1490" s="28" t="s">
        <v>68</v>
      </c>
      <c r="C1490" s="29"/>
      <c r="D1490" s="29" t="str">
        <f t="shared" si="91"/>
        <v>Removed</v>
      </c>
      <c r="E1490" s="70">
        <v>43804.0</v>
      </c>
      <c r="F1490" s="31">
        <v>44180.0</v>
      </c>
      <c r="G1490" s="32">
        <f t="shared" si="2"/>
        <v>12.33333333</v>
      </c>
      <c r="H1490" s="33">
        <v>43343.0</v>
      </c>
      <c r="I1490" s="32">
        <f t="shared" si="3"/>
        <v>1.263888889</v>
      </c>
      <c r="J1490" s="69">
        <v>60.0</v>
      </c>
      <c r="K1490" s="34">
        <v>7.0</v>
      </c>
      <c r="L1490" s="44" t="s">
        <v>303</v>
      </c>
      <c r="M1490" s="44"/>
      <c r="N1490" s="44"/>
      <c r="O1490" s="44"/>
      <c r="P1490" s="71"/>
      <c r="Q1490" s="44"/>
      <c r="R1490" s="29"/>
      <c r="S1490" s="33"/>
      <c r="T1490" s="32"/>
    </row>
    <row r="1491">
      <c r="A1491" s="64" t="s">
        <v>2317</v>
      </c>
      <c r="B1491" s="16" t="s">
        <v>27</v>
      </c>
      <c r="C1491" s="16" t="s">
        <v>28</v>
      </c>
      <c r="D1491" s="17" t="str">
        <f t="shared" si="91"/>
        <v>Removed</v>
      </c>
      <c r="E1491" s="76">
        <v>43783.0</v>
      </c>
      <c r="F1491" s="52">
        <v>44180.0</v>
      </c>
      <c r="G1491" s="20">
        <f t="shared" si="2"/>
        <v>13.03333333</v>
      </c>
      <c r="H1491" s="18">
        <v>43683.0</v>
      </c>
      <c r="I1491" s="20">
        <f t="shared" si="3"/>
        <v>0.2722222222</v>
      </c>
      <c r="J1491" s="65">
        <v>85.0</v>
      </c>
      <c r="K1491" s="53">
        <v>48.0</v>
      </c>
      <c r="L1491" s="43" t="s">
        <v>119</v>
      </c>
      <c r="M1491" s="43"/>
      <c r="N1491" s="43"/>
      <c r="O1491" s="43"/>
      <c r="P1491" s="66"/>
      <c r="Q1491" s="43"/>
      <c r="R1491" s="17"/>
      <c r="S1491" s="18"/>
      <c r="T1491" s="20"/>
    </row>
    <row r="1492">
      <c r="A1492" s="67" t="s">
        <v>2318</v>
      </c>
      <c r="B1492" s="28" t="s">
        <v>27</v>
      </c>
      <c r="C1492" s="28" t="s">
        <v>28</v>
      </c>
      <c r="D1492" s="29" t="str">
        <f t="shared" si="91"/>
        <v>Removed</v>
      </c>
      <c r="E1492" s="70">
        <v>43625.0</v>
      </c>
      <c r="F1492" s="31">
        <v>44180.0</v>
      </c>
      <c r="G1492" s="32">
        <f t="shared" si="2"/>
        <v>18.2</v>
      </c>
      <c r="H1492" s="33">
        <v>42598.0</v>
      </c>
      <c r="I1492" s="32">
        <f t="shared" si="3"/>
        <v>2.813888889</v>
      </c>
      <c r="J1492" s="69">
        <v>80.0</v>
      </c>
      <c r="K1492" s="34">
        <v>5.0</v>
      </c>
      <c r="L1492" s="44" t="s">
        <v>731</v>
      </c>
      <c r="M1492" s="44"/>
      <c r="N1492" s="44"/>
      <c r="O1492" s="44"/>
      <c r="P1492" s="71"/>
      <c r="Q1492" s="44"/>
      <c r="R1492" s="29"/>
      <c r="S1492" s="33"/>
      <c r="T1492" s="32"/>
    </row>
    <row r="1493">
      <c r="A1493" s="15" t="s">
        <v>2319</v>
      </c>
      <c r="B1493" s="16" t="s">
        <v>27</v>
      </c>
      <c r="C1493" s="16" t="s">
        <v>28</v>
      </c>
      <c r="D1493" s="17" t="str">
        <f t="shared" si="91"/>
        <v>Removed</v>
      </c>
      <c r="E1493" s="76">
        <v>43447.0</v>
      </c>
      <c r="F1493" s="52">
        <v>44180.0</v>
      </c>
      <c r="G1493" s="20">
        <f t="shared" si="2"/>
        <v>24.06666667</v>
      </c>
      <c r="H1493" s="18">
        <v>43039.0</v>
      </c>
      <c r="I1493" s="20">
        <f t="shared" si="3"/>
        <v>1.119444444</v>
      </c>
      <c r="J1493" s="65">
        <v>72.0</v>
      </c>
      <c r="K1493" s="53">
        <v>16.5</v>
      </c>
      <c r="L1493" s="43" t="s">
        <v>787</v>
      </c>
      <c r="M1493" s="43"/>
      <c r="N1493" s="43"/>
      <c r="O1493" s="43"/>
      <c r="P1493" s="66"/>
      <c r="Q1493" s="43"/>
      <c r="R1493" s="17"/>
      <c r="S1493" s="18"/>
      <c r="T1493" s="20"/>
    </row>
    <row r="1494">
      <c r="A1494" s="67" t="s">
        <v>2320</v>
      </c>
      <c r="B1494" s="28" t="s">
        <v>40</v>
      </c>
      <c r="C1494" s="29"/>
      <c r="D1494" s="29" t="str">
        <f t="shared" si="91"/>
        <v>Removed</v>
      </c>
      <c r="E1494" s="70">
        <v>42979.0</v>
      </c>
      <c r="F1494" s="31">
        <v>44180.0</v>
      </c>
      <c r="G1494" s="32">
        <f t="shared" si="2"/>
        <v>39.46666667</v>
      </c>
      <c r="H1494" s="33">
        <v>41877.0</v>
      </c>
      <c r="I1494" s="32">
        <f t="shared" si="3"/>
        <v>3.013888889</v>
      </c>
      <c r="J1494" s="69">
        <v>88.0</v>
      </c>
      <c r="K1494" s="34">
        <v>10.0</v>
      </c>
      <c r="L1494" s="44" t="s">
        <v>362</v>
      </c>
      <c r="M1494" s="35" t="s">
        <v>451</v>
      </c>
      <c r="N1494" s="44"/>
      <c r="O1494" s="44"/>
      <c r="P1494" s="71"/>
      <c r="Q1494" s="44"/>
      <c r="R1494" s="28"/>
      <c r="S1494" s="33"/>
      <c r="T1494" s="32"/>
    </row>
    <row r="1495">
      <c r="A1495" s="64" t="s">
        <v>2321</v>
      </c>
      <c r="B1495" s="16" t="s">
        <v>68</v>
      </c>
      <c r="C1495" s="17"/>
      <c r="D1495" s="17" t="str">
        <f t="shared" si="91"/>
        <v>Removed</v>
      </c>
      <c r="E1495" s="76">
        <v>43811.0</v>
      </c>
      <c r="F1495" s="52">
        <v>44176.0</v>
      </c>
      <c r="G1495" s="20">
        <f t="shared" si="2"/>
        <v>11.96666667</v>
      </c>
      <c r="H1495" s="18">
        <v>43718.0</v>
      </c>
      <c r="I1495" s="20">
        <f t="shared" si="3"/>
        <v>0.2555555556</v>
      </c>
      <c r="J1495" s="65">
        <v>82.0</v>
      </c>
      <c r="K1495" s="53">
        <v>5.5</v>
      </c>
      <c r="L1495" s="43" t="s">
        <v>2074</v>
      </c>
      <c r="M1495" s="43"/>
      <c r="N1495" s="43"/>
      <c r="O1495" s="43"/>
      <c r="P1495" s="66"/>
      <c r="Q1495" s="43"/>
      <c r="R1495" s="17"/>
      <c r="S1495" s="18"/>
      <c r="T1495" s="20"/>
    </row>
    <row r="1496">
      <c r="A1496" s="27" t="s">
        <v>2322</v>
      </c>
      <c r="B1496" s="28" t="s">
        <v>27</v>
      </c>
      <c r="C1496" s="28" t="s">
        <v>28</v>
      </c>
      <c r="D1496" s="29" t="str">
        <f t="shared" si="91"/>
        <v>Removed</v>
      </c>
      <c r="E1496" s="70">
        <v>43805.0</v>
      </c>
      <c r="F1496" s="31">
        <v>44166.0</v>
      </c>
      <c r="G1496" s="32">
        <f t="shared" si="2"/>
        <v>11.83333333</v>
      </c>
      <c r="H1496" s="33">
        <v>43487.0</v>
      </c>
      <c r="I1496" s="32">
        <f t="shared" si="3"/>
        <v>0.8722222222</v>
      </c>
      <c r="J1496" s="34">
        <f>(60+79)/2</f>
        <v>69.5</v>
      </c>
      <c r="K1496" s="34">
        <v>7.0</v>
      </c>
      <c r="L1496" s="44" t="s">
        <v>2323</v>
      </c>
      <c r="M1496" s="44"/>
      <c r="N1496" s="44"/>
      <c r="O1496" s="44"/>
      <c r="P1496" s="71"/>
      <c r="Q1496" s="44"/>
      <c r="R1496" s="29"/>
      <c r="S1496" s="33"/>
      <c r="T1496" s="32"/>
    </row>
    <row r="1497">
      <c r="A1497" s="64" t="s">
        <v>2324</v>
      </c>
      <c r="B1497" s="16" t="s">
        <v>27</v>
      </c>
      <c r="C1497" s="16" t="s">
        <v>28</v>
      </c>
      <c r="D1497" s="17" t="str">
        <f t="shared" si="91"/>
        <v>Removed</v>
      </c>
      <c r="E1497" s="76">
        <v>43805.0</v>
      </c>
      <c r="F1497" s="52">
        <v>44166.0</v>
      </c>
      <c r="G1497" s="20">
        <f t="shared" si="2"/>
        <v>11.83333333</v>
      </c>
      <c r="H1497" s="18">
        <v>43370.0</v>
      </c>
      <c r="I1497" s="20">
        <f t="shared" si="3"/>
        <v>1.191666667</v>
      </c>
      <c r="J1497" s="65">
        <v>82.0</v>
      </c>
      <c r="K1497" s="53">
        <v>9.0</v>
      </c>
      <c r="L1497" s="23" t="s">
        <v>362</v>
      </c>
      <c r="M1497" s="23"/>
      <c r="N1497" s="23"/>
      <c r="O1497" s="23"/>
      <c r="P1497" s="54"/>
      <c r="Q1497" s="23"/>
      <c r="R1497" s="17"/>
      <c r="S1497" s="18"/>
      <c r="T1497" s="20"/>
    </row>
    <row r="1498">
      <c r="A1498" s="67" t="s">
        <v>2325</v>
      </c>
      <c r="B1498" s="29" t="s">
        <v>40</v>
      </c>
      <c r="C1498" s="29"/>
      <c r="D1498" s="29" t="str">
        <f t="shared" si="91"/>
        <v>Removed</v>
      </c>
      <c r="E1498" s="70">
        <v>43804.0</v>
      </c>
      <c r="F1498" s="31">
        <v>44166.0</v>
      </c>
      <c r="G1498" s="32">
        <f t="shared" si="2"/>
        <v>11.86666667</v>
      </c>
      <c r="H1498" s="33">
        <v>42429.0</v>
      </c>
      <c r="I1498" s="32">
        <f t="shared" si="3"/>
        <v>3.766666667</v>
      </c>
      <c r="J1498" s="69">
        <v>81.0</v>
      </c>
      <c r="K1498" s="34">
        <v>115.0</v>
      </c>
      <c r="L1498" s="35" t="s">
        <v>1057</v>
      </c>
      <c r="M1498" s="35"/>
      <c r="N1498" s="35"/>
      <c r="O1498" s="35"/>
      <c r="P1498" s="36"/>
      <c r="Q1498" s="35"/>
      <c r="R1498" s="28"/>
      <c r="S1498" s="33"/>
      <c r="T1498" s="32"/>
    </row>
    <row r="1499">
      <c r="A1499" s="64" t="s">
        <v>2326</v>
      </c>
      <c r="B1499" s="17" t="s">
        <v>40</v>
      </c>
      <c r="C1499" s="17"/>
      <c r="D1499" s="17" t="str">
        <f t="shared" si="91"/>
        <v>Removed</v>
      </c>
      <c r="E1499" s="76">
        <v>43625.0</v>
      </c>
      <c r="F1499" s="52">
        <v>44166.0</v>
      </c>
      <c r="G1499" s="20">
        <f t="shared" si="2"/>
        <v>17.73333333</v>
      </c>
      <c r="H1499" s="18">
        <v>40755.0</v>
      </c>
      <c r="I1499" s="20">
        <f t="shared" si="3"/>
        <v>7.858333333</v>
      </c>
      <c r="J1499" s="65">
        <v>68.0</v>
      </c>
      <c r="K1499" s="53">
        <v>1.5</v>
      </c>
      <c r="L1499" s="43" t="s">
        <v>2327</v>
      </c>
      <c r="M1499" s="43"/>
      <c r="N1499" s="43"/>
      <c r="O1499" s="43"/>
      <c r="P1499" s="66"/>
      <c r="Q1499" s="43"/>
      <c r="R1499" s="16"/>
      <c r="S1499" s="18"/>
      <c r="T1499" s="20"/>
    </row>
    <row r="1500">
      <c r="A1500" s="67" t="s">
        <v>2328</v>
      </c>
      <c r="B1500" s="28" t="s">
        <v>68</v>
      </c>
      <c r="C1500" s="28" t="s">
        <v>28</v>
      </c>
      <c r="D1500" s="29" t="str">
        <f t="shared" si="91"/>
        <v>Removed</v>
      </c>
      <c r="E1500" s="70">
        <v>43468.0</v>
      </c>
      <c r="F1500" s="31">
        <v>44166.0</v>
      </c>
      <c r="G1500" s="32">
        <f t="shared" si="2"/>
        <v>22.93333333</v>
      </c>
      <c r="H1500" s="33">
        <v>42976.0</v>
      </c>
      <c r="I1500" s="32">
        <f t="shared" si="3"/>
        <v>1.344444444</v>
      </c>
      <c r="J1500" s="69">
        <v>62.0</v>
      </c>
      <c r="K1500" s="34">
        <v>5.5</v>
      </c>
      <c r="L1500" s="35" t="s">
        <v>122</v>
      </c>
      <c r="M1500" s="35"/>
      <c r="N1500" s="35"/>
      <c r="O1500" s="35"/>
      <c r="P1500" s="36"/>
      <c r="Q1500" s="35"/>
      <c r="R1500" s="29"/>
      <c r="S1500" s="33"/>
      <c r="T1500" s="32"/>
    </row>
    <row r="1501">
      <c r="A1501" s="15" t="s">
        <v>2329</v>
      </c>
      <c r="B1501" s="16" t="s">
        <v>68</v>
      </c>
      <c r="C1501" s="16" t="s">
        <v>28</v>
      </c>
      <c r="D1501" s="17" t="str">
        <f t="shared" si="91"/>
        <v>Removed</v>
      </c>
      <c r="E1501" s="76">
        <v>42917.0</v>
      </c>
      <c r="F1501" s="52">
        <v>44166.0</v>
      </c>
      <c r="G1501" s="20">
        <f t="shared" si="2"/>
        <v>41</v>
      </c>
      <c r="H1501" s="18">
        <v>42521.0</v>
      </c>
      <c r="I1501" s="20">
        <f t="shared" si="3"/>
        <v>1.086111111</v>
      </c>
      <c r="J1501" s="65">
        <v>67.0</v>
      </c>
      <c r="K1501" s="53">
        <v>21.0</v>
      </c>
      <c r="L1501" s="43" t="s">
        <v>362</v>
      </c>
      <c r="M1501" s="23" t="s">
        <v>451</v>
      </c>
      <c r="N1501" s="43"/>
      <c r="O1501" s="43"/>
      <c r="P1501" s="66"/>
      <c r="Q1501" s="43"/>
      <c r="R1501" s="17"/>
      <c r="S1501" s="18"/>
      <c r="T1501" s="20"/>
    </row>
    <row r="1502">
      <c r="A1502" s="27" t="s">
        <v>2330</v>
      </c>
      <c r="B1502" s="28" t="s">
        <v>1859</v>
      </c>
      <c r="C1502" s="29"/>
      <c r="D1502" s="29" t="s">
        <v>1860</v>
      </c>
      <c r="E1502" s="70">
        <v>44151.0</v>
      </c>
      <c r="F1502" s="30">
        <v>44165.0</v>
      </c>
      <c r="G1502" s="32">
        <f t="shared" si="2"/>
        <v>0.4666666667</v>
      </c>
      <c r="H1502" s="33"/>
      <c r="I1502" s="32">
        <f t="shared" si="3"/>
        <v>-4.913888889</v>
      </c>
      <c r="J1502" s="34"/>
      <c r="K1502" s="34"/>
      <c r="L1502" s="35"/>
      <c r="M1502" s="35"/>
      <c r="N1502" s="35" t="s">
        <v>1612</v>
      </c>
      <c r="O1502" s="35"/>
      <c r="P1502" s="36"/>
      <c r="Q1502" s="35"/>
      <c r="R1502" s="29"/>
      <c r="S1502" s="33"/>
      <c r="T1502" s="32"/>
    </row>
    <row r="1503">
      <c r="A1503" s="15" t="s">
        <v>2331</v>
      </c>
      <c r="B1503" s="16" t="s">
        <v>1610</v>
      </c>
      <c r="C1503" s="17"/>
      <c r="D1503" s="17" t="s">
        <v>1611</v>
      </c>
      <c r="E1503" s="76">
        <v>44136.0</v>
      </c>
      <c r="F1503" s="62">
        <v>44165.0</v>
      </c>
      <c r="G1503" s="20">
        <f t="shared" si="2"/>
        <v>0.9666666667</v>
      </c>
      <c r="H1503" s="18"/>
      <c r="I1503" s="20">
        <f t="shared" si="3"/>
        <v>-4.955555556</v>
      </c>
      <c r="J1503" s="53"/>
      <c r="K1503" s="53"/>
      <c r="L1503" s="23"/>
      <c r="M1503" s="23"/>
      <c r="N1503" s="23"/>
      <c r="O1503" s="23"/>
      <c r="P1503" s="54"/>
      <c r="Q1503" s="23"/>
      <c r="R1503" s="17"/>
      <c r="S1503" s="18"/>
      <c r="T1503" s="20"/>
    </row>
    <row r="1504">
      <c r="A1504" s="67" t="s">
        <v>2146</v>
      </c>
      <c r="B1504" s="28" t="s">
        <v>27</v>
      </c>
      <c r="C1504" s="28" t="s">
        <v>28</v>
      </c>
      <c r="D1504" s="29" t="str">
        <f t="shared" ref="D1504:D1507" si="92">IF(E1504&gt;TODAY(),"Coming Soon",IF(F1504="","Active",IF(F1504&gt;TODAY(),"Leaving Soon","Removed")))</f>
        <v>Removed</v>
      </c>
      <c r="E1504" s="70">
        <v>43790.0</v>
      </c>
      <c r="F1504" s="31">
        <v>44151.0</v>
      </c>
      <c r="G1504" s="32">
        <f t="shared" si="2"/>
        <v>11.83333333</v>
      </c>
      <c r="H1504" s="33">
        <v>43431.0</v>
      </c>
      <c r="I1504" s="32">
        <f t="shared" si="3"/>
        <v>0.9833333333</v>
      </c>
      <c r="J1504" s="69">
        <v>69.0</v>
      </c>
      <c r="K1504" s="34">
        <v>14.0</v>
      </c>
      <c r="L1504" s="35" t="s">
        <v>392</v>
      </c>
      <c r="M1504" s="44"/>
      <c r="N1504" s="44"/>
      <c r="O1504" s="44"/>
      <c r="P1504" s="71"/>
      <c r="Q1504" s="44"/>
      <c r="R1504" s="29"/>
      <c r="S1504" s="33"/>
      <c r="T1504" s="32"/>
    </row>
    <row r="1505">
      <c r="A1505" s="64" t="s">
        <v>2332</v>
      </c>
      <c r="B1505" s="16" t="s">
        <v>27</v>
      </c>
      <c r="C1505" s="16" t="s">
        <v>28</v>
      </c>
      <c r="D1505" s="17" t="str">
        <f t="shared" si="92"/>
        <v>Removed</v>
      </c>
      <c r="E1505" s="76">
        <v>43790.0</v>
      </c>
      <c r="F1505" s="52">
        <v>44151.0</v>
      </c>
      <c r="G1505" s="20">
        <f t="shared" si="2"/>
        <v>11.83333333</v>
      </c>
      <c r="H1505" s="18">
        <v>43788.0</v>
      </c>
      <c r="I1505" s="20">
        <f t="shared" si="3"/>
        <v>0.005555555556</v>
      </c>
      <c r="J1505" s="65">
        <v>40.0</v>
      </c>
      <c r="K1505" s="53">
        <v>1.0</v>
      </c>
      <c r="L1505" s="43" t="s">
        <v>366</v>
      </c>
      <c r="M1505" s="43"/>
      <c r="N1505" s="43"/>
      <c r="O1505" s="43"/>
      <c r="P1505" s="66"/>
      <c r="Q1505" s="43"/>
      <c r="R1505" s="17"/>
      <c r="S1505" s="18"/>
      <c r="T1505" s="20"/>
    </row>
    <row r="1506">
      <c r="A1506" s="27" t="s">
        <v>2333</v>
      </c>
      <c r="B1506" s="28" t="s">
        <v>27</v>
      </c>
      <c r="C1506" s="28" t="s">
        <v>28</v>
      </c>
      <c r="D1506" s="29" t="str">
        <f t="shared" si="92"/>
        <v>Removed</v>
      </c>
      <c r="E1506" s="70">
        <v>43784.0</v>
      </c>
      <c r="F1506" s="31">
        <v>44151.0</v>
      </c>
      <c r="G1506" s="32">
        <f t="shared" si="2"/>
        <v>12.03333333</v>
      </c>
      <c r="H1506" s="33">
        <v>43005.0</v>
      </c>
      <c r="I1506" s="32">
        <f t="shared" si="3"/>
        <v>2.133333333</v>
      </c>
      <c r="J1506" s="34">
        <v>69.0</v>
      </c>
      <c r="K1506" s="34">
        <v>0.5</v>
      </c>
      <c r="L1506" s="44" t="s">
        <v>50</v>
      </c>
      <c r="M1506" s="44"/>
      <c r="N1506" s="44"/>
      <c r="O1506" s="44"/>
      <c r="P1506" s="71"/>
      <c r="Q1506" s="44"/>
      <c r="R1506" s="29"/>
      <c r="S1506" s="33"/>
      <c r="T1506" s="32"/>
    </row>
    <row r="1507">
      <c r="A1507" s="64" t="s">
        <v>2334</v>
      </c>
      <c r="B1507" s="16" t="s">
        <v>27</v>
      </c>
      <c r="C1507" s="16" t="s">
        <v>28</v>
      </c>
      <c r="D1507" s="17" t="str">
        <f t="shared" si="92"/>
        <v>Removed</v>
      </c>
      <c r="E1507" s="62">
        <v>43783.0</v>
      </c>
      <c r="F1507" s="52">
        <v>44151.0</v>
      </c>
      <c r="G1507" s="20">
        <f t="shared" si="2"/>
        <v>12.06666667</v>
      </c>
      <c r="H1507" s="18">
        <v>41984.0</v>
      </c>
      <c r="I1507" s="20">
        <f t="shared" si="3"/>
        <v>4.925</v>
      </c>
      <c r="J1507" s="65">
        <v>72.0</v>
      </c>
      <c r="K1507" s="53">
        <v>16.0</v>
      </c>
      <c r="L1507" s="43" t="s">
        <v>562</v>
      </c>
      <c r="M1507" s="43"/>
      <c r="N1507" s="43"/>
      <c r="O1507" s="43"/>
      <c r="P1507" s="66"/>
      <c r="Q1507" s="43"/>
      <c r="R1507" s="17"/>
      <c r="S1507" s="18"/>
      <c r="T1507" s="20"/>
    </row>
    <row r="1508">
      <c r="A1508" s="27" t="s">
        <v>2335</v>
      </c>
      <c r="B1508" s="28" t="s">
        <v>1859</v>
      </c>
      <c r="C1508" s="29"/>
      <c r="D1508" s="29" t="s">
        <v>1860</v>
      </c>
      <c r="E1508" s="70">
        <v>44136.0</v>
      </c>
      <c r="F1508" s="30">
        <v>44150.0</v>
      </c>
      <c r="G1508" s="32">
        <f t="shared" si="2"/>
        <v>0.4666666667</v>
      </c>
      <c r="H1508" s="33"/>
      <c r="I1508" s="32">
        <f t="shared" si="3"/>
        <v>-4.955555556</v>
      </c>
      <c r="J1508" s="34"/>
      <c r="K1508" s="34"/>
      <c r="L1508" s="35"/>
      <c r="M1508" s="35" t="s">
        <v>1614</v>
      </c>
      <c r="N1508" s="35" t="s">
        <v>1612</v>
      </c>
      <c r="O1508" s="35"/>
      <c r="P1508" s="36"/>
      <c r="Q1508" s="35"/>
      <c r="R1508" s="29"/>
      <c r="S1508" s="33"/>
      <c r="T1508" s="32"/>
    </row>
    <row r="1509">
      <c r="A1509" s="15" t="s">
        <v>2336</v>
      </c>
      <c r="B1509" s="16" t="s">
        <v>1610</v>
      </c>
      <c r="C1509" s="17"/>
      <c r="D1509" s="17" t="s">
        <v>1611</v>
      </c>
      <c r="E1509" s="76">
        <v>44120.0</v>
      </c>
      <c r="F1509" s="62">
        <v>44150.0</v>
      </c>
      <c r="G1509" s="20">
        <f t="shared" si="2"/>
        <v>0.9666666667</v>
      </c>
      <c r="H1509" s="18"/>
      <c r="I1509" s="20">
        <f t="shared" si="3"/>
        <v>-4.997222222</v>
      </c>
      <c r="J1509" s="53"/>
      <c r="K1509" s="53"/>
      <c r="L1509" s="23"/>
      <c r="M1509" s="23" t="s">
        <v>1614</v>
      </c>
      <c r="N1509" s="23"/>
      <c r="O1509" s="23"/>
      <c r="P1509" s="54"/>
      <c r="Q1509" s="23"/>
      <c r="R1509" s="17"/>
      <c r="S1509" s="18"/>
      <c r="T1509" s="20"/>
    </row>
    <row r="1510">
      <c r="A1510" s="27" t="s">
        <v>629</v>
      </c>
      <c r="B1510" s="28" t="s">
        <v>1859</v>
      </c>
      <c r="C1510" s="29"/>
      <c r="D1510" s="29" t="s">
        <v>1860</v>
      </c>
      <c r="E1510" s="70">
        <v>44120.0</v>
      </c>
      <c r="F1510" s="30">
        <v>44135.0</v>
      </c>
      <c r="G1510" s="32">
        <f t="shared" si="2"/>
        <v>0.4666666667</v>
      </c>
      <c r="H1510" s="33"/>
      <c r="I1510" s="32">
        <f t="shared" si="3"/>
        <v>-4.997222222</v>
      </c>
      <c r="J1510" s="34"/>
      <c r="K1510" s="34"/>
      <c r="L1510" s="35"/>
      <c r="M1510" s="35"/>
      <c r="N1510" s="35" t="s">
        <v>1612</v>
      </c>
      <c r="O1510" s="35"/>
      <c r="P1510" s="36"/>
      <c r="Q1510" s="35"/>
      <c r="R1510" s="29"/>
      <c r="S1510" s="33"/>
      <c r="T1510" s="32"/>
    </row>
    <row r="1511">
      <c r="A1511" s="15" t="s">
        <v>2337</v>
      </c>
      <c r="B1511" s="16" t="s">
        <v>1610</v>
      </c>
      <c r="C1511" s="17"/>
      <c r="D1511" s="17" t="s">
        <v>1611</v>
      </c>
      <c r="E1511" s="76">
        <v>44105.0</v>
      </c>
      <c r="F1511" s="62">
        <v>44135.0</v>
      </c>
      <c r="G1511" s="20">
        <f t="shared" si="2"/>
        <v>0.9666666667</v>
      </c>
      <c r="H1511" s="18"/>
      <c r="I1511" s="20">
        <f t="shared" si="3"/>
        <v>-5.038888889</v>
      </c>
      <c r="J1511" s="53"/>
      <c r="K1511" s="53"/>
      <c r="L1511" s="23"/>
      <c r="M1511" s="23"/>
      <c r="N1511" s="23"/>
      <c r="O1511" s="23"/>
      <c r="P1511" s="54"/>
      <c r="Q1511" s="23"/>
      <c r="R1511" s="17"/>
      <c r="S1511" s="18"/>
      <c r="T1511" s="20"/>
    </row>
    <row r="1512">
      <c r="A1512" s="67" t="s">
        <v>2338</v>
      </c>
      <c r="B1512" s="28" t="s">
        <v>27</v>
      </c>
      <c r="C1512" s="28" t="s">
        <v>28</v>
      </c>
      <c r="D1512" s="29" t="str">
        <f t="shared" ref="D1512:D1518" si="93">IF(E1512&gt;TODAY(),"Coming Soon",IF(F1512="","Active",IF(F1512&gt;TODAY(),"Leaving Soon","Removed")))</f>
        <v>Removed</v>
      </c>
      <c r="E1512" s="70">
        <v>43774.0</v>
      </c>
      <c r="F1512" s="31">
        <v>44135.0</v>
      </c>
      <c r="G1512" s="32">
        <f t="shared" si="2"/>
        <v>11.83333333</v>
      </c>
      <c r="H1512" s="33">
        <v>43340.0</v>
      </c>
      <c r="I1512" s="32">
        <f t="shared" si="3"/>
        <v>1.186111111</v>
      </c>
      <c r="J1512" s="69">
        <v>60.0</v>
      </c>
      <c r="K1512" s="34">
        <v>10.0</v>
      </c>
      <c r="L1512" s="44" t="s">
        <v>604</v>
      </c>
      <c r="M1512" s="44"/>
      <c r="N1512" s="44"/>
      <c r="O1512" s="44"/>
      <c r="P1512" s="71"/>
      <c r="Q1512" s="44"/>
      <c r="R1512" s="29"/>
      <c r="S1512" s="33"/>
      <c r="T1512" s="32"/>
    </row>
    <row r="1513">
      <c r="A1513" s="64" t="s">
        <v>2339</v>
      </c>
      <c r="B1513" s="16" t="s">
        <v>68</v>
      </c>
      <c r="C1513" s="17"/>
      <c r="D1513" s="17" t="str">
        <f t="shared" si="93"/>
        <v>Removed</v>
      </c>
      <c r="E1513" s="76">
        <v>43769.0</v>
      </c>
      <c r="F1513" s="52">
        <v>44135.0</v>
      </c>
      <c r="G1513" s="20">
        <f t="shared" si="2"/>
        <v>12</v>
      </c>
      <c r="H1513" s="18">
        <v>40624.0</v>
      </c>
      <c r="I1513" s="20">
        <f t="shared" si="3"/>
        <v>8.605555556</v>
      </c>
      <c r="J1513" s="65">
        <v>75.0</v>
      </c>
      <c r="K1513" s="53">
        <v>9.0</v>
      </c>
      <c r="L1513" s="43" t="s">
        <v>918</v>
      </c>
      <c r="M1513" s="43"/>
      <c r="N1513" s="43"/>
      <c r="O1513" s="43"/>
      <c r="P1513" s="66"/>
      <c r="Q1513" s="43"/>
      <c r="R1513" s="17"/>
      <c r="S1513" s="18"/>
      <c r="T1513" s="20"/>
    </row>
    <row r="1514">
      <c r="A1514" s="67" t="s">
        <v>2340</v>
      </c>
      <c r="B1514" s="28" t="s">
        <v>68</v>
      </c>
      <c r="C1514" s="28" t="s">
        <v>28</v>
      </c>
      <c r="D1514" s="29" t="str">
        <f t="shared" si="93"/>
        <v>Removed</v>
      </c>
      <c r="E1514" s="70">
        <v>43767.0</v>
      </c>
      <c r="F1514" s="31">
        <v>44135.0</v>
      </c>
      <c r="G1514" s="32">
        <f t="shared" si="2"/>
        <v>12.03333333</v>
      </c>
      <c r="H1514" s="33">
        <v>43767.0</v>
      </c>
      <c r="I1514" s="32">
        <f t="shared" si="3"/>
        <v>0</v>
      </c>
      <c r="J1514" s="69">
        <v>73.0</v>
      </c>
      <c r="K1514" s="34">
        <v>5.5</v>
      </c>
      <c r="L1514" s="35" t="s">
        <v>362</v>
      </c>
      <c r="M1514" s="35"/>
      <c r="N1514" s="35"/>
      <c r="O1514" s="35"/>
      <c r="P1514" s="36"/>
      <c r="Q1514" s="35"/>
      <c r="R1514" s="29"/>
      <c r="S1514" s="33"/>
      <c r="T1514" s="32"/>
    </row>
    <row r="1515">
      <c r="A1515" s="64" t="s">
        <v>2341</v>
      </c>
      <c r="B1515" s="17" t="s">
        <v>40</v>
      </c>
      <c r="C1515" s="17"/>
      <c r="D1515" s="17" t="str">
        <f t="shared" si="93"/>
        <v>Removed</v>
      </c>
      <c r="E1515" s="76">
        <v>43735.0</v>
      </c>
      <c r="F1515" s="52">
        <v>44135.0</v>
      </c>
      <c r="G1515" s="20">
        <f t="shared" si="2"/>
        <v>13.1</v>
      </c>
      <c r="H1515" s="18">
        <v>43122.0</v>
      </c>
      <c r="I1515" s="20">
        <f t="shared" si="3"/>
        <v>1.680555556</v>
      </c>
      <c r="J1515" s="65">
        <v>80.0</v>
      </c>
      <c r="K1515" s="53">
        <v>4.0</v>
      </c>
      <c r="L1515" s="43" t="s">
        <v>362</v>
      </c>
      <c r="M1515" s="43"/>
      <c r="N1515" s="43"/>
      <c r="O1515" s="43"/>
      <c r="P1515" s="66"/>
      <c r="Q1515" s="43"/>
      <c r="R1515" s="16"/>
      <c r="S1515" s="18"/>
      <c r="T1515" s="20"/>
    </row>
    <row r="1516">
      <c r="A1516" s="67" t="s">
        <v>2342</v>
      </c>
      <c r="B1516" s="28" t="s">
        <v>40</v>
      </c>
      <c r="C1516" s="28" t="s">
        <v>28</v>
      </c>
      <c r="D1516" s="29" t="str">
        <f t="shared" si="93"/>
        <v>Removed</v>
      </c>
      <c r="E1516" s="70">
        <v>43594.0</v>
      </c>
      <c r="F1516" s="31">
        <v>44135.0</v>
      </c>
      <c r="G1516" s="32">
        <f t="shared" si="2"/>
        <v>17.7</v>
      </c>
      <c r="H1516" s="33">
        <v>42948.0</v>
      </c>
      <c r="I1516" s="32">
        <f t="shared" si="3"/>
        <v>1.772222222</v>
      </c>
      <c r="J1516" s="69">
        <v>79.0</v>
      </c>
      <c r="K1516" s="34">
        <v>2.5</v>
      </c>
      <c r="L1516" s="35" t="s">
        <v>362</v>
      </c>
      <c r="M1516" s="35"/>
      <c r="N1516" s="35"/>
      <c r="O1516" s="35"/>
      <c r="P1516" s="36" t="s">
        <v>1676</v>
      </c>
      <c r="Q1516" s="35"/>
      <c r="R1516" s="28"/>
      <c r="S1516" s="33"/>
      <c r="T1516" s="32"/>
    </row>
    <row r="1517">
      <c r="A1517" s="64" t="s">
        <v>2343</v>
      </c>
      <c r="B1517" s="16" t="s">
        <v>68</v>
      </c>
      <c r="C1517" s="16" t="s">
        <v>28</v>
      </c>
      <c r="D1517" s="17" t="str">
        <f t="shared" si="93"/>
        <v>Removed</v>
      </c>
      <c r="E1517" s="76">
        <v>43405.0</v>
      </c>
      <c r="F1517" s="52">
        <v>44135.0</v>
      </c>
      <c r="G1517" s="20">
        <f t="shared" si="2"/>
        <v>23.96666667</v>
      </c>
      <c r="H1517" s="18">
        <v>42860.0</v>
      </c>
      <c r="I1517" s="20">
        <f t="shared" si="3"/>
        <v>1.488888889</v>
      </c>
      <c r="J1517" s="65">
        <v>66.0</v>
      </c>
      <c r="K1517" s="53">
        <v>2.5</v>
      </c>
      <c r="L1517" s="43" t="s">
        <v>1130</v>
      </c>
      <c r="M1517" s="43"/>
      <c r="N1517" s="43"/>
      <c r="O1517" s="43"/>
      <c r="P1517" s="66"/>
      <c r="Q1517" s="43"/>
      <c r="R1517" s="17"/>
      <c r="S1517" s="18"/>
      <c r="T1517" s="20"/>
    </row>
    <row r="1518">
      <c r="A1518" s="27" t="s">
        <v>2344</v>
      </c>
      <c r="B1518" s="28" t="s">
        <v>68</v>
      </c>
      <c r="C1518" s="28"/>
      <c r="D1518" s="29" t="str">
        <f t="shared" si="93"/>
        <v>Removed</v>
      </c>
      <c r="E1518" s="33">
        <v>44145.0</v>
      </c>
      <c r="F1518" s="31">
        <v>44123.0</v>
      </c>
      <c r="G1518" s="32">
        <f t="shared" si="2"/>
        <v>-0.7</v>
      </c>
      <c r="H1518" s="33">
        <v>42276.0</v>
      </c>
      <c r="I1518" s="32">
        <f t="shared" si="3"/>
        <v>5.113888889</v>
      </c>
      <c r="J1518" s="34">
        <v>60.0</v>
      </c>
      <c r="K1518" s="101">
        <v>55.0</v>
      </c>
      <c r="L1518" s="35" t="s">
        <v>922</v>
      </c>
      <c r="M1518" s="35"/>
      <c r="N1518" s="35"/>
      <c r="O1518" s="35" t="s">
        <v>132</v>
      </c>
      <c r="P1518" s="36"/>
      <c r="Q1518" s="35"/>
      <c r="R1518" s="29"/>
      <c r="S1518" s="33"/>
      <c r="T1518" s="32"/>
    </row>
    <row r="1519">
      <c r="A1519" s="15" t="s">
        <v>2345</v>
      </c>
      <c r="B1519" s="16" t="s">
        <v>1859</v>
      </c>
      <c r="C1519" s="17"/>
      <c r="D1519" s="17" t="s">
        <v>1860</v>
      </c>
      <c r="E1519" s="76">
        <v>44105.0</v>
      </c>
      <c r="F1519" s="62">
        <v>44119.0</v>
      </c>
      <c r="G1519" s="20">
        <f t="shared" si="2"/>
        <v>0.4666666667</v>
      </c>
      <c r="H1519" s="18"/>
      <c r="I1519" s="20">
        <f t="shared" si="3"/>
        <v>-5.038888889</v>
      </c>
      <c r="J1519" s="53"/>
      <c r="K1519" s="53"/>
      <c r="L1519" s="23"/>
      <c r="M1519" s="23" t="s">
        <v>1614</v>
      </c>
      <c r="N1519" s="23" t="s">
        <v>1612</v>
      </c>
      <c r="O1519" s="23"/>
      <c r="P1519" s="54"/>
      <c r="Q1519" s="23"/>
      <c r="R1519" s="17"/>
      <c r="S1519" s="18"/>
      <c r="T1519" s="20"/>
    </row>
    <row r="1520">
      <c r="A1520" s="27" t="s">
        <v>2346</v>
      </c>
      <c r="B1520" s="28" t="s">
        <v>1610</v>
      </c>
      <c r="C1520" s="29"/>
      <c r="D1520" s="29" t="s">
        <v>1611</v>
      </c>
      <c r="E1520" s="70">
        <v>44090.0</v>
      </c>
      <c r="F1520" s="30">
        <v>44119.0</v>
      </c>
      <c r="G1520" s="32">
        <f t="shared" si="2"/>
        <v>0.9666666667</v>
      </c>
      <c r="H1520" s="33"/>
      <c r="I1520" s="32">
        <f t="shared" si="3"/>
        <v>-5.080555556</v>
      </c>
      <c r="J1520" s="34"/>
      <c r="K1520" s="34"/>
      <c r="L1520" s="35"/>
      <c r="M1520" s="35"/>
      <c r="N1520" s="35"/>
      <c r="O1520" s="35"/>
      <c r="P1520" s="36"/>
      <c r="Q1520" s="35"/>
      <c r="R1520" s="29"/>
      <c r="S1520" s="33"/>
      <c r="T1520" s="32"/>
    </row>
    <row r="1521">
      <c r="A1521" s="64" t="s">
        <v>2347</v>
      </c>
      <c r="B1521" s="17" t="s">
        <v>40</v>
      </c>
      <c r="C1521" s="17"/>
      <c r="D1521" s="17" t="str">
        <f t="shared" ref="D1521:D1526" si="94">IF(E1521&gt;TODAY(),"Coming Soon",IF(F1521="","Active",IF(F1521&gt;TODAY(),"Leaving Soon","Removed")))</f>
        <v>Removed</v>
      </c>
      <c r="E1521" s="76">
        <v>43762.0</v>
      </c>
      <c r="F1521" s="52">
        <v>44119.0</v>
      </c>
      <c r="G1521" s="20">
        <f t="shared" si="2"/>
        <v>11.7</v>
      </c>
      <c r="H1521" s="18">
        <v>43327.0</v>
      </c>
      <c r="I1521" s="20">
        <f t="shared" si="3"/>
        <v>1.191666667</v>
      </c>
      <c r="J1521" s="65">
        <v>69.0</v>
      </c>
      <c r="K1521" s="53">
        <v>9.5</v>
      </c>
      <c r="L1521" s="43" t="s">
        <v>362</v>
      </c>
      <c r="M1521" s="43"/>
      <c r="N1521" s="43"/>
      <c r="O1521" s="43"/>
      <c r="P1521" s="66"/>
      <c r="Q1521" s="43"/>
      <c r="R1521" s="16"/>
      <c r="S1521" s="18"/>
      <c r="T1521" s="20"/>
    </row>
    <row r="1522">
      <c r="A1522" s="67" t="s">
        <v>2348</v>
      </c>
      <c r="B1522" s="28" t="s">
        <v>27</v>
      </c>
      <c r="C1522" s="28" t="s">
        <v>28</v>
      </c>
      <c r="D1522" s="29" t="str">
        <f t="shared" si="94"/>
        <v>Removed</v>
      </c>
      <c r="E1522" s="70">
        <v>43760.0</v>
      </c>
      <c r="F1522" s="31">
        <v>44119.0</v>
      </c>
      <c r="G1522" s="32">
        <f t="shared" si="2"/>
        <v>11.76666667</v>
      </c>
      <c r="H1522" s="33">
        <v>43193.0</v>
      </c>
      <c r="I1522" s="32">
        <f t="shared" si="3"/>
        <v>1.552777778</v>
      </c>
      <c r="J1522" s="69">
        <v>74.0</v>
      </c>
      <c r="K1522" s="34">
        <v>1.5</v>
      </c>
      <c r="L1522" s="35" t="s">
        <v>37</v>
      </c>
      <c r="M1522" s="35"/>
      <c r="N1522" s="35"/>
      <c r="O1522" s="35"/>
      <c r="P1522" s="36"/>
      <c r="Q1522" s="35"/>
      <c r="R1522" s="29"/>
      <c r="S1522" s="33"/>
      <c r="T1522" s="32"/>
    </row>
    <row r="1523">
      <c r="A1523" s="64" t="s">
        <v>2349</v>
      </c>
      <c r="B1523" s="16" t="s">
        <v>27</v>
      </c>
      <c r="C1523" s="16" t="s">
        <v>28</v>
      </c>
      <c r="D1523" s="17" t="str">
        <f t="shared" si="94"/>
        <v>Removed</v>
      </c>
      <c r="E1523" s="76">
        <v>43755.0</v>
      </c>
      <c r="F1523" s="52">
        <v>44119.0</v>
      </c>
      <c r="G1523" s="20">
        <f t="shared" si="2"/>
        <v>11.93333333</v>
      </c>
      <c r="H1523" s="18">
        <v>43755.0</v>
      </c>
      <c r="I1523" s="20">
        <f t="shared" si="3"/>
        <v>0</v>
      </c>
      <c r="J1523" s="65">
        <v>69.0</v>
      </c>
      <c r="K1523" s="53">
        <v>4.5</v>
      </c>
      <c r="L1523" s="43" t="s">
        <v>731</v>
      </c>
      <c r="M1523" s="43"/>
      <c r="N1523" s="43"/>
      <c r="O1523" s="43"/>
      <c r="P1523" s="66"/>
      <c r="Q1523" s="43"/>
      <c r="R1523" s="17"/>
      <c r="S1523" s="18"/>
      <c r="T1523" s="20"/>
    </row>
    <row r="1524">
      <c r="A1524" s="67" t="s">
        <v>2350</v>
      </c>
      <c r="B1524" s="28" t="s">
        <v>27</v>
      </c>
      <c r="C1524" s="28" t="s">
        <v>28</v>
      </c>
      <c r="D1524" s="29" t="str">
        <f t="shared" si="94"/>
        <v>Removed</v>
      </c>
      <c r="E1524" s="70">
        <v>43374.0</v>
      </c>
      <c r="F1524" s="31">
        <v>44119.0</v>
      </c>
      <c r="G1524" s="32">
        <f t="shared" si="2"/>
        <v>24.46666667</v>
      </c>
      <c r="H1524" s="33">
        <v>41877.0</v>
      </c>
      <c r="I1524" s="32">
        <f t="shared" si="3"/>
        <v>4.097222222</v>
      </c>
      <c r="J1524" s="69">
        <v>84.0</v>
      </c>
      <c r="K1524" s="34">
        <v>9.0</v>
      </c>
      <c r="L1524" s="44" t="s">
        <v>1113</v>
      </c>
      <c r="M1524" s="35" t="s">
        <v>451</v>
      </c>
      <c r="N1524" s="44"/>
      <c r="O1524" s="44"/>
      <c r="P1524" s="71"/>
      <c r="Q1524" s="44"/>
      <c r="R1524" s="29"/>
      <c r="S1524" s="33"/>
      <c r="T1524" s="32"/>
    </row>
    <row r="1525">
      <c r="A1525" s="64" t="s">
        <v>2351</v>
      </c>
      <c r="B1525" s="17" t="s">
        <v>40</v>
      </c>
      <c r="C1525" s="17"/>
      <c r="D1525" s="17" t="str">
        <f t="shared" si="94"/>
        <v>Removed</v>
      </c>
      <c r="E1525" s="62">
        <v>42887.0</v>
      </c>
      <c r="F1525" s="52">
        <v>44119.0</v>
      </c>
      <c r="G1525" s="20">
        <f t="shared" si="2"/>
        <v>40.46666667</v>
      </c>
      <c r="H1525" s="18">
        <v>41506.0</v>
      </c>
      <c r="I1525" s="20">
        <f t="shared" si="3"/>
        <v>3.780555556</v>
      </c>
      <c r="J1525" s="65">
        <v>73.0</v>
      </c>
      <c r="K1525" s="53">
        <v>14.5</v>
      </c>
      <c r="L1525" s="43" t="s">
        <v>201</v>
      </c>
      <c r="M1525" s="43"/>
      <c r="N1525" s="43"/>
      <c r="O1525" s="43"/>
      <c r="P1525" s="66"/>
      <c r="Q1525" s="43"/>
      <c r="R1525" s="16"/>
      <c r="S1525" s="18"/>
      <c r="T1525" s="20"/>
    </row>
    <row r="1526">
      <c r="A1526" s="27" t="s">
        <v>2352</v>
      </c>
      <c r="B1526" s="28" t="s">
        <v>68</v>
      </c>
      <c r="C1526" s="28"/>
      <c r="D1526" s="29" t="str">
        <f t="shared" si="94"/>
        <v>Removed</v>
      </c>
      <c r="E1526" s="33">
        <v>44145.0</v>
      </c>
      <c r="F1526" s="31">
        <v>44117.0</v>
      </c>
      <c r="G1526" s="32">
        <f t="shared" si="2"/>
        <v>-0.9</v>
      </c>
      <c r="H1526" s="33">
        <v>42626.0</v>
      </c>
      <c r="I1526" s="32">
        <f t="shared" si="3"/>
        <v>4.158333333</v>
      </c>
      <c r="J1526" s="34">
        <v>77.0</v>
      </c>
      <c r="K1526" s="34">
        <v>42.0</v>
      </c>
      <c r="L1526" s="35" t="s">
        <v>580</v>
      </c>
      <c r="M1526" s="35"/>
      <c r="N1526" s="35"/>
      <c r="O1526" s="35" t="s">
        <v>334</v>
      </c>
      <c r="P1526" s="36" t="s">
        <v>465</v>
      </c>
      <c r="Q1526" s="35"/>
      <c r="R1526" s="29"/>
      <c r="S1526" s="33"/>
      <c r="T1526" s="32"/>
    </row>
    <row r="1527">
      <c r="A1527" s="15" t="s">
        <v>2353</v>
      </c>
      <c r="B1527" s="16" t="s">
        <v>1859</v>
      </c>
      <c r="C1527" s="17"/>
      <c r="D1527" s="17" t="s">
        <v>1860</v>
      </c>
      <c r="E1527" s="76">
        <v>44090.0</v>
      </c>
      <c r="F1527" s="62">
        <v>44104.0</v>
      </c>
      <c r="G1527" s="20">
        <f t="shared" si="2"/>
        <v>0.4666666667</v>
      </c>
      <c r="H1527" s="18"/>
      <c r="I1527" s="20">
        <f t="shared" si="3"/>
        <v>-5.080555556</v>
      </c>
      <c r="J1527" s="53"/>
      <c r="K1527" s="53"/>
      <c r="L1527" s="23"/>
      <c r="M1527" s="23" t="s">
        <v>1614</v>
      </c>
      <c r="N1527" s="23" t="s">
        <v>1612</v>
      </c>
      <c r="O1527" s="23"/>
      <c r="P1527" s="54"/>
      <c r="Q1527" s="23"/>
      <c r="R1527" s="17"/>
      <c r="S1527" s="18"/>
      <c r="T1527" s="20"/>
    </row>
    <row r="1528">
      <c r="A1528" s="27" t="s">
        <v>101</v>
      </c>
      <c r="B1528" s="28" t="s">
        <v>1610</v>
      </c>
      <c r="C1528" s="29"/>
      <c r="D1528" s="29" t="s">
        <v>1611</v>
      </c>
      <c r="E1528" s="70">
        <v>44075.0</v>
      </c>
      <c r="F1528" s="30">
        <v>44104.0</v>
      </c>
      <c r="G1528" s="32">
        <f t="shared" si="2"/>
        <v>0.9666666667</v>
      </c>
      <c r="H1528" s="33"/>
      <c r="I1528" s="32">
        <f t="shared" si="3"/>
        <v>-5.122222222</v>
      </c>
      <c r="J1528" s="34"/>
      <c r="K1528" s="34"/>
      <c r="L1528" s="35"/>
      <c r="M1528" s="35"/>
      <c r="N1528" s="35" t="s">
        <v>1612</v>
      </c>
      <c r="O1528" s="35"/>
      <c r="P1528" s="36"/>
      <c r="Q1528" s="35"/>
      <c r="R1528" s="29"/>
      <c r="S1528" s="33"/>
      <c r="T1528" s="32"/>
    </row>
    <row r="1529">
      <c r="A1529" s="64" t="s">
        <v>2354</v>
      </c>
      <c r="B1529" s="16" t="s">
        <v>68</v>
      </c>
      <c r="C1529" s="17"/>
      <c r="D1529" s="17" t="str">
        <f t="shared" ref="D1529:D1532" si="95">IF(E1529&gt;TODAY(),"Coming Soon",IF(F1529="","Active",IF(F1529&gt;TODAY(),"Leaving Soon","Removed")))</f>
        <v>Removed</v>
      </c>
      <c r="E1529" s="76">
        <v>43739.0</v>
      </c>
      <c r="F1529" s="52">
        <v>44104.0</v>
      </c>
      <c r="G1529" s="20">
        <f t="shared" si="2"/>
        <v>11.96666667</v>
      </c>
      <c r="H1529" s="18">
        <v>37635.0</v>
      </c>
      <c r="I1529" s="20">
        <f t="shared" si="3"/>
        <v>16.71388889</v>
      </c>
      <c r="J1529" s="65">
        <v>90.0</v>
      </c>
      <c r="K1529" s="53">
        <v>4.0</v>
      </c>
      <c r="L1529" s="43" t="s">
        <v>675</v>
      </c>
      <c r="M1529" s="43"/>
      <c r="N1529" s="43"/>
      <c r="O1529" s="43"/>
      <c r="P1529" s="66"/>
      <c r="Q1529" s="132" t="s">
        <v>756</v>
      </c>
      <c r="R1529" s="17"/>
      <c r="S1529" s="18"/>
      <c r="T1529" s="20"/>
    </row>
    <row r="1530">
      <c r="A1530" s="67" t="s">
        <v>2355</v>
      </c>
      <c r="B1530" s="28" t="s">
        <v>27</v>
      </c>
      <c r="C1530" s="29"/>
      <c r="D1530" s="29" t="str">
        <f t="shared" si="95"/>
        <v>Removed</v>
      </c>
      <c r="E1530" s="70">
        <v>43734.0</v>
      </c>
      <c r="F1530" s="31">
        <v>44104.0</v>
      </c>
      <c r="G1530" s="32">
        <f t="shared" si="2"/>
        <v>12.13333333</v>
      </c>
      <c r="H1530" s="33">
        <v>43332.0</v>
      </c>
      <c r="I1530" s="32">
        <f t="shared" si="3"/>
        <v>1.1</v>
      </c>
      <c r="J1530" s="69">
        <v>65.0</v>
      </c>
      <c r="K1530" s="34">
        <v>5.5</v>
      </c>
      <c r="L1530" s="44" t="s">
        <v>726</v>
      </c>
      <c r="M1530" s="44"/>
      <c r="N1530" s="44"/>
      <c r="O1530" s="44"/>
      <c r="P1530" s="71"/>
      <c r="Q1530" s="44"/>
      <c r="R1530" s="29"/>
      <c r="S1530" s="33"/>
      <c r="T1530" s="32"/>
    </row>
    <row r="1531">
      <c r="A1531" s="64" t="s">
        <v>2356</v>
      </c>
      <c r="B1531" s="16" t="s">
        <v>68</v>
      </c>
      <c r="C1531" s="17"/>
      <c r="D1531" s="17" t="str">
        <f t="shared" si="95"/>
        <v>Removed</v>
      </c>
      <c r="E1531" s="76">
        <v>43374.0</v>
      </c>
      <c r="F1531" s="52">
        <v>44104.0</v>
      </c>
      <c r="G1531" s="20">
        <f t="shared" si="2"/>
        <v>23.96666667</v>
      </c>
      <c r="H1531" s="18">
        <v>42110.0</v>
      </c>
      <c r="I1531" s="20">
        <f t="shared" si="3"/>
        <v>3.458333333</v>
      </c>
      <c r="J1531" s="65">
        <v>80.0</v>
      </c>
      <c r="K1531" s="53">
        <v>2.5</v>
      </c>
      <c r="L1531" s="43" t="s">
        <v>37</v>
      </c>
      <c r="M1531" s="43"/>
      <c r="N1531" s="43"/>
      <c r="O1531" s="43"/>
      <c r="P1531" s="66"/>
      <c r="Q1531" s="43"/>
      <c r="R1531" s="17"/>
      <c r="S1531" s="18"/>
      <c r="T1531" s="20"/>
    </row>
    <row r="1532">
      <c r="A1532" s="67" t="s">
        <v>2357</v>
      </c>
      <c r="B1532" s="28" t="s">
        <v>68</v>
      </c>
      <c r="C1532" s="29"/>
      <c r="D1532" s="29" t="str">
        <f t="shared" si="95"/>
        <v>Removed</v>
      </c>
      <c r="E1532" s="70">
        <v>43292.0</v>
      </c>
      <c r="F1532" s="31">
        <v>44096.0</v>
      </c>
      <c r="G1532" s="32">
        <f t="shared" si="2"/>
        <v>26.36666667</v>
      </c>
      <c r="H1532" s="33">
        <v>42192.0</v>
      </c>
      <c r="I1532" s="32">
        <f t="shared" si="3"/>
        <v>3.011111111</v>
      </c>
      <c r="J1532" s="69">
        <v>87.0</v>
      </c>
      <c r="K1532" s="34">
        <v>4.0</v>
      </c>
      <c r="L1532" s="44" t="s">
        <v>2358</v>
      </c>
      <c r="M1532" s="44"/>
      <c r="N1532" s="44"/>
      <c r="O1532" s="44"/>
      <c r="P1532" s="71"/>
      <c r="Q1532" s="44"/>
      <c r="R1532" s="29"/>
      <c r="S1532" s="33"/>
      <c r="T1532" s="32"/>
    </row>
    <row r="1533">
      <c r="A1533" s="15" t="s">
        <v>2359</v>
      </c>
      <c r="B1533" s="16" t="s">
        <v>1859</v>
      </c>
      <c r="C1533" s="17"/>
      <c r="D1533" s="17" t="s">
        <v>1860</v>
      </c>
      <c r="E1533" s="76">
        <v>44075.0</v>
      </c>
      <c r="F1533" s="62">
        <v>44089.0</v>
      </c>
      <c r="G1533" s="20">
        <f t="shared" si="2"/>
        <v>0.4666666667</v>
      </c>
      <c r="H1533" s="18"/>
      <c r="I1533" s="20">
        <f t="shared" si="3"/>
        <v>-5.122222222</v>
      </c>
      <c r="J1533" s="53"/>
      <c r="K1533" s="53"/>
      <c r="L1533" s="23"/>
      <c r="M1533" s="23"/>
      <c r="N1533" s="23" t="s">
        <v>1612</v>
      </c>
      <c r="O1533" s="23"/>
      <c r="P1533" s="54"/>
      <c r="Q1533" s="23"/>
      <c r="R1533" s="17"/>
      <c r="S1533" s="18"/>
      <c r="T1533" s="20"/>
    </row>
    <row r="1534">
      <c r="A1534" s="27" t="s">
        <v>2360</v>
      </c>
      <c r="B1534" s="28" t="s">
        <v>1610</v>
      </c>
      <c r="C1534" s="29"/>
      <c r="D1534" s="29" t="s">
        <v>1611</v>
      </c>
      <c r="E1534" s="70">
        <v>44059.0</v>
      </c>
      <c r="F1534" s="30">
        <v>44089.0</v>
      </c>
      <c r="G1534" s="32">
        <f t="shared" si="2"/>
        <v>0.9666666667</v>
      </c>
      <c r="H1534" s="33"/>
      <c r="I1534" s="32">
        <f t="shared" si="3"/>
        <v>-5.163888889</v>
      </c>
      <c r="J1534" s="34"/>
      <c r="K1534" s="34"/>
      <c r="L1534" s="35"/>
      <c r="M1534" s="35"/>
      <c r="N1534" s="35" t="s">
        <v>1612</v>
      </c>
      <c r="O1534" s="35"/>
      <c r="P1534" s="36"/>
      <c r="Q1534" s="35"/>
      <c r="R1534" s="29"/>
      <c r="S1534" s="33"/>
      <c r="T1534" s="32"/>
    </row>
    <row r="1535">
      <c r="A1535" s="64" t="s">
        <v>2361</v>
      </c>
      <c r="B1535" s="16" t="s">
        <v>68</v>
      </c>
      <c r="C1535" s="17"/>
      <c r="D1535" s="17" t="str">
        <f t="shared" ref="D1535:D1538" si="96">IF(E1535&gt;TODAY(),"Coming Soon",IF(F1535="","Active",IF(F1535&gt;TODAY(),"Leaving Soon","Removed")))</f>
        <v>Removed</v>
      </c>
      <c r="E1535" s="76">
        <v>43895.0</v>
      </c>
      <c r="F1535" s="52">
        <v>44089.0</v>
      </c>
      <c r="G1535" s="20">
        <f t="shared" si="2"/>
        <v>6.333333333</v>
      </c>
      <c r="H1535" s="18">
        <v>43714.0</v>
      </c>
      <c r="I1535" s="20">
        <f t="shared" si="3"/>
        <v>0.4972222222</v>
      </c>
      <c r="J1535" s="65">
        <v>80.0</v>
      </c>
      <c r="K1535" s="53">
        <v>53.0</v>
      </c>
      <c r="L1535" s="23" t="s">
        <v>922</v>
      </c>
      <c r="M1535" s="23"/>
      <c r="N1535" s="23"/>
      <c r="O1535" s="23"/>
      <c r="P1535" s="54"/>
      <c r="Q1535" s="23"/>
      <c r="R1535" s="17"/>
      <c r="S1535" s="18"/>
      <c r="T1535" s="20"/>
    </row>
    <row r="1536">
      <c r="A1536" s="67" t="s">
        <v>2362</v>
      </c>
      <c r="B1536" s="28" t="s">
        <v>68</v>
      </c>
      <c r="C1536" s="29"/>
      <c r="D1536" s="29" t="str">
        <f t="shared" si="96"/>
        <v>Removed</v>
      </c>
      <c r="E1536" s="70">
        <v>43727.0</v>
      </c>
      <c r="F1536" s="31">
        <v>44089.0</v>
      </c>
      <c r="G1536" s="32">
        <f t="shared" si="2"/>
        <v>11.86666667</v>
      </c>
      <c r="H1536" s="33">
        <v>43508.0</v>
      </c>
      <c r="I1536" s="32">
        <f t="shared" si="3"/>
        <v>0.6027777778</v>
      </c>
      <c r="J1536" s="69">
        <v>61.0</v>
      </c>
      <c r="K1536" s="34">
        <v>12.5</v>
      </c>
      <c r="L1536" s="44" t="s">
        <v>303</v>
      </c>
      <c r="M1536" s="44"/>
      <c r="N1536" s="44"/>
      <c r="O1536" s="44"/>
      <c r="P1536" s="71"/>
      <c r="Q1536" s="44"/>
      <c r="R1536" s="29"/>
      <c r="S1536" s="33"/>
      <c r="T1536" s="32"/>
    </row>
    <row r="1537">
      <c r="A1537" s="15" t="s">
        <v>2363</v>
      </c>
      <c r="B1537" s="16" t="s">
        <v>27</v>
      </c>
      <c r="C1537" s="17"/>
      <c r="D1537" s="17" t="str">
        <f t="shared" si="96"/>
        <v>Removed</v>
      </c>
      <c r="E1537" s="76">
        <v>43720.0</v>
      </c>
      <c r="F1537" s="52">
        <v>44089.0</v>
      </c>
      <c r="G1537" s="20">
        <f t="shared" si="2"/>
        <v>12.1</v>
      </c>
      <c r="H1537" s="18">
        <v>43157.0</v>
      </c>
      <c r="I1537" s="20">
        <f t="shared" si="3"/>
        <v>1.544444444</v>
      </c>
      <c r="J1537" s="65">
        <v>60.0</v>
      </c>
      <c r="K1537" s="53">
        <v>8.0</v>
      </c>
      <c r="L1537" s="43" t="s">
        <v>2364</v>
      </c>
      <c r="M1537" s="43"/>
      <c r="N1537" s="43"/>
      <c r="O1537" s="43"/>
      <c r="P1537" s="66"/>
      <c r="Q1537" s="43"/>
      <c r="R1537" s="17"/>
      <c r="S1537" s="18"/>
      <c r="T1537" s="20"/>
    </row>
    <row r="1538">
      <c r="A1538" s="27" t="s">
        <v>2365</v>
      </c>
      <c r="B1538" s="28" t="s">
        <v>68</v>
      </c>
      <c r="C1538" s="29"/>
      <c r="D1538" s="29" t="str">
        <f t="shared" si="96"/>
        <v>Removed</v>
      </c>
      <c r="E1538" s="70">
        <v>43958.0</v>
      </c>
      <c r="F1538" s="31">
        <v>44081.0</v>
      </c>
      <c r="G1538" s="32">
        <f t="shared" si="2"/>
        <v>4</v>
      </c>
      <c r="H1538" s="33">
        <v>43399.0</v>
      </c>
      <c r="I1538" s="32">
        <f t="shared" si="3"/>
        <v>1.530555556</v>
      </c>
      <c r="J1538" s="69">
        <v>97.0</v>
      </c>
      <c r="K1538" s="34">
        <v>47.5</v>
      </c>
      <c r="L1538" s="44" t="s">
        <v>444</v>
      </c>
      <c r="M1538" s="44"/>
      <c r="N1538" s="44"/>
      <c r="O1538" s="44"/>
      <c r="P1538" s="71"/>
      <c r="Q1538" s="44"/>
      <c r="R1538" s="29"/>
      <c r="S1538" s="33"/>
      <c r="T1538" s="32"/>
    </row>
    <row r="1539">
      <c r="A1539" s="15" t="s">
        <v>2366</v>
      </c>
      <c r="B1539" s="16" t="s">
        <v>1859</v>
      </c>
      <c r="C1539" s="17"/>
      <c r="D1539" s="17" t="s">
        <v>1860</v>
      </c>
      <c r="E1539" s="76">
        <v>44059.0</v>
      </c>
      <c r="F1539" s="62">
        <v>44074.0</v>
      </c>
      <c r="G1539" s="20">
        <f t="shared" si="2"/>
        <v>0.4666666667</v>
      </c>
      <c r="H1539" s="18"/>
      <c r="I1539" s="20">
        <f t="shared" si="3"/>
        <v>-5.163888889</v>
      </c>
      <c r="J1539" s="53"/>
      <c r="K1539" s="53"/>
      <c r="L1539" s="23"/>
      <c r="M1539" s="23" t="s">
        <v>1614</v>
      </c>
      <c r="N1539" s="23" t="s">
        <v>1612</v>
      </c>
      <c r="O1539" s="23"/>
      <c r="P1539" s="54"/>
      <c r="Q1539" s="23"/>
      <c r="R1539" s="17"/>
      <c r="S1539" s="18"/>
      <c r="T1539" s="20"/>
    </row>
    <row r="1540">
      <c r="A1540" s="27" t="s">
        <v>2367</v>
      </c>
      <c r="B1540" s="28" t="s">
        <v>1610</v>
      </c>
      <c r="C1540" s="29"/>
      <c r="D1540" s="29" t="s">
        <v>1611</v>
      </c>
      <c r="E1540" s="70">
        <v>44044.0</v>
      </c>
      <c r="F1540" s="30">
        <v>44074.0</v>
      </c>
      <c r="G1540" s="32">
        <f t="shared" si="2"/>
        <v>0.9666666667</v>
      </c>
      <c r="H1540" s="33"/>
      <c r="I1540" s="32">
        <f t="shared" si="3"/>
        <v>-5.205555556</v>
      </c>
      <c r="J1540" s="34"/>
      <c r="K1540" s="34"/>
      <c r="L1540" s="35"/>
      <c r="M1540" s="35"/>
      <c r="N1540" s="35" t="s">
        <v>1612</v>
      </c>
      <c r="O1540" s="35"/>
      <c r="P1540" s="36"/>
      <c r="Q1540" s="35"/>
      <c r="R1540" s="29"/>
      <c r="S1540" s="33"/>
      <c r="T1540" s="32"/>
    </row>
    <row r="1541">
      <c r="A1541" s="15" t="s">
        <v>2368</v>
      </c>
      <c r="B1541" s="16" t="s">
        <v>68</v>
      </c>
      <c r="C1541" s="17"/>
      <c r="D1541" s="17" t="str">
        <f t="shared" ref="D1541:D1544" si="97">IF(E1541&gt;TODAY(),"Coming Soon",IF(F1541="","Active",IF(F1541&gt;TODAY(),"Leaving Soon","Removed")))</f>
        <v>Removed</v>
      </c>
      <c r="E1541" s="76">
        <v>43888.0</v>
      </c>
      <c r="F1541" s="52">
        <v>44074.0</v>
      </c>
      <c r="G1541" s="20">
        <f t="shared" si="2"/>
        <v>6.1</v>
      </c>
      <c r="H1541" s="18">
        <v>42660.0</v>
      </c>
      <c r="I1541" s="20">
        <f t="shared" si="3"/>
        <v>3.361111111</v>
      </c>
      <c r="J1541" s="53">
        <v>80.0</v>
      </c>
      <c r="K1541" s="53">
        <v>2.5</v>
      </c>
      <c r="L1541" s="43" t="s">
        <v>2281</v>
      </c>
      <c r="M1541" s="43"/>
      <c r="N1541" s="43"/>
      <c r="O1541" s="43"/>
      <c r="P1541" s="66"/>
      <c r="Q1541" s="43"/>
      <c r="R1541" s="17"/>
      <c r="S1541" s="18"/>
      <c r="T1541" s="20"/>
    </row>
    <row r="1542">
      <c r="A1542" s="67" t="s">
        <v>2369</v>
      </c>
      <c r="B1542" s="28" t="s">
        <v>27</v>
      </c>
      <c r="C1542" s="29"/>
      <c r="D1542" s="29" t="str">
        <f t="shared" si="97"/>
        <v>Removed</v>
      </c>
      <c r="E1542" s="70">
        <v>43714.0</v>
      </c>
      <c r="F1542" s="31">
        <v>44074.0</v>
      </c>
      <c r="G1542" s="32">
        <f t="shared" si="2"/>
        <v>11.8</v>
      </c>
      <c r="H1542" s="33">
        <v>43714.0</v>
      </c>
      <c r="I1542" s="32">
        <f t="shared" si="3"/>
        <v>0</v>
      </c>
      <c r="J1542" s="69">
        <v>78.0</v>
      </c>
      <c r="K1542" s="34">
        <v>4.0</v>
      </c>
      <c r="L1542" s="44" t="s">
        <v>2370</v>
      </c>
      <c r="M1542" s="44"/>
      <c r="N1542" s="44"/>
      <c r="O1542" s="44"/>
      <c r="P1542" s="71"/>
      <c r="Q1542" s="44"/>
      <c r="R1542" s="29"/>
      <c r="S1542" s="33"/>
      <c r="T1542" s="32"/>
    </row>
    <row r="1543">
      <c r="A1543" s="64" t="s">
        <v>2371</v>
      </c>
      <c r="B1543" s="16" t="s">
        <v>68</v>
      </c>
      <c r="C1543" s="17"/>
      <c r="D1543" s="17" t="str">
        <f t="shared" si="97"/>
        <v>Removed</v>
      </c>
      <c r="E1543" s="76">
        <v>43713.0</v>
      </c>
      <c r="F1543" s="52">
        <v>44074.0</v>
      </c>
      <c r="G1543" s="20">
        <f t="shared" si="2"/>
        <v>11.83333333</v>
      </c>
      <c r="H1543" s="18">
        <v>40855.0</v>
      </c>
      <c r="I1543" s="20">
        <f t="shared" si="3"/>
        <v>7.825</v>
      </c>
      <c r="J1543" s="65">
        <v>90.0</v>
      </c>
      <c r="K1543" s="53">
        <v>53.5</v>
      </c>
      <c r="L1543" s="43" t="s">
        <v>37</v>
      </c>
      <c r="M1543" s="43"/>
      <c r="N1543" s="43"/>
      <c r="O1543" s="43"/>
      <c r="P1543" s="66"/>
      <c r="Q1543" s="43"/>
      <c r="R1543" s="17"/>
      <c r="S1543" s="18"/>
      <c r="T1543" s="20"/>
    </row>
    <row r="1544">
      <c r="A1544" s="27" t="s">
        <v>2372</v>
      </c>
      <c r="B1544" s="28" t="s">
        <v>68</v>
      </c>
      <c r="C1544" s="29"/>
      <c r="D1544" s="29" t="str">
        <f t="shared" si="97"/>
        <v>Removed</v>
      </c>
      <c r="E1544" s="70">
        <v>43344.0</v>
      </c>
      <c r="F1544" s="31">
        <v>44074.0</v>
      </c>
      <c r="G1544" s="32">
        <f t="shared" si="2"/>
        <v>23.96666667</v>
      </c>
      <c r="H1544" s="33">
        <v>41205.0</v>
      </c>
      <c r="I1544" s="32">
        <f t="shared" si="3"/>
        <v>5.855555556</v>
      </c>
      <c r="J1544" s="69">
        <v>80.0</v>
      </c>
      <c r="K1544" s="34">
        <v>7.0</v>
      </c>
      <c r="L1544" s="44" t="s">
        <v>44</v>
      </c>
      <c r="M1544" s="44"/>
      <c r="N1544" s="44"/>
      <c r="O1544" s="44"/>
      <c r="P1544" s="71"/>
      <c r="Q1544" s="44"/>
      <c r="R1544" s="29"/>
      <c r="S1544" s="33"/>
      <c r="T1544" s="32"/>
    </row>
    <row r="1545">
      <c r="A1545" s="15" t="s">
        <v>2373</v>
      </c>
      <c r="B1545" s="16" t="s">
        <v>1859</v>
      </c>
      <c r="C1545" s="17"/>
      <c r="D1545" s="17" t="s">
        <v>1860</v>
      </c>
      <c r="E1545" s="76">
        <v>44044.0</v>
      </c>
      <c r="F1545" s="62">
        <v>44058.0</v>
      </c>
      <c r="G1545" s="20">
        <f t="shared" si="2"/>
        <v>0.4666666667</v>
      </c>
      <c r="H1545" s="18"/>
      <c r="I1545" s="20">
        <f t="shared" si="3"/>
        <v>-5.205555556</v>
      </c>
      <c r="J1545" s="53"/>
      <c r="K1545" s="53"/>
      <c r="L1545" s="23"/>
      <c r="M1545" s="23" t="s">
        <v>1614</v>
      </c>
      <c r="N1545" s="23" t="s">
        <v>1612</v>
      </c>
      <c r="O1545" s="23"/>
      <c r="P1545" s="54"/>
      <c r="Q1545" s="23"/>
      <c r="R1545" s="17"/>
      <c r="S1545" s="18"/>
      <c r="T1545" s="20"/>
    </row>
    <row r="1546">
      <c r="A1546" s="27" t="s">
        <v>2374</v>
      </c>
      <c r="B1546" s="28" t="s">
        <v>1610</v>
      </c>
      <c r="C1546" s="29"/>
      <c r="D1546" s="29" t="s">
        <v>1611</v>
      </c>
      <c r="E1546" s="70">
        <v>44028.0</v>
      </c>
      <c r="F1546" s="30">
        <v>44058.0</v>
      </c>
      <c r="G1546" s="32">
        <f t="shared" si="2"/>
        <v>0.9666666667</v>
      </c>
      <c r="H1546" s="33"/>
      <c r="I1546" s="32">
        <f t="shared" si="3"/>
        <v>-5.247222222</v>
      </c>
      <c r="J1546" s="34"/>
      <c r="K1546" s="34"/>
      <c r="L1546" s="35"/>
      <c r="M1546" s="35"/>
      <c r="N1546" s="35"/>
      <c r="O1546" s="35"/>
      <c r="P1546" s="36"/>
      <c r="Q1546" s="35"/>
      <c r="R1546" s="29"/>
      <c r="S1546" s="33"/>
      <c r="T1546" s="32"/>
    </row>
    <row r="1547">
      <c r="A1547" s="64" t="s">
        <v>2375</v>
      </c>
      <c r="B1547" s="16" t="s">
        <v>27</v>
      </c>
      <c r="C1547" s="17"/>
      <c r="D1547" s="17" t="str">
        <f t="shared" ref="D1547:D1551" si="98">IF(E1547&gt;TODAY(),"Coming Soon",IF(F1547="","Active",IF(F1547&gt;TODAY(),"Leaving Soon","Removed")))</f>
        <v>Removed</v>
      </c>
      <c r="E1547" s="76">
        <v>43699.0</v>
      </c>
      <c r="F1547" s="52">
        <v>44057.0</v>
      </c>
      <c r="G1547" s="20">
        <f t="shared" si="2"/>
        <v>11.73333333</v>
      </c>
      <c r="H1547" s="18">
        <v>43144.0</v>
      </c>
      <c r="I1547" s="20">
        <f t="shared" si="3"/>
        <v>1.525</v>
      </c>
      <c r="J1547" s="65">
        <v>68.0</v>
      </c>
      <c r="K1547" s="53">
        <v>40.0</v>
      </c>
      <c r="L1547" s="23" t="s">
        <v>122</v>
      </c>
      <c r="M1547" s="43"/>
      <c r="N1547" s="43"/>
      <c r="O1547" s="43"/>
      <c r="P1547" s="66"/>
      <c r="Q1547" s="43"/>
      <c r="R1547" s="17"/>
      <c r="S1547" s="18"/>
      <c r="T1547" s="20"/>
    </row>
    <row r="1548">
      <c r="A1548" s="67" t="s">
        <v>2376</v>
      </c>
      <c r="B1548" s="28" t="s">
        <v>68</v>
      </c>
      <c r="C1548" s="29"/>
      <c r="D1548" s="29" t="str">
        <f t="shared" si="98"/>
        <v>Removed</v>
      </c>
      <c r="E1548" s="70">
        <v>43696.0</v>
      </c>
      <c r="F1548" s="31">
        <v>44057.0</v>
      </c>
      <c r="G1548" s="32">
        <f t="shared" si="2"/>
        <v>11.83333333</v>
      </c>
      <c r="H1548" s="33">
        <v>43532.0</v>
      </c>
      <c r="I1548" s="32">
        <f t="shared" si="3"/>
        <v>0.4472222222</v>
      </c>
      <c r="J1548" s="69">
        <v>87.0</v>
      </c>
      <c r="K1548" s="34">
        <v>11.0</v>
      </c>
      <c r="L1548" s="44" t="s">
        <v>366</v>
      </c>
      <c r="M1548" s="44"/>
      <c r="N1548" s="44"/>
      <c r="O1548" s="44"/>
      <c r="P1548" s="71"/>
      <c r="Q1548" s="44"/>
      <c r="R1548" s="29"/>
      <c r="S1548" s="33"/>
      <c r="T1548" s="32"/>
    </row>
    <row r="1549">
      <c r="A1549" s="64" t="s">
        <v>2377</v>
      </c>
      <c r="B1549" s="17" t="s">
        <v>40</v>
      </c>
      <c r="C1549" s="17"/>
      <c r="D1549" s="17" t="str">
        <f t="shared" si="98"/>
        <v>Removed</v>
      </c>
      <c r="E1549" s="76">
        <v>43685.0</v>
      </c>
      <c r="F1549" s="52">
        <v>44057.0</v>
      </c>
      <c r="G1549" s="20">
        <f t="shared" si="2"/>
        <v>12.2</v>
      </c>
      <c r="H1549" s="18">
        <v>43382.0</v>
      </c>
      <c r="I1549" s="20">
        <f t="shared" si="3"/>
        <v>0.8305555556</v>
      </c>
      <c r="J1549" s="65">
        <v>73.0</v>
      </c>
      <c r="K1549" s="53">
        <v>21.0</v>
      </c>
      <c r="L1549" s="43" t="s">
        <v>119</v>
      </c>
      <c r="M1549" s="43"/>
      <c r="N1549" s="43"/>
      <c r="O1549" s="43"/>
      <c r="P1549" s="66"/>
      <c r="Q1549" s="43"/>
      <c r="R1549" s="16"/>
      <c r="S1549" s="18"/>
      <c r="T1549" s="20"/>
    </row>
    <row r="1550">
      <c r="A1550" s="67" t="s">
        <v>2378</v>
      </c>
      <c r="B1550" s="29" t="s">
        <v>40</v>
      </c>
      <c r="C1550" s="29"/>
      <c r="D1550" s="29" t="str">
        <f t="shared" si="98"/>
        <v>Removed</v>
      </c>
      <c r="E1550" s="70">
        <v>43685.0</v>
      </c>
      <c r="F1550" s="31">
        <v>44057.0</v>
      </c>
      <c r="G1550" s="32">
        <f t="shared" si="2"/>
        <v>12.2</v>
      </c>
      <c r="H1550" s="33">
        <v>43159.0</v>
      </c>
      <c r="I1550" s="32">
        <f t="shared" si="3"/>
        <v>1.444444444</v>
      </c>
      <c r="J1550" s="69">
        <v>74.0</v>
      </c>
      <c r="K1550" s="34">
        <v>17.5</v>
      </c>
      <c r="L1550" s="44" t="s">
        <v>362</v>
      </c>
      <c r="M1550" s="44"/>
      <c r="N1550" s="44"/>
      <c r="O1550" s="44"/>
      <c r="P1550" s="71"/>
      <c r="Q1550" s="44"/>
      <c r="R1550" s="28"/>
      <c r="S1550" s="33"/>
      <c r="T1550" s="32"/>
    </row>
    <row r="1551">
      <c r="A1551" s="64" t="s">
        <v>2379</v>
      </c>
      <c r="B1551" s="16" t="s">
        <v>27</v>
      </c>
      <c r="C1551" s="17"/>
      <c r="D1551" s="17" t="str">
        <f t="shared" si="98"/>
        <v>Removed</v>
      </c>
      <c r="E1551" s="76">
        <v>43538.0</v>
      </c>
      <c r="F1551" s="52">
        <v>44044.0</v>
      </c>
      <c r="G1551" s="20">
        <f t="shared" si="2"/>
        <v>16.56666667</v>
      </c>
      <c r="H1551" s="18">
        <v>43336.0</v>
      </c>
      <c r="I1551" s="20">
        <f t="shared" si="3"/>
        <v>0.5555555556</v>
      </c>
      <c r="J1551" s="65">
        <v>84.0</v>
      </c>
      <c r="K1551" s="53">
        <v>25.5</v>
      </c>
      <c r="L1551" s="43" t="s">
        <v>500</v>
      </c>
      <c r="M1551" s="43"/>
      <c r="N1551" s="43"/>
      <c r="O1551" s="43"/>
      <c r="P1551" s="66"/>
      <c r="Q1551" s="43"/>
      <c r="R1551" s="17"/>
      <c r="S1551" s="18"/>
      <c r="T1551" s="20"/>
    </row>
    <row r="1552">
      <c r="A1552" s="27" t="s">
        <v>2380</v>
      </c>
      <c r="B1552" s="28" t="s">
        <v>1859</v>
      </c>
      <c r="C1552" s="29"/>
      <c r="D1552" s="29" t="s">
        <v>1860</v>
      </c>
      <c r="E1552" s="70">
        <v>44028.0</v>
      </c>
      <c r="F1552" s="30">
        <v>44043.0</v>
      </c>
      <c r="G1552" s="32">
        <f t="shared" si="2"/>
        <v>0.4666666667</v>
      </c>
      <c r="H1552" s="33"/>
      <c r="I1552" s="32">
        <f t="shared" si="3"/>
        <v>-5.247222222</v>
      </c>
      <c r="J1552" s="34"/>
      <c r="K1552" s="34"/>
      <c r="L1552" s="35"/>
      <c r="M1552" s="35"/>
      <c r="N1552" s="35" t="s">
        <v>1612</v>
      </c>
      <c r="O1552" s="35"/>
      <c r="P1552" s="36"/>
      <c r="Q1552" s="35"/>
      <c r="R1552" s="29"/>
      <c r="S1552" s="33"/>
      <c r="T1552" s="32"/>
    </row>
    <row r="1553">
      <c r="A1553" s="15" t="s">
        <v>2381</v>
      </c>
      <c r="B1553" s="16" t="s">
        <v>1610</v>
      </c>
      <c r="C1553" s="17"/>
      <c r="D1553" s="17" t="s">
        <v>1611</v>
      </c>
      <c r="E1553" s="76">
        <v>44013.0</v>
      </c>
      <c r="F1553" s="62">
        <v>44043.0</v>
      </c>
      <c r="G1553" s="20">
        <f t="shared" si="2"/>
        <v>0.9666666667</v>
      </c>
      <c r="H1553" s="18"/>
      <c r="I1553" s="20">
        <f t="shared" si="3"/>
        <v>-5.288888889</v>
      </c>
      <c r="J1553" s="53"/>
      <c r="K1553" s="53"/>
      <c r="L1553" s="23"/>
      <c r="M1553" s="23"/>
      <c r="N1553" s="23"/>
      <c r="O1553" s="23"/>
      <c r="P1553" s="54"/>
      <c r="Q1553" s="23"/>
      <c r="R1553" s="17"/>
      <c r="S1553" s="18"/>
      <c r="T1553" s="20"/>
    </row>
    <row r="1554">
      <c r="A1554" s="67" t="s">
        <v>2382</v>
      </c>
      <c r="B1554" s="28" t="s">
        <v>68</v>
      </c>
      <c r="C1554" s="29"/>
      <c r="D1554" s="29" t="str">
        <f t="shared" ref="D1554:D1556" si="99">IF(E1554&gt;TODAY(),"Coming Soon",IF(F1554="","Active",IF(F1554&gt;TODAY(),"Leaving Soon","Removed")))</f>
        <v>Removed</v>
      </c>
      <c r="E1554" s="70">
        <v>43678.0</v>
      </c>
      <c r="F1554" s="31">
        <v>44043.0</v>
      </c>
      <c r="G1554" s="32">
        <f t="shared" si="2"/>
        <v>11.96666667</v>
      </c>
      <c r="H1554" s="33">
        <v>43085.0</v>
      </c>
      <c r="I1554" s="32">
        <f t="shared" si="3"/>
        <v>1.625</v>
      </c>
      <c r="J1554" s="69">
        <v>79.0</v>
      </c>
      <c r="K1554" s="34">
        <v>23.0</v>
      </c>
      <c r="L1554" s="44" t="s">
        <v>92</v>
      </c>
      <c r="M1554" s="44"/>
      <c r="N1554" s="44"/>
      <c r="O1554" s="44"/>
      <c r="P1554" s="71"/>
      <c r="Q1554" s="44"/>
      <c r="R1554" s="29"/>
      <c r="S1554" s="33"/>
      <c r="T1554" s="32"/>
    </row>
    <row r="1555">
      <c r="A1555" s="64" t="s">
        <v>2383</v>
      </c>
      <c r="B1555" s="16" t="s">
        <v>27</v>
      </c>
      <c r="C1555" s="17"/>
      <c r="D1555" s="17" t="str">
        <f t="shared" si="99"/>
        <v>Removed</v>
      </c>
      <c r="E1555" s="76">
        <v>43664.0</v>
      </c>
      <c r="F1555" s="52">
        <v>44043.0</v>
      </c>
      <c r="G1555" s="20">
        <f t="shared" si="2"/>
        <v>12.4</v>
      </c>
      <c r="H1555" s="18">
        <v>43305.0</v>
      </c>
      <c r="I1555" s="20">
        <f t="shared" si="3"/>
        <v>0.9833333333</v>
      </c>
      <c r="J1555" s="65">
        <v>88.0</v>
      </c>
      <c r="K1555" s="53">
        <v>9.0</v>
      </c>
      <c r="L1555" s="43" t="s">
        <v>119</v>
      </c>
      <c r="M1555" s="43"/>
      <c r="N1555" s="43"/>
      <c r="O1555" s="43"/>
      <c r="P1555" s="66"/>
      <c r="Q1555" s="43"/>
      <c r="R1555" s="17"/>
      <c r="S1555" s="18"/>
      <c r="T1555" s="20"/>
    </row>
    <row r="1556">
      <c r="A1556" s="67" t="s">
        <v>2384</v>
      </c>
      <c r="B1556" s="28" t="s">
        <v>27</v>
      </c>
      <c r="C1556" s="29"/>
      <c r="D1556" s="29" t="str">
        <f t="shared" si="99"/>
        <v>Removed</v>
      </c>
      <c r="E1556" s="70">
        <v>43132.0</v>
      </c>
      <c r="F1556" s="31">
        <v>44043.0</v>
      </c>
      <c r="G1556" s="32">
        <f t="shared" si="2"/>
        <v>29.96666667</v>
      </c>
      <c r="H1556" s="33">
        <v>42881.0</v>
      </c>
      <c r="I1556" s="32">
        <f t="shared" si="3"/>
        <v>0.6805555556</v>
      </c>
      <c r="J1556" s="69">
        <v>82.0</v>
      </c>
      <c r="K1556" s="34">
        <v>5.5</v>
      </c>
      <c r="L1556" s="44" t="s">
        <v>1929</v>
      </c>
      <c r="M1556" s="44"/>
      <c r="N1556" s="44"/>
      <c r="O1556" s="44"/>
      <c r="P1556" s="71"/>
      <c r="Q1556" s="44"/>
      <c r="R1556" s="29"/>
      <c r="S1556" s="33"/>
      <c r="T1556" s="32"/>
    </row>
    <row r="1557">
      <c r="A1557" s="15" t="s">
        <v>1911</v>
      </c>
      <c r="B1557" s="16" t="s">
        <v>1859</v>
      </c>
      <c r="C1557" s="17"/>
      <c r="D1557" s="17" t="s">
        <v>1860</v>
      </c>
      <c r="E1557" s="76">
        <v>44013.0</v>
      </c>
      <c r="F1557" s="62">
        <v>44027.0</v>
      </c>
      <c r="G1557" s="20">
        <f t="shared" si="2"/>
        <v>0.4666666667</v>
      </c>
      <c r="H1557" s="18"/>
      <c r="I1557" s="20">
        <f t="shared" si="3"/>
        <v>-5.288888889</v>
      </c>
      <c r="J1557" s="53"/>
      <c r="K1557" s="53"/>
      <c r="L1557" s="23"/>
      <c r="M1557" s="23"/>
      <c r="N1557" s="23" t="s">
        <v>1612</v>
      </c>
      <c r="O1557" s="23"/>
      <c r="P1557" s="54"/>
      <c r="Q1557" s="23"/>
      <c r="R1557" s="17"/>
      <c r="S1557" s="18"/>
      <c r="T1557" s="20"/>
    </row>
    <row r="1558">
      <c r="A1558" s="27" t="s">
        <v>1557</v>
      </c>
      <c r="B1558" s="28" t="s">
        <v>1610</v>
      </c>
      <c r="C1558" s="29"/>
      <c r="D1558" s="29" t="s">
        <v>1611</v>
      </c>
      <c r="E1558" s="70">
        <v>43998.0</v>
      </c>
      <c r="F1558" s="30">
        <v>44027.0</v>
      </c>
      <c r="G1558" s="32">
        <f t="shared" si="2"/>
        <v>0.9666666667</v>
      </c>
      <c r="H1558" s="33"/>
      <c r="I1558" s="32">
        <f t="shared" si="3"/>
        <v>-5.330555556</v>
      </c>
      <c r="J1558" s="34"/>
      <c r="K1558" s="34"/>
      <c r="L1558" s="35"/>
      <c r="M1558" s="35"/>
      <c r="N1558" s="35"/>
      <c r="O1558" s="35"/>
      <c r="P1558" s="36"/>
      <c r="Q1558" s="35"/>
      <c r="R1558" s="29"/>
      <c r="S1558" s="33"/>
      <c r="T1558" s="32"/>
    </row>
    <row r="1559">
      <c r="A1559" s="64" t="s">
        <v>2385</v>
      </c>
      <c r="B1559" s="16" t="s">
        <v>68</v>
      </c>
      <c r="C1559" s="17"/>
      <c r="D1559" s="17" t="str">
        <f t="shared" ref="D1559:D1563" si="100">IF(E1559&gt;TODAY(),"Coming Soon",IF(F1559="","Active",IF(F1559&gt;TODAY(),"Leaving Soon","Removed")))</f>
        <v>Removed</v>
      </c>
      <c r="E1559" s="76">
        <v>43664.0</v>
      </c>
      <c r="F1559" s="52">
        <v>44027.0</v>
      </c>
      <c r="G1559" s="20">
        <f t="shared" si="2"/>
        <v>11.9</v>
      </c>
      <c r="H1559" s="18">
        <v>42248.0</v>
      </c>
      <c r="I1559" s="20">
        <f t="shared" si="3"/>
        <v>3.880555556</v>
      </c>
      <c r="J1559" s="65">
        <v>95.0</v>
      </c>
      <c r="K1559" s="53">
        <v>46.0</v>
      </c>
      <c r="L1559" s="43" t="s">
        <v>201</v>
      </c>
      <c r="M1559" s="43"/>
      <c r="N1559" s="43"/>
      <c r="O1559" s="43"/>
      <c r="P1559" s="66"/>
      <c r="Q1559" s="43"/>
      <c r="R1559" s="17"/>
      <c r="S1559" s="18"/>
      <c r="T1559" s="20"/>
    </row>
    <row r="1560">
      <c r="A1560" s="67" t="s">
        <v>2386</v>
      </c>
      <c r="B1560" s="28" t="s">
        <v>27</v>
      </c>
      <c r="C1560" s="29"/>
      <c r="D1560" s="29" t="str">
        <f t="shared" si="100"/>
        <v>Removed</v>
      </c>
      <c r="E1560" s="70">
        <v>43657.0</v>
      </c>
      <c r="F1560" s="31">
        <v>44027.0</v>
      </c>
      <c r="G1560" s="32">
        <f t="shared" si="2"/>
        <v>12.13333333</v>
      </c>
      <c r="H1560" s="33">
        <v>43657.0</v>
      </c>
      <c r="I1560" s="32">
        <f t="shared" si="3"/>
        <v>0</v>
      </c>
      <c r="J1560" s="69">
        <v>82.0</v>
      </c>
      <c r="K1560" s="34">
        <v>2.0</v>
      </c>
      <c r="L1560" s="44" t="s">
        <v>366</v>
      </c>
      <c r="M1560" s="44"/>
      <c r="N1560" s="44"/>
      <c r="O1560" s="44"/>
      <c r="P1560" s="71"/>
      <c r="Q1560" s="44"/>
      <c r="R1560" s="29"/>
      <c r="S1560" s="33"/>
      <c r="T1560" s="32"/>
    </row>
    <row r="1561">
      <c r="A1561" s="64" t="s">
        <v>2387</v>
      </c>
      <c r="B1561" s="16" t="s">
        <v>27</v>
      </c>
      <c r="C1561" s="17"/>
      <c r="D1561" s="17" t="str">
        <f t="shared" si="100"/>
        <v>Removed</v>
      </c>
      <c r="E1561" s="76">
        <v>43657.0</v>
      </c>
      <c r="F1561" s="52">
        <v>44027.0</v>
      </c>
      <c r="G1561" s="20">
        <f t="shared" si="2"/>
        <v>12.13333333</v>
      </c>
      <c r="H1561" s="18">
        <v>42710.0</v>
      </c>
      <c r="I1561" s="20">
        <f t="shared" si="3"/>
        <v>2.597222222</v>
      </c>
      <c r="J1561" s="65">
        <v>72.0</v>
      </c>
      <c r="K1561" s="53">
        <v>10.5</v>
      </c>
      <c r="L1561" s="43" t="s">
        <v>37</v>
      </c>
      <c r="M1561" s="43"/>
      <c r="N1561" s="43"/>
      <c r="O1561" s="43"/>
      <c r="P1561" s="66"/>
      <c r="Q1561" s="43"/>
      <c r="R1561" s="17"/>
      <c r="S1561" s="18"/>
      <c r="T1561" s="20"/>
    </row>
    <row r="1562">
      <c r="A1562" s="67" t="s">
        <v>2388</v>
      </c>
      <c r="B1562" s="28" t="s">
        <v>27</v>
      </c>
      <c r="C1562" s="29"/>
      <c r="D1562" s="29" t="str">
        <f t="shared" si="100"/>
        <v>Removed</v>
      </c>
      <c r="E1562" s="70">
        <v>43657.0</v>
      </c>
      <c r="F1562" s="31">
        <v>44027.0</v>
      </c>
      <c r="G1562" s="32">
        <f t="shared" si="2"/>
        <v>12.13333333</v>
      </c>
      <c r="H1562" s="33">
        <v>43368.0</v>
      </c>
      <c r="I1562" s="32">
        <f t="shared" si="3"/>
        <v>0.7944444444</v>
      </c>
      <c r="J1562" s="34">
        <f>ROUND((73+74)/2,)</f>
        <v>74</v>
      </c>
      <c r="K1562" s="34">
        <v>6.0</v>
      </c>
      <c r="L1562" s="35" t="s">
        <v>721</v>
      </c>
      <c r="M1562" s="35"/>
      <c r="N1562" s="35"/>
      <c r="O1562" s="35"/>
      <c r="P1562" s="36"/>
      <c r="Q1562" s="35"/>
      <c r="R1562" s="29"/>
      <c r="S1562" s="33"/>
      <c r="T1562" s="32"/>
    </row>
    <row r="1563">
      <c r="A1563" s="64" t="s">
        <v>2389</v>
      </c>
      <c r="B1563" s="17" t="s">
        <v>40</v>
      </c>
      <c r="C1563" s="17"/>
      <c r="D1563" s="17" t="str">
        <f t="shared" si="100"/>
        <v>Removed</v>
      </c>
      <c r="E1563" s="76">
        <v>43657.0</v>
      </c>
      <c r="F1563" s="52">
        <v>44027.0</v>
      </c>
      <c r="G1563" s="20">
        <f t="shared" si="2"/>
        <v>12.13333333</v>
      </c>
      <c r="H1563" s="18">
        <v>43320.0</v>
      </c>
      <c r="I1563" s="20">
        <f t="shared" si="3"/>
        <v>0.925</v>
      </c>
      <c r="J1563" s="65">
        <v>87.0</v>
      </c>
      <c r="K1563" s="53">
        <v>9.0</v>
      </c>
      <c r="L1563" s="23" t="s">
        <v>122</v>
      </c>
      <c r="M1563" s="23"/>
      <c r="N1563" s="23"/>
      <c r="O1563" s="23"/>
      <c r="P1563" s="54"/>
      <c r="Q1563" s="23"/>
      <c r="R1563" s="16"/>
      <c r="S1563" s="18"/>
      <c r="T1563" s="20"/>
    </row>
    <row r="1564">
      <c r="A1564" s="27" t="s">
        <v>2390</v>
      </c>
      <c r="B1564" s="28" t="s">
        <v>1859</v>
      </c>
      <c r="C1564" s="29"/>
      <c r="D1564" s="29" t="s">
        <v>1860</v>
      </c>
      <c r="E1564" s="70">
        <v>43998.0</v>
      </c>
      <c r="F1564" s="30">
        <v>44012.0</v>
      </c>
      <c r="G1564" s="32">
        <f t="shared" si="2"/>
        <v>0.4666666667</v>
      </c>
      <c r="H1564" s="33"/>
      <c r="I1564" s="32">
        <f t="shared" si="3"/>
        <v>-5.330555556</v>
      </c>
      <c r="J1564" s="34"/>
      <c r="K1564" s="34"/>
      <c r="L1564" s="35"/>
      <c r="M1564" s="35"/>
      <c r="N1564" s="35" t="s">
        <v>1612</v>
      </c>
      <c r="O1564" s="35"/>
      <c r="P1564" s="36"/>
      <c r="Q1564" s="35"/>
      <c r="R1564" s="29"/>
      <c r="S1564" s="33"/>
      <c r="T1564" s="32"/>
    </row>
    <row r="1565">
      <c r="A1565" s="15" t="s">
        <v>2391</v>
      </c>
      <c r="B1565" s="16" t="s">
        <v>1610</v>
      </c>
      <c r="C1565" s="17"/>
      <c r="D1565" s="17" t="s">
        <v>1611</v>
      </c>
      <c r="E1565" s="76">
        <v>43983.0</v>
      </c>
      <c r="F1565" s="62">
        <v>44012.0</v>
      </c>
      <c r="G1565" s="20">
        <f t="shared" si="2"/>
        <v>0.9666666667</v>
      </c>
      <c r="H1565" s="18"/>
      <c r="I1565" s="20">
        <f t="shared" si="3"/>
        <v>-5.372222222</v>
      </c>
      <c r="J1565" s="53"/>
      <c r="K1565" s="53"/>
      <c r="L1565" s="23"/>
      <c r="M1565" s="23"/>
      <c r="N1565" s="23"/>
      <c r="O1565" s="23"/>
      <c r="P1565" s="54"/>
      <c r="Q1565" s="23"/>
      <c r="R1565" s="17"/>
      <c r="S1565" s="18"/>
      <c r="T1565" s="20"/>
    </row>
    <row r="1566">
      <c r="A1566" s="67" t="s">
        <v>2392</v>
      </c>
      <c r="B1566" s="29" t="s">
        <v>40</v>
      </c>
      <c r="C1566" s="29"/>
      <c r="D1566" s="29" t="str">
        <f t="shared" ref="D1566:D1573" si="101">IF(E1566&gt;TODAY(),"Coming Soon",IF(F1566="","Active",IF(F1566&gt;TODAY(),"Leaving Soon","Removed")))</f>
        <v>Removed</v>
      </c>
      <c r="E1566" s="70">
        <v>43625.0</v>
      </c>
      <c r="F1566" s="31">
        <v>44012.0</v>
      </c>
      <c r="G1566" s="32">
        <f t="shared" si="2"/>
        <v>12.7</v>
      </c>
      <c r="H1566" s="33">
        <v>42481.0</v>
      </c>
      <c r="I1566" s="32">
        <f t="shared" si="3"/>
        <v>3.133333333</v>
      </c>
      <c r="J1566" s="69">
        <v>77.0</v>
      </c>
      <c r="K1566" s="34">
        <v>19.5</v>
      </c>
      <c r="L1566" s="44" t="s">
        <v>966</v>
      </c>
      <c r="M1566" s="44"/>
      <c r="N1566" s="44"/>
      <c r="O1566" s="44"/>
      <c r="P1566" s="71"/>
      <c r="Q1566" s="44"/>
      <c r="R1566" s="28"/>
      <c r="S1566" s="33"/>
      <c r="T1566" s="32"/>
    </row>
    <row r="1567">
      <c r="A1567" s="15" t="s">
        <v>2393</v>
      </c>
      <c r="B1567" s="16" t="s">
        <v>27</v>
      </c>
      <c r="C1567" s="17"/>
      <c r="D1567" s="17" t="str">
        <f t="shared" si="101"/>
        <v>Removed</v>
      </c>
      <c r="E1567" s="76">
        <v>43625.0</v>
      </c>
      <c r="F1567" s="52">
        <v>44012.0</v>
      </c>
      <c r="G1567" s="20">
        <f t="shared" si="2"/>
        <v>12.7</v>
      </c>
      <c r="H1567" s="18">
        <v>36237.0</v>
      </c>
      <c r="I1567" s="20">
        <f t="shared" si="3"/>
        <v>20.225</v>
      </c>
      <c r="J1567" s="53">
        <v>61.0</v>
      </c>
      <c r="K1567" s="53">
        <v>1.0</v>
      </c>
      <c r="L1567" s="43" t="s">
        <v>32</v>
      </c>
      <c r="M1567" s="43"/>
      <c r="N1567" s="43"/>
      <c r="O1567" s="43"/>
      <c r="P1567" s="66"/>
      <c r="Q1567" s="23" t="s">
        <v>1697</v>
      </c>
      <c r="R1567" s="17"/>
      <c r="S1567" s="18"/>
      <c r="T1567" s="20"/>
    </row>
    <row r="1568">
      <c r="A1568" s="67" t="s">
        <v>2394</v>
      </c>
      <c r="B1568" s="28" t="s">
        <v>27</v>
      </c>
      <c r="C1568" s="29"/>
      <c r="D1568" s="29" t="str">
        <f t="shared" si="101"/>
        <v>Removed</v>
      </c>
      <c r="E1568" s="70">
        <v>43625.0</v>
      </c>
      <c r="F1568" s="31">
        <v>44012.0</v>
      </c>
      <c r="G1568" s="32">
        <f t="shared" si="2"/>
        <v>12.7</v>
      </c>
      <c r="H1568" s="33">
        <v>43511.0</v>
      </c>
      <c r="I1568" s="32">
        <f t="shared" si="3"/>
        <v>0.3166666667</v>
      </c>
      <c r="J1568" s="69">
        <v>82.0</v>
      </c>
      <c r="K1568" s="34">
        <v>14.0</v>
      </c>
      <c r="L1568" s="44" t="s">
        <v>184</v>
      </c>
      <c r="M1568" s="44"/>
      <c r="N1568" s="44"/>
      <c r="O1568" s="44"/>
      <c r="P1568" s="71"/>
      <c r="Q1568" s="44"/>
      <c r="R1568" s="29"/>
      <c r="S1568" s="33"/>
      <c r="T1568" s="32"/>
    </row>
    <row r="1569">
      <c r="A1569" s="64" t="s">
        <v>2395</v>
      </c>
      <c r="B1569" s="16" t="s">
        <v>27</v>
      </c>
      <c r="C1569" s="17"/>
      <c r="D1569" s="17" t="str">
        <f t="shared" si="101"/>
        <v>Removed</v>
      </c>
      <c r="E1569" s="76">
        <v>43625.0</v>
      </c>
      <c r="F1569" s="52">
        <v>44012.0</v>
      </c>
      <c r="G1569" s="20">
        <f t="shared" si="2"/>
        <v>12.7</v>
      </c>
      <c r="H1569" s="18">
        <v>42488.0</v>
      </c>
      <c r="I1569" s="20">
        <f t="shared" si="3"/>
        <v>3.113888889</v>
      </c>
      <c r="J1569" s="65">
        <v>72.0</v>
      </c>
      <c r="K1569" s="53">
        <v>5.0</v>
      </c>
      <c r="L1569" s="43" t="s">
        <v>2202</v>
      </c>
      <c r="M1569" s="43"/>
      <c r="N1569" s="43"/>
      <c r="O1569" s="43"/>
      <c r="P1569" s="66"/>
      <c r="Q1569" s="43"/>
      <c r="R1569" s="17"/>
      <c r="S1569" s="18"/>
      <c r="T1569" s="20"/>
    </row>
    <row r="1570">
      <c r="A1570" s="27" t="s">
        <v>2396</v>
      </c>
      <c r="B1570" s="28" t="s">
        <v>68</v>
      </c>
      <c r="C1570" s="29"/>
      <c r="D1570" s="29" t="str">
        <f t="shared" si="101"/>
        <v>Removed</v>
      </c>
      <c r="E1570" s="70">
        <v>43625.0</v>
      </c>
      <c r="F1570" s="31">
        <v>44012.0</v>
      </c>
      <c r="G1570" s="32">
        <f t="shared" si="2"/>
        <v>12.7</v>
      </c>
      <c r="H1570" s="33">
        <v>42710.0</v>
      </c>
      <c r="I1570" s="32">
        <f t="shared" si="3"/>
        <v>2.508333333</v>
      </c>
      <c r="J1570" s="69">
        <v>85.0</v>
      </c>
      <c r="K1570" s="34">
        <v>24.5</v>
      </c>
      <c r="L1570" s="44" t="s">
        <v>966</v>
      </c>
      <c r="M1570" s="44"/>
      <c r="N1570" s="44"/>
      <c r="O1570" s="44"/>
      <c r="P1570" s="71"/>
      <c r="Q1570" s="44"/>
      <c r="R1570" s="29"/>
      <c r="S1570" s="33"/>
      <c r="T1570" s="32"/>
    </row>
    <row r="1571">
      <c r="A1571" s="64" t="s">
        <v>2397</v>
      </c>
      <c r="B1571" s="16" t="s">
        <v>68</v>
      </c>
      <c r="C1571" s="17"/>
      <c r="D1571" s="17" t="str">
        <f t="shared" si="101"/>
        <v>Removed</v>
      </c>
      <c r="E1571" s="76">
        <v>43468.0</v>
      </c>
      <c r="F1571" s="52">
        <v>44012.0</v>
      </c>
      <c r="G1571" s="20">
        <f t="shared" si="2"/>
        <v>17.9</v>
      </c>
      <c r="H1571" s="140">
        <v>43370.0</v>
      </c>
      <c r="I1571" s="20">
        <f t="shared" si="3"/>
        <v>0.2666666667</v>
      </c>
      <c r="J1571" s="65">
        <v>75.0</v>
      </c>
      <c r="K1571" s="53">
        <v>16.0</v>
      </c>
      <c r="L1571" s="43" t="s">
        <v>362</v>
      </c>
      <c r="M1571" s="23" t="s">
        <v>867</v>
      </c>
      <c r="N1571" s="43"/>
      <c r="O1571" s="43"/>
      <c r="P1571" s="66"/>
      <c r="Q1571" s="23" t="s">
        <v>868</v>
      </c>
      <c r="R1571" s="17"/>
      <c r="S1571" s="18"/>
      <c r="T1571" s="20"/>
    </row>
    <row r="1572">
      <c r="A1572" s="67" t="s">
        <v>2398</v>
      </c>
      <c r="B1572" s="29" t="s">
        <v>40</v>
      </c>
      <c r="C1572" s="29"/>
      <c r="D1572" s="29" t="str">
        <f t="shared" si="101"/>
        <v>Removed</v>
      </c>
      <c r="E1572" s="70">
        <v>43249.0</v>
      </c>
      <c r="F1572" s="31">
        <v>44012.0</v>
      </c>
      <c r="G1572" s="32">
        <f t="shared" si="2"/>
        <v>25.03333333</v>
      </c>
      <c r="H1572" s="33">
        <v>43249.0</v>
      </c>
      <c r="I1572" s="32">
        <f t="shared" si="3"/>
        <v>0</v>
      </c>
      <c r="J1572" s="69">
        <v>70.0</v>
      </c>
      <c r="K1572" s="34">
        <v>7.0</v>
      </c>
      <c r="L1572" s="44" t="s">
        <v>1209</v>
      </c>
      <c r="M1572" s="44"/>
      <c r="N1572" s="44"/>
      <c r="O1572" s="44"/>
      <c r="P1572" s="71"/>
      <c r="Q1572" s="44"/>
      <c r="R1572" s="28"/>
      <c r="S1572" s="33"/>
      <c r="T1572" s="32"/>
    </row>
    <row r="1573">
      <c r="A1573" s="64" t="s">
        <v>2006</v>
      </c>
      <c r="B1573" s="16" t="s">
        <v>27</v>
      </c>
      <c r="C1573" s="17"/>
      <c r="D1573" s="17" t="str">
        <f t="shared" si="101"/>
        <v>Removed</v>
      </c>
      <c r="E1573" s="76">
        <v>42917.0</v>
      </c>
      <c r="F1573" s="52">
        <v>44012.0</v>
      </c>
      <c r="G1573" s="20">
        <f t="shared" si="2"/>
        <v>35.96666667</v>
      </c>
      <c r="H1573" s="18">
        <v>42424.0</v>
      </c>
      <c r="I1573" s="20">
        <f t="shared" si="3"/>
        <v>1.352777778</v>
      </c>
      <c r="J1573" s="65">
        <v>74.0</v>
      </c>
      <c r="K1573" s="53">
        <v>9.0</v>
      </c>
      <c r="L1573" s="43" t="s">
        <v>362</v>
      </c>
      <c r="M1573" s="43"/>
      <c r="N1573" s="43"/>
      <c r="O1573" s="43"/>
      <c r="P1573" s="66"/>
      <c r="Q1573" s="43"/>
      <c r="R1573" s="17"/>
      <c r="S1573" s="18"/>
      <c r="T1573" s="20"/>
    </row>
    <row r="1574">
      <c r="A1574" s="27" t="s">
        <v>2399</v>
      </c>
      <c r="B1574" s="28" t="s">
        <v>1859</v>
      </c>
      <c r="C1574" s="29"/>
      <c r="D1574" s="29" t="s">
        <v>1860</v>
      </c>
      <c r="E1574" s="70">
        <v>43983.0</v>
      </c>
      <c r="F1574" s="30">
        <v>43997.0</v>
      </c>
      <c r="G1574" s="32">
        <f t="shared" si="2"/>
        <v>0.4666666667</v>
      </c>
      <c r="H1574" s="33"/>
      <c r="I1574" s="32">
        <f t="shared" si="3"/>
        <v>-5.372222222</v>
      </c>
      <c r="J1574" s="34"/>
      <c r="K1574" s="34"/>
      <c r="L1574" s="35"/>
      <c r="M1574" s="35" t="s">
        <v>1614</v>
      </c>
      <c r="N1574" s="35" t="s">
        <v>1612</v>
      </c>
      <c r="O1574" s="35"/>
      <c r="P1574" s="36"/>
      <c r="Q1574" s="35"/>
      <c r="R1574" s="29"/>
      <c r="S1574" s="33"/>
      <c r="T1574" s="32"/>
    </row>
    <row r="1575">
      <c r="A1575" s="15" t="s">
        <v>2400</v>
      </c>
      <c r="B1575" s="16" t="s">
        <v>1610</v>
      </c>
      <c r="C1575" s="17"/>
      <c r="D1575" s="17" t="s">
        <v>1611</v>
      </c>
      <c r="E1575" s="76">
        <v>43967.0</v>
      </c>
      <c r="F1575" s="62">
        <v>43997.0</v>
      </c>
      <c r="G1575" s="20">
        <f t="shared" si="2"/>
        <v>0.9666666667</v>
      </c>
      <c r="H1575" s="18"/>
      <c r="I1575" s="20">
        <f t="shared" si="3"/>
        <v>-5.413888889</v>
      </c>
      <c r="J1575" s="53"/>
      <c r="K1575" s="53"/>
      <c r="L1575" s="23"/>
      <c r="M1575" s="23"/>
      <c r="N1575" s="23" t="s">
        <v>1612</v>
      </c>
      <c r="O1575" s="23"/>
      <c r="P1575" s="54"/>
      <c r="Q1575" s="23"/>
      <c r="R1575" s="17"/>
      <c r="S1575" s="18"/>
      <c r="T1575" s="20"/>
    </row>
    <row r="1576">
      <c r="A1576" s="67" t="s">
        <v>2401</v>
      </c>
      <c r="B1576" s="28" t="s">
        <v>68</v>
      </c>
      <c r="C1576" s="29"/>
      <c r="D1576" s="29" t="str">
        <f t="shared" ref="D1576:D1584" si="102">IF(E1576&gt;TODAY(),"Coming Soon",IF(F1576="","Active",IF(F1576&gt;TODAY(),"Leaving Soon","Removed")))</f>
        <v>Removed</v>
      </c>
      <c r="E1576" s="70">
        <v>43636.0</v>
      </c>
      <c r="F1576" s="31">
        <v>43997.0</v>
      </c>
      <c r="G1576" s="32">
        <f t="shared" si="2"/>
        <v>11.83333333</v>
      </c>
      <c r="H1576" s="33">
        <v>40934.0</v>
      </c>
      <c r="I1576" s="32">
        <f t="shared" si="3"/>
        <v>7.4</v>
      </c>
      <c r="J1576" s="69">
        <v>78.0</v>
      </c>
      <c r="K1576" s="34">
        <v>9.0</v>
      </c>
      <c r="L1576" s="44" t="s">
        <v>201</v>
      </c>
      <c r="M1576" s="44"/>
      <c r="N1576" s="44"/>
      <c r="O1576" s="44"/>
      <c r="P1576" s="71"/>
      <c r="Q1576" s="44"/>
      <c r="R1576" s="29"/>
      <c r="S1576" s="33"/>
      <c r="T1576" s="32"/>
    </row>
    <row r="1577">
      <c r="A1577" s="64" t="s">
        <v>2402</v>
      </c>
      <c r="B1577" s="17" t="s">
        <v>40</v>
      </c>
      <c r="C1577" s="17"/>
      <c r="D1577" s="17" t="str">
        <f t="shared" si="102"/>
        <v>Removed</v>
      </c>
      <c r="E1577" s="76">
        <v>43625.0</v>
      </c>
      <c r="F1577" s="52">
        <v>43997.0</v>
      </c>
      <c r="G1577" s="20">
        <f t="shared" si="2"/>
        <v>12.2</v>
      </c>
      <c r="H1577" s="18">
        <v>43447.0</v>
      </c>
      <c r="I1577" s="20">
        <f t="shared" si="3"/>
        <v>0.4888888889</v>
      </c>
      <c r="J1577" s="65">
        <v>73.0</v>
      </c>
      <c r="K1577" s="53">
        <v>9.5</v>
      </c>
      <c r="L1577" s="23" t="s">
        <v>122</v>
      </c>
      <c r="M1577" s="43"/>
      <c r="N1577" s="43"/>
      <c r="O1577" s="43"/>
      <c r="P1577" s="66"/>
      <c r="Q1577" s="43"/>
      <c r="R1577" s="16"/>
      <c r="S1577" s="18"/>
      <c r="T1577" s="20"/>
    </row>
    <row r="1578">
      <c r="A1578" s="67" t="s">
        <v>2403</v>
      </c>
      <c r="B1578" s="28" t="s">
        <v>27</v>
      </c>
      <c r="C1578" s="29"/>
      <c r="D1578" s="29" t="str">
        <f t="shared" si="102"/>
        <v>Removed</v>
      </c>
      <c r="E1578" s="70">
        <v>43625.0</v>
      </c>
      <c r="F1578" s="31">
        <v>43997.0</v>
      </c>
      <c r="G1578" s="32">
        <f t="shared" si="2"/>
        <v>12.2</v>
      </c>
      <c r="H1578" s="33">
        <v>42627.0</v>
      </c>
      <c r="I1578" s="32">
        <f t="shared" si="3"/>
        <v>2.736111111</v>
      </c>
      <c r="J1578" s="69">
        <v>84.0</v>
      </c>
      <c r="K1578" s="34">
        <v>18.0</v>
      </c>
      <c r="L1578" s="44" t="s">
        <v>675</v>
      </c>
      <c r="M1578" s="44"/>
      <c r="N1578" s="44"/>
      <c r="O1578" s="44"/>
      <c r="P1578" s="71"/>
      <c r="Q1578" s="44"/>
      <c r="R1578" s="29"/>
      <c r="S1578" s="33"/>
      <c r="T1578" s="32"/>
    </row>
    <row r="1579">
      <c r="A1579" s="64" t="s">
        <v>2404</v>
      </c>
      <c r="B1579" s="16" t="s">
        <v>27</v>
      </c>
      <c r="C1579" s="17"/>
      <c r="D1579" s="17" t="str">
        <f t="shared" si="102"/>
        <v>Removed</v>
      </c>
      <c r="E1579" s="76">
        <v>43625.0</v>
      </c>
      <c r="F1579" s="52">
        <v>43997.0</v>
      </c>
      <c r="G1579" s="20">
        <f t="shared" si="2"/>
        <v>12.2</v>
      </c>
      <c r="H1579" s="18">
        <v>43625.0</v>
      </c>
      <c r="I1579" s="20">
        <f t="shared" si="3"/>
        <v>0</v>
      </c>
      <c r="J1579" s="65">
        <v>67.0</v>
      </c>
      <c r="K1579" s="53">
        <v>4.5</v>
      </c>
      <c r="L1579" s="23" t="s">
        <v>37</v>
      </c>
      <c r="M1579" s="23"/>
      <c r="N1579" s="23"/>
      <c r="O1579" s="23"/>
      <c r="P1579" s="54"/>
      <c r="Q1579" s="23"/>
      <c r="R1579" s="17"/>
      <c r="S1579" s="18"/>
      <c r="T1579" s="20"/>
    </row>
    <row r="1580">
      <c r="A1580" s="67" t="s">
        <v>2405</v>
      </c>
      <c r="B1580" s="29" t="s">
        <v>40</v>
      </c>
      <c r="C1580" s="29"/>
      <c r="D1580" s="29" t="str">
        <f t="shared" si="102"/>
        <v>Removed</v>
      </c>
      <c r="E1580" s="70">
        <v>43625.0</v>
      </c>
      <c r="F1580" s="31">
        <v>43997.0</v>
      </c>
      <c r="G1580" s="32">
        <f t="shared" si="2"/>
        <v>12.2</v>
      </c>
      <c r="H1580" s="33">
        <v>42453.0</v>
      </c>
      <c r="I1580" s="32">
        <f t="shared" si="3"/>
        <v>3.208333333</v>
      </c>
      <c r="J1580" s="69">
        <v>80.0</v>
      </c>
      <c r="K1580" s="34">
        <v>5.0</v>
      </c>
      <c r="L1580" s="44" t="s">
        <v>362</v>
      </c>
      <c r="M1580" s="44"/>
      <c r="N1580" s="44"/>
      <c r="O1580" s="44"/>
      <c r="P1580" s="71"/>
      <c r="Q1580" s="44"/>
      <c r="R1580" s="28"/>
      <c r="S1580" s="33"/>
      <c r="T1580" s="32"/>
    </row>
    <row r="1581">
      <c r="A1581" s="64" t="s">
        <v>2406</v>
      </c>
      <c r="B1581" s="16" t="s">
        <v>27</v>
      </c>
      <c r="C1581" s="17"/>
      <c r="D1581" s="17" t="str">
        <f t="shared" si="102"/>
        <v>Removed</v>
      </c>
      <c r="E1581" s="76">
        <v>43625.0</v>
      </c>
      <c r="F1581" s="52">
        <v>43997.0</v>
      </c>
      <c r="G1581" s="20">
        <f t="shared" si="2"/>
        <v>12.2</v>
      </c>
      <c r="H1581" s="18">
        <v>43625.0</v>
      </c>
      <c r="I1581" s="20">
        <f t="shared" si="3"/>
        <v>0</v>
      </c>
      <c r="J1581" s="65">
        <v>76.0</v>
      </c>
      <c r="K1581" s="53">
        <v>6.5</v>
      </c>
      <c r="L1581" s="43" t="s">
        <v>500</v>
      </c>
      <c r="M1581" s="43"/>
      <c r="N1581" s="43"/>
      <c r="O1581" s="43"/>
      <c r="P1581" s="66"/>
      <c r="Q1581" s="43"/>
      <c r="R1581" s="17"/>
      <c r="S1581" s="18"/>
      <c r="T1581" s="20"/>
    </row>
    <row r="1582">
      <c r="A1582" s="27" t="s">
        <v>2407</v>
      </c>
      <c r="B1582" s="29" t="s">
        <v>40</v>
      </c>
      <c r="C1582" s="29"/>
      <c r="D1582" s="29" t="str">
        <f t="shared" si="102"/>
        <v>Removed</v>
      </c>
      <c r="E1582" s="70">
        <v>43625.0</v>
      </c>
      <c r="F1582" s="31">
        <v>43997.0</v>
      </c>
      <c r="G1582" s="32">
        <f t="shared" si="2"/>
        <v>12.2</v>
      </c>
      <c r="H1582" s="33">
        <v>42458.0</v>
      </c>
      <c r="I1582" s="32">
        <f t="shared" si="3"/>
        <v>3.194444444</v>
      </c>
      <c r="J1582" s="69">
        <v>85.0</v>
      </c>
      <c r="K1582" s="34">
        <v>6.0</v>
      </c>
      <c r="L1582" s="44" t="s">
        <v>362</v>
      </c>
      <c r="M1582" s="44"/>
      <c r="N1582" s="44"/>
      <c r="O1582" s="44"/>
      <c r="P1582" s="71"/>
      <c r="Q1582" s="44"/>
      <c r="R1582" s="28"/>
      <c r="S1582" s="33"/>
      <c r="T1582" s="32"/>
    </row>
    <row r="1583">
      <c r="A1583" s="64" t="s">
        <v>2408</v>
      </c>
      <c r="B1583" s="17" t="s">
        <v>40</v>
      </c>
      <c r="C1583" s="17"/>
      <c r="D1583" s="17" t="str">
        <f t="shared" si="102"/>
        <v>Removed</v>
      </c>
      <c r="E1583" s="76">
        <v>43625.0</v>
      </c>
      <c r="F1583" s="52">
        <v>43997.0</v>
      </c>
      <c r="G1583" s="20">
        <f t="shared" si="2"/>
        <v>12.2</v>
      </c>
      <c r="H1583" s="18">
        <v>43503.0</v>
      </c>
      <c r="I1583" s="20">
        <f t="shared" si="3"/>
        <v>0.3388888889</v>
      </c>
      <c r="J1583" s="65">
        <v>76.0</v>
      </c>
      <c r="K1583" s="53">
        <v>3.5</v>
      </c>
      <c r="L1583" s="43" t="s">
        <v>362</v>
      </c>
      <c r="M1583" s="43"/>
      <c r="N1583" s="43"/>
      <c r="O1583" s="43"/>
      <c r="P1583" s="66"/>
      <c r="Q1583" s="43"/>
      <c r="R1583" s="16"/>
      <c r="S1583" s="18"/>
      <c r="T1583" s="20"/>
    </row>
    <row r="1584">
      <c r="A1584" s="67" t="s">
        <v>2409</v>
      </c>
      <c r="B1584" s="28" t="s">
        <v>27</v>
      </c>
      <c r="C1584" s="29"/>
      <c r="D1584" s="29" t="str">
        <f t="shared" si="102"/>
        <v>Removed</v>
      </c>
      <c r="E1584" s="70">
        <v>43132.0</v>
      </c>
      <c r="F1584" s="31">
        <v>43997.0</v>
      </c>
      <c r="G1584" s="32">
        <f t="shared" si="2"/>
        <v>28.46666667</v>
      </c>
      <c r="H1584" s="33">
        <v>42577.0</v>
      </c>
      <c r="I1584" s="32">
        <f t="shared" si="3"/>
        <v>1.513888889</v>
      </c>
      <c r="J1584" s="69">
        <v>75.0</v>
      </c>
      <c r="K1584" s="34">
        <v>6.0</v>
      </c>
      <c r="L1584" s="44" t="s">
        <v>500</v>
      </c>
      <c r="M1584" s="44"/>
      <c r="N1584" s="44"/>
      <c r="O1584" s="44"/>
      <c r="P1584" s="71"/>
      <c r="Q1584" s="44"/>
      <c r="R1584" s="29"/>
      <c r="S1584" s="33"/>
      <c r="T1584" s="32"/>
    </row>
    <row r="1585">
      <c r="A1585" s="15" t="s">
        <v>2410</v>
      </c>
      <c r="B1585" s="16" t="s">
        <v>1859</v>
      </c>
      <c r="C1585" s="17"/>
      <c r="D1585" s="17" t="s">
        <v>1860</v>
      </c>
      <c r="E1585" s="76">
        <v>43967.0</v>
      </c>
      <c r="F1585" s="62">
        <v>43982.0</v>
      </c>
      <c r="G1585" s="20">
        <f t="shared" si="2"/>
        <v>0.4666666667</v>
      </c>
      <c r="H1585" s="18"/>
      <c r="I1585" s="20">
        <f t="shared" si="3"/>
        <v>-5.413888889</v>
      </c>
      <c r="J1585" s="53"/>
      <c r="K1585" s="53"/>
      <c r="L1585" s="23"/>
      <c r="M1585" s="23"/>
      <c r="N1585" s="23" t="s">
        <v>1612</v>
      </c>
      <c r="O1585" s="23"/>
      <c r="P1585" s="54"/>
      <c r="Q1585" s="23"/>
      <c r="R1585" s="17"/>
      <c r="S1585" s="18"/>
      <c r="T1585" s="20"/>
    </row>
    <row r="1586">
      <c r="A1586" s="27" t="s">
        <v>2411</v>
      </c>
      <c r="B1586" s="28" t="s">
        <v>1610</v>
      </c>
      <c r="C1586" s="29"/>
      <c r="D1586" s="29" t="s">
        <v>1611</v>
      </c>
      <c r="E1586" s="70">
        <v>43952.0</v>
      </c>
      <c r="F1586" s="30">
        <v>43982.0</v>
      </c>
      <c r="G1586" s="32">
        <f t="shared" si="2"/>
        <v>0.9666666667</v>
      </c>
      <c r="H1586" s="33"/>
      <c r="I1586" s="32">
        <f t="shared" si="3"/>
        <v>-5.455555556</v>
      </c>
      <c r="J1586" s="34"/>
      <c r="K1586" s="34"/>
      <c r="L1586" s="35"/>
      <c r="M1586" s="35"/>
      <c r="N1586" s="35" t="s">
        <v>1612</v>
      </c>
      <c r="O1586" s="35"/>
      <c r="P1586" s="36"/>
      <c r="Q1586" s="35"/>
      <c r="R1586" s="29"/>
      <c r="S1586" s="33"/>
      <c r="T1586" s="32"/>
    </row>
    <row r="1587">
      <c r="A1587" s="15" t="s">
        <v>2412</v>
      </c>
      <c r="B1587" s="16" t="s">
        <v>27</v>
      </c>
      <c r="C1587" s="17"/>
      <c r="D1587" s="17" t="str">
        <f t="shared" ref="D1587:D1590" si="103">IF(E1587&gt;TODAY(),"Coming Soon",IF(F1587="","Active",IF(F1587&gt;TODAY(),"Leaving Soon","Removed")))</f>
        <v>Removed</v>
      </c>
      <c r="E1587" s="76">
        <v>43625.0</v>
      </c>
      <c r="F1587" s="52">
        <v>43982.0</v>
      </c>
      <c r="G1587" s="20">
        <f t="shared" si="2"/>
        <v>11.7</v>
      </c>
      <c r="H1587" s="18">
        <v>42872.0</v>
      </c>
      <c r="I1587" s="20">
        <f t="shared" si="3"/>
        <v>2.061111111</v>
      </c>
      <c r="J1587" s="65">
        <v>76.0</v>
      </c>
      <c r="K1587" s="53">
        <v>1.5</v>
      </c>
      <c r="L1587" s="43" t="s">
        <v>562</v>
      </c>
      <c r="M1587" s="43"/>
      <c r="N1587" s="43"/>
      <c r="O1587" s="43"/>
      <c r="P1587" s="66"/>
      <c r="Q1587" s="43"/>
      <c r="R1587" s="17"/>
      <c r="S1587" s="18"/>
      <c r="T1587" s="20"/>
    </row>
    <row r="1588">
      <c r="A1588" s="27" t="s">
        <v>1979</v>
      </c>
      <c r="B1588" s="28" t="s">
        <v>27</v>
      </c>
      <c r="C1588" s="29"/>
      <c r="D1588" s="29" t="str">
        <f t="shared" si="103"/>
        <v>Removed</v>
      </c>
      <c r="E1588" s="70">
        <v>43252.0</v>
      </c>
      <c r="F1588" s="31">
        <v>43982.0</v>
      </c>
      <c r="G1588" s="32">
        <f t="shared" si="2"/>
        <v>23.96666667</v>
      </c>
      <c r="H1588" s="33">
        <v>40387.0</v>
      </c>
      <c r="I1588" s="32">
        <f t="shared" si="3"/>
        <v>7.841666667</v>
      </c>
      <c r="J1588" s="69">
        <v>75.0</v>
      </c>
      <c r="K1588" s="34">
        <v>5.5</v>
      </c>
      <c r="L1588" s="44" t="s">
        <v>500</v>
      </c>
      <c r="M1588" s="44"/>
      <c r="N1588" s="44"/>
      <c r="O1588" s="44"/>
      <c r="P1588" s="71"/>
      <c r="Q1588" s="44"/>
      <c r="R1588" s="29"/>
      <c r="S1588" s="33"/>
      <c r="T1588" s="32"/>
    </row>
    <row r="1589">
      <c r="A1589" s="64" t="s">
        <v>2413</v>
      </c>
      <c r="B1589" s="16" t="s">
        <v>68</v>
      </c>
      <c r="C1589" s="17"/>
      <c r="D1589" s="17" t="str">
        <f t="shared" si="103"/>
        <v>Removed</v>
      </c>
      <c r="E1589" s="76">
        <v>42887.0</v>
      </c>
      <c r="F1589" s="52">
        <v>43982.0</v>
      </c>
      <c r="G1589" s="20">
        <f t="shared" si="2"/>
        <v>35.96666667</v>
      </c>
      <c r="H1589" s="18">
        <v>42005.0</v>
      </c>
      <c r="I1589" s="20">
        <f t="shared" si="3"/>
        <v>2.416666667</v>
      </c>
      <c r="J1589" s="65">
        <v>77.0</v>
      </c>
      <c r="K1589" s="53">
        <v>2.5</v>
      </c>
      <c r="L1589" s="43" t="s">
        <v>362</v>
      </c>
      <c r="M1589" s="43"/>
      <c r="N1589" s="43"/>
      <c r="O1589" s="43"/>
      <c r="P1589" s="66"/>
      <c r="Q1589" s="43"/>
      <c r="R1589" s="17"/>
      <c r="S1589" s="18"/>
      <c r="T1589" s="20"/>
    </row>
    <row r="1590">
      <c r="A1590" s="27" t="s">
        <v>2414</v>
      </c>
      <c r="B1590" s="28" t="s">
        <v>68</v>
      </c>
      <c r="C1590" s="29"/>
      <c r="D1590" s="29" t="str">
        <f t="shared" si="103"/>
        <v>Removed</v>
      </c>
      <c r="E1590" s="70">
        <v>42887.0</v>
      </c>
      <c r="F1590" s="31">
        <v>43982.0</v>
      </c>
      <c r="G1590" s="32">
        <f t="shared" si="2"/>
        <v>35.96666667</v>
      </c>
      <c r="H1590" s="33">
        <v>39525.0</v>
      </c>
      <c r="I1590" s="32">
        <f t="shared" si="3"/>
        <v>9.202777778</v>
      </c>
      <c r="J1590" s="69">
        <v>73.0</v>
      </c>
      <c r="K1590" s="34">
        <v>1.0</v>
      </c>
      <c r="L1590" s="44" t="s">
        <v>2415</v>
      </c>
      <c r="M1590" s="44"/>
      <c r="N1590" s="44"/>
      <c r="O1590" s="44"/>
      <c r="P1590" s="71"/>
      <c r="Q1590" s="35" t="s">
        <v>1697</v>
      </c>
      <c r="R1590" s="29"/>
      <c r="S1590" s="33"/>
      <c r="T1590" s="32"/>
    </row>
    <row r="1591">
      <c r="A1591" s="15" t="s">
        <v>2416</v>
      </c>
      <c r="B1591" s="16" t="s">
        <v>1859</v>
      </c>
      <c r="C1591" s="17"/>
      <c r="D1591" s="17" t="s">
        <v>1860</v>
      </c>
      <c r="E1591" s="76">
        <v>43952.0</v>
      </c>
      <c r="F1591" s="62">
        <v>43966.0</v>
      </c>
      <c r="G1591" s="20">
        <f t="shared" si="2"/>
        <v>0.4666666667</v>
      </c>
      <c r="H1591" s="18"/>
      <c r="I1591" s="20">
        <f t="shared" si="3"/>
        <v>-5.455555556</v>
      </c>
      <c r="J1591" s="53"/>
      <c r="K1591" s="53"/>
      <c r="L1591" s="23"/>
      <c r="M1591" s="23"/>
      <c r="N1591" s="23" t="s">
        <v>1612</v>
      </c>
      <c r="O1591" s="23"/>
      <c r="P1591" s="54"/>
      <c r="Q1591" s="23"/>
      <c r="R1591" s="17"/>
      <c r="S1591" s="18"/>
      <c r="T1591" s="20"/>
    </row>
    <row r="1592">
      <c r="A1592" s="27" t="s">
        <v>2417</v>
      </c>
      <c r="B1592" s="28" t="s">
        <v>1610</v>
      </c>
      <c r="C1592" s="29"/>
      <c r="D1592" s="29" t="s">
        <v>1611</v>
      </c>
      <c r="E1592" s="70">
        <v>43937.0</v>
      </c>
      <c r="F1592" s="30">
        <v>43966.0</v>
      </c>
      <c r="G1592" s="32">
        <f t="shared" si="2"/>
        <v>0.9666666667</v>
      </c>
      <c r="H1592" s="33"/>
      <c r="I1592" s="32">
        <f t="shared" si="3"/>
        <v>-5.497222222</v>
      </c>
      <c r="J1592" s="34"/>
      <c r="K1592" s="34"/>
      <c r="L1592" s="35"/>
      <c r="M1592" s="35"/>
      <c r="N1592" s="35"/>
      <c r="O1592" s="35"/>
      <c r="P1592" s="36"/>
      <c r="Q1592" s="35"/>
      <c r="R1592" s="29"/>
      <c r="S1592" s="33"/>
      <c r="T1592" s="32"/>
    </row>
    <row r="1593">
      <c r="A1593" s="64" t="s">
        <v>2418</v>
      </c>
      <c r="B1593" s="16" t="s">
        <v>68</v>
      </c>
      <c r="C1593" s="17"/>
      <c r="D1593" s="17" t="str">
        <f t="shared" ref="D1593:D1598" si="104">IF(E1593&gt;TODAY(),"Coming Soon",IF(F1593="","Active",IF(F1593&gt;TODAY(),"Leaving Soon","Removed")))</f>
        <v>Removed</v>
      </c>
      <c r="E1593" s="76">
        <v>43783.0</v>
      </c>
      <c r="F1593" s="52">
        <v>43966.0</v>
      </c>
      <c r="G1593" s="20">
        <f t="shared" si="2"/>
        <v>6.033333333</v>
      </c>
      <c r="H1593" s="18">
        <v>43000.0</v>
      </c>
      <c r="I1593" s="20">
        <f t="shared" si="3"/>
        <v>2.144444444</v>
      </c>
      <c r="J1593" s="65">
        <v>76.0</v>
      </c>
      <c r="K1593" s="53">
        <v>6.0</v>
      </c>
      <c r="L1593" s="43" t="s">
        <v>444</v>
      </c>
      <c r="M1593" s="43"/>
      <c r="N1593" s="43"/>
      <c r="O1593" s="43"/>
      <c r="P1593" s="66"/>
      <c r="Q1593" s="43"/>
      <c r="R1593" s="17"/>
      <c r="S1593" s="18"/>
      <c r="T1593" s="20"/>
    </row>
    <row r="1594">
      <c r="A1594" s="67" t="s">
        <v>2419</v>
      </c>
      <c r="B1594" s="29" t="s">
        <v>40</v>
      </c>
      <c r="C1594" s="29"/>
      <c r="D1594" s="29" t="str">
        <f t="shared" si="104"/>
        <v>Removed</v>
      </c>
      <c r="E1594" s="70">
        <v>43625.0</v>
      </c>
      <c r="F1594" s="31">
        <v>43966.0</v>
      </c>
      <c r="G1594" s="32">
        <f t="shared" si="2"/>
        <v>11.2</v>
      </c>
      <c r="H1594" s="33">
        <v>43580.0</v>
      </c>
      <c r="I1594" s="32">
        <f t="shared" si="3"/>
        <v>0.1222222222</v>
      </c>
      <c r="J1594" s="69">
        <v>76.0</v>
      </c>
      <c r="K1594" s="34">
        <v>17.0</v>
      </c>
      <c r="L1594" s="44" t="s">
        <v>119</v>
      </c>
      <c r="M1594" s="44"/>
      <c r="N1594" s="44"/>
      <c r="O1594" s="44"/>
      <c r="P1594" s="71"/>
      <c r="Q1594" s="44"/>
      <c r="R1594" s="28"/>
      <c r="S1594" s="33"/>
      <c r="T1594" s="32"/>
    </row>
    <row r="1595">
      <c r="A1595" s="64" t="s">
        <v>2420</v>
      </c>
      <c r="B1595" s="17" t="s">
        <v>40</v>
      </c>
      <c r="C1595" s="17"/>
      <c r="D1595" s="17" t="str">
        <f t="shared" si="104"/>
        <v>Removed</v>
      </c>
      <c r="E1595" s="76">
        <v>43625.0</v>
      </c>
      <c r="F1595" s="52">
        <v>43966.0</v>
      </c>
      <c r="G1595" s="20">
        <f t="shared" si="2"/>
        <v>11.2</v>
      </c>
      <c r="H1595" s="18">
        <v>42957.0</v>
      </c>
      <c r="I1595" s="20">
        <f t="shared" si="3"/>
        <v>1.830555556</v>
      </c>
      <c r="J1595" s="65">
        <v>87.0</v>
      </c>
      <c r="K1595" s="53">
        <v>7.0</v>
      </c>
      <c r="L1595" s="23" t="s">
        <v>529</v>
      </c>
      <c r="M1595" s="43"/>
      <c r="N1595" s="43"/>
      <c r="O1595" s="43"/>
      <c r="P1595" s="66"/>
      <c r="Q1595" s="43"/>
      <c r="R1595" s="16"/>
      <c r="S1595" s="18"/>
      <c r="T1595" s="20"/>
    </row>
    <row r="1596">
      <c r="A1596" s="67" t="s">
        <v>2421</v>
      </c>
      <c r="B1596" s="28" t="s">
        <v>68</v>
      </c>
      <c r="C1596" s="29"/>
      <c r="D1596" s="29" t="str">
        <f t="shared" si="104"/>
        <v>Removed</v>
      </c>
      <c r="E1596" s="70">
        <v>43608.0</v>
      </c>
      <c r="F1596" s="31">
        <v>43966.0</v>
      </c>
      <c r="G1596" s="32">
        <f t="shared" si="2"/>
        <v>11.73333333</v>
      </c>
      <c r="H1596" s="33">
        <v>43151.0</v>
      </c>
      <c r="I1596" s="32">
        <f t="shared" si="3"/>
        <v>1.258333333</v>
      </c>
      <c r="J1596" s="69">
        <v>62.0</v>
      </c>
      <c r="K1596" s="34">
        <v>22.0</v>
      </c>
      <c r="L1596" s="44" t="s">
        <v>32</v>
      </c>
      <c r="M1596" s="44"/>
      <c r="N1596" s="44"/>
      <c r="O1596" s="44"/>
      <c r="P1596" s="71"/>
      <c r="Q1596" s="44"/>
      <c r="R1596" s="29"/>
      <c r="S1596" s="33"/>
      <c r="T1596" s="32"/>
    </row>
    <row r="1597">
      <c r="A1597" s="64" t="s">
        <v>2422</v>
      </c>
      <c r="B1597" s="16" t="s">
        <v>27</v>
      </c>
      <c r="C1597" s="17"/>
      <c r="D1597" s="17" t="str">
        <f t="shared" si="104"/>
        <v>Removed</v>
      </c>
      <c r="E1597" s="76">
        <v>43608.0</v>
      </c>
      <c r="F1597" s="52">
        <v>43966.0</v>
      </c>
      <c r="G1597" s="20">
        <f t="shared" si="2"/>
        <v>11.73333333</v>
      </c>
      <c r="H1597" s="18">
        <v>41653.0</v>
      </c>
      <c r="I1597" s="20">
        <f t="shared" si="3"/>
        <v>5.358333333</v>
      </c>
      <c r="J1597" s="65">
        <v>76.0</v>
      </c>
      <c r="K1597" s="53">
        <v>10.5</v>
      </c>
      <c r="L1597" s="23" t="s">
        <v>567</v>
      </c>
      <c r="M1597" s="43"/>
      <c r="N1597" s="43"/>
      <c r="O1597" s="43"/>
      <c r="P1597" s="66"/>
      <c r="Q1597" s="43"/>
      <c r="R1597" s="17"/>
      <c r="S1597" s="18"/>
      <c r="T1597" s="20"/>
    </row>
    <row r="1598">
      <c r="A1598" s="67" t="s">
        <v>2423</v>
      </c>
      <c r="B1598" s="28" t="s">
        <v>68</v>
      </c>
      <c r="C1598" s="29"/>
      <c r="D1598" s="29" t="str">
        <f t="shared" si="104"/>
        <v>Removed</v>
      </c>
      <c r="E1598" s="70">
        <v>43252.0</v>
      </c>
      <c r="F1598" s="31">
        <v>43966.0</v>
      </c>
      <c r="G1598" s="32">
        <f t="shared" si="2"/>
        <v>23.46666667</v>
      </c>
      <c r="H1598" s="33">
        <v>42955.0</v>
      </c>
      <c r="I1598" s="32">
        <f t="shared" si="3"/>
        <v>0.8138888889</v>
      </c>
      <c r="J1598" s="69">
        <v>72.0</v>
      </c>
      <c r="K1598" s="34">
        <v>14.5</v>
      </c>
      <c r="L1598" s="44" t="s">
        <v>1473</v>
      </c>
      <c r="M1598" s="44"/>
      <c r="N1598" s="44"/>
      <c r="O1598" s="44"/>
      <c r="P1598" s="71"/>
      <c r="Q1598" s="44"/>
      <c r="R1598" s="29"/>
      <c r="S1598" s="33"/>
      <c r="T1598" s="32"/>
    </row>
    <row r="1599">
      <c r="A1599" s="15" t="s">
        <v>2424</v>
      </c>
      <c r="B1599" s="16" t="s">
        <v>1859</v>
      </c>
      <c r="C1599" s="17"/>
      <c r="D1599" s="17" t="s">
        <v>1860</v>
      </c>
      <c r="E1599" s="76">
        <v>43937.0</v>
      </c>
      <c r="F1599" s="62">
        <v>43951.0</v>
      </c>
      <c r="G1599" s="20">
        <f t="shared" si="2"/>
        <v>0.4666666667</v>
      </c>
      <c r="H1599" s="18"/>
      <c r="I1599" s="20">
        <f t="shared" si="3"/>
        <v>-5.497222222</v>
      </c>
      <c r="J1599" s="53"/>
      <c r="K1599" s="53"/>
      <c r="L1599" s="23"/>
      <c r="M1599" s="23"/>
      <c r="N1599" s="23" t="s">
        <v>1612</v>
      </c>
      <c r="O1599" s="23"/>
      <c r="P1599" s="54"/>
      <c r="Q1599" s="23"/>
      <c r="R1599" s="17"/>
      <c r="S1599" s="18"/>
      <c r="T1599" s="20"/>
    </row>
    <row r="1600">
      <c r="A1600" s="27" t="s">
        <v>2425</v>
      </c>
      <c r="B1600" s="28" t="s">
        <v>1610</v>
      </c>
      <c r="C1600" s="29"/>
      <c r="D1600" s="29" t="s">
        <v>1611</v>
      </c>
      <c r="E1600" s="70">
        <v>43922.0</v>
      </c>
      <c r="F1600" s="30">
        <v>43951.0</v>
      </c>
      <c r="G1600" s="32">
        <f t="shared" si="2"/>
        <v>0.9666666667</v>
      </c>
      <c r="H1600" s="33"/>
      <c r="I1600" s="32">
        <f t="shared" si="3"/>
        <v>-5.538888889</v>
      </c>
      <c r="J1600" s="34"/>
      <c r="K1600" s="34"/>
      <c r="L1600" s="35"/>
      <c r="M1600" s="35"/>
      <c r="N1600" s="35" t="s">
        <v>1612</v>
      </c>
      <c r="O1600" s="35"/>
      <c r="P1600" s="36"/>
      <c r="Q1600" s="35"/>
      <c r="R1600" s="29"/>
      <c r="S1600" s="33"/>
      <c r="T1600" s="32"/>
    </row>
    <row r="1601">
      <c r="A1601" s="64" t="s">
        <v>2426</v>
      </c>
      <c r="B1601" s="16" t="s">
        <v>68</v>
      </c>
      <c r="C1601" s="17"/>
      <c r="D1601" s="17" t="str">
        <f t="shared" ref="D1601:D1607" si="105">IF(E1601&gt;TODAY(),"Coming Soon",IF(F1601="","Active",IF(F1601&gt;TODAY(),"Leaving Soon","Removed")))</f>
        <v>Removed</v>
      </c>
      <c r="E1601" s="76">
        <v>43625.0</v>
      </c>
      <c r="F1601" s="76">
        <v>43951.0</v>
      </c>
      <c r="G1601" s="20">
        <f t="shared" si="2"/>
        <v>10.7</v>
      </c>
      <c r="H1601" s="18">
        <v>40291.0</v>
      </c>
      <c r="I1601" s="20">
        <f t="shared" si="3"/>
        <v>9.127777778</v>
      </c>
      <c r="J1601" s="65">
        <v>66.0</v>
      </c>
      <c r="K1601" s="53">
        <v>5.5</v>
      </c>
      <c r="L1601" s="43" t="s">
        <v>562</v>
      </c>
      <c r="M1601" s="43"/>
      <c r="N1601" s="43"/>
      <c r="O1601" s="43"/>
      <c r="P1601" s="66"/>
      <c r="Q1601" s="43"/>
      <c r="R1601" s="17"/>
      <c r="S1601" s="18"/>
      <c r="T1601" s="20"/>
    </row>
    <row r="1602">
      <c r="A1602" s="67" t="s">
        <v>2427</v>
      </c>
      <c r="B1602" s="28" t="s">
        <v>27</v>
      </c>
      <c r="C1602" s="29"/>
      <c r="D1602" s="29" t="str">
        <f t="shared" si="105"/>
        <v>Removed</v>
      </c>
      <c r="E1602" s="70">
        <v>43625.0</v>
      </c>
      <c r="F1602" s="70">
        <v>43951.0</v>
      </c>
      <c r="G1602" s="32">
        <f t="shared" si="2"/>
        <v>10.7</v>
      </c>
      <c r="H1602" s="33">
        <v>43251.0</v>
      </c>
      <c r="I1602" s="32">
        <f t="shared" si="3"/>
        <v>1.025</v>
      </c>
      <c r="J1602" s="34">
        <v>68.0</v>
      </c>
      <c r="K1602" s="34">
        <v>10.5</v>
      </c>
      <c r="L1602" s="35" t="s">
        <v>122</v>
      </c>
      <c r="M1602" s="44"/>
      <c r="N1602" s="44"/>
      <c r="O1602" s="44"/>
      <c r="P1602" s="71"/>
      <c r="Q1602" s="44"/>
      <c r="R1602" s="29"/>
      <c r="S1602" s="33"/>
      <c r="T1602" s="32"/>
    </row>
    <row r="1603">
      <c r="A1603" s="64" t="s">
        <v>2428</v>
      </c>
      <c r="B1603" s="16" t="s">
        <v>27</v>
      </c>
      <c r="C1603" s="17"/>
      <c r="D1603" s="17" t="str">
        <f t="shared" si="105"/>
        <v>Removed</v>
      </c>
      <c r="E1603" s="76">
        <v>43622.0</v>
      </c>
      <c r="F1603" s="76">
        <v>43951.0</v>
      </c>
      <c r="G1603" s="20">
        <f t="shared" si="2"/>
        <v>10.8</v>
      </c>
      <c r="H1603" s="18">
        <v>43117.0</v>
      </c>
      <c r="I1603" s="20">
        <f t="shared" si="3"/>
        <v>1.386111111</v>
      </c>
      <c r="J1603" s="65">
        <f>ROUND((75+85)/2,)</f>
        <v>80</v>
      </c>
      <c r="K1603" s="53">
        <v>10.5</v>
      </c>
      <c r="L1603" s="23" t="s">
        <v>1307</v>
      </c>
      <c r="M1603" s="43"/>
      <c r="N1603" s="43"/>
      <c r="O1603" s="43"/>
      <c r="P1603" s="66"/>
      <c r="Q1603" s="43"/>
      <c r="R1603" s="17"/>
      <c r="S1603" s="18"/>
      <c r="T1603" s="20"/>
    </row>
    <row r="1604">
      <c r="A1604" s="67" t="s">
        <v>2429</v>
      </c>
      <c r="B1604" s="28" t="s">
        <v>27</v>
      </c>
      <c r="C1604" s="29"/>
      <c r="D1604" s="29" t="str">
        <f t="shared" si="105"/>
        <v>Removed</v>
      </c>
      <c r="E1604" s="70">
        <v>43622.0</v>
      </c>
      <c r="F1604" s="70">
        <v>43951.0</v>
      </c>
      <c r="G1604" s="32">
        <f t="shared" si="2"/>
        <v>10.8</v>
      </c>
      <c r="H1604" s="33">
        <v>42479.0</v>
      </c>
      <c r="I1604" s="32">
        <f t="shared" si="3"/>
        <v>3.130555556</v>
      </c>
      <c r="J1604" s="69">
        <v>84.0</v>
      </c>
      <c r="K1604" s="34">
        <v>11.5</v>
      </c>
      <c r="L1604" s="44" t="s">
        <v>119</v>
      </c>
      <c r="M1604" s="44"/>
      <c r="N1604" s="44"/>
      <c r="O1604" s="44"/>
      <c r="P1604" s="71"/>
      <c r="Q1604" s="44"/>
      <c r="R1604" s="29"/>
      <c r="S1604" s="33"/>
      <c r="T1604" s="32"/>
    </row>
    <row r="1605">
      <c r="A1605" s="15" t="s">
        <v>2430</v>
      </c>
      <c r="B1605" s="16" t="s">
        <v>27</v>
      </c>
      <c r="C1605" s="17"/>
      <c r="D1605" s="17" t="str">
        <f t="shared" si="105"/>
        <v>Removed</v>
      </c>
      <c r="E1605" s="76">
        <v>43313.0</v>
      </c>
      <c r="F1605" s="76">
        <v>43951.0</v>
      </c>
      <c r="G1605" s="20">
        <f t="shared" si="2"/>
        <v>20.96666667</v>
      </c>
      <c r="H1605" s="18">
        <v>43003.0</v>
      </c>
      <c r="I1605" s="20">
        <f t="shared" si="3"/>
        <v>0.85</v>
      </c>
      <c r="J1605" s="65">
        <v>77.0</v>
      </c>
      <c r="K1605" s="53">
        <v>5.5</v>
      </c>
      <c r="L1605" s="43" t="s">
        <v>675</v>
      </c>
      <c r="M1605" s="43"/>
      <c r="N1605" s="43"/>
      <c r="O1605" s="43"/>
      <c r="P1605" s="66"/>
      <c r="Q1605" s="43"/>
      <c r="R1605" s="17"/>
      <c r="S1605" s="18"/>
      <c r="T1605" s="20"/>
    </row>
    <row r="1606">
      <c r="A1606" s="67" t="s">
        <v>2431</v>
      </c>
      <c r="B1606" s="28" t="s">
        <v>68</v>
      </c>
      <c r="C1606" s="29"/>
      <c r="D1606" s="29" t="str">
        <f t="shared" si="105"/>
        <v>Removed</v>
      </c>
      <c r="E1606" s="70">
        <v>42887.0</v>
      </c>
      <c r="F1606" s="70">
        <v>43951.0</v>
      </c>
      <c r="G1606" s="32">
        <f t="shared" si="2"/>
        <v>34.96666667</v>
      </c>
      <c r="H1606" s="33">
        <v>39666.0</v>
      </c>
      <c r="I1606" s="32">
        <f t="shared" si="3"/>
        <v>8.819444444</v>
      </c>
      <c r="J1606" s="34">
        <v>93.0</v>
      </c>
      <c r="K1606" s="34">
        <v>5.0</v>
      </c>
      <c r="L1606" s="35" t="s">
        <v>549</v>
      </c>
      <c r="M1606" s="35"/>
      <c r="N1606" s="35"/>
      <c r="O1606" s="35"/>
      <c r="P1606" s="36"/>
      <c r="Q1606" s="35" t="s">
        <v>863</v>
      </c>
      <c r="R1606" s="29"/>
      <c r="S1606" s="33"/>
      <c r="T1606" s="32"/>
    </row>
    <row r="1607">
      <c r="A1607" s="64" t="s">
        <v>2272</v>
      </c>
      <c r="B1607" s="16" t="s">
        <v>68</v>
      </c>
      <c r="C1607" s="17"/>
      <c r="D1607" s="17" t="str">
        <f t="shared" si="105"/>
        <v>Removed</v>
      </c>
      <c r="E1607" s="76">
        <v>42887.0</v>
      </c>
      <c r="F1607" s="76">
        <v>43951.0</v>
      </c>
      <c r="G1607" s="20">
        <f t="shared" si="2"/>
        <v>34.96666667</v>
      </c>
      <c r="H1607" s="18">
        <v>36678.0</v>
      </c>
      <c r="I1607" s="20">
        <f t="shared" si="3"/>
        <v>17</v>
      </c>
      <c r="J1607" s="53">
        <v>76.0</v>
      </c>
      <c r="K1607" s="53">
        <v>1.5</v>
      </c>
      <c r="L1607" s="43" t="s">
        <v>675</v>
      </c>
      <c r="M1607" s="43"/>
      <c r="N1607" s="43"/>
      <c r="O1607" s="43"/>
      <c r="P1607" s="66"/>
      <c r="Q1607" s="23" t="s">
        <v>1697</v>
      </c>
      <c r="R1607" s="17"/>
      <c r="S1607" s="18"/>
      <c r="T1607" s="20"/>
    </row>
    <row r="1608">
      <c r="A1608" s="27" t="s">
        <v>1147</v>
      </c>
      <c r="B1608" s="28" t="s">
        <v>1859</v>
      </c>
      <c r="C1608" s="29"/>
      <c r="D1608" s="29" t="s">
        <v>1860</v>
      </c>
      <c r="E1608" s="70">
        <v>43922.0</v>
      </c>
      <c r="F1608" s="30">
        <v>43936.0</v>
      </c>
      <c r="G1608" s="32">
        <f t="shared" si="2"/>
        <v>0.4666666667</v>
      </c>
      <c r="H1608" s="33"/>
      <c r="I1608" s="32">
        <f t="shared" si="3"/>
        <v>-5.538888889</v>
      </c>
      <c r="J1608" s="34"/>
      <c r="K1608" s="34"/>
      <c r="L1608" s="35"/>
      <c r="M1608" s="35" t="s">
        <v>1614</v>
      </c>
      <c r="N1608" s="35" t="s">
        <v>1612</v>
      </c>
      <c r="O1608" s="35"/>
      <c r="P1608" s="36"/>
      <c r="Q1608" s="35"/>
      <c r="R1608" s="29"/>
      <c r="S1608" s="33"/>
      <c r="T1608" s="32"/>
    </row>
    <row r="1609">
      <c r="A1609" s="15" t="s">
        <v>2118</v>
      </c>
      <c r="B1609" s="16" t="s">
        <v>1610</v>
      </c>
      <c r="C1609" s="17"/>
      <c r="D1609" s="17" t="s">
        <v>1611</v>
      </c>
      <c r="E1609" s="76">
        <v>43906.0</v>
      </c>
      <c r="F1609" s="62">
        <v>43936.0</v>
      </c>
      <c r="G1609" s="20">
        <f t="shared" si="2"/>
        <v>0.9666666667</v>
      </c>
      <c r="H1609" s="18"/>
      <c r="I1609" s="20">
        <f t="shared" si="3"/>
        <v>-5.580555556</v>
      </c>
      <c r="J1609" s="53"/>
      <c r="K1609" s="53"/>
      <c r="L1609" s="23"/>
      <c r="M1609" s="23"/>
      <c r="N1609" s="23"/>
      <c r="O1609" s="23"/>
      <c r="P1609" s="54"/>
      <c r="Q1609" s="23"/>
      <c r="R1609" s="17"/>
      <c r="S1609" s="18"/>
      <c r="T1609" s="20"/>
    </row>
    <row r="1610">
      <c r="A1610" s="67" t="s">
        <v>2346</v>
      </c>
      <c r="B1610" s="28" t="s">
        <v>68</v>
      </c>
      <c r="C1610" s="29"/>
      <c r="D1610" s="29" t="str">
        <f t="shared" ref="D1610:D1615" si="106">IF(E1610&gt;TODAY(),"Coming Soon",IF(F1610="","Active",IF(F1610&gt;TODAY(),"Leaving Soon","Removed")))</f>
        <v>Removed</v>
      </c>
      <c r="E1610" s="70">
        <v>42887.0</v>
      </c>
      <c r="F1610" s="70">
        <v>43936.0</v>
      </c>
      <c r="G1610" s="32">
        <f t="shared" si="2"/>
        <v>34.46666667</v>
      </c>
      <c r="H1610" s="33">
        <v>42054.0</v>
      </c>
      <c r="I1610" s="32">
        <f t="shared" si="3"/>
        <v>2.283333333</v>
      </c>
      <c r="J1610" s="34">
        <v>79.0</v>
      </c>
      <c r="K1610" s="34">
        <v>20.0</v>
      </c>
      <c r="L1610" s="44" t="s">
        <v>362</v>
      </c>
      <c r="M1610" s="44"/>
      <c r="N1610" s="44"/>
      <c r="O1610" s="44"/>
      <c r="P1610" s="71"/>
      <c r="Q1610" s="44"/>
      <c r="R1610" s="29"/>
      <c r="S1610" s="33"/>
      <c r="T1610" s="32"/>
    </row>
    <row r="1611">
      <c r="A1611" s="64" t="s">
        <v>2432</v>
      </c>
      <c r="B1611" s="17" t="s">
        <v>40</v>
      </c>
      <c r="C1611" s="17"/>
      <c r="D1611" s="17" t="str">
        <f t="shared" si="106"/>
        <v>Removed</v>
      </c>
      <c r="E1611" s="76">
        <v>43625.0</v>
      </c>
      <c r="F1611" s="76">
        <v>43922.0</v>
      </c>
      <c r="G1611" s="20">
        <f t="shared" si="2"/>
        <v>9.733333333</v>
      </c>
      <c r="H1611" s="18">
        <v>41012.0</v>
      </c>
      <c r="I1611" s="20">
        <f t="shared" si="3"/>
        <v>7.155555556</v>
      </c>
      <c r="J1611" s="53">
        <v>91.0</v>
      </c>
      <c r="K1611" s="53">
        <v>6.0</v>
      </c>
      <c r="L1611" s="43" t="s">
        <v>549</v>
      </c>
      <c r="M1611" s="43"/>
      <c r="N1611" s="43"/>
      <c r="O1611" s="43"/>
      <c r="P1611" s="66"/>
      <c r="Q1611" s="43"/>
      <c r="R1611" s="16"/>
      <c r="S1611" s="18"/>
      <c r="T1611" s="20"/>
    </row>
    <row r="1612">
      <c r="A1612" s="67" t="s">
        <v>2433</v>
      </c>
      <c r="B1612" s="29" t="s">
        <v>40</v>
      </c>
      <c r="C1612" s="29"/>
      <c r="D1612" s="29" t="str">
        <f t="shared" si="106"/>
        <v>Removed</v>
      </c>
      <c r="E1612" s="70">
        <v>43625.0</v>
      </c>
      <c r="F1612" s="70">
        <v>43922.0</v>
      </c>
      <c r="G1612" s="32">
        <f t="shared" si="2"/>
        <v>9.733333333</v>
      </c>
      <c r="H1612" s="33">
        <v>39560.0</v>
      </c>
      <c r="I1612" s="32">
        <f t="shared" si="3"/>
        <v>11.13055556</v>
      </c>
      <c r="J1612" s="34">
        <v>85.0</v>
      </c>
      <c r="K1612" s="34">
        <v>31.0</v>
      </c>
      <c r="L1612" s="35" t="s">
        <v>567</v>
      </c>
      <c r="M1612" s="44"/>
      <c r="N1612" s="44"/>
      <c r="O1612" s="44"/>
      <c r="P1612" s="71"/>
      <c r="Q1612" s="35" t="s">
        <v>1697</v>
      </c>
      <c r="R1612" s="28"/>
      <c r="S1612" s="33"/>
      <c r="T1612" s="32"/>
    </row>
    <row r="1613">
      <c r="A1613" s="64" t="s">
        <v>2434</v>
      </c>
      <c r="B1613" s="16" t="s">
        <v>68</v>
      </c>
      <c r="C1613" s="17"/>
      <c r="D1613" s="17" t="str">
        <f t="shared" si="106"/>
        <v>Removed</v>
      </c>
      <c r="E1613" s="76">
        <v>42917.0</v>
      </c>
      <c r="F1613" s="76">
        <v>43922.0</v>
      </c>
      <c r="G1613" s="20">
        <f t="shared" si="2"/>
        <v>33</v>
      </c>
      <c r="H1613" s="18">
        <v>41822.0</v>
      </c>
      <c r="I1613" s="20">
        <f t="shared" si="3"/>
        <v>2.997222222</v>
      </c>
      <c r="J1613" s="53">
        <v>88.0</v>
      </c>
      <c r="K1613" s="53">
        <v>7.0</v>
      </c>
      <c r="L1613" s="43" t="s">
        <v>1455</v>
      </c>
      <c r="M1613" s="43"/>
      <c r="N1613" s="43"/>
      <c r="O1613" s="43"/>
      <c r="P1613" s="66"/>
      <c r="Q1613" s="43"/>
      <c r="R1613" s="17"/>
      <c r="S1613" s="18"/>
      <c r="T1613" s="20"/>
    </row>
    <row r="1614">
      <c r="A1614" s="67" t="s">
        <v>2435</v>
      </c>
      <c r="B1614" s="28" t="s">
        <v>68</v>
      </c>
      <c r="C1614" s="29"/>
      <c r="D1614" s="29" t="str">
        <f t="shared" si="106"/>
        <v>Removed</v>
      </c>
      <c r="E1614" s="70">
        <v>42887.0</v>
      </c>
      <c r="F1614" s="70">
        <v>43922.0</v>
      </c>
      <c r="G1614" s="32">
        <f t="shared" si="2"/>
        <v>34</v>
      </c>
      <c r="H1614" s="33">
        <v>40148.0</v>
      </c>
      <c r="I1614" s="32">
        <f t="shared" si="3"/>
        <v>7.5</v>
      </c>
      <c r="J1614" s="34">
        <v>75.0</v>
      </c>
      <c r="K1614" s="34">
        <v>19.0</v>
      </c>
      <c r="L1614" s="44" t="s">
        <v>500</v>
      </c>
      <c r="M1614" s="44"/>
      <c r="N1614" s="44"/>
      <c r="O1614" s="44"/>
      <c r="P1614" s="71"/>
      <c r="Q1614" s="35" t="s">
        <v>863</v>
      </c>
      <c r="R1614" s="29"/>
      <c r="S1614" s="33"/>
      <c r="T1614" s="32"/>
    </row>
    <row r="1615">
      <c r="A1615" s="15" t="s">
        <v>2126</v>
      </c>
      <c r="B1615" s="16" t="s">
        <v>68</v>
      </c>
      <c r="C1615" s="17"/>
      <c r="D1615" s="17" t="str">
        <f t="shared" si="106"/>
        <v>Removed</v>
      </c>
      <c r="E1615" s="76">
        <v>42887.0</v>
      </c>
      <c r="F1615" s="76">
        <v>43922.0</v>
      </c>
      <c r="G1615" s="20">
        <f t="shared" si="2"/>
        <v>34</v>
      </c>
      <c r="H1615" s="18">
        <v>34635.0</v>
      </c>
      <c r="I1615" s="20">
        <f t="shared" si="3"/>
        <v>22.59166667</v>
      </c>
      <c r="J1615" s="53">
        <v>73.0</v>
      </c>
      <c r="K1615" s="53">
        <v>1.0</v>
      </c>
      <c r="L1615" s="43" t="s">
        <v>366</v>
      </c>
      <c r="M1615" s="43"/>
      <c r="N1615" s="43"/>
      <c r="O1615" s="43"/>
      <c r="P1615" s="66"/>
      <c r="Q1615" s="23" t="s">
        <v>1697</v>
      </c>
      <c r="R1615" s="17"/>
      <c r="S1615" s="18"/>
      <c r="T1615" s="20"/>
    </row>
    <row r="1616">
      <c r="A1616" s="27" t="s">
        <v>2436</v>
      </c>
      <c r="B1616" s="28" t="s">
        <v>1859</v>
      </c>
      <c r="C1616" s="29"/>
      <c r="D1616" s="29" t="s">
        <v>1860</v>
      </c>
      <c r="E1616" s="70">
        <v>43906.0</v>
      </c>
      <c r="F1616" s="30">
        <v>43921.0</v>
      </c>
      <c r="G1616" s="32">
        <f t="shared" si="2"/>
        <v>0.4666666667</v>
      </c>
      <c r="H1616" s="33"/>
      <c r="I1616" s="32">
        <f t="shared" si="3"/>
        <v>-5.580555556</v>
      </c>
      <c r="J1616" s="34"/>
      <c r="K1616" s="34"/>
      <c r="L1616" s="35"/>
      <c r="M1616" s="35" t="s">
        <v>1614</v>
      </c>
      <c r="N1616" s="35" t="s">
        <v>1612</v>
      </c>
      <c r="O1616" s="35"/>
      <c r="P1616" s="36"/>
      <c r="Q1616" s="35"/>
      <c r="R1616" s="29"/>
      <c r="S1616" s="33"/>
      <c r="T1616" s="32"/>
    </row>
    <row r="1617">
      <c r="A1617" s="15" t="s">
        <v>2437</v>
      </c>
      <c r="B1617" s="16" t="s">
        <v>1610</v>
      </c>
      <c r="C1617" s="17"/>
      <c r="D1617" s="17" t="s">
        <v>1611</v>
      </c>
      <c r="E1617" s="76">
        <v>43891.0</v>
      </c>
      <c r="F1617" s="62">
        <v>43921.0</v>
      </c>
      <c r="G1617" s="20">
        <f t="shared" si="2"/>
        <v>0.9666666667</v>
      </c>
      <c r="H1617" s="18"/>
      <c r="I1617" s="20">
        <f t="shared" si="3"/>
        <v>-5.622222222</v>
      </c>
      <c r="J1617" s="53"/>
      <c r="K1617" s="53"/>
      <c r="L1617" s="23"/>
      <c r="M1617" s="23"/>
      <c r="N1617" s="23"/>
      <c r="O1617" s="23"/>
      <c r="P1617" s="54"/>
      <c r="Q1617" s="23"/>
      <c r="R1617" s="17"/>
      <c r="S1617" s="18"/>
      <c r="T1617" s="20"/>
    </row>
    <row r="1618">
      <c r="A1618" s="27" t="s">
        <v>2438</v>
      </c>
      <c r="B1618" s="28" t="s">
        <v>1859</v>
      </c>
      <c r="C1618" s="29"/>
      <c r="D1618" s="29" t="s">
        <v>1860</v>
      </c>
      <c r="E1618" s="70">
        <v>43891.0</v>
      </c>
      <c r="F1618" s="30">
        <v>43905.0</v>
      </c>
      <c r="G1618" s="32">
        <f t="shared" si="2"/>
        <v>0.4666666667</v>
      </c>
      <c r="H1618" s="33"/>
      <c r="I1618" s="32">
        <f t="shared" si="3"/>
        <v>-5.622222222</v>
      </c>
      <c r="J1618" s="34"/>
      <c r="K1618" s="34"/>
      <c r="L1618" s="35"/>
      <c r="M1618" s="35"/>
      <c r="N1618" s="35" t="s">
        <v>1612</v>
      </c>
      <c r="O1618" s="35"/>
      <c r="P1618" s="36"/>
      <c r="Q1618" s="35"/>
      <c r="R1618" s="29"/>
      <c r="S1618" s="33"/>
      <c r="T1618" s="32"/>
    </row>
    <row r="1619">
      <c r="A1619" s="15" t="s">
        <v>2439</v>
      </c>
      <c r="B1619" s="16" t="s">
        <v>1610</v>
      </c>
      <c r="C1619" s="17"/>
      <c r="D1619" s="17" t="s">
        <v>1611</v>
      </c>
      <c r="E1619" s="76">
        <v>43877.0</v>
      </c>
      <c r="F1619" s="62">
        <v>43905.0</v>
      </c>
      <c r="G1619" s="20">
        <f t="shared" si="2"/>
        <v>0.9666666667</v>
      </c>
      <c r="H1619" s="18"/>
      <c r="I1619" s="20">
        <f t="shared" si="3"/>
        <v>-5.663888889</v>
      </c>
      <c r="J1619" s="53"/>
      <c r="K1619" s="53"/>
      <c r="L1619" s="23"/>
      <c r="M1619" s="23"/>
      <c r="N1619" s="23" t="s">
        <v>1612</v>
      </c>
      <c r="O1619" s="23"/>
      <c r="P1619" s="54"/>
      <c r="Q1619" s="23"/>
      <c r="R1619" s="17"/>
      <c r="S1619" s="18"/>
      <c r="T1619" s="20"/>
    </row>
    <row r="1620">
      <c r="A1620" s="67" t="s">
        <v>2440</v>
      </c>
      <c r="B1620" s="28" t="s">
        <v>68</v>
      </c>
      <c r="C1620" s="29"/>
      <c r="D1620" s="29" t="str">
        <f t="shared" ref="D1620:D1634" si="107">IF(E1620&gt;TODAY(),"Coming Soon",IF(F1620="","Active",IF(F1620&gt;TODAY(),"Leaving Soon","Removed")))</f>
        <v>Removed</v>
      </c>
      <c r="E1620" s="70">
        <v>43734.0</v>
      </c>
      <c r="F1620" s="70">
        <v>43891.0</v>
      </c>
      <c r="G1620" s="32">
        <f t="shared" si="2"/>
        <v>5.166666667</v>
      </c>
      <c r="H1620" s="33">
        <v>42801.0</v>
      </c>
      <c r="I1620" s="32">
        <f t="shared" si="3"/>
        <v>2.552777778</v>
      </c>
      <c r="J1620" s="34">
        <v>69.0</v>
      </c>
      <c r="K1620" s="34">
        <v>9.0</v>
      </c>
      <c r="L1620" s="44" t="s">
        <v>37</v>
      </c>
      <c r="M1620" s="35" t="s">
        <v>867</v>
      </c>
      <c r="N1620" s="44"/>
      <c r="O1620" s="44"/>
      <c r="P1620" s="71"/>
      <c r="Q1620" s="35" t="s">
        <v>868</v>
      </c>
      <c r="R1620" s="29"/>
      <c r="S1620" s="33"/>
      <c r="T1620" s="32"/>
    </row>
    <row r="1621">
      <c r="A1621" s="64" t="s">
        <v>2441</v>
      </c>
      <c r="B1621" s="17" t="s">
        <v>40</v>
      </c>
      <c r="C1621" s="17"/>
      <c r="D1621" s="17" t="str">
        <f t="shared" si="107"/>
        <v>Removed</v>
      </c>
      <c r="E1621" s="76">
        <v>43625.0</v>
      </c>
      <c r="F1621" s="76">
        <v>43891.0</v>
      </c>
      <c r="G1621" s="20">
        <f t="shared" si="2"/>
        <v>8.733333333</v>
      </c>
      <c r="H1621" s="18">
        <v>43159.0</v>
      </c>
      <c r="I1621" s="20">
        <f t="shared" si="3"/>
        <v>1.280555556</v>
      </c>
      <c r="J1621" s="53">
        <v>73.0</v>
      </c>
      <c r="K1621" s="53">
        <v>2.5</v>
      </c>
      <c r="L1621" s="23" t="s">
        <v>562</v>
      </c>
      <c r="M1621" s="23"/>
      <c r="N1621" s="23"/>
      <c r="O1621" s="23"/>
      <c r="P1621" s="54"/>
      <c r="Q1621" s="23"/>
      <c r="R1621" s="16"/>
      <c r="S1621" s="18"/>
      <c r="T1621" s="20"/>
    </row>
    <row r="1622">
      <c r="A1622" s="67" t="s">
        <v>2442</v>
      </c>
      <c r="B1622" s="29" t="s">
        <v>40</v>
      </c>
      <c r="C1622" s="29"/>
      <c r="D1622" s="29" t="str">
        <f t="shared" si="107"/>
        <v>Removed</v>
      </c>
      <c r="E1622" s="70">
        <v>43625.0</v>
      </c>
      <c r="F1622" s="70">
        <v>43891.0</v>
      </c>
      <c r="G1622" s="32">
        <f t="shared" si="2"/>
        <v>8.733333333</v>
      </c>
      <c r="H1622" s="33">
        <v>43059.0</v>
      </c>
      <c r="I1622" s="32">
        <f t="shared" si="3"/>
        <v>1.552777778</v>
      </c>
      <c r="J1622" s="34">
        <v>80.0</v>
      </c>
      <c r="K1622" s="34">
        <v>8.5</v>
      </c>
      <c r="L1622" s="44" t="s">
        <v>1016</v>
      </c>
      <c r="M1622" s="44"/>
      <c r="N1622" s="44"/>
      <c r="O1622" s="44"/>
      <c r="P1622" s="71"/>
      <c r="Q1622" s="44"/>
      <c r="R1622" s="28"/>
      <c r="S1622" s="33"/>
      <c r="T1622" s="32"/>
    </row>
    <row r="1623">
      <c r="A1623" s="64" t="s">
        <v>2443</v>
      </c>
      <c r="B1623" s="16" t="s">
        <v>68</v>
      </c>
      <c r="C1623" s="17"/>
      <c r="D1623" s="17" t="str">
        <f t="shared" si="107"/>
        <v>Removed</v>
      </c>
      <c r="E1623" s="76">
        <v>43625.0</v>
      </c>
      <c r="F1623" s="76">
        <v>43891.0</v>
      </c>
      <c r="G1623" s="20">
        <f t="shared" si="2"/>
        <v>8.733333333</v>
      </c>
      <c r="H1623" s="18">
        <v>41170.0</v>
      </c>
      <c r="I1623" s="20">
        <f t="shared" si="3"/>
        <v>6.725</v>
      </c>
      <c r="J1623" s="53">
        <v>80.0</v>
      </c>
      <c r="K1623" s="53">
        <v>30.5</v>
      </c>
      <c r="L1623" s="23" t="s">
        <v>1042</v>
      </c>
      <c r="M1623" s="43"/>
      <c r="N1623" s="43"/>
      <c r="O1623" s="43"/>
      <c r="P1623" s="66"/>
      <c r="Q1623" s="43"/>
      <c r="R1623" s="17"/>
      <c r="S1623" s="18"/>
      <c r="T1623" s="20"/>
    </row>
    <row r="1624">
      <c r="A1624" s="27" t="s">
        <v>2444</v>
      </c>
      <c r="B1624" s="28" t="s">
        <v>68</v>
      </c>
      <c r="C1624" s="29"/>
      <c r="D1624" s="29" t="str">
        <f t="shared" si="107"/>
        <v>Removed</v>
      </c>
      <c r="E1624" s="70">
        <v>43625.0</v>
      </c>
      <c r="F1624" s="70">
        <v>43891.0</v>
      </c>
      <c r="G1624" s="32">
        <f t="shared" si="2"/>
        <v>8.733333333</v>
      </c>
      <c r="H1624" s="33">
        <v>41926.0</v>
      </c>
      <c r="I1624" s="32">
        <f t="shared" si="3"/>
        <v>4.652777778</v>
      </c>
      <c r="J1624" s="34">
        <v>80.0</v>
      </c>
      <c r="K1624" s="34">
        <v>18.0</v>
      </c>
      <c r="L1624" s="35" t="s">
        <v>1042</v>
      </c>
      <c r="M1624" s="44"/>
      <c r="N1624" s="44"/>
      <c r="O1624" s="44"/>
      <c r="P1624" s="71"/>
      <c r="Q1624" s="44"/>
      <c r="R1624" s="29"/>
      <c r="S1624" s="33"/>
      <c r="T1624" s="32"/>
    </row>
    <row r="1625">
      <c r="A1625" s="64" t="s">
        <v>2445</v>
      </c>
      <c r="B1625" s="17" t="s">
        <v>40</v>
      </c>
      <c r="C1625" s="17"/>
      <c r="D1625" s="17" t="str">
        <f t="shared" si="107"/>
        <v>Removed</v>
      </c>
      <c r="E1625" s="76">
        <v>43625.0</v>
      </c>
      <c r="F1625" s="76">
        <v>43891.0</v>
      </c>
      <c r="G1625" s="20">
        <f t="shared" si="2"/>
        <v>8.733333333</v>
      </c>
      <c r="H1625" s="18">
        <v>42934.0</v>
      </c>
      <c r="I1625" s="20">
        <f t="shared" si="3"/>
        <v>1.891666667</v>
      </c>
      <c r="J1625" s="65">
        <v>80.0</v>
      </c>
      <c r="K1625" s="53">
        <v>5.0</v>
      </c>
      <c r="L1625" s="23" t="s">
        <v>29</v>
      </c>
      <c r="M1625" s="23"/>
      <c r="N1625" s="23"/>
      <c r="O1625" s="23"/>
      <c r="P1625" s="54"/>
      <c r="Q1625" s="23"/>
      <c r="R1625" s="16"/>
      <c r="S1625" s="18"/>
      <c r="T1625" s="20"/>
    </row>
    <row r="1626">
      <c r="A1626" s="67" t="s">
        <v>2446</v>
      </c>
      <c r="B1626" s="28" t="s">
        <v>27</v>
      </c>
      <c r="C1626" s="29"/>
      <c r="D1626" s="29" t="str">
        <f t="shared" si="107"/>
        <v>Removed</v>
      </c>
      <c r="E1626" s="70">
        <v>43625.0</v>
      </c>
      <c r="F1626" s="70">
        <v>43891.0</v>
      </c>
      <c r="G1626" s="32">
        <f t="shared" si="2"/>
        <v>8.733333333</v>
      </c>
      <c r="H1626" s="33">
        <v>42640.0</v>
      </c>
      <c r="I1626" s="32">
        <f t="shared" si="3"/>
        <v>2.7</v>
      </c>
      <c r="J1626" s="34">
        <v>69.0</v>
      </c>
      <c r="K1626" s="34">
        <v>4.0</v>
      </c>
      <c r="L1626" s="44" t="s">
        <v>92</v>
      </c>
      <c r="M1626" s="44"/>
      <c r="N1626" s="44"/>
      <c r="O1626" s="44"/>
      <c r="P1626" s="71"/>
      <c r="Q1626" s="44"/>
      <c r="R1626" s="29"/>
      <c r="S1626" s="33"/>
      <c r="T1626" s="32"/>
    </row>
    <row r="1627">
      <c r="A1627" s="64" t="s">
        <v>2447</v>
      </c>
      <c r="B1627" s="17" t="s">
        <v>40</v>
      </c>
      <c r="C1627" s="17"/>
      <c r="D1627" s="17" t="str">
        <f t="shared" si="107"/>
        <v>Removed</v>
      </c>
      <c r="E1627" s="76">
        <v>43625.0</v>
      </c>
      <c r="F1627" s="76">
        <v>43891.0</v>
      </c>
      <c r="G1627" s="20">
        <f t="shared" si="2"/>
        <v>8.733333333</v>
      </c>
      <c r="H1627" s="18">
        <v>42671.0</v>
      </c>
      <c r="I1627" s="20">
        <f t="shared" si="3"/>
        <v>2.613888889</v>
      </c>
      <c r="J1627" s="65">
        <v>77.0</v>
      </c>
      <c r="K1627" s="53">
        <v>4.5</v>
      </c>
      <c r="L1627" s="43" t="s">
        <v>362</v>
      </c>
      <c r="M1627" s="43"/>
      <c r="N1627" s="43"/>
      <c r="O1627" s="43"/>
      <c r="P1627" s="66"/>
      <c r="Q1627" s="43"/>
      <c r="R1627" s="16"/>
      <c r="S1627" s="18"/>
      <c r="T1627" s="20"/>
    </row>
    <row r="1628">
      <c r="A1628" s="67" t="s">
        <v>2448</v>
      </c>
      <c r="B1628" s="28" t="s">
        <v>27</v>
      </c>
      <c r="C1628" s="29"/>
      <c r="D1628" s="29" t="str">
        <f t="shared" si="107"/>
        <v>Removed</v>
      </c>
      <c r="E1628" s="70">
        <v>43625.0</v>
      </c>
      <c r="F1628" s="70">
        <v>43891.0</v>
      </c>
      <c r="G1628" s="32">
        <f t="shared" si="2"/>
        <v>8.733333333</v>
      </c>
      <c r="H1628" s="33">
        <v>36523.0</v>
      </c>
      <c r="I1628" s="32">
        <f t="shared" si="3"/>
        <v>19.44444444</v>
      </c>
      <c r="J1628" s="69">
        <f t="shared" ref="J1628:J1629" si="108">ROUND((74+76)/2,)</f>
        <v>75</v>
      </c>
      <c r="K1628" s="34">
        <v>19.5</v>
      </c>
      <c r="L1628" s="35" t="s">
        <v>2449</v>
      </c>
      <c r="M1628" s="44"/>
      <c r="N1628" s="44"/>
      <c r="O1628" s="44"/>
      <c r="P1628" s="71"/>
      <c r="Q1628" s="35" t="s">
        <v>1697</v>
      </c>
      <c r="R1628" s="29"/>
      <c r="S1628" s="33"/>
      <c r="T1628" s="32"/>
    </row>
    <row r="1629">
      <c r="A1629" s="64" t="s">
        <v>2450</v>
      </c>
      <c r="B1629" s="16" t="s">
        <v>27</v>
      </c>
      <c r="C1629" s="17"/>
      <c r="D1629" s="17" t="str">
        <f t="shared" si="107"/>
        <v>Removed</v>
      </c>
      <c r="E1629" s="76">
        <v>43625.0</v>
      </c>
      <c r="F1629" s="76">
        <v>43891.0</v>
      </c>
      <c r="G1629" s="20">
        <f t="shared" si="2"/>
        <v>8.733333333</v>
      </c>
      <c r="H1629" s="18">
        <v>37140.0</v>
      </c>
      <c r="I1629" s="20">
        <f t="shared" si="3"/>
        <v>17.75833333</v>
      </c>
      <c r="J1629" s="65">
        <f t="shared" si="108"/>
        <v>75</v>
      </c>
      <c r="K1629" s="53">
        <v>24.5</v>
      </c>
      <c r="L1629" s="43" t="s">
        <v>37</v>
      </c>
      <c r="M1629" s="43"/>
      <c r="N1629" s="43"/>
      <c r="O1629" s="43"/>
      <c r="P1629" s="66"/>
      <c r="Q1629" s="23" t="s">
        <v>1697</v>
      </c>
      <c r="R1629" s="17"/>
      <c r="S1629" s="18"/>
      <c r="T1629" s="20"/>
    </row>
    <row r="1630">
      <c r="A1630" s="67" t="s">
        <v>2451</v>
      </c>
      <c r="B1630" s="28" t="s">
        <v>27</v>
      </c>
      <c r="C1630" s="29"/>
      <c r="D1630" s="29" t="str">
        <f t="shared" si="107"/>
        <v>Removed</v>
      </c>
      <c r="E1630" s="70">
        <v>43625.0</v>
      </c>
      <c r="F1630" s="70">
        <v>43891.0</v>
      </c>
      <c r="G1630" s="32">
        <f t="shared" si="2"/>
        <v>8.733333333</v>
      </c>
      <c r="H1630" s="33">
        <v>42824.0</v>
      </c>
      <c r="I1630" s="32">
        <f t="shared" si="3"/>
        <v>2.191666667</v>
      </c>
      <c r="J1630" s="34">
        <v>84.0</v>
      </c>
      <c r="K1630" s="34">
        <v>10.5</v>
      </c>
      <c r="L1630" s="44" t="s">
        <v>362</v>
      </c>
      <c r="M1630" s="44"/>
      <c r="N1630" s="44"/>
      <c r="O1630" s="44"/>
      <c r="P1630" s="71"/>
      <c r="Q1630" s="44"/>
      <c r="R1630" s="29"/>
      <c r="S1630" s="33"/>
      <c r="T1630" s="32"/>
    </row>
    <row r="1631">
      <c r="A1631" s="64" t="s">
        <v>2452</v>
      </c>
      <c r="B1631" s="17" t="s">
        <v>40</v>
      </c>
      <c r="C1631" s="17"/>
      <c r="D1631" s="17" t="str">
        <f t="shared" si="107"/>
        <v>Removed</v>
      </c>
      <c r="E1631" s="76">
        <v>43625.0</v>
      </c>
      <c r="F1631" s="76">
        <v>43891.0</v>
      </c>
      <c r="G1631" s="20">
        <f t="shared" si="2"/>
        <v>8.733333333</v>
      </c>
      <c r="H1631" s="18">
        <v>42613.0</v>
      </c>
      <c r="I1631" s="20">
        <f t="shared" si="3"/>
        <v>2.775</v>
      </c>
      <c r="J1631" s="65">
        <v>77.0</v>
      </c>
      <c r="K1631" s="53">
        <v>34.0</v>
      </c>
      <c r="L1631" s="23" t="s">
        <v>122</v>
      </c>
      <c r="M1631" s="43"/>
      <c r="N1631" s="43"/>
      <c r="O1631" s="43"/>
      <c r="P1631" s="66"/>
      <c r="Q1631" s="43"/>
      <c r="R1631" s="16"/>
      <c r="S1631" s="18"/>
      <c r="T1631" s="20"/>
    </row>
    <row r="1632">
      <c r="A1632" s="67" t="s">
        <v>2453</v>
      </c>
      <c r="B1632" s="28" t="s">
        <v>68</v>
      </c>
      <c r="C1632" s="29"/>
      <c r="D1632" s="29" t="str">
        <f t="shared" si="107"/>
        <v>Removed</v>
      </c>
      <c r="E1632" s="70">
        <v>43566.0</v>
      </c>
      <c r="F1632" s="70">
        <v>43891.0</v>
      </c>
      <c r="G1632" s="32">
        <f t="shared" si="2"/>
        <v>10.66666667</v>
      </c>
      <c r="H1632" s="33">
        <v>42913.0</v>
      </c>
      <c r="I1632" s="32">
        <f t="shared" si="3"/>
        <v>1.788888889</v>
      </c>
      <c r="J1632" s="69">
        <v>69.0</v>
      </c>
      <c r="K1632" s="34">
        <v>125.0</v>
      </c>
      <c r="L1632" s="44" t="s">
        <v>2454</v>
      </c>
      <c r="M1632" s="44"/>
      <c r="N1632" s="44"/>
      <c r="O1632" s="44"/>
      <c r="P1632" s="71"/>
      <c r="Q1632" s="44"/>
      <c r="R1632" s="29"/>
      <c r="S1632" s="33"/>
      <c r="T1632" s="32"/>
    </row>
    <row r="1633">
      <c r="A1633" s="64" t="s">
        <v>2455</v>
      </c>
      <c r="B1633" s="16" t="s">
        <v>27</v>
      </c>
      <c r="C1633" s="17"/>
      <c r="D1633" s="17" t="str">
        <f t="shared" si="107"/>
        <v>Removed</v>
      </c>
      <c r="E1633" s="76">
        <v>43553.0</v>
      </c>
      <c r="F1633" s="76">
        <v>43891.0</v>
      </c>
      <c r="G1633" s="20">
        <f t="shared" si="2"/>
        <v>11.06666667</v>
      </c>
      <c r="H1633" s="18">
        <v>43553.0</v>
      </c>
      <c r="I1633" s="20">
        <f t="shared" si="3"/>
        <v>0</v>
      </c>
      <c r="J1633" s="65">
        <f>ROUND((78+82)/2,)</f>
        <v>80</v>
      </c>
      <c r="K1633" s="53">
        <v>19.0</v>
      </c>
      <c r="L1633" s="23" t="s">
        <v>29</v>
      </c>
      <c r="M1633" s="43"/>
      <c r="N1633" s="43"/>
      <c r="O1633" s="43"/>
      <c r="P1633" s="66"/>
      <c r="Q1633" s="43"/>
      <c r="R1633" s="17"/>
      <c r="S1633" s="18"/>
      <c r="T1633" s="20"/>
    </row>
    <row r="1634">
      <c r="A1634" s="67" t="s">
        <v>2456</v>
      </c>
      <c r="B1634" s="28" t="s">
        <v>68</v>
      </c>
      <c r="C1634" s="29"/>
      <c r="D1634" s="29" t="str">
        <f t="shared" si="107"/>
        <v>Removed</v>
      </c>
      <c r="E1634" s="70">
        <v>43545.0</v>
      </c>
      <c r="F1634" s="70">
        <v>43891.0</v>
      </c>
      <c r="G1634" s="32">
        <f t="shared" si="2"/>
        <v>11.33333333</v>
      </c>
      <c r="H1634" s="33">
        <v>42605.0</v>
      </c>
      <c r="I1634" s="32">
        <f t="shared" si="3"/>
        <v>2.577777778</v>
      </c>
      <c r="J1634" s="34">
        <v>83.0</v>
      </c>
      <c r="K1634" s="34">
        <v>15.5</v>
      </c>
      <c r="L1634" s="35" t="s">
        <v>1042</v>
      </c>
      <c r="M1634" s="35" t="s">
        <v>451</v>
      </c>
      <c r="N1634" s="44"/>
      <c r="O1634" s="44"/>
      <c r="P1634" s="71"/>
      <c r="Q1634" s="44"/>
      <c r="R1634" s="29"/>
      <c r="S1634" s="33"/>
      <c r="T1634" s="32"/>
    </row>
    <row r="1635">
      <c r="A1635" s="15" t="s">
        <v>2457</v>
      </c>
      <c r="B1635" s="16" t="s">
        <v>1859</v>
      </c>
      <c r="C1635" s="17"/>
      <c r="D1635" s="17" t="s">
        <v>1860</v>
      </c>
      <c r="E1635" s="76">
        <v>43877.0</v>
      </c>
      <c r="F1635" s="62">
        <v>43890.0</v>
      </c>
      <c r="G1635" s="20">
        <f t="shared" si="2"/>
        <v>0.4333333333</v>
      </c>
      <c r="H1635" s="18"/>
      <c r="I1635" s="20">
        <f t="shared" si="3"/>
        <v>-5.663888889</v>
      </c>
      <c r="J1635" s="53"/>
      <c r="K1635" s="53"/>
      <c r="L1635" s="23"/>
      <c r="M1635" s="23" t="s">
        <v>1614</v>
      </c>
      <c r="N1635" s="23" t="s">
        <v>1612</v>
      </c>
      <c r="O1635" s="23"/>
      <c r="P1635" s="54"/>
      <c r="Q1635" s="23"/>
      <c r="R1635" s="17"/>
      <c r="S1635" s="18"/>
      <c r="T1635" s="20"/>
    </row>
    <row r="1636">
      <c r="A1636" s="27" t="s">
        <v>2458</v>
      </c>
      <c r="B1636" s="28" t="s">
        <v>1610</v>
      </c>
      <c r="C1636" s="29"/>
      <c r="D1636" s="29" t="s">
        <v>1611</v>
      </c>
      <c r="E1636" s="70">
        <v>43862.0</v>
      </c>
      <c r="F1636" s="30">
        <v>43890.0</v>
      </c>
      <c r="G1636" s="32">
        <f t="shared" si="2"/>
        <v>0.9333333333</v>
      </c>
      <c r="H1636" s="33"/>
      <c r="I1636" s="32">
        <f t="shared" si="3"/>
        <v>-5.705555556</v>
      </c>
      <c r="J1636" s="34"/>
      <c r="K1636" s="34"/>
      <c r="L1636" s="35"/>
      <c r="M1636" s="35"/>
      <c r="N1636" s="35" t="s">
        <v>1612</v>
      </c>
      <c r="O1636" s="35"/>
      <c r="P1636" s="36"/>
      <c r="Q1636" s="35"/>
      <c r="R1636" s="29"/>
      <c r="S1636" s="33"/>
      <c r="T1636" s="32"/>
    </row>
    <row r="1637">
      <c r="A1637" s="15" t="s">
        <v>2459</v>
      </c>
      <c r="B1637" s="16" t="s">
        <v>1859</v>
      </c>
      <c r="C1637" s="17"/>
      <c r="D1637" s="17" t="s">
        <v>1860</v>
      </c>
      <c r="E1637" s="76">
        <v>43862.0</v>
      </c>
      <c r="F1637" s="62">
        <v>43876.0</v>
      </c>
      <c r="G1637" s="20">
        <f t="shared" si="2"/>
        <v>0.4666666667</v>
      </c>
      <c r="H1637" s="18"/>
      <c r="I1637" s="20">
        <f t="shared" si="3"/>
        <v>-5.705555556</v>
      </c>
      <c r="J1637" s="53"/>
      <c r="K1637" s="53"/>
      <c r="L1637" s="23"/>
      <c r="M1637" s="23"/>
      <c r="N1637" s="23" t="s">
        <v>1612</v>
      </c>
      <c r="O1637" s="23"/>
      <c r="P1637" s="54"/>
      <c r="Q1637" s="23"/>
      <c r="R1637" s="17"/>
      <c r="S1637" s="18"/>
      <c r="T1637" s="20"/>
    </row>
    <row r="1638">
      <c r="A1638" s="27" t="s">
        <v>2460</v>
      </c>
      <c r="B1638" s="28" t="s">
        <v>1610</v>
      </c>
      <c r="C1638" s="29"/>
      <c r="D1638" s="29" t="s">
        <v>1611</v>
      </c>
      <c r="E1638" s="70">
        <v>43846.0</v>
      </c>
      <c r="F1638" s="30">
        <v>43876.0</v>
      </c>
      <c r="G1638" s="32">
        <f t="shared" si="2"/>
        <v>0.9666666667</v>
      </c>
      <c r="H1638" s="33"/>
      <c r="I1638" s="32">
        <f t="shared" si="3"/>
        <v>-5.747222222</v>
      </c>
      <c r="J1638" s="34"/>
      <c r="K1638" s="34"/>
      <c r="L1638" s="35"/>
      <c r="M1638" s="35"/>
      <c r="N1638" s="35"/>
      <c r="O1638" s="35"/>
      <c r="P1638" s="36"/>
      <c r="Q1638" s="35"/>
      <c r="R1638" s="29"/>
      <c r="S1638" s="33"/>
      <c r="T1638" s="32"/>
    </row>
    <row r="1639">
      <c r="A1639" s="15" t="s">
        <v>2461</v>
      </c>
      <c r="B1639" s="16" t="s">
        <v>68</v>
      </c>
      <c r="C1639" s="17"/>
      <c r="D1639" s="17" t="str">
        <f t="shared" ref="D1639:D1644" si="109">IF(E1639&gt;TODAY(),"Coming Soon",IF(F1639="","Active",IF(F1639&gt;TODAY(),"Leaving Soon","Removed")))</f>
        <v>Removed</v>
      </c>
      <c r="E1639" s="62">
        <v>43517.0</v>
      </c>
      <c r="F1639" s="62">
        <v>43876.0</v>
      </c>
      <c r="G1639" s="20">
        <f t="shared" si="2"/>
        <v>11.8</v>
      </c>
      <c r="H1639" s="18">
        <v>41231.0</v>
      </c>
      <c r="I1639" s="20">
        <f t="shared" si="3"/>
        <v>6.258333333</v>
      </c>
      <c r="J1639" s="53">
        <v>59.0</v>
      </c>
      <c r="K1639" s="53">
        <v>9.0</v>
      </c>
      <c r="L1639" s="23" t="s">
        <v>721</v>
      </c>
      <c r="M1639" s="43"/>
      <c r="N1639" s="43"/>
      <c r="O1639" s="43"/>
      <c r="P1639" s="66"/>
      <c r="Q1639" s="43"/>
      <c r="R1639" s="17"/>
      <c r="S1639" s="18"/>
      <c r="T1639" s="20"/>
    </row>
    <row r="1640">
      <c r="A1640" s="67" t="s">
        <v>2462</v>
      </c>
      <c r="B1640" s="28" t="s">
        <v>68</v>
      </c>
      <c r="C1640" s="29"/>
      <c r="D1640" s="29" t="str">
        <f t="shared" si="109"/>
        <v>Removed</v>
      </c>
      <c r="E1640" s="70">
        <v>43530.0</v>
      </c>
      <c r="F1640" s="70">
        <v>43863.0</v>
      </c>
      <c r="G1640" s="32">
        <f t="shared" si="2"/>
        <v>10.86666667</v>
      </c>
      <c r="H1640" s="33">
        <v>43438.0</v>
      </c>
      <c r="I1640" s="32">
        <f t="shared" si="3"/>
        <v>0.2555555556</v>
      </c>
      <c r="J1640" s="34">
        <v>70.0</v>
      </c>
      <c r="K1640" s="34">
        <v>16.0</v>
      </c>
      <c r="L1640" s="44" t="s">
        <v>37</v>
      </c>
      <c r="M1640" s="44"/>
      <c r="N1640" s="44"/>
      <c r="O1640" s="44"/>
      <c r="P1640" s="71"/>
      <c r="Q1640" s="44"/>
      <c r="R1640" s="29"/>
      <c r="S1640" s="33"/>
      <c r="T1640" s="32"/>
    </row>
    <row r="1641">
      <c r="A1641" s="64" t="s">
        <v>2463</v>
      </c>
      <c r="B1641" s="16" t="s">
        <v>68</v>
      </c>
      <c r="C1641" s="17"/>
      <c r="D1641" s="17" t="str">
        <f t="shared" si="109"/>
        <v>Removed</v>
      </c>
      <c r="E1641" s="76">
        <v>43517.0</v>
      </c>
      <c r="F1641" s="76">
        <v>43863.0</v>
      </c>
      <c r="G1641" s="20">
        <f t="shared" si="2"/>
        <v>11.36666667</v>
      </c>
      <c r="H1641" s="18">
        <v>40834.0</v>
      </c>
      <c r="I1641" s="20">
        <f t="shared" si="3"/>
        <v>7.341666667</v>
      </c>
      <c r="J1641" s="53">
        <v>77.0</v>
      </c>
      <c r="K1641" s="53">
        <v>12.5</v>
      </c>
      <c r="L1641" s="43" t="s">
        <v>37</v>
      </c>
      <c r="M1641" s="43"/>
      <c r="N1641" s="43"/>
      <c r="O1641" s="43"/>
      <c r="P1641" s="66"/>
      <c r="Q1641" s="43"/>
      <c r="R1641" s="17"/>
      <c r="S1641" s="18"/>
      <c r="T1641" s="20"/>
    </row>
    <row r="1642">
      <c r="A1642" s="67" t="s">
        <v>2464</v>
      </c>
      <c r="B1642" s="28" t="s">
        <v>68</v>
      </c>
      <c r="C1642" s="29"/>
      <c r="D1642" s="29" t="str">
        <f t="shared" si="109"/>
        <v>Removed</v>
      </c>
      <c r="E1642" s="70">
        <v>43685.0</v>
      </c>
      <c r="F1642" s="70">
        <v>43862.0</v>
      </c>
      <c r="G1642" s="32">
        <f t="shared" si="2"/>
        <v>5.766666667</v>
      </c>
      <c r="H1642" s="33">
        <v>42290.0</v>
      </c>
      <c r="I1642" s="32">
        <f t="shared" si="3"/>
        <v>3.819444444</v>
      </c>
      <c r="J1642" s="34">
        <v>80.0</v>
      </c>
      <c r="K1642" s="34">
        <v>2.0</v>
      </c>
      <c r="L1642" s="44" t="s">
        <v>2281</v>
      </c>
      <c r="M1642" s="44"/>
      <c r="N1642" s="44"/>
      <c r="O1642" s="44"/>
      <c r="P1642" s="71"/>
      <c r="Q1642" s="44"/>
      <c r="R1642" s="29"/>
      <c r="S1642" s="33"/>
      <c r="T1642" s="32"/>
    </row>
    <row r="1643">
      <c r="A1643" s="64" t="s">
        <v>2465</v>
      </c>
      <c r="B1643" s="16" t="s">
        <v>68</v>
      </c>
      <c r="C1643" s="17"/>
      <c r="D1643" s="17" t="str">
        <f t="shared" si="109"/>
        <v>Removed</v>
      </c>
      <c r="E1643" s="76">
        <v>43517.0</v>
      </c>
      <c r="F1643" s="76">
        <v>43862.0</v>
      </c>
      <c r="G1643" s="20">
        <f t="shared" si="2"/>
        <v>11.33333333</v>
      </c>
      <c r="H1643" s="18">
        <v>40050.0</v>
      </c>
      <c r="I1643" s="20">
        <f t="shared" si="3"/>
        <v>9.488888889</v>
      </c>
      <c r="J1643" s="53">
        <v>77.0</v>
      </c>
      <c r="K1643" s="53">
        <v>12.0</v>
      </c>
      <c r="L1643" s="43" t="s">
        <v>37</v>
      </c>
      <c r="M1643" s="43"/>
      <c r="N1643" s="43"/>
      <c r="O1643" s="43"/>
      <c r="P1643" s="66"/>
      <c r="Q1643" s="23" t="s">
        <v>863</v>
      </c>
      <c r="R1643" s="17"/>
      <c r="S1643" s="18"/>
      <c r="T1643" s="20"/>
    </row>
    <row r="1644">
      <c r="A1644" s="67" t="s">
        <v>2466</v>
      </c>
      <c r="B1644" s="28" t="s">
        <v>68</v>
      </c>
      <c r="C1644" s="29"/>
      <c r="D1644" s="29" t="str">
        <f t="shared" si="109"/>
        <v>Removed</v>
      </c>
      <c r="E1644" s="30">
        <v>43503.0</v>
      </c>
      <c r="F1644" s="70">
        <v>43862.0</v>
      </c>
      <c r="G1644" s="32">
        <f t="shared" si="2"/>
        <v>11.8</v>
      </c>
      <c r="H1644" s="33">
        <v>43503.0</v>
      </c>
      <c r="I1644" s="32">
        <f t="shared" si="3"/>
        <v>0</v>
      </c>
      <c r="J1644" s="34">
        <v>53.0</v>
      </c>
      <c r="K1644" s="34">
        <v>15.0</v>
      </c>
      <c r="L1644" s="44" t="s">
        <v>92</v>
      </c>
      <c r="M1644" s="44"/>
      <c r="N1644" s="44"/>
      <c r="O1644" s="44"/>
      <c r="P1644" s="71"/>
      <c r="Q1644" s="44"/>
      <c r="R1644" s="29"/>
      <c r="S1644" s="33"/>
      <c r="T1644" s="32"/>
    </row>
    <row r="1645">
      <c r="A1645" s="15" t="s">
        <v>2467</v>
      </c>
      <c r="B1645" s="16" t="s">
        <v>1859</v>
      </c>
      <c r="C1645" s="17"/>
      <c r="D1645" s="17" t="s">
        <v>1860</v>
      </c>
      <c r="E1645" s="76">
        <v>43846.0</v>
      </c>
      <c r="F1645" s="62">
        <v>43861.0</v>
      </c>
      <c r="G1645" s="20">
        <f t="shared" si="2"/>
        <v>0.4666666667</v>
      </c>
      <c r="H1645" s="18"/>
      <c r="I1645" s="20">
        <f t="shared" si="3"/>
        <v>-5.747222222</v>
      </c>
      <c r="J1645" s="53"/>
      <c r="K1645" s="53"/>
      <c r="L1645" s="23"/>
      <c r="M1645" s="23"/>
      <c r="N1645" s="23" t="s">
        <v>1612</v>
      </c>
      <c r="O1645" s="23"/>
      <c r="P1645" s="54"/>
      <c r="Q1645" s="132"/>
      <c r="R1645" s="17"/>
      <c r="S1645" s="18"/>
      <c r="T1645" s="20"/>
    </row>
    <row r="1646">
      <c r="A1646" s="27" t="s">
        <v>2468</v>
      </c>
      <c r="B1646" s="28" t="s">
        <v>1610</v>
      </c>
      <c r="C1646" s="29"/>
      <c r="D1646" s="29" t="s">
        <v>1611</v>
      </c>
      <c r="E1646" s="70">
        <v>43831.0</v>
      </c>
      <c r="F1646" s="30">
        <v>43861.0</v>
      </c>
      <c r="G1646" s="32">
        <f t="shared" si="2"/>
        <v>0.9666666667</v>
      </c>
      <c r="H1646" s="33"/>
      <c r="I1646" s="32">
        <f t="shared" si="3"/>
        <v>-5.788888889</v>
      </c>
      <c r="J1646" s="34"/>
      <c r="K1646" s="34"/>
      <c r="L1646" s="35"/>
      <c r="M1646" s="35"/>
      <c r="N1646" s="35"/>
      <c r="O1646" s="35"/>
      <c r="P1646" s="36"/>
      <c r="Q1646" s="35"/>
      <c r="R1646" s="29"/>
      <c r="S1646" s="33"/>
      <c r="T1646" s="32"/>
    </row>
    <row r="1647">
      <c r="A1647" s="15" t="s">
        <v>2469</v>
      </c>
      <c r="B1647" s="16" t="s">
        <v>1859</v>
      </c>
      <c r="C1647" s="17"/>
      <c r="D1647" s="17" t="s">
        <v>1860</v>
      </c>
      <c r="E1647" s="76">
        <v>43831.0</v>
      </c>
      <c r="F1647" s="62">
        <v>43845.0</v>
      </c>
      <c r="G1647" s="20">
        <f t="shared" si="2"/>
        <v>0.4666666667</v>
      </c>
      <c r="H1647" s="18"/>
      <c r="I1647" s="20">
        <f t="shared" si="3"/>
        <v>-5.788888889</v>
      </c>
      <c r="J1647" s="53"/>
      <c r="K1647" s="53"/>
      <c r="L1647" s="23"/>
      <c r="M1647" s="23"/>
      <c r="N1647" s="23" t="s">
        <v>1612</v>
      </c>
      <c r="O1647" s="23"/>
      <c r="P1647" s="54"/>
      <c r="Q1647" s="23"/>
      <c r="R1647" s="17"/>
      <c r="S1647" s="18"/>
      <c r="T1647" s="20"/>
    </row>
    <row r="1648">
      <c r="A1648" s="27" t="s">
        <v>1945</v>
      </c>
      <c r="B1648" s="28" t="s">
        <v>1610</v>
      </c>
      <c r="C1648" s="29"/>
      <c r="D1648" s="29" t="s">
        <v>1611</v>
      </c>
      <c r="E1648" s="70">
        <v>43815.0</v>
      </c>
      <c r="F1648" s="30">
        <v>43845.0</v>
      </c>
      <c r="G1648" s="32">
        <f t="shared" si="2"/>
        <v>0.9666666667</v>
      </c>
      <c r="H1648" s="33"/>
      <c r="I1648" s="32">
        <f t="shared" si="3"/>
        <v>-5.830555556</v>
      </c>
      <c r="J1648" s="34"/>
      <c r="K1648" s="34"/>
      <c r="L1648" s="35"/>
      <c r="M1648" s="35"/>
      <c r="N1648" s="35" t="s">
        <v>1612</v>
      </c>
      <c r="O1648" s="35"/>
      <c r="P1648" s="36"/>
      <c r="Q1648" s="35"/>
      <c r="R1648" s="29"/>
      <c r="S1648" s="33"/>
      <c r="T1648" s="32"/>
    </row>
    <row r="1649">
      <c r="A1649" s="15" t="s">
        <v>101</v>
      </c>
      <c r="B1649" s="16" t="s">
        <v>68</v>
      </c>
      <c r="C1649" s="17"/>
      <c r="D1649" s="17" t="str">
        <f t="shared" ref="D1649:D1654" si="110">IF(E1649&gt;TODAY(),"Coming Soon",IF(F1649="","Active",IF(F1649&gt;TODAY(),"Leaving Soon","Removed")))</f>
        <v>Removed</v>
      </c>
      <c r="E1649" s="76">
        <v>43800.0</v>
      </c>
      <c r="F1649" s="76">
        <v>43831.0</v>
      </c>
      <c r="G1649" s="20">
        <f t="shared" si="2"/>
        <v>1</v>
      </c>
      <c r="H1649" s="18">
        <v>42437.0</v>
      </c>
      <c r="I1649" s="20">
        <f t="shared" si="3"/>
        <v>3.730555556</v>
      </c>
      <c r="J1649" s="53">
        <v>80.0</v>
      </c>
      <c r="K1649" s="53">
        <v>22.0</v>
      </c>
      <c r="L1649" s="23" t="s">
        <v>1096</v>
      </c>
      <c r="M1649" s="23" t="s">
        <v>451</v>
      </c>
      <c r="N1649" s="43"/>
      <c r="O1649" s="43"/>
      <c r="P1649" s="66"/>
      <c r="Q1649" s="43"/>
      <c r="R1649" s="17"/>
      <c r="S1649" s="18"/>
      <c r="T1649" s="20"/>
    </row>
    <row r="1650">
      <c r="A1650" s="67" t="s">
        <v>2470</v>
      </c>
      <c r="B1650" s="28" t="s">
        <v>68</v>
      </c>
      <c r="C1650" s="29"/>
      <c r="D1650" s="29" t="str">
        <f t="shared" si="110"/>
        <v>Removed</v>
      </c>
      <c r="E1650" s="70">
        <v>43657.0</v>
      </c>
      <c r="F1650" s="70">
        <v>43831.0</v>
      </c>
      <c r="G1650" s="32">
        <f t="shared" si="2"/>
        <v>5.666666667</v>
      </c>
      <c r="H1650" s="33">
        <v>41351.0</v>
      </c>
      <c r="I1650" s="32">
        <f t="shared" si="3"/>
        <v>6.313888889</v>
      </c>
      <c r="J1650" s="69">
        <v>77.0</v>
      </c>
      <c r="K1650" s="34">
        <v>15.5</v>
      </c>
      <c r="L1650" s="44" t="s">
        <v>2471</v>
      </c>
      <c r="M1650" s="44"/>
      <c r="N1650" s="44"/>
      <c r="O1650" s="44"/>
      <c r="P1650" s="71"/>
      <c r="Q1650" s="44"/>
      <c r="R1650" s="29"/>
      <c r="S1650" s="33"/>
      <c r="T1650" s="32"/>
    </row>
    <row r="1651">
      <c r="A1651" s="64" t="s">
        <v>2472</v>
      </c>
      <c r="B1651" s="16" t="s">
        <v>68</v>
      </c>
      <c r="C1651" s="17"/>
      <c r="D1651" s="17" t="str">
        <f t="shared" si="110"/>
        <v>Removed</v>
      </c>
      <c r="E1651" s="76">
        <v>43647.0</v>
      </c>
      <c r="F1651" s="76">
        <v>43831.0</v>
      </c>
      <c r="G1651" s="20">
        <f t="shared" si="2"/>
        <v>6</v>
      </c>
      <c r="H1651" s="18">
        <v>38363.0</v>
      </c>
      <c r="I1651" s="20">
        <f t="shared" si="3"/>
        <v>14.47222222</v>
      </c>
      <c r="J1651" s="53">
        <v>76.0</v>
      </c>
      <c r="K1651" s="53">
        <v>16.0</v>
      </c>
      <c r="L1651" s="43" t="s">
        <v>201</v>
      </c>
      <c r="M1651" s="43"/>
      <c r="N1651" s="43"/>
      <c r="O1651" s="43"/>
      <c r="P1651" s="66"/>
      <c r="Q1651" s="23" t="s">
        <v>1697</v>
      </c>
      <c r="R1651" s="17"/>
      <c r="S1651" s="18"/>
      <c r="T1651" s="20"/>
    </row>
    <row r="1652">
      <c r="A1652" s="67" t="s">
        <v>2473</v>
      </c>
      <c r="B1652" s="28" t="s">
        <v>68</v>
      </c>
      <c r="C1652" s="29"/>
      <c r="D1652" s="29" t="str">
        <f t="shared" si="110"/>
        <v>Removed</v>
      </c>
      <c r="E1652" s="70">
        <v>43466.0</v>
      </c>
      <c r="F1652" s="70">
        <v>43831.0</v>
      </c>
      <c r="G1652" s="32">
        <f t="shared" si="2"/>
        <v>12</v>
      </c>
      <c r="H1652" s="33">
        <v>42339.0</v>
      </c>
      <c r="I1652" s="32">
        <f t="shared" si="3"/>
        <v>3.083333333</v>
      </c>
      <c r="J1652" s="69">
        <v>71.0</v>
      </c>
      <c r="K1652" s="34">
        <v>17.5</v>
      </c>
      <c r="L1652" s="44" t="s">
        <v>366</v>
      </c>
      <c r="M1652" s="44"/>
      <c r="N1652" s="44"/>
      <c r="O1652" s="44"/>
      <c r="P1652" s="71"/>
      <c r="Q1652" s="44"/>
      <c r="R1652" s="29"/>
      <c r="S1652" s="33"/>
      <c r="T1652" s="32"/>
    </row>
    <row r="1653">
      <c r="A1653" s="15" t="s">
        <v>2474</v>
      </c>
      <c r="B1653" s="16" t="s">
        <v>68</v>
      </c>
      <c r="C1653" s="17"/>
      <c r="D1653" s="17" t="str">
        <f t="shared" si="110"/>
        <v>Removed</v>
      </c>
      <c r="E1653" s="76">
        <v>43466.0</v>
      </c>
      <c r="F1653" s="76">
        <v>43831.0</v>
      </c>
      <c r="G1653" s="20">
        <f t="shared" si="2"/>
        <v>12</v>
      </c>
      <c r="H1653" s="18">
        <v>41912.0</v>
      </c>
      <c r="I1653" s="20">
        <f t="shared" si="3"/>
        <v>4.252777778</v>
      </c>
      <c r="J1653" s="53">
        <v>87.0</v>
      </c>
      <c r="K1653" s="53">
        <v>17.5</v>
      </c>
      <c r="L1653" s="43" t="s">
        <v>37</v>
      </c>
      <c r="M1653" s="43"/>
      <c r="N1653" s="43"/>
      <c r="O1653" s="43"/>
      <c r="P1653" s="66"/>
      <c r="Q1653" s="43"/>
      <c r="R1653" s="17"/>
      <c r="S1653" s="18"/>
      <c r="T1653" s="20"/>
    </row>
    <row r="1654">
      <c r="A1654" s="67" t="s">
        <v>2475</v>
      </c>
      <c r="B1654" s="28" t="s">
        <v>68</v>
      </c>
      <c r="C1654" s="29"/>
      <c r="D1654" s="29" t="str">
        <f t="shared" si="110"/>
        <v>Removed</v>
      </c>
      <c r="E1654" s="70">
        <v>43466.0</v>
      </c>
      <c r="F1654" s="70">
        <v>43831.0</v>
      </c>
      <c r="G1654" s="32">
        <f t="shared" si="2"/>
        <v>12</v>
      </c>
      <c r="H1654" s="33">
        <v>40862.0</v>
      </c>
      <c r="I1654" s="32">
        <f t="shared" si="3"/>
        <v>7.127777778</v>
      </c>
      <c r="J1654" s="34">
        <v>84.0</v>
      </c>
      <c r="K1654" s="34">
        <v>15.0</v>
      </c>
      <c r="L1654" s="44" t="s">
        <v>2476</v>
      </c>
      <c r="M1654" s="44"/>
      <c r="N1654" s="44"/>
      <c r="O1654" s="44"/>
      <c r="P1654" s="71"/>
      <c r="Q1654" s="44"/>
      <c r="R1654" s="29"/>
      <c r="S1654" s="33"/>
      <c r="T1654" s="32"/>
    </row>
    <row r="1655">
      <c r="A1655" s="15" t="s">
        <v>2477</v>
      </c>
      <c r="B1655" s="16" t="s">
        <v>1859</v>
      </c>
      <c r="C1655" s="17"/>
      <c r="D1655" s="17" t="s">
        <v>1860</v>
      </c>
      <c r="E1655" s="76">
        <v>43815.0</v>
      </c>
      <c r="F1655" s="62">
        <v>43830.0</v>
      </c>
      <c r="G1655" s="20">
        <f t="shared" si="2"/>
        <v>0.4666666667</v>
      </c>
      <c r="H1655" s="18"/>
      <c r="I1655" s="20">
        <f t="shared" si="3"/>
        <v>-5.830555556</v>
      </c>
      <c r="J1655" s="53"/>
      <c r="K1655" s="53"/>
      <c r="L1655" s="23"/>
      <c r="M1655" s="23"/>
      <c r="N1655" s="23" t="s">
        <v>1612</v>
      </c>
      <c r="O1655" s="23"/>
      <c r="P1655" s="54"/>
      <c r="Q1655" s="23"/>
      <c r="R1655" s="17"/>
      <c r="S1655" s="18"/>
      <c r="T1655" s="20"/>
    </row>
    <row r="1656">
      <c r="A1656" s="27" t="s">
        <v>2478</v>
      </c>
      <c r="B1656" s="28" t="s">
        <v>1610</v>
      </c>
      <c r="C1656" s="29"/>
      <c r="D1656" s="29" t="s">
        <v>1611</v>
      </c>
      <c r="E1656" s="70">
        <v>43800.0</v>
      </c>
      <c r="F1656" s="30">
        <v>43830.0</v>
      </c>
      <c r="G1656" s="32">
        <f t="shared" si="2"/>
        <v>0.9666666667</v>
      </c>
      <c r="H1656" s="33"/>
      <c r="I1656" s="32">
        <f t="shared" si="3"/>
        <v>-5.872222222</v>
      </c>
      <c r="J1656" s="34"/>
      <c r="K1656" s="34"/>
      <c r="L1656" s="35"/>
      <c r="M1656" s="35"/>
      <c r="N1656" s="35" t="s">
        <v>1612</v>
      </c>
      <c r="O1656" s="35"/>
      <c r="P1656" s="36"/>
      <c r="Q1656" s="35"/>
      <c r="R1656" s="29"/>
      <c r="S1656" s="33"/>
      <c r="T1656" s="32"/>
    </row>
    <row r="1657">
      <c r="A1657" s="15" t="s">
        <v>2479</v>
      </c>
      <c r="B1657" s="16" t="s">
        <v>1859</v>
      </c>
      <c r="C1657" s="17"/>
      <c r="D1657" s="17" t="s">
        <v>1860</v>
      </c>
      <c r="E1657" s="76">
        <v>43800.0</v>
      </c>
      <c r="F1657" s="62">
        <v>43814.0</v>
      </c>
      <c r="G1657" s="20">
        <f t="shared" si="2"/>
        <v>0.4666666667</v>
      </c>
      <c r="H1657" s="18"/>
      <c r="I1657" s="20">
        <f t="shared" si="3"/>
        <v>-5.872222222</v>
      </c>
      <c r="J1657" s="53"/>
      <c r="K1657" s="53"/>
      <c r="L1657" s="23"/>
      <c r="M1657" s="23"/>
      <c r="N1657" s="23" t="s">
        <v>1612</v>
      </c>
      <c r="O1657" s="23"/>
      <c r="P1657" s="54"/>
      <c r="Q1657" s="23"/>
      <c r="R1657" s="17"/>
      <c r="S1657" s="18"/>
      <c r="T1657" s="20"/>
    </row>
    <row r="1658">
      <c r="A1658" s="27" t="s">
        <v>2480</v>
      </c>
      <c r="B1658" s="28" t="s">
        <v>1610</v>
      </c>
      <c r="C1658" s="29"/>
      <c r="D1658" s="29" t="s">
        <v>1611</v>
      </c>
      <c r="E1658" s="70">
        <v>43785.0</v>
      </c>
      <c r="F1658" s="30">
        <v>43814.0</v>
      </c>
      <c r="G1658" s="32">
        <f t="shared" si="2"/>
        <v>0.9666666667</v>
      </c>
      <c r="H1658" s="33"/>
      <c r="I1658" s="32">
        <f t="shared" si="3"/>
        <v>-5.913888889</v>
      </c>
      <c r="J1658" s="34"/>
      <c r="K1658" s="34"/>
      <c r="L1658" s="35"/>
      <c r="M1658" s="35"/>
      <c r="N1658" s="35"/>
      <c r="O1658" s="35"/>
      <c r="P1658" s="36"/>
      <c r="Q1658" s="35"/>
      <c r="R1658" s="29"/>
      <c r="S1658" s="33"/>
      <c r="T1658" s="32"/>
    </row>
    <row r="1659">
      <c r="A1659" s="64" t="s">
        <v>2481</v>
      </c>
      <c r="B1659" s="16" t="s">
        <v>68</v>
      </c>
      <c r="C1659" s="17"/>
      <c r="D1659" s="17" t="str">
        <f t="shared" ref="D1659:D1663" si="111">IF(E1659&gt;TODAY(),"Coming Soon",IF(F1659="","Active",IF(F1659&gt;TODAY(),"Leaving Soon","Removed")))</f>
        <v>Removed</v>
      </c>
      <c r="E1659" s="76">
        <v>43497.0</v>
      </c>
      <c r="F1659" s="76">
        <v>43800.0</v>
      </c>
      <c r="G1659" s="20">
        <f t="shared" si="2"/>
        <v>10</v>
      </c>
      <c r="H1659" s="18">
        <v>42577.0</v>
      </c>
      <c r="I1659" s="20">
        <f t="shared" si="3"/>
        <v>2.513888889</v>
      </c>
      <c r="J1659" s="65">
        <v>78.0</v>
      </c>
      <c r="K1659" s="53">
        <v>5.5</v>
      </c>
      <c r="L1659" s="23" t="s">
        <v>37</v>
      </c>
      <c r="M1659" s="23"/>
      <c r="N1659" s="23"/>
      <c r="O1659" s="23"/>
      <c r="P1659" s="54"/>
      <c r="Q1659" s="23"/>
      <c r="R1659" s="17"/>
      <c r="S1659" s="18"/>
      <c r="T1659" s="20"/>
    </row>
    <row r="1660">
      <c r="A1660" s="67" t="s">
        <v>2482</v>
      </c>
      <c r="B1660" s="28" t="s">
        <v>68</v>
      </c>
      <c r="C1660" s="29"/>
      <c r="D1660" s="29" t="str">
        <f t="shared" si="111"/>
        <v>Removed</v>
      </c>
      <c r="E1660" s="70">
        <v>43466.0</v>
      </c>
      <c r="F1660" s="70">
        <v>43800.0</v>
      </c>
      <c r="G1660" s="32">
        <f t="shared" si="2"/>
        <v>11</v>
      </c>
      <c r="H1660" s="33">
        <v>42034.0</v>
      </c>
      <c r="I1660" s="32">
        <f t="shared" si="3"/>
        <v>3.919444444</v>
      </c>
      <c r="J1660" s="34">
        <v>85.0</v>
      </c>
      <c r="K1660" s="34">
        <v>14.0</v>
      </c>
      <c r="L1660" s="44" t="s">
        <v>362</v>
      </c>
      <c r="M1660" s="35" t="s">
        <v>451</v>
      </c>
      <c r="N1660" s="44"/>
      <c r="O1660" s="44"/>
      <c r="P1660" s="71"/>
      <c r="Q1660" s="44"/>
      <c r="R1660" s="29"/>
      <c r="S1660" s="33"/>
      <c r="T1660" s="32"/>
    </row>
    <row r="1661">
      <c r="A1661" s="64" t="s">
        <v>2483</v>
      </c>
      <c r="B1661" s="16" t="s">
        <v>68</v>
      </c>
      <c r="C1661" s="17"/>
      <c r="D1661" s="17" t="str">
        <f t="shared" si="111"/>
        <v>Removed</v>
      </c>
      <c r="E1661" s="76">
        <v>43466.0</v>
      </c>
      <c r="F1661" s="76">
        <v>43800.0</v>
      </c>
      <c r="G1661" s="20">
        <f t="shared" si="2"/>
        <v>11</v>
      </c>
      <c r="H1661" s="18">
        <v>42978.0</v>
      </c>
      <c r="I1661" s="20">
        <f t="shared" si="3"/>
        <v>1.336111111</v>
      </c>
      <c r="J1661" s="53">
        <v>82.0</v>
      </c>
      <c r="K1661" s="53">
        <v>10.0</v>
      </c>
      <c r="L1661" s="43" t="s">
        <v>362</v>
      </c>
      <c r="M1661" s="43"/>
      <c r="N1661" s="43"/>
      <c r="O1661" s="43"/>
      <c r="P1661" s="66"/>
      <c r="Q1661" s="43"/>
      <c r="R1661" s="17"/>
      <c r="S1661" s="18"/>
      <c r="T1661" s="20"/>
    </row>
    <row r="1662">
      <c r="A1662" s="67" t="s">
        <v>2484</v>
      </c>
      <c r="B1662" s="28" t="s">
        <v>68</v>
      </c>
      <c r="C1662" s="29"/>
      <c r="D1662" s="29" t="str">
        <f t="shared" si="111"/>
        <v>Removed</v>
      </c>
      <c r="E1662" s="70">
        <v>43448.0</v>
      </c>
      <c r="F1662" s="70">
        <v>43800.0</v>
      </c>
      <c r="G1662" s="32">
        <f t="shared" si="2"/>
        <v>11.56666667</v>
      </c>
      <c r="H1662" s="33">
        <v>43340.0</v>
      </c>
      <c r="I1662" s="32">
        <f t="shared" si="3"/>
        <v>0.2944444444</v>
      </c>
      <c r="J1662" s="34">
        <v>82.0</v>
      </c>
      <c r="K1662" s="34">
        <v>27.0</v>
      </c>
      <c r="L1662" s="44" t="s">
        <v>1552</v>
      </c>
      <c r="M1662" s="44"/>
      <c r="N1662" s="44"/>
      <c r="O1662" s="44"/>
      <c r="P1662" s="71"/>
      <c r="Q1662" s="44"/>
      <c r="R1662" s="29"/>
      <c r="S1662" s="33"/>
      <c r="T1662" s="32"/>
    </row>
    <row r="1663">
      <c r="A1663" s="15" t="s">
        <v>2485</v>
      </c>
      <c r="B1663" s="16" t="s">
        <v>68</v>
      </c>
      <c r="C1663" s="17"/>
      <c r="D1663" s="17" t="str">
        <f t="shared" si="111"/>
        <v>Removed</v>
      </c>
      <c r="E1663" s="76">
        <v>43101.0</v>
      </c>
      <c r="F1663" s="76">
        <v>43800.0</v>
      </c>
      <c r="G1663" s="20">
        <f t="shared" si="2"/>
        <v>23</v>
      </c>
      <c r="H1663" s="18">
        <v>40296.0</v>
      </c>
      <c r="I1663" s="20">
        <f t="shared" si="3"/>
        <v>7.675</v>
      </c>
      <c r="J1663" s="65">
        <v>67.0</v>
      </c>
      <c r="K1663" s="53">
        <v>6.0</v>
      </c>
      <c r="L1663" s="43" t="s">
        <v>2486</v>
      </c>
      <c r="M1663" s="43"/>
      <c r="N1663" s="43"/>
      <c r="O1663" s="43"/>
      <c r="P1663" s="66"/>
      <c r="Q1663" s="43"/>
      <c r="R1663" s="17"/>
      <c r="S1663" s="18"/>
      <c r="T1663" s="20"/>
    </row>
    <row r="1664">
      <c r="A1664" s="27" t="s">
        <v>1179</v>
      </c>
      <c r="B1664" s="28" t="s">
        <v>1859</v>
      </c>
      <c r="C1664" s="29"/>
      <c r="D1664" s="29" t="s">
        <v>1860</v>
      </c>
      <c r="E1664" s="70">
        <v>43785.0</v>
      </c>
      <c r="F1664" s="30">
        <v>43799.0</v>
      </c>
      <c r="G1664" s="32">
        <f t="shared" si="2"/>
        <v>0.4666666667</v>
      </c>
      <c r="H1664" s="33"/>
      <c r="I1664" s="32">
        <f t="shared" si="3"/>
        <v>-5.913888889</v>
      </c>
      <c r="J1664" s="34"/>
      <c r="K1664" s="34"/>
      <c r="L1664" s="35"/>
      <c r="M1664" s="35"/>
      <c r="N1664" s="35" t="s">
        <v>1612</v>
      </c>
      <c r="O1664" s="35"/>
      <c r="P1664" s="36"/>
      <c r="Q1664" s="35"/>
      <c r="R1664" s="29"/>
      <c r="S1664" s="33"/>
      <c r="T1664" s="32"/>
    </row>
    <row r="1665">
      <c r="A1665" s="15" t="s">
        <v>2487</v>
      </c>
      <c r="B1665" s="16" t="s">
        <v>1610</v>
      </c>
      <c r="C1665" s="17"/>
      <c r="D1665" s="17" t="s">
        <v>1611</v>
      </c>
      <c r="E1665" s="76">
        <v>43770.0</v>
      </c>
      <c r="F1665" s="62">
        <v>43799.0</v>
      </c>
      <c r="G1665" s="20">
        <f t="shared" si="2"/>
        <v>0.9666666667</v>
      </c>
      <c r="H1665" s="18"/>
      <c r="I1665" s="20">
        <f t="shared" si="3"/>
        <v>-5.955555556</v>
      </c>
      <c r="J1665" s="53"/>
      <c r="K1665" s="53"/>
      <c r="L1665" s="23"/>
      <c r="M1665" s="23"/>
      <c r="N1665" s="23"/>
      <c r="O1665" s="23"/>
      <c r="P1665" s="54"/>
      <c r="Q1665" s="23"/>
      <c r="R1665" s="17"/>
      <c r="S1665" s="18"/>
      <c r="T1665" s="20"/>
    </row>
    <row r="1666">
      <c r="A1666" s="27" t="s">
        <v>2488</v>
      </c>
      <c r="B1666" s="28" t="s">
        <v>68</v>
      </c>
      <c r="C1666" s="28"/>
      <c r="D1666" s="29" t="str">
        <f>IF(E1666&gt;TODAY(),"Coming Soon",IF(F1666="","Active",IF(F1666&gt;TODAY(),"Leaving Soon","Removed")))</f>
        <v>Removed</v>
      </c>
      <c r="E1666" s="33">
        <v>43201.0</v>
      </c>
      <c r="F1666" s="31">
        <v>43799.0</v>
      </c>
      <c r="G1666" s="32">
        <f t="shared" si="2"/>
        <v>19.63333333</v>
      </c>
      <c r="H1666" s="33">
        <v>43201.0</v>
      </c>
      <c r="I1666" s="32">
        <f t="shared" si="3"/>
        <v>0</v>
      </c>
      <c r="J1666" s="34">
        <v>55.0</v>
      </c>
      <c r="K1666" s="34">
        <v>35.0</v>
      </c>
      <c r="L1666" s="35" t="s">
        <v>32</v>
      </c>
      <c r="M1666" s="35"/>
      <c r="N1666" s="35"/>
      <c r="O1666" s="35"/>
      <c r="P1666" s="36"/>
      <c r="Q1666" s="35"/>
      <c r="R1666" s="29"/>
      <c r="S1666" s="33"/>
      <c r="T1666" s="32"/>
    </row>
    <row r="1667">
      <c r="A1667" s="15" t="s">
        <v>2489</v>
      </c>
      <c r="B1667" s="16" t="s">
        <v>1859</v>
      </c>
      <c r="C1667" s="17"/>
      <c r="D1667" s="17" t="s">
        <v>1860</v>
      </c>
      <c r="E1667" s="76">
        <v>43770.0</v>
      </c>
      <c r="F1667" s="62">
        <v>43784.0</v>
      </c>
      <c r="G1667" s="20">
        <f t="shared" si="2"/>
        <v>0.4666666667</v>
      </c>
      <c r="H1667" s="18"/>
      <c r="I1667" s="20">
        <f t="shared" si="3"/>
        <v>-5.955555556</v>
      </c>
      <c r="J1667" s="53"/>
      <c r="K1667" s="53"/>
      <c r="L1667" s="23"/>
      <c r="M1667" s="23"/>
      <c r="N1667" s="23" t="s">
        <v>1612</v>
      </c>
      <c r="O1667" s="23"/>
      <c r="P1667" s="54"/>
      <c r="Q1667" s="23"/>
      <c r="R1667" s="17"/>
      <c r="S1667" s="18"/>
      <c r="T1667" s="20"/>
    </row>
    <row r="1668">
      <c r="A1668" s="27" t="s">
        <v>2490</v>
      </c>
      <c r="B1668" s="28" t="s">
        <v>1610</v>
      </c>
      <c r="C1668" s="29"/>
      <c r="D1668" s="29" t="s">
        <v>1611</v>
      </c>
      <c r="E1668" s="70">
        <v>43754.0</v>
      </c>
      <c r="F1668" s="30">
        <v>43784.0</v>
      </c>
      <c r="G1668" s="32">
        <f t="shared" si="2"/>
        <v>0.9666666667</v>
      </c>
      <c r="H1668" s="33"/>
      <c r="I1668" s="32">
        <f t="shared" si="3"/>
        <v>-5.997222222</v>
      </c>
      <c r="J1668" s="34"/>
      <c r="K1668" s="34"/>
      <c r="L1668" s="35"/>
      <c r="M1668" s="35"/>
      <c r="N1668" s="35"/>
      <c r="O1668" s="35"/>
      <c r="P1668" s="36"/>
      <c r="Q1668" s="35"/>
      <c r="R1668" s="29"/>
      <c r="S1668" s="33"/>
      <c r="T1668" s="32"/>
    </row>
    <row r="1669">
      <c r="A1669" s="15" t="s">
        <v>2491</v>
      </c>
      <c r="B1669" s="16" t="s">
        <v>40</v>
      </c>
      <c r="C1669" s="17"/>
      <c r="D1669" s="17" t="str">
        <f t="shared" ref="D1669:D1682" si="112">IF(E1669&gt;TODAY(),"Coming Soon",IF(F1669="","Active",IF(F1669&gt;TODAY(),"Leaving Soon","Removed")))</f>
        <v>Removed</v>
      </c>
      <c r="E1669" s="76">
        <v>43625.0</v>
      </c>
      <c r="F1669" s="62">
        <v>43784.0</v>
      </c>
      <c r="G1669" s="20">
        <f t="shared" si="2"/>
        <v>5.2</v>
      </c>
      <c r="H1669" s="18">
        <v>42373.0</v>
      </c>
      <c r="I1669" s="20">
        <f t="shared" si="3"/>
        <v>3.430555556</v>
      </c>
      <c r="J1669" s="53">
        <v>86.0</v>
      </c>
      <c r="K1669" s="53">
        <v>2.5</v>
      </c>
      <c r="L1669" s="23" t="s">
        <v>2492</v>
      </c>
      <c r="M1669" s="23"/>
      <c r="N1669" s="23"/>
      <c r="O1669" s="23"/>
      <c r="P1669" s="54"/>
      <c r="Q1669" s="23"/>
      <c r="R1669" s="16"/>
      <c r="S1669" s="18"/>
      <c r="T1669" s="20"/>
    </row>
    <row r="1670">
      <c r="A1670" s="27" t="s">
        <v>2493</v>
      </c>
      <c r="B1670" s="28" t="s">
        <v>40</v>
      </c>
      <c r="C1670" s="29"/>
      <c r="D1670" s="29" t="str">
        <f t="shared" si="112"/>
        <v>Removed</v>
      </c>
      <c r="E1670" s="70">
        <v>43625.0</v>
      </c>
      <c r="F1670" s="30">
        <v>43784.0</v>
      </c>
      <c r="G1670" s="32">
        <f t="shared" si="2"/>
        <v>5.2</v>
      </c>
      <c r="H1670" s="33">
        <v>42684.0</v>
      </c>
      <c r="I1670" s="32">
        <f t="shared" si="3"/>
        <v>2.580555556</v>
      </c>
      <c r="J1670" s="34">
        <v>80.0</v>
      </c>
      <c r="K1670" s="34">
        <v>20.0</v>
      </c>
      <c r="L1670" s="35" t="s">
        <v>29</v>
      </c>
      <c r="M1670" s="35"/>
      <c r="N1670" s="35"/>
      <c r="O1670" s="35"/>
      <c r="P1670" s="36"/>
      <c r="Q1670" s="35"/>
      <c r="R1670" s="28"/>
      <c r="S1670" s="33"/>
      <c r="T1670" s="32"/>
    </row>
    <row r="1671">
      <c r="A1671" s="64" t="s">
        <v>2494</v>
      </c>
      <c r="B1671" s="17" t="s">
        <v>40</v>
      </c>
      <c r="C1671" s="17"/>
      <c r="D1671" s="17" t="str">
        <f t="shared" si="112"/>
        <v>Removed</v>
      </c>
      <c r="E1671" s="76">
        <v>43625.0</v>
      </c>
      <c r="F1671" s="76">
        <v>43770.0</v>
      </c>
      <c r="G1671" s="20">
        <f t="shared" si="2"/>
        <v>4.733333333</v>
      </c>
      <c r="H1671" s="18">
        <v>43440.0</v>
      </c>
      <c r="I1671" s="20">
        <f t="shared" si="3"/>
        <v>0.5083333333</v>
      </c>
      <c r="J1671" s="53">
        <v>86.0</v>
      </c>
      <c r="K1671" s="53">
        <v>142.0</v>
      </c>
      <c r="L1671" s="43" t="s">
        <v>2495</v>
      </c>
      <c r="M1671" s="43"/>
      <c r="N1671" s="43"/>
      <c r="O1671" s="43"/>
      <c r="P1671" s="66"/>
      <c r="Q1671" s="43"/>
      <c r="R1671" s="16"/>
      <c r="S1671" s="18"/>
      <c r="T1671" s="20"/>
    </row>
    <row r="1672">
      <c r="A1672" s="67" t="s">
        <v>2496</v>
      </c>
      <c r="B1672" s="28" t="s">
        <v>68</v>
      </c>
      <c r="C1672" s="29"/>
      <c r="D1672" s="29" t="str">
        <f t="shared" si="112"/>
        <v>Removed</v>
      </c>
      <c r="E1672" s="70">
        <v>43586.0</v>
      </c>
      <c r="F1672" s="70">
        <v>43770.0</v>
      </c>
      <c r="G1672" s="32">
        <f t="shared" si="2"/>
        <v>6</v>
      </c>
      <c r="H1672" s="33">
        <v>41954.0</v>
      </c>
      <c r="I1672" s="32">
        <f t="shared" si="3"/>
        <v>4.472222222</v>
      </c>
      <c r="J1672" s="69">
        <v>74.0</v>
      </c>
      <c r="K1672" s="34">
        <v>10.5</v>
      </c>
      <c r="L1672" s="44" t="s">
        <v>721</v>
      </c>
      <c r="M1672" s="35" t="s">
        <v>451</v>
      </c>
      <c r="N1672" s="44"/>
      <c r="O1672" s="44"/>
      <c r="P1672" s="71"/>
      <c r="Q1672" s="44"/>
      <c r="R1672" s="29"/>
      <c r="S1672" s="33"/>
      <c r="T1672" s="32"/>
    </row>
    <row r="1673">
      <c r="A1673" s="64" t="s">
        <v>2497</v>
      </c>
      <c r="B1673" s="16" t="s">
        <v>68</v>
      </c>
      <c r="C1673" s="17"/>
      <c r="D1673" s="17" t="str">
        <f t="shared" si="112"/>
        <v>Removed</v>
      </c>
      <c r="E1673" s="76">
        <v>43586.0</v>
      </c>
      <c r="F1673" s="76">
        <v>43770.0</v>
      </c>
      <c r="G1673" s="20">
        <f t="shared" si="2"/>
        <v>6</v>
      </c>
      <c r="H1673" s="18">
        <v>42871.0</v>
      </c>
      <c r="I1673" s="20">
        <f t="shared" si="3"/>
        <v>1.958333333</v>
      </c>
      <c r="J1673" s="65">
        <v>74.0</v>
      </c>
      <c r="K1673" s="53">
        <v>20.5</v>
      </c>
      <c r="L1673" s="23" t="s">
        <v>122</v>
      </c>
      <c r="M1673" s="43"/>
      <c r="N1673" s="43"/>
      <c r="O1673" s="43"/>
      <c r="P1673" s="66"/>
      <c r="Q1673" s="141"/>
      <c r="R1673" s="17"/>
      <c r="S1673" s="18"/>
      <c r="T1673" s="20"/>
    </row>
    <row r="1674">
      <c r="A1674" s="67" t="s">
        <v>2498</v>
      </c>
      <c r="B1674" s="28" t="s">
        <v>68</v>
      </c>
      <c r="C1674" s="29"/>
      <c r="D1674" s="29" t="str">
        <f t="shared" si="112"/>
        <v>Removed</v>
      </c>
      <c r="E1674" s="30">
        <v>43448.0</v>
      </c>
      <c r="F1674" s="70">
        <v>43770.0</v>
      </c>
      <c r="G1674" s="32">
        <f t="shared" si="2"/>
        <v>10.56666667</v>
      </c>
      <c r="H1674" s="33">
        <v>43448.0</v>
      </c>
      <c r="I1674" s="32">
        <f t="shared" si="3"/>
        <v>0</v>
      </c>
      <c r="J1674" s="34">
        <v>70.0</v>
      </c>
      <c r="K1674" s="34">
        <v>19.0</v>
      </c>
      <c r="L1674" s="44" t="s">
        <v>37</v>
      </c>
      <c r="M1674" s="44"/>
      <c r="N1674" s="44"/>
      <c r="O1674" s="44"/>
      <c r="P1674" s="71"/>
      <c r="Q1674" s="44"/>
      <c r="R1674" s="29"/>
      <c r="S1674" s="33"/>
      <c r="T1674" s="32"/>
    </row>
    <row r="1675">
      <c r="A1675" s="64" t="s">
        <v>2499</v>
      </c>
      <c r="B1675" s="16" t="s">
        <v>68</v>
      </c>
      <c r="C1675" s="17"/>
      <c r="D1675" s="17" t="str">
        <f t="shared" si="112"/>
        <v>Removed</v>
      </c>
      <c r="E1675" s="76">
        <v>43435.0</v>
      </c>
      <c r="F1675" s="76">
        <v>43770.0</v>
      </c>
      <c r="G1675" s="20">
        <f t="shared" si="2"/>
        <v>11</v>
      </c>
      <c r="H1675" s="18">
        <v>43340.0</v>
      </c>
      <c r="I1675" s="20">
        <f t="shared" si="3"/>
        <v>0.2583333333</v>
      </c>
      <c r="J1675" s="53">
        <v>75.0</v>
      </c>
      <c r="K1675" s="53">
        <v>7.5</v>
      </c>
      <c r="L1675" s="43" t="s">
        <v>201</v>
      </c>
      <c r="M1675" s="43"/>
      <c r="N1675" s="43"/>
      <c r="O1675" s="43"/>
      <c r="P1675" s="66"/>
      <c r="Q1675" s="43"/>
      <c r="R1675" s="17"/>
      <c r="S1675" s="18"/>
      <c r="T1675" s="20"/>
    </row>
    <row r="1676">
      <c r="A1676" s="67" t="s">
        <v>2500</v>
      </c>
      <c r="B1676" s="28" t="s">
        <v>68</v>
      </c>
      <c r="C1676" s="29"/>
      <c r="D1676" s="29" t="str">
        <f t="shared" si="112"/>
        <v>Removed</v>
      </c>
      <c r="E1676" s="70">
        <v>43426.0</v>
      </c>
      <c r="F1676" s="70">
        <v>43770.0</v>
      </c>
      <c r="G1676" s="32">
        <f t="shared" si="2"/>
        <v>11.3</v>
      </c>
      <c r="H1676" s="33">
        <v>42962.0</v>
      </c>
      <c r="I1676" s="32">
        <f t="shared" si="3"/>
        <v>1.269444444</v>
      </c>
      <c r="J1676" s="69">
        <v>73.0</v>
      </c>
      <c r="K1676" s="34">
        <v>17.0</v>
      </c>
      <c r="L1676" s="44" t="s">
        <v>37</v>
      </c>
      <c r="M1676" s="44"/>
      <c r="N1676" s="44"/>
      <c r="O1676" s="44"/>
      <c r="P1676" s="71"/>
      <c r="Q1676" s="44"/>
      <c r="R1676" s="29"/>
      <c r="S1676" s="33"/>
      <c r="T1676" s="32"/>
    </row>
    <row r="1677">
      <c r="A1677" s="64" t="s">
        <v>2501</v>
      </c>
      <c r="B1677" s="16" t="s">
        <v>68</v>
      </c>
      <c r="C1677" s="17"/>
      <c r="D1677" s="17" t="str">
        <f t="shared" si="112"/>
        <v>Removed</v>
      </c>
      <c r="E1677" s="76">
        <v>43426.0</v>
      </c>
      <c r="F1677" s="76">
        <v>43770.0</v>
      </c>
      <c r="G1677" s="20">
        <f t="shared" si="2"/>
        <v>11.3</v>
      </c>
      <c r="H1677" s="18">
        <v>42885.0</v>
      </c>
      <c r="I1677" s="20">
        <f t="shared" si="3"/>
        <v>1.477777778</v>
      </c>
      <c r="J1677" s="65">
        <v>78.0</v>
      </c>
      <c r="K1677" s="53">
        <v>8.0</v>
      </c>
      <c r="L1677" s="23" t="s">
        <v>1086</v>
      </c>
      <c r="M1677" s="23"/>
      <c r="N1677" s="23"/>
      <c r="O1677" s="23"/>
      <c r="P1677" s="54"/>
      <c r="Q1677" s="23"/>
      <c r="R1677" s="17"/>
      <c r="S1677" s="18"/>
      <c r="T1677" s="20"/>
    </row>
    <row r="1678">
      <c r="A1678" s="67" t="s">
        <v>2502</v>
      </c>
      <c r="B1678" s="28" t="s">
        <v>68</v>
      </c>
      <c r="C1678" s="29"/>
      <c r="D1678" s="29" t="str">
        <f t="shared" si="112"/>
        <v>Removed</v>
      </c>
      <c r="E1678" s="70">
        <v>43426.0</v>
      </c>
      <c r="F1678" s="70">
        <v>43770.0</v>
      </c>
      <c r="G1678" s="32">
        <f t="shared" si="2"/>
        <v>11.3</v>
      </c>
      <c r="H1678" s="33">
        <v>41090.0</v>
      </c>
      <c r="I1678" s="32">
        <f t="shared" si="3"/>
        <v>6.394444444</v>
      </c>
      <c r="J1678" s="69">
        <v>80.0</v>
      </c>
      <c r="K1678" s="34">
        <v>3.5</v>
      </c>
      <c r="L1678" s="44" t="s">
        <v>549</v>
      </c>
      <c r="M1678" s="44"/>
      <c r="N1678" s="44"/>
      <c r="O1678" s="44"/>
      <c r="P1678" s="71"/>
      <c r="Q1678" s="44"/>
      <c r="R1678" s="29"/>
      <c r="S1678" s="33"/>
      <c r="T1678" s="32"/>
    </row>
    <row r="1679">
      <c r="A1679" s="15" t="s">
        <v>2503</v>
      </c>
      <c r="B1679" s="16" t="s">
        <v>27</v>
      </c>
      <c r="C1679" s="17"/>
      <c r="D1679" s="17" t="str">
        <f t="shared" si="112"/>
        <v>Removed</v>
      </c>
      <c r="E1679" s="76">
        <v>43282.0</v>
      </c>
      <c r="F1679" s="76">
        <v>43770.0</v>
      </c>
      <c r="G1679" s="20">
        <f t="shared" si="2"/>
        <v>16</v>
      </c>
      <c r="H1679" s="18">
        <v>42584.0</v>
      </c>
      <c r="I1679" s="20">
        <f t="shared" si="3"/>
        <v>1.913888889</v>
      </c>
      <c r="J1679" s="53">
        <v>83.0</v>
      </c>
      <c r="K1679" s="53">
        <v>2.0</v>
      </c>
      <c r="L1679" s="23" t="s">
        <v>362</v>
      </c>
      <c r="M1679" s="23"/>
      <c r="N1679" s="23"/>
      <c r="O1679" s="23"/>
      <c r="P1679" s="54"/>
      <c r="Q1679" s="23"/>
      <c r="R1679" s="17"/>
      <c r="S1679" s="18"/>
      <c r="T1679" s="20"/>
    </row>
    <row r="1680">
      <c r="A1680" s="27" t="s">
        <v>2504</v>
      </c>
      <c r="B1680" s="28" t="s">
        <v>68</v>
      </c>
      <c r="C1680" s="29"/>
      <c r="D1680" s="29" t="str">
        <f t="shared" si="112"/>
        <v>Removed</v>
      </c>
      <c r="E1680" s="70">
        <v>43132.0</v>
      </c>
      <c r="F1680" s="70">
        <v>43770.0</v>
      </c>
      <c r="G1680" s="32">
        <f t="shared" si="2"/>
        <v>21</v>
      </c>
      <c r="H1680" s="33">
        <v>41135.0</v>
      </c>
      <c r="I1680" s="32">
        <f t="shared" si="3"/>
        <v>5.463888889</v>
      </c>
      <c r="J1680" s="34">
        <v>75.0</v>
      </c>
      <c r="K1680" s="34">
        <v>20.0</v>
      </c>
      <c r="L1680" s="35" t="s">
        <v>392</v>
      </c>
      <c r="M1680" s="44"/>
      <c r="N1680" s="44"/>
      <c r="O1680" s="44"/>
      <c r="P1680" s="71"/>
      <c r="Q1680" s="44"/>
      <c r="R1680" s="29"/>
      <c r="S1680" s="33"/>
      <c r="T1680" s="32"/>
    </row>
    <row r="1681">
      <c r="A1681" s="15" t="s">
        <v>2505</v>
      </c>
      <c r="B1681" s="16" t="s">
        <v>68</v>
      </c>
      <c r="C1681" s="17"/>
      <c r="D1681" s="17" t="str">
        <f t="shared" si="112"/>
        <v>Removed</v>
      </c>
      <c r="E1681" s="76">
        <v>43070.0</v>
      </c>
      <c r="F1681" s="76">
        <v>43770.0</v>
      </c>
      <c r="G1681" s="20">
        <f t="shared" si="2"/>
        <v>23</v>
      </c>
      <c r="H1681" s="18">
        <v>40183.0</v>
      </c>
      <c r="I1681" s="20">
        <f t="shared" si="3"/>
        <v>7.905555556</v>
      </c>
      <c r="J1681" s="65">
        <v>80.0</v>
      </c>
      <c r="K1681" s="53">
        <v>17.0</v>
      </c>
      <c r="L1681" s="43" t="s">
        <v>444</v>
      </c>
      <c r="M1681" s="23" t="s">
        <v>451</v>
      </c>
      <c r="N1681" s="43"/>
      <c r="O1681" s="43"/>
      <c r="P1681" s="66"/>
      <c r="Q1681" s="23" t="s">
        <v>863</v>
      </c>
      <c r="R1681" s="17"/>
      <c r="S1681" s="18"/>
      <c r="T1681" s="20"/>
    </row>
    <row r="1682">
      <c r="A1682" s="67" t="s">
        <v>2506</v>
      </c>
      <c r="B1682" s="28" t="s">
        <v>68</v>
      </c>
      <c r="C1682" s="29"/>
      <c r="D1682" s="29" t="str">
        <f t="shared" si="112"/>
        <v>Removed</v>
      </c>
      <c r="E1682" s="70">
        <v>42887.0</v>
      </c>
      <c r="F1682" s="70">
        <v>43770.0</v>
      </c>
      <c r="G1682" s="32">
        <f t="shared" si="2"/>
        <v>29</v>
      </c>
      <c r="H1682" s="33">
        <v>41421.0</v>
      </c>
      <c r="I1682" s="32">
        <f t="shared" si="3"/>
        <v>4.011111111</v>
      </c>
      <c r="J1682" s="34">
        <v>78.0</v>
      </c>
      <c r="K1682" s="34">
        <v>17.5</v>
      </c>
      <c r="L1682" s="44" t="s">
        <v>500</v>
      </c>
      <c r="M1682" s="44"/>
      <c r="N1682" s="44"/>
      <c r="O1682" s="44"/>
      <c r="P1682" s="71"/>
      <c r="Q1682" s="44"/>
      <c r="R1682" s="29"/>
      <c r="S1682" s="33"/>
      <c r="T1682" s="32"/>
    </row>
    <row r="1683">
      <c r="A1683" s="15" t="s">
        <v>2507</v>
      </c>
      <c r="B1683" s="16" t="s">
        <v>1859</v>
      </c>
      <c r="C1683" s="17"/>
      <c r="D1683" s="17" t="s">
        <v>1860</v>
      </c>
      <c r="E1683" s="76">
        <v>43754.0</v>
      </c>
      <c r="F1683" s="62">
        <v>43769.0</v>
      </c>
      <c r="G1683" s="20">
        <f t="shared" si="2"/>
        <v>0.4666666667</v>
      </c>
      <c r="H1683" s="18"/>
      <c r="I1683" s="20">
        <f t="shared" si="3"/>
        <v>-5.997222222</v>
      </c>
      <c r="J1683" s="53"/>
      <c r="K1683" s="53"/>
      <c r="L1683" s="23"/>
      <c r="M1683" s="23"/>
      <c r="N1683" s="23" t="s">
        <v>1612</v>
      </c>
      <c r="O1683" s="23"/>
      <c r="P1683" s="54"/>
      <c r="Q1683" s="23"/>
      <c r="R1683" s="17"/>
      <c r="S1683" s="18"/>
      <c r="T1683" s="20"/>
    </row>
    <row r="1684">
      <c r="A1684" s="27" t="s">
        <v>2508</v>
      </c>
      <c r="B1684" s="28" t="s">
        <v>1610</v>
      </c>
      <c r="C1684" s="29"/>
      <c r="D1684" s="29" t="s">
        <v>1611</v>
      </c>
      <c r="E1684" s="70">
        <v>43739.0</v>
      </c>
      <c r="F1684" s="30">
        <v>43769.0</v>
      </c>
      <c r="G1684" s="32">
        <f t="shared" si="2"/>
        <v>0.9666666667</v>
      </c>
      <c r="H1684" s="33"/>
      <c r="I1684" s="32">
        <f t="shared" si="3"/>
        <v>-6.038888889</v>
      </c>
      <c r="J1684" s="34"/>
      <c r="K1684" s="34"/>
      <c r="L1684" s="35"/>
      <c r="M1684" s="35"/>
      <c r="N1684" s="35"/>
      <c r="O1684" s="35"/>
      <c r="P1684" s="36"/>
      <c r="Q1684" s="35"/>
      <c r="R1684" s="29"/>
      <c r="S1684" s="33"/>
      <c r="T1684" s="32"/>
    </row>
    <row r="1685">
      <c r="A1685" s="15" t="s">
        <v>2509</v>
      </c>
      <c r="B1685" s="16" t="s">
        <v>1859</v>
      </c>
      <c r="C1685" s="17"/>
      <c r="D1685" s="17" t="s">
        <v>1860</v>
      </c>
      <c r="E1685" s="76">
        <v>43739.0</v>
      </c>
      <c r="F1685" s="62">
        <v>43753.0</v>
      </c>
      <c r="G1685" s="20">
        <f t="shared" si="2"/>
        <v>0.4666666667</v>
      </c>
      <c r="H1685" s="18"/>
      <c r="I1685" s="20">
        <f t="shared" si="3"/>
        <v>-6.038888889</v>
      </c>
      <c r="J1685" s="53"/>
      <c r="K1685" s="53"/>
      <c r="L1685" s="23"/>
      <c r="M1685" s="23"/>
      <c r="N1685" s="23" t="s">
        <v>1612</v>
      </c>
      <c r="O1685" s="23"/>
      <c r="P1685" s="54"/>
      <c r="Q1685" s="23"/>
      <c r="R1685" s="17"/>
      <c r="S1685" s="18"/>
      <c r="T1685" s="20"/>
    </row>
    <row r="1686">
      <c r="A1686" s="27" t="s">
        <v>2510</v>
      </c>
      <c r="B1686" s="28" t="s">
        <v>1610</v>
      </c>
      <c r="C1686" s="29"/>
      <c r="D1686" s="29" t="s">
        <v>1611</v>
      </c>
      <c r="E1686" s="70">
        <v>43724.0</v>
      </c>
      <c r="F1686" s="30">
        <v>43753.0</v>
      </c>
      <c r="G1686" s="32">
        <f t="shared" si="2"/>
        <v>0.9666666667</v>
      </c>
      <c r="H1686" s="33"/>
      <c r="I1686" s="32">
        <f t="shared" si="3"/>
        <v>-6.080555556</v>
      </c>
      <c r="J1686" s="34"/>
      <c r="K1686" s="34"/>
      <c r="L1686" s="35"/>
      <c r="M1686" s="35"/>
      <c r="N1686" s="35"/>
      <c r="O1686" s="35"/>
      <c r="P1686" s="36"/>
      <c r="Q1686" s="35"/>
      <c r="R1686" s="29"/>
      <c r="S1686" s="33"/>
      <c r="T1686" s="32"/>
    </row>
    <row r="1687">
      <c r="A1687" s="64" t="s">
        <v>2511</v>
      </c>
      <c r="B1687" s="16" t="s">
        <v>68</v>
      </c>
      <c r="C1687" s="17"/>
      <c r="D1687" s="17" t="str">
        <f t="shared" ref="D1687:D1689" si="113">IF(E1687&gt;TODAY(),"Coming Soon",IF(F1687="","Active",IF(F1687&gt;TODAY(),"Leaving Soon","Removed")))</f>
        <v>Removed</v>
      </c>
      <c r="E1687" s="76">
        <v>43580.0</v>
      </c>
      <c r="F1687" s="76">
        <v>43739.0</v>
      </c>
      <c r="G1687" s="20">
        <f t="shared" si="2"/>
        <v>5.2</v>
      </c>
      <c r="H1687" s="18">
        <v>39877.0</v>
      </c>
      <c r="I1687" s="20">
        <f t="shared" si="3"/>
        <v>10.13888889</v>
      </c>
      <c r="J1687" s="65">
        <v>75.0</v>
      </c>
      <c r="K1687" s="53">
        <v>12.0</v>
      </c>
      <c r="L1687" s="43" t="s">
        <v>675</v>
      </c>
      <c r="M1687" s="43"/>
      <c r="N1687" s="43"/>
      <c r="O1687" s="43"/>
      <c r="P1687" s="66"/>
      <c r="Q1687" s="23" t="s">
        <v>863</v>
      </c>
      <c r="R1687" s="17"/>
      <c r="S1687" s="18"/>
      <c r="T1687" s="20"/>
    </row>
    <row r="1688">
      <c r="A1688" s="27" t="s">
        <v>2512</v>
      </c>
      <c r="B1688" s="28" t="s">
        <v>68</v>
      </c>
      <c r="C1688" s="29"/>
      <c r="D1688" s="29" t="str">
        <f t="shared" si="113"/>
        <v>Removed</v>
      </c>
      <c r="E1688" s="70">
        <v>43374.0</v>
      </c>
      <c r="F1688" s="70">
        <v>43739.0</v>
      </c>
      <c r="G1688" s="32">
        <f t="shared" si="2"/>
        <v>12</v>
      </c>
      <c r="H1688" s="33">
        <v>42521.0</v>
      </c>
      <c r="I1688" s="32">
        <f t="shared" si="3"/>
        <v>2.336111111</v>
      </c>
      <c r="J1688" s="34">
        <v>57.0</v>
      </c>
      <c r="K1688" s="34">
        <v>10.5</v>
      </c>
      <c r="L1688" s="44" t="s">
        <v>2513</v>
      </c>
      <c r="M1688" s="35" t="s">
        <v>451</v>
      </c>
      <c r="N1688" s="44"/>
      <c r="O1688" s="44"/>
      <c r="P1688" s="71"/>
      <c r="Q1688" s="44"/>
      <c r="R1688" s="29"/>
      <c r="S1688" s="33"/>
      <c r="T1688" s="32"/>
    </row>
    <row r="1689">
      <c r="A1689" s="64" t="s">
        <v>2514</v>
      </c>
      <c r="B1689" s="16" t="s">
        <v>68</v>
      </c>
      <c r="C1689" s="17"/>
      <c r="D1689" s="17" t="str">
        <f t="shared" si="113"/>
        <v>Removed</v>
      </c>
      <c r="E1689" s="76">
        <v>43343.0</v>
      </c>
      <c r="F1689" s="76">
        <v>43739.0</v>
      </c>
      <c r="G1689" s="20">
        <f t="shared" si="2"/>
        <v>13.03333333</v>
      </c>
      <c r="H1689" s="18">
        <v>42962.0</v>
      </c>
      <c r="I1689" s="20">
        <f t="shared" si="3"/>
        <v>1.041666667</v>
      </c>
      <c r="J1689" s="53">
        <v>86.0</v>
      </c>
      <c r="K1689" s="53">
        <v>7.0</v>
      </c>
      <c r="L1689" s="23" t="s">
        <v>362</v>
      </c>
      <c r="M1689" s="23"/>
      <c r="N1689" s="23"/>
      <c r="O1689" s="23"/>
      <c r="P1689" s="54"/>
      <c r="Q1689" s="23"/>
      <c r="R1689" s="17"/>
      <c r="S1689" s="18"/>
      <c r="T1689" s="20"/>
    </row>
    <row r="1690">
      <c r="A1690" s="27" t="s">
        <v>2515</v>
      </c>
      <c r="B1690" s="28" t="s">
        <v>1859</v>
      </c>
      <c r="C1690" s="29"/>
      <c r="D1690" s="29" t="s">
        <v>1860</v>
      </c>
      <c r="E1690" s="70">
        <v>43724.0</v>
      </c>
      <c r="F1690" s="30">
        <v>43738.0</v>
      </c>
      <c r="G1690" s="32">
        <f t="shared" si="2"/>
        <v>0.4666666667</v>
      </c>
      <c r="H1690" s="33"/>
      <c r="I1690" s="32">
        <f t="shared" si="3"/>
        <v>-6.080555556</v>
      </c>
      <c r="J1690" s="34"/>
      <c r="K1690" s="34"/>
      <c r="L1690" s="35"/>
      <c r="M1690" s="35"/>
      <c r="N1690" s="35" t="s">
        <v>1612</v>
      </c>
      <c r="O1690" s="35"/>
      <c r="P1690" s="36"/>
      <c r="Q1690" s="35"/>
      <c r="R1690" s="29"/>
      <c r="S1690" s="33"/>
      <c r="T1690" s="32"/>
    </row>
    <row r="1691">
      <c r="A1691" s="15" t="s">
        <v>2516</v>
      </c>
      <c r="B1691" s="16" t="s">
        <v>1610</v>
      </c>
      <c r="C1691" s="17"/>
      <c r="D1691" s="17" t="s">
        <v>1611</v>
      </c>
      <c r="E1691" s="76">
        <v>43709.0</v>
      </c>
      <c r="F1691" s="62">
        <v>43738.0</v>
      </c>
      <c r="G1691" s="20">
        <f t="shared" si="2"/>
        <v>0.9666666667</v>
      </c>
      <c r="H1691" s="18"/>
      <c r="I1691" s="20">
        <f t="shared" si="3"/>
        <v>-6.122222222</v>
      </c>
      <c r="J1691" s="53"/>
      <c r="K1691" s="53"/>
      <c r="L1691" s="23"/>
      <c r="M1691" s="23"/>
      <c r="N1691" s="23" t="s">
        <v>1612</v>
      </c>
      <c r="O1691" s="23"/>
      <c r="P1691" s="54"/>
      <c r="Q1691" s="23"/>
      <c r="R1691" s="17"/>
      <c r="S1691" s="18"/>
      <c r="T1691" s="20"/>
    </row>
    <row r="1692">
      <c r="A1692" s="27" t="s">
        <v>2517</v>
      </c>
      <c r="B1692" s="28" t="s">
        <v>1859</v>
      </c>
      <c r="C1692" s="29"/>
      <c r="D1692" s="29" t="s">
        <v>1860</v>
      </c>
      <c r="E1692" s="70">
        <v>43709.0</v>
      </c>
      <c r="F1692" s="30">
        <v>43723.0</v>
      </c>
      <c r="G1692" s="32">
        <f t="shared" si="2"/>
        <v>0.4666666667</v>
      </c>
      <c r="H1692" s="33"/>
      <c r="I1692" s="32">
        <f t="shared" si="3"/>
        <v>-6.122222222</v>
      </c>
      <c r="J1692" s="34"/>
      <c r="K1692" s="34"/>
      <c r="L1692" s="35"/>
      <c r="M1692" s="35"/>
      <c r="N1692" s="35" t="s">
        <v>1612</v>
      </c>
      <c r="O1692" s="35"/>
      <c r="P1692" s="36"/>
      <c r="Q1692" s="35"/>
      <c r="R1692" s="29"/>
      <c r="S1692" s="33"/>
      <c r="T1692" s="32"/>
    </row>
    <row r="1693">
      <c r="A1693" s="15" t="s">
        <v>2518</v>
      </c>
      <c r="B1693" s="16" t="s">
        <v>1610</v>
      </c>
      <c r="C1693" s="17"/>
      <c r="D1693" s="17" t="s">
        <v>1611</v>
      </c>
      <c r="E1693" s="76">
        <v>43693.0</v>
      </c>
      <c r="F1693" s="62">
        <v>43723.0</v>
      </c>
      <c r="G1693" s="20">
        <f t="shared" si="2"/>
        <v>0.9666666667</v>
      </c>
      <c r="H1693" s="18"/>
      <c r="I1693" s="20">
        <f t="shared" si="3"/>
        <v>-6.163888889</v>
      </c>
      <c r="J1693" s="53"/>
      <c r="K1693" s="53"/>
      <c r="L1693" s="23"/>
      <c r="M1693" s="23"/>
      <c r="N1693" s="23"/>
      <c r="O1693" s="23"/>
      <c r="P1693" s="54"/>
      <c r="Q1693" s="23"/>
      <c r="R1693" s="17"/>
      <c r="S1693" s="18"/>
      <c r="T1693" s="20"/>
    </row>
    <row r="1694">
      <c r="A1694" s="27" t="s">
        <v>2519</v>
      </c>
      <c r="B1694" s="28" t="s">
        <v>68</v>
      </c>
      <c r="C1694" s="29"/>
      <c r="D1694" s="29" t="str">
        <f t="shared" ref="D1694:D1701" si="114">IF(E1694&gt;TODAY(),"Coming Soon",IF(F1694="","Active",IF(F1694&gt;TODAY(),"Leaving Soon","Removed")))</f>
        <v>Removed</v>
      </c>
      <c r="E1694" s="70">
        <v>43525.0</v>
      </c>
      <c r="F1694" s="70">
        <v>43709.0</v>
      </c>
      <c r="G1694" s="32">
        <f t="shared" si="2"/>
        <v>6</v>
      </c>
      <c r="H1694" s="33">
        <v>41079.0</v>
      </c>
      <c r="I1694" s="32">
        <f t="shared" si="3"/>
        <v>6.7</v>
      </c>
      <c r="J1694" s="34">
        <v>79.0</v>
      </c>
      <c r="K1694" s="34">
        <v>9.0</v>
      </c>
      <c r="L1694" s="142" t="s">
        <v>37</v>
      </c>
      <c r="M1694" s="142"/>
      <c r="N1694" s="142"/>
      <c r="O1694" s="142"/>
      <c r="P1694" s="143"/>
      <c r="Q1694" s="142"/>
      <c r="R1694" s="29"/>
      <c r="S1694" s="33"/>
      <c r="T1694" s="32"/>
    </row>
    <row r="1695">
      <c r="A1695" s="15" t="s">
        <v>2520</v>
      </c>
      <c r="B1695" s="16" t="s">
        <v>68</v>
      </c>
      <c r="C1695" s="17"/>
      <c r="D1695" s="17" t="str">
        <f t="shared" si="114"/>
        <v>Removed</v>
      </c>
      <c r="E1695" s="76">
        <v>43374.0</v>
      </c>
      <c r="F1695" s="76">
        <v>43709.0</v>
      </c>
      <c r="G1695" s="20">
        <f t="shared" si="2"/>
        <v>11</v>
      </c>
      <c r="H1695" s="18">
        <v>39602.0</v>
      </c>
      <c r="I1695" s="20">
        <f t="shared" si="3"/>
        <v>10.32777778</v>
      </c>
      <c r="J1695" s="53">
        <v>77.0</v>
      </c>
      <c r="K1695" s="53">
        <v>10.0</v>
      </c>
      <c r="L1695" s="43" t="s">
        <v>37</v>
      </c>
      <c r="M1695" s="43"/>
      <c r="N1695" s="43"/>
      <c r="O1695" s="43"/>
      <c r="P1695" s="66"/>
      <c r="Q1695" s="23" t="s">
        <v>863</v>
      </c>
      <c r="R1695" s="17"/>
      <c r="S1695" s="18"/>
      <c r="T1695" s="20"/>
    </row>
    <row r="1696">
      <c r="A1696" s="67" t="s">
        <v>2521</v>
      </c>
      <c r="B1696" s="28" t="s">
        <v>68</v>
      </c>
      <c r="C1696" s="29"/>
      <c r="D1696" s="29" t="str">
        <f t="shared" si="114"/>
        <v>Removed</v>
      </c>
      <c r="E1696" s="70">
        <v>43374.0</v>
      </c>
      <c r="F1696" s="70">
        <v>43709.0</v>
      </c>
      <c r="G1696" s="32">
        <f t="shared" si="2"/>
        <v>11</v>
      </c>
      <c r="H1696" s="33">
        <v>40316.0</v>
      </c>
      <c r="I1696" s="32">
        <f t="shared" si="3"/>
        <v>8.369444444</v>
      </c>
      <c r="J1696" s="34">
        <v>82.0</v>
      </c>
      <c r="K1696" s="34">
        <v>9.5</v>
      </c>
      <c r="L1696" s="44" t="s">
        <v>2522</v>
      </c>
      <c r="M1696" s="44"/>
      <c r="N1696" s="44"/>
      <c r="O1696" s="44"/>
      <c r="P1696" s="71"/>
      <c r="Q1696" s="35" t="s">
        <v>863</v>
      </c>
      <c r="R1696" s="29"/>
      <c r="S1696" s="33"/>
      <c r="T1696" s="32"/>
    </row>
    <row r="1697">
      <c r="A1697" s="64" t="s">
        <v>2523</v>
      </c>
      <c r="B1697" s="16" t="s">
        <v>68</v>
      </c>
      <c r="C1697" s="17"/>
      <c r="D1697" s="17" t="str">
        <f t="shared" si="114"/>
        <v>Removed</v>
      </c>
      <c r="E1697" s="76">
        <v>43344.0</v>
      </c>
      <c r="F1697" s="76">
        <v>43709.0</v>
      </c>
      <c r="G1697" s="20">
        <f t="shared" si="2"/>
        <v>12</v>
      </c>
      <c r="H1697" s="18">
        <v>43256.0</v>
      </c>
      <c r="I1697" s="20">
        <f t="shared" si="3"/>
        <v>0.2388888889</v>
      </c>
      <c r="J1697" s="53">
        <v>77.0</v>
      </c>
      <c r="K1697" s="53">
        <v>12.0</v>
      </c>
      <c r="L1697" s="23" t="s">
        <v>500</v>
      </c>
      <c r="M1697" s="23"/>
      <c r="N1697" s="23"/>
      <c r="O1697" s="23"/>
      <c r="P1697" s="54"/>
      <c r="Q1697" s="23"/>
      <c r="R1697" s="17"/>
      <c r="S1697" s="18"/>
      <c r="T1697" s="20"/>
    </row>
    <row r="1698">
      <c r="A1698" s="67" t="s">
        <v>2524</v>
      </c>
      <c r="B1698" s="28" t="s">
        <v>68</v>
      </c>
      <c r="C1698" s="29"/>
      <c r="D1698" s="29" t="str">
        <f t="shared" si="114"/>
        <v>Removed</v>
      </c>
      <c r="E1698" s="70">
        <v>43040.0</v>
      </c>
      <c r="F1698" s="70">
        <v>43709.0</v>
      </c>
      <c r="G1698" s="32">
        <f t="shared" si="2"/>
        <v>22</v>
      </c>
      <c r="H1698" s="33">
        <v>38615.0</v>
      </c>
      <c r="I1698" s="32">
        <f t="shared" si="3"/>
        <v>12.11388889</v>
      </c>
      <c r="J1698" s="34">
        <v>94.0</v>
      </c>
      <c r="K1698" s="34">
        <v>16.0</v>
      </c>
      <c r="L1698" s="44" t="s">
        <v>37</v>
      </c>
      <c r="M1698" s="44"/>
      <c r="N1698" s="44"/>
      <c r="O1698" s="44"/>
      <c r="P1698" s="71"/>
      <c r="Q1698" s="35" t="s">
        <v>756</v>
      </c>
      <c r="R1698" s="29"/>
      <c r="S1698" s="33"/>
      <c r="T1698" s="32"/>
    </row>
    <row r="1699">
      <c r="A1699" s="15" t="s">
        <v>2525</v>
      </c>
      <c r="B1699" s="16" t="s">
        <v>68</v>
      </c>
      <c r="C1699" s="17"/>
      <c r="D1699" s="17" t="str">
        <f t="shared" si="114"/>
        <v>Removed</v>
      </c>
      <c r="E1699" s="76">
        <v>43009.0</v>
      </c>
      <c r="F1699" s="76">
        <v>43709.0</v>
      </c>
      <c r="G1699" s="20">
        <f t="shared" si="2"/>
        <v>23</v>
      </c>
      <c r="H1699" s="18">
        <v>40235.0</v>
      </c>
      <c r="I1699" s="20">
        <f t="shared" si="3"/>
        <v>7.597222222</v>
      </c>
      <c r="J1699" s="53">
        <v>78.0</v>
      </c>
      <c r="K1699" s="53">
        <v>3.0</v>
      </c>
      <c r="L1699" s="43" t="s">
        <v>303</v>
      </c>
      <c r="M1699" s="43"/>
      <c r="N1699" s="43"/>
      <c r="O1699" s="43"/>
      <c r="P1699" s="66"/>
      <c r="Q1699" s="144" t="s">
        <v>863</v>
      </c>
      <c r="R1699" s="17"/>
      <c r="S1699" s="18"/>
      <c r="T1699" s="20"/>
    </row>
    <row r="1700">
      <c r="A1700" s="145" t="s">
        <v>2526</v>
      </c>
      <c r="B1700" s="28" t="s">
        <v>68</v>
      </c>
      <c r="C1700" s="29"/>
      <c r="D1700" s="29" t="str">
        <f t="shared" si="114"/>
        <v>Removed</v>
      </c>
      <c r="E1700" s="70">
        <v>42887.0</v>
      </c>
      <c r="F1700" s="70">
        <v>43709.0</v>
      </c>
      <c r="G1700" s="32">
        <f t="shared" si="2"/>
        <v>27</v>
      </c>
      <c r="H1700" s="33">
        <v>40016.0</v>
      </c>
      <c r="I1700" s="32">
        <f t="shared" si="3"/>
        <v>7.858333333</v>
      </c>
      <c r="J1700" s="69">
        <v>84.0</v>
      </c>
      <c r="K1700" s="34">
        <v>8.0</v>
      </c>
      <c r="L1700" s="44" t="s">
        <v>918</v>
      </c>
      <c r="M1700" s="44"/>
      <c r="N1700" s="44"/>
      <c r="O1700" s="44"/>
      <c r="P1700" s="71"/>
      <c r="Q1700" s="35" t="s">
        <v>863</v>
      </c>
      <c r="R1700" s="29"/>
      <c r="S1700" s="33"/>
      <c r="T1700" s="32"/>
    </row>
    <row r="1701">
      <c r="A1701" s="64" t="s">
        <v>2527</v>
      </c>
      <c r="B1701" s="16" t="s">
        <v>68</v>
      </c>
      <c r="C1701" s="17"/>
      <c r="D1701" s="17" t="str">
        <f t="shared" si="114"/>
        <v>Removed</v>
      </c>
      <c r="E1701" s="76">
        <v>42887.0</v>
      </c>
      <c r="F1701" s="76">
        <v>43709.0</v>
      </c>
      <c r="G1701" s="20">
        <f t="shared" si="2"/>
        <v>27</v>
      </c>
      <c r="H1701" s="18">
        <v>39834.0</v>
      </c>
      <c r="I1701" s="20">
        <f t="shared" si="3"/>
        <v>8.361111111</v>
      </c>
      <c r="J1701" s="53">
        <v>75.0</v>
      </c>
      <c r="K1701" s="53">
        <v>3.0</v>
      </c>
      <c r="L1701" s="23" t="s">
        <v>2528</v>
      </c>
      <c r="M1701" s="23"/>
      <c r="N1701" s="23"/>
      <c r="O1701" s="23"/>
      <c r="P1701" s="54"/>
      <c r="Q1701" s="23" t="s">
        <v>863</v>
      </c>
      <c r="R1701" s="17"/>
      <c r="S1701" s="18"/>
      <c r="T1701" s="20"/>
    </row>
    <row r="1702">
      <c r="A1702" s="27" t="s">
        <v>2529</v>
      </c>
      <c r="B1702" s="28" t="s">
        <v>1859</v>
      </c>
      <c r="C1702" s="29"/>
      <c r="D1702" s="29" t="s">
        <v>1860</v>
      </c>
      <c r="E1702" s="70">
        <v>43693.0</v>
      </c>
      <c r="F1702" s="30">
        <v>43708.0</v>
      </c>
      <c r="G1702" s="32">
        <f t="shared" si="2"/>
        <v>0.4666666667</v>
      </c>
      <c r="H1702" s="33"/>
      <c r="I1702" s="32">
        <f t="shared" si="3"/>
        <v>-6.163888889</v>
      </c>
      <c r="J1702" s="34"/>
      <c r="K1702" s="34"/>
      <c r="L1702" s="35"/>
      <c r="M1702" s="35"/>
      <c r="N1702" s="35" t="s">
        <v>1612</v>
      </c>
      <c r="O1702" s="35"/>
      <c r="P1702" s="36"/>
      <c r="Q1702" s="35"/>
      <c r="R1702" s="29"/>
      <c r="S1702" s="33"/>
      <c r="T1702" s="32"/>
    </row>
    <row r="1703">
      <c r="A1703" s="15" t="s">
        <v>1151</v>
      </c>
      <c r="B1703" s="16" t="s">
        <v>1610</v>
      </c>
      <c r="C1703" s="17"/>
      <c r="D1703" s="17" t="s">
        <v>1611</v>
      </c>
      <c r="E1703" s="76">
        <v>43678.0</v>
      </c>
      <c r="F1703" s="62">
        <v>43708.0</v>
      </c>
      <c r="G1703" s="20">
        <f t="shared" si="2"/>
        <v>0.9666666667</v>
      </c>
      <c r="H1703" s="18"/>
      <c r="I1703" s="20">
        <f t="shared" si="3"/>
        <v>-6.205555556</v>
      </c>
      <c r="J1703" s="53"/>
      <c r="K1703" s="53"/>
      <c r="L1703" s="23"/>
      <c r="M1703" s="23"/>
      <c r="N1703" s="23" t="s">
        <v>1612</v>
      </c>
      <c r="O1703" s="23"/>
      <c r="P1703" s="54"/>
      <c r="Q1703" s="23"/>
      <c r="R1703" s="17"/>
      <c r="S1703" s="18"/>
      <c r="T1703" s="20"/>
    </row>
    <row r="1704">
      <c r="A1704" s="27" t="s">
        <v>1920</v>
      </c>
      <c r="B1704" s="28" t="s">
        <v>1859</v>
      </c>
      <c r="C1704" s="29"/>
      <c r="D1704" s="29" t="s">
        <v>1860</v>
      </c>
      <c r="E1704" s="70">
        <v>43678.0</v>
      </c>
      <c r="F1704" s="30">
        <v>43692.0</v>
      </c>
      <c r="G1704" s="32">
        <f t="shared" si="2"/>
        <v>0.4666666667</v>
      </c>
      <c r="H1704" s="33"/>
      <c r="I1704" s="32">
        <f t="shared" si="3"/>
        <v>-6.205555556</v>
      </c>
      <c r="J1704" s="34"/>
      <c r="K1704" s="34"/>
      <c r="L1704" s="35"/>
      <c r="M1704" s="35"/>
      <c r="N1704" s="35" t="s">
        <v>1612</v>
      </c>
      <c r="O1704" s="35"/>
      <c r="P1704" s="36"/>
      <c r="Q1704" s="35"/>
      <c r="R1704" s="29"/>
      <c r="S1704" s="33"/>
      <c r="T1704" s="32"/>
    </row>
    <row r="1705">
      <c r="A1705" s="15" t="s">
        <v>2530</v>
      </c>
      <c r="B1705" s="16" t="s">
        <v>1610</v>
      </c>
      <c r="C1705" s="17"/>
      <c r="D1705" s="17" t="s">
        <v>1611</v>
      </c>
      <c r="E1705" s="76">
        <v>43662.0</v>
      </c>
      <c r="F1705" s="62">
        <v>43692.0</v>
      </c>
      <c r="G1705" s="20">
        <f t="shared" si="2"/>
        <v>0.9666666667</v>
      </c>
      <c r="H1705" s="18"/>
      <c r="I1705" s="20">
        <f t="shared" si="3"/>
        <v>-6.247222222</v>
      </c>
      <c r="J1705" s="53"/>
      <c r="K1705" s="53"/>
      <c r="L1705" s="23"/>
      <c r="M1705" s="23"/>
      <c r="N1705" s="23" t="s">
        <v>1612</v>
      </c>
      <c r="O1705" s="23"/>
      <c r="P1705" s="54"/>
      <c r="Q1705" s="23"/>
      <c r="R1705" s="17"/>
      <c r="S1705" s="18"/>
      <c r="T1705" s="20"/>
    </row>
    <row r="1706">
      <c r="A1706" s="67" t="s">
        <v>2531</v>
      </c>
      <c r="B1706" s="28" t="s">
        <v>68</v>
      </c>
      <c r="C1706" s="29"/>
      <c r="D1706" s="29" t="str">
        <f t="shared" ref="D1706:D1722" si="115">IF(E1706&gt;TODAY(),"Coming Soon",IF(F1706="","Active",IF(F1706&gt;TODAY(),"Leaving Soon","Removed")))</f>
        <v>Removed</v>
      </c>
      <c r="E1706" s="70">
        <v>43344.0</v>
      </c>
      <c r="F1706" s="70">
        <v>43678.0</v>
      </c>
      <c r="G1706" s="32">
        <f t="shared" si="2"/>
        <v>11</v>
      </c>
      <c r="H1706" s="33">
        <v>43116.0</v>
      </c>
      <c r="I1706" s="32">
        <f t="shared" si="3"/>
        <v>0.625</v>
      </c>
      <c r="J1706" s="34">
        <v>64.0</v>
      </c>
      <c r="K1706" s="34">
        <v>4.5</v>
      </c>
      <c r="L1706" s="44" t="s">
        <v>2532</v>
      </c>
      <c r="M1706" s="44"/>
      <c r="N1706" s="44"/>
      <c r="O1706" s="44"/>
      <c r="P1706" s="71"/>
      <c r="Q1706" s="44"/>
      <c r="R1706" s="29"/>
      <c r="S1706" s="33"/>
      <c r="T1706" s="32"/>
    </row>
    <row r="1707">
      <c r="A1707" s="64" t="s">
        <v>2533</v>
      </c>
      <c r="B1707" s="16" t="s">
        <v>68</v>
      </c>
      <c r="C1707" s="17"/>
      <c r="D1707" s="17" t="str">
        <f t="shared" si="115"/>
        <v>Removed</v>
      </c>
      <c r="E1707" s="76">
        <v>43344.0</v>
      </c>
      <c r="F1707" s="76">
        <v>43678.0</v>
      </c>
      <c r="G1707" s="20">
        <f t="shared" si="2"/>
        <v>11</v>
      </c>
      <c r="H1707" s="18">
        <v>42654.0</v>
      </c>
      <c r="I1707" s="20">
        <f t="shared" si="3"/>
        <v>1.888888889</v>
      </c>
      <c r="J1707" s="53">
        <v>66.0</v>
      </c>
      <c r="K1707" s="53">
        <v>2.0</v>
      </c>
      <c r="L1707" s="23" t="s">
        <v>362</v>
      </c>
      <c r="M1707" s="23"/>
      <c r="N1707" s="23"/>
      <c r="O1707" s="23"/>
      <c r="P1707" s="54"/>
      <c r="Q1707" s="23"/>
      <c r="R1707" s="17"/>
      <c r="S1707" s="18"/>
      <c r="T1707" s="20"/>
    </row>
    <row r="1708">
      <c r="A1708" s="27" t="s">
        <v>2534</v>
      </c>
      <c r="B1708" s="28" t="s">
        <v>68</v>
      </c>
      <c r="C1708" s="29"/>
      <c r="D1708" s="29" t="str">
        <f t="shared" si="115"/>
        <v>Removed</v>
      </c>
      <c r="E1708" s="70">
        <v>43344.0</v>
      </c>
      <c r="F1708" s="70">
        <v>43678.0</v>
      </c>
      <c r="G1708" s="32">
        <f t="shared" si="2"/>
        <v>11</v>
      </c>
      <c r="H1708" s="33">
        <v>43132.0</v>
      </c>
      <c r="I1708" s="32">
        <f t="shared" si="3"/>
        <v>0.5833333333</v>
      </c>
      <c r="J1708" s="34">
        <v>86.0</v>
      </c>
      <c r="K1708" s="34">
        <v>16.0</v>
      </c>
      <c r="L1708" s="35" t="s">
        <v>2156</v>
      </c>
      <c r="M1708" s="44"/>
      <c r="N1708" s="44"/>
      <c r="O1708" s="44"/>
      <c r="P1708" s="71"/>
      <c r="Q1708" s="44"/>
      <c r="R1708" s="29"/>
      <c r="S1708" s="33"/>
      <c r="T1708" s="32"/>
    </row>
    <row r="1709">
      <c r="A1709" s="64" t="s">
        <v>2535</v>
      </c>
      <c r="B1709" s="16" t="s">
        <v>68</v>
      </c>
      <c r="C1709" s="17"/>
      <c r="D1709" s="17" t="str">
        <f t="shared" si="115"/>
        <v>Removed</v>
      </c>
      <c r="E1709" s="76">
        <v>43327.0</v>
      </c>
      <c r="F1709" s="76">
        <v>43678.0</v>
      </c>
      <c r="G1709" s="20">
        <f t="shared" si="2"/>
        <v>11.53333333</v>
      </c>
      <c r="H1709" s="18">
        <v>43327.0</v>
      </c>
      <c r="I1709" s="20">
        <f t="shared" si="3"/>
        <v>0</v>
      </c>
      <c r="J1709" s="53">
        <v>70.0</v>
      </c>
      <c r="K1709" s="53">
        <v>45.5</v>
      </c>
      <c r="L1709" s="23" t="s">
        <v>1975</v>
      </c>
      <c r="M1709" s="43"/>
      <c r="N1709" s="43"/>
      <c r="O1709" s="43"/>
      <c r="P1709" s="66"/>
      <c r="Q1709" s="23"/>
      <c r="R1709" s="17"/>
      <c r="S1709" s="18"/>
      <c r="T1709" s="20"/>
    </row>
    <row r="1710">
      <c r="A1710" s="67" t="s">
        <v>2536</v>
      </c>
      <c r="B1710" s="28" t="s">
        <v>68</v>
      </c>
      <c r="C1710" s="29"/>
      <c r="D1710" s="29" t="str">
        <f t="shared" si="115"/>
        <v>Removed</v>
      </c>
      <c r="E1710" s="70">
        <v>43252.0</v>
      </c>
      <c r="F1710" s="70">
        <v>43678.0</v>
      </c>
      <c r="G1710" s="32">
        <f t="shared" si="2"/>
        <v>14</v>
      </c>
      <c r="H1710" s="33">
        <v>38309.0</v>
      </c>
      <c r="I1710" s="32">
        <f t="shared" si="3"/>
        <v>13.53611111</v>
      </c>
      <c r="J1710" s="34">
        <v>79.0</v>
      </c>
      <c r="K1710" s="34">
        <v>5.0</v>
      </c>
      <c r="L1710" s="44" t="s">
        <v>1338</v>
      </c>
      <c r="M1710" s="44"/>
      <c r="N1710" s="44"/>
      <c r="O1710" s="44"/>
      <c r="P1710" s="71"/>
      <c r="Q1710" s="35" t="s">
        <v>1697</v>
      </c>
      <c r="R1710" s="29"/>
      <c r="S1710" s="33"/>
      <c r="T1710" s="32"/>
    </row>
    <row r="1711">
      <c r="A1711" s="64" t="s">
        <v>2537</v>
      </c>
      <c r="B1711" s="16" t="s">
        <v>68</v>
      </c>
      <c r="C1711" s="17"/>
      <c r="D1711" s="17" t="str">
        <f t="shared" si="115"/>
        <v>Removed</v>
      </c>
      <c r="E1711" s="76">
        <v>43252.0</v>
      </c>
      <c r="F1711" s="76">
        <v>43678.0</v>
      </c>
      <c r="G1711" s="20">
        <f t="shared" si="2"/>
        <v>14</v>
      </c>
      <c r="H1711" s="18">
        <v>41367.0</v>
      </c>
      <c r="I1711" s="20">
        <f t="shared" si="3"/>
        <v>5.161111111</v>
      </c>
      <c r="J1711" s="53">
        <v>85.0</v>
      </c>
      <c r="K1711" s="53">
        <v>10.0</v>
      </c>
      <c r="L1711" s="43" t="s">
        <v>698</v>
      </c>
      <c r="M1711" s="43"/>
      <c r="N1711" s="43"/>
      <c r="O1711" s="43"/>
      <c r="P1711" s="66"/>
      <c r="Q1711" s="43"/>
      <c r="R1711" s="17"/>
      <c r="S1711" s="18"/>
      <c r="T1711" s="20"/>
    </row>
    <row r="1712">
      <c r="A1712" s="67" t="s">
        <v>2145</v>
      </c>
      <c r="B1712" s="28" t="s">
        <v>68</v>
      </c>
      <c r="C1712" s="29"/>
      <c r="D1712" s="29" t="str">
        <f t="shared" si="115"/>
        <v>Removed</v>
      </c>
      <c r="E1712" s="70">
        <v>42979.0</v>
      </c>
      <c r="F1712" s="70">
        <v>43678.0</v>
      </c>
      <c r="G1712" s="32">
        <f t="shared" si="2"/>
        <v>23</v>
      </c>
      <c r="H1712" s="33">
        <v>36490.0</v>
      </c>
      <c r="I1712" s="32">
        <f t="shared" si="3"/>
        <v>17.76388889</v>
      </c>
      <c r="J1712" s="34">
        <v>77.0</v>
      </c>
      <c r="K1712" s="34">
        <v>1.5</v>
      </c>
      <c r="L1712" s="44" t="s">
        <v>303</v>
      </c>
      <c r="M1712" s="44"/>
      <c r="N1712" s="44"/>
      <c r="O1712" s="44"/>
      <c r="P1712" s="71"/>
      <c r="Q1712" s="35"/>
      <c r="R1712" s="29"/>
      <c r="S1712" s="33"/>
      <c r="T1712" s="32"/>
    </row>
    <row r="1713">
      <c r="A1713" s="64" t="s">
        <v>2538</v>
      </c>
      <c r="B1713" s="16" t="s">
        <v>68</v>
      </c>
      <c r="C1713" s="17"/>
      <c r="D1713" s="17" t="str">
        <f t="shared" si="115"/>
        <v>Removed</v>
      </c>
      <c r="E1713" s="76">
        <v>42887.0</v>
      </c>
      <c r="F1713" s="76">
        <v>43678.0</v>
      </c>
      <c r="G1713" s="20">
        <f t="shared" si="2"/>
        <v>26</v>
      </c>
      <c r="H1713" s="18">
        <v>39771.0</v>
      </c>
      <c r="I1713" s="20">
        <f t="shared" si="3"/>
        <v>8.533333333</v>
      </c>
      <c r="J1713" s="53">
        <v>78.0</v>
      </c>
      <c r="K1713" s="53">
        <v>6.0</v>
      </c>
      <c r="L1713" s="43" t="s">
        <v>522</v>
      </c>
      <c r="M1713" s="43"/>
      <c r="N1713" s="43"/>
      <c r="O1713" s="43"/>
      <c r="P1713" s="66"/>
      <c r="Q1713" s="23" t="s">
        <v>863</v>
      </c>
      <c r="R1713" s="17"/>
      <c r="S1713" s="18"/>
      <c r="T1713" s="20"/>
    </row>
    <row r="1714">
      <c r="A1714" s="67" t="s">
        <v>2539</v>
      </c>
      <c r="B1714" s="28" t="s">
        <v>68</v>
      </c>
      <c r="C1714" s="29"/>
      <c r="D1714" s="29" t="str">
        <f t="shared" si="115"/>
        <v>Removed</v>
      </c>
      <c r="E1714" s="70">
        <v>42887.0</v>
      </c>
      <c r="F1714" s="70">
        <v>43678.0</v>
      </c>
      <c r="G1714" s="32">
        <f t="shared" si="2"/>
        <v>26</v>
      </c>
      <c r="H1714" s="33">
        <v>40534.0</v>
      </c>
      <c r="I1714" s="32">
        <f t="shared" si="3"/>
        <v>6.441666667</v>
      </c>
      <c r="J1714" s="34">
        <v>77.0</v>
      </c>
      <c r="K1714" s="34">
        <v>7.0</v>
      </c>
      <c r="L1714" s="44" t="s">
        <v>50</v>
      </c>
      <c r="M1714" s="44"/>
      <c r="N1714" s="44"/>
      <c r="O1714" s="44"/>
      <c r="P1714" s="71"/>
      <c r="Q1714" s="44"/>
      <c r="R1714" s="29"/>
      <c r="S1714" s="33"/>
      <c r="T1714" s="32"/>
    </row>
    <row r="1715">
      <c r="A1715" s="64" t="s">
        <v>2540</v>
      </c>
      <c r="B1715" s="16" t="s">
        <v>68</v>
      </c>
      <c r="C1715" s="17"/>
      <c r="D1715" s="17" t="str">
        <f t="shared" si="115"/>
        <v>Removed</v>
      </c>
      <c r="E1715" s="76">
        <v>42887.0</v>
      </c>
      <c r="F1715" s="76">
        <v>43678.0</v>
      </c>
      <c r="G1715" s="20">
        <f t="shared" si="2"/>
        <v>26</v>
      </c>
      <c r="H1715" s="18">
        <v>41423.0</v>
      </c>
      <c r="I1715" s="20">
        <f t="shared" si="3"/>
        <v>4.005555556</v>
      </c>
      <c r="J1715" s="53">
        <v>79.0</v>
      </c>
      <c r="K1715" s="53">
        <v>7.0</v>
      </c>
      <c r="L1715" s="43" t="s">
        <v>2541</v>
      </c>
      <c r="M1715" s="43"/>
      <c r="N1715" s="43"/>
      <c r="O1715" s="43"/>
      <c r="P1715" s="66"/>
      <c r="Q1715" s="43"/>
      <c r="R1715" s="17"/>
      <c r="S1715" s="18"/>
      <c r="T1715" s="20"/>
    </row>
    <row r="1716">
      <c r="A1716" s="67" t="s">
        <v>2542</v>
      </c>
      <c r="B1716" s="28" t="s">
        <v>68</v>
      </c>
      <c r="C1716" s="29"/>
      <c r="D1716" s="29" t="str">
        <f t="shared" si="115"/>
        <v>Removed</v>
      </c>
      <c r="E1716" s="70">
        <v>42887.0</v>
      </c>
      <c r="F1716" s="70">
        <v>43678.0</v>
      </c>
      <c r="G1716" s="32">
        <f t="shared" si="2"/>
        <v>26</v>
      </c>
      <c r="H1716" s="33">
        <v>41191.0</v>
      </c>
      <c r="I1716" s="32">
        <f t="shared" si="3"/>
        <v>4.644444444</v>
      </c>
      <c r="J1716" s="34">
        <v>82.0</v>
      </c>
      <c r="K1716" s="34">
        <v>2.0</v>
      </c>
      <c r="L1716" s="44" t="s">
        <v>2543</v>
      </c>
      <c r="M1716" s="44"/>
      <c r="N1716" s="44"/>
      <c r="O1716" s="44"/>
      <c r="P1716" s="71"/>
      <c r="Q1716" s="44"/>
      <c r="R1716" s="29"/>
      <c r="S1716" s="33"/>
      <c r="T1716" s="32"/>
    </row>
    <row r="1717">
      <c r="A1717" s="15" t="s">
        <v>2544</v>
      </c>
      <c r="B1717" s="16" t="s">
        <v>68</v>
      </c>
      <c r="C1717" s="17"/>
      <c r="D1717" s="17" t="str">
        <f t="shared" si="115"/>
        <v>Removed</v>
      </c>
      <c r="E1717" s="76">
        <v>42887.0</v>
      </c>
      <c r="F1717" s="76">
        <v>43678.0</v>
      </c>
      <c r="G1717" s="20">
        <f t="shared" si="2"/>
        <v>26</v>
      </c>
      <c r="H1717" s="18">
        <v>40337.0</v>
      </c>
      <c r="I1717" s="20">
        <f t="shared" si="3"/>
        <v>6.980555556</v>
      </c>
      <c r="J1717" s="53">
        <v>88.0</v>
      </c>
      <c r="K1717" s="53">
        <v>6.0</v>
      </c>
      <c r="L1717" s="23" t="s">
        <v>2543</v>
      </c>
      <c r="M1717" s="23"/>
      <c r="N1717" s="23"/>
      <c r="O1717" s="23"/>
      <c r="P1717" s="54"/>
      <c r="Q1717" s="23"/>
      <c r="R1717" s="17"/>
      <c r="S1717" s="18"/>
      <c r="T1717" s="20"/>
    </row>
    <row r="1718">
      <c r="A1718" s="67" t="s">
        <v>2545</v>
      </c>
      <c r="B1718" s="28" t="s">
        <v>68</v>
      </c>
      <c r="C1718" s="29"/>
      <c r="D1718" s="29" t="str">
        <f t="shared" si="115"/>
        <v>Removed</v>
      </c>
      <c r="E1718" s="70">
        <v>42887.0</v>
      </c>
      <c r="F1718" s="70">
        <v>43678.0</v>
      </c>
      <c r="G1718" s="32">
        <f t="shared" si="2"/>
        <v>26</v>
      </c>
      <c r="H1718" s="33">
        <v>40401.0</v>
      </c>
      <c r="I1718" s="32">
        <f t="shared" si="3"/>
        <v>6.805555556</v>
      </c>
      <c r="J1718" s="34">
        <v>79.0</v>
      </c>
      <c r="K1718" s="34">
        <v>3.0</v>
      </c>
      <c r="L1718" s="44" t="s">
        <v>2546</v>
      </c>
      <c r="M1718" s="44"/>
      <c r="N1718" s="44"/>
      <c r="O1718" s="44"/>
      <c r="P1718" s="71"/>
      <c r="Q1718" s="44"/>
      <c r="R1718" s="29"/>
      <c r="S1718" s="33"/>
      <c r="T1718" s="32"/>
    </row>
    <row r="1719">
      <c r="A1719" s="64" t="s">
        <v>2547</v>
      </c>
      <c r="B1719" s="16" t="s">
        <v>68</v>
      </c>
      <c r="C1719" s="17"/>
      <c r="D1719" s="17" t="str">
        <f t="shared" si="115"/>
        <v>Removed</v>
      </c>
      <c r="E1719" s="76">
        <v>42887.0</v>
      </c>
      <c r="F1719" s="76">
        <v>43678.0</v>
      </c>
      <c r="G1719" s="20">
        <f t="shared" si="2"/>
        <v>26</v>
      </c>
      <c r="H1719" s="18">
        <v>42213.0</v>
      </c>
      <c r="I1719" s="20">
        <f t="shared" si="3"/>
        <v>1.841666667</v>
      </c>
      <c r="J1719" s="53">
        <v>83.0</v>
      </c>
      <c r="K1719" s="53">
        <v>14.5</v>
      </c>
      <c r="L1719" s="43" t="s">
        <v>44</v>
      </c>
      <c r="M1719" s="43"/>
      <c r="N1719" s="43"/>
      <c r="O1719" s="43"/>
      <c r="P1719" s="66"/>
      <c r="Q1719" s="43"/>
      <c r="R1719" s="17"/>
      <c r="S1719" s="18"/>
      <c r="T1719" s="20"/>
    </row>
    <row r="1720">
      <c r="A1720" s="67" t="s">
        <v>2548</v>
      </c>
      <c r="B1720" s="28" t="s">
        <v>68</v>
      </c>
      <c r="C1720" s="29"/>
      <c r="D1720" s="29" t="str">
        <f t="shared" si="115"/>
        <v>Removed</v>
      </c>
      <c r="E1720" s="70">
        <v>42887.0</v>
      </c>
      <c r="F1720" s="70">
        <v>43678.0</v>
      </c>
      <c r="G1720" s="32">
        <f t="shared" si="2"/>
        <v>26</v>
      </c>
      <c r="H1720" s="33">
        <v>40057.0</v>
      </c>
      <c r="I1720" s="32">
        <f t="shared" si="3"/>
        <v>7.75</v>
      </c>
      <c r="J1720" s="34">
        <v>87.0</v>
      </c>
      <c r="K1720" s="34">
        <v>17.5</v>
      </c>
      <c r="L1720" s="44" t="s">
        <v>698</v>
      </c>
      <c r="M1720" s="44"/>
      <c r="N1720" s="44"/>
      <c r="O1720" s="44"/>
      <c r="P1720" s="71"/>
      <c r="Q1720" s="35" t="s">
        <v>1697</v>
      </c>
      <c r="R1720" s="29"/>
      <c r="S1720" s="33"/>
      <c r="T1720" s="32"/>
    </row>
    <row r="1721">
      <c r="A1721" s="64" t="s">
        <v>2549</v>
      </c>
      <c r="B1721" s="16" t="s">
        <v>68</v>
      </c>
      <c r="C1721" s="17"/>
      <c r="D1721" s="17" t="str">
        <f t="shared" si="115"/>
        <v>Removed</v>
      </c>
      <c r="E1721" s="76">
        <v>42887.0</v>
      </c>
      <c r="F1721" s="76">
        <v>43678.0</v>
      </c>
      <c r="G1721" s="20">
        <f t="shared" si="2"/>
        <v>26</v>
      </c>
      <c r="H1721" s="18">
        <v>40240.0</v>
      </c>
      <c r="I1721" s="20">
        <f t="shared" si="3"/>
        <v>7.244444444</v>
      </c>
      <c r="J1721" s="53">
        <v>81.0</v>
      </c>
      <c r="K1721" s="53">
        <v>6.0</v>
      </c>
      <c r="L1721" s="43" t="s">
        <v>2550</v>
      </c>
      <c r="M1721" s="43"/>
      <c r="N1721" s="43"/>
      <c r="O1721" s="43"/>
      <c r="P1721" s="66"/>
      <c r="Q1721" s="23" t="s">
        <v>863</v>
      </c>
      <c r="R1721" s="17"/>
      <c r="S1721" s="18"/>
      <c r="T1721" s="20"/>
    </row>
    <row r="1722">
      <c r="A1722" s="67" t="s">
        <v>2551</v>
      </c>
      <c r="B1722" s="28" t="s">
        <v>68</v>
      </c>
      <c r="C1722" s="29"/>
      <c r="D1722" s="29" t="str">
        <f t="shared" si="115"/>
        <v>Removed</v>
      </c>
      <c r="E1722" s="70">
        <v>42887.0</v>
      </c>
      <c r="F1722" s="70">
        <v>43678.0</v>
      </c>
      <c r="G1722" s="32">
        <f t="shared" si="2"/>
        <v>26</v>
      </c>
      <c r="H1722" s="33">
        <v>40772.0</v>
      </c>
      <c r="I1722" s="32">
        <f t="shared" si="3"/>
        <v>5.788888889</v>
      </c>
      <c r="J1722" s="34">
        <v>81.0</v>
      </c>
      <c r="K1722" s="34">
        <v>4.0</v>
      </c>
      <c r="L1722" s="44" t="s">
        <v>2550</v>
      </c>
      <c r="M1722" s="44"/>
      <c r="N1722" s="44"/>
      <c r="O1722" s="44"/>
      <c r="P1722" s="71"/>
      <c r="Q1722" s="44"/>
      <c r="R1722" s="29"/>
      <c r="S1722" s="33"/>
      <c r="T1722" s="32"/>
    </row>
    <row r="1723">
      <c r="A1723" s="15" t="s">
        <v>2552</v>
      </c>
      <c r="B1723" s="16" t="s">
        <v>1859</v>
      </c>
      <c r="C1723" s="17"/>
      <c r="D1723" s="17" t="s">
        <v>1860</v>
      </c>
      <c r="E1723" s="76">
        <v>43662.0</v>
      </c>
      <c r="F1723" s="62">
        <v>43677.0</v>
      </c>
      <c r="G1723" s="20">
        <f t="shared" si="2"/>
        <v>0.4666666667</v>
      </c>
      <c r="H1723" s="18"/>
      <c r="I1723" s="20">
        <f t="shared" si="3"/>
        <v>-6.247222222</v>
      </c>
      <c r="J1723" s="53"/>
      <c r="K1723" s="53"/>
      <c r="L1723" s="23"/>
      <c r="M1723" s="23"/>
      <c r="N1723" s="23" t="s">
        <v>1612</v>
      </c>
      <c r="O1723" s="23"/>
      <c r="P1723" s="54"/>
      <c r="Q1723" s="23"/>
      <c r="R1723" s="17"/>
      <c r="S1723" s="18"/>
      <c r="T1723" s="20"/>
    </row>
    <row r="1724">
      <c r="A1724" s="27" t="s">
        <v>2553</v>
      </c>
      <c r="B1724" s="28" t="s">
        <v>1610</v>
      </c>
      <c r="C1724" s="29"/>
      <c r="D1724" s="29" t="s">
        <v>1611</v>
      </c>
      <c r="E1724" s="70">
        <v>43647.0</v>
      </c>
      <c r="F1724" s="30">
        <v>43677.0</v>
      </c>
      <c r="G1724" s="32">
        <f t="shared" si="2"/>
        <v>0.9666666667</v>
      </c>
      <c r="H1724" s="33"/>
      <c r="I1724" s="32">
        <f t="shared" si="3"/>
        <v>-6.288888889</v>
      </c>
      <c r="J1724" s="34"/>
      <c r="K1724" s="34"/>
      <c r="L1724" s="35"/>
      <c r="M1724" s="35"/>
      <c r="N1724" s="35"/>
      <c r="O1724" s="35"/>
      <c r="P1724" s="36"/>
      <c r="Q1724" s="35"/>
      <c r="R1724" s="29"/>
      <c r="S1724" s="33"/>
      <c r="T1724" s="32"/>
    </row>
    <row r="1725">
      <c r="A1725" s="15" t="s">
        <v>2554</v>
      </c>
      <c r="B1725" s="16" t="s">
        <v>1859</v>
      </c>
      <c r="C1725" s="17"/>
      <c r="D1725" s="17" t="s">
        <v>1860</v>
      </c>
      <c r="E1725" s="76">
        <v>43647.0</v>
      </c>
      <c r="F1725" s="62">
        <v>43661.0</v>
      </c>
      <c r="G1725" s="20">
        <f t="shared" si="2"/>
        <v>0.4666666667</v>
      </c>
      <c r="H1725" s="18"/>
      <c r="I1725" s="20">
        <f t="shared" si="3"/>
        <v>-6.288888889</v>
      </c>
      <c r="J1725" s="53"/>
      <c r="K1725" s="53"/>
      <c r="L1725" s="23"/>
      <c r="M1725" s="23"/>
      <c r="N1725" s="23" t="s">
        <v>1612</v>
      </c>
      <c r="O1725" s="23"/>
      <c r="P1725" s="54"/>
      <c r="Q1725" s="23"/>
      <c r="R1725" s="17"/>
      <c r="S1725" s="18"/>
      <c r="T1725" s="20"/>
    </row>
    <row r="1726">
      <c r="A1726" s="27" t="s">
        <v>2555</v>
      </c>
      <c r="B1726" s="28" t="s">
        <v>1610</v>
      </c>
      <c r="C1726" s="29"/>
      <c r="D1726" s="29" t="s">
        <v>1611</v>
      </c>
      <c r="E1726" s="70">
        <v>43632.0</v>
      </c>
      <c r="F1726" s="30">
        <v>43661.0</v>
      </c>
      <c r="G1726" s="32">
        <f t="shared" si="2"/>
        <v>0.9666666667</v>
      </c>
      <c r="H1726" s="33"/>
      <c r="I1726" s="32">
        <f t="shared" si="3"/>
        <v>-6.330555556</v>
      </c>
      <c r="J1726" s="34"/>
      <c r="K1726" s="34"/>
      <c r="L1726" s="35"/>
      <c r="M1726" s="35"/>
      <c r="N1726" s="35"/>
      <c r="O1726" s="35"/>
      <c r="P1726" s="36"/>
      <c r="Q1726" s="35"/>
      <c r="R1726" s="29"/>
      <c r="S1726" s="33"/>
      <c r="T1726" s="32"/>
    </row>
    <row r="1727">
      <c r="A1727" s="64" t="s">
        <v>2556</v>
      </c>
      <c r="B1727" s="16" t="s">
        <v>68</v>
      </c>
      <c r="C1727" s="17"/>
      <c r="D1727" s="17" t="str">
        <f t="shared" ref="D1727:D1734" si="116">IF(E1727&gt;TODAY(),"Coming Soon",IF(F1727="","Active",IF(F1727&gt;TODAY(),"Leaving Soon","Removed")))</f>
        <v>Removed</v>
      </c>
      <c r="E1727" s="76">
        <v>43466.0</v>
      </c>
      <c r="F1727" s="76">
        <v>43647.0</v>
      </c>
      <c r="G1727" s="20">
        <f t="shared" si="2"/>
        <v>6</v>
      </c>
      <c r="H1727" s="18">
        <v>43475.0</v>
      </c>
      <c r="I1727" s="20">
        <f t="shared" si="3"/>
        <v>-0.025</v>
      </c>
      <c r="J1727" s="53">
        <v>69.0</v>
      </c>
      <c r="K1727" s="53"/>
      <c r="L1727" s="23" t="s">
        <v>184</v>
      </c>
      <c r="M1727" s="23"/>
      <c r="N1727" s="23"/>
      <c r="O1727" s="23"/>
      <c r="P1727" s="54"/>
      <c r="Q1727" s="23"/>
      <c r="R1727" s="17"/>
      <c r="S1727" s="18"/>
      <c r="T1727" s="20"/>
    </row>
    <row r="1728">
      <c r="A1728" s="27" t="s">
        <v>2557</v>
      </c>
      <c r="B1728" s="28" t="s">
        <v>68</v>
      </c>
      <c r="C1728" s="29"/>
      <c r="D1728" s="29" t="str">
        <f t="shared" si="116"/>
        <v>Removed</v>
      </c>
      <c r="E1728" s="70">
        <v>43466.0</v>
      </c>
      <c r="F1728" s="70">
        <v>43647.0</v>
      </c>
      <c r="G1728" s="32">
        <f t="shared" si="2"/>
        <v>6</v>
      </c>
      <c r="H1728" s="33">
        <v>41677.0</v>
      </c>
      <c r="I1728" s="32">
        <f t="shared" si="3"/>
        <v>4.9</v>
      </c>
      <c r="J1728" s="34">
        <v>69.0</v>
      </c>
      <c r="K1728" s="34">
        <v>8.0</v>
      </c>
      <c r="L1728" s="142" t="s">
        <v>37</v>
      </c>
      <c r="M1728" s="35" t="s">
        <v>451</v>
      </c>
      <c r="N1728" s="142"/>
      <c r="O1728" s="142"/>
      <c r="P1728" s="143"/>
      <c r="Q1728" s="142"/>
      <c r="R1728" s="29"/>
      <c r="S1728" s="33"/>
      <c r="T1728" s="32"/>
    </row>
    <row r="1729">
      <c r="A1729" s="64" t="s">
        <v>2558</v>
      </c>
      <c r="B1729" s="16" t="s">
        <v>68</v>
      </c>
      <c r="C1729" s="17"/>
      <c r="D1729" s="17" t="str">
        <f t="shared" si="116"/>
        <v>Removed</v>
      </c>
      <c r="E1729" s="76">
        <v>43313.0</v>
      </c>
      <c r="F1729" s="76">
        <v>43647.0</v>
      </c>
      <c r="G1729" s="20">
        <f t="shared" si="2"/>
        <v>11</v>
      </c>
      <c r="H1729" s="18">
        <v>43137.0</v>
      </c>
      <c r="I1729" s="20">
        <f t="shared" si="3"/>
        <v>0.4861111111</v>
      </c>
      <c r="J1729" s="53">
        <v>70.0</v>
      </c>
      <c r="K1729" s="53">
        <v>6.5</v>
      </c>
      <c r="L1729" s="23" t="s">
        <v>721</v>
      </c>
      <c r="M1729" s="23"/>
      <c r="N1729" s="23"/>
      <c r="O1729" s="23"/>
      <c r="P1729" s="54"/>
      <c r="Q1729" s="23"/>
      <c r="R1729" s="17"/>
      <c r="S1729" s="18"/>
      <c r="T1729" s="20"/>
    </row>
    <row r="1730">
      <c r="A1730" s="67" t="s">
        <v>2559</v>
      </c>
      <c r="B1730" s="28" t="s">
        <v>68</v>
      </c>
      <c r="C1730" s="29"/>
      <c r="D1730" s="29" t="str">
        <f t="shared" si="116"/>
        <v>Removed</v>
      </c>
      <c r="E1730" s="70">
        <v>43313.0</v>
      </c>
      <c r="F1730" s="70">
        <v>43647.0</v>
      </c>
      <c r="G1730" s="32">
        <f t="shared" si="2"/>
        <v>11</v>
      </c>
      <c r="H1730" s="33">
        <v>40423.0</v>
      </c>
      <c r="I1730" s="32">
        <f t="shared" si="3"/>
        <v>7.913888889</v>
      </c>
      <c r="J1730" s="34">
        <v>79.0</v>
      </c>
      <c r="K1730" s="34">
        <v>14.0</v>
      </c>
      <c r="L1730" s="35" t="s">
        <v>509</v>
      </c>
      <c r="M1730" s="44"/>
      <c r="N1730" s="44"/>
      <c r="O1730" s="44"/>
      <c r="P1730" s="71"/>
      <c r="Q1730" s="44"/>
      <c r="R1730" s="29"/>
      <c r="S1730" s="33"/>
      <c r="T1730" s="32"/>
    </row>
    <row r="1731">
      <c r="A1731" s="15" t="s">
        <v>2560</v>
      </c>
      <c r="B1731" s="16" t="s">
        <v>68</v>
      </c>
      <c r="C1731" s="17"/>
      <c r="D1731" s="17" t="str">
        <f t="shared" si="116"/>
        <v>Removed</v>
      </c>
      <c r="E1731" s="76">
        <v>43313.0</v>
      </c>
      <c r="F1731" s="76">
        <v>43647.0</v>
      </c>
      <c r="G1731" s="20">
        <f t="shared" si="2"/>
        <v>11</v>
      </c>
      <c r="H1731" s="18">
        <v>42440.0</v>
      </c>
      <c r="I1731" s="20">
        <f t="shared" si="3"/>
        <v>2.388888889</v>
      </c>
      <c r="J1731" s="53">
        <v>85.0</v>
      </c>
      <c r="K1731" s="53">
        <v>10.5</v>
      </c>
      <c r="L1731" s="43" t="s">
        <v>37</v>
      </c>
      <c r="M1731" s="43"/>
      <c r="N1731" s="43"/>
      <c r="O1731" s="43"/>
      <c r="P1731" s="66"/>
      <c r="Q1731" s="43"/>
      <c r="R1731" s="17"/>
      <c r="S1731" s="18"/>
      <c r="T1731" s="20"/>
    </row>
    <row r="1732">
      <c r="A1732" s="67" t="s">
        <v>2561</v>
      </c>
      <c r="B1732" s="28" t="s">
        <v>68</v>
      </c>
      <c r="C1732" s="29"/>
      <c r="D1732" s="29" t="str">
        <f t="shared" si="116"/>
        <v>Removed</v>
      </c>
      <c r="E1732" s="70">
        <v>42948.0</v>
      </c>
      <c r="F1732" s="70">
        <v>43647.0</v>
      </c>
      <c r="G1732" s="32">
        <f t="shared" si="2"/>
        <v>23</v>
      </c>
      <c r="H1732" s="33">
        <v>40170.0</v>
      </c>
      <c r="I1732" s="32">
        <f t="shared" si="3"/>
        <v>7.605555556</v>
      </c>
      <c r="J1732" s="34">
        <v>61.0</v>
      </c>
      <c r="K1732" s="34">
        <v>1.0</v>
      </c>
      <c r="L1732" s="44" t="s">
        <v>32</v>
      </c>
      <c r="M1732" s="44"/>
      <c r="N1732" s="44"/>
      <c r="O1732" s="44"/>
      <c r="P1732" s="71"/>
      <c r="Q1732" s="35" t="s">
        <v>863</v>
      </c>
      <c r="R1732" s="29"/>
      <c r="S1732" s="33"/>
      <c r="T1732" s="32"/>
    </row>
    <row r="1733">
      <c r="A1733" s="64" t="s">
        <v>2562</v>
      </c>
      <c r="B1733" s="16" t="s">
        <v>68</v>
      </c>
      <c r="C1733" s="17"/>
      <c r="D1733" s="17" t="str">
        <f t="shared" si="116"/>
        <v>Removed</v>
      </c>
      <c r="E1733" s="76">
        <v>42887.0</v>
      </c>
      <c r="F1733" s="76">
        <v>43647.0</v>
      </c>
      <c r="G1733" s="20">
        <f t="shared" si="2"/>
        <v>25</v>
      </c>
      <c r="H1733" s="18">
        <v>39790.0</v>
      </c>
      <c r="I1733" s="20">
        <f t="shared" si="3"/>
        <v>8.480555556</v>
      </c>
      <c r="J1733" s="53">
        <v>82.0</v>
      </c>
      <c r="K1733" s="53">
        <v>11.0</v>
      </c>
      <c r="L1733" s="43" t="s">
        <v>966</v>
      </c>
      <c r="M1733" s="43"/>
      <c r="N1733" s="43"/>
      <c r="O1733" s="43"/>
      <c r="P1733" s="66"/>
      <c r="Q1733" s="23" t="s">
        <v>863</v>
      </c>
      <c r="R1733" s="17"/>
      <c r="S1733" s="18"/>
      <c r="T1733" s="20"/>
    </row>
    <row r="1734">
      <c r="A1734" s="67" t="s">
        <v>2563</v>
      </c>
      <c r="B1734" s="28" t="s">
        <v>68</v>
      </c>
      <c r="C1734" s="29"/>
      <c r="D1734" s="29" t="str">
        <f t="shared" si="116"/>
        <v>Removed</v>
      </c>
      <c r="E1734" s="70">
        <v>42887.0</v>
      </c>
      <c r="F1734" s="70">
        <v>43647.0</v>
      </c>
      <c r="G1734" s="32">
        <f t="shared" si="2"/>
        <v>25</v>
      </c>
      <c r="H1734" s="33">
        <v>39309.0</v>
      </c>
      <c r="I1734" s="32">
        <f t="shared" si="3"/>
        <v>9.794444444</v>
      </c>
      <c r="J1734" s="34">
        <v>72.0</v>
      </c>
      <c r="K1734" s="34">
        <v>8.0</v>
      </c>
      <c r="L1734" s="44" t="s">
        <v>731</v>
      </c>
      <c r="M1734" s="44"/>
      <c r="N1734" s="44"/>
      <c r="O1734" s="44"/>
      <c r="P1734" s="71"/>
      <c r="Q1734" s="35" t="s">
        <v>863</v>
      </c>
      <c r="R1734" s="29"/>
      <c r="S1734" s="33"/>
      <c r="T1734" s="32"/>
    </row>
    <row r="1735">
      <c r="A1735" s="15" t="s">
        <v>2564</v>
      </c>
      <c r="B1735" s="16" t="s">
        <v>1859</v>
      </c>
      <c r="C1735" s="17"/>
      <c r="D1735" s="17" t="s">
        <v>1860</v>
      </c>
      <c r="E1735" s="76">
        <v>43632.0</v>
      </c>
      <c r="F1735" s="62">
        <v>43646.0</v>
      </c>
      <c r="G1735" s="20">
        <f t="shared" si="2"/>
        <v>0.4666666667</v>
      </c>
      <c r="H1735" s="18"/>
      <c r="I1735" s="20">
        <f t="shared" si="3"/>
        <v>-6.330555556</v>
      </c>
      <c r="J1735" s="53"/>
      <c r="K1735" s="53"/>
      <c r="L1735" s="23"/>
      <c r="M1735" s="23"/>
      <c r="N1735" s="23" t="s">
        <v>1612</v>
      </c>
      <c r="O1735" s="23"/>
      <c r="P1735" s="54"/>
      <c r="Q1735" s="23"/>
      <c r="R1735" s="17"/>
      <c r="S1735" s="18"/>
      <c r="T1735" s="20"/>
    </row>
    <row r="1736">
      <c r="A1736" s="27" t="s">
        <v>2246</v>
      </c>
      <c r="B1736" s="28" t="s">
        <v>1610</v>
      </c>
      <c r="C1736" s="29"/>
      <c r="D1736" s="29" t="s">
        <v>1611</v>
      </c>
      <c r="E1736" s="70">
        <v>43617.0</v>
      </c>
      <c r="F1736" s="30">
        <v>43646.0</v>
      </c>
      <c r="G1736" s="32">
        <f t="shared" si="2"/>
        <v>0.9666666667</v>
      </c>
      <c r="H1736" s="33"/>
      <c r="I1736" s="32">
        <f t="shared" si="3"/>
        <v>-6.372222222</v>
      </c>
      <c r="J1736" s="34"/>
      <c r="K1736" s="34"/>
      <c r="L1736" s="35"/>
      <c r="M1736" s="35"/>
      <c r="N1736" s="35" t="s">
        <v>1612</v>
      </c>
      <c r="O1736" s="35"/>
      <c r="P1736" s="36"/>
      <c r="Q1736" s="35"/>
      <c r="R1736" s="29"/>
      <c r="S1736" s="33"/>
      <c r="T1736" s="32"/>
    </row>
    <row r="1737">
      <c r="A1737" s="15" t="s">
        <v>2565</v>
      </c>
      <c r="B1737" s="16" t="s">
        <v>1859</v>
      </c>
      <c r="C1737" s="17"/>
      <c r="D1737" s="17" t="s">
        <v>1860</v>
      </c>
      <c r="E1737" s="76">
        <v>43617.0</v>
      </c>
      <c r="F1737" s="62">
        <v>43631.0</v>
      </c>
      <c r="G1737" s="20">
        <f t="shared" si="2"/>
        <v>0.4666666667</v>
      </c>
      <c r="H1737" s="18"/>
      <c r="I1737" s="20">
        <f t="shared" si="3"/>
        <v>-6.372222222</v>
      </c>
      <c r="J1737" s="53"/>
      <c r="K1737" s="53"/>
      <c r="L1737" s="23"/>
      <c r="M1737" s="23" t="s">
        <v>1614</v>
      </c>
      <c r="N1737" s="23" t="s">
        <v>1612</v>
      </c>
      <c r="O1737" s="23"/>
      <c r="P1737" s="54"/>
      <c r="Q1737" s="23"/>
      <c r="R1737" s="17"/>
      <c r="S1737" s="18"/>
      <c r="T1737" s="20"/>
    </row>
    <row r="1738">
      <c r="A1738" s="27" t="s">
        <v>2566</v>
      </c>
      <c r="B1738" s="28" t="s">
        <v>1610</v>
      </c>
      <c r="C1738" s="29"/>
      <c r="D1738" s="29" t="s">
        <v>1611</v>
      </c>
      <c r="E1738" s="70">
        <v>43601.0</v>
      </c>
      <c r="F1738" s="30">
        <v>43631.0</v>
      </c>
      <c r="G1738" s="32">
        <f t="shared" si="2"/>
        <v>0.9666666667</v>
      </c>
      <c r="H1738" s="33"/>
      <c r="I1738" s="32">
        <f t="shared" si="3"/>
        <v>-6.413888889</v>
      </c>
      <c r="J1738" s="34"/>
      <c r="K1738" s="34"/>
      <c r="L1738" s="35"/>
      <c r="M1738" s="35"/>
      <c r="N1738" s="35" t="s">
        <v>1612</v>
      </c>
      <c r="O1738" s="35"/>
      <c r="P1738" s="36"/>
      <c r="Q1738" s="35"/>
      <c r="R1738" s="29"/>
      <c r="S1738" s="33"/>
      <c r="T1738" s="32"/>
    </row>
    <row r="1739">
      <c r="A1739" s="64" t="s">
        <v>2567</v>
      </c>
      <c r="B1739" s="16" t="s">
        <v>68</v>
      </c>
      <c r="C1739" s="17"/>
      <c r="D1739" s="17" t="str">
        <f t="shared" ref="D1739:D1743" si="117">IF(E1739&gt;TODAY(),"Coming Soon",IF(F1739="","Active",IF(F1739&gt;TODAY(),"Leaving Soon","Removed")))</f>
        <v>Removed</v>
      </c>
      <c r="E1739" s="76">
        <v>43466.0</v>
      </c>
      <c r="F1739" s="76">
        <v>43617.0</v>
      </c>
      <c r="G1739" s="20">
        <f t="shared" si="2"/>
        <v>5</v>
      </c>
      <c r="H1739" s="18">
        <v>40862.0</v>
      </c>
      <c r="I1739" s="20">
        <f t="shared" si="3"/>
        <v>7.127777778</v>
      </c>
      <c r="J1739" s="53">
        <v>78.0</v>
      </c>
      <c r="K1739" s="53">
        <v>1.0</v>
      </c>
      <c r="L1739" s="43" t="s">
        <v>303</v>
      </c>
      <c r="M1739" s="43"/>
      <c r="N1739" s="43"/>
      <c r="O1739" s="43"/>
      <c r="P1739" s="66"/>
      <c r="Q1739" s="43"/>
      <c r="R1739" s="17"/>
      <c r="S1739" s="18"/>
      <c r="T1739" s="20"/>
    </row>
    <row r="1740">
      <c r="A1740" s="27" t="s">
        <v>2568</v>
      </c>
      <c r="B1740" s="28" t="s">
        <v>68</v>
      </c>
      <c r="C1740" s="29"/>
      <c r="D1740" s="29" t="str">
        <f t="shared" si="117"/>
        <v>Removed</v>
      </c>
      <c r="E1740" s="70">
        <v>43282.0</v>
      </c>
      <c r="F1740" s="70">
        <v>43617.0</v>
      </c>
      <c r="G1740" s="32">
        <f t="shared" si="2"/>
        <v>11</v>
      </c>
      <c r="H1740" s="33">
        <v>40044.0</v>
      </c>
      <c r="I1740" s="32">
        <f t="shared" si="3"/>
        <v>8.866666667</v>
      </c>
      <c r="J1740" s="34">
        <v>80.0</v>
      </c>
      <c r="K1740" s="34">
        <v>4.5</v>
      </c>
      <c r="L1740" s="44" t="s">
        <v>201</v>
      </c>
      <c r="M1740" s="44"/>
      <c r="N1740" s="44"/>
      <c r="O1740" s="44"/>
      <c r="P1740" s="71"/>
      <c r="Q1740" s="35" t="s">
        <v>863</v>
      </c>
      <c r="R1740" s="29"/>
      <c r="S1740" s="33"/>
      <c r="T1740" s="32"/>
    </row>
    <row r="1741">
      <c r="A1741" s="64" t="s">
        <v>2569</v>
      </c>
      <c r="B1741" s="16" t="s">
        <v>68</v>
      </c>
      <c r="C1741" s="17"/>
      <c r="D1741" s="17" t="str">
        <f t="shared" si="117"/>
        <v>Removed</v>
      </c>
      <c r="E1741" s="76">
        <v>43282.0</v>
      </c>
      <c r="F1741" s="76">
        <v>43617.0</v>
      </c>
      <c r="G1741" s="20">
        <f t="shared" si="2"/>
        <v>11</v>
      </c>
      <c r="H1741" s="18">
        <v>42069.0</v>
      </c>
      <c r="I1741" s="20">
        <f t="shared" si="3"/>
        <v>3.319444444</v>
      </c>
      <c r="J1741" s="53">
        <v>62.0</v>
      </c>
      <c r="K1741" s="53">
        <v>14.5</v>
      </c>
      <c r="L1741" s="43" t="s">
        <v>2570</v>
      </c>
      <c r="M1741" s="43"/>
      <c r="N1741" s="43"/>
      <c r="O1741" s="43"/>
      <c r="P1741" s="66"/>
      <c r="Q1741" s="43"/>
      <c r="R1741" s="17"/>
      <c r="S1741" s="18"/>
      <c r="T1741" s="20"/>
    </row>
    <row r="1742">
      <c r="A1742" s="67" t="s">
        <v>2571</v>
      </c>
      <c r="B1742" s="28" t="s">
        <v>68</v>
      </c>
      <c r="C1742" s="29"/>
      <c r="D1742" s="29" t="str">
        <f t="shared" si="117"/>
        <v>Removed</v>
      </c>
      <c r="E1742" s="70">
        <v>43252.0</v>
      </c>
      <c r="F1742" s="70">
        <v>43617.0</v>
      </c>
      <c r="G1742" s="32">
        <f t="shared" si="2"/>
        <v>12</v>
      </c>
      <c r="H1742" s="33">
        <v>42923.0</v>
      </c>
      <c r="I1742" s="32">
        <f t="shared" si="3"/>
        <v>0.9</v>
      </c>
      <c r="J1742" s="34">
        <v>61.0</v>
      </c>
      <c r="K1742" s="34">
        <v>15.0</v>
      </c>
      <c r="L1742" s="44" t="s">
        <v>37</v>
      </c>
      <c r="M1742" s="44"/>
      <c r="N1742" s="44"/>
      <c r="O1742" s="44"/>
      <c r="P1742" s="71"/>
      <c r="Q1742" s="44"/>
      <c r="R1742" s="29"/>
      <c r="S1742" s="33"/>
      <c r="T1742" s="32"/>
    </row>
    <row r="1743">
      <c r="A1743" s="64" t="s">
        <v>2572</v>
      </c>
      <c r="B1743" s="16" t="s">
        <v>68</v>
      </c>
      <c r="C1743" s="17"/>
      <c r="D1743" s="17" t="str">
        <f t="shared" si="117"/>
        <v>Removed</v>
      </c>
      <c r="E1743" s="76">
        <v>43101.0</v>
      </c>
      <c r="F1743" s="76">
        <v>43617.0</v>
      </c>
      <c r="G1743" s="20">
        <f t="shared" si="2"/>
        <v>17</v>
      </c>
      <c r="H1743" s="18">
        <v>42173.0</v>
      </c>
      <c r="I1743" s="20">
        <f t="shared" si="3"/>
        <v>2.536111111</v>
      </c>
      <c r="J1743" s="53">
        <v>76.0</v>
      </c>
      <c r="K1743" s="53">
        <v>10.0</v>
      </c>
      <c r="L1743" s="43" t="s">
        <v>366</v>
      </c>
      <c r="M1743" s="43"/>
      <c r="N1743" s="43"/>
      <c r="O1743" s="43"/>
      <c r="P1743" s="66"/>
      <c r="Q1743" s="43"/>
      <c r="R1743" s="17"/>
      <c r="S1743" s="18"/>
      <c r="T1743" s="20"/>
    </row>
    <row r="1744">
      <c r="A1744" s="27" t="s">
        <v>2573</v>
      </c>
      <c r="B1744" s="28" t="s">
        <v>1859</v>
      </c>
      <c r="C1744" s="29"/>
      <c r="D1744" s="29" t="s">
        <v>1860</v>
      </c>
      <c r="E1744" s="70">
        <v>43601.0</v>
      </c>
      <c r="F1744" s="30">
        <v>43616.0</v>
      </c>
      <c r="G1744" s="32">
        <f t="shared" si="2"/>
        <v>0.4666666667</v>
      </c>
      <c r="H1744" s="33"/>
      <c r="I1744" s="32">
        <f t="shared" si="3"/>
        <v>-6.413888889</v>
      </c>
      <c r="J1744" s="34"/>
      <c r="K1744" s="34"/>
      <c r="L1744" s="35"/>
      <c r="M1744" s="35"/>
      <c r="N1744" s="35" t="s">
        <v>1612</v>
      </c>
      <c r="O1744" s="35"/>
      <c r="P1744" s="36"/>
      <c r="Q1744" s="35"/>
      <c r="R1744" s="29"/>
      <c r="S1744" s="33"/>
      <c r="T1744" s="32"/>
    </row>
    <row r="1745">
      <c r="A1745" s="15" t="s">
        <v>2574</v>
      </c>
      <c r="B1745" s="16" t="s">
        <v>1610</v>
      </c>
      <c r="C1745" s="17"/>
      <c r="D1745" s="17" t="s">
        <v>1611</v>
      </c>
      <c r="E1745" s="76">
        <v>43586.0</v>
      </c>
      <c r="F1745" s="62">
        <v>43616.0</v>
      </c>
      <c r="G1745" s="20">
        <f t="shared" si="2"/>
        <v>0.9666666667</v>
      </c>
      <c r="H1745" s="18"/>
      <c r="I1745" s="20">
        <f t="shared" si="3"/>
        <v>-6.455555556</v>
      </c>
      <c r="J1745" s="53"/>
      <c r="K1745" s="53"/>
      <c r="L1745" s="23"/>
      <c r="M1745" s="23"/>
      <c r="N1745" s="23"/>
      <c r="O1745" s="23"/>
      <c r="P1745" s="54"/>
      <c r="Q1745" s="23"/>
      <c r="R1745" s="17"/>
      <c r="S1745" s="18"/>
      <c r="T1745" s="20"/>
    </row>
    <row r="1746">
      <c r="A1746" s="27" t="s">
        <v>2575</v>
      </c>
      <c r="B1746" s="28" t="s">
        <v>1859</v>
      </c>
      <c r="C1746" s="29"/>
      <c r="D1746" s="29" t="s">
        <v>1860</v>
      </c>
      <c r="E1746" s="70">
        <v>43586.0</v>
      </c>
      <c r="F1746" s="30">
        <v>43600.0</v>
      </c>
      <c r="G1746" s="32">
        <f t="shared" si="2"/>
        <v>0.4666666667</v>
      </c>
      <c r="H1746" s="33"/>
      <c r="I1746" s="32">
        <f t="shared" si="3"/>
        <v>-6.455555556</v>
      </c>
      <c r="J1746" s="34"/>
      <c r="K1746" s="34"/>
      <c r="L1746" s="35"/>
      <c r="M1746" s="35"/>
      <c r="N1746" s="35" t="s">
        <v>1612</v>
      </c>
      <c r="O1746" s="35"/>
      <c r="P1746" s="36"/>
      <c r="Q1746" s="35"/>
      <c r="R1746" s="29"/>
      <c r="S1746" s="33"/>
      <c r="T1746" s="32"/>
    </row>
    <row r="1747">
      <c r="A1747" s="15" t="s">
        <v>2576</v>
      </c>
      <c r="B1747" s="16" t="s">
        <v>1610</v>
      </c>
      <c r="C1747" s="17"/>
      <c r="D1747" s="17" t="s">
        <v>1611</v>
      </c>
      <c r="E1747" s="76">
        <v>43571.0</v>
      </c>
      <c r="F1747" s="62">
        <v>43600.0</v>
      </c>
      <c r="G1747" s="20">
        <f t="shared" si="2"/>
        <v>0.9666666667</v>
      </c>
      <c r="H1747" s="18"/>
      <c r="I1747" s="20">
        <f t="shared" si="3"/>
        <v>-6.497222222</v>
      </c>
      <c r="J1747" s="53"/>
      <c r="K1747" s="53"/>
      <c r="L1747" s="23"/>
      <c r="M1747" s="23"/>
      <c r="N1747" s="23"/>
      <c r="O1747" s="23"/>
      <c r="P1747" s="54"/>
      <c r="Q1747" s="23"/>
      <c r="R1747" s="17"/>
      <c r="S1747" s="18"/>
      <c r="T1747" s="20"/>
    </row>
    <row r="1748">
      <c r="A1748" s="67" t="s">
        <v>2577</v>
      </c>
      <c r="B1748" s="28" t="s">
        <v>68</v>
      </c>
      <c r="C1748" s="29"/>
      <c r="D1748" s="29" t="str">
        <f t="shared" ref="D1748:D1764" si="118">IF(E1748&gt;TODAY(),"Coming Soon",IF(F1748="","Active",IF(F1748&gt;TODAY(),"Leaving Soon","Removed")))</f>
        <v>Removed</v>
      </c>
      <c r="E1748" s="70">
        <v>43253.0</v>
      </c>
      <c r="F1748" s="70">
        <v>43586.0</v>
      </c>
      <c r="G1748" s="32">
        <f t="shared" si="2"/>
        <v>10.96666667</v>
      </c>
      <c r="H1748" s="33">
        <v>39392.0</v>
      </c>
      <c r="I1748" s="32">
        <f t="shared" si="3"/>
        <v>10.57222222</v>
      </c>
      <c r="J1748" s="34">
        <v>80.0</v>
      </c>
      <c r="K1748" s="34">
        <v>14.0</v>
      </c>
      <c r="L1748" s="44" t="s">
        <v>444</v>
      </c>
      <c r="M1748" s="44"/>
      <c r="N1748" s="44"/>
      <c r="O1748" s="44"/>
      <c r="P1748" s="71"/>
      <c r="Q1748" s="35" t="s">
        <v>863</v>
      </c>
      <c r="R1748" s="29"/>
      <c r="S1748" s="33"/>
      <c r="T1748" s="32"/>
    </row>
    <row r="1749">
      <c r="A1749" s="15" t="s">
        <v>2578</v>
      </c>
      <c r="B1749" s="16" t="s">
        <v>68</v>
      </c>
      <c r="C1749" s="17"/>
      <c r="D1749" s="17" t="str">
        <f t="shared" si="118"/>
        <v>Removed</v>
      </c>
      <c r="E1749" s="76">
        <v>43253.0</v>
      </c>
      <c r="F1749" s="76">
        <v>43586.0</v>
      </c>
      <c r="G1749" s="20">
        <f t="shared" si="2"/>
        <v>10.96666667</v>
      </c>
      <c r="H1749" s="18">
        <v>37817.0</v>
      </c>
      <c r="I1749" s="20">
        <f t="shared" si="3"/>
        <v>14.88055556</v>
      </c>
      <c r="J1749" s="53">
        <v>94.0</v>
      </c>
      <c r="K1749" s="53">
        <v>29.0</v>
      </c>
      <c r="L1749" s="23" t="s">
        <v>29</v>
      </c>
      <c r="M1749" s="23"/>
      <c r="N1749" s="23"/>
      <c r="O1749" s="23"/>
      <c r="P1749" s="54"/>
      <c r="Q1749" s="23"/>
      <c r="R1749" s="17"/>
      <c r="S1749" s="18"/>
      <c r="T1749" s="20"/>
    </row>
    <row r="1750">
      <c r="A1750" s="67" t="s">
        <v>2579</v>
      </c>
      <c r="B1750" s="28" t="s">
        <v>68</v>
      </c>
      <c r="C1750" s="29"/>
      <c r="D1750" s="29" t="str">
        <f t="shared" si="118"/>
        <v>Removed</v>
      </c>
      <c r="E1750" s="70">
        <v>43252.0</v>
      </c>
      <c r="F1750" s="70">
        <v>43586.0</v>
      </c>
      <c r="G1750" s="32">
        <f t="shared" si="2"/>
        <v>11</v>
      </c>
      <c r="H1750" s="33">
        <v>42927.0</v>
      </c>
      <c r="I1750" s="32">
        <f t="shared" si="3"/>
        <v>0.8888888889</v>
      </c>
      <c r="J1750" s="34">
        <v>73.0</v>
      </c>
      <c r="K1750" s="34">
        <v>50.5</v>
      </c>
      <c r="L1750" s="44" t="s">
        <v>500</v>
      </c>
      <c r="M1750" s="44"/>
      <c r="N1750" s="44"/>
      <c r="O1750" s="44"/>
      <c r="P1750" s="71"/>
      <c r="Q1750" s="44"/>
      <c r="R1750" s="29"/>
      <c r="S1750" s="33"/>
      <c r="T1750" s="32"/>
    </row>
    <row r="1751">
      <c r="A1751" s="64" t="s">
        <v>2580</v>
      </c>
      <c r="B1751" s="16" t="s">
        <v>68</v>
      </c>
      <c r="C1751" s="17"/>
      <c r="D1751" s="17" t="str">
        <f t="shared" si="118"/>
        <v>Removed</v>
      </c>
      <c r="E1751" s="76">
        <v>43252.0</v>
      </c>
      <c r="F1751" s="76">
        <v>43586.0</v>
      </c>
      <c r="G1751" s="20">
        <f t="shared" si="2"/>
        <v>11</v>
      </c>
      <c r="H1751" s="18">
        <v>39707.0</v>
      </c>
      <c r="I1751" s="20">
        <f t="shared" si="3"/>
        <v>9.708333333</v>
      </c>
      <c r="J1751" s="53">
        <v>73.0</v>
      </c>
      <c r="K1751" s="53">
        <v>8.0</v>
      </c>
      <c r="L1751" s="43" t="s">
        <v>37</v>
      </c>
      <c r="M1751" s="43"/>
      <c r="N1751" s="43"/>
      <c r="O1751" s="43"/>
      <c r="P1751" s="66"/>
      <c r="Q1751" s="23" t="s">
        <v>863</v>
      </c>
      <c r="R1751" s="17"/>
      <c r="S1751" s="18"/>
      <c r="T1751" s="20"/>
    </row>
    <row r="1752">
      <c r="A1752" s="67" t="s">
        <v>2581</v>
      </c>
      <c r="B1752" s="28" t="s">
        <v>68</v>
      </c>
      <c r="C1752" s="29"/>
      <c r="D1752" s="29" t="str">
        <f t="shared" si="118"/>
        <v>Removed</v>
      </c>
      <c r="E1752" s="70">
        <v>43252.0</v>
      </c>
      <c r="F1752" s="70">
        <v>43586.0</v>
      </c>
      <c r="G1752" s="32">
        <f t="shared" si="2"/>
        <v>11</v>
      </c>
      <c r="H1752" s="33">
        <v>40477.0</v>
      </c>
      <c r="I1752" s="32">
        <f t="shared" si="3"/>
        <v>7.597222222</v>
      </c>
      <c r="J1752" s="34">
        <v>61.0</v>
      </c>
      <c r="K1752" s="34">
        <v>5.5</v>
      </c>
      <c r="L1752" s="44" t="s">
        <v>37</v>
      </c>
      <c r="M1752" s="44"/>
      <c r="N1752" s="44"/>
      <c r="O1752" s="44"/>
      <c r="P1752" s="71"/>
      <c r="Q1752" s="44"/>
      <c r="R1752" s="29"/>
      <c r="S1752" s="33"/>
      <c r="T1752" s="32"/>
    </row>
    <row r="1753">
      <c r="A1753" s="64" t="s">
        <v>2582</v>
      </c>
      <c r="B1753" s="16" t="s">
        <v>68</v>
      </c>
      <c r="C1753" s="17"/>
      <c r="D1753" s="17" t="str">
        <f t="shared" si="118"/>
        <v>Removed</v>
      </c>
      <c r="E1753" s="62">
        <v>43230.0</v>
      </c>
      <c r="F1753" s="76">
        <v>43586.0</v>
      </c>
      <c r="G1753" s="20">
        <f t="shared" si="2"/>
        <v>11.7</v>
      </c>
      <c r="H1753" s="18">
        <v>43230.0</v>
      </c>
      <c r="I1753" s="20">
        <f t="shared" si="3"/>
        <v>0</v>
      </c>
      <c r="J1753" s="53">
        <v>81.0</v>
      </c>
      <c r="K1753" s="53">
        <v>3.0</v>
      </c>
      <c r="L1753" s="43" t="s">
        <v>92</v>
      </c>
      <c r="M1753" s="43"/>
      <c r="N1753" s="43"/>
      <c r="O1753" s="43"/>
      <c r="P1753" s="66"/>
      <c r="Q1753" s="43"/>
      <c r="R1753" s="17"/>
      <c r="S1753" s="18"/>
      <c r="T1753" s="20"/>
    </row>
    <row r="1754">
      <c r="A1754" s="67" t="s">
        <v>2573</v>
      </c>
      <c r="B1754" s="28" t="s">
        <v>68</v>
      </c>
      <c r="C1754" s="29"/>
      <c r="D1754" s="29" t="str">
        <f t="shared" si="118"/>
        <v>Removed</v>
      </c>
      <c r="E1754" s="70">
        <v>42887.0</v>
      </c>
      <c r="F1754" s="70">
        <v>43586.0</v>
      </c>
      <c r="G1754" s="32">
        <f t="shared" si="2"/>
        <v>23</v>
      </c>
      <c r="H1754" s="33">
        <v>40457.0</v>
      </c>
      <c r="I1754" s="32">
        <f t="shared" si="3"/>
        <v>6.652777778</v>
      </c>
      <c r="J1754" s="34">
        <v>74.0</v>
      </c>
      <c r="K1754" s="34">
        <v>5.5</v>
      </c>
      <c r="L1754" s="44" t="s">
        <v>2583</v>
      </c>
      <c r="M1754" s="44"/>
      <c r="N1754" s="44"/>
      <c r="O1754" s="44"/>
      <c r="P1754" s="71"/>
      <c r="Q1754" s="44"/>
      <c r="R1754" s="29"/>
      <c r="S1754" s="33"/>
      <c r="T1754" s="32"/>
    </row>
    <row r="1755">
      <c r="A1755" s="15" t="s">
        <v>2584</v>
      </c>
      <c r="B1755" s="16" t="s">
        <v>68</v>
      </c>
      <c r="C1755" s="17"/>
      <c r="D1755" s="17" t="str">
        <f t="shared" si="118"/>
        <v>Removed</v>
      </c>
      <c r="E1755" s="76">
        <v>42887.0</v>
      </c>
      <c r="F1755" s="76">
        <v>43586.0</v>
      </c>
      <c r="G1755" s="20">
        <f t="shared" si="2"/>
        <v>23</v>
      </c>
      <c r="H1755" s="18">
        <v>41901.0</v>
      </c>
      <c r="I1755" s="20">
        <f t="shared" si="3"/>
        <v>2.7</v>
      </c>
      <c r="J1755" s="53">
        <v>76.0</v>
      </c>
      <c r="K1755" s="53">
        <v>4.5</v>
      </c>
      <c r="L1755" s="43" t="s">
        <v>362</v>
      </c>
      <c r="M1755" s="43"/>
      <c r="N1755" s="43"/>
      <c r="O1755" s="43"/>
      <c r="P1755" s="66"/>
      <c r="Q1755" s="43"/>
      <c r="R1755" s="17"/>
      <c r="S1755" s="18"/>
      <c r="T1755" s="20"/>
    </row>
    <row r="1756">
      <c r="A1756" s="27" t="s">
        <v>2585</v>
      </c>
      <c r="B1756" s="28" t="s">
        <v>68</v>
      </c>
      <c r="C1756" s="29"/>
      <c r="D1756" s="29" t="str">
        <f t="shared" si="118"/>
        <v>Removed</v>
      </c>
      <c r="E1756" s="70">
        <v>42887.0</v>
      </c>
      <c r="F1756" s="70">
        <v>43586.0</v>
      </c>
      <c r="G1756" s="32">
        <f t="shared" si="2"/>
        <v>23</v>
      </c>
      <c r="H1756" s="33">
        <v>41289.0</v>
      </c>
      <c r="I1756" s="32">
        <f t="shared" si="3"/>
        <v>4.377777778</v>
      </c>
      <c r="J1756" s="34">
        <v>86.0</v>
      </c>
      <c r="K1756" s="34">
        <v>9.0</v>
      </c>
      <c r="L1756" s="44" t="s">
        <v>37</v>
      </c>
      <c r="M1756" s="44"/>
      <c r="N1756" s="44"/>
      <c r="O1756" s="44"/>
      <c r="P1756" s="71"/>
      <c r="Q1756" s="44"/>
      <c r="R1756" s="29"/>
      <c r="S1756" s="33"/>
      <c r="T1756" s="32"/>
    </row>
    <row r="1757">
      <c r="A1757" s="64" t="s">
        <v>2586</v>
      </c>
      <c r="B1757" s="16" t="s">
        <v>68</v>
      </c>
      <c r="C1757" s="17"/>
      <c r="D1757" s="17" t="str">
        <f t="shared" si="118"/>
        <v>Removed</v>
      </c>
      <c r="E1757" s="76">
        <v>42887.0</v>
      </c>
      <c r="F1757" s="76">
        <v>43586.0</v>
      </c>
      <c r="G1757" s="20">
        <f t="shared" si="2"/>
        <v>23</v>
      </c>
      <c r="H1757" s="18">
        <v>42489.0</v>
      </c>
      <c r="I1757" s="20">
        <f t="shared" si="3"/>
        <v>1.088888889</v>
      </c>
      <c r="J1757" s="53">
        <v>76.0</v>
      </c>
      <c r="K1757" s="53">
        <v>3.0</v>
      </c>
      <c r="L1757" s="43" t="s">
        <v>2543</v>
      </c>
      <c r="M1757" s="43"/>
      <c r="N1757" s="43"/>
      <c r="O1757" s="43"/>
      <c r="P1757" s="66"/>
      <c r="Q1757" s="43"/>
      <c r="R1757" s="17"/>
      <c r="S1757" s="18"/>
      <c r="T1757" s="20"/>
    </row>
    <row r="1758">
      <c r="A1758" s="67" t="s">
        <v>2587</v>
      </c>
      <c r="B1758" s="28" t="s">
        <v>68</v>
      </c>
      <c r="C1758" s="29"/>
      <c r="D1758" s="29" t="str">
        <f t="shared" si="118"/>
        <v>Removed</v>
      </c>
      <c r="E1758" s="70">
        <v>42887.0</v>
      </c>
      <c r="F1758" s="70">
        <v>43586.0</v>
      </c>
      <c r="G1758" s="32">
        <f t="shared" si="2"/>
        <v>23</v>
      </c>
      <c r="H1758" s="33">
        <v>42324.0</v>
      </c>
      <c r="I1758" s="32">
        <f t="shared" si="3"/>
        <v>1.541666667</v>
      </c>
      <c r="J1758" s="34">
        <v>71.0</v>
      </c>
      <c r="K1758" s="34">
        <v>1.0</v>
      </c>
      <c r="L1758" s="44" t="s">
        <v>366</v>
      </c>
      <c r="M1758" s="44"/>
      <c r="N1758" s="44"/>
      <c r="O1758" s="44"/>
      <c r="P1758" s="71"/>
      <c r="Q1758" s="44"/>
      <c r="R1758" s="29"/>
      <c r="S1758" s="33"/>
      <c r="T1758" s="32"/>
    </row>
    <row r="1759">
      <c r="A1759" s="64" t="s">
        <v>2588</v>
      </c>
      <c r="B1759" s="16" t="s">
        <v>68</v>
      </c>
      <c r="C1759" s="17"/>
      <c r="D1759" s="17" t="str">
        <f t="shared" si="118"/>
        <v>Removed</v>
      </c>
      <c r="E1759" s="76">
        <v>42887.0</v>
      </c>
      <c r="F1759" s="76">
        <v>43586.0</v>
      </c>
      <c r="G1759" s="20">
        <f t="shared" si="2"/>
        <v>23</v>
      </c>
      <c r="H1759" s="18">
        <v>42415.0</v>
      </c>
      <c r="I1759" s="20">
        <f t="shared" si="3"/>
        <v>1.294444444</v>
      </c>
      <c r="J1759" s="53">
        <v>78.0</v>
      </c>
      <c r="K1759" s="53">
        <v>3.5</v>
      </c>
      <c r="L1759" s="43" t="s">
        <v>362</v>
      </c>
      <c r="M1759" s="43"/>
      <c r="N1759" s="43"/>
      <c r="O1759" s="43"/>
      <c r="P1759" s="66"/>
      <c r="Q1759" s="43"/>
      <c r="R1759" s="17"/>
      <c r="S1759" s="18"/>
      <c r="T1759" s="20"/>
    </row>
    <row r="1760">
      <c r="A1760" s="67" t="s">
        <v>2589</v>
      </c>
      <c r="B1760" s="28" t="s">
        <v>68</v>
      </c>
      <c r="C1760" s="29"/>
      <c r="D1760" s="29" t="str">
        <f t="shared" si="118"/>
        <v>Removed</v>
      </c>
      <c r="E1760" s="70">
        <v>42887.0</v>
      </c>
      <c r="F1760" s="70">
        <v>43586.0</v>
      </c>
      <c r="G1760" s="32">
        <f t="shared" si="2"/>
        <v>23</v>
      </c>
      <c r="H1760" s="33">
        <v>42241.0</v>
      </c>
      <c r="I1760" s="32">
        <f t="shared" si="3"/>
        <v>1.766666667</v>
      </c>
      <c r="J1760" s="69">
        <v>80.0</v>
      </c>
      <c r="K1760" s="34">
        <v>20.0</v>
      </c>
      <c r="L1760" s="44" t="s">
        <v>2590</v>
      </c>
      <c r="M1760" s="44"/>
      <c r="N1760" s="44"/>
      <c r="O1760" s="44"/>
      <c r="P1760" s="71"/>
      <c r="Q1760" s="44"/>
      <c r="R1760" s="29"/>
      <c r="S1760" s="33"/>
      <c r="T1760" s="32"/>
    </row>
    <row r="1761">
      <c r="A1761" s="64" t="s">
        <v>2591</v>
      </c>
      <c r="B1761" s="16" t="s">
        <v>68</v>
      </c>
      <c r="C1761" s="17"/>
      <c r="D1761" s="17" t="str">
        <f t="shared" si="118"/>
        <v>Removed</v>
      </c>
      <c r="E1761" s="76">
        <v>42887.0</v>
      </c>
      <c r="F1761" s="76">
        <v>43586.0</v>
      </c>
      <c r="G1761" s="20">
        <f t="shared" si="2"/>
        <v>23</v>
      </c>
      <c r="H1761" s="18">
        <v>40737.0</v>
      </c>
      <c r="I1761" s="20">
        <f t="shared" si="3"/>
        <v>5.883333333</v>
      </c>
      <c r="J1761" s="53">
        <v>83.0</v>
      </c>
      <c r="K1761" s="53">
        <v>8.5</v>
      </c>
      <c r="L1761" s="43" t="s">
        <v>918</v>
      </c>
      <c r="M1761" s="43"/>
      <c r="N1761" s="43"/>
      <c r="O1761" s="43"/>
      <c r="P1761" s="66"/>
      <c r="Q1761" s="43"/>
      <c r="R1761" s="17"/>
      <c r="S1761" s="18"/>
      <c r="T1761" s="20"/>
    </row>
    <row r="1762">
      <c r="A1762" s="27" t="s">
        <v>2391</v>
      </c>
      <c r="B1762" s="28" t="s">
        <v>68</v>
      </c>
      <c r="C1762" s="29"/>
      <c r="D1762" s="29" t="str">
        <f t="shared" si="118"/>
        <v>Removed</v>
      </c>
      <c r="E1762" s="70">
        <v>42887.0</v>
      </c>
      <c r="F1762" s="70">
        <v>43586.0</v>
      </c>
      <c r="G1762" s="32">
        <f t="shared" si="2"/>
        <v>23</v>
      </c>
      <c r="H1762" s="33">
        <v>41935.0</v>
      </c>
      <c r="I1762" s="32">
        <f t="shared" si="3"/>
        <v>2.605555556</v>
      </c>
      <c r="J1762" s="34">
        <v>79.0</v>
      </c>
      <c r="K1762" s="34">
        <v>8.0</v>
      </c>
      <c r="L1762" s="44" t="s">
        <v>44</v>
      </c>
      <c r="M1762" s="44"/>
      <c r="N1762" s="44"/>
      <c r="O1762" s="44"/>
      <c r="P1762" s="71"/>
      <c r="Q1762" s="44"/>
      <c r="R1762" s="29"/>
      <c r="S1762" s="33"/>
      <c r="T1762" s="32"/>
    </row>
    <row r="1763">
      <c r="A1763" s="64" t="s">
        <v>2592</v>
      </c>
      <c r="B1763" s="16" t="s">
        <v>68</v>
      </c>
      <c r="C1763" s="17"/>
      <c r="D1763" s="17" t="str">
        <f t="shared" si="118"/>
        <v>Removed</v>
      </c>
      <c r="E1763" s="76">
        <v>42887.0</v>
      </c>
      <c r="F1763" s="76">
        <v>43586.0</v>
      </c>
      <c r="G1763" s="20">
        <f t="shared" si="2"/>
        <v>23</v>
      </c>
      <c r="H1763" s="18">
        <v>42230.0</v>
      </c>
      <c r="I1763" s="20">
        <f t="shared" si="3"/>
        <v>1.797222222</v>
      </c>
      <c r="J1763" s="53">
        <v>80.0</v>
      </c>
      <c r="K1763" s="53">
        <v>10.5</v>
      </c>
      <c r="L1763" s="43" t="s">
        <v>232</v>
      </c>
      <c r="M1763" s="43"/>
      <c r="N1763" s="43"/>
      <c r="O1763" s="43"/>
      <c r="P1763" s="66"/>
      <c r="Q1763" s="43"/>
      <c r="R1763" s="17"/>
      <c r="S1763" s="18"/>
      <c r="T1763" s="20"/>
    </row>
    <row r="1764">
      <c r="A1764" s="67" t="s">
        <v>2593</v>
      </c>
      <c r="B1764" s="28" t="s">
        <v>68</v>
      </c>
      <c r="C1764" s="29"/>
      <c r="D1764" s="29" t="str">
        <f t="shared" si="118"/>
        <v>Removed</v>
      </c>
      <c r="E1764" s="70">
        <v>42887.0</v>
      </c>
      <c r="F1764" s="70">
        <v>43586.0</v>
      </c>
      <c r="G1764" s="32">
        <f t="shared" si="2"/>
        <v>23</v>
      </c>
      <c r="H1764" s="33">
        <v>41773.0</v>
      </c>
      <c r="I1764" s="32">
        <f t="shared" si="3"/>
        <v>3.047222222</v>
      </c>
      <c r="J1764" s="34">
        <v>80.0</v>
      </c>
      <c r="K1764" s="34">
        <v>4.0</v>
      </c>
      <c r="L1764" s="44" t="s">
        <v>918</v>
      </c>
      <c r="M1764" s="44"/>
      <c r="N1764" s="44"/>
      <c r="O1764" s="44"/>
      <c r="P1764" s="71"/>
      <c r="Q1764" s="44"/>
      <c r="R1764" s="29"/>
      <c r="S1764" s="33"/>
      <c r="T1764" s="32"/>
    </row>
    <row r="1765">
      <c r="A1765" s="15" t="s">
        <v>2594</v>
      </c>
      <c r="B1765" s="16" t="s">
        <v>1859</v>
      </c>
      <c r="C1765" s="17"/>
      <c r="D1765" s="17" t="s">
        <v>1860</v>
      </c>
      <c r="E1765" s="76">
        <v>43571.0</v>
      </c>
      <c r="F1765" s="62">
        <v>43585.0</v>
      </c>
      <c r="G1765" s="20">
        <f t="shared" si="2"/>
        <v>0.4666666667</v>
      </c>
      <c r="H1765" s="18"/>
      <c r="I1765" s="20">
        <f t="shared" si="3"/>
        <v>-6.497222222</v>
      </c>
      <c r="J1765" s="53"/>
      <c r="K1765" s="53"/>
      <c r="L1765" s="23"/>
      <c r="M1765" s="23"/>
      <c r="N1765" s="23" t="s">
        <v>1612</v>
      </c>
      <c r="O1765" s="23"/>
      <c r="P1765" s="54"/>
      <c r="Q1765" s="23"/>
      <c r="R1765" s="17"/>
      <c r="S1765" s="18"/>
      <c r="T1765" s="20"/>
    </row>
    <row r="1766">
      <c r="A1766" s="27" t="s">
        <v>2595</v>
      </c>
      <c r="B1766" s="28" t="s">
        <v>1610</v>
      </c>
      <c r="C1766" s="29"/>
      <c r="D1766" s="29" t="s">
        <v>1611</v>
      </c>
      <c r="E1766" s="70">
        <v>43556.0</v>
      </c>
      <c r="F1766" s="30">
        <v>43585.0</v>
      </c>
      <c r="G1766" s="32">
        <f t="shared" si="2"/>
        <v>0.9666666667</v>
      </c>
      <c r="H1766" s="33"/>
      <c r="I1766" s="32">
        <f t="shared" si="3"/>
        <v>-6.538888889</v>
      </c>
      <c r="J1766" s="34"/>
      <c r="K1766" s="34"/>
      <c r="L1766" s="35"/>
      <c r="M1766" s="35"/>
      <c r="N1766" s="35"/>
      <c r="O1766" s="35"/>
      <c r="P1766" s="36"/>
      <c r="Q1766" s="35"/>
      <c r="R1766" s="29"/>
      <c r="S1766" s="33"/>
      <c r="T1766" s="32"/>
    </row>
    <row r="1767">
      <c r="A1767" s="15" t="s">
        <v>2596</v>
      </c>
      <c r="B1767" s="16" t="s">
        <v>1859</v>
      </c>
      <c r="C1767" s="17"/>
      <c r="D1767" s="17" t="s">
        <v>1860</v>
      </c>
      <c r="E1767" s="76">
        <v>43556.0</v>
      </c>
      <c r="F1767" s="62">
        <v>43570.0</v>
      </c>
      <c r="G1767" s="20">
        <f t="shared" si="2"/>
        <v>0.4666666667</v>
      </c>
      <c r="H1767" s="18"/>
      <c r="I1767" s="20">
        <f t="shared" si="3"/>
        <v>-6.538888889</v>
      </c>
      <c r="J1767" s="53"/>
      <c r="K1767" s="53"/>
      <c r="L1767" s="23"/>
      <c r="M1767" s="23" t="s">
        <v>1614</v>
      </c>
      <c r="N1767" s="23" t="s">
        <v>1612</v>
      </c>
      <c r="O1767" s="23"/>
      <c r="P1767" s="54"/>
      <c r="Q1767" s="23"/>
      <c r="R1767" s="17"/>
      <c r="S1767" s="18"/>
      <c r="T1767" s="20"/>
    </row>
    <row r="1768">
      <c r="A1768" s="27" t="s">
        <v>2597</v>
      </c>
      <c r="B1768" s="28" t="s">
        <v>1610</v>
      </c>
      <c r="C1768" s="29"/>
      <c r="D1768" s="29" t="s">
        <v>1611</v>
      </c>
      <c r="E1768" s="70">
        <v>43540.0</v>
      </c>
      <c r="F1768" s="30">
        <v>43570.0</v>
      </c>
      <c r="G1768" s="32">
        <f t="shared" si="2"/>
        <v>0.9666666667</v>
      </c>
      <c r="H1768" s="33"/>
      <c r="I1768" s="32">
        <f t="shared" si="3"/>
        <v>-6.580555556</v>
      </c>
      <c r="J1768" s="34"/>
      <c r="K1768" s="34"/>
      <c r="L1768" s="35"/>
      <c r="M1768" s="35"/>
      <c r="N1768" s="35"/>
      <c r="O1768" s="35"/>
      <c r="P1768" s="36"/>
      <c r="Q1768" s="35"/>
      <c r="R1768" s="29"/>
      <c r="S1768" s="33"/>
      <c r="T1768" s="32"/>
    </row>
    <row r="1769">
      <c r="A1769" s="64" t="s">
        <v>2598</v>
      </c>
      <c r="B1769" s="16" t="s">
        <v>68</v>
      </c>
      <c r="C1769" s="17"/>
      <c r="D1769" s="17" t="str">
        <f t="shared" ref="D1769:D1778" si="119">IF(E1769&gt;TODAY(),"Coming Soon",IF(F1769="","Active",IF(F1769&gt;TODAY(),"Leaving Soon","Removed")))</f>
        <v>Removed</v>
      </c>
      <c r="E1769" s="76">
        <v>43405.0</v>
      </c>
      <c r="F1769" s="76">
        <v>43556.0</v>
      </c>
      <c r="G1769" s="20">
        <f t="shared" si="2"/>
        <v>5</v>
      </c>
      <c r="H1769" s="18">
        <v>42591.0</v>
      </c>
      <c r="I1769" s="20">
        <f t="shared" si="3"/>
        <v>2.227777778</v>
      </c>
      <c r="J1769" s="53">
        <v>83.0</v>
      </c>
      <c r="K1769" s="53">
        <v>3.0</v>
      </c>
      <c r="L1769" s="43" t="s">
        <v>941</v>
      </c>
      <c r="M1769" s="43"/>
      <c r="N1769" s="43"/>
      <c r="O1769" s="43"/>
      <c r="P1769" s="66"/>
      <c r="Q1769" s="43"/>
      <c r="R1769" s="17"/>
      <c r="S1769" s="18"/>
      <c r="T1769" s="20"/>
    </row>
    <row r="1770">
      <c r="A1770" s="67" t="s">
        <v>2599</v>
      </c>
      <c r="B1770" s="28" t="s">
        <v>68</v>
      </c>
      <c r="C1770" s="29"/>
      <c r="D1770" s="29" t="str">
        <f t="shared" si="119"/>
        <v>Removed</v>
      </c>
      <c r="E1770" s="70">
        <v>43405.0</v>
      </c>
      <c r="F1770" s="70">
        <v>43556.0</v>
      </c>
      <c r="G1770" s="32">
        <f t="shared" si="2"/>
        <v>5</v>
      </c>
      <c r="H1770" s="33">
        <v>42444.0</v>
      </c>
      <c r="I1770" s="32">
        <f t="shared" si="3"/>
        <v>2.627777778</v>
      </c>
      <c r="J1770" s="34">
        <v>69.0</v>
      </c>
      <c r="K1770" s="34">
        <v>20.0</v>
      </c>
      <c r="L1770" s="35" t="s">
        <v>567</v>
      </c>
      <c r="M1770" s="44"/>
      <c r="N1770" s="44"/>
      <c r="O1770" s="44"/>
      <c r="P1770" s="71"/>
      <c r="Q1770" s="44"/>
      <c r="R1770" s="29"/>
      <c r="S1770" s="33"/>
      <c r="T1770" s="32"/>
    </row>
    <row r="1771">
      <c r="A1771" s="64" t="s">
        <v>2600</v>
      </c>
      <c r="B1771" s="16" t="s">
        <v>68</v>
      </c>
      <c r="C1771" s="17"/>
      <c r="D1771" s="17" t="str">
        <f t="shared" si="119"/>
        <v>Removed</v>
      </c>
      <c r="E1771" s="76">
        <v>43374.0</v>
      </c>
      <c r="F1771" s="76">
        <v>43556.0</v>
      </c>
      <c r="G1771" s="20">
        <f t="shared" si="2"/>
        <v>6</v>
      </c>
      <c r="H1771" s="18">
        <v>41521.0</v>
      </c>
      <c r="I1771" s="20">
        <f t="shared" si="3"/>
        <v>5.075</v>
      </c>
      <c r="J1771" s="53">
        <v>80.0</v>
      </c>
      <c r="K1771" s="53">
        <v>5.0</v>
      </c>
      <c r="L1771" s="43" t="s">
        <v>362</v>
      </c>
      <c r="M1771" s="43"/>
      <c r="N1771" s="43"/>
      <c r="O1771" s="43"/>
      <c r="P1771" s="66"/>
      <c r="Q1771" s="43"/>
      <c r="R1771" s="17"/>
      <c r="S1771" s="18"/>
      <c r="T1771" s="20"/>
    </row>
    <row r="1772">
      <c r="A1772" s="67" t="s">
        <v>2601</v>
      </c>
      <c r="B1772" s="28" t="s">
        <v>68</v>
      </c>
      <c r="C1772" s="29"/>
      <c r="D1772" s="29" t="str">
        <f t="shared" si="119"/>
        <v>Removed</v>
      </c>
      <c r="E1772" s="70">
        <v>43221.0</v>
      </c>
      <c r="F1772" s="70">
        <v>43556.0</v>
      </c>
      <c r="G1772" s="32">
        <f t="shared" si="2"/>
        <v>11</v>
      </c>
      <c r="H1772" s="33">
        <v>42507.0</v>
      </c>
      <c r="I1772" s="32">
        <f t="shared" si="3"/>
        <v>1.955555556</v>
      </c>
      <c r="J1772" s="34">
        <v>49.0</v>
      </c>
      <c r="K1772" s="34">
        <v>12.0</v>
      </c>
      <c r="L1772" s="44" t="s">
        <v>184</v>
      </c>
      <c r="M1772" s="35" t="s">
        <v>451</v>
      </c>
      <c r="N1772" s="44"/>
      <c r="O1772" s="44"/>
      <c r="P1772" s="71"/>
      <c r="Q1772" s="44"/>
      <c r="R1772" s="29"/>
      <c r="S1772" s="33"/>
      <c r="T1772" s="32"/>
    </row>
    <row r="1773">
      <c r="A1773" s="64" t="s">
        <v>2602</v>
      </c>
      <c r="B1773" s="16" t="s">
        <v>68</v>
      </c>
      <c r="C1773" s="17"/>
      <c r="D1773" s="17" t="str">
        <f t="shared" si="119"/>
        <v>Removed</v>
      </c>
      <c r="E1773" s="76">
        <v>43221.0</v>
      </c>
      <c r="F1773" s="76">
        <v>43556.0</v>
      </c>
      <c r="G1773" s="20">
        <f t="shared" si="2"/>
        <v>11</v>
      </c>
      <c r="H1773" s="18">
        <v>42962.0</v>
      </c>
      <c r="I1773" s="20">
        <f t="shared" si="3"/>
        <v>0.7111111111</v>
      </c>
      <c r="J1773" s="53">
        <v>69.0</v>
      </c>
      <c r="K1773" s="53">
        <v>3.0</v>
      </c>
      <c r="L1773" s="43" t="s">
        <v>44</v>
      </c>
      <c r="M1773" s="43"/>
      <c r="N1773" s="43"/>
      <c r="O1773" s="43"/>
      <c r="P1773" s="66"/>
      <c r="Q1773" s="43"/>
      <c r="R1773" s="17"/>
      <c r="S1773" s="18"/>
      <c r="T1773" s="20"/>
    </row>
    <row r="1774">
      <c r="A1774" s="27" t="s">
        <v>2603</v>
      </c>
      <c r="B1774" s="28" t="s">
        <v>68</v>
      </c>
      <c r="C1774" s="29"/>
      <c r="D1774" s="29" t="str">
        <f t="shared" si="119"/>
        <v>Removed</v>
      </c>
      <c r="E1774" s="70">
        <v>43221.0</v>
      </c>
      <c r="F1774" s="70">
        <v>43556.0</v>
      </c>
      <c r="G1774" s="32">
        <f t="shared" si="2"/>
        <v>11</v>
      </c>
      <c r="H1774" s="33">
        <v>41129.0</v>
      </c>
      <c r="I1774" s="32">
        <f t="shared" si="3"/>
        <v>5.730555556</v>
      </c>
      <c r="J1774" s="34">
        <v>66.0</v>
      </c>
      <c r="K1774" s="34">
        <v>2.5</v>
      </c>
      <c r="L1774" s="35" t="s">
        <v>562</v>
      </c>
      <c r="M1774" s="35"/>
      <c r="N1774" s="35"/>
      <c r="O1774" s="35"/>
      <c r="P1774" s="36"/>
      <c r="Q1774" s="35"/>
      <c r="R1774" s="29"/>
      <c r="S1774" s="33"/>
      <c r="T1774" s="32"/>
    </row>
    <row r="1775">
      <c r="A1775" s="64" t="s">
        <v>2604</v>
      </c>
      <c r="B1775" s="16" t="s">
        <v>68</v>
      </c>
      <c r="C1775" s="17"/>
      <c r="D1775" s="17" t="str">
        <f t="shared" si="119"/>
        <v>Removed</v>
      </c>
      <c r="E1775" s="76">
        <v>42887.0</v>
      </c>
      <c r="F1775" s="76">
        <v>43556.0</v>
      </c>
      <c r="G1775" s="20">
        <f t="shared" si="2"/>
        <v>22</v>
      </c>
      <c r="H1775" s="18">
        <v>41660.0</v>
      </c>
      <c r="I1775" s="20">
        <f t="shared" si="3"/>
        <v>3.361111111</v>
      </c>
      <c r="J1775" s="53">
        <v>78.0</v>
      </c>
      <c r="K1775" s="53">
        <v>4.0</v>
      </c>
      <c r="L1775" s="43" t="s">
        <v>941</v>
      </c>
      <c r="M1775" s="43"/>
      <c r="N1775" s="43"/>
      <c r="O1775" s="43"/>
      <c r="P1775" s="66"/>
      <c r="Q1775" s="43"/>
      <c r="R1775" s="17"/>
      <c r="S1775" s="18"/>
      <c r="T1775" s="20"/>
    </row>
    <row r="1776">
      <c r="A1776" s="67" t="s">
        <v>2605</v>
      </c>
      <c r="B1776" s="28" t="s">
        <v>68</v>
      </c>
      <c r="C1776" s="29"/>
      <c r="D1776" s="29" t="str">
        <f t="shared" si="119"/>
        <v>Removed</v>
      </c>
      <c r="E1776" s="70">
        <v>42887.0</v>
      </c>
      <c r="F1776" s="70">
        <v>43556.0</v>
      </c>
      <c r="G1776" s="32">
        <f t="shared" si="2"/>
        <v>22</v>
      </c>
      <c r="H1776" s="33">
        <v>42265.0</v>
      </c>
      <c r="I1776" s="32">
        <f t="shared" si="3"/>
        <v>1.702777778</v>
      </c>
      <c r="J1776" s="34">
        <v>56.0</v>
      </c>
      <c r="K1776" s="34">
        <v>6.0</v>
      </c>
      <c r="L1776" s="44" t="s">
        <v>1427</v>
      </c>
      <c r="M1776" s="44"/>
      <c r="N1776" s="44"/>
      <c r="O1776" s="44"/>
      <c r="P1776" s="71"/>
      <c r="Q1776" s="44"/>
      <c r="R1776" s="29"/>
      <c r="S1776" s="33"/>
      <c r="T1776" s="32"/>
    </row>
    <row r="1777">
      <c r="A1777" s="64" t="s">
        <v>2606</v>
      </c>
      <c r="B1777" s="16" t="s">
        <v>68</v>
      </c>
      <c r="C1777" s="17"/>
      <c r="D1777" s="17" t="str">
        <f t="shared" si="119"/>
        <v>Removed</v>
      </c>
      <c r="E1777" s="76">
        <v>42887.0</v>
      </c>
      <c r="F1777" s="76">
        <v>43556.0</v>
      </c>
      <c r="G1777" s="20">
        <f t="shared" si="2"/>
        <v>22</v>
      </c>
      <c r="H1777" s="18">
        <v>41870.0</v>
      </c>
      <c r="I1777" s="20">
        <f t="shared" si="3"/>
        <v>2.783333333</v>
      </c>
      <c r="J1777" s="53">
        <v>64.0</v>
      </c>
      <c r="K1777" s="53">
        <v>10.0</v>
      </c>
      <c r="L1777" s="43" t="s">
        <v>2454</v>
      </c>
      <c r="M1777" s="43"/>
      <c r="N1777" s="43"/>
      <c r="O1777" s="43"/>
      <c r="P1777" s="66"/>
      <c r="Q1777" s="43"/>
      <c r="R1777" s="17"/>
      <c r="S1777" s="18"/>
      <c r="T1777" s="20"/>
    </row>
    <row r="1778">
      <c r="A1778" s="67" t="s">
        <v>2607</v>
      </c>
      <c r="B1778" s="28" t="s">
        <v>68</v>
      </c>
      <c r="C1778" s="29"/>
      <c r="D1778" s="29" t="str">
        <f t="shared" si="119"/>
        <v>Removed</v>
      </c>
      <c r="E1778" s="70">
        <v>42887.0</v>
      </c>
      <c r="F1778" s="70">
        <v>43556.0</v>
      </c>
      <c r="G1778" s="32">
        <f t="shared" si="2"/>
        <v>22</v>
      </c>
      <c r="H1778" s="33">
        <v>41424.0</v>
      </c>
      <c r="I1778" s="32">
        <f t="shared" si="3"/>
        <v>4.002777778</v>
      </c>
      <c r="J1778" s="34">
        <v>92.0</v>
      </c>
      <c r="K1778" s="34">
        <v>5.0</v>
      </c>
      <c r="L1778" s="44" t="s">
        <v>549</v>
      </c>
      <c r="M1778" s="44"/>
      <c r="N1778" s="44"/>
      <c r="O1778" s="44"/>
      <c r="P1778" s="71"/>
      <c r="Q1778" s="44"/>
      <c r="R1778" s="29"/>
      <c r="S1778" s="33"/>
      <c r="T1778" s="32"/>
    </row>
    <row r="1779">
      <c r="A1779" s="15" t="s">
        <v>2608</v>
      </c>
      <c r="B1779" s="16" t="s">
        <v>1859</v>
      </c>
      <c r="C1779" s="17"/>
      <c r="D1779" s="17" t="s">
        <v>1860</v>
      </c>
      <c r="E1779" s="76">
        <v>43540.0</v>
      </c>
      <c r="F1779" s="62">
        <v>43555.0</v>
      </c>
      <c r="G1779" s="20">
        <f t="shared" si="2"/>
        <v>0.4666666667</v>
      </c>
      <c r="H1779" s="18"/>
      <c r="I1779" s="20">
        <f t="shared" si="3"/>
        <v>-6.580555556</v>
      </c>
      <c r="J1779" s="53"/>
      <c r="K1779" s="53"/>
      <c r="L1779" s="23"/>
      <c r="M1779" s="23"/>
      <c r="N1779" s="23" t="s">
        <v>1612</v>
      </c>
      <c r="O1779" s="23"/>
      <c r="P1779" s="54"/>
      <c r="Q1779" s="23"/>
      <c r="R1779" s="17"/>
      <c r="S1779" s="18"/>
      <c r="T1779" s="20"/>
    </row>
    <row r="1780">
      <c r="A1780" s="27" t="s">
        <v>2609</v>
      </c>
      <c r="B1780" s="28" t="s">
        <v>1610</v>
      </c>
      <c r="C1780" s="29"/>
      <c r="D1780" s="29" t="s">
        <v>1611</v>
      </c>
      <c r="E1780" s="70">
        <v>43525.0</v>
      </c>
      <c r="F1780" s="30">
        <v>43555.0</v>
      </c>
      <c r="G1780" s="32">
        <f t="shared" si="2"/>
        <v>0.9666666667</v>
      </c>
      <c r="H1780" s="33"/>
      <c r="I1780" s="32">
        <f t="shared" si="3"/>
        <v>-6.622222222</v>
      </c>
      <c r="J1780" s="34"/>
      <c r="K1780" s="34"/>
      <c r="L1780" s="35"/>
      <c r="M1780" s="35"/>
      <c r="N1780" s="35"/>
      <c r="O1780" s="35"/>
      <c r="P1780" s="36"/>
      <c r="Q1780" s="35"/>
      <c r="R1780" s="29"/>
      <c r="S1780" s="33"/>
      <c r="T1780" s="32"/>
    </row>
    <row r="1781">
      <c r="A1781" s="15" t="s">
        <v>2143</v>
      </c>
      <c r="B1781" s="16" t="s">
        <v>1859</v>
      </c>
      <c r="C1781" s="17"/>
      <c r="D1781" s="17" t="s">
        <v>1860</v>
      </c>
      <c r="E1781" s="76">
        <v>43525.0</v>
      </c>
      <c r="F1781" s="62">
        <v>43539.0</v>
      </c>
      <c r="G1781" s="20">
        <f t="shared" si="2"/>
        <v>0.4666666667</v>
      </c>
      <c r="H1781" s="18"/>
      <c r="I1781" s="20">
        <f t="shared" si="3"/>
        <v>-6.622222222</v>
      </c>
      <c r="J1781" s="53"/>
      <c r="K1781" s="53"/>
      <c r="L1781" s="23"/>
      <c r="M1781" s="23" t="s">
        <v>1614</v>
      </c>
      <c r="N1781" s="23" t="s">
        <v>1612</v>
      </c>
      <c r="O1781" s="23"/>
      <c r="P1781" s="54"/>
      <c r="Q1781" s="23"/>
      <c r="R1781" s="17"/>
      <c r="S1781" s="18"/>
      <c r="T1781" s="20"/>
    </row>
    <row r="1782">
      <c r="A1782" s="27" t="s">
        <v>2610</v>
      </c>
      <c r="B1782" s="28" t="s">
        <v>1610</v>
      </c>
      <c r="C1782" s="29"/>
      <c r="D1782" s="29" t="s">
        <v>1611</v>
      </c>
      <c r="E1782" s="70">
        <v>43512.0</v>
      </c>
      <c r="F1782" s="30">
        <v>43539.0</v>
      </c>
      <c r="G1782" s="32">
        <f t="shared" si="2"/>
        <v>0.9666666667</v>
      </c>
      <c r="H1782" s="33"/>
      <c r="I1782" s="32">
        <f t="shared" si="3"/>
        <v>-6.663888889</v>
      </c>
      <c r="J1782" s="34"/>
      <c r="K1782" s="34"/>
      <c r="L1782" s="35"/>
      <c r="M1782" s="35"/>
      <c r="N1782" s="35"/>
      <c r="O1782" s="35"/>
      <c r="P1782" s="36"/>
      <c r="Q1782" s="35"/>
      <c r="R1782" s="29"/>
      <c r="S1782" s="33"/>
      <c r="T1782" s="32"/>
    </row>
    <row r="1783">
      <c r="A1783" s="64" t="s">
        <v>2611</v>
      </c>
      <c r="B1783" s="16" t="s">
        <v>68</v>
      </c>
      <c r="C1783" s="17"/>
      <c r="D1783" s="17" t="str">
        <f t="shared" ref="D1783:D1786" si="120">IF(E1783&gt;TODAY(),"Coming Soon",IF(F1783="","Active",IF(F1783&gt;TODAY(),"Leaving Soon","Removed")))</f>
        <v>Removed</v>
      </c>
      <c r="E1783" s="76">
        <v>43191.0</v>
      </c>
      <c r="F1783" s="76">
        <v>43525.0</v>
      </c>
      <c r="G1783" s="20">
        <f t="shared" si="2"/>
        <v>11</v>
      </c>
      <c r="H1783" s="18">
        <v>42298.0</v>
      </c>
      <c r="I1783" s="20">
        <f t="shared" si="3"/>
        <v>2.444444444</v>
      </c>
      <c r="J1783" s="53">
        <v>87.0</v>
      </c>
      <c r="K1783" s="53">
        <v>8.0</v>
      </c>
      <c r="L1783" s="43" t="s">
        <v>818</v>
      </c>
      <c r="M1783" s="43"/>
      <c r="N1783" s="43"/>
      <c r="O1783" s="43"/>
      <c r="P1783" s="66"/>
      <c r="Q1783" s="43"/>
      <c r="R1783" s="17"/>
      <c r="S1783" s="18"/>
      <c r="T1783" s="20"/>
    </row>
    <row r="1784">
      <c r="A1784" s="67" t="s">
        <v>2612</v>
      </c>
      <c r="B1784" s="28" t="s">
        <v>68</v>
      </c>
      <c r="C1784" s="29"/>
      <c r="D1784" s="29" t="str">
        <f t="shared" si="120"/>
        <v>Removed</v>
      </c>
      <c r="E1784" s="70">
        <v>43191.0</v>
      </c>
      <c r="F1784" s="70">
        <v>43525.0</v>
      </c>
      <c r="G1784" s="32">
        <f t="shared" si="2"/>
        <v>11</v>
      </c>
      <c r="H1784" s="33">
        <v>42843.0</v>
      </c>
      <c r="I1784" s="32">
        <f t="shared" si="3"/>
        <v>0.9527777778</v>
      </c>
      <c r="J1784" s="34">
        <v>72.0</v>
      </c>
      <c r="K1784" s="34">
        <v>1.5</v>
      </c>
      <c r="L1784" s="44" t="s">
        <v>362</v>
      </c>
      <c r="M1784" s="44"/>
      <c r="N1784" s="44"/>
      <c r="O1784" s="44"/>
      <c r="P1784" s="71"/>
      <c r="Q1784" s="44"/>
      <c r="R1784" s="29"/>
      <c r="S1784" s="33"/>
      <c r="T1784" s="32"/>
    </row>
    <row r="1785">
      <c r="A1785" s="64" t="s">
        <v>2367</v>
      </c>
      <c r="B1785" s="16" t="s">
        <v>68</v>
      </c>
      <c r="C1785" s="17"/>
      <c r="D1785" s="17" t="str">
        <f t="shared" si="120"/>
        <v>Removed</v>
      </c>
      <c r="E1785" s="76">
        <v>43191.0</v>
      </c>
      <c r="F1785" s="76">
        <v>43525.0</v>
      </c>
      <c r="G1785" s="20">
        <f t="shared" si="2"/>
        <v>11</v>
      </c>
      <c r="H1785" s="18">
        <v>42425.0</v>
      </c>
      <c r="I1785" s="20">
        <f t="shared" si="3"/>
        <v>2.1</v>
      </c>
      <c r="J1785" s="53">
        <v>77.0</v>
      </c>
      <c r="K1785" s="53">
        <v>26.0</v>
      </c>
      <c r="L1785" s="43" t="s">
        <v>37</v>
      </c>
      <c r="M1785" s="43"/>
      <c r="N1785" s="43"/>
      <c r="O1785" s="43"/>
      <c r="P1785" s="66"/>
      <c r="Q1785" s="43"/>
      <c r="R1785" s="17"/>
      <c r="S1785" s="18"/>
      <c r="T1785" s="20"/>
    </row>
    <row r="1786">
      <c r="A1786" s="67" t="s">
        <v>2613</v>
      </c>
      <c r="B1786" s="28" t="s">
        <v>68</v>
      </c>
      <c r="C1786" s="29"/>
      <c r="D1786" s="29" t="str">
        <f t="shared" si="120"/>
        <v>Removed</v>
      </c>
      <c r="E1786" s="70">
        <v>43191.0</v>
      </c>
      <c r="F1786" s="70">
        <v>43525.0</v>
      </c>
      <c r="G1786" s="32">
        <f t="shared" si="2"/>
        <v>11</v>
      </c>
      <c r="H1786" s="33">
        <v>41381.0</v>
      </c>
      <c r="I1786" s="32">
        <f t="shared" si="3"/>
        <v>4.955555556</v>
      </c>
      <c r="J1786" s="34">
        <v>63.0</v>
      </c>
      <c r="K1786" s="34">
        <v>5.0</v>
      </c>
      <c r="L1786" s="44" t="s">
        <v>1209</v>
      </c>
      <c r="M1786" s="44"/>
      <c r="N1786" s="44"/>
      <c r="O1786" s="44"/>
      <c r="P1786" s="71"/>
      <c r="Q1786" s="44"/>
      <c r="R1786" s="29"/>
      <c r="S1786" s="33"/>
      <c r="T1786" s="32"/>
    </row>
    <row r="1787">
      <c r="A1787" s="15" t="s">
        <v>2614</v>
      </c>
      <c r="B1787" s="16" t="s">
        <v>1859</v>
      </c>
      <c r="C1787" s="17"/>
      <c r="D1787" s="17" t="s">
        <v>1860</v>
      </c>
      <c r="E1787" s="76">
        <v>43512.0</v>
      </c>
      <c r="F1787" s="62">
        <v>43524.0</v>
      </c>
      <c r="G1787" s="20">
        <f t="shared" si="2"/>
        <v>0.4</v>
      </c>
      <c r="H1787" s="18"/>
      <c r="I1787" s="20">
        <f t="shared" si="3"/>
        <v>-6.663888889</v>
      </c>
      <c r="J1787" s="53"/>
      <c r="K1787" s="53"/>
      <c r="L1787" s="23"/>
      <c r="M1787" s="23" t="s">
        <v>1614</v>
      </c>
      <c r="N1787" s="23" t="s">
        <v>1612</v>
      </c>
      <c r="O1787" s="23"/>
      <c r="P1787" s="54"/>
      <c r="Q1787" s="23"/>
      <c r="R1787" s="17"/>
      <c r="S1787" s="18"/>
      <c r="T1787" s="20"/>
    </row>
    <row r="1788">
      <c r="A1788" s="27" t="s">
        <v>2615</v>
      </c>
      <c r="B1788" s="28" t="s">
        <v>1610</v>
      </c>
      <c r="C1788" s="29"/>
      <c r="D1788" s="29" t="s">
        <v>1611</v>
      </c>
      <c r="E1788" s="70">
        <v>43497.0</v>
      </c>
      <c r="F1788" s="30">
        <v>43524.0</v>
      </c>
      <c r="G1788" s="32">
        <f t="shared" si="2"/>
        <v>0.9</v>
      </c>
      <c r="H1788" s="33"/>
      <c r="I1788" s="32">
        <f t="shared" si="3"/>
        <v>-6.705555556</v>
      </c>
      <c r="J1788" s="34"/>
      <c r="K1788" s="34"/>
      <c r="L1788" s="35"/>
      <c r="M1788" s="35"/>
      <c r="N1788" s="35"/>
      <c r="O1788" s="35"/>
      <c r="P1788" s="36"/>
      <c r="Q1788" s="35"/>
      <c r="R1788" s="29"/>
      <c r="S1788" s="33"/>
      <c r="T1788" s="32"/>
    </row>
    <row r="1789">
      <c r="A1789" s="15" t="s">
        <v>2616</v>
      </c>
      <c r="B1789" s="16" t="s">
        <v>68</v>
      </c>
      <c r="C1789" s="16"/>
      <c r="D1789" s="17" t="str">
        <f>IF(E1789&gt;TODAY(),"Coming Soon",IF(F1789="","Active",IF(F1789&gt;TODAY(),"Leaving Soon","Removed")))</f>
        <v>Removed</v>
      </c>
      <c r="E1789" s="18">
        <v>42917.0</v>
      </c>
      <c r="F1789" s="52">
        <v>43524.0</v>
      </c>
      <c r="G1789" s="20">
        <f t="shared" si="2"/>
        <v>19.9</v>
      </c>
      <c r="H1789" s="18">
        <v>42195.0</v>
      </c>
      <c r="I1789" s="20">
        <f t="shared" si="3"/>
        <v>1.975</v>
      </c>
      <c r="J1789" s="53">
        <v>64.0</v>
      </c>
      <c r="K1789" s="53">
        <v>11.0</v>
      </c>
      <c r="L1789" s="23" t="s">
        <v>500</v>
      </c>
      <c r="M1789" s="23"/>
      <c r="N1789" s="23"/>
      <c r="O1789" s="23"/>
      <c r="P1789" s="54"/>
      <c r="Q1789" s="23"/>
      <c r="R1789" s="17"/>
      <c r="S1789" s="18"/>
      <c r="T1789" s="20"/>
    </row>
    <row r="1790">
      <c r="A1790" s="27" t="s">
        <v>2617</v>
      </c>
      <c r="B1790" s="28" t="s">
        <v>1859</v>
      </c>
      <c r="C1790" s="29"/>
      <c r="D1790" s="29" t="s">
        <v>1860</v>
      </c>
      <c r="E1790" s="70">
        <v>43497.0</v>
      </c>
      <c r="F1790" s="30">
        <v>43511.0</v>
      </c>
      <c r="G1790" s="32">
        <f t="shared" si="2"/>
        <v>0.4666666667</v>
      </c>
      <c r="H1790" s="33"/>
      <c r="I1790" s="32">
        <f t="shared" si="3"/>
        <v>-6.705555556</v>
      </c>
      <c r="J1790" s="34"/>
      <c r="K1790" s="34"/>
      <c r="L1790" s="35"/>
      <c r="M1790" s="35"/>
      <c r="N1790" s="35" t="s">
        <v>1612</v>
      </c>
      <c r="O1790" s="35"/>
      <c r="P1790" s="36"/>
      <c r="Q1790" s="35"/>
      <c r="R1790" s="29"/>
      <c r="S1790" s="33"/>
      <c r="T1790" s="32"/>
    </row>
    <row r="1791">
      <c r="A1791" s="15" t="s">
        <v>2618</v>
      </c>
      <c r="B1791" s="16" t="s">
        <v>1610</v>
      </c>
      <c r="C1791" s="17"/>
      <c r="D1791" s="17" t="s">
        <v>1611</v>
      </c>
      <c r="E1791" s="76">
        <v>43481.0</v>
      </c>
      <c r="F1791" s="62">
        <v>43511.0</v>
      </c>
      <c r="G1791" s="20">
        <f t="shared" si="2"/>
        <v>0.9666666667</v>
      </c>
      <c r="H1791" s="18"/>
      <c r="I1791" s="20">
        <f t="shared" si="3"/>
        <v>-6.747222222</v>
      </c>
      <c r="J1791" s="53"/>
      <c r="K1791" s="53"/>
      <c r="L1791" s="23"/>
      <c r="M1791" s="23"/>
      <c r="N1791" s="23"/>
      <c r="O1791" s="23"/>
      <c r="P1791" s="54"/>
      <c r="Q1791" s="23"/>
      <c r="R1791" s="17"/>
      <c r="S1791" s="18"/>
      <c r="T1791" s="20"/>
    </row>
    <row r="1792">
      <c r="A1792" s="67" t="s">
        <v>1941</v>
      </c>
      <c r="B1792" s="28" t="s">
        <v>68</v>
      </c>
      <c r="C1792" s="29"/>
      <c r="D1792" s="29" t="str">
        <f t="shared" ref="D1792:D1799" si="121">IF(E1792&gt;TODAY(),"Coming Soon",IF(F1792="","Active",IF(F1792&gt;TODAY(),"Leaving Soon","Removed")))</f>
        <v>Removed</v>
      </c>
      <c r="E1792" s="70">
        <v>43344.0</v>
      </c>
      <c r="F1792" s="70">
        <v>43497.0</v>
      </c>
      <c r="G1792" s="32">
        <f t="shared" si="2"/>
        <v>5</v>
      </c>
      <c r="H1792" s="33">
        <v>42941.0</v>
      </c>
      <c r="I1792" s="32">
        <f t="shared" si="3"/>
        <v>1.1</v>
      </c>
      <c r="J1792" s="34">
        <v>77.0</v>
      </c>
      <c r="K1792" s="34">
        <v>30.0</v>
      </c>
      <c r="L1792" s="44" t="s">
        <v>50</v>
      </c>
      <c r="M1792" s="44"/>
      <c r="N1792" s="44"/>
      <c r="O1792" s="44"/>
      <c r="P1792" s="71"/>
      <c r="Q1792" s="44"/>
      <c r="R1792" s="29"/>
      <c r="S1792" s="33"/>
      <c r="T1792" s="32"/>
    </row>
    <row r="1793">
      <c r="A1793" s="64" t="s">
        <v>2619</v>
      </c>
      <c r="B1793" s="16" t="s">
        <v>68</v>
      </c>
      <c r="C1793" s="17"/>
      <c r="D1793" s="17" t="str">
        <f t="shared" si="121"/>
        <v>Removed</v>
      </c>
      <c r="E1793" s="76">
        <v>43344.0</v>
      </c>
      <c r="F1793" s="76">
        <v>43497.0</v>
      </c>
      <c r="G1793" s="20">
        <f t="shared" si="2"/>
        <v>5</v>
      </c>
      <c r="H1793" s="18">
        <v>41543.0</v>
      </c>
      <c r="I1793" s="20">
        <f t="shared" si="3"/>
        <v>4.930555556</v>
      </c>
      <c r="J1793" s="53">
        <v>74.0</v>
      </c>
      <c r="K1793" s="53">
        <v>12.5</v>
      </c>
      <c r="L1793" s="43" t="s">
        <v>184</v>
      </c>
      <c r="M1793" s="43"/>
      <c r="N1793" s="43"/>
      <c r="O1793" s="43"/>
      <c r="P1793" s="66"/>
      <c r="Q1793" s="43"/>
      <c r="R1793" s="17"/>
      <c r="S1793" s="18"/>
      <c r="T1793" s="20"/>
    </row>
    <row r="1794">
      <c r="A1794" s="27" t="s">
        <v>2620</v>
      </c>
      <c r="B1794" s="28" t="s">
        <v>68</v>
      </c>
      <c r="C1794" s="29"/>
      <c r="D1794" s="29" t="str">
        <f t="shared" si="121"/>
        <v>Removed</v>
      </c>
      <c r="E1794" s="70">
        <v>43160.0</v>
      </c>
      <c r="F1794" s="70">
        <v>43497.0</v>
      </c>
      <c r="G1794" s="32">
        <f t="shared" si="2"/>
        <v>11</v>
      </c>
      <c r="H1794" s="33">
        <v>42310.0</v>
      </c>
      <c r="I1794" s="32">
        <f t="shared" si="3"/>
        <v>2.330555556</v>
      </c>
      <c r="J1794" s="34">
        <v>61.0</v>
      </c>
      <c r="K1794" s="34">
        <v>28.5</v>
      </c>
      <c r="L1794" s="44" t="s">
        <v>2298</v>
      </c>
      <c r="M1794" s="44"/>
      <c r="N1794" s="44"/>
      <c r="O1794" s="44"/>
      <c r="P1794" s="71"/>
      <c r="Q1794" s="44"/>
      <c r="R1794" s="29"/>
      <c r="S1794" s="33"/>
      <c r="T1794" s="32"/>
    </row>
    <row r="1795">
      <c r="A1795" s="15" t="s">
        <v>2621</v>
      </c>
      <c r="B1795" s="16" t="s">
        <v>68</v>
      </c>
      <c r="C1795" s="17"/>
      <c r="D1795" s="17" t="str">
        <f t="shared" si="121"/>
        <v>Removed</v>
      </c>
      <c r="E1795" s="76">
        <v>43160.0</v>
      </c>
      <c r="F1795" s="76">
        <v>43497.0</v>
      </c>
      <c r="G1795" s="20">
        <f t="shared" si="2"/>
        <v>11</v>
      </c>
      <c r="H1795" s="18">
        <v>42059.0</v>
      </c>
      <c r="I1795" s="20">
        <f t="shared" si="3"/>
        <v>3.019444444</v>
      </c>
      <c r="J1795" s="53">
        <v>75.0</v>
      </c>
      <c r="K1795" s="53">
        <v>10.0</v>
      </c>
      <c r="L1795" s="146" t="s">
        <v>32</v>
      </c>
      <c r="M1795" s="146"/>
      <c r="N1795" s="146"/>
      <c r="O1795" s="146"/>
      <c r="P1795" s="147"/>
      <c r="Q1795" s="146"/>
      <c r="R1795" s="17"/>
      <c r="S1795" s="18"/>
      <c r="T1795" s="20"/>
    </row>
    <row r="1796">
      <c r="A1796" s="67" t="s">
        <v>2622</v>
      </c>
      <c r="B1796" s="28" t="s">
        <v>68</v>
      </c>
      <c r="C1796" s="29"/>
      <c r="D1796" s="29" t="str">
        <f t="shared" si="121"/>
        <v>Removed</v>
      </c>
      <c r="E1796" s="70">
        <v>43160.0</v>
      </c>
      <c r="F1796" s="70">
        <v>43497.0</v>
      </c>
      <c r="G1796" s="32">
        <f t="shared" si="2"/>
        <v>11</v>
      </c>
      <c r="H1796" s="33">
        <v>34235.0</v>
      </c>
      <c r="I1796" s="32">
        <f t="shared" si="3"/>
        <v>24.43888889</v>
      </c>
      <c r="J1796" s="34">
        <v>82.0</v>
      </c>
      <c r="K1796" s="34">
        <v>2.0</v>
      </c>
      <c r="L1796" s="44" t="s">
        <v>918</v>
      </c>
      <c r="M1796" s="44"/>
      <c r="N1796" s="44"/>
      <c r="O1796" s="44"/>
      <c r="P1796" s="71"/>
      <c r="Q1796" s="35" t="s">
        <v>1697</v>
      </c>
      <c r="R1796" s="29"/>
      <c r="S1796" s="33"/>
      <c r="T1796" s="32"/>
    </row>
    <row r="1797">
      <c r="A1797" s="64" t="s">
        <v>2480</v>
      </c>
      <c r="B1797" s="16" t="s">
        <v>68</v>
      </c>
      <c r="C1797" s="17"/>
      <c r="D1797" s="17" t="str">
        <f t="shared" si="121"/>
        <v>Removed</v>
      </c>
      <c r="E1797" s="76">
        <v>43160.0</v>
      </c>
      <c r="F1797" s="76">
        <v>43497.0</v>
      </c>
      <c r="G1797" s="20">
        <f t="shared" si="2"/>
        <v>11</v>
      </c>
      <c r="H1797" s="18">
        <v>42612.0</v>
      </c>
      <c r="I1797" s="20">
        <f t="shared" si="3"/>
        <v>1.502777778</v>
      </c>
      <c r="J1797" s="53">
        <v>70.0</v>
      </c>
      <c r="K1797" s="53">
        <v>4.5</v>
      </c>
      <c r="L1797" s="43" t="s">
        <v>1576</v>
      </c>
      <c r="M1797" s="43"/>
      <c r="N1797" s="43"/>
      <c r="O1797" s="43"/>
      <c r="P1797" s="66"/>
      <c r="Q1797" s="43"/>
      <c r="R1797" s="17"/>
      <c r="S1797" s="18"/>
      <c r="T1797" s="20"/>
    </row>
    <row r="1798">
      <c r="A1798" s="67" t="s">
        <v>2623</v>
      </c>
      <c r="B1798" s="28" t="s">
        <v>68</v>
      </c>
      <c r="C1798" s="29"/>
      <c r="D1798" s="29" t="str">
        <f t="shared" si="121"/>
        <v>Removed</v>
      </c>
      <c r="E1798" s="70">
        <v>42887.0</v>
      </c>
      <c r="F1798" s="70">
        <v>43497.0</v>
      </c>
      <c r="G1798" s="32">
        <f t="shared" si="2"/>
        <v>20</v>
      </c>
      <c r="H1798" s="33">
        <v>42564.0</v>
      </c>
      <c r="I1798" s="32">
        <f t="shared" si="3"/>
        <v>0.8833333333</v>
      </c>
      <c r="J1798" s="34">
        <f>(80+90+100)/3</f>
        <v>90</v>
      </c>
      <c r="K1798" s="34"/>
      <c r="L1798" s="35" t="s">
        <v>731</v>
      </c>
      <c r="M1798" s="35"/>
      <c r="N1798" s="35"/>
      <c r="O1798" s="35"/>
      <c r="P1798" s="36"/>
      <c r="Q1798" s="35"/>
      <c r="R1798" s="29"/>
      <c r="S1798" s="33"/>
      <c r="T1798" s="32"/>
    </row>
    <row r="1799">
      <c r="A1799" s="64" t="s">
        <v>2624</v>
      </c>
      <c r="B1799" s="16" t="s">
        <v>68</v>
      </c>
      <c r="C1799" s="17"/>
      <c r="D1799" s="17" t="str">
        <f t="shared" si="121"/>
        <v>Removed</v>
      </c>
      <c r="E1799" s="76">
        <v>42887.0</v>
      </c>
      <c r="F1799" s="76">
        <v>43497.0</v>
      </c>
      <c r="G1799" s="20">
        <f t="shared" si="2"/>
        <v>20</v>
      </c>
      <c r="H1799" s="18">
        <v>41866.0</v>
      </c>
      <c r="I1799" s="20">
        <f t="shared" si="3"/>
        <v>2.794444444</v>
      </c>
      <c r="J1799" s="53">
        <v>74.0</v>
      </c>
      <c r="K1799" s="53">
        <v>1.0</v>
      </c>
      <c r="L1799" s="43" t="s">
        <v>918</v>
      </c>
      <c r="M1799" s="43"/>
      <c r="N1799" s="43"/>
      <c r="O1799" s="43"/>
      <c r="P1799" s="66"/>
      <c r="Q1799" s="43"/>
      <c r="R1799" s="17"/>
      <c r="S1799" s="18"/>
      <c r="T1799" s="20"/>
    </row>
    <row r="1800">
      <c r="A1800" s="27" t="s">
        <v>2625</v>
      </c>
      <c r="B1800" s="28" t="s">
        <v>1859</v>
      </c>
      <c r="C1800" s="29"/>
      <c r="D1800" s="29" t="s">
        <v>1860</v>
      </c>
      <c r="E1800" s="70">
        <v>43481.0</v>
      </c>
      <c r="F1800" s="30">
        <v>43496.0</v>
      </c>
      <c r="G1800" s="32">
        <f t="shared" si="2"/>
        <v>0.4666666667</v>
      </c>
      <c r="H1800" s="33"/>
      <c r="I1800" s="32">
        <f t="shared" si="3"/>
        <v>-6.747222222</v>
      </c>
      <c r="J1800" s="34"/>
      <c r="K1800" s="34"/>
      <c r="L1800" s="35"/>
      <c r="M1800" s="35"/>
      <c r="N1800" s="35" t="s">
        <v>1612</v>
      </c>
      <c r="O1800" s="35"/>
      <c r="P1800" s="36"/>
      <c r="Q1800" s="35"/>
      <c r="R1800" s="29"/>
      <c r="S1800" s="33"/>
      <c r="T1800" s="32"/>
    </row>
    <row r="1801">
      <c r="A1801" s="15" t="s">
        <v>552</v>
      </c>
      <c r="B1801" s="16" t="s">
        <v>1610</v>
      </c>
      <c r="C1801" s="17"/>
      <c r="D1801" s="17" t="s">
        <v>1611</v>
      </c>
      <c r="E1801" s="76">
        <v>43466.0</v>
      </c>
      <c r="F1801" s="62">
        <v>43496.0</v>
      </c>
      <c r="G1801" s="20">
        <f t="shared" si="2"/>
        <v>0.9666666667</v>
      </c>
      <c r="H1801" s="18"/>
      <c r="I1801" s="20">
        <f t="shared" si="3"/>
        <v>-6.788888889</v>
      </c>
      <c r="J1801" s="53"/>
      <c r="K1801" s="53"/>
      <c r="L1801" s="23"/>
      <c r="M1801" s="23"/>
      <c r="N1801" s="23"/>
      <c r="O1801" s="23"/>
      <c r="P1801" s="54"/>
      <c r="Q1801" s="23"/>
      <c r="R1801" s="17"/>
      <c r="S1801" s="18"/>
      <c r="T1801" s="20"/>
    </row>
    <row r="1802">
      <c r="A1802" s="27" t="s">
        <v>114</v>
      </c>
      <c r="B1802" s="28" t="s">
        <v>1859</v>
      </c>
      <c r="C1802" s="29"/>
      <c r="D1802" s="29" t="s">
        <v>1860</v>
      </c>
      <c r="E1802" s="70">
        <v>43466.0</v>
      </c>
      <c r="F1802" s="30">
        <v>43480.0</v>
      </c>
      <c r="G1802" s="32">
        <f t="shared" si="2"/>
        <v>0.4666666667</v>
      </c>
      <c r="H1802" s="33"/>
      <c r="I1802" s="32">
        <f t="shared" si="3"/>
        <v>-6.788888889</v>
      </c>
      <c r="J1802" s="34"/>
      <c r="K1802" s="34"/>
      <c r="L1802" s="35"/>
      <c r="M1802" s="35"/>
      <c r="N1802" s="35" t="s">
        <v>1612</v>
      </c>
      <c r="O1802" s="35"/>
      <c r="P1802" s="36"/>
      <c r="Q1802" s="35"/>
      <c r="R1802" s="29"/>
      <c r="S1802" s="33"/>
      <c r="T1802" s="32"/>
    </row>
    <row r="1803">
      <c r="A1803" s="15" t="s">
        <v>2626</v>
      </c>
      <c r="B1803" s="16" t="s">
        <v>1610</v>
      </c>
      <c r="C1803" s="17"/>
      <c r="D1803" s="17" t="s">
        <v>1611</v>
      </c>
      <c r="E1803" s="76">
        <v>43450.0</v>
      </c>
      <c r="F1803" s="62">
        <v>43480.0</v>
      </c>
      <c r="G1803" s="20">
        <f t="shared" si="2"/>
        <v>0.9666666667</v>
      </c>
      <c r="H1803" s="18"/>
      <c r="I1803" s="20">
        <f t="shared" si="3"/>
        <v>-6.830555556</v>
      </c>
      <c r="J1803" s="53"/>
      <c r="K1803" s="53"/>
      <c r="L1803" s="23"/>
      <c r="M1803" s="23"/>
      <c r="N1803" s="23"/>
      <c r="O1803" s="23"/>
      <c r="P1803" s="54"/>
      <c r="Q1803" s="23"/>
      <c r="R1803" s="17"/>
      <c r="S1803" s="18"/>
      <c r="T1803" s="20"/>
    </row>
    <row r="1804">
      <c r="A1804" s="67" t="s">
        <v>2627</v>
      </c>
      <c r="B1804" s="28" t="s">
        <v>68</v>
      </c>
      <c r="C1804" s="29"/>
      <c r="D1804" s="29" t="str">
        <f t="shared" ref="D1804:D1809" si="122">IF(E1804&gt;TODAY(),"Coming Soon",IF(F1804="","Active",IF(F1804&gt;TODAY(),"Leaving Soon","Removed")))</f>
        <v>Removed</v>
      </c>
      <c r="E1804" s="70">
        <v>43313.0</v>
      </c>
      <c r="F1804" s="70">
        <v>43466.0</v>
      </c>
      <c r="G1804" s="32">
        <f t="shared" si="2"/>
        <v>5</v>
      </c>
      <c r="H1804" s="33">
        <v>42277.0</v>
      </c>
      <c r="I1804" s="32">
        <f t="shared" si="3"/>
        <v>2.836111111</v>
      </c>
      <c r="J1804" s="34">
        <v>65.0</v>
      </c>
      <c r="K1804" s="34">
        <v>6.5</v>
      </c>
      <c r="L1804" s="44" t="s">
        <v>522</v>
      </c>
      <c r="M1804" s="44"/>
      <c r="N1804" s="44"/>
      <c r="O1804" s="44"/>
      <c r="P1804" s="71"/>
      <c r="Q1804" s="44"/>
      <c r="R1804" s="29"/>
      <c r="S1804" s="33"/>
      <c r="T1804" s="32"/>
    </row>
    <row r="1805">
      <c r="A1805" s="15" t="s">
        <v>2628</v>
      </c>
      <c r="B1805" s="16" t="s">
        <v>68</v>
      </c>
      <c r="C1805" s="17"/>
      <c r="D1805" s="17" t="str">
        <f t="shared" si="122"/>
        <v>Removed</v>
      </c>
      <c r="E1805" s="76">
        <v>43132.0</v>
      </c>
      <c r="F1805" s="76">
        <v>43466.0</v>
      </c>
      <c r="G1805" s="20">
        <f t="shared" si="2"/>
        <v>11</v>
      </c>
      <c r="H1805" s="18">
        <v>41842.0</v>
      </c>
      <c r="I1805" s="20">
        <f t="shared" si="3"/>
        <v>3.525</v>
      </c>
      <c r="J1805" s="53">
        <v>77.0</v>
      </c>
      <c r="K1805" s="53">
        <v>9.0</v>
      </c>
      <c r="L1805" s="23" t="s">
        <v>731</v>
      </c>
      <c r="M1805" s="23"/>
      <c r="N1805" s="23"/>
      <c r="O1805" s="23"/>
      <c r="P1805" s="54"/>
      <c r="Q1805" s="23"/>
      <c r="R1805" s="17"/>
      <c r="S1805" s="18"/>
      <c r="T1805" s="20"/>
    </row>
    <row r="1806">
      <c r="A1806" s="67" t="s">
        <v>2629</v>
      </c>
      <c r="B1806" s="28" t="s">
        <v>68</v>
      </c>
      <c r="C1806" s="29"/>
      <c r="D1806" s="29" t="str">
        <f t="shared" si="122"/>
        <v>Removed</v>
      </c>
      <c r="E1806" s="70">
        <v>42948.0</v>
      </c>
      <c r="F1806" s="70">
        <v>43466.0</v>
      </c>
      <c r="G1806" s="32">
        <f t="shared" si="2"/>
        <v>17</v>
      </c>
      <c r="H1806" s="33">
        <v>41600.0</v>
      </c>
      <c r="I1806" s="32">
        <f t="shared" si="3"/>
        <v>3.691666667</v>
      </c>
      <c r="J1806" s="34">
        <v>78.0</v>
      </c>
      <c r="K1806" s="34">
        <v>14.0</v>
      </c>
      <c r="L1806" s="35" t="s">
        <v>509</v>
      </c>
      <c r="M1806" s="44"/>
      <c r="N1806" s="44"/>
      <c r="O1806" s="44"/>
      <c r="P1806" s="71"/>
      <c r="Q1806" s="44"/>
      <c r="R1806" s="29"/>
      <c r="S1806" s="33"/>
      <c r="T1806" s="32"/>
    </row>
    <row r="1807">
      <c r="A1807" s="64" t="s">
        <v>2630</v>
      </c>
      <c r="B1807" s="16" t="s">
        <v>68</v>
      </c>
      <c r="C1807" s="17"/>
      <c r="D1807" s="17" t="str">
        <f t="shared" si="122"/>
        <v>Removed</v>
      </c>
      <c r="E1807" s="76">
        <v>42887.0</v>
      </c>
      <c r="F1807" s="76">
        <v>43466.0</v>
      </c>
      <c r="G1807" s="20">
        <f t="shared" si="2"/>
        <v>19</v>
      </c>
      <c r="H1807" s="18">
        <v>41509.0</v>
      </c>
      <c r="I1807" s="20">
        <f t="shared" si="3"/>
        <v>3.772222222</v>
      </c>
      <c r="J1807" s="53">
        <v>77.0</v>
      </c>
      <c r="K1807" s="53">
        <v>3.0</v>
      </c>
      <c r="L1807" s="43" t="s">
        <v>44</v>
      </c>
      <c r="M1807" s="43"/>
      <c r="N1807" s="43"/>
      <c r="O1807" s="43"/>
      <c r="P1807" s="66"/>
      <c r="Q1807" s="43"/>
      <c r="R1807" s="17"/>
      <c r="S1807" s="18"/>
      <c r="T1807" s="20"/>
    </row>
    <row r="1808">
      <c r="A1808" s="67" t="s">
        <v>2631</v>
      </c>
      <c r="B1808" s="28" t="s">
        <v>68</v>
      </c>
      <c r="C1808" s="29"/>
      <c r="D1808" s="29" t="str">
        <f t="shared" si="122"/>
        <v>Removed</v>
      </c>
      <c r="E1808" s="70">
        <v>42887.0</v>
      </c>
      <c r="F1808" s="70">
        <v>43466.0</v>
      </c>
      <c r="G1808" s="32">
        <f t="shared" si="2"/>
        <v>19</v>
      </c>
      <c r="H1808" s="33">
        <v>41900.0</v>
      </c>
      <c r="I1808" s="32">
        <f t="shared" si="3"/>
        <v>2.702777778</v>
      </c>
      <c r="J1808" s="34">
        <v>74.0</v>
      </c>
      <c r="K1808" s="34">
        <v>2.5</v>
      </c>
      <c r="L1808" s="35" t="s">
        <v>731</v>
      </c>
      <c r="M1808" s="35"/>
      <c r="N1808" s="35"/>
      <c r="O1808" s="35"/>
      <c r="P1808" s="36"/>
      <c r="Q1808" s="35"/>
      <c r="R1808" s="29"/>
      <c r="S1808" s="33"/>
      <c r="T1808" s="32"/>
    </row>
    <row r="1809">
      <c r="A1809" s="64" t="s">
        <v>2632</v>
      </c>
      <c r="B1809" s="16" t="s">
        <v>68</v>
      </c>
      <c r="C1809" s="17"/>
      <c r="D1809" s="17" t="str">
        <f t="shared" si="122"/>
        <v>Removed</v>
      </c>
      <c r="E1809" s="76">
        <v>42887.0</v>
      </c>
      <c r="F1809" s="76">
        <v>43466.0</v>
      </c>
      <c r="G1809" s="20">
        <f t="shared" si="2"/>
        <v>19</v>
      </c>
      <c r="H1809" s="18">
        <v>42142.0</v>
      </c>
      <c r="I1809" s="20">
        <f t="shared" si="3"/>
        <v>2.036111111</v>
      </c>
      <c r="J1809" s="53">
        <v>79.0</v>
      </c>
      <c r="K1809" s="53">
        <v>1.5</v>
      </c>
      <c r="L1809" s="23" t="s">
        <v>2156</v>
      </c>
      <c r="M1809" s="23"/>
      <c r="N1809" s="23"/>
      <c r="O1809" s="23"/>
      <c r="P1809" s="54"/>
      <c r="Q1809" s="23"/>
      <c r="R1809" s="17"/>
      <c r="S1809" s="18"/>
      <c r="T1809" s="20"/>
    </row>
    <row r="1810">
      <c r="A1810" s="27" t="s">
        <v>2633</v>
      </c>
      <c r="B1810" s="28" t="s">
        <v>1859</v>
      </c>
      <c r="C1810" s="29"/>
      <c r="D1810" s="29" t="s">
        <v>1860</v>
      </c>
      <c r="E1810" s="70">
        <v>43450.0</v>
      </c>
      <c r="F1810" s="30">
        <v>43465.0</v>
      </c>
      <c r="G1810" s="32">
        <f t="shared" si="2"/>
        <v>0.4666666667</v>
      </c>
      <c r="H1810" s="33"/>
      <c r="I1810" s="32">
        <f t="shared" si="3"/>
        <v>-6.830555556</v>
      </c>
      <c r="J1810" s="34"/>
      <c r="K1810" s="34"/>
      <c r="L1810" s="35"/>
      <c r="M1810" s="35" t="s">
        <v>1614</v>
      </c>
      <c r="N1810" s="35" t="s">
        <v>1612</v>
      </c>
      <c r="O1810" s="35"/>
      <c r="P1810" s="36"/>
      <c r="Q1810" s="35"/>
      <c r="R1810" s="29"/>
      <c r="S1810" s="33"/>
      <c r="T1810" s="32"/>
    </row>
    <row r="1811">
      <c r="A1811" s="15" t="s">
        <v>2634</v>
      </c>
      <c r="B1811" s="16" t="s">
        <v>1610</v>
      </c>
      <c r="C1811" s="17"/>
      <c r="D1811" s="17" t="s">
        <v>1611</v>
      </c>
      <c r="E1811" s="76">
        <v>43435.0</v>
      </c>
      <c r="F1811" s="62">
        <v>43465.0</v>
      </c>
      <c r="G1811" s="20">
        <f t="shared" si="2"/>
        <v>0.9666666667</v>
      </c>
      <c r="H1811" s="18"/>
      <c r="I1811" s="20">
        <f t="shared" si="3"/>
        <v>-6.872222222</v>
      </c>
      <c r="J1811" s="53"/>
      <c r="K1811" s="53"/>
      <c r="L1811" s="23"/>
      <c r="M1811" s="23"/>
      <c r="N1811" s="23" t="s">
        <v>1612</v>
      </c>
      <c r="O1811" s="23"/>
      <c r="P1811" s="54"/>
      <c r="Q1811" s="23"/>
      <c r="R1811" s="17"/>
      <c r="S1811" s="18"/>
      <c r="T1811" s="20"/>
    </row>
    <row r="1812">
      <c r="A1812" s="27" t="s">
        <v>894</v>
      </c>
      <c r="B1812" s="28" t="s">
        <v>1859</v>
      </c>
      <c r="C1812" s="29"/>
      <c r="D1812" s="29" t="s">
        <v>1860</v>
      </c>
      <c r="E1812" s="70">
        <v>43435.0</v>
      </c>
      <c r="F1812" s="30">
        <v>43449.0</v>
      </c>
      <c r="G1812" s="32">
        <f t="shared" si="2"/>
        <v>0.4666666667</v>
      </c>
      <c r="H1812" s="33"/>
      <c r="I1812" s="32">
        <f t="shared" si="3"/>
        <v>-6.872222222</v>
      </c>
      <c r="J1812" s="34"/>
      <c r="K1812" s="34"/>
      <c r="L1812" s="35"/>
      <c r="M1812" s="35"/>
      <c r="N1812" s="35" t="s">
        <v>1612</v>
      </c>
      <c r="O1812" s="35"/>
      <c r="P1812" s="36"/>
      <c r="Q1812" s="35"/>
      <c r="R1812" s="29"/>
      <c r="S1812" s="33"/>
      <c r="T1812" s="32"/>
    </row>
    <row r="1813">
      <c r="A1813" s="15" t="s">
        <v>2635</v>
      </c>
      <c r="B1813" s="16" t="s">
        <v>1610</v>
      </c>
      <c r="C1813" s="17"/>
      <c r="D1813" s="17" t="s">
        <v>1611</v>
      </c>
      <c r="E1813" s="76">
        <v>43420.0</v>
      </c>
      <c r="F1813" s="62">
        <v>43449.0</v>
      </c>
      <c r="G1813" s="20">
        <f t="shared" si="2"/>
        <v>0.9666666667</v>
      </c>
      <c r="H1813" s="18"/>
      <c r="I1813" s="20">
        <f t="shared" si="3"/>
        <v>-6.913888889</v>
      </c>
      <c r="J1813" s="53"/>
      <c r="K1813" s="53"/>
      <c r="L1813" s="23"/>
      <c r="M1813" s="23"/>
      <c r="N1813" s="23"/>
      <c r="O1813" s="23"/>
      <c r="P1813" s="54"/>
      <c r="Q1813" s="23"/>
      <c r="R1813" s="17"/>
      <c r="S1813" s="18"/>
      <c r="T1813" s="20"/>
    </row>
    <row r="1814">
      <c r="A1814" s="67" t="s">
        <v>2636</v>
      </c>
      <c r="B1814" s="28" t="s">
        <v>68</v>
      </c>
      <c r="C1814" s="29"/>
      <c r="D1814" s="29" t="str">
        <f t="shared" ref="D1814:D1820" si="123">IF(E1814&gt;TODAY(),"Coming Soon",IF(F1814="","Active",IF(F1814&gt;TODAY(),"Leaving Soon","Removed")))</f>
        <v>Removed</v>
      </c>
      <c r="E1814" s="70">
        <v>43101.0</v>
      </c>
      <c r="F1814" s="70">
        <v>43435.0</v>
      </c>
      <c r="G1814" s="32">
        <f t="shared" si="2"/>
        <v>11</v>
      </c>
      <c r="H1814" s="33">
        <v>40115.0</v>
      </c>
      <c r="I1814" s="32">
        <f t="shared" si="3"/>
        <v>8.172222222</v>
      </c>
      <c r="J1814" s="34">
        <v>90.0</v>
      </c>
      <c r="K1814" s="34">
        <v>11.0</v>
      </c>
      <c r="L1814" s="44" t="s">
        <v>366</v>
      </c>
      <c r="M1814" s="44"/>
      <c r="N1814" s="44"/>
      <c r="O1814" s="44"/>
      <c r="P1814" s="71"/>
      <c r="Q1814" s="35" t="s">
        <v>863</v>
      </c>
      <c r="R1814" s="29"/>
      <c r="S1814" s="33"/>
      <c r="T1814" s="32"/>
    </row>
    <row r="1815">
      <c r="A1815" s="15" t="s">
        <v>2637</v>
      </c>
      <c r="B1815" s="16" t="s">
        <v>68</v>
      </c>
      <c r="C1815" s="17"/>
      <c r="D1815" s="17" t="str">
        <f t="shared" si="123"/>
        <v>Removed</v>
      </c>
      <c r="E1815" s="76">
        <v>43101.0</v>
      </c>
      <c r="F1815" s="76">
        <v>43435.0</v>
      </c>
      <c r="G1815" s="20">
        <f t="shared" si="2"/>
        <v>11</v>
      </c>
      <c r="H1815" s="18">
        <v>41900.0</v>
      </c>
      <c r="I1815" s="20">
        <f t="shared" si="3"/>
        <v>3.286111111</v>
      </c>
      <c r="J1815" s="53">
        <v>69.0</v>
      </c>
      <c r="K1815" s="53">
        <v>4.0</v>
      </c>
      <c r="L1815" s="23" t="s">
        <v>29</v>
      </c>
      <c r="M1815" s="43"/>
      <c r="N1815" s="43"/>
      <c r="O1815" s="43"/>
      <c r="P1815" s="66"/>
      <c r="Q1815" s="43"/>
      <c r="R1815" s="17"/>
      <c r="S1815" s="18"/>
      <c r="T1815" s="20"/>
    </row>
    <row r="1816">
      <c r="A1816" s="67" t="s">
        <v>2187</v>
      </c>
      <c r="B1816" s="28" t="s">
        <v>68</v>
      </c>
      <c r="C1816" s="29"/>
      <c r="D1816" s="29" t="str">
        <f t="shared" si="123"/>
        <v>Removed</v>
      </c>
      <c r="E1816" s="70">
        <v>43101.0</v>
      </c>
      <c r="F1816" s="70">
        <v>43435.0</v>
      </c>
      <c r="G1816" s="32">
        <f t="shared" si="2"/>
        <v>11</v>
      </c>
      <c r="H1816" s="33">
        <v>41380.0</v>
      </c>
      <c r="I1816" s="32">
        <f t="shared" si="3"/>
        <v>4.708333333</v>
      </c>
      <c r="J1816" s="34">
        <v>81.0</v>
      </c>
      <c r="K1816" s="34">
        <v>5.0</v>
      </c>
      <c r="L1816" s="44" t="s">
        <v>303</v>
      </c>
      <c r="M1816" s="44"/>
      <c r="N1816" s="44"/>
      <c r="O1816" s="44"/>
      <c r="P1816" s="71"/>
      <c r="Q1816" s="44"/>
      <c r="R1816" s="29"/>
      <c r="S1816" s="33"/>
      <c r="T1816" s="32"/>
    </row>
    <row r="1817">
      <c r="A1817" s="64" t="s">
        <v>2638</v>
      </c>
      <c r="B1817" s="16" t="s">
        <v>68</v>
      </c>
      <c r="C1817" s="17"/>
      <c r="D1817" s="17" t="str">
        <f t="shared" si="123"/>
        <v>Removed</v>
      </c>
      <c r="E1817" s="76">
        <v>43101.0</v>
      </c>
      <c r="F1817" s="76">
        <v>43435.0</v>
      </c>
      <c r="G1817" s="20">
        <f t="shared" si="2"/>
        <v>11</v>
      </c>
      <c r="H1817" s="18">
        <v>41716.0</v>
      </c>
      <c r="I1817" s="20">
        <f t="shared" si="3"/>
        <v>3.786111111</v>
      </c>
      <c r="J1817" s="53">
        <v>76.0</v>
      </c>
      <c r="K1817" s="53">
        <v>1.5</v>
      </c>
      <c r="L1817" s="43" t="s">
        <v>675</v>
      </c>
      <c r="M1817" s="43"/>
      <c r="N1817" s="43"/>
      <c r="O1817" s="43"/>
      <c r="P1817" s="66"/>
      <c r="Q1817" s="43"/>
      <c r="R1817" s="17"/>
      <c r="S1817" s="18"/>
      <c r="T1817" s="20"/>
    </row>
    <row r="1818">
      <c r="A1818" s="67" t="s">
        <v>2639</v>
      </c>
      <c r="B1818" s="28" t="s">
        <v>68</v>
      </c>
      <c r="C1818" s="29"/>
      <c r="D1818" s="29" t="str">
        <f t="shared" si="123"/>
        <v>Removed</v>
      </c>
      <c r="E1818" s="70">
        <v>43101.0</v>
      </c>
      <c r="F1818" s="70">
        <v>43435.0</v>
      </c>
      <c r="G1818" s="32">
        <f t="shared" si="2"/>
        <v>11</v>
      </c>
      <c r="H1818" s="33">
        <v>42863.0</v>
      </c>
      <c r="I1818" s="32">
        <f t="shared" si="3"/>
        <v>0.6472222222</v>
      </c>
      <c r="J1818" s="34">
        <v>66.0</v>
      </c>
      <c r="K1818" s="34">
        <v>7.0</v>
      </c>
      <c r="L1818" s="35" t="s">
        <v>922</v>
      </c>
      <c r="M1818" s="35"/>
      <c r="N1818" s="35"/>
      <c r="O1818" s="35"/>
      <c r="P1818" s="36"/>
      <c r="Q1818" s="35"/>
      <c r="R1818" s="29"/>
      <c r="S1818" s="33"/>
      <c r="T1818" s="32"/>
    </row>
    <row r="1819">
      <c r="A1819" s="15" t="s">
        <v>2640</v>
      </c>
      <c r="B1819" s="16" t="s">
        <v>68</v>
      </c>
      <c r="C1819" s="17"/>
      <c r="D1819" s="17" t="str">
        <f t="shared" si="123"/>
        <v>Removed</v>
      </c>
      <c r="E1819" s="76">
        <v>43101.0</v>
      </c>
      <c r="F1819" s="76">
        <v>43435.0</v>
      </c>
      <c r="G1819" s="20">
        <f t="shared" si="2"/>
        <v>11</v>
      </c>
      <c r="H1819" s="18">
        <v>40459.0</v>
      </c>
      <c r="I1819" s="20">
        <f t="shared" si="3"/>
        <v>7.230555556</v>
      </c>
      <c r="J1819" s="53">
        <v>70.0</v>
      </c>
      <c r="K1819" s="53">
        <v>15.0</v>
      </c>
      <c r="L1819" s="43" t="s">
        <v>500</v>
      </c>
      <c r="M1819" s="43"/>
      <c r="N1819" s="43"/>
      <c r="O1819" s="43"/>
      <c r="P1819" s="66"/>
      <c r="Q1819" s="43"/>
      <c r="R1819" s="17"/>
      <c r="S1819" s="18"/>
      <c r="T1819" s="20"/>
    </row>
    <row r="1820">
      <c r="A1820" s="67" t="s">
        <v>2641</v>
      </c>
      <c r="B1820" s="28" t="s">
        <v>68</v>
      </c>
      <c r="C1820" s="29"/>
      <c r="D1820" s="29" t="str">
        <f t="shared" si="123"/>
        <v>Removed</v>
      </c>
      <c r="E1820" s="70">
        <v>42887.0</v>
      </c>
      <c r="F1820" s="70">
        <v>43435.0</v>
      </c>
      <c r="G1820" s="32">
        <f t="shared" si="2"/>
        <v>18</v>
      </c>
      <c r="H1820" s="33">
        <v>41942.0</v>
      </c>
      <c r="I1820" s="32">
        <f t="shared" si="3"/>
        <v>2.586111111</v>
      </c>
      <c r="J1820" s="34">
        <v>54.0</v>
      </c>
      <c r="K1820" s="34">
        <v>60.5</v>
      </c>
      <c r="L1820" s="44" t="s">
        <v>50</v>
      </c>
      <c r="M1820" s="44"/>
      <c r="N1820" s="44"/>
      <c r="O1820" s="44"/>
      <c r="P1820" s="71"/>
      <c r="Q1820" s="44"/>
      <c r="R1820" s="29"/>
      <c r="S1820" s="33"/>
      <c r="T1820" s="32"/>
    </row>
    <row r="1821">
      <c r="A1821" s="15" t="s">
        <v>887</v>
      </c>
      <c r="B1821" s="16" t="s">
        <v>1859</v>
      </c>
      <c r="C1821" s="17"/>
      <c r="D1821" s="17" t="s">
        <v>1860</v>
      </c>
      <c r="E1821" s="76">
        <v>43420.0</v>
      </c>
      <c r="F1821" s="62">
        <v>43434.0</v>
      </c>
      <c r="G1821" s="20">
        <f t="shared" si="2"/>
        <v>0.4666666667</v>
      </c>
      <c r="H1821" s="18"/>
      <c r="I1821" s="20">
        <f t="shared" si="3"/>
        <v>-6.913888889</v>
      </c>
      <c r="J1821" s="53"/>
      <c r="K1821" s="53"/>
      <c r="L1821" s="23"/>
      <c r="M1821" s="23"/>
      <c r="N1821" s="23" t="s">
        <v>1612</v>
      </c>
      <c r="O1821" s="23"/>
      <c r="P1821" s="54"/>
      <c r="Q1821" s="23"/>
      <c r="R1821" s="17"/>
      <c r="S1821" s="18"/>
      <c r="T1821" s="20"/>
    </row>
    <row r="1822">
      <c r="A1822" s="27" t="s">
        <v>2642</v>
      </c>
      <c r="B1822" s="28" t="s">
        <v>1610</v>
      </c>
      <c r="C1822" s="29"/>
      <c r="D1822" s="29" t="s">
        <v>1611</v>
      </c>
      <c r="E1822" s="70">
        <v>43405.0</v>
      </c>
      <c r="F1822" s="30">
        <v>43434.0</v>
      </c>
      <c r="G1822" s="32">
        <f t="shared" si="2"/>
        <v>0.9666666667</v>
      </c>
      <c r="H1822" s="33"/>
      <c r="I1822" s="32">
        <f t="shared" si="3"/>
        <v>-6.955555556</v>
      </c>
      <c r="J1822" s="34"/>
      <c r="K1822" s="34"/>
      <c r="L1822" s="35"/>
      <c r="M1822" s="35"/>
      <c r="N1822" s="35" t="s">
        <v>1612</v>
      </c>
      <c r="O1822" s="35"/>
      <c r="P1822" s="36"/>
      <c r="Q1822" s="35"/>
      <c r="R1822" s="29"/>
      <c r="S1822" s="33"/>
      <c r="T1822" s="32"/>
    </row>
    <row r="1823">
      <c r="A1823" s="15" t="s">
        <v>2643</v>
      </c>
      <c r="B1823" s="16" t="s">
        <v>1859</v>
      </c>
      <c r="C1823" s="17"/>
      <c r="D1823" s="17" t="s">
        <v>1860</v>
      </c>
      <c r="E1823" s="76">
        <v>43405.0</v>
      </c>
      <c r="F1823" s="62">
        <v>43419.0</v>
      </c>
      <c r="G1823" s="20">
        <f t="shared" si="2"/>
        <v>0.4666666667</v>
      </c>
      <c r="H1823" s="18"/>
      <c r="I1823" s="20">
        <f t="shared" si="3"/>
        <v>-6.955555556</v>
      </c>
      <c r="J1823" s="53"/>
      <c r="K1823" s="53"/>
      <c r="L1823" s="23"/>
      <c r="M1823" s="23" t="s">
        <v>1614</v>
      </c>
      <c r="N1823" s="23" t="s">
        <v>1612</v>
      </c>
      <c r="O1823" s="23"/>
      <c r="P1823" s="54"/>
      <c r="Q1823" s="23"/>
      <c r="R1823" s="17"/>
      <c r="S1823" s="18"/>
      <c r="T1823" s="20"/>
    </row>
    <row r="1824">
      <c r="A1824" s="27" t="s">
        <v>2644</v>
      </c>
      <c r="B1824" s="28" t="s">
        <v>1610</v>
      </c>
      <c r="C1824" s="29"/>
      <c r="D1824" s="29" t="s">
        <v>1611</v>
      </c>
      <c r="E1824" s="70">
        <v>43389.0</v>
      </c>
      <c r="F1824" s="30">
        <v>43419.0</v>
      </c>
      <c r="G1824" s="32">
        <f t="shared" si="2"/>
        <v>0.9666666667</v>
      </c>
      <c r="H1824" s="33"/>
      <c r="I1824" s="32">
        <f t="shared" si="3"/>
        <v>-6.997222222</v>
      </c>
      <c r="J1824" s="34"/>
      <c r="K1824" s="34"/>
      <c r="L1824" s="35"/>
      <c r="M1824" s="35"/>
      <c r="N1824" s="35"/>
      <c r="O1824" s="35"/>
      <c r="P1824" s="36"/>
      <c r="Q1824" s="35"/>
      <c r="R1824" s="29"/>
      <c r="S1824" s="33"/>
      <c r="T1824" s="32"/>
    </row>
    <row r="1825">
      <c r="A1825" s="64" t="s">
        <v>2595</v>
      </c>
      <c r="B1825" s="16" t="s">
        <v>68</v>
      </c>
      <c r="C1825" s="17"/>
      <c r="D1825" s="17" t="str">
        <f t="shared" ref="D1825:D1830" si="124">IF(E1825&gt;TODAY(),"Coming Soon",IF(F1825="","Active",IF(F1825&gt;TODAY(),"Leaving Soon","Removed")))</f>
        <v>Removed</v>
      </c>
      <c r="E1825" s="76">
        <v>43252.0</v>
      </c>
      <c r="F1825" s="76">
        <v>43405.0</v>
      </c>
      <c r="G1825" s="20">
        <f t="shared" si="2"/>
        <v>5</v>
      </c>
      <c r="H1825" s="18">
        <v>42549.0</v>
      </c>
      <c r="I1825" s="20">
        <f t="shared" si="3"/>
        <v>1.925</v>
      </c>
      <c r="J1825" s="53">
        <v>68.0</v>
      </c>
      <c r="K1825" s="53">
        <v>20.5</v>
      </c>
      <c r="L1825" s="23" t="s">
        <v>122</v>
      </c>
      <c r="M1825" s="23"/>
      <c r="N1825" s="23"/>
      <c r="O1825" s="23"/>
      <c r="P1825" s="54"/>
      <c r="Q1825" s="23"/>
      <c r="R1825" s="17"/>
      <c r="S1825" s="18"/>
      <c r="T1825" s="20"/>
    </row>
    <row r="1826">
      <c r="A1826" s="67" t="s">
        <v>2645</v>
      </c>
      <c r="B1826" s="28" t="s">
        <v>68</v>
      </c>
      <c r="C1826" s="29"/>
      <c r="D1826" s="29" t="str">
        <f t="shared" si="124"/>
        <v>Removed</v>
      </c>
      <c r="E1826" s="70">
        <v>43070.0</v>
      </c>
      <c r="F1826" s="70">
        <v>43405.0</v>
      </c>
      <c r="G1826" s="32">
        <f t="shared" si="2"/>
        <v>11</v>
      </c>
      <c r="H1826" s="33">
        <v>42438.0</v>
      </c>
      <c r="I1826" s="32">
        <f t="shared" si="3"/>
        <v>1.727777778</v>
      </c>
      <c r="J1826" s="34">
        <v>60.0</v>
      </c>
      <c r="K1826" s="34">
        <v>40.0</v>
      </c>
      <c r="L1826" s="44" t="s">
        <v>92</v>
      </c>
      <c r="M1826" s="44"/>
      <c r="N1826" s="44"/>
      <c r="O1826" s="44"/>
      <c r="P1826" s="71"/>
      <c r="Q1826" s="44"/>
      <c r="R1826" s="29"/>
      <c r="S1826" s="33"/>
      <c r="T1826" s="32"/>
    </row>
    <row r="1827">
      <c r="A1827" s="64" t="s">
        <v>2646</v>
      </c>
      <c r="B1827" s="16" t="s">
        <v>68</v>
      </c>
      <c r="C1827" s="17"/>
      <c r="D1827" s="17" t="str">
        <f t="shared" si="124"/>
        <v>Removed</v>
      </c>
      <c r="E1827" s="76">
        <v>43070.0</v>
      </c>
      <c r="F1827" s="76">
        <v>43405.0</v>
      </c>
      <c r="G1827" s="20">
        <f t="shared" si="2"/>
        <v>11</v>
      </c>
      <c r="H1827" s="18">
        <v>40238.0</v>
      </c>
      <c r="I1827" s="20">
        <f t="shared" si="3"/>
        <v>7.75</v>
      </c>
      <c r="J1827" s="53">
        <v>79.0</v>
      </c>
      <c r="K1827" s="53">
        <v>2.0</v>
      </c>
      <c r="L1827" s="43" t="s">
        <v>918</v>
      </c>
      <c r="M1827" s="43"/>
      <c r="N1827" s="43"/>
      <c r="O1827" s="43"/>
      <c r="P1827" s="66"/>
      <c r="Q1827" s="23" t="s">
        <v>863</v>
      </c>
      <c r="R1827" s="17"/>
      <c r="S1827" s="18"/>
      <c r="T1827" s="20"/>
    </row>
    <row r="1828">
      <c r="A1828" s="27" t="s">
        <v>2487</v>
      </c>
      <c r="B1828" s="28" t="s">
        <v>68</v>
      </c>
      <c r="C1828" s="29"/>
      <c r="D1828" s="29" t="str">
        <f t="shared" si="124"/>
        <v>Removed</v>
      </c>
      <c r="E1828" s="70">
        <v>43070.0</v>
      </c>
      <c r="F1828" s="70">
        <v>43405.0</v>
      </c>
      <c r="G1828" s="32">
        <f t="shared" si="2"/>
        <v>11</v>
      </c>
      <c r="H1828" s="33">
        <v>42531.0</v>
      </c>
      <c r="I1828" s="32">
        <f t="shared" si="3"/>
        <v>1.475</v>
      </c>
      <c r="J1828" s="34">
        <v>66.0</v>
      </c>
      <c r="K1828" s="34">
        <v>10.0</v>
      </c>
      <c r="L1828" s="44" t="s">
        <v>1576</v>
      </c>
      <c r="M1828" s="44"/>
      <c r="N1828" s="44"/>
      <c r="O1828" s="44"/>
      <c r="P1828" s="71"/>
      <c r="Q1828" s="44"/>
      <c r="R1828" s="29"/>
      <c r="S1828" s="33"/>
      <c r="T1828" s="32"/>
    </row>
    <row r="1829">
      <c r="A1829" s="64" t="s">
        <v>2647</v>
      </c>
      <c r="B1829" s="16" t="s">
        <v>68</v>
      </c>
      <c r="C1829" s="17"/>
      <c r="D1829" s="17" t="str">
        <f t="shared" si="124"/>
        <v>Removed</v>
      </c>
      <c r="E1829" s="76">
        <v>43070.0</v>
      </c>
      <c r="F1829" s="76">
        <v>43405.0</v>
      </c>
      <c r="G1829" s="20">
        <f t="shared" si="2"/>
        <v>11</v>
      </c>
      <c r="H1829" s="18">
        <v>41957.0</v>
      </c>
      <c r="I1829" s="20">
        <f t="shared" si="3"/>
        <v>3.047222222</v>
      </c>
      <c r="J1829" s="53">
        <v>78.0</v>
      </c>
      <c r="K1829" s="53">
        <v>10.0</v>
      </c>
      <c r="L1829" s="43" t="s">
        <v>1206</v>
      </c>
      <c r="M1829" s="43"/>
      <c r="N1829" s="43"/>
      <c r="O1829" s="43"/>
      <c r="P1829" s="66"/>
      <c r="Q1829" s="43"/>
      <c r="R1829" s="17"/>
      <c r="S1829" s="18"/>
      <c r="T1829" s="20"/>
    </row>
    <row r="1830">
      <c r="A1830" s="27" t="s">
        <v>2648</v>
      </c>
      <c r="B1830" s="28" t="s">
        <v>68</v>
      </c>
      <c r="C1830" s="29"/>
      <c r="D1830" s="29" t="str">
        <f t="shared" si="124"/>
        <v>Removed</v>
      </c>
      <c r="E1830" s="70">
        <v>42887.0</v>
      </c>
      <c r="F1830" s="70">
        <v>43405.0</v>
      </c>
      <c r="G1830" s="32">
        <f t="shared" si="2"/>
        <v>17</v>
      </c>
      <c r="H1830" s="33">
        <v>37570.0</v>
      </c>
      <c r="I1830" s="32">
        <f t="shared" si="3"/>
        <v>14.55833333</v>
      </c>
      <c r="J1830" s="34">
        <v>69.0</v>
      </c>
      <c r="K1830" s="34">
        <v>11.5</v>
      </c>
      <c r="L1830" s="44" t="s">
        <v>37</v>
      </c>
      <c r="M1830" s="44"/>
      <c r="N1830" s="44"/>
      <c r="O1830" s="44"/>
      <c r="P1830" s="71"/>
      <c r="Q1830" s="35" t="s">
        <v>1697</v>
      </c>
      <c r="R1830" s="29"/>
      <c r="S1830" s="33"/>
      <c r="T1830" s="32"/>
    </row>
    <row r="1831">
      <c r="A1831" s="15" t="s">
        <v>2649</v>
      </c>
      <c r="B1831" s="16" t="s">
        <v>1859</v>
      </c>
      <c r="C1831" s="17"/>
      <c r="D1831" s="17" t="s">
        <v>1860</v>
      </c>
      <c r="E1831" s="76">
        <v>43389.0</v>
      </c>
      <c r="F1831" s="62">
        <v>43404.0</v>
      </c>
      <c r="G1831" s="20">
        <f t="shared" si="2"/>
        <v>0.4666666667</v>
      </c>
      <c r="H1831" s="18"/>
      <c r="I1831" s="20">
        <f t="shared" si="3"/>
        <v>-6.997222222</v>
      </c>
      <c r="J1831" s="53"/>
      <c r="K1831" s="53"/>
      <c r="L1831" s="23"/>
      <c r="M1831" s="23"/>
      <c r="N1831" s="23" t="s">
        <v>1612</v>
      </c>
      <c r="O1831" s="23"/>
      <c r="P1831" s="54"/>
      <c r="Q1831" s="23"/>
      <c r="R1831" s="17"/>
      <c r="S1831" s="18"/>
      <c r="T1831" s="20"/>
    </row>
    <row r="1832">
      <c r="A1832" s="27" t="s">
        <v>2650</v>
      </c>
      <c r="B1832" s="28" t="s">
        <v>1610</v>
      </c>
      <c r="C1832" s="29"/>
      <c r="D1832" s="29" t="s">
        <v>1611</v>
      </c>
      <c r="E1832" s="70">
        <v>43374.0</v>
      </c>
      <c r="F1832" s="30">
        <v>43404.0</v>
      </c>
      <c r="G1832" s="32">
        <f t="shared" si="2"/>
        <v>0.9666666667</v>
      </c>
      <c r="H1832" s="33"/>
      <c r="I1832" s="32">
        <f t="shared" si="3"/>
        <v>-7.038888889</v>
      </c>
      <c r="J1832" s="34"/>
      <c r="K1832" s="34"/>
      <c r="L1832" s="35"/>
      <c r="M1832" s="35"/>
      <c r="N1832" s="35"/>
      <c r="O1832" s="35"/>
      <c r="P1832" s="36"/>
      <c r="Q1832" s="35"/>
      <c r="R1832" s="29"/>
      <c r="S1832" s="33"/>
      <c r="T1832" s="32"/>
    </row>
    <row r="1833">
      <c r="A1833" s="15" t="s">
        <v>2651</v>
      </c>
      <c r="B1833" s="16" t="s">
        <v>1859</v>
      </c>
      <c r="C1833" s="17"/>
      <c r="D1833" s="17" t="s">
        <v>1860</v>
      </c>
      <c r="E1833" s="76">
        <v>43374.0</v>
      </c>
      <c r="F1833" s="62">
        <v>43388.0</v>
      </c>
      <c r="G1833" s="20">
        <f t="shared" si="2"/>
        <v>0.4666666667</v>
      </c>
      <c r="H1833" s="18"/>
      <c r="I1833" s="20">
        <f t="shared" si="3"/>
        <v>-7.038888889</v>
      </c>
      <c r="J1833" s="53"/>
      <c r="K1833" s="53"/>
      <c r="L1833" s="23"/>
      <c r="M1833" s="23"/>
      <c r="N1833" s="23" t="s">
        <v>1612</v>
      </c>
      <c r="O1833" s="23"/>
      <c r="P1833" s="54"/>
      <c r="Q1833" s="23"/>
      <c r="R1833" s="17"/>
      <c r="S1833" s="18"/>
      <c r="T1833" s="20"/>
    </row>
    <row r="1834">
      <c r="A1834" s="27" t="s">
        <v>2652</v>
      </c>
      <c r="B1834" s="28" t="s">
        <v>1610</v>
      </c>
      <c r="C1834" s="29"/>
      <c r="D1834" s="29" t="s">
        <v>1611</v>
      </c>
      <c r="E1834" s="70">
        <v>43359.0</v>
      </c>
      <c r="F1834" s="30">
        <v>43388.0</v>
      </c>
      <c r="G1834" s="32">
        <f t="shared" si="2"/>
        <v>0.9666666667</v>
      </c>
      <c r="H1834" s="33"/>
      <c r="I1834" s="32">
        <f t="shared" si="3"/>
        <v>-7.080555556</v>
      </c>
      <c r="J1834" s="34"/>
      <c r="K1834" s="34"/>
      <c r="L1834" s="35"/>
      <c r="M1834" s="35"/>
      <c r="N1834" s="35"/>
      <c r="O1834" s="35"/>
      <c r="P1834" s="36"/>
      <c r="Q1834" s="35"/>
      <c r="R1834" s="29"/>
      <c r="S1834" s="33"/>
      <c r="T1834" s="32"/>
    </row>
    <row r="1835">
      <c r="A1835" s="15" t="s">
        <v>2653</v>
      </c>
      <c r="B1835" s="16" t="s">
        <v>68</v>
      </c>
      <c r="C1835" s="17"/>
      <c r="D1835" s="17" t="str">
        <f t="shared" ref="D1835:D1839" si="125">IF(E1835&gt;TODAY(),"Coming Soon",IF(F1835="","Active",IF(F1835&gt;TODAY(),"Leaving Soon","Removed")))</f>
        <v>Removed</v>
      </c>
      <c r="E1835" s="76">
        <v>43041.0</v>
      </c>
      <c r="F1835" s="76">
        <v>43374.0</v>
      </c>
      <c r="G1835" s="20">
        <f t="shared" si="2"/>
        <v>10.96666667</v>
      </c>
      <c r="H1835" s="18">
        <v>41842.0</v>
      </c>
      <c r="I1835" s="20">
        <f t="shared" si="3"/>
        <v>3.277777778</v>
      </c>
      <c r="J1835" s="53">
        <v>86.0</v>
      </c>
      <c r="K1835" s="53">
        <v>7.5</v>
      </c>
      <c r="L1835" s="43" t="s">
        <v>44</v>
      </c>
      <c r="M1835" s="43"/>
      <c r="N1835" s="43"/>
      <c r="O1835" s="43"/>
      <c r="P1835" s="66"/>
      <c r="Q1835" s="43"/>
      <c r="R1835" s="17"/>
      <c r="S1835" s="18"/>
      <c r="T1835" s="20"/>
    </row>
    <row r="1836">
      <c r="A1836" s="67" t="s">
        <v>2654</v>
      </c>
      <c r="B1836" s="28" t="s">
        <v>68</v>
      </c>
      <c r="C1836" s="29"/>
      <c r="D1836" s="29" t="str">
        <f t="shared" si="125"/>
        <v>Removed</v>
      </c>
      <c r="E1836" s="70">
        <v>43040.0</v>
      </c>
      <c r="F1836" s="70">
        <v>43374.0</v>
      </c>
      <c r="G1836" s="32">
        <f t="shared" si="2"/>
        <v>11</v>
      </c>
      <c r="H1836" s="33">
        <v>39713.0</v>
      </c>
      <c r="I1836" s="32">
        <f t="shared" si="3"/>
        <v>9.108333333</v>
      </c>
      <c r="J1836" s="34">
        <v>82.0</v>
      </c>
      <c r="K1836" s="34">
        <v>3.5</v>
      </c>
      <c r="L1836" s="44" t="s">
        <v>918</v>
      </c>
      <c r="M1836" s="44"/>
      <c r="N1836" s="44"/>
      <c r="O1836" s="44"/>
      <c r="P1836" s="71"/>
      <c r="Q1836" s="35" t="s">
        <v>863</v>
      </c>
      <c r="R1836" s="29"/>
      <c r="S1836" s="33"/>
      <c r="T1836" s="32"/>
    </row>
    <row r="1837">
      <c r="A1837" s="64" t="s">
        <v>2279</v>
      </c>
      <c r="B1837" s="16" t="s">
        <v>68</v>
      </c>
      <c r="C1837" s="17"/>
      <c r="D1837" s="17" t="str">
        <f t="shared" si="125"/>
        <v>Removed</v>
      </c>
      <c r="E1837" s="76">
        <v>43040.0</v>
      </c>
      <c r="F1837" s="76">
        <v>43374.0</v>
      </c>
      <c r="G1837" s="20">
        <f t="shared" si="2"/>
        <v>11</v>
      </c>
      <c r="H1837" s="18">
        <v>37337.0</v>
      </c>
      <c r="I1837" s="20">
        <f t="shared" si="3"/>
        <v>15.60833333</v>
      </c>
      <c r="J1837" s="53">
        <v>82.0</v>
      </c>
      <c r="K1837" s="53">
        <v>11.0</v>
      </c>
      <c r="L1837" s="43" t="s">
        <v>37</v>
      </c>
      <c r="M1837" s="43"/>
      <c r="N1837" s="43"/>
      <c r="O1837" s="43"/>
      <c r="P1837" s="66"/>
      <c r="Q1837" s="23" t="s">
        <v>1697</v>
      </c>
      <c r="R1837" s="17"/>
      <c r="S1837" s="18"/>
      <c r="T1837" s="20"/>
    </row>
    <row r="1838">
      <c r="A1838" s="27" t="s">
        <v>2655</v>
      </c>
      <c r="B1838" s="28" t="s">
        <v>68</v>
      </c>
      <c r="C1838" s="29"/>
      <c r="D1838" s="29" t="str">
        <f t="shared" si="125"/>
        <v>Removed</v>
      </c>
      <c r="E1838" s="70">
        <v>43040.0</v>
      </c>
      <c r="F1838" s="70">
        <v>43374.0</v>
      </c>
      <c r="G1838" s="32">
        <f t="shared" si="2"/>
        <v>11</v>
      </c>
      <c r="H1838" s="33">
        <v>42124.0</v>
      </c>
      <c r="I1838" s="32">
        <f t="shared" si="3"/>
        <v>2.502777778</v>
      </c>
      <c r="J1838" s="34">
        <v>77.0</v>
      </c>
      <c r="K1838" s="34">
        <v>8.0</v>
      </c>
      <c r="L1838" s="35" t="s">
        <v>2656</v>
      </c>
      <c r="M1838" s="44"/>
      <c r="N1838" s="44"/>
      <c r="O1838" s="44"/>
      <c r="P1838" s="71"/>
      <c r="Q1838" s="44"/>
      <c r="R1838" s="29"/>
      <c r="S1838" s="33"/>
      <c r="T1838" s="32"/>
    </row>
    <row r="1839">
      <c r="A1839" s="64" t="s">
        <v>2657</v>
      </c>
      <c r="B1839" s="16" t="s">
        <v>68</v>
      </c>
      <c r="C1839" s="17"/>
      <c r="D1839" s="17" t="str">
        <f t="shared" si="125"/>
        <v>Removed</v>
      </c>
      <c r="E1839" s="76">
        <v>43040.0</v>
      </c>
      <c r="F1839" s="76">
        <v>43374.0</v>
      </c>
      <c r="G1839" s="20">
        <f t="shared" si="2"/>
        <v>11</v>
      </c>
      <c r="H1839" s="18">
        <v>42038.0</v>
      </c>
      <c r="I1839" s="20">
        <f t="shared" si="3"/>
        <v>2.744444444</v>
      </c>
      <c r="J1839" s="53">
        <v>80.0</v>
      </c>
      <c r="K1839" s="53">
        <v>7.0</v>
      </c>
      <c r="L1839" s="23" t="s">
        <v>119</v>
      </c>
      <c r="M1839" s="43"/>
      <c r="N1839" s="43"/>
      <c r="O1839" s="43"/>
      <c r="P1839" s="66"/>
      <c r="Q1839" s="43"/>
      <c r="R1839" s="17"/>
      <c r="S1839" s="18"/>
      <c r="T1839" s="20"/>
    </row>
    <row r="1840">
      <c r="A1840" s="27" t="s">
        <v>2658</v>
      </c>
      <c r="B1840" s="28" t="s">
        <v>1859</v>
      </c>
      <c r="C1840" s="29"/>
      <c r="D1840" s="29" t="s">
        <v>1860</v>
      </c>
      <c r="E1840" s="70">
        <v>43359.0</v>
      </c>
      <c r="F1840" s="30">
        <v>43373.0</v>
      </c>
      <c r="G1840" s="32">
        <f t="shared" si="2"/>
        <v>0.4666666667</v>
      </c>
      <c r="H1840" s="33"/>
      <c r="I1840" s="32">
        <f t="shared" si="3"/>
        <v>-7.080555556</v>
      </c>
      <c r="J1840" s="34"/>
      <c r="K1840" s="34"/>
      <c r="L1840" s="35"/>
      <c r="M1840" s="35"/>
      <c r="N1840" s="35" t="s">
        <v>1612</v>
      </c>
      <c r="O1840" s="35"/>
      <c r="P1840" s="36"/>
      <c r="Q1840" s="35"/>
      <c r="R1840" s="29"/>
      <c r="S1840" s="33"/>
      <c r="T1840" s="32"/>
    </row>
    <row r="1841">
      <c r="A1841" s="15" t="s">
        <v>2047</v>
      </c>
      <c r="B1841" s="16" t="s">
        <v>1610</v>
      </c>
      <c r="C1841" s="17"/>
      <c r="D1841" s="17" t="s">
        <v>1611</v>
      </c>
      <c r="E1841" s="76">
        <v>43344.0</v>
      </c>
      <c r="F1841" s="62">
        <v>43373.0</v>
      </c>
      <c r="G1841" s="20">
        <f t="shared" si="2"/>
        <v>0.9666666667</v>
      </c>
      <c r="H1841" s="18"/>
      <c r="I1841" s="20">
        <f t="shared" si="3"/>
        <v>-7.122222222</v>
      </c>
      <c r="J1841" s="53"/>
      <c r="K1841" s="53"/>
      <c r="L1841" s="23"/>
      <c r="M1841" s="23"/>
      <c r="N1841" s="23"/>
      <c r="O1841" s="23"/>
      <c r="P1841" s="54"/>
      <c r="Q1841" s="23"/>
      <c r="R1841" s="17"/>
      <c r="S1841" s="18"/>
      <c r="T1841" s="20"/>
    </row>
    <row r="1842">
      <c r="A1842" s="27" t="s">
        <v>2659</v>
      </c>
      <c r="B1842" s="28" t="s">
        <v>1859</v>
      </c>
      <c r="C1842" s="29"/>
      <c r="D1842" s="29" t="s">
        <v>1860</v>
      </c>
      <c r="E1842" s="70">
        <v>43344.0</v>
      </c>
      <c r="F1842" s="30">
        <v>43358.0</v>
      </c>
      <c r="G1842" s="32">
        <f t="shared" si="2"/>
        <v>0.4666666667</v>
      </c>
      <c r="H1842" s="33"/>
      <c r="I1842" s="32">
        <f t="shared" si="3"/>
        <v>-7.122222222</v>
      </c>
      <c r="J1842" s="34"/>
      <c r="K1842" s="34"/>
      <c r="L1842" s="35"/>
      <c r="M1842" s="35"/>
      <c r="N1842" s="35" t="s">
        <v>1612</v>
      </c>
      <c r="O1842" s="35"/>
      <c r="P1842" s="36"/>
      <c r="Q1842" s="35"/>
      <c r="R1842" s="29"/>
      <c r="S1842" s="33"/>
      <c r="T1842" s="32"/>
    </row>
    <row r="1843">
      <c r="A1843" s="15" t="s">
        <v>2660</v>
      </c>
      <c r="B1843" s="16" t="s">
        <v>1610</v>
      </c>
      <c r="C1843" s="17"/>
      <c r="D1843" s="17" t="s">
        <v>1611</v>
      </c>
      <c r="E1843" s="76">
        <v>43328.0</v>
      </c>
      <c r="F1843" s="62">
        <v>43358.0</v>
      </c>
      <c r="G1843" s="20">
        <f t="shared" si="2"/>
        <v>0.9666666667</v>
      </c>
      <c r="H1843" s="18"/>
      <c r="I1843" s="20">
        <f t="shared" si="3"/>
        <v>-7.163888889</v>
      </c>
      <c r="J1843" s="53"/>
      <c r="K1843" s="53"/>
      <c r="L1843" s="23"/>
      <c r="M1843" s="23" t="s">
        <v>1614</v>
      </c>
      <c r="N1843" s="23" t="s">
        <v>1612</v>
      </c>
      <c r="O1843" s="23"/>
      <c r="P1843" s="54"/>
      <c r="Q1843" s="23"/>
      <c r="R1843" s="17"/>
      <c r="S1843" s="18"/>
      <c r="T1843" s="20"/>
    </row>
    <row r="1844">
      <c r="A1844" s="27" t="s">
        <v>2661</v>
      </c>
      <c r="B1844" s="28" t="s">
        <v>68</v>
      </c>
      <c r="C1844" s="29"/>
      <c r="D1844" s="29" t="str">
        <f t="shared" ref="D1844:D1847" si="126">IF(E1844&gt;TODAY(),"Coming Soon",IF(F1844="","Active",IF(F1844&gt;TODAY(),"Leaving Soon","Removed")))</f>
        <v>Removed</v>
      </c>
      <c r="E1844" s="70">
        <v>43009.0</v>
      </c>
      <c r="F1844" s="70">
        <v>43344.0</v>
      </c>
      <c r="G1844" s="32">
        <f t="shared" si="2"/>
        <v>11</v>
      </c>
      <c r="H1844" s="33">
        <v>41255.0</v>
      </c>
      <c r="I1844" s="32">
        <f t="shared" si="3"/>
        <v>4.802777778</v>
      </c>
      <c r="J1844" s="34">
        <v>81.0</v>
      </c>
      <c r="K1844" s="34">
        <v>5.5</v>
      </c>
      <c r="L1844" s="44" t="s">
        <v>44</v>
      </c>
      <c r="M1844" s="44"/>
      <c r="N1844" s="44"/>
      <c r="O1844" s="44"/>
      <c r="P1844" s="71"/>
      <c r="Q1844" s="44"/>
      <c r="R1844" s="29"/>
      <c r="S1844" s="33"/>
      <c r="T1844" s="32"/>
    </row>
    <row r="1845">
      <c r="A1845" s="64" t="s">
        <v>2310</v>
      </c>
      <c r="B1845" s="16" t="s">
        <v>68</v>
      </c>
      <c r="C1845" s="17"/>
      <c r="D1845" s="17" t="str">
        <f t="shared" si="126"/>
        <v>Removed</v>
      </c>
      <c r="E1845" s="76">
        <v>43009.0</v>
      </c>
      <c r="F1845" s="76">
        <v>43344.0</v>
      </c>
      <c r="G1845" s="20">
        <f t="shared" si="2"/>
        <v>11</v>
      </c>
      <c r="H1845" s="18">
        <v>42024.0</v>
      </c>
      <c r="I1845" s="20">
        <f t="shared" si="3"/>
        <v>2.697222222</v>
      </c>
      <c r="J1845" s="53">
        <v>65.0</v>
      </c>
      <c r="K1845" s="53">
        <v>4.0</v>
      </c>
      <c r="L1845" s="43" t="s">
        <v>201</v>
      </c>
      <c r="M1845" s="43"/>
      <c r="N1845" s="43"/>
      <c r="O1845" s="43"/>
      <c r="P1845" s="66"/>
      <c r="Q1845" s="43"/>
      <c r="R1845" s="17"/>
      <c r="S1845" s="18"/>
      <c r="T1845" s="20"/>
    </row>
    <row r="1846">
      <c r="A1846" s="67" t="s">
        <v>2662</v>
      </c>
      <c r="B1846" s="28" t="s">
        <v>68</v>
      </c>
      <c r="C1846" s="29"/>
      <c r="D1846" s="29" t="str">
        <f t="shared" si="126"/>
        <v>Removed</v>
      </c>
      <c r="E1846" s="70">
        <v>43009.0</v>
      </c>
      <c r="F1846" s="70">
        <v>43344.0</v>
      </c>
      <c r="G1846" s="32">
        <f t="shared" si="2"/>
        <v>11</v>
      </c>
      <c r="H1846" s="33">
        <v>42388.0</v>
      </c>
      <c r="I1846" s="32">
        <f t="shared" si="3"/>
        <v>1.7</v>
      </c>
      <c r="J1846" s="34">
        <v>80.0</v>
      </c>
      <c r="K1846" s="34">
        <v>2.0</v>
      </c>
      <c r="L1846" s="44" t="s">
        <v>675</v>
      </c>
      <c r="M1846" s="44"/>
      <c r="N1846" s="44"/>
      <c r="O1846" s="44"/>
      <c r="P1846" s="71"/>
      <c r="Q1846" s="44"/>
      <c r="R1846" s="29"/>
      <c r="S1846" s="33"/>
      <c r="T1846" s="32"/>
    </row>
    <row r="1847">
      <c r="A1847" s="64" t="s">
        <v>2663</v>
      </c>
      <c r="B1847" s="16" t="s">
        <v>68</v>
      </c>
      <c r="C1847" s="17"/>
      <c r="D1847" s="17" t="str">
        <f t="shared" si="126"/>
        <v>Removed</v>
      </c>
      <c r="E1847" s="76">
        <v>43009.0</v>
      </c>
      <c r="F1847" s="76">
        <v>43344.0</v>
      </c>
      <c r="G1847" s="20">
        <f t="shared" si="2"/>
        <v>11</v>
      </c>
      <c r="H1847" s="18">
        <v>41702.0</v>
      </c>
      <c r="I1847" s="20">
        <f t="shared" si="3"/>
        <v>3.575</v>
      </c>
      <c r="J1847" s="53">
        <v>71.0</v>
      </c>
      <c r="K1847" s="53">
        <v>2.5</v>
      </c>
      <c r="L1847" s="43" t="s">
        <v>184</v>
      </c>
      <c r="M1847" s="43"/>
      <c r="N1847" s="43"/>
      <c r="O1847" s="43"/>
      <c r="P1847" s="66"/>
      <c r="Q1847" s="43"/>
      <c r="R1847" s="17"/>
      <c r="S1847" s="18"/>
      <c r="T1847" s="20"/>
    </row>
    <row r="1848">
      <c r="A1848" s="27" t="s">
        <v>2664</v>
      </c>
      <c r="B1848" s="28" t="s">
        <v>1859</v>
      </c>
      <c r="C1848" s="29"/>
      <c r="D1848" s="29" t="s">
        <v>1860</v>
      </c>
      <c r="E1848" s="70">
        <v>43328.0</v>
      </c>
      <c r="F1848" s="30">
        <v>43343.0</v>
      </c>
      <c r="G1848" s="32">
        <f t="shared" si="2"/>
        <v>0.4666666667</v>
      </c>
      <c r="H1848" s="33"/>
      <c r="I1848" s="32">
        <f t="shared" si="3"/>
        <v>-7.163888889</v>
      </c>
      <c r="J1848" s="34"/>
      <c r="K1848" s="34"/>
      <c r="L1848" s="35"/>
      <c r="M1848" s="35"/>
      <c r="N1848" s="35" t="s">
        <v>1612</v>
      </c>
      <c r="O1848" s="35"/>
      <c r="P1848" s="36"/>
      <c r="Q1848" s="35"/>
      <c r="R1848" s="29"/>
      <c r="S1848" s="33"/>
      <c r="T1848" s="32"/>
    </row>
    <row r="1849">
      <c r="A1849" s="15" t="s">
        <v>2665</v>
      </c>
      <c r="B1849" s="16" t="s">
        <v>1610</v>
      </c>
      <c r="C1849" s="17"/>
      <c r="D1849" s="17" t="s">
        <v>1611</v>
      </c>
      <c r="E1849" s="76">
        <v>43313.0</v>
      </c>
      <c r="F1849" s="62">
        <v>43343.0</v>
      </c>
      <c r="G1849" s="20">
        <f t="shared" si="2"/>
        <v>0.9666666667</v>
      </c>
      <c r="H1849" s="18"/>
      <c r="I1849" s="20">
        <f t="shared" si="3"/>
        <v>-7.205555556</v>
      </c>
      <c r="J1849" s="53"/>
      <c r="K1849" s="53"/>
      <c r="L1849" s="23"/>
      <c r="M1849" s="23"/>
      <c r="N1849" s="23"/>
      <c r="O1849" s="23"/>
      <c r="P1849" s="54"/>
      <c r="Q1849" s="23"/>
      <c r="R1849" s="17"/>
      <c r="S1849" s="18"/>
      <c r="T1849" s="20"/>
    </row>
    <row r="1850">
      <c r="A1850" s="27" t="s">
        <v>892</v>
      </c>
      <c r="B1850" s="28" t="s">
        <v>1859</v>
      </c>
      <c r="C1850" s="29"/>
      <c r="D1850" s="29" t="s">
        <v>1860</v>
      </c>
      <c r="E1850" s="70">
        <v>43313.0</v>
      </c>
      <c r="F1850" s="30">
        <v>43327.0</v>
      </c>
      <c r="G1850" s="32">
        <f t="shared" si="2"/>
        <v>0.4666666667</v>
      </c>
      <c r="H1850" s="33"/>
      <c r="I1850" s="32">
        <f t="shared" si="3"/>
        <v>-7.205555556</v>
      </c>
      <c r="J1850" s="34"/>
      <c r="K1850" s="34"/>
      <c r="L1850" s="35"/>
      <c r="M1850" s="35"/>
      <c r="N1850" s="35" t="s">
        <v>1612</v>
      </c>
      <c r="O1850" s="35"/>
      <c r="P1850" s="36"/>
      <c r="Q1850" s="35"/>
      <c r="R1850" s="29"/>
      <c r="S1850" s="33"/>
      <c r="T1850" s="32"/>
    </row>
    <row r="1851">
      <c r="A1851" s="15" t="s">
        <v>2293</v>
      </c>
      <c r="B1851" s="16" t="s">
        <v>1610</v>
      </c>
      <c r="C1851" s="17"/>
      <c r="D1851" s="17" t="s">
        <v>1611</v>
      </c>
      <c r="E1851" s="76">
        <v>43297.0</v>
      </c>
      <c r="F1851" s="62">
        <v>43327.0</v>
      </c>
      <c r="G1851" s="20">
        <f t="shared" si="2"/>
        <v>0.9666666667</v>
      </c>
      <c r="H1851" s="18"/>
      <c r="I1851" s="20">
        <f t="shared" si="3"/>
        <v>-7.247222222</v>
      </c>
      <c r="J1851" s="53"/>
      <c r="K1851" s="53"/>
      <c r="L1851" s="23"/>
      <c r="M1851" s="23"/>
      <c r="N1851" s="23"/>
      <c r="O1851" s="23"/>
      <c r="P1851" s="54"/>
      <c r="Q1851" s="23"/>
      <c r="R1851" s="17"/>
      <c r="S1851" s="18"/>
      <c r="T1851" s="20"/>
    </row>
    <row r="1852">
      <c r="A1852" s="67" t="s">
        <v>2666</v>
      </c>
      <c r="B1852" s="28" t="s">
        <v>68</v>
      </c>
      <c r="C1852" s="29"/>
      <c r="D1852" s="29" t="str">
        <f t="shared" ref="D1852:D1858" si="127">IF(E1852&gt;TODAY(),"Coming Soon",IF(F1852="","Active",IF(F1852&gt;TODAY(),"Leaving Soon","Removed")))</f>
        <v>Removed</v>
      </c>
      <c r="E1852" s="70">
        <v>43221.0</v>
      </c>
      <c r="F1852" s="70">
        <v>43313.0</v>
      </c>
      <c r="G1852" s="32">
        <f t="shared" si="2"/>
        <v>3</v>
      </c>
      <c r="H1852" s="33">
        <v>42990.0</v>
      </c>
      <c r="I1852" s="32">
        <f t="shared" si="3"/>
        <v>0.6361111111</v>
      </c>
      <c r="J1852" s="34">
        <v>82.0</v>
      </c>
      <c r="K1852" s="34">
        <v>85.5</v>
      </c>
      <c r="L1852" s="44" t="s">
        <v>2074</v>
      </c>
      <c r="M1852" s="44"/>
      <c r="N1852" s="44"/>
      <c r="O1852" s="44"/>
      <c r="P1852" s="71"/>
      <c r="Q1852" s="44"/>
      <c r="R1852" s="29"/>
      <c r="S1852" s="33"/>
      <c r="T1852" s="32"/>
    </row>
    <row r="1853">
      <c r="A1853" s="64" t="s">
        <v>2667</v>
      </c>
      <c r="B1853" s="16" t="s">
        <v>68</v>
      </c>
      <c r="C1853" s="17"/>
      <c r="D1853" s="17" t="str">
        <f t="shared" si="127"/>
        <v>Removed</v>
      </c>
      <c r="E1853" s="76">
        <v>42979.0</v>
      </c>
      <c r="F1853" s="76">
        <v>43313.0</v>
      </c>
      <c r="G1853" s="20">
        <f t="shared" si="2"/>
        <v>11</v>
      </c>
      <c r="H1853" s="18">
        <v>42570.0</v>
      </c>
      <c r="I1853" s="20">
        <f t="shared" si="3"/>
        <v>1.116666667</v>
      </c>
      <c r="J1853" s="53">
        <v>82.0</v>
      </c>
      <c r="K1853" s="53">
        <v>2.0</v>
      </c>
      <c r="L1853" s="43" t="s">
        <v>2154</v>
      </c>
      <c r="M1853" s="43"/>
      <c r="N1853" s="43"/>
      <c r="O1853" s="43"/>
      <c r="P1853" s="66"/>
      <c r="Q1853" s="43"/>
      <c r="R1853" s="17"/>
      <c r="S1853" s="18"/>
      <c r="T1853" s="20"/>
    </row>
    <row r="1854">
      <c r="A1854" s="67" t="s">
        <v>2668</v>
      </c>
      <c r="B1854" s="28" t="s">
        <v>68</v>
      </c>
      <c r="C1854" s="29"/>
      <c r="D1854" s="29" t="str">
        <f t="shared" si="127"/>
        <v>Removed</v>
      </c>
      <c r="E1854" s="70">
        <v>42979.0</v>
      </c>
      <c r="F1854" s="70">
        <v>43313.0</v>
      </c>
      <c r="G1854" s="32">
        <f t="shared" si="2"/>
        <v>11</v>
      </c>
      <c r="H1854" s="33">
        <v>41327.0</v>
      </c>
      <c r="I1854" s="32">
        <f t="shared" si="3"/>
        <v>4.525</v>
      </c>
      <c r="J1854" s="34">
        <v>72.0</v>
      </c>
      <c r="K1854" s="34">
        <v>4.0</v>
      </c>
      <c r="L1854" s="44" t="s">
        <v>549</v>
      </c>
      <c r="M1854" s="44"/>
      <c r="N1854" s="44"/>
      <c r="O1854" s="44"/>
      <c r="P1854" s="71"/>
      <c r="Q1854" s="44"/>
      <c r="R1854" s="29"/>
      <c r="S1854" s="33"/>
      <c r="T1854" s="32"/>
    </row>
    <row r="1855">
      <c r="A1855" s="64" t="s">
        <v>2669</v>
      </c>
      <c r="B1855" s="16" t="s">
        <v>68</v>
      </c>
      <c r="C1855" s="17"/>
      <c r="D1855" s="17" t="str">
        <f t="shared" si="127"/>
        <v>Removed</v>
      </c>
      <c r="E1855" s="76">
        <v>42887.0</v>
      </c>
      <c r="F1855" s="76">
        <v>43313.0</v>
      </c>
      <c r="G1855" s="20">
        <f t="shared" si="2"/>
        <v>14</v>
      </c>
      <c r="H1855" s="18">
        <v>40722.0</v>
      </c>
      <c r="I1855" s="20">
        <f t="shared" si="3"/>
        <v>5.925</v>
      </c>
      <c r="J1855" s="53">
        <v>74.0</v>
      </c>
      <c r="K1855" s="53">
        <v>1.5</v>
      </c>
      <c r="L1855" s="23" t="s">
        <v>2656</v>
      </c>
      <c r="M1855" s="43"/>
      <c r="N1855" s="43"/>
      <c r="O1855" s="43"/>
      <c r="P1855" s="66"/>
      <c r="Q1855" s="43"/>
      <c r="R1855" s="17"/>
      <c r="S1855" s="18"/>
      <c r="T1855" s="20"/>
    </row>
    <row r="1856">
      <c r="A1856" s="67" t="s">
        <v>2670</v>
      </c>
      <c r="B1856" s="28" t="s">
        <v>68</v>
      </c>
      <c r="C1856" s="29"/>
      <c r="D1856" s="29" t="str">
        <f t="shared" si="127"/>
        <v>Removed</v>
      </c>
      <c r="E1856" s="70">
        <v>42887.0</v>
      </c>
      <c r="F1856" s="70">
        <v>43313.0</v>
      </c>
      <c r="G1856" s="32">
        <f t="shared" si="2"/>
        <v>14</v>
      </c>
      <c r="H1856" s="33">
        <v>41695.0</v>
      </c>
      <c r="I1856" s="32">
        <f t="shared" si="3"/>
        <v>3.266666667</v>
      </c>
      <c r="J1856" s="34">
        <v>64.0</v>
      </c>
      <c r="K1856" s="34">
        <v>3.0</v>
      </c>
      <c r="L1856" s="44" t="s">
        <v>163</v>
      </c>
      <c r="M1856" s="44"/>
      <c r="N1856" s="44"/>
      <c r="O1856" s="44"/>
      <c r="P1856" s="71"/>
      <c r="Q1856" s="44"/>
      <c r="R1856" s="29"/>
      <c r="S1856" s="33"/>
      <c r="T1856" s="32"/>
    </row>
    <row r="1857">
      <c r="A1857" s="64" t="s">
        <v>2671</v>
      </c>
      <c r="B1857" s="16" t="s">
        <v>68</v>
      </c>
      <c r="C1857" s="17"/>
      <c r="D1857" s="17" t="str">
        <f t="shared" si="127"/>
        <v>Removed</v>
      </c>
      <c r="E1857" s="76">
        <v>42887.0</v>
      </c>
      <c r="F1857" s="76">
        <v>43313.0</v>
      </c>
      <c r="G1857" s="20">
        <f t="shared" si="2"/>
        <v>14</v>
      </c>
      <c r="H1857" s="18">
        <v>41597.0</v>
      </c>
      <c r="I1857" s="20">
        <f t="shared" si="3"/>
        <v>3.533333333</v>
      </c>
      <c r="J1857" s="53">
        <v>76.0</v>
      </c>
      <c r="K1857" s="53">
        <v>3.0</v>
      </c>
      <c r="L1857" s="43" t="s">
        <v>303</v>
      </c>
      <c r="M1857" s="43"/>
      <c r="N1857" s="43"/>
      <c r="O1857" s="43"/>
      <c r="P1857" s="66"/>
      <c r="Q1857" s="43"/>
      <c r="R1857" s="17"/>
      <c r="S1857" s="18"/>
      <c r="T1857" s="20"/>
    </row>
    <row r="1858">
      <c r="A1858" s="67" t="s">
        <v>2515</v>
      </c>
      <c r="B1858" s="28" t="s">
        <v>68</v>
      </c>
      <c r="C1858" s="29"/>
      <c r="D1858" s="29" t="str">
        <f t="shared" si="127"/>
        <v>Removed</v>
      </c>
      <c r="E1858" s="70">
        <v>42887.0</v>
      </c>
      <c r="F1858" s="70">
        <v>43313.0</v>
      </c>
      <c r="G1858" s="32">
        <f t="shared" si="2"/>
        <v>14</v>
      </c>
      <c r="H1858" s="33">
        <v>40797.0</v>
      </c>
      <c r="I1858" s="32">
        <f t="shared" si="3"/>
        <v>5.722222222</v>
      </c>
      <c r="J1858" s="34">
        <v>83.0</v>
      </c>
      <c r="K1858" s="34">
        <v>1.5</v>
      </c>
      <c r="L1858" s="44" t="s">
        <v>303</v>
      </c>
      <c r="M1858" s="44"/>
      <c r="N1858" s="44"/>
      <c r="O1858" s="44"/>
      <c r="P1858" s="71"/>
      <c r="Q1858" s="44"/>
      <c r="R1858" s="29"/>
      <c r="S1858" s="33"/>
      <c r="T1858" s="32"/>
    </row>
    <row r="1859">
      <c r="A1859" s="15" t="s">
        <v>2672</v>
      </c>
      <c r="B1859" s="16" t="s">
        <v>1859</v>
      </c>
      <c r="C1859" s="17"/>
      <c r="D1859" s="17" t="s">
        <v>1860</v>
      </c>
      <c r="E1859" s="76">
        <v>43297.0</v>
      </c>
      <c r="F1859" s="62">
        <v>43312.0</v>
      </c>
      <c r="G1859" s="20">
        <f t="shared" si="2"/>
        <v>0.4666666667</v>
      </c>
      <c r="H1859" s="18"/>
      <c r="I1859" s="20">
        <f t="shared" si="3"/>
        <v>-7.247222222</v>
      </c>
      <c r="J1859" s="53"/>
      <c r="K1859" s="53"/>
      <c r="L1859" s="23"/>
      <c r="M1859" s="23"/>
      <c r="N1859" s="23" t="s">
        <v>1612</v>
      </c>
      <c r="O1859" s="23"/>
      <c r="P1859" s="54"/>
      <c r="Q1859" s="23"/>
      <c r="R1859" s="17"/>
      <c r="S1859" s="18"/>
      <c r="T1859" s="20"/>
    </row>
    <row r="1860">
      <c r="A1860" s="27" t="s">
        <v>2673</v>
      </c>
      <c r="B1860" s="28" t="s">
        <v>1610</v>
      </c>
      <c r="C1860" s="29"/>
      <c r="D1860" s="29" t="s">
        <v>1611</v>
      </c>
      <c r="E1860" s="70">
        <v>43282.0</v>
      </c>
      <c r="F1860" s="30">
        <v>43312.0</v>
      </c>
      <c r="G1860" s="32">
        <f t="shared" si="2"/>
        <v>0.9666666667</v>
      </c>
      <c r="H1860" s="33"/>
      <c r="I1860" s="32">
        <f t="shared" si="3"/>
        <v>-7.288888889</v>
      </c>
      <c r="J1860" s="34"/>
      <c r="K1860" s="34"/>
      <c r="L1860" s="35"/>
      <c r="M1860" s="35"/>
      <c r="N1860" s="35" t="s">
        <v>1612</v>
      </c>
      <c r="O1860" s="35"/>
      <c r="P1860" s="36"/>
      <c r="Q1860" s="35"/>
      <c r="R1860" s="29"/>
      <c r="S1860" s="33"/>
      <c r="T1860" s="32"/>
    </row>
    <row r="1861">
      <c r="A1861" s="15" t="s">
        <v>2674</v>
      </c>
      <c r="B1861" s="16" t="s">
        <v>1859</v>
      </c>
      <c r="C1861" s="17"/>
      <c r="D1861" s="17" t="s">
        <v>1860</v>
      </c>
      <c r="E1861" s="76">
        <v>43282.0</v>
      </c>
      <c r="F1861" s="62">
        <v>43296.0</v>
      </c>
      <c r="G1861" s="20">
        <f t="shared" si="2"/>
        <v>0.4666666667</v>
      </c>
      <c r="H1861" s="18"/>
      <c r="I1861" s="20">
        <f t="shared" si="3"/>
        <v>-7.288888889</v>
      </c>
      <c r="J1861" s="53"/>
      <c r="K1861" s="53"/>
      <c r="L1861" s="23"/>
      <c r="M1861" s="23"/>
      <c r="N1861" s="23" t="s">
        <v>1612</v>
      </c>
      <c r="O1861" s="23"/>
      <c r="P1861" s="54"/>
      <c r="Q1861" s="23"/>
      <c r="R1861" s="17"/>
      <c r="S1861" s="18"/>
      <c r="T1861" s="20"/>
    </row>
    <row r="1862">
      <c r="A1862" s="27" t="s">
        <v>2675</v>
      </c>
      <c r="B1862" s="28" t="s">
        <v>1610</v>
      </c>
      <c r="C1862" s="29"/>
      <c r="D1862" s="29" t="s">
        <v>1611</v>
      </c>
      <c r="E1862" s="70">
        <v>43267.0</v>
      </c>
      <c r="F1862" s="30">
        <v>43296.0</v>
      </c>
      <c r="G1862" s="32">
        <f t="shared" si="2"/>
        <v>0.9666666667</v>
      </c>
      <c r="H1862" s="33"/>
      <c r="I1862" s="32">
        <f t="shared" si="3"/>
        <v>-7.330555556</v>
      </c>
      <c r="J1862" s="34"/>
      <c r="K1862" s="34"/>
      <c r="L1862" s="35"/>
      <c r="M1862" s="35"/>
      <c r="N1862" s="35" t="s">
        <v>1612</v>
      </c>
      <c r="O1862" s="35"/>
      <c r="P1862" s="36"/>
      <c r="Q1862" s="35"/>
      <c r="R1862" s="29"/>
      <c r="S1862" s="33"/>
      <c r="T1862" s="32"/>
    </row>
    <row r="1863">
      <c r="A1863" s="15" t="s">
        <v>2650</v>
      </c>
      <c r="B1863" s="16" t="s">
        <v>68</v>
      </c>
      <c r="C1863" s="17"/>
      <c r="D1863" s="17" t="str">
        <f t="shared" ref="D1863:D1866" si="128">IF(E1863&gt;TODAY(),"Coming Soon",IF(F1863="","Active",IF(F1863&gt;TODAY(),"Leaving Soon","Removed")))</f>
        <v>Removed</v>
      </c>
      <c r="E1863" s="76">
        <v>43221.0</v>
      </c>
      <c r="F1863" s="76">
        <v>43282.0</v>
      </c>
      <c r="G1863" s="20">
        <f t="shared" si="2"/>
        <v>2</v>
      </c>
      <c r="H1863" s="18">
        <v>42585.0</v>
      </c>
      <c r="I1863" s="20">
        <f t="shared" si="3"/>
        <v>1.744444444</v>
      </c>
      <c r="J1863" s="53">
        <v>80.0</v>
      </c>
      <c r="K1863" s="53">
        <v>8.0</v>
      </c>
      <c r="L1863" s="23" t="s">
        <v>50</v>
      </c>
      <c r="M1863" s="23"/>
      <c r="N1863" s="23"/>
      <c r="O1863" s="23"/>
      <c r="P1863" s="54"/>
      <c r="Q1863" s="23"/>
      <c r="R1863" s="17"/>
      <c r="S1863" s="18"/>
      <c r="T1863" s="20"/>
    </row>
    <row r="1864">
      <c r="A1864" s="67" t="s">
        <v>2676</v>
      </c>
      <c r="B1864" s="28" t="s">
        <v>68</v>
      </c>
      <c r="C1864" s="29"/>
      <c r="D1864" s="29" t="str">
        <f t="shared" si="128"/>
        <v>Removed</v>
      </c>
      <c r="E1864" s="70">
        <v>42948.0</v>
      </c>
      <c r="F1864" s="70">
        <v>43282.0</v>
      </c>
      <c r="G1864" s="32">
        <f t="shared" si="2"/>
        <v>11</v>
      </c>
      <c r="H1864" s="33">
        <v>42488.0</v>
      </c>
      <c r="I1864" s="32">
        <f t="shared" si="3"/>
        <v>1.258333333</v>
      </c>
      <c r="J1864" s="34">
        <v>71.0</v>
      </c>
      <c r="K1864" s="34">
        <v>11.0</v>
      </c>
      <c r="L1864" s="35" t="s">
        <v>122</v>
      </c>
      <c r="M1864" s="35"/>
      <c r="N1864" s="35"/>
      <c r="O1864" s="35"/>
      <c r="P1864" s="36"/>
      <c r="Q1864" s="35"/>
      <c r="R1864" s="29"/>
      <c r="S1864" s="33"/>
      <c r="T1864" s="32"/>
    </row>
    <row r="1865">
      <c r="A1865" s="64" t="s">
        <v>2677</v>
      </c>
      <c r="B1865" s="16" t="s">
        <v>68</v>
      </c>
      <c r="C1865" s="17"/>
      <c r="D1865" s="17" t="str">
        <f t="shared" si="128"/>
        <v>Removed</v>
      </c>
      <c r="E1865" s="76">
        <v>42948.0</v>
      </c>
      <c r="F1865" s="76">
        <v>43282.0</v>
      </c>
      <c r="G1865" s="20">
        <f t="shared" si="2"/>
        <v>11</v>
      </c>
      <c r="H1865" s="18">
        <v>42201.0</v>
      </c>
      <c r="I1865" s="20">
        <f t="shared" si="3"/>
        <v>2.041666667</v>
      </c>
      <c r="J1865" s="53">
        <v>82.0</v>
      </c>
      <c r="K1865" s="53">
        <v>10.0</v>
      </c>
      <c r="L1865" s="43" t="s">
        <v>549</v>
      </c>
      <c r="M1865" s="43"/>
      <c r="N1865" s="43"/>
      <c r="O1865" s="43"/>
      <c r="P1865" s="66"/>
      <c r="Q1865" s="43"/>
      <c r="R1865" s="17"/>
      <c r="S1865" s="18"/>
      <c r="T1865" s="20"/>
    </row>
    <row r="1866">
      <c r="A1866" s="67" t="s">
        <v>2678</v>
      </c>
      <c r="B1866" s="28" t="s">
        <v>68</v>
      </c>
      <c r="C1866" s="29"/>
      <c r="D1866" s="29" t="str">
        <f t="shared" si="128"/>
        <v>Removed</v>
      </c>
      <c r="E1866" s="70">
        <v>42948.0</v>
      </c>
      <c r="F1866" s="70">
        <v>43282.0</v>
      </c>
      <c r="G1866" s="32">
        <f t="shared" si="2"/>
        <v>11</v>
      </c>
      <c r="H1866" s="33">
        <v>41351.0</v>
      </c>
      <c r="I1866" s="32">
        <f t="shared" si="3"/>
        <v>4.369444444</v>
      </c>
      <c r="J1866" s="34">
        <v>74.0</v>
      </c>
      <c r="K1866" s="34">
        <v>2.5</v>
      </c>
      <c r="L1866" s="35" t="s">
        <v>907</v>
      </c>
      <c r="M1866" s="35"/>
      <c r="N1866" s="35"/>
      <c r="O1866" s="35"/>
      <c r="P1866" s="36"/>
      <c r="Q1866" s="35"/>
      <c r="R1866" s="29"/>
      <c r="S1866" s="33"/>
      <c r="T1866" s="32"/>
    </row>
    <row r="1867">
      <c r="A1867" s="15" t="s">
        <v>2679</v>
      </c>
      <c r="B1867" s="16" t="s">
        <v>1859</v>
      </c>
      <c r="C1867" s="17"/>
      <c r="D1867" s="17" t="s">
        <v>1860</v>
      </c>
      <c r="E1867" s="76">
        <v>43267.0</v>
      </c>
      <c r="F1867" s="62">
        <v>43281.0</v>
      </c>
      <c r="G1867" s="20">
        <f t="shared" si="2"/>
        <v>0.4666666667</v>
      </c>
      <c r="H1867" s="18"/>
      <c r="I1867" s="20">
        <f t="shared" si="3"/>
        <v>-7.330555556</v>
      </c>
      <c r="J1867" s="53"/>
      <c r="K1867" s="53"/>
      <c r="L1867" s="23"/>
      <c r="M1867" s="23"/>
      <c r="N1867" s="23" t="s">
        <v>1612</v>
      </c>
      <c r="O1867" s="23"/>
      <c r="P1867" s="54"/>
      <c r="Q1867" s="23"/>
      <c r="R1867" s="17"/>
      <c r="S1867" s="18"/>
      <c r="T1867" s="20"/>
    </row>
    <row r="1868">
      <c r="A1868" s="27" t="s">
        <v>62</v>
      </c>
      <c r="B1868" s="28" t="s">
        <v>1610</v>
      </c>
      <c r="C1868" s="29"/>
      <c r="D1868" s="29" t="s">
        <v>1611</v>
      </c>
      <c r="E1868" s="70">
        <v>43252.0</v>
      </c>
      <c r="F1868" s="30">
        <v>43281.0</v>
      </c>
      <c r="G1868" s="32">
        <f t="shared" si="2"/>
        <v>0.9666666667</v>
      </c>
      <c r="H1868" s="33"/>
      <c r="I1868" s="32">
        <f t="shared" si="3"/>
        <v>-7.372222222</v>
      </c>
      <c r="J1868" s="34"/>
      <c r="K1868" s="34"/>
      <c r="L1868" s="35"/>
      <c r="M1868" s="35"/>
      <c r="N1868" s="35"/>
      <c r="O1868" s="35"/>
      <c r="P1868" s="36"/>
      <c r="Q1868" s="35"/>
      <c r="R1868" s="29"/>
      <c r="S1868" s="33"/>
      <c r="T1868" s="32"/>
    </row>
    <row r="1869">
      <c r="A1869" s="15" t="s">
        <v>2680</v>
      </c>
      <c r="B1869" s="16" t="s">
        <v>1859</v>
      </c>
      <c r="C1869" s="17"/>
      <c r="D1869" s="17" t="s">
        <v>1860</v>
      </c>
      <c r="E1869" s="76">
        <v>43252.0</v>
      </c>
      <c r="F1869" s="62">
        <v>43266.0</v>
      </c>
      <c r="G1869" s="20">
        <f t="shared" si="2"/>
        <v>0.4666666667</v>
      </c>
      <c r="H1869" s="18"/>
      <c r="I1869" s="20">
        <f t="shared" si="3"/>
        <v>-7.372222222</v>
      </c>
      <c r="J1869" s="53"/>
      <c r="K1869" s="53"/>
      <c r="L1869" s="23"/>
      <c r="M1869" s="23"/>
      <c r="N1869" s="23" t="s">
        <v>1612</v>
      </c>
      <c r="O1869" s="23"/>
      <c r="P1869" s="54"/>
      <c r="Q1869" s="23"/>
      <c r="R1869" s="17"/>
      <c r="S1869" s="18"/>
      <c r="T1869" s="20"/>
    </row>
    <row r="1870">
      <c r="A1870" s="27" t="s">
        <v>2385</v>
      </c>
      <c r="B1870" s="28" t="s">
        <v>1610</v>
      </c>
      <c r="C1870" s="29"/>
      <c r="D1870" s="29" t="s">
        <v>1611</v>
      </c>
      <c r="E1870" s="70">
        <v>43236.0</v>
      </c>
      <c r="F1870" s="30">
        <v>43266.0</v>
      </c>
      <c r="G1870" s="32">
        <f t="shared" si="2"/>
        <v>0.9666666667</v>
      </c>
      <c r="H1870" s="33"/>
      <c r="I1870" s="32">
        <f t="shared" si="3"/>
        <v>-7.413888889</v>
      </c>
      <c r="J1870" s="34"/>
      <c r="K1870" s="34"/>
      <c r="L1870" s="35"/>
      <c r="M1870" s="35"/>
      <c r="N1870" s="35"/>
      <c r="O1870" s="35"/>
      <c r="P1870" s="36"/>
      <c r="Q1870" s="35"/>
      <c r="R1870" s="29"/>
      <c r="S1870" s="33"/>
      <c r="T1870" s="32"/>
    </row>
    <row r="1871">
      <c r="A1871" s="64" t="s">
        <v>2681</v>
      </c>
      <c r="B1871" s="16" t="s">
        <v>68</v>
      </c>
      <c r="C1871" s="17"/>
      <c r="D1871" s="17" t="str">
        <f t="shared" ref="D1871:D1874" si="129">IF(E1871&gt;TODAY(),"Coming Soon",IF(F1871="","Active",IF(F1871&gt;TODAY(),"Leaving Soon","Removed")))</f>
        <v>Removed</v>
      </c>
      <c r="E1871" s="76">
        <v>43206.0</v>
      </c>
      <c r="F1871" s="76">
        <v>43252.0</v>
      </c>
      <c r="G1871" s="20">
        <f t="shared" si="2"/>
        <v>1.5</v>
      </c>
      <c r="H1871" s="18">
        <v>40520.0</v>
      </c>
      <c r="I1871" s="20">
        <f t="shared" si="3"/>
        <v>7.355555556</v>
      </c>
      <c r="J1871" s="53">
        <v>70.0</v>
      </c>
      <c r="K1871" s="53">
        <v>1.0</v>
      </c>
      <c r="L1871" s="43" t="s">
        <v>1924</v>
      </c>
      <c r="M1871" s="43"/>
      <c r="N1871" s="43"/>
      <c r="O1871" s="43"/>
      <c r="P1871" s="66"/>
      <c r="Q1871" s="43"/>
      <c r="R1871" s="17"/>
      <c r="S1871" s="18"/>
      <c r="T1871" s="20"/>
    </row>
    <row r="1872">
      <c r="A1872" s="27" t="s">
        <v>2682</v>
      </c>
      <c r="B1872" s="28" t="s">
        <v>68</v>
      </c>
      <c r="C1872" s="29"/>
      <c r="D1872" s="29" t="str">
        <f t="shared" si="129"/>
        <v>Removed</v>
      </c>
      <c r="E1872" s="70">
        <v>42917.0</v>
      </c>
      <c r="F1872" s="70">
        <v>43252.0</v>
      </c>
      <c r="G1872" s="32">
        <f t="shared" si="2"/>
        <v>11</v>
      </c>
      <c r="H1872" s="33">
        <v>42230.0</v>
      </c>
      <c r="I1872" s="32">
        <f t="shared" si="3"/>
        <v>1.880555556</v>
      </c>
      <c r="J1872" s="34">
        <v>63.0</v>
      </c>
      <c r="K1872" s="34">
        <v>5.0</v>
      </c>
      <c r="L1872" s="44" t="s">
        <v>44</v>
      </c>
      <c r="M1872" s="44"/>
      <c r="N1872" s="44"/>
      <c r="O1872" s="44"/>
      <c r="P1872" s="71"/>
      <c r="Q1872" s="44"/>
      <c r="R1872" s="29"/>
      <c r="S1872" s="33"/>
      <c r="T1872" s="32"/>
    </row>
    <row r="1873">
      <c r="A1873" s="15" t="s">
        <v>1894</v>
      </c>
      <c r="B1873" s="16" t="s">
        <v>68</v>
      </c>
      <c r="C1873" s="17"/>
      <c r="D1873" s="17" t="str">
        <f t="shared" si="129"/>
        <v>Removed</v>
      </c>
      <c r="E1873" s="76">
        <v>42917.0</v>
      </c>
      <c r="F1873" s="76">
        <v>43252.0</v>
      </c>
      <c r="G1873" s="20">
        <f t="shared" si="2"/>
        <v>11</v>
      </c>
      <c r="H1873" s="18">
        <v>41388.0</v>
      </c>
      <c r="I1873" s="20">
        <f t="shared" si="3"/>
        <v>4.186111111</v>
      </c>
      <c r="J1873" s="53">
        <v>81.0</v>
      </c>
      <c r="K1873" s="53">
        <v>8.0</v>
      </c>
      <c r="L1873" s="43" t="s">
        <v>576</v>
      </c>
      <c r="M1873" s="43"/>
      <c r="N1873" s="43"/>
      <c r="O1873" s="43"/>
      <c r="P1873" s="66"/>
      <c r="Q1873" s="43"/>
      <c r="R1873" s="17"/>
      <c r="S1873" s="18"/>
      <c r="T1873" s="20"/>
    </row>
    <row r="1874">
      <c r="A1874" s="67" t="s">
        <v>2683</v>
      </c>
      <c r="B1874" s="28" t="s">
        <v>68</v>
      </c>
      <c r="C1874" s="29"/>
      <c r="D1874" s="29" t="str">
        <f t="shared" si="129"/>
        <v>Removed</v>
      </c>
      <c r="E1874" s="70">
        <v>42917.0</v>
      </c>
      <c r="F1874" s="70">
        <v>43252.0</v>
      </c>
      <c r="G1874" s="32">
        <f t="shared" si="2"/>
        <v>11</v>
      </c>
      <c r="H1874" s="33">
        <v>41184.0</v>
      </c>
      <c r="I1874" s="32">
        <f t="shared" si="3"/>
        <v>4.747222222</v>
      </c>
      <c r="J1874" s="34">
        <v>63.0</v>
      </c>
      <c r="K1874" s="34">
        <v>21.5</v>
      </c>
      <c r="L1874" s="44" t="s">
        <v>2684</v>
      </c>
      <c r="M1874" s="44"/>
      <c r="N1874" s="44"/>
      <c r="O1874" s="44"/>
      <c r="P1874" s="71"/>
      <c r="Q1874" s="44"/>
      <c r="R1874" s="29"/>
      <c r="S1874" s="33"/>
      <c r="T1874" s="32"/>
    </row>
    <row r="1875">
      <c r="A1875" s="15" t="s">
        <v>2685</v>
      </c>
      <c r="B1875" s="16" t="s">
        <v>1859</v>
      </c>
      <c r="C1875" s="17"/>
      <c r="D1875" s="17" t="s">
        <v>1860</v>
      </c>
      <c r="E1875" s="76">
        <v>43236.0</v>
      </c>
      <c r="F1875" s="62">
        <v>43251.0</v>
      </c>
      <c r="G1875" s="20">
        <f t="shared" si="2"/>
        <v>0.4666666667</v>
      </c>
      <c r="H1875" s="18"/>
      <c r="I1875" s="20">
        <f t="shared" si="3"/>
        <v>-7.413888889</v>
      </c>
      <c r="J1875" s="53"/>
      <c r="K1875" s="53"/>
      <c r="L1875" s="23"/>
      <c r="M1875" s="23"/>
      <c r="N1875" s="23" t="s">
        <v>1612</v>
      </c>
      <c r="O1875" s="23"/>
      <c r="P1875" s="54"/>
      <c r="Q1875" s="23"/>
      <c r="R1875" s="17"/>
      <c r="S1875" s="18"/>
      <c r="T1875" s="20"/>
    </row>
    <row r="1876">
      <c r="A1876" s="27" t="s">
        <v>2686</v>
      </c>
      <c r="B1876" s="28" t="s">
        <v>1610</v>
      </c>
      <c r="C1876" s="29"/>
      <c r="D1876" s="29" t="s">
        <v>1611</v>
      </c>
      <c r="E1876" s="70">
        <v>43221.0</v>
      </c>
      <c r="F1876" s="30">
        <v>43251.0</v>
      </c>
      <c r="G1876" s="32">
        <f t="shared" si="2"/>
        <v>0.9666666667</v>
      </c>
      <c r="H1876" s="33"/>
      <c r="I1876" s="32">
        <f t="shared" si="3"/>
        <v>-7.455555556</v>
      </c>
      <c r="J1876" s="34"/>
      <c r="K1876" s="34"/>
      <c r="L1876" s="35"/>
      <c r="M1876" s="35"/>
      <c r="N1876" s="35" t="s">
        <v>1612</v>
      </c>
      <c r="O1876" s="35"/>
      <c r="P1876" s="36"/>
      <c r="Q1876" s="35"/>
      <c r="R1876" s="29"/>
      <c r="S1876" s="33"/>
      <c r="T1876" s="32"/>
    </row>
    <row r="1877">
      <c r="A1877" s="15" t="s">
        <v>2687</v>
      </c>
      <c r="B1877" s="16" t="s">
        <v>1859</v>
      </c>
      <c r="C1877" s="17"/>
      <c r="D1877" s="17" t="s">
        <v>1860</v>
      </c>
      <c r="E1877" s="76">
        <v>43221.0</v>
      </c>
      <c r="F1877" s="62">
        <v>43235.0</v>
      </c>
      <c r="G1877" s="20">
        <f t="shared" si="2"/>
        <v>0.4666666667</v>
      </c>
      <c r="H1877" s="18"/>
      <c r="I1877" s="20">
        <f t="shared" si="3"/>
        <v>-7.455555556</v>
      </c>
      <c r="J1877" s="53"/>
      <c r="K1877" s="53"/>
      <c r="L1877" s="23"/>
      <c r="M1877" s="23"/>
      <c r="N1877" s="23" t="s">
        <v>1612</v>
      </c>
      <c r="O1877" s="23"/>
      <c r="P1877" s="54"/>
      <c r="Q1877" s="23"/>
      <c r="R1877" s="17"/>
      <c r="S1877" s="18"/>
      <c r="T1877" s="20"/>
    </row>
    <row r="1878">
      <c r="A1878" s="27" t="s">
        <v>66</v>
      </c>
      <c r="B1878" s="28" t="s">
        <v>1610</v>
      </c>
      <c r="C1878" s="29"/>
      <c r="D1878" s="29" t="s">
        <v>1611</v>
      </c>
      <c r="E1878" s="70">
        <v>43206.0</v>
      </c>
      <c r="F1878" s="30">
        <v>43235.0</v>
      </c>
      <c r="G1878" s="32">
        <f t="shared" si="2"/>
        <v>0.9666666667</v>
      </c>
      <c r="H1878" s="33"/>
      <c r="I1878" s="32">
        <f t="shared" si="3"/>
        <v>-7.497222222</v>
      </c>
      <c r="J1878" s="34"/>
      <c r="K1878" s="34"/>
      <c r="L1878" s="35"/>
      <c r="M1878" s="35"/>
      <c r="N1878" s="35"/>
      <c r="O1878" s="35"/>
      <c r="P1878" s="36"/>
      <c r="Q1878" s="35"/>
      <c r="R1878" s="29"/>
      <c r="S1878" s="33"/>
      <c r="T1878" s="32"/>
    </row>
    <row r="1879">
      <c r="A1879" s="64" t="s">
        <v>2688</v>
      </c>
      <c r="B1879" s="16" t="s">
        <v>68</v>
      </c>
      <c r="C1879" s="17"/>
      <c r="D1879" s="17" t="str">
        <f t="shared" ref="D1879:D1903" si="130">IF(E1879&gt;TODAY(),"Coming Soon",IF(F1879="","Active",IF(F1879&gt;TODAY(),"Leaving Soon","Removed")))</f>
        <v>Removed</v>
      </c>
      <c r="E1879" s="76">
        <v>42887.0</v>
      </c>
      <c r="F1879" s="76">
        <v>43224.0</v>
      </c>
      <c r="G1879" s="20">
        <f t="shared" si="2"/>
        <v>11.1</v>
      </c>
      <c r="H1879" s="18">
        <v>41359.0</v>
      </c>
      <c r="I1879" s="20">
        <f t="shared" si="3"/>
        <v>4.180555556</v>
      </c>
      <c r="J1879" s="53">
        <v>93.0</v>
      </c>
      <c r="K1879" s="53">
        <v>11.5</v>
      </c>
      <c r="L1879" s="43" t="s">
        <v>791</v>
      </c>
      <c r="M1879" s="43"/>
      <c r="N1879" s="43"/>
      <c r="O1879" s="43"/>
      <c r="P1879" s="66"/>
      <c r="Q1879" s="43"/>
      <c r="R1879" s="17"/>
      <c r="S1879" s="18"/>
      <c r="T1879" s="20"/>
    </row>
    <row r="1880">
      <c r="A1880" s="67" t="s">
        <v>2689</v>
      </c>
      <c r="B1880" s="28" t="s">
        <v>68</v>
      </c>
      <c r="C1880" s="29"/>
      <c r="D1880" s="29" t="str">
        <f t="shared" si="130"/>
        <v>Removed</v>
      </c>
      <c r="E1880" s="70">
        <v>42887.0</v>
      </c>
      <c r="F1880" s="70">
        <v>43223.0</v>
      </c>
      <c r="G1880" s="32">
        <f t="shared" si="2"/>
        <v>11.06666667</v>
      </c>
      <c r="H1880" s="33">
        <v>40218.0</v>
      </c>
      <c r="I1880" s="32">
        <f t="shared" si="3"/>
        <v>7.311111111</v>
      </c>
      <c r="J1880" s="34">
        <v>88.0</v>
      </c>
      <c r="K1880" s="34">
        <v>11.0</v>
      </c>
      <c r="L1880" s="44" t="s">
        <v>791</v>
      </c>
      <c r="M1880" s="44"/>
      <c r="N1880" s="44"/>
      <c r="O1880" s="44"/>
      <c r="P1880" s="71"/>
      <c r="Q1880" s="133" t="s">
        <v>863</v>
      </c>
      <c r="R1880" s="29"/>
      <c r="S1880" s="33"/>
      <c r="T1880" s="32"/>
    </row>
    <row r="1881">
      <c r="A1881" s="64" t="s">
        <v>2690</v>
      </c>
      <c r="B1881" s="16" t="s">
        <v>68</v>
      </c>
      <c r="C1881" s="17"/>
      <c r="D1881" s="17" t="str">
        <f t="shared" si="130"/>
        <v>Removed</v>
      </c>
      <c r="E1881" s="76">
        <v>42887.0</v>
      </c>
      <c r="F1881" s="76">
        <v>43222.0</v>
      </c>
      <c r="G1881" s="20">
        <f t="shared" si="2"/>
        <v>11.03333333</v>
      </c>
      <c r="H1881" s="18">
        <v>39315.0</v>
      </c>
      <c r="I1881" s="20">
        <f t="shared" si="3"/>
        <v>9.777777778</v>
      </c>
      <c r="J1881" s="53">
        <v>96.0</v>
      </c>
      <c r="K1881" s="53">
        <v>12.0</v>
      </c>
      <c r="L1881" s="43" t="s">
        <v>791</v>
      </c>
      <c r="M1881" s="43"/>
      <c r="N1881" s="43"/>
      <c r="O1881" s="43"/>
      <c r="P1881" s="66"/>
      <c r="Q1881" s="23" t="s">
        <v>863</v>
      </c>
      <c r="R1881" s="17"/>
      <c r="S1881" s="18"/>
      <c r="T1881" s="20"/>
    </row>
    <row r="1882">
      <c r="A1882" s="67" t="s">
        <v>2691</v>
      </c>
      <c r="B1882" s="28" t="s">
        <v>68</v>
      </c>
      <c r="C1882" s="29"/>
      <c r="D1882" s="29" t="str">
        <f t="shared" si="130"/>
        <v>Removed</v>
      </c>
      <c r="E1882" s="70">
        <v>42887.0</v>
      </c>
      <c r="F1882" s="70">
        <v>43221.0</v>
      </c>
      <c r="G1882" s="32">
        <f t="shared" si="2"/>
        <v>11</v>
      </c>
      <c r="H1882" s="33">
        <v>39736.0</v>
      </c>
      <c r="I1882" s="32">
        <f t="shared" si="3"/>
        <v>8.627777778</v>
      </c>
      <c r="J1882" s="34">
        <v>76.0</v>
      </c>
      <c r="K1882" s="34">
        <v>8.0</v>
      </c>
      <c r="L1882" s="44" t="s">
        <v>726</v>
      </c>
      <c r="M1882" s="44"/>
      <c r="N1882" s="44"/>
      <c r="O1882" s="44"/>
      <c r="P1882" s="71"/>
      <c r="Q1882" s="35" t="s">
        <v>863</v>
      </c>
      <c r="R1882" s="29"/>
      <c r="S1882" s="33"/>
      <c r="T1882" s="32"/>
    </row>
    <row r="1883">
      <c r="A1883" s="64" t="s">
        <v>2692</v>
      </c>
      <c r="B1883" s="16" t="s">
        <v>68</v>
      </c>
      <c r="C1883" s="17"/>
      <c r="D1883" s="17" t="str">
        <f t="shared" si="130"/>
        <v>Removed</v>
      </c>
      <c r="E1883" s="76">
        <v>42887.0</v>
      </c>
      <c r="F1883" s="76">
        <v>43221.0</v>
      </c>
      <c r="G1883" s="20">
        <f t="shared" si="2"/>
        <v>11</v>
      </c>
      <c r="H1883" s="18">
        <v>40575.0</v>
      </c>
      <c r="I1883" s="20">
        <f t="shared" si="3"/>
        <v>6.333333333</v>
      </c>
      <c r="J1883" s="53">
        <v>62.0</v>
      </c>
      <c r="K1883" s="53">
        <v>5.5</v>
      </c>
      <c r="L1883" s="43" t="s">
        <v>918</v>
      </c>
      <c r="M1883" s="43"/>
      <c r="N1883" s="43"/>
      <c r="O1883" s="43"/>
      <c r="P1883" s="66"/>
      <c r="Q1883" s="43"/>
      <c r="R1883" s="17"/>
      <c r="S1883" s="18"/>
      <c r="T1883" s="20"/>
    </row>
    <row r="1884">
      <c r="A1884" s="67" t="s">
        <v>2693</v>
      </c>
      <c r="B1884" s="28" t="s">
        <v>68</v>
      </c>
      <c r="C1884" s="29"/>
      <c r="D1884" s="29" t="str">
        <f t="shared" si="130"/>
        <v>Removed</v>
      </c>
      <c r="E1884" s="70">
        <v>42887.0</v>
      </c>
      <c r="F1884" s="70">
        <v>43221.0</v>
      </c>
      <c r="G1884" s="32">
        <f t="shared" si="2"/>
        <v>11</v>
      </c>
      <c r="H1884" s="33">
        <v>42269.0</v>
      </c>
      <c r="I1884" s="32">
        <f t="shared" si="3"/>
        <v>1.691666667</v>
      </c>
      <c r="J1884" s="34">
        <v>70.0</v>
      </c>
      <c r="K1884" s="34">
        <v>19.0</v>
      </c>
      <c r="L1884" s="35" t="s">
        <v>2694</v>
      </c>
      <c r="M1884" s="44"/>
      <c r="N1884" s="44"/>
      <c r="O1884" s="44"/>
      <c r="P1884" s="71"/>
      <c r="Q1884" s="44"/>
      <c r="R1884" s="29"/>
      <c r="S1884" s="33"/>
      <c r="T1884" s="32"/>
    </row>
    <row r="1885">
      <c r="A1885" s="64" t="s">
        <v>2695</v>
      </c>
      <c r="B1885" s="16" t="s">
        <v>68</v>
      </c>
      <c r="C1885" s="17"/>
      <c r="D1885" s="17" t="str">
        <f t="shared" si="130"/>
        <v>Removed</v>
      </c>
      <c r="E1885" s="76">
        <v>42887.0</v>
      </c>
      <c r="F1885" s="76">
        <v>43221.0</v>
      </c>
      <c r="G1885" s="20">
        <f t="shared" si="2"/>
        <v>11</v>
      </c>
      <c r="H1885" s="18">
        <v>40106.0</v>
      </c>
      <c r="I1885" s="20">
        <f t="shared" si="3"/>
        <v>7.613888889</v>
      </c>
      <c r="J1885" s="53">
        <v>84.0</v>
      </c>
      <c r="K1885" s="53">
        <v>22.5</v>
      </c>
      <c r="L1885" s="23" t="s">
        <v>2696</v>
      </c>
      <c r="M1885" s="43"/>
      <c r="N1885" s="43"/>
      <c r="O1885" s="43"/>
      <c r="P1885" s="66"/>
      <c r="Q1885" s="23" t="s">
        <v>863</v>
      </c>
      <c r="R1885" s="17"/>
      <c r="S1885" s="18"/>
      <c r="T1885" s="20"/>
    </row>
    <row r="1886">
      <c r="A1886" s="67" t="s">
        <v>2697</v>
      </c>
      <c r="B1886" s="28" t="s">
        <v>68</v>
      </c>
      <c r="C1886" s="29"/>
      <c r="D1886" s="29" t="str">
        <f t="shared" si="130"/>
        <v>Removed</v>
      </c>
      <c r="E1886" s="70">
        <v>42887.0</v>
      </c>
      <c r="F1886" s="70">
        <v>43221.0</v>
      </c>
      <c r="G1886" s="32">
        <f t="shared" si="2"/>
        <v>11</v>
      </c>
      <c r="H1886" s="33">
        <v>41768.0</v>
      </c>
      <c r="I1886" s="32">
        <f t="shared" si="3"/>
        <v>3.061111111</v>
      </c>
      <c r="J1886" s="34">
        <v>56.0</v>
      </c>
      <c r="K1886" s="34">
        <v>13.0</v>
      </c>
      <c r="L1886" s="35" t="s">
        <v>509</v>
      </c>
      <c r="M1886" s="44"/>
      <c r="N1886" s="44"/>
      <c r="O1886" s="44"/>
      <c r="P1886" s="71"/>
      <c r="Q1886" s="44"/>
      <c r="R1886" s="29"/>
      <c r="S1886" s="33"/>
      <c r="T1886" s="32"/>
    </row>
    <row r="1887">
      <c r="A1887" s="64" t="s">
        <v>2359</v>
      </c>
      <c r="B1887" s="16" t="s">
        <v>68</v>
      </c>
      <c r="C1887" s="16"/>
      <c r="D1887" s="17" t="str">
        <f t="shared" si="130"/>
        <v>Removed</v>
      </c>
      <c r="E1887" s="76">
        <v>42887.0</v>
      </c>
      <c r="F1887" s="76">
        <v>43221.0</v>
      </c>
      <c r="G1887" s="20">
        <f t="shared" si="2"/>
        <v>11</v>
      </c>
      <c r="H1887" s="18">
        <v>40596.0</v>
      </c>
      <c r="I1887" s="20">
        <f t="shared" si="3"/>
        <v>6.275</v>
      </c>
      <c r="J1887" s="53">
        <v>76.0</v>
      </c>
      <c r="K1887" s="53">
        <v>11.0</v>
      </c>
      <c r="L1887" s="43" t="s">
        <v>549</v>
      </c>
      <c r="M1887" s="43"/>
      <c r="N1887" s="43"/>
      <c r="O1887" s="43"/>
      <c r="P1887" s="66"/>
      <c r="Q1887" s="43"/>
      <c r="R1887" s="17"/>
      <c r="S1887" s="18"/>
      <c r="T1887" s="20"/>
    </row>
    <row r="1888">
      <c r="A1888" s="67" t="s">
        <v>2698</v>
      </c>
      <c r="B1888" s="28" t="s">
        <v>68</v>
      </c>
      <c r="C1888" s="29"/>
      <c r="D1888" s="29" t="str">
        <f t="shared" si="130"/>
        <v>Removed</v>
      </c>
      <c r="E1888" s="70">
        <v>42887.0</v>
      </c>
      <c r="F1888" s="70">
        <v>43221.0</v>
      </c>
      <c r="G1888" s="32">
        <f t="shared" si="2"/>
        <v>11</v>
      </c>
      <c r="H1888" s="33">
        <v>40421.0</v>
      </c>
      <c r="I1888" s="32">
        <f t="shared" si="3"/>
        <v>6.752777778</v>
      </c>
      <c r="J1888" s="34">
        <v>79.0</v>
      </c>
      <c r="K1888" s="34">
        <v>2.0</v>
      </c>
      <c r="L1888" s="44" t="s">
        <v>613</v>
      </c>
      <c r="M1888" s="44"/>
      <c r="N1888" s="44"/>
      <c r="O1888" s="44"/>
      <c r="P1888" s="71"/>
      <c r="Q1888" s="44"/>
      <c r="R1888" s="29"/>
      <c r="S1888" s="33"/>
      <c r="T1888" s="32"/>
    </row>
    <row r="1889">
      <c r="A1889" s="64" t="s">
        <v>2699</v>
      </c>
      <c r="B1889" s="16" t="s">
        <v>68</v>
      </c>
      <c r="C1889" s="17"/>
      <c r="D1889" s="17" t="str">
        <f t="shared" si="130"/>
        <v>Removed</v>
      </c>
      <c r="E1889" s="76">
        <v>42887.0</v>
      </c>
      <c r="F1889" s="76">
        <v>43221.0</v>
      </c>
      <c r="G1889" s="20">
        <f t="shared" si="2"/>
        <v>11</v>
      </c>
      <c r="H1889" s="18">
        <v>41905.0</v>
      </c>
      <c r="I1889" s="20">
        <f t="shared" si="3"/>
        <v>2.688888889</v>
      </c>
      <c r="J1889" s="53">
        <v>78.0</v>
      </c>
      <c r="K1889" s="53">
        <v>10.5</v>
      </c>
      <c r="L1889" s="43" t="s">
        <v>966</v>
      </c>
      <c r="M1889" s="43"/>
      <c r="N1889" s="43"/>
      <c r="O1889" s="43"/>
      <c r="P1889" s="66"/>
      <c r="Q1889" s="23" t="s">
        <v>1697</v>
      </c>
      <c r="R1889" s="17"/>
      <c r="S1889" s="18"/>
      <c r="T1889" s="20"/>
    </row>
    <row r="1890">
      <c r="A1890" s="67" t="s">
        <v>2700</v>
      </c>
      <c r="B1890" s="28" t="s">
        <v>68</v>
      </c>
      <c r="C1890" s="29"/>
      <c r="D1890" s="29" t="str">
        <f t="shared" si="130"/>
        <v>Removed</v>
      </c>
      <c r="E1890" s="70">
        <v>42887.0</v>
      </c>
      <c r="F1890" s="70">
        <v>43221.0</v>
      </c>
      <c r="G1890" s="32">
        <f t="shared" si="2"/>
        <v>11</v>
      </c>
      <c r="H1890" s="33">
        <v>30060.0</v>
      </c>
      <c r="I1890" s="32">
        <f t="shared" si="3"/>
        <v>35.11666667</v>
      </c>
      <c r="J1890" s="34">
        <v>65.0</v>
      </c>
      <c r="K1890" s="34">
        <v>1.0</v>
      </c>
      <c r="L1890" s="44" t="s">
        <v>366</v>
      </c>
      <c r="M1890" s="44"/>
      <c r="N1890" s="44"/>
      <c r="O1890" s="44"/>
      <c r="P1890" s="71"/>
      <c r="Q1890" s="35" t="s">
        <v>1697</v>
      </c>
      <c r="R1890" s="29"/>
      <c r="S1890" s="33"/>
      <c r="T1890" s="32"/>
    </row>
    <row r="1891">
      <c r="A1891" s="64" t="s">
        <v>2701</v>
      </c>
      <c r="B1891" s="16" t="s">
        <v>68</v>
      </c>
      <c r="C1891" s="17"/>
      <c r="D1891" s="17" t="str">
        <f t="shared" si="130"/>
        <v>Removed</v>
      </c>
      <c r="E1891" s="76">
        <v>42887.0</v>
      </c>
      <c r="F1891" s="76">
        <v>43221.0</v>
      </c>
      <c r="G1891" s="20">
        <f t="shared" si="2"/>
        <v>11</v>
      </c>
      <c r="H1891" s="18">
        <v>40282.0</v>
      </c>
      <c r="I1891" s="20">
        <f t="shared" si="3"/>
        <v>7.130555556</v>
      </c>
      <c r="J1891" s="53">
        <v>77.0</v>
      </c>
      <c r="K1891" s="53">
        <v>1.0</v>
      </c>
      <c r="L1891" s="43" t="s">
        <v>687</v>
      </c>
      <c r="M1891" s="43"/>
      <c r="N1891" s="43"/>
      <c r="O1891" s="43"/>
      <c r="P1891" s="66"/>
      <c r="Q1891" s="43"/>
      <c r="R1891" s="17"/>
      <c r="S1891" s="18"/>
      <c r="T1891" s="20"/>
    </row>
    <row r="1892">
      <c r="A1892" s="27" t="s">
        <v>2702</v>
      </c>
      <c r="B1892" s="28" t="s">
        <v>68</v>
      </c>
      <c r="C1892" s="29"/>
      <c r="D1892" s="29" t="str">
        <f t="shared" si="130"/>
        <v>Removed</v>
      </c>
      <c r="E1892" s="70">
        <v>42887.0</v>
      </c>
      <c r="F1892" s="70">
        <v>43221.0</v>
      </c>
      <c r="G1892" s="32">
        <f t="shared" si="2"/>
        <v>11</v>
      </c>
      <c r="H1892" s="33">
        <v>39714.0</v>
      </c>
      <c r="I1892" s="32">
        <f t="shared" si="3"/>
        <v>8.688888889</v>
      </c>
      <c r="J1892" s="34">
        <v>76.0</v>
      </c>
      <c r="K1892" s="34">
        <v>10.0</v>
      </c>
      <c r="L1892" s="44" t="s">
        <v>1209</v>
      </c>
      <c r="M1892" s="44"/>
      <c r="N1892" s="44"/>
      <c r="O1892" s="44"/>
      <c r="P1892" s="71"/>
      <c r="Q1892" s="35" t="s">
        <v>863</v>
      </c>
      <c r="R1892" s="29"/>
      <c r="S1892" s="33"/>
      <c r="T1892" s="32"/>
    </row>
    <row r="1893">
      <c r="A1893" s="64" t="s">
        <v>2703</v>
      </c>
      <c r="B1893" s="16" t="s">
        <v>68</v>
      </c>
      <c r="C1893" s="17"/>
      <c r="D1893" s="17" t="str">
        <f t="shared" si="130"/>
        <v>Removed</v>
      </c>
      <c r="E1893" s="76">
        <v>42887.0</v>
      </c>
      <c r="F1893" s="76">
        <v>43221.0</v>
      </c>
      <c r="G1893" s="20">
        <f t="shared" si="2"/>
        <v>11</v>
      </c>
      <c r="H1893" s="18">
        <v>42248.0</v>
      </c>
      <c r="I1893" s="20">
        <f t="shared" si="3"/>
        <v>1.75</v>
      </c>
      <c r="J1893" s="53">
        <v>72.0</v>
      </c>
      <c r="K1893" s="53">
        <v>19.5</v>
      </c>
      <c r="L1893" s="43" t="s">
        <v>2704</v>
      </c>
      <c r="M1893" s="23" t="s">
        <v>451</v>
      </c>
      <c r="N1893" s="43"/>
      <c r="O1893" s="43"/>
      <c r="P1893" s="66"/>
      <c r="Q1893" s="43"/>
      <c r="R1893" s="17"/>
      <c r="S1893" s="18"/>
      <c r="T1893" s="20"/>
    </row>
    <row r="1894">
      <c r="A1894" s="67" t="s">
        <v>2198</v>
      </c>
      <c r="B1894" s="28" t="s">
        <v>68</v>
      </c>
      <c r="C1894" s="29"/>
      <c r="D1894" s="29" t="str">
        <f t="shared" si="130"/>
        <v>Removed</v>
      </c>
      <c r="E1894" s="70">
        <v>42887.0</v>
      </c>
      <c r="F1894" s="70">
        <v>43221.0</v>
      </c>
      <c r="G1894" s="32">
        <f t="shared" si="2"/>
        <v>11</v>
      </c>
      <c r="H1894" s="33">
        <v>38708.0</v>
      </c>
      <c r="I1894" s="32">
        <f t="shared" si="3"/>
        <v>11.44166667</v>
      </c>
      <c r="J1894" s="34">
        <v>64.0</v>
      </c>
      <c r="K1894" s="34">
        <v>0.5</v>
      </c>
      <c r="L1894" s="44" t="s">
        <v>303</v>
      </c>
      <c r="M1894" s="44"/>
      <c r="N1894" s="44"/>
      <c r="O1894" s="44"/>
      <c r="P1894" s="71"/>
      <c r="Q1894" s="35" t="s">
        <v>1697</v>
      </c>
      <c r="R1894" s="29"/>
      <c r="S1894" s="33"/>
      <c r="T1894" s="32"/>
    </row>
    <row r="1895">
      <c r="A1895" s="64" t="s">
        <v>2705</v>
      </c>
      <c r="B1895" s="16" t="s">
        <v>68</v>
      </c>
      <c r="C1895" s="17"/>
      <c r="D1895" s="17" t="str">
        <f t="shared" si="130"/>
        <v>Removed</v>
      </c>
      <c r="E1895" s="76">
        <v>42887.0</v>
      </c>
      <c r="F1895" s="76">
        <v>43221.0</v>
      </c>
      <c r="G1895" s="20">
        <f t="shared" si="2"/>
        <v>11</v>
      </c>
      <c r="H1895" s="18">
        <v>40092.0</v>
      </c>
      <c r="I1895" s="20">
        <f t="shared" si="3"/>
        <v>7.652777778</v>
      </c>
      <c r="J1895" s="53">
        <v>77.0</v>
      </c>
      <c r="K1895" s="53">
        <v>12.0</v>
      </c>
      <c r="L1895" s="43" t="s">
        <v>2706</v>
      </c>
      <c r="M1895" s="43"/>
      <c r="N1895" s="43"/>
      <c r="O1895" s="43"/>
      <c r="P1895" s="66"/>
      <c r="Q1895" s="23" t="s">
        <v>863</v>
      </c>
      <c r="R1895" s="17"/>
      <c r="S1895" s="18"/>
      <c r="T1895" s="20"/>
    </row>
    <row r="1896">
      <c r="A1896" s="67" t="s">
        <v>2707</v>
      </c>
      <c r="B1896" s="28" t="s">
        <v>68</v>
      </c>
      <c r="C1896" s="29"/>
      <c r="D1896" s="29" t="str">
        <f t="shared" si="130"/>
        <v>Removed</v>
      </c>
      <c r="E1896" s="70">
        <v>42887.0</v>
      </c>
      <c r="F1896" s="70">
        <v>43221.0</v>
      </c>
      <c r="G1896" s="32">
        <f t="shared" si="2"/>
        <v>11</v>
      </c>
      <c r="H1896" s="33">
        <v>40498.0</v>
      </c>
      <c r="I1896" s="32">
        <f t="shared" si="3"/>
        <v>6.541666667</v>
      </c>
      <c r="J1896" s="34">
        <v>93.0</v>
      </c>
      <c r="K1896" s="34">
        <v>4.0</v>
      </c>
      <c r="L1896" s="44" t="s">
        <v>1924</v>
      </c>
      <c r="M1896" s="44"/>
      <c r="N1896" s="44"/>
      <c r="O1896" s="44"/>
      <c r="P1896" s="71"/>
      <c r="Q1896" s="44"/>
      <c r="R1896" s="29"/>
      <c r="S1896" s="33"/>
      <c r="T1896" s="32"/>
    </row>
    <row r="1897">
      <c r="A1897" s="64" t="s">
        <v>2708</v>
      </c>
      <c r="B1897" s="16" t="s">
        <v>68</v>
      </c>
      <c r="C1897" s="17"/>
      <c r="D1897" s="17" t="str">
        <f t="shared" si="130"/>
        <v>Removed</v>
      </c>
      <c r="E1897" s="76">
        <v>42887.0</v>
      </c>
      <c r="F1897" s="76">
        <v>43221.0</v>
      </c>
      <c r="G1897" s="20">
        <f t="shared" si="2"/>
        <v>11</v>
      </c>
      <c r="H1897" s="18">
        <v>41851.0</v>
      </c>
      <c r="I1897" s="20">
        <f t="shared" si="3"/>
        <v>2.836111111</v>
      </c>
      <c r="J1897" s="53">
        <v>51.0</v>
      </c>
      <c r="K1897" s="53">
        <v>8.0</v>
      </c>
      <c r="L1897" s="23" t="s">
        <v>509</v>
      </c>
      <c r="M1897" s="43"/>
      <c r="N1897" s="43"/>
      <c r="O1897" s="43"/>
      <c r="P1897" s="66"/>
      <c r="Q1897" s="43"/>
      <c r="R1897" s="17"/>
      <c r="S1897" s="18"/>
      <c r="T1897" s="20"/>
    </row>
    <row r="1898">
      <c r="A1898" s="27" t="s">
        <v>2709</v>
      </c>
      <c r="B1898" s="28" t="s">
        <v>68</v>
      </c>
      <c r="C1898" s="29"/>
      <c r="D1898" s="29" t="str">
        <f t="shared" si="130"/>
        <v>Removed</v>
      </c>
      <c r="E1898" s="70">
        <v>42887.0</v>
      </c>
      <c r="F1898" s="70">
        <v>43221.0</v>
      </c>
      <c r="G1898" s="32">
        <f t="shared" si="2"/>
        <v>11</v>
      </c>
      <c r="H1898" s="33">
        <v>40869.0</v>
      </c>
      <c r="I1898" s="32">
        <f t="shared" si="3"/>
        <v>5.525</v>
      </c>
      <c r="J1898" s="34">
        <v>75.0</v>
      </c>
      <c r="K1898" s="34">
        <v>14.0</v>
      </c>
      <c r="L1898" s="35" t="s">
        <v>184</v>
      </c>
      <c r="M1898" s="35"/>
      <c r="N1898" s="35"/>
      <c r="O1898" s="35"/>
      <c r="P1898" s="36"/>
      <c r="Q1898" s="35"/>
      <c r="R1898" s="29"/>
      <c r="S1898" s="33"/>
      <c r="T1898" s="32"/>
    </row>
    <row r="1899">
      <c r="A1899" s="15" t="s">
        <v>2710</v>
      </c>
      <c r="B1899" s="16" t="s">
        <v>68</v>
      </c>
      <c r="C1899" s="17"/>
      <c r="D1899" s="17" t="str">
        <f t="shared" si="130"/>
        <v>Removed</v>
      </c>
      <c r="E1899" s="76">
        <v>42887.0</v>
      </c>
      <c r="F1899" s="76">
        <v>43221.0</v>
      </c>
      <c r="G1899" s="20">
        <f t="shared" si="2"/>
        <v>11</v>
      </c>
      <c r="H1899" s="18">
        <v>40869.0</v>
      </c>
      <c r="I1899" s="20">
        <f t="shared" si="3"/>
        <v>5.525</v>
      </c>
      <c r="J1899" s="53">
        <v>74.0</v>
      </c>
      <c r="K1899" s="53">
        <v>13.0</v>
      </c>
      <c r="L1899" s="23" t="s">
        <v>184</v>
      </c>
      <c r="M1899" s="23"/>
      <c r="N1899" s="23"/>
      <c r="O1899" s="23"/>
      <c r="P1899" s="54"/>
      <c r="Q1899" s="23"/>
      <c r="R1899" s="17"/>
      <c r="S1899" s="18"/>
      <c r="T1899" s="20"/>
    </row>
    <row r="1900">
      <c r="A1900" s="67" t="s">
        <v>2711</v>
      </c>
      <c r="B1900" s="28" t="s">
        <v>68</v>
      </c>
      <c r="C1900" s="29"/>
      <c r="D1900" s="29" t="str">
        <f t="shared" si="130"/>
        <v>Removed</v>
      </c>
      <c r="E1900" s="70">
        <v>42887.0</v>
      </c>
      <c r="F1900" s="70">
        <v>43221.0</v>
      </c>
      <c r="G1900" s="32">
        <f t="shared" si="2"/>
        <v>11</v>
      </c>
      <c r="H1900" s="33">
        <v>41052.0</v>
      </c>
      <c r="I1900" s="32">
        <f t="shared" si="3"/>
        <v>5.022222222</v>
      </c>
      <c r="J1900" s="34">
        <v>69.0</v>
      </c>
      <c r="K1900" s="34">
        <v>5.0</v>
      </c>
      <c r="L1900" s="44" t="s">
        <v>163</v>
      </c>
      <c r="M1900" s="44"/>
      <c r="N1900" s="44"/>
      <c r="O1900" s="44"/>
      <c r="P1900" s="71"/>
      <c r="Q1900" s="44"/>
      <c r="R1900" s="29"/>
      <c r="S1900" s="33"/>
      <c r="T1900" s="32"/>
    </row>
    <row r="1901">
      <c r="A1901" s="64" t="s">
        <v>2712</v>
      </c>
      <c r="B1901" s="16" t="s">
        <v>68</v>
      </c>
      <c r="C1901" s="17"/>
      <c r="D1901" s="17" t="str">
        <f t="shared" si="130"/>
        <v>Removed</v>
      </c>
      <c r="E1901" s="76">
        <v>42887.0</v>
      </c>
      <c r="F1901" s="76">
        <v>43221.0</v>
      </c>
      <c r="G1901" s="20">
        <f t="shared" si="2"/>
        <v>11</v>
      </c>
      <c r="H1901" s="18">
        <v>41059.0</v>
      </c>
      <c r="I1901" s="20">
        <f t="shared" si="3"/>
        <v>5.002777778</v>
      </c>
      <c r="J1901" s="53">
        <v>60.0</v>
      </c>
      <c r="K1901" s="53">
        <v>1.0</v>
      </c>
      <c r="L1901" s="43" t="s">
        <v>163</v>
      </c>
      <c r="M1901" s="43"/>
      <c r="N1901" s="43"/>
      <c r="O1901" s="43"/>
      <c r="P1901" s="66"/>
      <c r="Q1901" s="43"/>
      <c r="R1901" s="17"/>
      <c r="S1901" s="18"/>
      <c r="T1901" s="20"/>
    </row>
    <row r="1902">
      <c r="A1902" s="67" t="s">
        <v>2713</v>
      </c>
      <c r="B1902" s="28" t="s">
        <v>68</v>
      </c>
      <c r="C1902" s="29"/>
      <c r="D1902" s="29" t="str">
        <f t="shared" si="130"/>
        <v>Removed</v>
      </c>
      <c r="E1902" s="70">
        <v>42887.0</v>
      </c>
      <c r="F1902" s="70">
        <v>43221.0</v>
      </c>
      <c r="G1902" s="32">
        <f t="shared" si="2"/>
        <v>11</v>
      </c>
      <c r="H1902" s="33">
        <v>36006.0</v>
      </c>
      <c r="I1902" s="32">
        <f t="shared" si="3"/>
        <v>18.83611111</v>
      </c>
      <c r="J1902" s="34">
        <v>79.0</v>
      </c>
      <c r="K1902" s="34">
        <v>0.5</v>
      </c>
      <c r="L1902" s="44" t="s">
        <v>303</v>
      </c>
      <c r="M1902" s="44"/>
      <c r="N1902" s="44"/>
      <c r="O1902" s="44"/>
      <c r="P1902" s="71"/>
      <c r="Q1902" s="35" t="s">
        <v>863</v>
      </c>
      <c r="R1902" s="29"/>
      <c r="S1902" s="33"/>
      <c r="T1902" s="32"/>
    </row>
    <row r="1903">
      <c r="A1903" s="64" t="s">
        <v>2714</v>
      </c>
      <c r="B1903" s="16" t="s">
        <v>68</v>
      </c>
      <c r="C1903" s="17"/>
      <c r="D1903" s="17" t="str">
        <f t="shared" si="130"/>
        <v>Removed</v>
      </c>
      <c r="E1903" s="76">
        <v>42887.0</v>
      </c>
      <c r="F1903" s="76">
        <v>43221.0</v>
      </c>
      <c r="G1903" s="20">
        <f t="shared" si="2"/>
        <v>11</v>
      </c>
      <c r="H1903" s="18">
        <v>41590.0</v>
      </c>
      <c r="I1903" s="20">
        <f t="shared" si="3"/>
        <v>3.552777778</v>
      </c>
      <c r="J1903" s="53">
        <v>88.0</v>
      </c>
      <c r="K1903" s="53">
        <v>27.5</v>
      </c>
      <c r="L1903" s="23" t="s">
        <v>567</v>
      </c>
      <c r="M1903" s="43"/>
      <c r="N1903" s="43"/>
      <c r="O1903" s="43"/>
      <c r="P1903" s="66"/>
      <c r="Q1903" s="43"/>
      <c r="R1903" s="17"/>
      <c r="S1903" s="18"/>
      <c r="T1903" s="20"/>
    </row>
    <row r="1904">
      <c r="A1904" s="27" t="s">
        <v>890</v>
      </c>
      <c r="B1904" s="28" t="s">
        <v>1859</v>
      </c>
      <c r="C1904" s="29"/>
      <c r="D1904" s="29" t="s">
        <v>1860</v>
      </c>
      <c r="E1904" s="70">
        <v>43206.0</v>
      </c>
      <c r="F1904" s="30">
        <v>43220.0</v>
      </c>
      <c r="G1904" s="32">
        <f t="shared" si="2"/>
        <v>0.4666666667</v>
      </c>
      <c r="H1904" s="33"/>
      <c r="I1904" s="32">
        <f t="shared" si="3"/>
        <v>-7.497222222</v>
      </c>
      <c r="J1904" s="34"/>
      <c r="K1904" s="34"/>
      <c r="L1904" s="35"/>
      <c r="M1904" s="35"/>
      <c r="N1904" s="35" t="s">
        <v>1612</v>
      </c>
      <c r="O1904" s="35"/>
      <c r="P1904" s="36"/>
      <c r="Q1904" s="35"/>
      <c r="R1904" s="29"/>
      <c r="S1904" s="33"/>
      <c r="T1904" s="32"/>
    </row>
    <row r="1905">
      <c r="A1905" s="15" t="s">
        <v>2715</v>
      </c>
      <c r="B1905" s="16" t="s">
        <v>1610</v>
      </c>
      <c r="C1905" s="17"/>
      <c r="D1905" s="17" t="s">
        <v>1611</v>
      </c>
      <c r="E1905" s="76">
        <v>43191.0</v>
      </c>
      <c r="F1905" s="62">
        <v>43220.0</v>
      </c>
      <c r="G1905" s="20">
        <f t="shared" si="2"/>
        <v>0.9666666667</v>
      </c>
      <c r="H1905" s="18"/>
      <c r="I1905" s="20">
        <f t="shared" si="3"/>
        <v>-7.538888889</v>
      </c>
      <c r="J1905" s="53"/>
      <c r="K1905" s="53"/>
      <c r="L1905" s="23"/>
      <c r="M1905" s="23"/>
      <c r="N1905" s="23"/>
      <c r="O1905" s="23"/>
      <c r="P1905" s="54"/>
      <c r="Q1905" s="23"/>
      <c r="R1905" s="17"/>
      <c r="S1905" s="18"/>
      <c r="T1905" s="20"/>
    </row>
    <row r="1906">
      <c r="A1906" s="67" t="s">
        <v>2716</v>
      </c>
      <c r="B1906" s="28" t="s">
        <v>68</v>
      </c>
      <c r="C1906" s="29"/>
      <c r="D1906" s="29" t="str">
        <f>IF(E1906&gt;TODAY(),"Coming Soon",IF(F1906="","Active",IF(F1906&gt;TODAY(),"Leaving Soon","Removed")))</f>
        <v>Removed</v>
      </c>
      <c r="E1906" s="70">
        <v>42887.0</v>
      </c>
      <c r="F1906" s="30">
        <v>43220.0</v>
      </c>
      <c r="G1906" s="32">
        <f t="shared" si="2"/>
        <v>10.96666667</v>
      </c>
      <c r="H1906" s="33">
        <v>42482.0</v>
      </c>
      <c r="I1906" s="32">
        <f t="shared" si="3"/>
        <v>1.108333333</v>
      </c>
      <c r="J1906" s="34">
        <v>77.0</v>
      </c>
      <c r="K1906" s="34">
        <v>5.0</v>
      </c>
      <c r="L1906" s="44" t="s">
        <v>37</v>
      </c>
      <c r="M1906" s="44"/>
      <c r="N1906" s="44"/>
      <c r="O1906" s="44"/>
      <c r="P1906" s="71"/>
      <c r="Q1906" s="44"/>
      <c r="R1906" s="29"/>
      <c r="S1906" s="33"/>
      <c r="T1906" s="32"/>
    </row>
    <row r="1907">
      <c r="A1907" s="15" t="s">
        <v>2717</v>
      </c>
      <c r="B1907" s="16" t="s">
        <v>1859</v>
      </c>
      <c r="C1907" s="17"/>
      <c r="D1907" s="17" t="s">
        <v>1860</v>
      </c>
      <c r="E1907" s="76">
        <v>43191.0</v>
      </c>
      <c r="F1907" s="62">
        <v>43205.0</v>
      </c>
      <c r="G1907" s="20">
        <f t="shared" si="2"/>
        <v>0.4666666667</v>
      </c>
      <c r="H1907" s="18"/>
      <c r="I1907" s="20">
        <f t="shared" si="3"/>
        <v>-7.538888889</v>
      </c>
      <c r="J1907" s="53"/>
      <c r="K1907" s="53"/>
      <c r="L1907" s="23"/>
      <c r="M1907" s="23"/>
      <c r="N1907" s="23" t="s">
        <v>1612</v>
      </c>
      <c r="O1907" s="23"/>
      <c r="P1907" s="54"/>
      <c r="Q1907" s="23"/>
      <c r="R1907" s="17"/>
      <c r="S1907" s="18"/>
      <c r="T1907" s="20"/>
    </row>
    <row r="1908">
      <c r="A1908" s="27" t="s">
        <v>2718</v>
      </c>
      <c r="B1908" s="28" t="s">
        <v>1610</v>
      </c>
      <c r="C1908" s="29"/>
      <c r="D1908" s="29" t="s">
        <v>1611</v>
      </c>
      <c r="E1908" s="70">
        <v>43175.0</v>
      </c>
      <c r="F1908" s="30">
        <v>43205.0</v>
      </c>
      <c r="G1908" s="32">
        <f t="shared" si="2"/>
        <v>0.9666666667</v>
      </c>
      <c r="H1908" s="33"/>
      <c r="I1908" s="32">
        <f t="shared" si="3"/>
        <v>-7.580555556</v>
      </c>
      <c r="J1908" s="34"/>
      <c r="K1908" s="34"/>
      <c r="L1908" s="35"/>
      <c r="M1908" s="35"/>
      <c r="N1908" s="35"/>
      <c r="O1908" s="35"/>
      <c r="P1908" s="36"/>
      <c r="Q1908" s="35"/>
      <c r="R1908" s="29"/>
      <c r="S1908" s="33"/>
      <c r="T1908" s="32"/>
    </row>
    <row r="1909">
      <c r="A1909" s="64" t="s">
        <v>2719</v>
      </c>
      <c r="B1909" s="16" t="s">
        <v>68</v>
      </c>
      <c r="C1909" s="17"/>
      <c r="D1909" s="17" t="str">
        <f t="shared" ref="D1909:D1910" si="131">IF(E1909&gt;TODAY(),"Coming Soon",IF(F1909="","Active",IF(F1909&gt;TODAY(),"Leaving Soon","Removed")))</f>
        <v>Removed</v>
      </c>
      <c r="E1909" s="76">
        <v>43132.0</v>
      </c>
      <c r="F1909" s="76">
        <v>43191.0</v>
      </c>
      <c r="G1909" s="20">
        <f t="shared" si="2"/>
        <v>2</v>
      </c>
      <c r="H1909" s="18">
        <v>42629.0</v>
      </c>
      <c r="I1909" s="20">
        <f t="shared" si="3"/>
        <v>1.375</v>
      </c>
      <c r="J1909" s="53">
        <v>90.0</v>
      </c>
      <c r="K1909" s="53">
        <v>63.5</v>
      </c>
      <c r="L1909" s="23" t="s">
        <v>922</v>
      </c>
      <c r="M1909" s="23"/>
      <c r="N1909" s="23"/>
      <c r="O1909" s="23"/>
      <c r="P1909" s="54"/>
      <c r="Q1909" s="23"/>
      <c r="R1909" s="17"/>
      <c r="S1909" s="18"/>
      <c r="T1909" s="20"/>
    </row>
    <row r="1910">
      <c r="A1910" s="67" t="s">
        <v>2720</v>
      </c>
      <c r="B1910" s="28" t="s">
        <v>68</v>
      </c>
      <c r="C1910" s="29"/>
      <c r="D1910" s="29" t="str">
        <f t="shared" si="131"/>
        <v>Removed</v>
      </c>
      <c r="E1910" s="70">
        <v>43132.0</v>
      </c>
      <c r="F1910" s="70">
        <v>43191.0</v>
      </c>
      <c r="G1910" s="32">
        <f t="shared" si="2"/>
        <v>2</v>
      </c>
      <c r="H1910" s="33">
        <v>42654.0</v>
      </c>
      <c r="I1910" s="32">
        <f t="shared" si="3"/>
        <v>1.305555556</v>
      </c>
      <c r="J1910" s="34">
        <v>68.0</v>
      </c>
      <c r="K1910" s="34">
        <v>13.0</v>
      </c>
      <c r="L1910" s="44" t="s">
        <v>2721</v>
      </c>
      <c r="M1910" s="44"/>
      <c r="N1910" s="44"/>
      <c r="O1910" s="44"/>
      <c r="P1910" s="71"/>
      <c r="Q1910" s="44"/>
      <c r="R1910" s="29"/>
      <c r="S1910" s="33"/>
      <c r="T1910" s="32"/>
    </row>
    <row r="1911">
      <c r="A1911" s="15" t="s">
        <v>2722</v>
      </c>
      <c r="B1911" s="16" t="s">
        <v>1859</v>
      </c>
      <c r="C1911" s="17"/>
      <c r="D1911" s="17" t="s">
        <v>1860</v>
      </c>
      <c r="E1911" s="76">
        <v>43175.0</v>
      </c>
      <c r="F1911" s="62">
        <v>43190.0</v>
      </c>
      <c r="G1911" s="20">
        <f t="shared" si="2"/>
        <v>0.4666666667</v>
      </c>
      <c r="H1911" s="18"/>
      <c r="I1911" s="20">
        <f t="shared" si="3"/>
        <v>-7.580555556</v>
      </c>
      <c r="J1911" s="53"/>
      <c r="K1911" s="53"/>
      <c r="L1911" s="23"/>
      <c r="M1911" s="23"/>
      <c r="N1911" s="23" t="s">
        <v>1612</v>
      </c>
      <c r="O1911" s="23"/>
      <c r="P1911" s="54"/>
      <c r="Q1911" s="23"/>
      <c r="R1911" s="17"/>
      <c r="S1911" s="18"/>
      <c r="T1911" s="20"/>
    </row>
    <row r="1912">
      <c r="A1912" s="27" t="s">
        <v>105</v>
      </c>
      <c r="B1912" s="28" t="s">
        <v>1610</v>
      </c>
      <c r="C1912" s="29"/>
      <c r="D1912" s="29" t="s">
        <v>1611</v>
      </c>
      <c r="E1912" s="70">
        <v>43160.0</v>
      </c>
      <c r="F1912" s="30">
        <v>43190.0</v>
      </c>
      <c r="G1912" s="32">
        <f t="shared" si="2"/>
        <v>0.9666666667</v>
      </c>
      <c r="H1912" s="33"/>
      <c r="I1912" s="32">
        <f t="shared" si="3"/>
        <v>-7.622222222</v>
      </c>
      <c r="J1912" s="34"/>
      <c r="K1912" s="34"/>
      <c r="L1912" s="35"/>
      <c r="M1912" s="35"/>
      <c r="N1912" s="35"/>
      <c r="O1912" s="35"/>
      <c r="P1912" s="36"/>
      <c r="Q1912" s="35"/>
      <c r="R1912" s="29"/>
      <c r="S1912" s="33"/>
      <c r="T1912" s="32"/>
    </row>
    <row r="1913">
      <c r="A1913" s="15" t="s">
        <v>2723</v>
      </c>
      <c r="B1913" s="16" t="s">
        <v>68</v>
      </c>
      <c r="C1913" s="17"/>
      <c r="D1913" s="17" t="str">
        <f>IF(E1913&gt;TODAY(),"Coming Soon",IF(F1913="","Active",IF(F1913&gt;TODAY(),"Leaving Soon","Removed")))</f>
        <v>Removed</v>
      </c>
      <c r="E1913" s="76">
        <v>42887.0</v>
      </c>
      <c r="F1913" s="62">
        <v>43190.0</v>
      </c>
      <c r="G1913" s="20">
        <f t="shared" si="2"/>
        <v>9.966666667</v>
      </c>
      <c r="H1913" s="18">
        <v>34913.0</v>
      </c>
      <c r="I1913" s="20">
        <f t="shared" si="3"/>
        <v>21.83055556</v>
      </c>
      <c r="J1913" s="53">
        <v>71.0</v>
      </c>
      <c r="K1913" s="53">
        <v>2.0</v>
      </c>
      <c r="L1913" s="23" t="s">
        <v>1121</v>
      </c>
      <c r="M1913" s="23"/>
      <c r="N1913" s="23"/>
      <c r="O1913" s="23"/>
      <c r="P1913" s="54"/>
      <c r="Q1913" s="23" t="s">
        <v>1697</v>
      </c>
      <c r="R1913" s="17"/>
      <c r="S1913" s="18"/>
      <c r="T1913" s="20"/>
    </row>
    <row r="1914">
      <c r="A1914" s="27" t="s">
        <v>2724</v>
      </c>
      <c r="B1914" s="28" t="s">
        <v>1859</v>
      </c>
      <c r="C1914" s="29"/>
      <c r="D1914" s="29" t="s">
        <v>1860</v>
      </c>
      <c r="E1914" s="70">
        <v>43160.0</v>
      </c>
      <c r="F1914" s="30">
        <v>43174.0</v>
      </c>
      <c r="G1914" s="32">
        <f t="shared" si="2"/>
        <v>0.4666666667</v>
      </c>
      <c r="H1914" s="33"/>
      <c r="I1914" s="32">
        <f t="shared" si="3"/>
        <v>-7.622222222</v>
      </c>
      <c r="J1914" s="34"/>
      <c r="K1914" s="34"/>
      <c r="L1914" s="35"/>
      <c r="M1914" s="35"/>
      <c r="N1914" s="35" t="s">
        <v>1612</v>
      </c>
      <c r="O1914" s="35"/>
      <c r="P1914" s="36"/>
      <c r="Q1914" s="35"/>
      <c r="R1914" s="29"/>
      <c r="S1914" s="33"/>
      <c r="T1914" s="32"/>
    </row>
    <row r="1915">
      <c r="A1915" s="15" t="s">
        <v>61</v>
      </c>
      <c r="B1915" s="16" t="s">
        <v>1610</v>
      </c>
      <c r="C1915" s="17"/>
      <c r="D1915" s="17" t="s">
        <v>1611</v>
      </c>
      <c r="E1915" s="76">
        <v>43147.0</v>
      </c>
      <c r="F1915" s="62">
        <v>43174.0</v>
      </c>
      <c r="G1915" s="20">
        <f t="shared" si="2"/>
        <v>0.9666666667</v>
      </c>
      <c r="H1915" s="18"/>
      <c r="I1915" s="20">
        <f t="shared" si="3"/>
        <v>-7.663888889</v>
      </c>
      <c r="J1915" s="53"/>
      <c r="K1915" s="53"/>
      <c r="L1915" s="23"/>
      <c r="M1915" s="23"/>
      <c r="N1915" s="23"/>
      <c r="O1915" s="23"/>
      <c r="P1915" s="54"/>
      <c r="Q1915" s="23"/>
      <c r="R1915" s="17"/>
      <c r="S1915" s="18"/>
      <c r="T1915" s="20"/>
    </row>
    <row r="1916">
      <c r="A1916" s="67" t="s">
        <v>2725</v>
      </c>
      <c r="B1916" s="28" t="s">
        <v>68</v>
      </c>
      <c r="C1916" s="29"/>
      <c r="D1916" s="29" t="str">
        <f t="shared" ref="D1916:D1922" si="132">IF(E1916&gt;TODAY(),"Coming Soon",IF(F1916="","Active",IF(F1916&gt;TODAY(),"Leaving Soon","Removed")))</f>
        <v>Removed</v>
      </c>
      <c r="E1916" s="70">
        <v>42887.0</v>
      </c>
      <c r="F1916" s="70">
        <v>43160.0</v>
      </c>
      <c r="G1916" s="32">
        <f t="shared" si="2"/>
        <v>9</v>
      </c>
      <c r="H1916" s="33">
        <v>41325.0</v>
      </c>
      <c r="I1916" s="32">
        <f t="shared" si="3"/>
        <v>4.280555556</v>
      </c>
      <c r="J1916" s="34">
        <v>68.0</v>
      </c>
      <c r="K1916" s="34">
        <v>6.0</v>
      </c>
      <c r="L1916" s="35" t="s">
        <v>2726</v>
      </c>
      <c r="M1916" s="44"/>
      <c r="N1916" s="44"/>
      <c r="O1916" s="44"/>
      <c r="P1916" s="71"/>
      <c r="Q1916" s="44"/>
      <c r="R1916" s="29"/>
      <c r="S1916" s="33"/>
      <c r="T1916" s="32"/>
    </row>
    <row r="1917">
      <c r="A1917" s="64" t="s">
        <v>2247</v>
      </c>
      <c r="B1917" s="16" t="s">
        <v>68</v>
      </c>
      <c r="C1917" s="17"/>
      <c r="D1917" s="17" t="str">
        <f t="shared" si="132"/>
        <v>Removed</v>
      </c>
      <c r="E1917" s="76">
        <v>42887.0</v>
      </c>
      <c r="F1917" s="76">
        <v>43160.0</v>
      </c>
      <c r="G1917" s="20">
        <f t="shared" si="2"/>
        <v>9</v>
      </c>
      <c r="H1917" s="18">
        <v>40193.0</v>
      </c>
      <c r="I1917" s="20">
        <f t="shared" si="3"/>
        <v>7.377777778</v>
      </c>
      <c r="J1917" s="53">
        <v>59.0</v>
      </c>
      <c r="K1917" s="53">
        <v>7.5</v>
      </c>
      <c r="L1917" s="43" t="s">
        <v>32</v>
      </c>
      <c r="M1917" s="43"/>
      <c r="N1917" s="43"/>
      <c r="O1917" s="43"/>
      <c r="P1917" s="66"/>
      <c r="Q1917" s="144" t="s">
        <v>863</v>
      </c>
      <c r="R1917" s="17"/>
      <c r="S1917" s="18"/>
      <c r="T1917" s="20"/>
    </row>
    <row r="1918">
      <c r="A1918" s="67" t="s">
        <v>2727</v>
      </c>
      <c r="B1918" s="28" t="s">
        <v>68</v>
      </c>
      <c r="C1918" s="29"/>
      <c r="D1918" s="29" t="str">
        <f t="shared" si="132"/>
        <v>Removed</v>
      </c>
      <c r="E1918" s="70">
        <v>42887.0</v>
      </c>
      <c r="F1918" s="70">
        <v>43160.0</v>
      </c>
      <c r="G1918" s="32">
        <f t="shared" si="2"/>
        <v>9</v>
      </c>
      <c r="H1918" s="33">
        <v>42237.0</v>
      </c>
      <c r="I1918" s="32">
        <f t="shared" si="3"/>
        <v>1.777777778</v>
      </c>
      <c r="J1918" s="34">
        <v>68.0</v>
      </c>
      <c r="K1918" s="34">
        <v>3.0</v>
      </c>
      <c r="L1918" s="44" t="s">
        <v>366</v>
      </c>
      <c r="M1918" s="44"/>
      <c r="N1918" s="44"/>
      <c r="O1918" s="44"/>
      <c r="P1918" s="71"/>
      <c r="Q1918" s="44"/>
      <c r="R1918" s="29"/>
      <c r="S1918" s="33"/>
      <c r="T1918" s="32"/>
    </row>
    <row r="1919">
      <c r="A1919" s="64" t="s">
        <v>2728</v>
      </c>
      <c r="B1919" s="16" t="s">
        <v>68</v>
      </c>
      <c r="C1919" s="17"/>
      <c r="D1919" s="17" t="str">
        <f t="shared" si="132"/>
        <v>Removed</v>
      </c>
      <c r="E1919" s="76">
        <v>42887.0</v>
      </c>
      <c r="F1919" s="76">
        <v>43160.0</v>
      </c>
      <c r="G1919" s="20">
        <f t="shared" si="2"/>
        <v>9</v>
      </c>
      <c r="H1919" s="18">
        <v>41052.0</v>
      </c>
      <c r="I1919" s="20">
        <f t="shared" si="3"/>
        <v>5.022222222</v>
      </c>
      <c r="J1919" s="53">
        <v>72.0</v>
      </c>
      <c r="K1919" s="53">
        <v>70.0</v>
      </c>
      <c r="L1919" s="43" t="s">
        <v>163</v>
      </c>
      <c r="M1919" s="43"/>
      <c r="N1919" s="43"/>
      <c r="O1919" s="43"/>
      <c r="P1919" s="66"/>
      <c r="Q1919" s="43"/>
      <c r="R1919" s="17"/>
      <c r="S1919" s="18"/>
      <c r="T1919" s="20"/>
    </row>
    <row r="1920">
      <c r="A1920" s="67" t="s">
        <v>2729</v>
      </c>
      <c r="B1920" s="28" t="s">
        <v>68</v>
      </c>
      <c r="C1920" s="29"/>
      <c r="D1920" s="29" t="str">
        <f t="shared" si="132"/>
        <v>Removed</v>
      </c>
      <c r="E1920" s="70">
        <v>42887.0</v>
      </c>
      <c r="F1920" s="70">
        <v>43160.0</v>
      </c>
      <c r="G1920" s="32">
        <f t="shared" si="2"/>
        <v>9</v>
      </c>
      <c r="H1920" s="33">
        <v>41059.0</v>
      </c>
      <c r="I1920" s="32">
        <f t="shared" si="3"/>
        <v>5.002777778</v>
      </c>
      <c r="J1920" s="34">
        <v>84.0</v>
      </c>
      <c r="K1920" s="34">
        <v>1.5</v>
      </c>
      <c r="L1920" s="44" t="s">
        <v>163</v>
      </c>
      <c r="M1920" s="44"/>
      <c r="N1920" s="44"/>
      <c r="O1920" s="44"/>
      <c r="P1920" s="71"/>
      <c r="Q1920" s="44"/>
      <c r="R1920" s="29"/>
      <c r="S1920" s="33"/>
      <c r="T1920" s="32"/>
    </row>
    <row r="1921">
      <c r="A1921" s="64" t="s">
        <v>2730</v>
      </c>
      <c r="B1921" s="16" t="s">
        <v>68</v>
      </c>
      <c r="C1921" s="17"/>
      <c r="D1921" s="17" t="str">
        <f t="shared" si="132"/>
        <v>Removed</v>
      </c>
      <c r="E1921" s="76">
        <v>42887.0</v>
      </c>
      <c r="F1921" s="76">
        <v>43160.0</v>
      </c>
      <c r="G1921" s="20">
        <f t="shared" si="2"/>
        <v>9</v>
      </c>
      <c r="H1921" s="18">
        <v>41688.0</v>
      </c>
      <c r="I1921" s="20">
        <f t="shared" si="3"/>
        <v>3.286111111</v>
      </c>
      <c r="J1921" s="53">
        <v>76.0</v>
      </c>
      <c r="K1921" s="53">
        <v>5.5</v>
      </c>
      <c r="L1921" s="43" t="s">
        <v>721</v>
      </c>
      <c r="M1921" s="43"/>
      <c r="N1921" s="43"/>
      <c r="O1921" s="43"/>
      <c r="P1921" s="66"/>
      <c r="Q1921" s="43"/>
      <c r="R1921" s="17"/>
      <c r="S1921" s="18"/>
      <c r="T1921" s="20"/>
    </row>
    <row r="1922">
      <c r="A1922" s="67" t="s">
        <v>2674</v>
      </c>
      <c r="B1922" s="28" t="s">
        <v>68</v>
      </c>
      <c r="C1922" s="29"/>
      <c r="D1922" s="29" t="str">
        <f t="shared" si="132"/>
        <v>Removed</v>
      </c>
      <c r="E1922" s="70">
        <v>42887.0</v>
      </c>
      <c r="F1922" s="70">
        <v>43160.0</v>
      </c>
      <c r="G1922" s="32">
        <f t="shared" si="2"/>
        <v>9</v>
      </c>
      <c r="H1922" s="33">
        <v>41065.0</v>
      </c>
      <c r="I1922" s="32">
        <f t="shared" si="3"/>
        <v>4.988888889</v>
      </c>
      <c r="J1922" s="34">
        <v>81.0</v>
      </c>
      <c r="K1922" s="34">
        <v>0.5</v>
      </c>
      <c r="L1922" s="44" t="s">
        <v>303</v>
      </c>
      <c r="M1922" s="44"/>
      <c r="N1922" s="44"/>
      <c r="O1922" s="44"/>
      <c r="P1922" s="71"/>
      <c r="Q1922" s="44"/>
      <c r="R1922" s="29"/>
      <c r="S1922" s="33"/>
      <c r="T1922" s="32"/>
    </row>
    <row r="1923">
      <c r="A1923" s="15" t="s">
        <v>2731</v>
      </c>
      <c r="B1923" s="16" t="s">
        <v>1859</v>
      </c>
      <c r="C1923" s="17"/>
      <c r="D1923" s="17" t="s">
        <v>1860</v>
      </c>
      <c r="E1923" s="76">
        <v>43147.0</v>
      </c>
      <c r="F1923" s="62">
        <v>43159.0</v>
      </c>
      <c r="G1923" s="20">
        <f t="shared" si="2"/>
        <v>0.4</v>
      </c>
      <c r="H1923" s="18"/>
      <c r="I1923" s="20">
        <f t="shared" si="3"/>
        <v>-7.663888889</v>
      </c>
      <c r="J1923" s="53"/>
      <c r="K1923" s="53"/>
      <c r="L1923" s="23"/>
      <c r="M1923" s="23"/>
      <c r="N1923" s="23" t="s">
        <v>1612</v>
      </c>
      <c r="O1923" s="23"/>
      <c r="P1923" s="54"/>
      <c r="Q1923" s="23"/>
      <c r="R1923" s="17"/>
      <c r="S1923" s="18"/>
      <c r="T1923" s="20"/>
    </row>
    <row r="1924">
      <c r="A1924" s="27" t="s">
        <v>2619</v>
      </c>
      <c r="B1924" s="28" t="s">
        <v>1610</v>
      </c>
      <c r="C1924" s="29"/>
      <c r="D1924" s="29" t="s">
        <v>1611</v>
      </c>
      <c r="E1924" s="70">
        <v>43132.0</v>
      </c>
      <c r="F1924" s="30">
        <v>43159.0</v>
      </c>
      <c r="G1924" s="32">
        <f t="shared" si="2"/>
        <v>0.9</v>
      </c>
      <c r="H1924" s="33"/>
      <c r="I1924" s="32">
        <f t="shared" si="3"/>
        <v>-7.705555556</v>
      </c>
      <c r="J1924" s="34"/>
      <c r="K1924" s="34"/>
      <c r="L1924" s="35"/>
      <c r="M1924" s="35"/>
      <c r="N1924" s="35"/>
      <c r="O1924" s="35"/>
      <c r="P1924" s="36"/>
      <c r="Q1924" s="35"/>
      <c r="R1924" s="29"/>
      <c r="S1924" s="33"/>
      <c r="T1924" s="32"/>
    </row>
    <row r="1925">
      <c r="A1925" s="15" t="s">
        <v>2521</v>
      </c>
      <c r="B1925" s="16" t="s">
        <v>1859</v>
      </c>
      <c r="C1925" s="17"/>
      <c r="D1925" s="17" t="s">
        <v>1860</v>
      </c>
      <c r="E1925" s="76">
        <v>43132.0</v>
      </c>
      <c r="F1925" s="62">
        <v>43146.0</v>
      </c>
      <c r="G1925" s="20">
        <f t="shared" si="2"/>
        <v>0.4666666667</v>
      </c>
      <c r="H1925" s="18"/>
      <c r="I1925" s="20">
        <f t="shared" si="3"/>
        <v>-7.705555556</v>
      </c>
      <c r="J1925" s="53"/>
      <c r="K1925" s="53"/>
      <c r="L1925" s="23"/>
      <c r="M1925" s="23"/>
      <c r="N1925" s="23" t="s">
        <v>1612</v>
      </c>
      <c r="O1925" s="23"/>
      <c r="P1925" s="54"/>
      <c r="Q1925" s="23"/>
      <c r="R1925" s="17"/>
      <c r="S1925" s="18"/>
      <c r="T1925" s="20"/>
    </row>
    <row r="1926">
      <c r="A1926" s="27" t="s">
        <v>112</v>
      </c>
      <c r="B1926" s="28" t="s">
        <v>1610</v>
      </c>
      <c r="C1926" s="29"/>
      <c r="D1926" s="29" t="s">
        <v>1611</v>
      </c>
      <c r="E1926" s="70">
        <v>43116.0</v>
      </c>
      <c r="F1926" s="30">
        <v>43146.0</v>
      </c>
      <c r="G1926" s="32">
        <f t="shared" si="2"/>
        <v>0.9666666667</v>
      </c>
      <c r="H1926" s="33"/>
      <c r="I1926" s="32">
        <f t="shared" si="3"/>
        <v>-7.747222222</v>
      </c>
      <c r="J1926" s="34"/>
      <c r="K1926" s="34"/>
      <c r="L1926" s="35"/>
      <c r="M1926" s="35"/>
      <c r="N1926" s="35"/>
      <c r="O1926" s="35"/>
      <c r="P1926" s="36"/>
      <c r="Q1926" s="35"/>
      <c r="R1926" s="29"/>
      <c r="S1926" s="33"/>
      <c r="T1926" s="32"/>
    </row>
    <row r="1927">
      <c r="A1927" s="15" t="s">
        <v>864</v>
      </c>
      <c r="B1927" s="16" t="s">
        <v>1859</v>
      </c>
      <c r="C1927" s="17"/>
      <c r="D1927" s="17" t="s">
        <v>1860</v>
      </c>
      <c r="E1927" s="76">
        <v>43116.0</v>
      </c>
      <c r="F1927" s="62">
        <v>43131.0</v>
      </c>
      <c r="G1927" s="20">
        <f t="shared" si="2"/>
        <v>0.4666666667</v>
      </c>
      <c r="H1927" s="18"/>
      <c r="I1927" s="20">
        <f t="shared" si="3"/>
        <v>-7.747222222</v>
      </c>
      <c r="J1927" s="53"/>
      <c r="K1927" s="53"/>
      <c r="L1927" s="23"/>
      <c r="M1927" s="23"/>
      <c r="N1927" s="23" t="s">
        <v>1612</v>
      </c>
      <c r="O1927" s="23"/>
      <c r="P1927" s="54"/>
      <c r="Q1927" s="23"/>
      <c r="R1927" s="17"/>
      <c r="S1927" s="18"/>
      <c r="T1927" s="20"/>
    </row>
    <row r="1928">
      <c r="A1928" s="27" t="s">
        <v>2732</v>
      </c>
      <c r="B1928" s="28" t="s">
        <v>1610</v>
      </c>
      <c r="C1928" s="29"/>
      <c r="D1928" s="29" t="s">
        <v>1611</v>
      </c>
      <c r="E1928" s="70">
        <v>43101.0</v>
      </c>
      <c r="F1928" s="30">
        <v>43131.0</v>
      </c>
      <c r="G1928" s="32">
        <f t="shared" si="2"/>
        <v>0.9666666667</v>
      </c>
      <c r="H1928" s="33"/>
      <c r="I1928" s="32">
        <f t="shared" si="3"/>
        <v>-7.788888889</v>
      </c>
      <c r="J1928" s="34"/>
      <c r="K1928" s="34"/>
      <c r="L1928" s="35"/>
      <c r="M1928" s="35"/>
      <c r="N1928" s="35" t="s">
        <v>1612</v>
      </c>
      <c r="O1928" s="35"/>
      <c r="P1928" s="36"/>
      <c r="Q1928" s="35"/>
      <c r="R1928" s="29"/>
      <c r="S1928" s="33"/>
      <c r="T1928" s="32"/>
    </row>
    <row r="1929">
      <c r="A1929" s="15" t="s">
        <v>2733</v>
      </c>
      <c r="B1929" s="16" t="s">
        <v>68</v>
      </c>
      <c r="C1929" s="17"/>
      <c r="D1929" s="17" t="str">
        <f>IF(E1929&gt;TODAY(),"Coming Soon",IF(F1929="","Active",IF(F1929&gt;TODAY(),"Leaving Soon","Removed")))</f>
        <v>Removed</v>
      </c>
      <c r="E1929" s="76">
        <v>42887.0</v>
      </c>
      <c r="F1929" s="62">
        <v>43131.0</v>
      </c>
      <c r="G1929" s="20">
        <f t="shared" si="2"/>
        <v>7.966666667</v>
      </c>
      <c r="H1929" s="18">
        <v>42304.0</v>
      </c>
      <c r="I1929" s="20">
        <f t="shared" si="3"/>
        <v>1.594444444</v>
      </c>
      <c r="J1929" s="53">
        <v>72.0</v>
      </c>
      <c r="K1929" s="53">
        <v>15.5</v>
      </c>
      <c r="L1929" s="23" t="s">
        <v>2721</v>
      </c>
      <c r="M1929" s="23"/>
      <c r="N1929" s="23"/>
      <c r="O1929" s="23"/>
      <c r="P1929" s="54"/>
      <c r="Q1929" s="23"/>
      <c r="R1929" s="17"/>
      <c r="S1929" s="18"/>
      <c r="T1929" s="20"/>
    </row>
    <row r="1930">
      <c r="A1930" s="27" t="s">
        <v>2734</v>
      </c>
      <c r="B1930" s="28" t="s">
        <v>1859</v>
      </c>
      <c r="C1930" s="29"/>
      <c r="D1930" s="29" t="s">
        <v>1860</v>
      </c>
      <c r="E1930" s="70">
        <v>43101.0</v>
      </c>
      <c r="F1930" s="30">
        <v>43115.0</v>
      </c>
      <c r="G1930" s="32">
        <f t="shared" si="2"/>
        <v>0.4666666667</v>
      </c>
      <c r="H1930" s="33"/>
      <c r="I1930" s="32">
        <f t="shared" si="3"/>
        <v>-7.788888889</v>
      </c>
      <c r="J1930" s="34"/>
      <c r="K1930" s="34"/>
      <c r="L1930" s="35"/>
      <c r="M1930" s="35"/>
      <c r="N1930" s="35" t="s">
        <v>1612</v>
      </c>
      <c r="O1930" s="35"/>
      <c r="P1930" s="36"/>
      <c r="Q1930" s="35"/>
      <c r="R1930" s="29"/>
      <c r="S1930" s="33"/>
      <c r="T1930" s="32"/>
    </row>
    <row r="1931">
      <c r="A1931" s="15" t="s">
        <v>2735</v>
      </c>
      <c r="B1931" s="16" t="s">
        <v>1610</v>
      </c>
      <c r="C1931" s="17"/>
      <c r="D1931" s="17" t="s">
        <v>1611</v>
      </c>
      <c r="E1931" s="76">
        <v>43085.0</v>
      </c>
      <c r="F1931" s="62">
        <v>43115.0</v>
      </c>
      <c r="G1931" s="20">
        <f t="shared" si="2"/>
        <v>0.9666666667</v>
      </c>
      <c r="H1931" s="18"/>
      <c r="I1931" s="20">
        <f t="shared" si="3"/>
        <v>-7.830555556</v>
      </c>
      <c r="J1931" s="53"/>
      <c r="K1931" s="53"/>
      <c r="L1931" s="23"/>
      <c r="M1931" s="23"/>
      <c r="N1931" s="23"/>
      <c r="O1931" s="23"/>
      <c r="P1931" s="54"/>
      <c r="Q1931" s="23"/>
      <c r="R1931" s="17"/>
      <c r="S1931" s="18"/>
      <c r="T1931" s="20"/>
    </row>
    <row r="1932">
      <c r="A1932" s="27" t="s">
        <v>2736</v>
      </c>
      <c r="B1932" s="28" t="s">
        <v>1859</v>
      </c>
      <c r="C1932" s="29"/>
      <c r="D1932" s="29" t="s">
        <v>1860</v>
      </c>
      <c r="E1932" s="70">
        <v>43085.0</v>
      </c>
      <c r="F1932" s="30">
        <v>43100.0</v>
      </c>
      <c r="G1932" s="32">
        <f t="shared" si="2"/>
        <v>0.4666666667</v>
      </c>
      <c r="H1932" s="33"/>
      <c r="I1932" s="32">
        <f t="shared" si="3"/>
        <v>-7.830555556</v>
      </c>
      <c r="J1932" s="34"/>
      <c r="K1932" s="34"/>
      <c r="L1932" s="35"/>
      <c r="M1932" s="35"/>
      <c r="N1932" s="35" t="s">
        <v>1612</v>
      </c>
      <c r="O1932" s="35"/>
      <c r="P1932" s="36"/>
      <c r="Q1932" s="35"/>
      <c r="R1932" s="29"/>
      <c r="S1932" s="33"/>
      <c r="T1932" s="32"/>
    </row>
    <row r="1933">
      <c r="A1933" s="15" t="s">
        <v>2737</v>
      </c>
      <c r="B1933" s="16" t="s">
        <v>1610</v>
      </c>
      <c r="C1933" s="17"/>
      <c r="D1933" s="17" t="s">
        <v>1611</v>
      </c>
      <c r="E1933" s="76">
        <v>43070.0</v>
      </c>
      <c r="F1933" s="62">
        <v>43100.0</v>
      </c>
      <c r="G1933" s="20">
        <f t="shared" si="2"/>
        <v>0.9666666667</v>
      </c>
      <c r="H1933" s="18"/>
      <c r="I1933" s="20">
        <f t="shared" si="3"/>
        <v>-7.872222222</v>
      </c>
      <c r="J1933" s="53"/>
      <c r="K1933" s="53"/>
      <c r="L1933" s="23"/>
      <c r="M1933" s="23"/>
      <c r="N1933" s="23" t="s">
        <v>1612</v>
      </c>
      <c r="O1933" s="23"/>
      <c r="P1933" s="54"/>
      <c r="Q1933" s="23"/>
      <c r="R1933" s="17"/>
      <c r="S1933" s="18"/>
      <c r="T1933" s="20"/>
    </row>
    <row r="1934">
      <c r="A1934" s="27" t="s">
        <v>2738</v>
      </c>
      <c r="B1934" s="28" t="s">
        <v>68</v>
      </c>
      <c r="C1934" s="29"/>
      <c r="D1934" s="29" t="str">
        <f>IF(E1934&gt;TODAY(),"Coming Soon",IF(F1934="","Active",IF(F1934&gt;TODAY(),"Leaving Soon","Removed")))</f>
        <v>Removed</v>
      </c>
      <c r="E1934" s="70">
        <v>42887.0</v>
      </c>
      <c r="F1934" s="30">
        <v>43100.0</v>
      </c>
      <c r="G1934" s="32">
        <f t="shared" si="2"/>
        <v>6.966666667</v>
      </c>
      <c r="H1934" s="33">
        <v>42272.0</v>
      </c>
      <c r="I1934" s="32">
        <f t="shared" si="3"/>
        <v>1.683333333</v>
      </c>
      <c r="J1934" s="34">
        <v>86.0</v>
      </c>
      <c r="K1934" s="34">
        <v>23.5</v>
      </c>
      <c r="L1934" s="35" t="s">
        <v>922</v>
      </c>
      <c r="M1934" s="35"/>
      <c r="N1934" s="35"/>
      <c r="O1934" s="35"/>
      <c r="P1934" s="36"/>
      <c r="Q1934" s="35"/>
      <c r="R1934" s="29"/>
      <c r="S1934" s="33"/>
      <c r="T1934" s="32"/>
    </row>
    <row r="1935">
      <c r="A1935" s="15" t="s">
        <v>2739</v>
      </c>
      <c r="B1935" s="16" t="s">
        <v>1859</v>
      </c>
      <c r="C1935" s="17"/>
      <c r="D1935" s="17" t="s">
        <v>1860</v>
      </c>
      <c r="E1935" s="76">
        <v>43070.0</v>
      </c>
      <c r="F1935" s="62">
        <v>43084.0</v>
      </c>
      <c r="G1935" s="20">
        <f t="shared" si="2"/>
        <v>0.4666666667</v>
      </c>
      <c r="H1935" s="18"/>
      <c r="I1935" s="20">
        <f t="shared" si="3"/>
        <v>-7.872222222</v>
      </c>
      <c r="J1935" s="53"/>
      <c r="K1935" s="53"/>
      <c r="L1935" s="23"/>
      <c r="M1935" s="23"/>
      <c r="N1935" s="23" t="s">
        <v>1612</v>
      </c>
      <c r="O1935" s="23"/>
      <c r="P1935" s="54"/>
      <c r="Q1935" s="23"/>
      <c r="R1935" s="17"/>
      <c r="S1935" s="18"/>
      <c r="T1935" s="20"/>
    </row>
    <row r="1936">
      <c r="A1936" s="27" t="s">
        <v>2740</v>
      </c>
      <c r="B1936" s="28" t="s">
        <v>1610</v>
      </c>
      <c r="C1936" s="29"/>
      <c r="D1936" s="29" t="s">
        <v>1611</v>
      </c>
      <c r="E1936" s="70">
        <v>43055.0</v>
      </c>
      <c r="F1936" s="30">
        <v>43084.0</v>
      </c>
      <c r="G1936" s="32">
        <f t="shared" si="2"/>
        <v>0.9666666667</v>
      </c>
      <c r="H1936" s="33"/>
      <c r="I1936" s="32">
        <f t="shared" si="3"/>
        <v>-7.913888889</v>
      </c>
      <c r="J1936" s="34"/>
      <c r="K1936" s="34"/>
      <c r="L1936" s="35"/>
      <c r="M1936" s="35"/>
      <c r="N1936" s="35"/>
      <c r="O1936" s="35"/>
      <c r="P1936" s="36"/>
      <c r="Q1936" s="35"/>
      <c r="R1936" s="29"/>
      <c r="S1936" s="33"/>
      <c r="T1936" s="32"/>
    </row>
    <row r="1937">
      <c r="A1937" s="15" t="s">
        <v>2741</v>
      </c>
      <c r="B1937" s="16" t="s">
        <v>1859</v>
      </c>
      <c r="C1937" s="17"/>
      <c r="D1937" s="17" t="s">
        <v>1860</v>
      </c>
      <c r="E1937" s="76">
        <v>43055.0</v>
      </c>
      <c r="F1937" s="62">
        <v>43069.0</v>
      </c>
      <c r="G1937" s="20">
        <f t="shared" si="2"/>
        <v>0.4666666667</v>
      </c>
      <c r="H1937" s="18"/>
      <c r="I1937" s="20">
        <f t="shared" si="3"/>
        <v>-7.913888889</v>
      </c>
      <c r="J1937" s="53"/>
      <c r="K1937" s="53"/>
      <c r="L1937" s="23"/>
      <c r="M1937" s="23"/>
      <c r="N1937" s="23" t="s">
        <v>1612</v>
      </c>
      <c r="O1937" s="23"/>
      <c r="P1937" s="54"/>
      <c r="Q1937" s="23"/>
      <c r="R1937" s="17"/>
      <c r="S1937" s="18"/>
      <c r="T1937" s="20"/>
    </row>
    <row r="1938">
      <c r="A1938" s="27" t="s">
        <v>102</v>
      </c>
      <c r="B1938" s="28" t="s">
        <v>1610</v>
      </c>
      <c r="C1938" s="29"/>
      <c r="D1938" s="29" t="s">
        <v>1611</v>
      </c>
      <c r="E1938" s="70">
        <v>43040.0</v>
      </c>
      <c r="F1938" s="30">
        <v>43069.0</v>
      </c>
      <c r="G1938" s="32">
        <f t="shared" si="2"/>
        <v>0.9666666667</v>
      </c>
      <c r="H1938" s="33"/>
      <c r="I1938" s="32">
        <f t="shared" si="3"/>
        <v>-7.955555556</v>
      </c>
      <c r="J1938" s="34"/>
      <c r="K1938" s="34"/>
      <c r="L1938" s="35"/>
      <c r="M1938" s="35"/>
      <c r="N1938" s="35"/>
      <c r="O1938" s="35"/>
      <c r="P1938" s="36"/>
      <c r="Q1938" s="35"/>
      <c r="R1938" s="29"/>
      <c r="S1938" s="33"/>
      <c r="T1938" s="32"/>
    </row>
    <row r="1939">
      <c r="A1939" s="15" t="s">
        <v>2742</v>
      </c>
      <c r="B1939" s="16" t="s">
        <v>1859</v>
      </c>
      <c r="C1939" s="17"/>
      <c r="D1939" s="17" t="s">
        <v>1860</v>
      </c>
      <c r="E1939" s="76">
        <v>43040.0</v>
      </c>
      <c r="F1939" s="62">
        <v>43054.0</v>
      </c>
      <c r="G1939" s="20">
        <f t="shared" si="2"/>
        <v>0.4666666667</v>
      </c>
      <c r="H1939" s="18"/>
      <c r="I1939" s="20">
        <f t="shared" si="3"/>
        <v>-7.955555556</v>
      </c>
      <c r="J1939" s="53"/>
      <c r="K1939" s="53"/>
      <c r="L1939" s="23"/>
      <c r="M1939" s="23"/>
      <c r="N1939" s="23" t="s">
        <v>1612</v>
      </c>
      <c r="O1939" s="23"/>
      <c r="P1939" s="54"/>
      <c r="Q1939" s="23"/>
      <c r="R1939" s="17"/>
      <c r="S1939" s="18"/>
      <c r="T1939" s="20"/>
    </row>
    <row r="1940">
      <c r="A1940" s="27" t="s">
        <v>2318</v>
      </c>
      <c r="B1940" s="28" t="s">
        <v>1610</v>
      </c>
      <c r="C1940" s="29"/>
      <c r="D1940" s="29" t="s">
        <v>1611</v>
      </c>
      <c r="E1940" s="70">
        <v>43024.0</v>
      </c>
      <c r="F1940" s="30">
        <v>43054.0</v>
      </c>
      <c r="G1940" s="32">
        <f t="shared" si="2"/>
        <v>0.9666666667</v>
      </c>
      <c r="H1940" s="33"/>
      <c r="I1940" s="32">
        <f t="shared" si="3"/>
        <v>-7.997222222</v>
      </c>
      <c r="J1940" s="34"/>
      <c r="K1940" s="34"/>
      <c r="L1940" s="35"/>
      <c r="M1940" s="35"/>
      <c r="N1940" s="35"/>
      <c r="O1940" s="35"/>
      <c r="P1940" s="36"/>
      <c r="Q1940" s="35"/>
      <c r="R1940" s="29"/>
      <c r="S1940" s="33"/>
      <c r="T1940" s="32"/>
    </row>
    <row r="1941">
      <c r="A1941" s="15" t="s">
        <v>916</v>
      </c>
      <c r="B1941" s="16" t="s">
        <v>1859</v>
      </c>
      <c r="C1941" s="17"/>
      <c r="D1941" s="17" t="s">
        <v>1860</v>
      </c>
      <c r="E1941" s="76">
        <v>43024.0</v>
      </c>
      <c r="F1941" s="62">
        <v>43039.0</v>
      </c>
      <c r="G1941" s="20">
        <f t="shared" si="2"/>
        <v>0.4666666667</v>
      </c>
      <c r="H1941" s="18"/>
      <c r="I1941" s="20">
        <f t="shared" si="3"/>
        <v>-7.997222222</v>
      </c>
      <c r="J1941" s="53"/>
      <c r="K1941" s="53"/>
      <c r="L1941" s="23"/>
      <c r="M1941" s="23"/>
      <c r="N1941" s="23" t="s">
        <v>1612</v>
      </c>
      <c r="O1941" s="23"/>
      <c r="P1941" s="54"/>
      <c r="Q1941" s="23"/>
      <c r="R1941" s="17"/>
      <c r="S1941" s="18"/>
      <c r="T1941" s="20"/>
    </row>
    <row r="1942">
      <c r="A1942" s="27" t="s">
        <v>2743</v>
      </c>
      <c r="B1942" s="28" t="s">
        <v>1610</v>
      </c>
      <c r="C1942" s="29"/>
      <c r="D1942" s="29" t="s">
        <v>1611</v>
      </c>
      <c r="E1942" s="70">
        <v>43009.0</v>
      </c>
      <c r="F1942" s="30">
        <v>43039.0</v>
      </c>
      <c r="G1942" s="32">
        <f t="shared" si="2"/>
        <v>0.9666666667</v>
      </c>
      <c r="H1942" s="33"/>
      <c r="I1942" s="32">
        <f t="shared" si="3"/>
        <v>-8.038888889</v>
      </c>
      <c r="J1942" s="34"/>
      <c r="K1942" s="34"/>
      <c r="L1942" s="35"/>
      <c r="M1942" s="35"/>
      <c r="N1942" s="35"/>
      <c r="O1942" s="35"/>
      <c r="P1942" s="36"/>
      <c r="Q1942" s="35"/>
      <c r="R1942" s="29"/>
      <c r="S1942" s="33"/>
      <c r="T1942" s="32"/>
    </row>
    <row r="1943">
      <c r="A1943" s="15" t="s">
        <v>2744</v>
      </c>
      <c r="B1943" s="16" t="s">
        <v>1859</v>
      </c>
      <c r="C1943" s="17"/>
      <c r="D1943" s="17" t="s">
        <v>1860</v>
      </c>
      <c r="E1943" s="76">
        <v>43009.0</v>
      </c>
      <c r="F1943" s="62">
        <v>43023.0</v>
      </c>
      <c r="G1943" s="20">
        <f t="shared" si="2"/>
        <v>0.4666666667</v>
      </c>
      <c r="H1943" s="18"/>
      <c r="I1943" s="20">
        <f t="shared" si="3"/>
        <v>-8.038888889</v>
      </c>
      <c r="J1943" s="53"/>
      <c r="K1943" s="53"/>
      <c r="L1943" s="23"/>
      <c r="M1943" s="23"/>
      <c r="N1943" s="23" t="s">
        <v>1612</v>
      </c>
      <c r="O1943" s="23"/>
      <c r="P1943" s="54"/>
      <c r="Q1943" s="23"/>
      <c r="R1943" s="17"/>
      <c r="S1943" s="18"/>
      <c r="T1943" s="20"/>
    </row>
    <row r="1944">
      <c r="A1944" s="27" t="s">
        <v>2095</v>
      </c>
      <c r="B1944" s="28" t="s">
        <v>1610</v>
      </c>
      <c r="C1944" s="29"/>
      <c r="D1944" s="29" t="s">
        <v>1611</v>
      </c>
      <c r="E1944" s="70">
        <v>42994.0</v>
      </c>
      <c r="F1944" s="30">
        <v>43023.0</v>
      </c>
      <c r="G1944" s="32">
        <f t="shared" si="2"/>
        <v>0.9666666667</v>
      </c>
      <c r="H1944" s="33"/>
      <c r="I1944" s="32">
        <f t="shared" si="3"/>
        <v>-8.080555556</v>
      </c>
      <c r="J1944" s="34"/>
      <c r="K1944" s="34"/>
      <c r="L1944" s="35"/>
      <c r="M1944" s="35"/>
      <c r="N1944" s="35"/>
      <c r="O1944" s="35"/>
      <c r="P1944" s="36"/>
      <c r="Q1944" s="35"/>
      <c r="R1944" s="29"/>
      <c r="S1944" s="33"/>
      <c r="T1944" s="32"/>
    </row>
    <row r="1945">
      <c r="A1945" s="15" t="s">
        <v>2745</v>
      </c>
      <c r="B1945" s="16" t="s">
        <v>1859</v>
      </c>
      <c r="C1945" s="17"/>
      <c r="D1945" s="17" t="s">
        <v>1860</v>
      </c>
      <c r="E1945" s="76">
        <v>42994.0</v>
      </c>
      <c r="F1945" s="62">
        <v>43008.0</v>
      </c>
      <c r="G1945" s="20">
        <f t="shared" si="2"/>
        <v>0.4666666667</v>
      </c>
      <c r="H1945" s="18"/>
      <c r="I1945" s="20">
        <f t="shared" si="3"/>
        <v>-8.080555556</v>
      </c>
      <c r="J1945" s="53"/>
      <c r="K1945" s="53"/>
      <c r="L1945" s="23"/>
      <c r="M1945" s="23"/>
      <c r="N1945" s="23" t="s">
        <v>1612</v>
      </c>
      <c r="O1945" s="23"/>
      <c r="P1945" s="54"/>
      <c r="Q1945" s="23"/>
      <c r="R1945" s="17"/>
      <c r="S1945" s="18"/>
      <c r="T1945" s="20"/>
    </row>
    <row r="1946">
      <c r="A1946" s="27" t="s">
        <v>2746</v>
      </c>
      <c r="B1946" s="28" t="s">
        <v>1610</v>
      </c>
      <c r="C1946" s="29"/>
      <c r="D1946" s="29" t="s">
        <v>1611</v>
      </c>
      <c r="E1946" s="70">
        <v>42979.0</v>
      </c>
      <c r="F1946" s="30">
        <v>43008.0</v>
      </c>
      <c r="G1946" s="32">
        <f t="shared" si="2"/>
        <v>0.9666666667</v>
      </c>
      <c r="H1946" s="33"/>
      <c r="I1946" s="32">
        <f t="shared" si="3"/>
        <v>-8.122222222</v>
      </c>
      <c r="J1946" s="34"/>
      <c r="K1946" s="34"/>
      <c r="L1946" s="35"/>
      <c r="M1946" s="35"/>
      <c r="N1946" s="35"/>
      <c r="O1946" s="35"/>
      <c r="P1946" s="36"/>
      <c r="Q1946" s="35"/>
      <c r="R1946" s="29"/>
      <c r="S1946" s="33"/>
      <c r="T1946" s="32"/>
    </row>
    <row r="1947">
      <c r="A1947" s="15" t="s">
        <v>2747</v>
      </c>
      <c r="B1947" s="16" t="s">
        <v>1859</v>
      </c>
      <c r="C1947" s="17"/>
      <c r="D1947" s="17" t="s">
        <v>1860</v>
      </c>
      <c r="E1947" s="76">
        <v>42979.0</v>
      </c>
      <c r="F1947" s="62">
        <v>42993.0</v>
      </c>
      <c r="G1947" s="20">
        <f t="shared" si="2"/>
        <v>0.4666666667</v>
      </c>
      <c r="H1947" s="18"/>
      <c r="I1947" s="20">
        <f t="shared" si="3"/>
        <v>-8.122222222</v>
      </c>
      <c r="J1947" s="53"/>
      <c r="K1947" s="53"/>
      <c r="L1947" s="23"/>
      <c r="M1947" s="23"/>
      <c r="N1947" s="23" t="s">
        <v>1612</v>
      </c>
      <c r="O1947" s="23"/>
      <c r="P1947" s="54"/>
      <c r="Q1947" s="23"/>
      <c r="R1947" s="17"/>
      <c r="S1947" s="18"/>
      <c r="T1947" s="20"/>
    </row>
    <row r="1948">
      <c r="A1948" s="27" t="s">
        <v>104</v>
      </c>
      <c r="B1948" s="28" t="s">
        <v>1610</v>
      </c>
      <c r="C1948" s="29"/>
      <c r="D1948" s="29" t="s">
        <v>1611</v>
      </c>
      <c r="E1948" s="70">
        <v>42963.0</v>
      </c>
      <c r="F1948" s="30">
        <v>42993.0</v>
      </c>
      <c r="G1948" s="32">
        <f t="shared" si="2"/>
        <v>0.9666666667</v>
      </c>
      <c r="H1948" s="33"/>
      <c r="I1948" s="32">
        <f t="shared" si="3"/>
        <v>-8.163888889</v>
      </c>
      <c r="J1948" s="34"/>
      <c r="K1948" s="34"/>
      <c r="L1948" s="35"/>
      <c r="M1948" s="35"/>
      <c r="N1948" s="35"/>
      <c r="O1948" s="35"/>
      <c r="P1948" s="36"/>
      <c r="Q1948" s="35"/>
      <c r="R1948" s="29"/>
      <c r="S1948" s="33"/>
      <c r="T1948" s="32"/>
    </row>
    <row r="1949">
      <c r="A1949" s="15" t="s">
        <v>2748</v>
      </c>
      <c r="B1949" s="16" t="s">
        <v>1859</v>
      </c>
      <c r="C1949" s="17"/>
      <c r="D1949" s="17" t="s">
        <v>1860</v>
      </c>
      <c r="E1949" s="76">
        <v>42963.0</v>
      </c>
      <c r="F1949" s="62">
        <v>42978.0</v>
      </c>
      <c r="G1949" s="20">
        <f t="shared" si="2"/>
        <v>0.4666666667</v>
      </c>
      <c r="H1949" s="18"/>
      <c r="I1949" s="20">
        <f t="shared" si="3"/>
        <v>-8.163888889</v>
      </c>
      <c r="J1949" s="53"/>
      <c r="K1949" s="53"/>
      <c r="L1949" s="23"/>
      <c r="M1949" s="23"/>
      <c r="N1949" s="23" t="s">
        <v>1612</v>
      </c>
      <c r="O1949" s="23"/>
      <c r="P1949" s="54"/>
      <c r="Q1949" s="23"/>
      <c r="R1949" s="17"/>
      <c r="S1949" s="18"/>
      <c r="T1949" s="20"/>
    </row>
    <row r="1950">
      <c r="A1950" s="27" t="s">
        <v>1877</v>
      </c>
      <c r="B1950" s="28" t="s">
        <v>1610</v>
      </c>
      <c r="C1950" s="29"/>
      <c r="D1950" s="29" t="s">
        <v>1611</v>
      </c>
      <c r="E1950" s="70">
        <v>42948.0</v>
      </c>
      <c r="F1950" s="30">
        <v>42978.0</v>
      </c>
      <c r="G1950" s="32">
        <f t="shared" si="2"/>
        <v>0.9666666667</v>
      </c>
      <c r="H1950" s="33"/>
      <c r="I1950" s="32">
        <f t="shared" si="3"/>
        <v>-8.205555556</v>
      </c>
      <c r="J1950" s="34"/>
      <c r="K1950" s="34"/>
      <c r="L1950" s="35"/>
      <c r="M1950" s="35"/>
      <c r="N1950" s="35" t="s">
        <v>1612</v>
      </c>
      <c r="O1950" s="35"/>
      <c r="P1950" s="36"/>
      <c r="Q1950" s="35"/>
      <c r="R1950" s="29"/>
      <c r="S1950" s="33"/>
      <c r="T1950" s="32"/>
    </row>
    <row r="1951">
      <c r="A1951" s="15" t="s">
        <v>2636</v>
      </c>
      <c r="B1951" s="16" t="s">
        <v>1859</v>
      </c>
      <c r="C1951" s="17"/>
      <c r="D1951" s="17" t="s">
        <v>1860</v>
      </c>
      <c r="E1951" s="76">
        <v>42948.0</v>
      </c>
      <c r="F1951" s="62">
        <v>42962.0</v>
      </c>
      <c r="G1951" s="20">
        <f t="shared" si="2"/>
        <v>0.4666666667</v>
      </c>
      <c r="H1951" s="18"/>
      <c r="I1951" s="20">
        <f t="shared" si="3"/>
        <v>-8.205555556</v>
      </c>
      <c r="J1951" s="53"/>
      <c r="K1951" s="53"/>
      <c r="L1951" s="23"/>
      <c r="M1951" s="23"/>
      <c r="N1951" s="23" t="s">
        <v>1612</v>
      </c>
      <c r="O1951" s="23"/>
      <c r="P1951" s="54"/>
      <c r="Q1951" s="23"/>
      <c r="R1951" s="17"/>
      <c r="S1951" s="18"/>
      <c r="T1951" s="20"/>
    </row>
    <row r="1952">
      <c r="A1952" s="27" t="s">
        <v>2749</v>
      </c>
      <c r="B1952" s="28" t="s">
        <v>1610</v>
      </c>
      <c r="C1952" s="29"/>
      <c r="D1952" s="29" t="s">
        <v>1611</v>
      </c>
      <c r="E1952" s="70">
        <v>42932.0</v>
      </c>
      <c r="F1952" s="30">
        <v>42962.0</v>
      </c>
      <c r="G1952" s="32">
        <f t="shared" si="2"/>
        <v>0.9666666667</v>
      </c>
      <c r="H1952" s="33"/>
      <c r="I1952" s="32">
        <f t="shared" si="3"/>
        <v>-8.247222222</v>
      </c>
      <c r="J1952" s="34"/>
      <c r="K1952" s="34"/>
      <c r="L1952" s="35"/>
      <c r="M1952" s="35"/>
      <c r="N1952" s="35"/>
      <c r="O1952" s="35"/>
      <c r="P1952" s="36"/>
      <c r="Q1952" s="35"/>
      <c r="R1952" s="29"/>
      <c r="S1952" s="33"/>
      <c r="T1952" s="32"/>
    </row>
    <row r="1953">
      <c r="A1953" s="15" t="s">
        <v>2750</v>
      </c>
      <c r="B1953" s="16" t="s">
        <v>68</v>
      </c>
      <c r="C1953" s="17"/>
      <c r="D1953" s="17" t="str">
        <f>IF(E1953&gt;TODAY(),"Coming Soon",IF(F1953="","Active",IF(F1953&gt;TODAY(),"Leaving Soon","Removed")))</f>
        <v>Removed</v>
      </c>
      <c r="E1953" s="76">
        <v>42887.0</v>
      </c>
      <c r="F1953" s="62">
        <v>42962.0</v>
      </c>
      <c r="G1953" s="20">
        <f t="shared" si="2"/>
        <v>2.466666667</v>
      </c>
      <c r="H1953" s="18">
        <v>41443.0</v>
      </c>
      <c r="I1953" s="20">
        <f t="shared" si="3"/>
        <v>3.952777778</v>
      </c>
      <c r="J1953" s="53">
        <v>77.0</v>
      </c>
      <c r="K1953" s="53">
        <v>2.0</v>
      </c>
      <c r="L1953" s="23" t="s">
        <v>2751</v>
      </c>
      <c r="M1953" s="23"/>
      <c r="N1953" s="23"/>
      <c r="O1953" s="23"/>
      <c r="P1953" s="54"/>
      <c r="Q1953" s="23"/>
      <c r="R1953" s="17"/>
      <c r="S1953" s="18"/>
      <c r="T1953" s="20"/>
    </row>
    <row r="1954">
      <c r="A1954" s="27" t="s">
        <v>2752</v>
      </c>
      <c r="B1954" s="28" t="s">
        <v>1859</v>
      </c>
      <c r="C1954" s="29"/>
      <c r="D1954" s="29" t="s">
        <v>1860</v>
      </c>
      <c r="E1954" s="70">
        <v>42932.0</v>
      </c>
      <c r="F1954" s="30">
        <v>42947.0</v>
      </c>
      <c r="G1954" s="32">
        <f t="shared" si="2"/>
        <v>0.4666666667</v>
      </c>
      <c r="H1954" s="33"/>
      <c r="I1954" s="32">
        <f t="shared" si="3"/>
        <v>-8.247222222</v>
      </c>
      <c r="J1954" s="34"/>
      <c r="K1954" s="34"/>
      <c r="L1954" s="35"/>
      <c r="M1954" s="35"/>
      <c r="N1954" s="35" t="s">
        <v>1612</v>
      </c>
      <c r="O1954" s="35"/>
      <c r="P1954" s="36"/>
      <c r="Q1954" s="35"/>
      <c r="R1954" s="29"/>
      <c r="S1954" s="33"/>
      <c r="T1954" s="32"/>
    </row>
    <row r="1955">
      <c r="A1955" s="15" t="s">
        <v>2753</v>
      </c>
      <c r="B1955" s="16" t="s">
        <v>1610</v>
      </c>
      <c r="C1955" s="17"/>
      <c r="D1955" s="17" t="s">
        <v>1611</v>
      </c>
      <c r="E1955" s="76">
        <v>42917.0</v>
      </c>
      <c r="F1955" s="62">
        <v>42947.0</v>
      </c>
      <c r="G1955" s="20">
        <f t="shared" si="2"/>
        <v>0.9666666667</v>
      </c>
      <c r="H1955" s="18"/>
      <c r="I1955" s="20">
        <f t="shared" si="3"/>
        <v>-8.288888889</v>
      </c>
      <c r="J1955" s="53"/>
      <c r="K1955" s="53"/>
      <c r="L1955" s="23"/>
      <c r="M1955" s="23"/>
      <c r="N1955" s="23"/>
      <c r="O1955" s="23"/>
      <c r="P1955" s="54"/>
      <c r="Q1955" s="23"/>
      <c r="R1955" s="17"/>
      <c r="S1955" s="18"/>
      <c r="T1955" s="20"/>
    </row>
    <row r="1956">
      <c r="A1956" s="27" t="s">
        <v>2754</v>
      </c>
      <c r="B1956" s="28" t="s">
        <v>1859</v>
      </c>
      <c r="C1956" s="29"/>
      <c r="D1956" s="29" t="s">
        <v>1860</v>
      </c>
      <c r="E1956" s="70">
        <v>42917.0</v>
      </c>
      <c r="F1956" s="30">
        <v>42931.0</v>
      </c>
      <c r="G1956" s="32">
        <f t="shared" si="2"/>
        <v>0.4666666667</v>
      </c>
      <c r="H1956" s="33"/>
      <c r="I1956" s="32">
        <f t="shared" si="3"/>
        <v>-8.288888889</v>
      </c>
      <c r="J1956" s="34"/>
      <c r="K1956" s="34"/>
      <c r="L1956" s="35"/>
      <c r="M1956" s="35"/>
      <c r="N1956" s="35" t="s">
        <v>1612</v>
      </c>
      <c r="O1956" s="35"/>
      <c r="P1956" s="36"/>
      <c r="Q1956" s="35"/>
      <c r="R1956" s="29"/>
      <c r="S1956" s="33"/>
      <c r="T1956" s="32"/>
    </row>
    <row r="1957">
      <c r="A1957" s="15" t="s">
        <v>2755</v>
      </c>
      <c r="B1957" s="16" t="s">
        <v>1610</v>
      </c>
      <c r="C1957" s="17"/>
      <c r="D1957" s="17" t="s">
        <v>1611</v>
      </c>
      <c r="E1957" s="76">
        <v>42902.0</v>
      </c>
      <c r="F1957" s="62">
        <v>42931.0</v>
      </c>
      <c r="G1957" s="20">
        <f t="shared" si="2"/>
        <v>0.9666666667</v>
      </c>
      <c r="H1957" s="18"/>
      <c r="I1957" s="20">
        <f t="shared" si="3"/>
        <v>-8.330555556</v>
      </c>
      <c r="J1957" s="53"/>
      <c r="K1957" s="53"/>
      <c r="L1957" s="23"/>
      <c r="M1957" s="23"/>
      <c r="N1957" s="23"/>
      <c r="O1957" s="23"/>
      <c r="P1957" s="54"/>
      <c r="Q1957" s="23"/>
      <c r="R1957" s="17"/>
      <c r="S1957" s="18"/>
      <c r="T1957" s="20"/>
    </row>
    <row r="1958">
      <c r="A1958" s="27" t="s">
        <v>2756</v>
      </c>
      <c r="B1958" s="28" t="s">
        <v>1859</v>
      </c>
      <c r="C1958" s="29"/>
      <c r="D1958" s="29" t="s">
        <v>1860</v>
      </c>
      <c r="E1958" s="70">
        <v>42902.0</v>
      </c>
      <c r="F1958" s="30">
        <v>42916.0</v>
      </c>
      <c r="G1958" s="32">
        <f t="shared" si="2"/>
        <v>0.4666666667</v>
      </c>
      <c r="H1958" s="33"/>
      <c r="I1958" s="32">
        <f t="shared" si="3"/>
        <v>-8.330555556</v>
      </c>
      <c r="J1958" s="34"/>
      <c r="K1958" s="34"/>
      <c r="L1958" s="35"/>
      <c r="M1958" s="35"/>
      <c r="N1958" s="35" t="s">
        <v>1612</v>
      </c>
      <c r="O1958" s="35"/>
      <c r="P1958" s="36"/>
      <c r="Q1958" s="35"/>
      <c r="R1958" s="29"/>
      <c r="S1958" s="33"/>
      <c r="T1958" s="32"/>
    </row>
    <row r="1959">
      <c r="A1959" s="15" t="s">
        <v>2757</v>
      </c>
      <c r="B1959" s="16" t="s">
        <v>1610</v>
      </c>
      <c r="C1959" s="17"/>
      <c r="D1959" s="17" t="s">
        <v>1611</v>
      </c>
      <c r="E1959" s="76">
        <v>42887.0</v>
      </c>
      <c r="F1959" s="62">
        <v>42916.0</v>
      </c>
      <c r="G1959" s="20">
        <f t="shared" si="2"/>
        <v>0.9666666667</v>
      </c>
      <c r="H1959" s="18"/>
      <c r="I1959" s="20">
        <f t="shared" si="3"/>
        <v>-8.372222222</v>
      </c>
      <c r="J1959" s="53"/>
      <c r="K1959" s="53"/>
      <c r="L1959" s="23"/>
      <c r="M1959" s="23"/>
      <c r="N1959" s="23"/>
      <c r="O1959" s="23"/>
      <c r="P1959" s="54"/>
      <c r="Q1959" s="23"/>
      <c r="R1959" s="17"/>
      <c r="S1959" s="18"/>
      <c r="T1959" s="20"/>
    </row>
    <row r="1960">
      <c r="A1960" s="27" t="s">
        <v>2758</v>
      </c>
      <c r="B1960" s="28" t="s">
        <v>1859</v>
      </c>
      <c r="C1960" s="29"/>
      <c r="D1960" s="29" t="s">
        <v>1860</v>
      </c>
      <c r="E1960" s="70">
        <v>42887.0</v>
      </c>
      <c r="F1960" s="30">
        <v>42901.0</v>
      </c>
      <c r="G1960" s="32">
        <f t="shared" si="2"/>
        <v>0.4666666667</v>
      </c>
      <c r="H1960" s="33"/>
      <c r="I1960" s="32">
        <f t="shared" si="3"/>
        <v>-8.372222222</v>
      </c>
      <c r="J1960" s="34"/>
      <c r="K1960" s="34"/>
      <c r="L1960" s="35"/>
      <c r="M1960" s="35"/>
      <c r="N1960" s="35" t="s">
        <v>1612</v>
      </c>
      <c r="O1960" s="35"/>
      <c r="P1960" s="36"/>
      <c r="Q1960" s="35"/>
      <c r="R1960" s="29"/>
      <c r="S1960" s="33"/>
      <c r="T1960" s="32"/>
    </row>
    <row r="1961">
      <c r="A1961" s="15" t="s">
        <v>2759</v>
      </c>
      <c r="B1961" s="16" t="s">
        <v>1610</v>
      </c>
      <c r="C1961" s="17"/>
      <c r="D1961" s="17" t="s">
        <v>1611</v>
      </c>
      <c r="E1961" s="76">
        <v>42871.0</v>
      </c>
      <c r="F1961" s="62">
        <v>42901.0</v>
      </c>
      <c r="G1961" s="20">
        <f t="shared" si="2"/>
        <v>0.9666666667</v>
      </c>
      <c r="H1961" s="18"/>
      <c r="I1961" s="20">
        <f t="shared" si="3"/>
        <v>-8.413888889</v>
      </c>
      <c r="J1961" s="53"/>
      <c r="K1961" s="53"/>
      <c r="L1961" s="23"/>
      <c r="M1961" s="23"/>
      <c r="N1961" s="23"/>
      <c r="O1961" s="23"/>
      <c r="P1961" s="54"/>
      <c r="Q1961" s="23"/>
      <c r="R1961" s="17"/>
      <c r="S1961" s="18"/>
      <c r="T1961" s="20"/>
    </row>
    <row r="1962">
      <c r="A1962" s="27" t="s">
        <v>2760</v>
      </c>
      <c r="B1962" s="28" t="s">
        <v>1859</v>
      </c>
      <c r="C1962" s="29"/>
      <c r="D1962" s="29" t="s">
        <v>1860</v>
      </c>
      <c r="E1962" s="70">
        <v>42871.0</v>
      </c>
      <c r="F1962" s="30">
        <v>42886.0</v>
      </c>
      <c r="G1962" s="32">
        <f t="shared" si="2"/>
        <v>0.4666666667</v>
      </c>
      <c r="H1962" s="33"/>
      <c r="I1962" s="32">
        <f t="shared" si="3"/>
        <v>-8.413888889</v>
      </c>
      <c r="J1962" s="34"/>
      <c r="K1962" s="34"/>
      <c r="L1962" s="35"/>
      <c r="M1962" s="35"/>
      <c r="N1962" s="35" t="s">
        <v>1612</v>
      </c>
      <c r="O1962" s="35"/>
      <c r="P1962" s="36"/>
      <c r="Q1962" s="35"/>
      <c r="R1962" s="29"/>
      <c r="S1962" s="33"/>
      <c r="T1962" s="32"/>
    </row>
    <row r="1963">
      <c r="A1963" s="15" t="s">
        <v>2761</v>
      </c>
      <c r="B1963" s="16" t="s">
        <v>1610</v>
      </c>
      <c r="C1963" s="17"/>
      <c r="D1963" s="17" t="s">
        <v>1611</v>
      </c>
      <c r="E1963" s="76">
        <v>42856.0</v>
      </c>
      <c r="F1963" s="62">
        <v>42886.0</v>
      </c>
      <c r="G1963" s="20">
        <f t="shared" si="2"/>
        <v>0.9666666667</v>
      </c>
      <c r="H1963" s="18"/>
      <c r="I1963" s="20">
        <f t="shared" si="3"/>
        <v>-8.455555556</v>
      </c>
      <c r="J1963" s="53"/>
      <c r="K1963" s="53"/>
      <c r="L1963" s="23"/>
      <c r="M1963" s="23"/>
      <c r="N1963" s="23"/>
      <c r="O1963" s="23"/>
      <c r="P1963" s="54"/>
      <c r="Q1963" s="23"/>
      <c r="R1963" s="17"/>
      <c r="S1963" s="18"/>
      <c r="T1963" s="20"/>
    </row>
    <row r="1964">
      <c r="A1964" s="27" t="s">
        <v>2581</v>
      </c>
      <c r="B1964" s="28" t="s">
        <v>1859</v>
      </c>
      <c r="C1964" s="29"/>
      <c r="D1964" s="29" t="s">
        <v>1860</v>
      </c>
      <c r="E1964" s="70">
        <v>42856.0</v>
      </c>
      <c r="F1964" s="30">
        <v>42870.0</v>
      </c>
      <c r="G1964" s="32">
        <f t="shared" si="2"/>
        <v>0.4666666667</v>
      </c>
      <c r="H1964" s="33"/>
      <c r="I1964" s="32">
        <f t="shared" si="3"/>
        <v>-8.455555556</v>
      </c>
      <c r="J1964" s="34"/>
      <c r="K1964" s="34"/>
      <c r="L1964" s="35"/>
      <c r="M1964" s="35"/>
      <c r="N1964" s="35" t="s">
        <v>1612</v>
      </c>
      <c r="O1964" s="35"/>
      <c r="P1964" s="36"/>
      <c r="Q1964" s="35"/>
      <c r="R1964" s="29"/>
      <c r="S1964" s="33"/>
      <c r="T1964" s="32"/>
    </row>
    <row r="1965">
      <c r="A1965" s="15" t="s">
        <v>1104</v>
      </c>
      <c r="B1965" s="16" t="s">
        <v>1610</v>
      </c>
      <c r="C1965" s="17"/>
      <c r="D1965" s="17" t="s">
        <v>1611</v>
      </c>
      <c r="E1965" s="76">
        <v>42841.0</v>
      </c>
      <c r="F1965" s="62">
        <v>42870.0</v>
      </c>
      <c r="G1965" s="20">
        <f t="shared" si="2"/>
        <v>0.9666666667</v>
      </c>
      <c r="H1965" s="18"/>
      <c r="I1965" s="20">
        <f t="shared" si="3"/>
        <v>-8.497222222</v>
      </c>
      <c r="J1965" s="53"/>
      <c r="K1965" s="53"/>
      <c r="L1965" s="23"/>
      <c r="M1965" s="23"/>
      <c r="N1965" s="23"/>
      <c r="O1965" s="23"/>
      <c r="P1965" s="54"/>
      <c r="Q1965" s="23"/>
      <c r="R1965" s="17"/>
      <c r="S1965" s="18"/>
      <c r="T1965" s="20"/>
    </row>
    <row r="1966">
      <c r="A1966" s="27" t="s">
        <v>64</v>
      </c>
      <c r="B1966" s="28" t="s">
        <v>1859</v>
      </c>
      <c r="C1966" s="29"/>
      <c r="D1966" s="29" t="s">
        <v>1860</v>
      </c>
      <c r="E1966" s="70">
        <v>42841.0</v>
      </c>
      <c r="F1966" s="30">
        <v>42855.0</v>
      </c>
      <c r="G1966" s="32">
        <f t="shared" si="2"/>
        <v>0.4666666667</v>
      </c>
      <c r="H1966" s="33"/>
      <c r="I1966" s="32">
        <f t="shared" si="3"/>
        <v>-8.497222222</v>
      </c>
      <c r="J1966" s="34"/>
      <c r="K1966" s="34"/>
      <c r="L1966" s="35"/>
      <c r="M1966" s="35"/>
      <c r="N1966" s="35" t="s">
        <v>1612</v>
      </c>
      <c r="O1966" s="35"/>
      <c r="P1966" s="36"/>
      <c r="Q1966" s="35"/>
      <c r="R1966" s="29"/>
      <c r="S1966" s="33"/>
      <c r="T1966" s="32"/>
    </row>
    <row r="1967">
      <c r="A1967" s="15" t="s">
        <v>1120</v>
      </c>
      <c r="B1967" s="16" t="s">
        <v>1610</v>
      </c>
      <c r="C1967" s="17"/>
      <c r="D1967" s="17" t="s">
        <v>1611</v>
      </c>
      <c r="E1967" s="76">
        <v>42826.0</v>
      </c>
      <c r="F1967" s="62">
        <v>42855.0</v>
      </c>
      <c r="G1967" s="20">
        <f t="shared" si="2"/>
        <v>0.9666666667</v>
      </c>
      <c r="H1967" s="18"/>
      <c r="I1967" s="20">
        <f t="shared" si="3"/>
        <v>-8.538888889</v>
      </c>
      <c r="J1967" s="53"/>
      <c r="K1967" s="53"/>
      <c r="L1967" s="23"/>
      <c r="M1967" s="23"/>
      <c r="N1967" s="23"/>
      <c r="O1967" s="23"/>
      <c r="P1967" s="54"/>
      <c r="Q1967" s="23"/>
      <c r="R1967" s="17"/>
      <c r="S1967" s="18"/>
      <c r="T1967" s="20"/>
    </row>
    <row r="1968">
      <c r="A1968" s="27" t="s">
        <v>2762</v>
      </c>
      <c r="B1968" s="28" t="s">
        <v>1859</v>
      </c>
      <c r="C1968" s="29"/>
      <c r="D1968" s="29" t="s">
        <v>1860</v>
      </c>
      <c r="E1968" s="70">
        <v>42826.0</v>
      </c>
      <c r="F1968" s="30">
        <v>42840.0</v>
      </c>
      <c r="G1968" s="32">
        <f t="shared" si="2"/>
        <v>0.4666666667</v>
      </c>
      <c r="H1968" s="33"/>
      <c r="I1968" s="32">
        <f t="shared" si="3"/>
        <v>-8.538888889</v>
      </c>
      <c r="J1968" s="34"/>
      <c r="K1968" s="34"/>
      <c r="L1968" s="35"/>
      <c r="M1968" s="35" t="s">
        <v>1614</v>
      </c>
      <c r="N1968" s="35" t="s">
        <v>1612</v>
      </c>
      <c r="O1968" s="35"/>
      <c r="P1968" s="36"/>
      <c r="Q1968" s="35"/>
      <c r="R1968" s="29"/>
      <c r="S1968" s="33"/>
      <c r="T1968" s="32"/>
    </row>
    <row r="1969">
      <c r="A1969" s="15" t="s">
        <v>2763</v>
      </c>
      <c r="B1969" s="16" t="s">
        <v>1610</v>
      </c>
      <c r="C1969" s="17"/>
      <c r="D1969" s="17" t="s">
        <v>1611</v>
      </c>
      <c r="E1969" s="76">
        <v>42810.0</v>
      </c>
      <c r="F1969" s="62">
        <v>42840.0</v>
      </c>
      <c r="G1969" s="20">
        <f t="shared" si="2"/>
        <v>0.9666666667</v>
      </c>
      <c r="H1969" s="18"/>
      <c r="I1969" s="20">
        <f t="shared" si="3"/>
        <v>-8.580555556</v>
      </c>
      <c r="J1969" s="53"/>
      <c r="K1969" s="53"/>
      <c r="L1969" s="23"/>
      <c r="M1969" s="23"/>
      <c r="N1969" s="23"/>
      <c r="O1969" s="23"/>
      <c r="P1969" s="54"/>
      <c r="Q1969" s="23"/>
      <c r="R1969" s="17"/>
      <c r="S1969" s="18"/>
      <c r="T1969" s="20"/>
    </row>
    <row r="1970">
      <c r="A1970" s="27" t="s">
        <v>906</v>
      </c>
      <c r="B1970" s="28" t="s">
        <v>1859</v>
      </c>
      <c r="C1970" s="29"/>
      <c r="D1970" s="29" t="s">
        <v>1860</v>
      </c>
      <c r="E1970" s="70">
        <v>42810.0</v>
      </c>
      <c r="F1970" s="30">
        <v>42825.0</v>
      </c>
      <c r="G1970" s="32">
        <f t="shared" si="2"/>
        <v>0.4666666667</v>
      </c>
      <c r="H1970" s="33"/>
      <c r="I1970" s="32">
        <f t="shared" si="3"/>
        <v>-8.580555556</v>
      </c>
      <c r="J1970" s="34"/>
      <c r="K1970" s="34"/>
      <c r="L1970" s="35"/>
      <c r="M1970" s="35"/>
      <c r="N1970" s="35" t="s">
        <v>1612</v>
      </c>
      <c r="O1970" s="35"/>
      <c r="P1970" s="36"/>
      <c r="Q1970" s="35"/>
      <c r="R1970" s="29"/>
      <c r="S1970" s="33"/>
      <c r="T1970" s="32"/>
    </row>
    <row r="1971">
      <c r="A1971" s="15" t="s">
        <v>2588</v>
      </c>
      <c r="B1971" s="16" t="s">
        <v>1610</v>
      </c>
      <c r="C1971" s="17"/>
      <c r="D1971" s="17" t="s">
        <v>1611</v>
      </c>
      <c r="E1971" s="76">
        <v>42795.0</v>
      </c>
      <c r="F1971" s="62">
        <v>42825.0</v>
      </c>
      <c r="G1971" s="20">
        <f t="shared" si="2"/>
        <v>0.9666666667</v>
      </c>
      <c r="H1971" s="18"/>
      <c r="I1971" s="20">
        <f t="shared" si="3"/>
        <v>-8.622222222</v>
      </c>
      <c r="J1971" s="53"/>
      <c r="K1971" s="53"/>
      <c r="L1971" s="23"/>
      <c r="M1971" s="23"/>
      <c r="N1971" s="23"/>
      <c r="O1971" s="23"/>
      <c r="P1971" s="54"/>
      <c r="Q1971" s="23"/>
      <c r="R1971" s="17"/>
      <c r="S1971" s="18"/>
      <c r="T1971" s="20"/>
    </row>
    <row r="1972">
      <c r="A1972" s="27" t="s">
        <v>2443</v>
      </c>
      <c r="B1972" s="28" t="s">
        <v>1859</v>
      </c>
      <c r="C1972" s="29"/>
      <c r="D1972" s="29" t="s">
        <v>1860</v>
      </c>
      <c r="E1972" s="70">
        <v>42795.0</v>
      </c>
      <c r="F1972" s="30">
        <v>42809.0</v>
      </c>
      <c r="G1972" s="32">
        <f t="shared" si="2"/>
        <v>0.4666666667</v>
      </c>
      <c r="H1972" s="33"/>
      <c r="I1972" s="32">
        <f t="shared" si="3"/>
        <v>-8.622222222</v>
      </c>
      <c r="J1972" s="34"/>
      <c r="K1972" s="34"/>
      <c r="L1972" s="35"/>
      <c r="M1972" s="35"/>
      <c r="N1972" s="35" t="s">
        <v>1612</v>
      </c>
      <c r="O1972" s="35"/>
      <c r="P1972" s="36"/>
      <c r="Q1972" s="35"/>
      <c r="R1972" s="29"/>
      <c r="S1972" s="33"/>
      <c r="T1972" s="32"/>
    </row>
    <row r="1973">
      <c r="A1973" s="15" t="s">
        <v>2764</v>
      </c>
      <c r="B1973" s="16" t="s">
        <v>1610</v>
      </c>
      <c r="C1973" s="17"/>
      <c r="D1973" s="17" t="s">
        <v>1611</v>
      </c>
      <c r="E1973" s="76">
        <v>42782.0</v>
      </c>
      <c r="F1973" s="62">
        <v>42809.0</v>
      </c>
      <c r="G1973" s="20">
        <f t="shared" si="2"/>
        <v>0.9666666667</v>
      </c>
      <c r="H1973" s="18"/>
      <c r="I1973" s="20">
        <f t="shared" si="3"/>
        <v>-8.663888889</v>
      </c>
      <c r="J1973" s="53"/>
      <c r="K1973" s="53"/>
      <c r="L1973" s="23"/>
      <c r="M1973" s="23"/>
      <c r="N1973" s="23"/>
      <c r="O1973" s="23"/>
      <c r="P1973" s="54"/>
      <c r="Q1973" s="23"/>
      <c r="R1973" s="17"/>
      <c r="S1973" s="18"/>
      <c r="T1973" s="20"/>
    </row>
    <row r="1974">
      <c r="A1974" s="27" t="s">
        <v>2580</v>
      </c>
      <c r="B1974" s="28" t="s">
        <v>1859</v>
      </c>
      <c r="C1974" s="29"/>
      <c r="D1974" s="29" t="s">
        <v>1860</v>
      </c>
      <c r="E1974" s="70">
        <v>42782.0</v>
      </c>
      <c r="F1974" s="30">
        <v>42794.0</v>
      </c>
      <c r="G1974" s="32">
        <f t="shared" si="2"/>
        <v>0.4</v>
      </c>
      <c r="H1974" s="33"/>
      <c r="I1974" s="32">
        <f t="shared" si="3"/>
        <v>-8.663888889</v>
      </c>
      <c r="J1974" s="34"/>
      <c r="K1974" s="34"/>
      <c r="L1974" s="35"/>
      <c r="M1974" s="35" t="s">
        <v>1614</v>
      </c>
      <c r="N1974" s="35" t="s">
        <v>1612</v>
      </c>
      <c r="O1974" s="35"/>
      <c r="P1974" s="36"/>
      <c r="Q1974" s="35"/>
      <c r="R1974" s="29"/>
      <c r="S1974" s="33"/>
      <c r="T1974" s="32"/>
    </row>
    <row r="1975">
      <c r="A1975" s="15" t="s">
        <v>2765</v>
      </c>
      <c r="B1975" s="16" t="s">
        <v>1610</v>
      </c>
      <c r="C1975" s="17"/>
      <c r="D1975" s="17" t="s">
        <v>1611</v>
      </c>
      <c r="E1975" s="76">
        <v>42767.0</v>
      </c>
      <c r="F1975" s="62">
        <v>42794.0</v>
      </c>
      <c r="G1975" s="20">
        <f t="shared" si="2"/>
        <v>0.9</v>
      </c>
      <c r="H1975" s="18"/>
      <c r="I1975" s="20">
        <f t="shared" si="3"/>
        <v>-8.705555556</v>
      </c>
      <c r="J1975" s="53"/>
      <c r="K1975" s="53"/>
      <c r="L1975" s="23"/>
      <c r="M1975" s="23"/>
      <c r="N1975" s="23"/>
      <c r="O1975" s="23"/>
      <c r="P1975" s="54"/>
      <c r="Q1975" s="23"/>
      <c r="R1975" s="17"/>
      <c r="S1975" s="18"/>
      <c r="T1975" s="20"/>
    </row>
    <row r="1976">
      <c r="A1976" s="27" t="s">
        <v>2766</v>
      </c>
      <c r="B1976" s="28" t="s">
        <v>1859</v>
      </c>
      <c r="C1976" s="29"/>
      <c r="D1976" s="29" t="s">
        <v>1860</v>
      </c>
      <c r="E1976" s="70">
        <v>42767.0</v>
      </c>
      <c r="F1976" s="30">
        <v>42781.0</v>
      </c>
      <c r="G1976" s="32">
        <f t="shared" si="2"/>
        <v>0.4666666667</v>
      </c>
      <c r="H1976" s="33"/>
      <c r="I1976" s="32">
        <f t="shared" si="3"/>
        <v>-8.705555556</v>
      </c>
      <c r="J1976" s="34"/>
      <c r="K1976" s="34"/>
      <c r="L1976" s="35"/>
      <c r="M1976" s="35"/>
      <c r="N1976" s="35" t="s">
        <v>1612</v>
      </c>
      <c r="O1976" s="35"/>
      <c r="P1976" s="36"/>
      <c r="Q1976" s="35"/>
      <c r="R1976" s="29"/>
      <c r="S1976" s="33"/>
      <c r="T1976" s="32"/>
    </row>
    <row r="1977">
      <c r="A1977" s="15" t="s">
        <v>2767</v>
      </c>
      <c r="B1977" s="16" t="s">
        <v>1610</v>
      </c>
      <c r="C1977" s="17"/>
      <c r="D1977" s="17" t="s">
        <v>1611</v>
      </c>
      <c r="E1977" s="76">
        <v>42751.0</v>
      </c>
      <c r="F1977" s="62">
        <v>42781.0</v>
      </c>
      <c r="G1977" s="20">
        <f t="shared" si="2"/>
        <v>0.9666666667</v>
      </c>
      <c r="H1977" s="18"/>
      <c r="I1977" s="20">
        <f t="shared" si="3"/>
        <v>-8.747222222</v>
      </c>
      <c r="J1977" s="53"/>
      <c r="K1977" s="53"/>
      <c r="L1977" s="23"/>
      <c r="M1977" s="23"/>
      <c r="N1977" s="23"/>
      <c r="O1977" s="23"/>
      <c r="P1977" s="54"/>
      <c r="Q1977" s="23"/>
      <c r="R1977" s="17"/>
      <c r="S1977" s="18"/>
      <c r="T1977" s="20"/>
    </row>
    <row r="1978">
      <c r="A1978" s="27" t="s">
        <v>2768</v>
      </c>
      <c r="B1978" s="28" t="s">
        <v>1859</v>
      </c>
      <c r="C1978" s="29"/>
      <c r="D1978" s="29" t="s">
        <v>1860</v>
      </c>
      <c r="E1978" s="70">
        <v>42751.0</v>
      </c>
      <c r="F1978" s="30">
        <v>42766.0</v>
      </c>
      <c r="G1978" s="32">
        <f t="shared" si="2"/>
        <v>0.4666666667</v>
      </c>
      <c r="H1978" s="33"/>
      <c r="I1978" s="32">
        <f t="shared" si="3"/>
        <v>-8.747222222</v>
      </c>
      <c r="J1978" s="34"/>
      <c r="K1978" s="34"/>
      <c r="L1978" s="35"/>
      <c r="M1978" s="35"/>
      <c r="N1978" s="35" t="s">
        <v>1612</v>
      </c>
      <c r="O1978" s="35"/>
      <c r="P1978" s="36"/>
      <c r="Q1978" s="35"/>
      <c r="R1978" s="29"/>
      <c r="S1978" s="33"/>
      <c r="T1978" s="32"/>
    </row>
    <row r="1979">
      <c r="A1979" s="15" t="s">
        <v>2657</v>
      </c>
      <c r="B1979" s="16" t="s">
        <v>1610</v>
      </c>
      <c r="C1979" s="17"/>
      <c r="D1979" s="17" t="s">
        <v>1611</v>
      </c>
      <c r="E1979" s="76">
        <v>42736.0</v>
      </c>
      <c r="F1979" s="62">
        <v>42766.0</v>
      </c>
      <c r="G1979" s="20">
        <f t="shared" si="2"/>
        <v>0.9666666667</v>
      </c>
      <c r="H1979" s="18"/>
      <c r="I1979" s="20">
        <f t="shared" si="3"/>
        <v>-8.788888889</v>
      </c>
      <c r="J1979" s="53"/>
      <c r="K1979" s="53"/>
      <c r="L1979" s="23"/>
      <c r="M1979" s="23"/>
      <c r="N1979" s="23"/>
      <c r="O1979" s="23"/>
      <c r="P1979" s="54"/>
      <c r="Q1979" s="23"/>
      <c r="R1979" s="17"/>
      <c r="S1979" s="18"/>
      <c r="T1979" s="20"/>
    </row>
    <row r="1980">
      <c r="A1980" s="27" t="s">
        <v>556</v>
      </c>
      <c r="B1980" s="28" t="s">
        <v>1859</v>
      </c>
      <c r="C1980" s="29"/>
      <c r="D1980" s="29" t="s">
        <v>1860</v>
      </c>
      <c r="E1980" s="70">
        <v>42736.0</v>
      </c>
      <c r="F1980" s="30">
        <v>42750.0</v>
      </c>
      <c r="G1980" s="32">
        <f t="shared" si="2"/>
        <v>0.4666666667</v>
      </c>
      <c r="H1980" s="33"/>
      <c r="I1980" s="32">
        <f t="shared" si="3"/>
        <v>-8.788888889</v>
      </c>
      <c r="J1980" s="34"/>
      <c r="K1980" s="34"/>
      <c r="L1980" s="35"/>
      <c r="M1980" s="35"/>
      <c r="N1980" s="35" t="s">
        <v>1612</v>
      </c>
      <c r="O1980" s="35"/>
      <c r="P1980" s="36"/>
      <c r="Q1980" s="35"/>
      <c r="R1980" s="29"/>
      <c r="S1980" s="33"/>
      <c r="T1980" s="32"/>
    </row>
    <row r="1981">
      <c r="A1981" s="15" t="s">
        <v>2600</v>
      </c>
      <c r="B1981" s="16" t="s">
        <v>1610</v>
      </c>
      <c r="C1981" s="17"/>
      <c r="D1981" s="17" t="s">
        <v>1611</v>
      </c>
      <c r="E1981" s="76">
        <v>42720.0</v>
      </c>
      <c r="F1981" s="62">
        <v>42750.0</v>
      </c>
      <c r="G1981" s="20">
        <f t="shared" si="2"/>
        <v>0.9666666667</v>
      </c>
      <c r="H1981" s="18"/>
      <c r="I1981" s="20">
        <f t="shared" si="3"/>
        <v>-8.830555556</v>
      </c>
      <c r="J1981" s="53"/>
      <c r="K1981" s="53"/>
      <c r="L1981" s="23"/>
      <c r="M1981" s="23"/>
      <c r="N1981" s="23"/>
      <c r="O1981" s="23"/>
      <c r="P1981" s="54"/>
      <c r="Q1981" s="23"/>
      <c r="R1981" s="17"/>
      <c r="S1981" s="18"/>
      <c r="T1981" s="20"/>
    </row>
    <row r="1982">
      <c r="A1982" s="27" t="s">
        <v>2769</v>
      </c>
      <c r="B1982" s="28" t="s">
        <v>1859</v>
      </c>
      <c r="C1982" s="29"/>
      <c r="D1982" s="29" t="s">
        <v>1860</v>
      </c>
      <c r="E1982" s="70">
        <v>42720.0</v>
      </c>
      <c r="F1982" s="30">
        <v>42735.0</v>
      </c>
      <c r="G1982" s="32">
        <f t="shared" si="2"/>
        <v>0.4666666667</v>
      </c>
      <c r="H1982" s="33"/>
      <c r="I1982" s="32">
        <f t="shared" si="3"/>
        <v>-8.830555556</v>
      </c>
      <c r="J1982" s="34"/>
      <c r="K1982" s="34"/>
      <c r="L1982" s="35"/>
      <c r="M1982" s="35"/>
      <c r="N1982" s="35" t="s">
        <v>1612</v>
      </c>
      <c r="O1982" s="35"/>
      <c r="P1982" s="36"/>
      <c r="Q1982" s="35"/>
      <c r="R1982" s="29"/>
      <c r="S1982" s="33"/>
      <c r="T1982" s="32"/>
    </row>
    <row r="1983">
      <c r="A1983" s="15" t="s">
        <v>2770</v>
      </c>
      <c r="B1983" s="16" t="s">
        <v>1610</v>
      </c>
      <c r="C1983" s="17"/>
      <c r="D1983" s="17" t="s">
        <v>1611</v>
      </c>
      <c r="E1983" s="76">
        <v>42705.0</v>
      </c>
      <c r="F1983" s="62">
        <v>42735.0</v>
      </c>
      <c r="G1983" s="20">
        <f t="shared" si="2"/>
        <v>0.9666666667</v>
      </c>
      <c r="H1983" s="18"/>
      <c r="I1983" s="20">
        <f t="shared" si="3"/>
        <v>-8.872222222</v>
      </c>
      <c r="J1983" s="53"/>
      <c r="K1983" s="53"/>
      <c r="L1983" s="23"/>
      <c r="M1983" s="23"/>
      <c r="N1983" s="23"/>
      <c r="O1983" s="23"/>
      <c r="P1983" s="54"/>
      <c r="Q1983" s="23"/>
      <c r="R1983" s="17"/>
      <c r="S1983" s="18"/>
      <c r="T1983" s="20"/>
    </row>
    <row r="1984">
      <c r="A1984" s="27" t="s">
        <v>2771</v>
      </c>
      <c r="B1984" s="28" t="s">
        <v>1859</v>
      </c>
      <c r="C1984" s="29"/>
      <c r="D1984" s="29" t="s">
        <v>1860</v>
      </c>
      <c r="E1984" s="70">
        <v>42705.0</v>
      </c>
      <c r="F1984" s="30">
        <v>42719.0</v>
      </c>
      <c r="G1984" s="32">
        <f t="shared" si="2"/>
        <v>0.4666666667</v>
      </c>
      <c r="H1984" s="33"/>
      <c r="I1984" s="32">
        <f t="shared" si="3"/>
        <v>-8.872222222</v>
      </c>
      <c r="J1984" s="34"/>
      <c r="K1984" s="34"/>
      <c r="L1984" s="35"/>
      <c r="M1984" s="35"/>
      <c r="N1984" s="35" t="s">
        <v>1612</v>
      </c>
      <c r="O1984" s="35"/>
      <c r="P1984" s="36"/>
      <c r="Q1984" s="35"/>
      <c r="R1984" s="29"/>
      <c r="S1984" s="33"/>
      <c r="T1984" s="32"/>
    </row>
    <row r="1985">
      <c r="A1985" s="15" t="s">
        <v>2772</v>
      </c>
      <c r="B1985" s="16" t="s">
        <v>1610</v>
      </c>
      <c r="C1985" s="17"/>
      <c r="D1985" s="17" t="s">
        <v>1611</v>
      </c>
      <c r="E1985" s="76">
        <v>42690.0</v>
      </c>
      <c r="F1985" s="62">
        <v>42719.0</v>
      </c>
      <c r="G1985" s="20">
        <f t="shared" si="2"/>
        <v>0.9666666667</v>
      </c>
      <c r="H1985" s="18"/>
      <c r="I1985" s="20">
        <f t="shared" si="3"/>
        <v>-8.913888889</v>
      </c>
      <c r="J1985" s="53"/>
      <c r="K1985" s="53"/>
      <c r="L1985" s="23"/>
      <c r="M1985" s="23"/>
      <c r="N1985" s="23"/>
      <c r="O1985" s="23"/>
      <c r="P1985" s="54"/>
      <c r="Q1985" s="23"/>
      <c r="R1985" s="17"/>
      <c r="S1985" s="18"/>
      <c r="T1985" s="20"/>
    </row>
    <row r="1986">
      <c r="A1986" s="27" t="s">
        <v>72</v>
      </c>
      <c r="B1986" s="28" t="s">
        <v>1859</v>
      </c>
      <c r="C1986" s="29"/>
      <c r="D1986" s="29" t="s">
        <v>1860</v>
      </c>
      <c r="E1986" s="70">
        <v>42690.0</v>
      </c>
      <c r="F1986" s="30">
        <v>42704.0</v>
      </c>
      <c r="G1986" s="32">
        <f t="shared" si="2"/>
        <v>0.4666666667</v>
      </c>
      <c r="H1986" s="33"/>
      <c r="I1986" s="32">
        <f t="shared" si="3"/>
        <v>-8.913888889</v>
      </c>
      <c r="J1986" s="34"/>
      <c r="K1986" s="34"/>
      <c r="L1986" s="35"/>
      <c r="M1986" s="35"/>
      <c r="N1986" s="35" t="s">
        <v>1612</v>
      </c>
      <c r="O1986" s="35"/>
      <c r="P1986" s="36"/>
      <c r="Q1986" s="35"/>
      <c r="R1986" s="29"/>
      <c r="S1986" s="33"/>
      <c r="T1986" s="32"/>
    </row>
    <row r="1987">
      <c r="A1987" s="15" t="s">
        <v>2773</v>
      </c>
      <c r="B1987" s="16" t="s">
        <v>1610</v>
      </c>
      <c r="C1987" s="17"/>
      <c r="D1987" s="17" t="s">
        <v>1611</v>
      </c>
      <c r="E1987" s="76">
        <v>42675.0</v>
      </c>
      <c r="F1987" s="62">
        <v>42704.0</v>
      </c>
      <c r="G1987" s="20">
        <f t="shared" si="2"/>
        <v>0.9666666667</v>
      </c>
      <c r="H1987" s="18"/>
      <c r="I1987" s="20">
        <f t="shared" si="3"/>
        <v>-8.955555556</v>
      </c>
      <c r="J1987" s="53"/>
      <c r="K1987" s="53"/>
      <c r="L1987" s="23"/>
      <c r="M1987" s="23"/>
      <c r="N1987" s="23"/>
      <c r="O1987" s="23"/>
      <c r="P1987" s="54"/>
      <c r="Q1987" s="23"/>
      <c r="R1987" s="17"/>
      <c r="S1987" s="18"/>
      <c r="T1987" s="20"/>
    </row>
    <row r="1988">
      <c r="A1988" s="27" t="s">
        <v>2774</v>
      </c>
      <c r="B1988" s="28" t="s">
        <v>1859</v>
      </c>
      <c r="C1988" s="29"/>
      <c r="D1988" s="29" t="s">
        <v>1860</v>
      </c>
      <c r="E1988" s="70">
        <v>42675.0</v>
      </c>
      <c r="F1988" s="30">
        <v>42689.0</v>
      </c>
      <c r="G1988" s="32">
        <f t="shared" si="2"/>
        <v>0.4666666667</v>
      </c>
      <c r="H1988" s="33"/>
      <c r="I1988" s="32">
        <f t="shared" si="3"/>
        <v>-8.955555556</v>
      </c>
      <c r="J1988" s="34"/>
      <c r="K1988" s="34"/>
      <c r="L1988" s="35"/>
      <c r="M1988" s="35"/>
      <c r="N1988" s="35" t="s">
        <v>1612</v>
      </c>
      <c r="O1988" s="35"/>
      <c r="P1988" s="36"/>
      <c r="Q1988" s="35"/>
      <c r="R1988" s="29"/>
      <c r="S1988" s="33"/>
      <c r="T1988" s="32"/>
    </row>
    <row r="1989">
      <c r="A1989" s="15" t="s">
        <v>2159</v>
      </c>
      <c r="B1989" s="16" t="s">
        <v>1610</v>
      </c>
      <c r="C1989" s="17"/>
      <c r="D1989" s="17" t="s">
        <v>1611</v>
      </c>
      <c r="E1989" s="76">
        <v>42659.0</v>
      </c>
      <c r="F1989" s="62">
        <v>42689.0</v>
      </c>
      <c r="G1989" s="20">
        <f t="shared" si="2"/>
        <v>0.9666666667</v>
      </c>
      <c r="H1989" s="18"/>
      <c r="I1989" s="20">
        <f t="shared" si="3"/>
        <v>-8.997222222</v>
      </c>
      <c r="J1989" s="53"/>
      <c r="K1989" s="53"/>
      <c r="L1989" s="23"/>
      <c r="M1989" s="23"/>
      <c r="N1989" s="23"/>
      <c r="O1989" s="23"/>
      <c r="P1989" s="54"/>
      <c r="Q1989" s="23"/>
      <c r="R1989" s="17"/>
      <c r="S1989" s="18"/>
      <c r="T1989" s="20"/>
    </row>
    <row r="1990">
      <c r="A1990" s="27" t="s">
        <v>2775</v>
      </c>
      <c r="B1990" s="28" t="s">
        <v>1859</v>
      </c>
      <c r="C1990" s="29"/>
      <c r="D1990" s="29" t="s">
        <v>1860</v>
      </c>
      <c r="E1990" s="70">
        <v>42659.0</v>
      </c>
      <c r="F1990" s="30">
        <v>42674.0</v>
      </c>
      <c r="G1990" s="32">
        <f t="shared" si="2"/>
        <v>0.4666666667</v>
      </c>
      <c r="H1990" s="33"/>
      <c r="I1990" s="32">
        <f t="shared" si="3"/>
        <v>-8.997222222</v>
      </c>
      <c r="J1990" s="34"/>
      <c r="K1990" s="34"/>
      <c r="L1990" s="35"/>
      <c r="M1990" s="35"/>
      <c r="N1990" s="35" t="s">
        <v>1612</v>
      </c>
      <c r="O1990" s="35"/>
      <c r="P1990" s="36"/>
      <c r="Q1990" s="35"/>
      <c r="R1990" s="29"/>
      <c r="S1990" s="33"/>
      <c r="T1990" s="32"/>
    </row>
    <row r="1991">
      <c r="A1991" s="15" t="s">
        <v>2592</v>
      </c>
      <c r="B1991" s="16" t="s">
        <v>1610</v>
      </c>
      <c r="C1991" s="17"/>
      <c r="D1991" s="17" t="s">
        <v>1611</v>
      </c>
      <c r="E1991" s="76">
        <v>42644.0</v>
      </c>
      <c r="F1991" s="62">
        <v>42674.0</v>
      </c>
      <c r="G1991" s="20">
        <f t="shared" si="2"/>
        <v>0.9666666667</v>
      </c>
      <c r="H1991" s="18"/>
      <c r="I1991" s="20">
        <f t="shared" si="3"/>
        <v>-9.038888889</v>
      </c>
      <c r="J1991" s="53"/>
      <c r="K1991" s="53"/>
      <c r="L1991" s="23"/>
      <c r="M1991" s="23"/>
      <c r="N1991" s="23"/>
      <c r="O1991" s="23"/>
      <c r="P1991" s="54"/>
      <c r="Q1991" s="23"/>
      <c r="R1991" s="17"/>
      <c r="S1991" s="18"/>
      <c r="T1991" s="20"/>
    </row>
    <row r="1992">
      <c r="A1992" s="27" t="s">
        <v>2776</v>
      </c>
      <c r="B1992" s="28" t="s">
        <v>1859</v>
      </c>
      <c r="C1992" s="29"/>
      <c r="D1992" s="29" t="s">
        <v>1860</v>
      </c>
      <c r="E1992" s="70">
        <v>42644.0</v>
      </c>
      <c r="F1992" s="30">
        <v>42658.0</v>
      </c>
      <c r="G1992" s="32">
        <f t="shared" si="2"/>
        <v>0.4666666667</v>
      </c>
      <c r="H1992" s="33"/>
      <c r="I1992" s="32">
        <f t="shared" si="3"/>
        <v>-9.038888889</v>
      </c>
      <c r="J1992" s="34"/>
      <c r="K1992" s="34"/>
      <c r="L1992" s="35"/>
      <c r="M1992" s="35"/>
      <c r="N1992" s="35" t="s">
        <v>1612</v>
      </c>
      <c r="O1992" s="35"/>
      <c r="P1992" s="36"/>
      <c r="Q1992" s="35"/>
      <c r="R1992" s="29"/>
      <c r="S1992" s="33"/>
      <c r="T1992" s="32"/>
    </row>
    <row r="1993">
      <c r="A1993" s="15" t="s">
        <v>60</v>
      </c>
      <c r="B1993" s="16" t="s">
        <v>1610</v>
      </c>
      <c r="C1993" s="17"/>
      <c r="D1993" s="17" t="s">
        <v>1611</v>
      </c>
      <c r="E1993" s="76">
        <v>42629.0</v>
      </c>
      <c r="F1993" s="62">
        <v>42658.0</v>
      </c>
      <c r="G1993" s="20">
        <f t="shared" si="2"/>
        <v>0.9666666667</v>
      </c>
      <c r="H1993" s="18"/>
      <c r="I1993" s="20">
        <f t="shared" si="3"/>
        <v>-9.080555556</v>
      </c>
      <c r="J1993" s="53"/>
      <c r="K1993" s="53"/>
      <c r="L1993" s="23"/>
      <c r="M1993" s="23"/>
      <c r="N1993" s="23"/>
      <c r="O1993" s="23"/>
      <c r="P1993" s="54"/>
      <c r="Q1993" s="23"/>
      <c r="R1993" s="17"/>
      <c r="S1993" s="18"/>
      <c r="T1993" s="20"/>
    </row>
    <row r="1994">
      <c r="A1994" s="27" t="s">
        <v>917</v>
      </c>
      <c r="B1994" s="28" t="s">
        <v>1859</v>
      </c>
      <c r="C1994" s="29"/>
      <c r="D1994" s="29" t="s">
        <v>1860</v>
      </c>
      <c r="E1994" s="70">
        <v>42629.0</v>
      </c>
      <c r="F1994" s="30">
        <v>42643.0</v>
      </c>
      <c r="G1994" s="32">
        <f t="shared" si="2"/>
        <v>0.4666666667</v>
      </c>
      <c r="H1994" s="33"/>
      <c r="I1994" s="32">
        <f t="shared" si="3"/>
        <v>-9.080555556</v>
      </c>
      <c r="J1994" s="34"/>
      <c r="K1994" s="34"/>
      <c r="L1994" s="35"/>
      <c r="M1994" s="35" t="s">
        <v>1614</v>
      </c>
      <c r="N1994" s="35" t="s">
        <v>1612</v>
      </c>
      <c r="O1994" s="35"/>
      <c r="P1994" s="36"/>
      <c r="Q1994" s="35"/>
      <c r="R1994" s="29"/>
      <c r="S1994" s="33"/>
      <c r="T1994" s="32"/>
    </row>
    <row r="1995">
      <c r="A1995" s="15" t="s">
        <v>2777</v>
      </c>
      <c r="B1995" s="16" t="s">
        <v>1610</v>
      </c>
      <c r="C1995" s="17"/>
      <c r="D1995" s="17" t="s">
        <v>1611</v>
      </c>
      <c r="E1995" s="76">
        <v>42614.0</v>
      </c>
      <c r="F1995" s="62">
        <v>42643.0</v>
      </c>
      <c r="G1995" s="20">
        <f t="shared" si="2"/>
        <v>0.9666666667</v>
      </c>
      <c r="H1995" s="18"/>
      <c r="I1995" s="20">
        <f t="shared" si="3"/>
        <v>-9.122222222</v>
      </c>
      <c r="J1995" s="53"/>
      <c r="K1995" s="53"/>
      <c r="L1995" s="23"/>
      <c r="M1995" s="23"/>
      <c r="N1995" s="23"/>
      <c r="O1995" s="23"/>
      <c r="P1995" s="54"/>
      <c r="Q1995" s="23"/>
      <c r="R1995" s="17"/>
      <c r="S1995" s="18"/>
      <c r="T1995" s="20"/>
    </row>
    <row r="1996">
      <c r="A1996" s="27" t="s">
        <v>2778</v>
      </c>
      <c r="B1996" s="28" t="s">
        <v>1859</v>
      </c>
      <c r="C1996" s="29"/>
      <c r="D1996" s="29" t="s">
        <v>1860</v>
      </c>
      <c r="E1996" s="70">
        <v>42614.0</v>
      </c>
      <c r="F1996" s="30">
        <v>42628.0</v>
      </c>
      <c r="G1996" s="32">
        <f t="shared" si="2"/>
        <v>0.4666666667</v>
      </c>
      <c r="H1996" s="33"/>
      <c r="I1996" s="32">
        <f t="shared" si="3"/>
        <v>-9.122222222</v>
      </c>
      <c r="J1996" s="34"/>
      <c r="K1996" s="34"/>
      <c r="L1996" s="35"/>
      <c r="M1996" s="35" t="s">
        <v>1614</v>
      </c>
      <c r="N1996" s="35" t="s">
        <v>1612</v>
      </c>
      <c r="O1996" s="35"/>
      <c r="P1996" s="36"/>
      <c r="Q1996" s="35"/>
      <c r="R1996" s="29"/>
      <c r="S1996" s="33"/>
      <c r="T1996" s="32"/>
    </row>
    <row r="1997">
      <c r="A1997" s="15" t="s">
        <v>2733</v>
      </c>
      <c r="B1997" s="16" t="s">
        <v>1610</v>
      </c>
      <c r="C1997" s="17"/>
      <c r="D1997" s="17" t="s">
        <v>1611</v>
      </c>
      <c r="E1997" s="76">
        <v>42598.0</v>
      </c>
      <c r="F1997" s="62">
        <v>42628.0</v>
      </c>
      <c r="G1997" s="20">
        <f t="shared" si="2"/>
        <v>0.9666666667</v>
      </c>
      <c r="H1997" s="18"/>
      <c r="I1997" s="20">
        <f t="shared" si="3"/>
        <v>-9.163888889</v>
      </c>
      <c r="J1997" s="53"/>
      <c r="K1997" s="53"/>
      <c r="L1997" s="23"/>
      <c r="M1997" s="23"/>
      <c r="N1997" s="23"/>
      <c r="O1997" s="23"/>
      <c r="P1997" s="54"/>
      <c r="Q1997" s="23"/>
      <c r="R1997" s="17"/>
      <c r="S1997" s="18"/>
      <c r="T1997" s="20"/>
    </row>
    <row r="1998">
      <c r="A1998" s="27" t="s">
        <v>2779</v>
      </c>
      <c r="B1998" s="28" t="s">
        <v>1859</v>
      </c>
      <c r="C1998" s="29"/>
      <c r="D1998" s="29" t="s">
        <v>1860</v>
      </c>
      <c r="E1998" s="70">
        <v>42598.0</v>
      </c>
      <c r="F1998" s="30">
        <v>42613.0</v>
      </c>
      <c r="G1998" s="32">
        <f t="shared" si="2"/>
        <v>0.4666666667</v>
      </c>
      <c r="H1998" s="33"/>
      <c r="I1998" s="32">
        <f t="shared" si="3"/>
        <v>-9.163888889</v>
      </c>
      <c r="J1998" s="34"/>
      <c r="K1998" s="34"/>
      <c r="L1998" s="35"/>
      <c r="M1998" s="35"/>
      <c r="N1998" s="35" t="s">
        <v>1612</v>
      </c>
      <c r="O1998" s="35"/>
      <c r="P1998" s="36"/>
      <c r="Q1998" s="35"/>
      <c r="R1998" s="29"/>
      <c r="S1998" s="33"/>
      <c r="T1998" s="32"/>
    </row>
    <row r="1999">
      <c r="A1999" s="15" t="s">
        <v>2780</v>
      </c>
      <c r="B1999" s="16" t="s">
        <v>1610</v>
      </c>
      <c r="C1999" s="17"/>
      <c r="D1999" s="17" t="s">
        <v>1611</v>
      </c>
      <c r="E1999" s="76">
        <v>42583.0</v>
      </c>
      <c r="F1999" s="62">
        <v>42613.0</v>
      </c>
      <c r="G1999" s="20">
        <f t="shared" si="2"/>
        <v>0.9666666667</v>
      </c>
      <c r="H1999" s="18"/>
      <c r="I1999" s="20">
        <f t="shared" si="3"/>
        <v>-9.205555556</v>
      </c>
      <c r="J1999" s="53"/>
      <c r="K1999" s="53"/>
      <c r="L1999" s="23"/>
      <c r="M1999" s="23"/>
      <c r="N1999" s="23"/>
      <c r="O1999" s="23"/>
      <c r="P1999" s="54"/>
      <c r="Q1999" s="23"/>
      <c r="R1999" s="17"/>
      <c r="S1999" s="18"/>
      <c r="T1999" s="20"/>
    </row>
    <row r="2000">
      <c r="A2000" s="27" t="s">
        <v>2548</v>
      </c>
      <c r="B2000" s="28" t="s">
        <v>1859</v>
      </c>
      <c r="C2000" s="29"/>
      <c r="D2000" s="29" t="s">
        <v>1860</v>
      </c>
      <c r="E2000" s="70">
        <v>42583.0</v>
      </c>
      <c r="F2000" s="30">
        <v>42597.0</v>
      </c>
      <c r="G2000" s="32">
        <f t="shared" si="2"/>
        <v>0.4666666667</v>
      </c>
      <c r="H2000" s="33"/>
      <c r="I2000" s="32">
        <f t="shared" si="3"/>
        <v>-9.205555556</v>
      </c>
      <c r="J2000" s="34"/>
      <c r="K2000" s="34"/>
      <c r="L2000" s="35"/>
      <c r="M2000" s="35"/>
      <c r="N2000" s="35" t="s">
        <v>1612</v>
      </c>
      <c r="O2000" s="35"/>
      <c r="P2000" s="36"/>
      <c r="Q2000" s="35"/>
      <c r="R2000" s="29"/>
      <c r="S2000" s="33"/>
      <c r="T2000" s="32"/>
    </row>
    <row r="2001">
      <c r="A2001" s="15" t="s">
        <v>2781</v>
      </c>
      <c r="B2001" s="16" t="s">
        <v>1610</v>
      </c>
      <c r="C2001" s="17"/>
      <c r="D2001" s="17" t="s">
        <v>1611</v>
      </c>
      <c r="E2001" s="76">
        <v>42567.0</v>
      </c>
      <c r="F2001" s="62">
        <v>42597.0</v>
      </c>
      <c r="G2001" s="20">
        <f t="shared" si="2"/>
        <v>0.9666666667</v>
      </c>
      <c r="H2001" s="18"/>
      <c r="I2001" s="20">
        <f t="shared" si="3"/>
        <v>-9.247222222</v>
      </c>
      <c r="J2001" s="53"/>
      <c r="K2001" s="53"/>
      <c r="L2001" s="23"/>
      <c r="M2001" s="23"/>
      <c r="N2001" s="23"/>
      <c r="O2001" s="23"/>
      <c r="P2001" s="54"/>
      <c r="Q2001" s="23"/>
      <c r="R2001" s="17"/>
      <c r="S2001" s="18"/>
      <c r="T2001" s="20"/>
    </row>
    <row r="2002">
      <c r="A2002" s="27" t="s">
        <v>2782</v>
      </c>
      <c r="B2002" s="28" t="s">
        <v>1859</v>
      </c>
      <c r="C2002" s="29"/>
      <c r="D2002" s="29" t="s">
        <v>1860</v>
      </c>
      <c r="E2002" s="70">
        <v>42567.0</v>
      </c>
      <c r="F2002" s="30">
        <v>42582.0</v>
      </c>
      <c r="G2002" s="32">
        <f t="shared" si="2"/>
        <v>0.4666666667</v>
      </c>
      <c r="H2002" s="33"/>
      <c r="I2002" s="32">
        <f t="shared" si="3"/>
        <v>-9.247222222</v>
      </c>
      <c r="J2002" s="34"/>
      <c r="K2002" s="34"/>
      <c r="L2002" s="35"/>
      <c r="M2002" s="35"/>
      <c r="N2002" s="35" t="s">
        <v>1612</v>
      </c>
      <c r="O2002" s="35"/>
      <c r="P2002" s="36"/>
      <c r="Q2002" s="35"/>
      <c r="R2002" s="29"/>
      <c r="S2002" s="33"/>
      <c r="T2002" s="32"/>
    </row>
    <row r="2003">
      <c r="A2003" s="15" t="s">
        <v>2429</v>
      </c>
      <c r="B2003" s="16" t="s">
        <v>1610</v>
      </c>
      <c r="C2003" s="17"/>
      <c r="D2003" s="17" t="s">
        <v>1611</v>
      </c>
      <c r="E2003" s="76">
        <v>42552.0</v>
      </c>
      <c r="F2003" s="62">
        <v>42582.0</v>
      </c>
      <c r="G2003" s="20">
        <f t="shared" si="2"/>
        <v>0.9666666667</v>
      </c>
      <c r="H2003" s="18"/>
      <c r="I2003" s="20">
        <f t="shared" si="3"/>
        <v>-9.288888889</v>
      </c>
      <c r="J2003" s="53"/>
      <c r="K2003" s="53"/>
      <c r="L2003" s="23"/>
      <c r="M2003" s="23"/>
      <c r="N2003" s="23"/>
      <c r="O2003" s="23"/>
      <c r="P2003" s="54"/>
      <c r="Q2003" s="23"/>
      <c r="R2003" s="17"/>
      <c r="S2003" s="18"/>
      <c r="T2003" s="20"/>
    </row>
    <row r="2004">
      <c r="A2004" s="27" t="s">
        <v>2783</v>
      </c>
      <c r="B2004" s="28" t="s">
        <v>1859</v>
      </c>
      <c r="C2004" s="29"/>
      <c r="D2004" s="29" t="s">
        <v>1860</v>
      </c>
      <c r="E2004" s="70">
        <v>42552.0</v>
      </c>
      <c r="F2004" s="30">
        <v>42566.0</v>
      </c>
      <c r="G2004" s="32">
        <f t="shared" si="2"/>
        <v>0.4666666667</v>
      </c>
      <c r="H2004" s="33"/>
      <c r="I2004" s="32">
        <f t="shared" si="3"/>
        <v>-9.288888889</v>
      </c>
      <c r="J2004" s="34"/>
      <c r="K2004" s="34"/>
      <c r="L2004" s="35"/>
      <c r="M2004" s="35"/>
      <c r="N2004" s="35" t="s">
        <v>1612</v>
      </c>
      <c r="O2004" s="35"/>
      <c r="P2004" s="36"/>
      <c r="Q2004" s="35"/>
      <c r="R2004" s="29"/>
      <c r="S2004" s="33"/>
      <c r="T2004" s="32"/>
    </row>
    <row r="2005">
      <c r="A2005" s="15" t="s">
        <v>2784</v>
      </c>
      <c r="B2005" s="16" t="s">
        <v>1610</v>
      </c>
      <c r="C2005" s="17"/>
      <c r="D2005" s="17" t="s">
        <v>1611</v>
      </c>
      <c r="E2005" s="76">
        <v>42537.0</v>
      </c>
      <c r="F2005" s="62">
        <v>42566.0</v>
      </c>
      <c r="G2005" s="20">
        <f t="shared" si="2"/>
        <v>0.9666666667</v>
      </c>
      <c r="H2005" s="18"/>
      <c r="I2005" s="20">
        <f t="shared" si="3"/>
        <v>-9.330555556</v>
      </c>
      <c r="J2005" s="53"/>
      <c r="K2005" s="53"/>
      <c r="L2005" s="23"/>
      <c r="M2005" s="23"/>
      <c r="N2005" s="23"/>
      <c r="O2005" s="23"/>
      <c r="P2005" s="54"/>
      <c r="Q2005" s="23"/>
      <c r="R2005" s="17"/>
      <c r="S2005" s="18"/>
      <c r="T2005" s="20"/>
    </row>
    <row r="2006">
      <c r="A2006" s="27" t="s">
        <v>2785</v>
      </c>
      <c r="B2006" s="28" t="s">
        <v>1859</v>
      </c>
      <c r="C2006" s="29"/>
      <c r="D2006" s="29" t="s">
        <v>1860</v>
      </c>
      <c r="E2006" s="70">
        <v>42537.0</v>
      </c>
      <c r="F2006" s="30">
        <v>42551.0</v>
      </c>
      <c r="G2006" s="32">
        <f t="shared" si="2"/>
        <v>0.4666666667</v>
      </c>
      <c r="H2006" s="33"/>
      <c r="I2006" s="32">
        <f t="shared" si="3"/>
        <v>-9.330555556</v>
      </c>
      <c r="J2006" s="34"/>
      <c r="K2006" s="34"/>
      <c r="L2006" s="35"/>
      <c r="M2006" s="35"/>
      <c r="N2006" s="35" t="s">
        <v>1612</v>
      </c>
      <c r="O2006" s="35"/>
      <c r="P2006" s="36"/>
      <c r="Q2006" s="35"/>
      <c r="R2006" s="29"/>
      <c r="S2006" s="33"/>
      <c r="T2006" s="32"/>
    </row>
    <row r="2007">
      <c r="A2007" s="15" t="s">
        <v>1387</v>
      </c>
      <c r="B2007" s="16" t="s">
        <v>1610</v>
      </c>
      <c r="C2007" s="17"/>
      <c r="D2007" s="17" t="s">
        <v>1611</v>
      </c>
      <c r="E2007" s="76">
        <v>42522.0</v>
      </c>
      <c r="F2007" s="62">
        <v>42551.0</v>
      </c>
      <c r="G2007" s="20">
        <f t="shared" si="2"/>
        <v>0.9666666667</v>
      </c>
      <c r="H2007" s="18"/>
      <c r="I2007" s="20">
        <f t="shared" si="3"/>
        <v>-9.372222222</v>
      </c>
      <c r="J2007" s="53"/>
      <c r="K2007" s="53"/>
      <c r="L2007" s="23"/>
      <c r="M2007" s="23"/>
      <c r="N2007" s="23" t="s">
        <v>1612</v>
      </c>
      <c r="O2007" s="23"/>
      <c r="P2007" s="54"/>
      <c r="Q2007" s="23"/>
      <c r="R2007" s="17"/>
      <c r="S2007" s="18"/>
      <c r="T2007" s="20"/>
    </row>
    <row r="2008">
      <c r="A2008" s="27" t="s">
        <v>1949</v>
      </c>
      <c r="B2008" s="28" t="s">
        <v>1859</v>
      </c>
      <c r="C2008" s="29"/>
      <c r="D2008" s="29" t="s">
        <v>1860</v>
      </c>
      <c r="E2008" s="70">
        <v>42522.0</v>
      </c>
      <c r="F2008" s="30">
        <v>42536.0</v>
      </c>
      <c r="G2008" s="32">
        <f t="shared" si="2"/>
        <v>0.4666666667</v>
      </c>
      <c r="H2008" s="33"/>
      <c r="I2008" s="32">
        <f t="shared" si="3"/>
        <v>-9.372222222</v>
      </c>
      <c r="J2008" s="34"/>
      <c r="K2008" s="34"/>
      <c r="L2008" s="35"/>
      <c r="M2008" s="35"/>
      <c r="N2008" s="35" t="s">
        <v>1612</v>
      </c>
      <c r="O2008" s="35"/>
      <c r="P2008" s="36"/>
      <c r="Q2008" s="35"/>
      <c r="R2008" s="29"/>
      <c r="S2008" s="33"/>
      <c r="T2008" s="32"/>
    </row>
    <row r="2009">
      <c r="A2009" s="15" t="s">
        <v>1156</v>
      </c>
      <c r="B2009" s="16" t="s">
        <v>1610</v>
      </c>
      <c r="C2009" s="17"/>
      <c r="D2009" s="17" t="s">
        <v>1611</v>
      </c>
      <c r="E2009" s="76">
        <v>42506.0</v>
      </c>
      <c r="F2009" s="62">
        <v>42536.0</v>
      </c>
      <c r="G2009" s="20">
        <f t="shared" si="2"/>
        <v>0.9666666667</v>
      </c>
      <c r="H2009" s="18"/>
      <c r="I2009" s="20">
        <f t="shared" si="3"/>
        <v>-9.413888889</v>
      </c>
      <c r="J2009" s="53"/>
      <c r="K2009" s="53"/>
      <c r="L2009" s="23"/>
      <c r="M2009" s="23"/>
      <c r="N2009" s="23"/>
      <c r="O2009" s="23"/>
      <c r="P2009" s="54"/>
      <c r="Q2009" s="23"/>
      <c r="R2009" s="17"/>
      <c r="S2009" s="18"/>
      <c r="T2009" s="20"/>
    </row>
    <row r="2010">
      <c r="A2010" s="27" t="s">
        <v>929</v>
      </c>
      <c r="B2010" s="28" t="s">
        <v>1859</v>
      </c>
      <c r="C2010" s="29"/>
      <c r="D2010" s="29" t="s">
        <v>1860</v>
      </c>
      <c r="E2010" s="70">
        <v>42506.0</v>
      </c>
      <c r="F2010" s="30">
        <v>42521.0</v>
      </c>
      <c r="G2010" s="32">
        <f t="shared" si="2"/>
        <v>0.4666666667</v>
      </c>
      <c r="H2010" s="33"/>
      <c r="I2010" s="32">
        <f t="shared" si="3"/>
        <v>-9.413888889</v>
      </c>
      <c r="J2010" s="34"/>
      <c r="K2010" s="34"/>
      <c r="L2010" s="35"/>
      <c r="M2010" s="35"/>
      <c r="N2010" s="35" t="s">
        <v>1612</v>
      </c>
      <c r="O2010" s="35"/>
      <c r="P2010" s="36"/>
      <c r="Q2010" s="35"/>
      <c r="R2010" s="29"/>
      <c r="S2010" s="33"/>
      <c r="T2010" s="32"/>
    </row>
    <row r="2011">
      <c r="A2011" s="15" t="s">
        <v>2699</v>
      </c>
      <c r="B2011" s="16" t="s">
        <v>1610</v>
      </c>
      <c r="C2011" s="17"/>
      <c r="D2011" s="17" t="s">
        <v>1611</v>
      </c>
      <c r="E2011" s="76">
        <v>42491.0</v>
      </c>
      <c r="F2011" s="62">
        <v>42521.0</v>
      </c>
      <c r="G2011" s="20">
        <f t="shared" si="2"/>
        <v>0.9666666667</v>
      </c>
      <c r="H2011" s="18"/>
      <c r="I2011" s="20">
        <f t="shared" si="3"/>
        <v>-9.455555556</v>
      </c>
      <c r="J2011" s="53"/>
      <c r="K2011" s="53"/>
      <c r="L2011" s="23"/>
      <c r="M2011" s="23"/>
      <c r="N2011" s="23"/>
      <c r="O2011" s="23"/>
      <c r="P2011" s="54"/>
      <c r="Q2011" s="23"/>
      <c r="R2011" s="17"/>
      <c r="S2011" s="18"/>
      <c r="T2011" s="20"/>
    </row>
    <row r="2012">
      <c r="A2012" s="27" t="s">
        <v>2786</v>
      </c>
      <c r="B2012" s="28" t="s">
        <v>1859</v>
      </c>
      <c r="C2012" s="29"/>
      <c r="D2012" s="29" t="s">
        <v>1860</v>
      </c>
      <c r="E2012" s="70">
        <v>42491.0</v>
      </c>
      <c r="F2012" s="30">
        <v>42505.0</v>
      </c>
      <c r="G2012" s="32">
        <f t="shared" si="2"/>
        <v>0.4666666667</v>
      </c>
      <c r="H2012" s="33"/>
      <c r="I2012" s="32">
        <f t="shared" si="3"/>
        <v>-9.455555556</v>
      </c>
      <c r="J2012" s="34"/>
      <c r="K2012" s="34"/>
      <c r="L2012" s="35"/>
      <c r="M2012" s="35"/>
      <c r="N2012" s="35" t="s">
        <v>1612</v>
      </c>
      <c r="O2012" s="35"/>
      <c r="P2012" s="36"/>
      <c r="Q2012" s="35"/>
      <c r="R2012" s="29"/>
      <c r="S2012" s="33"/>
      <c r="T2012" s="32"/>
    </row>
    <row r="2013">
      <c r="A2013" s="15" t="s">
        <v>1187</v>
      </c>
      <c r="B2013" s="16" t="s">
        <v>1610</v>
      </c>
      <c r="C2013" s="17"/>
      <c r="D2013" s="17" t="s">
        <v>1611</v>
      </c>
      <c r="E2013" s="76">
        <v>42476.0</v>
      </c>
      <c r="F2013" s="62">
        <v>42505.0</v>
      </c>
      <c r="G2013" s="20">
        <f t="shared" si="2"/>
        <v>0.9666666667</v>
      </c>
      <c r="H2013" s="18"/>
      <c r="I2013" s="20">
        <f t="shared" si="3"/>
        <v>-9.497222222</v>
      </c>
      <c r="J2013" s="53"/>
      <c r="K2013" s="53"/>
      <c r="L2013" s="23"/>
      <c r="M2013" s="23"/>
      <c r="N2013" s="23"/>
      <c r="O2013" s="23"/>
      <c r="P2013" s="54"/>
      <c r="Q2013" s="23"/>
      <c r="R2013" s="17"/>
      <c r="S2013" s="18"/>
      <c r="T2013" s="20"/>
    </row>
    <row r="2014">
      <c r="A2014" s="27" t="s">
        <v>2787</v>
      </c>
      <c r="B2014" s="28" t="s">
        <v>1859</v>
      </c>
      <c r="C2014" s="29"/>
      <c r="D2014" s="29" t="s">
        <v>1860</v>
      </c>
      <c r="E2014" s="70">
        <v>42476.0</v>
      </c>
      <c r="F2014" s="30">
        <v>42490.0</v>
      </c>
      <c r="G2014" s="32">
        <f t="shared" si="2"/>
        <v>0.4666666667</v>
      </c>
      <c r="H2014" s="33"/>
      <c r="I2014" s="32">
        <f t="shared" si="3"/>
        <v>-9.497222222</v>
      </c>
      <c r="J2014" s="34"/>
      <c r="K2014" s="34"/>
      <c r="L2014" s="35"/>
      <c r="M2014" s="35"/>
      <c r="N2014" s="35" t="s">
        <v>1612</v>
      </c>
      <c r="O2014" s="35"/>
      <c r="P2014" s="36"/>
      <c r="Q2014" s="35"/>
      <c r="R2014" s="29"/>
      <c r="S2014" s="33"/>
      <c r="T2014" s="32"/>
    </row>
    <row r="2015">
      <c r="A2015" s="15" t="s">
        <v>2788</v>
      </c>
      <c r="B2015" s="16" t="s">
        <v>1610</v>
      </c>
      <c r="C2015" s="17"/>
      <c r="D2015" s="17" t="s">
        <v>1611</v>
      </c>
      <c r="E2015" s="76">
        <v>42461.0</v>
      </c>
      <c r="F2015" s="62">
        <v>42490.0</v>
      </c>
      <c r="G2015" s="20">
        <f t="shared" si="2"/>
        <v>0.9666666667</v>
      </c>
      <c r="H2015" s="18"/>
      <c r="I2015" s="20">
        <f t="shared" si="3"/>
        <v>-9.538888889</v>
      </c>
      <c r="J2015" s="53"/>
      <c r="K2015" s="53"/>
      <c r="L2015" s="23"/>
      <c r="M2015" s="23"/>
      <c r="N2015" s="23"/>
      <c r="O2015" s="23"/>
      <c r="P2015" s="54"/>
      <c r="Q2015" s="23"/>
      <c r="R2015" s="17"/>
      <c r="S2015" s="18"/>
      <c r="T2015" s="20"/>
    </row>
    <row r="2016">
      <c r="A2016" s="27" t="s">
        <v>889</v>
      </c>
      <c r="B2016" s="28" t="s">
        <v>1859</v>
      </c>
      <c r="C2016" s="29"/>
      <c r="D2016" s="29" t="s">
        <v>1860</v>
      </c>
      <c r="E2016" s="70">
        <v>42461.0</v>
      </c>
      <c r="F2016" s="30">
        <v>42475.0</v>
      </c>
      <c r="G2016" s="32">
        <f t="shared" si="2"/>
        <v>0.4666666667</v>
      </c>
      <c r="H2016" s="33"/>
      <c r="I2016" s="32">
        <f t="shared" si="3"/>
        <v>-9.538888889</v>
      </c>
      <c r="J2016" s="34"/>
      <c r="K2016" s="34"/>
      <c r="L2016" s="35"/>
      <c r="M2016" s="35"/>
      <c r="N2016" s="35" t="s">
        <v>1612</v>
      </c>
      <c r="O2016" s="35"/>
      <c r="P2016" s="36"/>
      <c r="Q2016" s="35"/>
      <c r="R2016" s="29"/>
      <c r="S2016" s="33"/>
      <c r="T2016" s="32"/>
    </row>
    <row r="2017">
      <c r="A2017" s="15" t="s">
        <v>438</v>
      </c>
      <c r="B2017" s="16" t="s">
        <v>1610</v>
      </c>
      <c r="C2017" s="17"/>
      <c r="D2017" s="17" t="s">
        <v>1611</v>
      </c>
      <c r="E2017" s="76">
        <v>42445.0</v>
      </c>
      <c r="F2017" s="62">
        <v>42475.0</v>
      </c>
      <c r="G2017" s="20">
        <f t="shared" si="2"/>
        <v>0.9666666667</v>
      </c>
      <c r="H2017" s="18"/>
      <c r="I2017" s="20">
        <f t="shared" si="3"/>
        <v>-9.580555556</v>
      </c>
      <c r="J2017" s="53"/>
      <c r="K2017" s="53"/>
      <c r="L2017" s="23"/>
      <c r="M2017" s="23"/>
      <c r="N2017" s="23"/>
      <c r="O2017" s="23"/>
      <c r="P2017" s="54"/>
      <c r="Q2017" s="23"/>
      <c r="R2017" s="17"/>
      <c r="S2017" s="18"/>
      <c r="T2017" s="20"/>
    </row>
    <row r="2018">
      <c r="A2018" s="27" t="s">
        <v>2695</v>
      </c>
      <c r="B2018" s="28" t="s">
        <v>1859</v>
      </c>
      <c r="C2018" s="29"/>
      <c r="D2018" s="29" t="s">
        <v>1860</v>
      </c>
      <c r="E2018" s="70">
        <v>42445.0</v>
      </c>
      <c r="F2018" s="30">
        <v>42460.0</v>
      </c>
      <c r="G2018" s="32">
        <f t="shared" si="2"/>
        <v>0.4666666667</v>
      </c>
      <c r="H2018" s="33"/>
      <c r="I2018" s="32">
        <f t="shared" si="3"/>
        <v>-9.580555556</v>
      </c>
      <c r="J2018" s="34"/>
      <c r="K2018" s="34"/>
      <c r="L2018" s="35"/>
      <c r="M2018" s="35"/>
      <c r="N2018" s="35" t="s">
        <v>1612</v>
      </c>
      <c r="O2018" s="35"/>
      <c r="P2018" s="36"/>
      <c r="Q2018" s="35"/>
      <c r="R2018" s="29"/>
      <c r="S2018" s="33"/>
      <c r="T2018" s="32"/>
    </row>
    <row r="2019">
      <c r="A2019" s="15" t="s">
        <v>2789</v>
      </c>
      <c r="B2019" s="16" t="s">
        <v>1610</v>
      </c>
      <c r="C2019" s="17"/>
      <c r="D2019" s="17" t="s">
        <v>1611</v>
      </c>
      <c r="E2019" s="76">
        <v>42430.0</v>
      </c>
      <c r="F2019" s="62">
        <v>42460.0</v>
      </c>
      <c r="G2019" s="20">
        <f t="shared" si="2"/>
        <v>0.9666666667</v>
      </c>
      <c r="H2019" s="18"/>
      <c r="I2019" s="20">
        <f t="shared" si="3"/>
        <v>-9.622222222</v>
      </c>
      <c r="J2019" s="53"/>
      <c r="K2019" s="53"/>
      <c r="L2019" s="23"/>
      <c r="M2019" s="23"/>
      <c r="N2019" s="23"/>
      <c r="O2019" s="23"/>
      <c r="P2019" s="54"/>
      <c r="Q2019" s="23"/>
      <c r="R2019" s="17"/>
      <c r="S2019" s="18"/>
      <c r="T2019" s="20"/>
    </row>
    <row r="2020">
      <c r="A2020" s="27" t="s">
        <v>2790</v>
      </c>
      <c r="B2020" s="28" t="s">
        <v>1859</v>
      </c>
      <c r="C2020" s="29"/>
      <c r="D2020" s="29" t="s">
        <v>1860</v>
      </c>
      <c r="E2020" s="70">
        <v>42430.0</v>
      </c>
      <c r="F2020" s="30">
        <v>42444.0</v>
      </c>
      <c r="G2020" s="32">
        <f t="shared" si="2"/>
        <v>0.4666666667</v>
      </c>
      <c r="H2020" s="33"/>
      <c r="I2020" s="32">
        <f t="shared" si="3"/>
        <v>-9.622222222</v>
      </c>
      <c r="J2020" s="34"/>
      <c r="K2020" s="34"/>
      <c r="L2020" s="35"/>
      <c r="M2020" s="35"/>
      <c r="N2020" s="35" t="s">
        <v>1612</v>
      </c>
      <c r="O2020" s="35"/>
      <c r="P2020" s="36"/>
      <c r="Q2020" s="35"/>
      <c r="R2020" s="29"/>
      <c r="S2020" s="33"/>
      <c r="T2020" s="32"/>
    </row>
    <row r="2021">
      <c r="A2021" s="15" t="s">
        <v>2791</v>
      </c>
      <c r="B2021" s="16" t="s">
        <v>1610</v>
      </c>
      <c r="C2021" s="17"/>
      <c r="D2021" s="17" t="s">
        <v>1611</v>
      </c>
      <c r="E2021" s="76">
        <v>42416.0</v>
      </c>
      <c r="F2021" s="62">
        <v>42444.0</v>
      </c>
      <c r="G2021" s="20">
        <f t="shared" si="2"/>
        <v>0.9666666667</v>
      </c>
      <c r="H2021" s="18"/>
      <c r="I2021" s="20">
        <f t="shared" si="3"/>
        <v>-9.663888889</v>
      </c>
      <c r="J2021" s="53"/>
      <c r="K2021" s="53"/>
      <c r="L2021" s="23"/>
      <c r="M2021" s="23"/>
      <c r="N2021" s="23"/>
      <c r="O2021" s="23"/>
      <c r="P2021" s="54"/>
      <c r="Q2021" s="23"/>
      <c r="R2021" s="17"/>
      <c r="S2021" s="18"/>
      <c r="T2021" s="20"/>
    </row>
    <row r="2022">
      <c r="A2022" s="27" t="s">
        <v>1171</v>
      </c>
      <c r="B2022" s="28" t="s">
        <v>1859</v>
      </c>
      <c r="C2022" s="29"/>
      <c r="D2022" s="29" t="s">
        <v>1860</v>
      </c>
      <c r="E2022" s="70">
        <v>42416.0</v>
      </c>
      <c r="F2022" s="30">
        <v>42429.0</v>
      </c>
      <c r="G2022" s="32">
        <f t="shared" si="2"/>
        <v>0.4333333333</v>
      </c>
      <c r="H2022" s="33"/>
      <c r="I2022" s="32">
        <f t="shared" si="3"/>
        <v>-9.663888889</v>
      </c>
      <c r="J2022" s="34"/>
      <c r="K2022" s="34"/>
      <c r="L2022" s="35"/>
      <c r="M2022" s="35" t="s">
        <v>1614</v>
      </c>
      <c r="N2022" s="35" t="s">
        <v>1612</v>
      </c>
      <c r="O2022" s="35"/>
      <c r="P2022" s="36"/>
      <c r="Q2022" s="35"/>
      <c r="R2022" s="29"/>
      <c r="S2022" s="33"/>
      <c r="T2022" s="32"/>
    </row>
    <row r="2023">
      <c r="A2023" s="15" t="s">
        <v>2792</v>
      </c>
      <c r="B2023" s="16" t="s">
        <v>1610</v>
      </c>
      <c r="C2023" s="17"/>
      <c r="D2023" s="17" t="s">
        <v>1611</v>
      </c>
      <c r="E2023" s="76">
        <v>42401.0</v>
      </c>
      <c r="F2023" s="62">
        <v>42429.0</v>
      </c>
      <c r="G2023" s="20">
        <f t="shared" si="2"/>
        <v>0.9333333333</v>
      </c>
      <c r="H2023" s="18"/>
      <c r="I2023" s="20">
        <f t="shared" si="3"/>
        <v>-9.705555556</v>
      </c>
      <c r="J2023" s="53"/>
      <c r="K2023" s="53"/>
      <c r="L2023" s="23"/>
      <c r="M2023" s="23"/>
      <c r="N2023" s="23"/>
      <c r="O2023" s="23"/>
      <c r="P2023" s="54"/>
      <c r="Q2023" s="23"/>
      <c r="R2023" s="17"/>
      <c r="S2023" s="18"/>
      <c r="T2023" s="20"/>
    </row>
    <row r="2024">
      <c r="A2024" s="27" t="s">
        <v>2613</v>
      </c>
      <c r="B2024" s="28" t="s">
        <v>1859</v>
      </c>
      <c r="C2024" s="29"/>
      <c r="D2024" s="29" t="s">
        <v>1860</v>
      </c>
      <c r="E2024" s="70">
        <v>42401.0</v>
      </c>
      <c r="F2024" s="30">
        <v>42415.0</v>
      </c>
      <c r="G2024" s="32">
        <f t="shared" si="2"/>
        <v>0.4666666667</v>
      </c>
      <c r="H2024" s="33"/>
      <c r="I2024" s="32">
        <f t="shared" si="3"/>
        <v>-9.705555556</v>
      </c>
      <c r="J2024" s="34"/>
      <c r="K2024" s="34"/>
      <c r="L2024" s="35"/>
      <c r="M2024" s="35"/>
      <c r="N2024" s="35" t="s">
        <v>1612</v>
      </c>
      <c r="O2024" s="35"/>
      <c r="P2024" s="36"/>
      <c r="Q2024" s="35"/>
      <c r="R2024" s="29"/>
      <c r="S2024" s="33"/>
      <c r="T2024" s="32"/>
    </row>
    <row r="2025">
      <c r="A2025" s="15" t="s">
        <v>2793</v>
      </c>
      <c r="B2025" s="16" t="s">
        <v>1610</v>
      </c>
      <c r="C2025" s="17"/>
      <c r="D2025" s="17" t="s">
        <v>1611</v>
      </c>
      <c r="E2025" s="76">
        <v>42385.0</v>
      </c>
      <c r="F2025" s="62">
        <v>42415.0</v>
      </c>
      <c r="G2025" s="20">
        <f t="shared" si="2"/>
        <v>0.9666666667</v>
      </c>
      <c r="H2025" s="18"/>
      <c r="I2025" s="20">
        <f t="shared" si="3"/>
        <v>-9.747222222</v>
      </c>
      <c r="J2025" s="53"/>
      <c r="K2025" s="53"/>
      <c r="L2025" s="23"/>
      <c r="M2025" s="23"/>
      <c r="N2025" s="23"/>
      <c r="O2025" s="23"/>
      <c r="P2025" s="54"/>
      <c r="Q2025" s="23"/>
      <c r="R2025" s="17"/>
      <c r="S2025" s="18"/>
      <c r="T2025" s="20"/>
    </row>
    <row r="2026">
      <c r="A2026" s="27" t="s">
        <v>2794</v>
      </c>
      <c r="B2026" s="28" t="s">
        <v>1859</v>
      </c>
      <c r="C2026" s="29"/>
      <c r="D2026" s="29" t="s">
        <v>1860</v>
      </c>
      <c r="E2026" s="70">
        <v>42385.0</v>
      </c>
      <c r="F2026" s="30">
        <v>42400.0</v>
      </c>
      <c r="G2026" s="32">
        <f t="shared" si="2"/>
        <v>0.4666666667</v>
      </c>
      <c r="H2026" s="33"/>
      <c r="I2026" s="32">
        <f t="shared" si="3"/>
        <v>-9.747222222</v>
      </c>
      <c r="J2026" s="34"/>
      <c r="K2026" s="34"/>
      <c r="L2026" s="35"/>
      <c r="M2026" s="35"/>
      <c r="N2026" s="35" t="s">
        <v>1612</v>
      </c>
      <c r="O2026" s="35"/>
      <c r="P2026" s="36"/>
      <c r="Q2026" s="35"/>
      <c r="R2026" s="29"/>
      <c r="S2026" s="33"/>
      <c r="T2026" s="32"/>
    </row>
    <row r="2027">
      <c r="A2027" s="15" t="s">
        <v>2795</v>
      </c>
      <c r="B2027" s="16" t="s">
        <v>1610</v>
      </c>
      <c r="C2027" s="17"/>
      <c r="D2027" s="17" t="s">
        <v>1611</v>
      </c>
      <c r="E2027" s="76">
        <v>42370.0</v>
      </c>
      <c r="F2027" s="62">
        <v>42400.0</v>
      </c>
      <c r="G2027" s="20">
        <f t="shared" si="2"/>
        <v>0.9666666667</v>
      </c>
      <c r="H2027" s="18"/>
      <c r="I2027" s="20">
        <f t="shared" si="3"/>
        <v>-9.788888889</v>
      </c>
      <c r="J2027" s="53"/>
      <c r="K2027" s="53"/>
      <c r="L2027" s="23"/>
      <c r="M2027" s="23"/>
      <c r="N2027" s="23" t="s">
        <v>1612</v>
      </c>
      <c r="O2027" s="23"/>
      <c r="P2027" s="54"/>
      <c r="Q2027" s="23"/>
      <c r="R2027" s="17"/>
      <c r="S2027" s="18"/>
      <c r="T2027" s="20"/>
    </row>
    <row r="2028">
      <c r="A2028" s="27" t="s">
        <v>2796</v>
      </c>
      <c r="B2028" s="28" t="s">
        <v>1859</v>
      </c>
      <c r="C2028" s="29"/>
      <c r="D2028" s="29" t="s">
        <v>1860</v>
      </c>
      <c r="E2028" s="70">
        <v>42370.0</v>
      </c>
      <c r="F2028" s="30">
        <v>42384.0</v>
      </c>
      <c r="G2028" s="32">
        <f t="shared" si="2"/>
        <v>0.4666666667</v>
      </c>
      <c r="H2028" s="33"/>
      <c r="I2028" s="32">
        <f t="shared" si="3"/>
        <v>-9.788888889</v>
      </c>
      <c r="J2028" s="34"/>
      <c r="K2028" s="34"/>
      <c r="L2028" s="35"/>
      <c r="M2028" s="35"/>
      <c r="N2028" s="35" t="s">
        <v>1612</v>
      </c>
      <c r="O2028" s="35"/>
      <c r="P2028" s="36"/>
      <c r="Q2028" s="35"/>
      <c r="R2028" s="29"/>
      <c r="S2028" s="33"/>
      <c r="T2028" s="32"/>
    </row>
    <row r="2029">
      <c r="A2029" s="15" t="s">
        <v>2797</v>
      </c>
      <c r="B2029" s="16" t="s">
        <v>1610</v>
      </c>
      <c r="C2029" s="17"/>
      <c r="D2029" s="17" t="s">
        <v>1611</v>
      </c>
      <c r="E2029" s="76">
        <v>42354.0</v>
      </c>
      <c r="F2029" s="62">
        <v>42384.0</v>
      </c>
      <c r="G2029" s="20">
        <f t="shared" si="2"/>
        <v>0.9666666667</v>
      </c>
      <c r="H2029" s="18"/>
      <c r="I2029" s="20">
        <f t="shared" si="3"/>
        <v>-9.830555556</v>
      </c>
      <c r="J2029" s="53"/>
      <c r="K2029" s="53"/>
      <c r="L2029" s="23"/>
      <c r="M2029" s="23"/>
      <c r="N2029" s="23"/>
      <c r="O2029" s="23"/>
      <c r="P2029" s="54"/>
      <c r="Q2029" s="23"/>
      <c r="R2029" s="17"/>
      <c r="S2029" s="18"/>
      <c r="T2029" s="20"/>
    </row>
    <row r="2030">
      <c r="A2030" s="27" t="s">
        <v>2708</v>
      </c>
      <c r="B2030" s="28" t="s">
        <v>1859</v>
      </c>
      <c r="C2030" s="29"/>
      <c r="D2030" s="29" t="s">
        <v>1860</v>
      </c>
      <c r="E2030" s="70">
        <v>42354.0</v>
      </c>
      <c r="F2030" s="30">
        <v>42369.0</v>
      </c>
      <c r="G2030" s="32">
        <f t="shared" si="2"/>
        <v>0.4666666667</v>
      </c>
      <c r="H2030" s="33"/>
      <c r="I2030" s="32">
        <f t="shared" si="3"/>
        <v>-9.830555556</v>
      </c>
      <c r="J2030" s="34"/>
      <c r="K2030" s="34"/>
      <c r="L2030" s="35"/>
      <c r="M2030" s="35"/>
      <c r="N2030" s="35" t="s">
        <v>1612</v>
      </c>
      <c r="O2030" s="35"/>
      <c r="P2030" s="36"/>
      <c r="Q2030" s="35"/>
      <c r="R2030" s="29"/>
      <c r="S2030" s="33"/>
      <c r="T2030" s="32"/>
    </row>
    <row r="2031">
      <c r="A2031" s="15" t="s">
        <v>2705</v>
      </c>
      <c r="B2031" s="16" t="s">
        <v>1859</v>
      </c>
      <c r="C2031" s="17"/>
      <c r="D2031" s="17" t="s">
        <v>1860</v>
      </c>
      <c r="E2031" s="76">
        <v>42354.0</v>
      </c>
      <c r="F2031" s="62">
        <v>42369.0</v>
      </c>
      <c r="G2031" s="20">
        <f t="shared" si="2"/>
        <v>0.4666666667</v>
      </c>
      <c r="H2031" s="18"/>
      <c r="I2031" s="20">
        <f t="shared" si="3"/>
        <v>-9.830555556</v>
      </c>
      <c r="J2031" s="53"/>
      <c r="K2031" s="53"/>
      <c r="L2031" s="23"/>
      <c r="M2031" s="23"/>
      <c r="N2031" s="23" t="s">
        <v>1612</v>
      </c>
      <c r="O2031" s="23"/>
      <c r="P2031" s="54"/>
      <c r="Q2031" s="23"/>
      <c r="R2031" s="17"/>
      <c r="S2031" s="18"/>
      <c r="T2031" s="20"/>
    </row>
    <row r="2032">
      <c r="A2032" s="27" t="s">
        <v>2798</v>
      </c>
      <c r="B2032" s="28" t="s">
        <v>1610</v>
      </c>
      <c r="C2032" s="29"/>
      <c r="D2032" s="29" t="s">
        <v>1611</v>
      </c>
      <c r="E2032" s="70">
        <v>42339.0</v>
      </c>
      <c r="F2032" s="30">
        <v>42369.0</v>
      </c>
      <c r="G2032" s="32">
        <f t="shared" si="2"/>
        <v>0.9666666667</v>
      </c>
      <c r="H2032" s="33"/>
      <c r="I2032" s="32">
        <f t="shared" si="3"/>
        <v>-9.872222222</v>
      </c>
      <c r="J2032" s="34"/>
      <c r="K2032" s="34"/>
      <c r="L2032" s="35"/>
      <c r="M2032" s="35"/>
      <c r="N2032" s="35"/>
      <c r="O2032" s="35"/>
      <c r="P2032" s="36"/>
      <c r="Q2032" s="35"/>
      <c r="R2032" s="29"/>
      <c r="S2032" s="33"/>
      <c r="T2032" s="32"/>
    </row>
    <row r="2033">
      <c r="A2033" s="15" t="s">
        <v>2540</v>
      </c>
      <c r="B2033" s="16" t="s">
        <v>1859</v>
      </c>
      <c r="C2033" s="17"/>
      <c r="D2033" s="17" t="s">
        <v>1860</v>
      </c>
      <c r="E2033" s="76">
        <v>42339.0</v>
      </c>
      <c r="F2033" s="62">
        <v>42353.0</v>
      </c>
      <c r="G2033" s="20">
        <f t="shared" si="2"/>
        <v>0.4666666667</v>
      </c>
      <c r="H2033" s="18"/>
      <c r="I2033" s="20">
        <f t="shared" si="3"/>
        <v>-9.872222222</v>
      </c>
      <c r="J2033" s="53"/>
      <c r="K2033" s="53"/>
      <c r="L2033" s="23"/>
      <c r="M2033" s="23"/>
      <c r="N2033" s="23" t="s">
        <v>1612</v>
      </c>
      <c r="O2033" s="23"/>
      <c r="P2033" s="54"/>
      <c r="Q2033" s="23"/>
      <c r="R2033" s="17"/>
      <c r="S2033" s="18"/>
      <c r="T2033" s="20"/>
    </row>
    <row r="2034">
      <c r="A2034" s="27" t="s">
        <v>2587</v>
      </c>
      <c r="B2034" s="28" t="s">
        <v>1610</v>
      </c>
      <c r="C2034" s="29"/>
      <c r="D2034" s="29" t="s">
        <v>1611</v>
      </c>
      <c r="E2034" s="70">
        <v>42324.0</v>
      </c>
      <c r="F2034" s="30">
        <v>42353.0</v>
      </c>
      <c r="G2034" s="32">
        <f t="shared" si="2"/>
        <v>0.9666666667</v>
      </c>
      <c r="H2034" s="33"/>
      <c r="I2034" s="32">
        <f t="shared" si="3"/>
        <v>-9.913888889</v>
      </c>
      <c r="J2034" s="34"/>
      <c r="K2034" s="34"/>
      <c r="L2034" s="35"/>
      <c r="M2034" s="35"/>
      <c r="N2034" s="35"/>
      <c r="O2034" s="35"/>
      <c r="P2034" s="36"/>
      <c r="Q2034" s="35"/>
      <c r="R2034" s="29"/>
      <c r="S2034" s="33"/>
      <c r="T2034" s="32"/>
    </row>
    <row r="2035">
      <c r="A2035" s="15" t="s">
        <v>2799</v>
      </c>
      <c r="B2035" s="16" t="s">
        <v>1859</v>
      </c>
      <c r="C2035" s="17"/>
      <c r="D2035" s="17" t="s">
        <v>1860</v>
      </c>
      <c r="E2035" s="76">
        <v>42324.0</v>
      </c>
      <c r="F2035" s="62">
        <v>42338.0</v>
      </c>
      <c r="G2035" s="20">
        <f t="shared" si="2"/>
        <v>0.4666666667</v>
      </c>
      <c r="H2035" s="18"/>
      <c r="I2035" s="20">
        <f t="shared" si="3"/>
        <v>-9.913888889</v>
      </c>
      <c r="J2035" s="53"/>
      <c r="K2035" s="53"/>
      <c r="L2035" s="23"/>
      <c r="M2035" s="23"/>
      <c r="N2035" s="23" t="s">
        <v>1612</v>
      </c>
      <c r="O2035" s="23"/>
      <c r="P2035" s="54"/>
      <c r="Q2035" s="23"/>
      <c r="R2035" s="17"/>
      <c r="S2035" s="18"/>
      <c r="T2035" s="20"/>
    </row>
    <row r="2036">
      <c r="A2036" s="27" t="s">
        <v>2800</v>
      </c>
      <c r="B2036" s="28" t="s">
        <v>1610</v>
      </c>
      <c r="C2036" s="29"/>
      <c r="D2036" s="29" t="s">
        <v>1611</v>
      </c>
      <c r="E2036" s="70">
        <v>42309.0</v>
      </c>
      <c r="F2036" s="30">
        <v>42338.0</v>
      </c>
      <c r="G2036" s="32">
        <f t="shared" si="2"/>
        <v>0.9666666667</v>
      </c>
      <c r="H2036" s="33"/>
      <c r="I2036" s="32">
        <f t="shared" si="3"/>
        <v>-9.955555556</v>
      </c>
      <c r="J2036" s="34"/>
      <c r="K2036" s="34"/>
      <c r="L2036" s="35"/>
      <c r="M2036" s="35"/>
      <c r="N2036" s="35"/>
      <c r="O2036" s="35"/>
      <c r="P2036" s="36"/>
      <c r="Q2036" s="35"/>
      <c r="R2036" s="29"/>
      <c r="S2036" s="33"/>
      <c r="T2036" s="32"/>
    </row>
    <row r="2037">
      <c r="A2037" s="15" t="s">
        <v>2801</v>
      </c>
      <c r="B2037" s="16" t="s">
        <v>1859</v>
      </c>
      <c r="C2037" s="17"/>
      <c r="D2037" s="17" t="s">
        <v>1860</v>
      </c>
      <c r="E2037" s="76">
        <v>42309.0</v>
      </c>
      <c r="F2037" s="62">
        <v>42323.0</v>
      </c>
      <c r="G2037" s="20">
        <f t="shared" si="2"/>
        <v>0.4666666667</v>
      </c>
      <c r="H2037" s="18"/>
      <c r="I2037" s="20">
        <f t="shared" si="3"/>
        <v>-9.955555556</v>
      </c>
      <c r="J2037" s="53"/>
      <c r="K2037" s="53"/>
      <c r="L2037" s="23"/>
      <c r="M2037" s="23"/>
      <c r="N2037" s="23" t="s">
        <v>1612</v>
      </c>
      <c r="O2037" s="23"/>
      <c r="P2037" s="54"/>
      <c r="Q2037" s="23"/>
      <c r="R2037" s="17"/>
      <c r="S2037" s="18"/>
      <c r="T2037" s="20"/>
    </row>
    <row r="2038">
      <c r="A2038" s="27" t="s">
        <v>1101</v>
      </c>
      <c r="B2038" s="28" t="s">
        <v>1610</v>
      </c>
      <c r="C2038" s="29"/>
      <c r="D2038" s="29" t="s">
        <v>1611</v>
      </c>
      <c r="E2038" s="70">
        <v>42293.0</v>
      </c>
      <c r="F2038" s="30">
        <v>42323.0</v>
      </c>
      <c r="G2038" s="32">
        <f t="shared" si="2"/>
        <v>0.9666666667</v>
      </c>
      <c r="H2038" s="33"/>
      <c r="I2038" s="32">
        <f t="shared" si="3"/>
        <v>-9.997222222</v>
      </c>
      <c r="J2038" s="34"/>
      <c r="K2038" s="34"/>
      <c r="L2038" s="35"/>
      <c r="M2038" s="35"/>
      <c r="N2038" s="35"/>
      <c r="O2038" s="35"/>
      <c r="P2038" s="36"/>
      <c r="Q2038" s="35"/>
      <c r="R2038" s="29"/>
      <c r="S2038" s="33"/>
      <c r="T2038" s="32"/>
    </row>
    <row r="2039">
      <c r="A2039" s="15" t="s">
        <v>1101</v>
      </c>
      <c r="B2039" s="16" t="s">
        <v>1859</v>
      </c>
      <c r="C2039" s="17"/>
      <c r="D2039" s="17" t="s">
        <v>1860</v>
      </c>
      <c r="E2039" s="76">
        <v>42293.0</v>
      </c>
      <c r="F2039" s="62">
        <v>42308.0</v>
      </c>
      <c r="G2039" s="20">
        <f t="shared" si="2"/>
        <v>0.4666666667</v>
      </c>
      <c r="H2039" s="18"/>
      <c r="I2039" s="20">
        <f t="shared" si="3"/>
        <v>-9.997222222</v>
      </c>
      <c r="J2039" s="53"/>
      <c r="K2039" s="53"/>
      <c r="L2039" s="23"/>
      <c r="M2039" s="23"/>
      <c r="N2039" s="23" t="s">
        <v>1612</v>
      </c>
      <c r="O2039" s="23"/>
      <c r="P2039" s="54"/>
      <c r="Q2039" s="23"/>
      <c r="R2039" s="17"/>
      <c r="S2039" s="18"/>
      <c r="T2039" s="20"/>
    </row>
    <row r="2040">
      <c r="A2040" s="27" t="s">
        <v>108</v>
      </c>
      <c r="B2040" s="28" t="s">
        <v>1610</v>
      </c>
      <c r="C2040" s="29"/>
      <c r="D2040" s="29" t="s">
        <v>1611</v>
      </c>
      <c r="E2040" s="70">
        <v>42278.0</v>
      </c>
      <c r="F2040" s="30">
        <v>42308.0</v>
      </c>
      <c r="G2040" s="32">
        <f t="shared" si="2"/>
        <v>0.9666666667</v>
      </c>
      <c r="H2040" s="33"/>
      <c r="I2040" s="32">
        <f t="shared" si="3"/>
        <v>-10.03888889</v>
      </c>
      <c r="J2040" s="34"/>
      <c r="K2040" s="34"/>
      <c r="L2040" s="35"/>
      <c r="M2040" s="35"/>
      <c r="N2040" s="35"/>
      <c r="O2040" s="35"/>
      <c r="P2040" s="36"/>
      <c r="Q2040" s="35"/>
      <c r="R2040" s="29"/>
      <c r="S2040" s="33"/>
      <c r="T2040" s="32"/>
    </row>
    <row r="2041">
      <c r="A2041" s="15" t="s">
        <v>2638</v>
      </c>
      <c r="B2041" s="16" t="s">
        <v>1859</v>
      </c>
      <c r="C2041" s="17"/>
      <c r="D2041" s="17" t="s">
        <v>1860</v>
      </c>
      <c r="E2041" s="76">
        <v>42278.0</v>
      </c>
      <c r="F2041" s="62">
        <v>42292.0</v>
      </c>
      <c r="G2041" s="20">
        <f t="shared" si="2"/>
        <v>0.4666666667</v>
      </c>
      <c r="H2041" s="18"/>
      <c r="I2041" s="20">
        <f t="shared" si="3"/>
        <v>-10.03888889</v>
      </c>
      <c r="J2041" s="53"/>
      <c r="K2041" s="53"/>
      <c r="L2041" s="23"/>
      <c r="M2041" s="23"/>
      <c r="N2041" s="23"/>
      <c r="O2041" s="23"/>
      <c r="P2041" s="54"/>
      <c r="Q2041" s="23"/>
      <c r="R2041" s="17"/>
      <c r="S2041" s="18"/>
      <c r="T2041" s="20"/>
    </row>
    <row r="2042">
      <c r="A2042" s="27" t="s">
        <v>449</v>
      </c>
      <c r="B2042" s="28" t="s">
        <v>1610</v>
      </c>
      <c r="C2042" s="29"/>
      <c r="D2042" s="29" t="s">
        <v>1611</v>
      </c>
      <c r="E2042" s="70">
        <v>42263.0</v>
      </c>
      <c r="F2042" s="30">
        <v>42292.0</v>
      </c>
      <c r="G2042" s="32">
        <f t="shared" si="2"/>
        <v>0.9666666667</v>
      </c>
      <c r="H2042" s="33"/>
      <c r="I2042" s="32">
        <f t="shared" si="3"/>
        <v>-10.08055556</v>
      </c>
      <c r="J2042" s="34"/>
      <c r="K2042" s="34"/>
      <c r="L2042" s="35"/>
      <c r="M2042" s="35"/>
      <c r="N2042" s="35"/>
      <c r="O2042" s="35"/>
      <c r="P2042" s="36"/>
      <c r="Q2042" s="35"/>
      <c r="R2042" s="29"/>
      <c r="S2042" s="33"/>
      <c r="T2042" s="32"/>
    </row>
    <row r="2043">
      <c r="A2043" s="15" t="s">
        <v>886</v>
      </c>
      <c r="B2043" s="16" t="s">
        <v>1859</v>
      </c>
      <c r="C2043" s="17"/>
      <c r="D2043" s="17" t="s">
        <v>1860</v>
      </c>
      <c r="E2043" s="76">
        <v>42263.0</v>
      </c>
      <c r="F2043" s="62">
        <v>42277.0</v>
      </c>
      <c r="G2043" s="20">
        <f t="shared" si="2"/>
        <v>0.4666666667</v>
      </c>
      <c r="H2043" s="18"/>
      <c r="I2043" s="20">
        <f t="shared" si="3"/>
        <v>-10.08055556</v>
      </c>
      <c r="J2043" s="53"/>
      <c r="K2043" s="53"/>
      <c r="L2043" s="23"/>
      <c r="M2043" s="23"/>
      <c r="N2043" s="23" t="s">
        <v>1612</v>
      </c>
      <c r="O2043" s="23"/>
      <c r="P2043" s="54"/>
      <c r="Q2043" s="23"/>
      <c r="R2043" s="17"/>
      <c r="S2043" s="18"/>
      <c r="T2043" s="20"/>
    </row>
    <row r="2044">
      <c r="A2044" s="27" t="s">
        <v>2802</v>
      </c>
      <c r="B2044" s="28" t="s">
        <v>1610</v>
      </c>
      <c r="C2044" s="29"/>
      <c r="D2044" s="29" t="s">
        <v>1611</v>
      </c>
      <c r="E2044" s="70">
        <v>42248.0</v>
      </c>
      <c r="F2044" s="30">
        <v>42277.0</v>
      </c>
      <c r="G2044" s="32">
        <f t="shared" si="2"/>
        <v>0.9666666667</v>
      </c>
      <c r="H2044" s="33"/>
      <c r="I2044" s="32">
        <f t="shared" si="3"/>
        <v>-10.12222222</v>
      </c>
      <c r="J2044" s="34"/>
      <c r="K2044" s="34"/>
      <c r="L2044" s="35"/>
      <c r="M2044" s="35"/>
      <c r="N2044" s="35"/>
      <c r="O2044" s="35"/>
      <c r="P2044" s="36"/>
      <c r="Q2044" s="35"/>
      <c r="R2044" s="29"/>
      <c r="S2044" s="33"/>
      <c r="T2044" s="32"/>
    </row>
    <row r="2045">
      <c r="A2045" s="15" t="s">
        <v>2803</v>
      </c>
      <c r="B2045" s="16" t="s">
        <v>1859</v>
      </c>
      <c r="C2045" s="17"/>
      <c r="D2045" s="17" t="s">
        <v>1860</v>
      </c>
      <c r="E2045" s="76">
        <v>42248.0</v>
      </c>
      <c r="F2045" s="62">
        <v>42262.0</v>
      </c>
      <c r="G2045" s="20">
        <f t="shared" si="2"/>
        <v>0.4666666667</v>
      </c>
      <c r="H2045" s="18"/>
      <c r="I2045" s="20">
        <f t="shared" si="3"/>
        <v>-10.12222222</v>
      </c>
      <c r="J2045" s="53"/>
      <c r="K2045" s="53"/>
      <c r="L2045" s="23"/>
      <c r="M2045" s="23"/>
      <c r="N2045" s="23" t="s">
        <v>1612</v>
      </c>
      <c r="O2045" s="23"/>
      <c r="P2045" s="54"/>
      <c r="Q2045" s="23"/>
      <c r="R2045" s="17"/>
      <c r="S2045" s="18"/>
      <c r="T2045" s="20"/>
    </row>
    <row r="2046">
      <c r="A2046" s="27" t="s">
        <v>2804</v>
      </c>
      <c r="B2046" s="28" t="s">
        <v>1610</v>
      </c>
      <c r="C2046" s="29"/>
      <c r="D2046" s="29" t="s">
        <v>1611</v>
      </c>
      <c r="E2046" s="70">
        <v>42232.0</v>
      </c>
      <c r="F2046" s="30">
        <v>42262.0</v>
      </c>
      <c r="G2046" s="32">
        <f t="shared" si="2"/>
        <v>0.9666666667</v>
      </c>
      <c r="H2046" s="33"/>
      <c r="I2046" s="32">
        <f t="shared" si="3"/>
        <v>-10.16388889</v>
      </c>
      <c r="J2046" s="34"/>
      <c r="K2046" s="34"/>
      <c r="L2046" s="35"/>
      <c r="M2046" s="35"/>
      <c r="N2046" s="35"/>
      <c r="O2046" s="35"/>
      <c r="P2046" s="36"/>
      <c r="Q2046" s="35"/>
      <c r="R2046" s="29"/>
      <c r="S2046" s="33"/>
      <c r="T2046" s="32"/>
    </row>
    <row r="2047">
      <c r="A2047" s="15" t="s">
        <v>2805</v>
      </c>
      <c r="B2047" s="16" t="s">
        <v>1859</v>
      </c>
      <c r="C2047" s="17"/>
      <c r="D2047" s="17" t="s">
        <v>1860</v>
      </c>
      <c r="E2047" s="76">
        <v>42232.0</v>
      </c>
      <c r="F2047" s="62">
        <v>42247.0</v>
      </c>
      <c r="G2047" s="20">
        <f t="shared" si="2"/>
        <v>0.4666666667</v>
      </c>
      <c r="H2047" s="18"/>
      <c r="I2047" s="20">
        <f t="shared" si="3"/>
        <v>-10.16388889</v>
      </c>
      <c r="J2047" s="53"/>
      <c r="K2047" s="53"/>
      <c r="L2047" s="23"/>
      <c r="M2047" s="23"/>
      <c r="N2047" s="23"/>
      <c r="O2047" s="23"/>
      <c r="P2047" s="54"/>
      <c r="Q2047" s="23"/>
      <c r="R2047" s="17"/>
      <c r="S2047" s="18"/>
      <c r="T2047" s="20"/>
    </row>
    <row r="2048">
      <c r="A2048" s="27" t="s">
        <v>2638</v>
      </c>
      <c r="B2048" s="28" t="s">
        <v>1610</v>
      </c>
      <c r="C2048" s="29"/>
      <c r="D2048" s="29" t="s">
        <v>1611</v>
      </c>
      <c r="E2048" s="70">
        <v>42217.0</v>
      </c>
      <c r="F2048" s="30">
        <v>42247.0</v>
      </c>
      <c r="G2048" s="32">
        <f t="shared" si="2"/>
        <v>0.9666666667</v>
      </c>
      <c r="H2048" s="33"/>
      <c r="I2048" s="32">
        <f t="shared" si="3"/>
        <v>-10.20555556</v>
      </c>
      <c r="J2048" s="34"/>
      <c r="K2048" s="34"/>
      <c r="L2048" s="35"/>
      <c r="M2048" s="35"/>
      <c r="N2048" s="35"/>
      <c r="O2048" s="35"/>
      <c r="P2048" s="36"/>
      <c r="Q2048" s="35"/>
      <c r="R2048" s="29"/>
      <c r="S2048" s="33"/>
      <c r="T2048" s="32"/>
    </row>
    <row r="2049">
      <c r="A2049" s="15" t="s">
        <v>2806</v>
      </c>
      <c r="B2049" s="16" t="s">
        <v>1859</v>
      </c>
      <c r="C2049" s="17"/>
      <c r="D2049" s="17" t="s">
        <v>1860</v>
      </c>
      <c r="E2049" s="76">
        <v>42217.0</v>
      </c>
      <c r="F2049" s="62">
        <v>42231.0</v>
      </c>
      <c r="G2049" s="20">
        <f t="shared" si="2"/>
        <v>0.4666666667</v>
      </c>
      <c r="H2049" s="18"/>
      <c r="I2049" s="20">
        <f t="shared" si="3"/>
        <v>-10.20555556</v>
      </c>
      <c r="J2049" s="53"/>
      <c r="K2049" s="53"/>
      <c r="L2049" s="23"/>
      <c r="M2049" s="23"/>
      <c r="N2049" s="23"/>
      <c r="O2049" s="23"/>
      <c r="P2049" s="54"/>
      <c r="Q2049" s="23"/>
      <c r="R2049" s="17"/>
      <c r="S2049" s="18"/>
      <c r="T2049" s="20"/>
    </row>
    <row r="2050">
      <c r="A2050" s="27" t="s">
        <v>2677</v>
      </c>
      <c r="B2050" s="28" t="s">
        <v>1610</v>
      </c>
      <c r="C2050" s="29"/>
      <c r="D2050" s="29" t="s">
        <v>1611</v>
      </c>
      <c r="E2050" s="70">
        <v>42201.0</v>
      </c>
      <c r="F2050" s="30">
        <v>42231.0</v>
      </c>
      <c r="G2050" s="32">
        <f t="shared" si="2"/>
        <v>0.9666666667</v>
      </c>
      <c r="H2050" s="33"/>
      <c r="I2050" s="32">
        <f t="shared" si="3"/>
        <v>-10.24722222</v>
      </c>
      <c r="J2050" s="34"/>
      <c r="K2050" s="34"/>
      <c r="L2050" s="35"/>
      <c r="M2050" s="35"/>
      <c r="N2050" s="35"/>
      <c r="O2050" s="35"/>
      <c r="P2050" s="36"/>
      <c r="Q2050" s="35"/>
      <c r="R2050" s="29"/>
      <c r="S2050" s="33"/>
      <c r="T2050" s="32"/>
    </row>
    <row r="2051">
      <c r="A2051" s="15" t="s">
        <v>1172</v>
      </c>
      <c r="B2051" s="16" t="s">
        <v>1859</v>
      </c>
      <c r="C2051" s="17"/>
      <c r="D2051" s="17" t="s">
        <v>1860</v>
      </c>
      <c r="E2051" s="76">
        <v>42201.0</v>
      </c>
      <c r="F2051" s="62">
        <v>42216.0</v>
      </c>
      <c r="G2051" s="20">
        <f t="shared" si="2"/>
        <v>0.4666666667</v>
      </c>
      <c r="H2051" s="18"/>
      <c r="I2051" s="20">
        <f t="shared" si="3"/>
        <v>-10.24722222</v>
      </c>
      <c r="J2051" s="53"/>
      <c r="K2051" s="53"/>
      <c r="L2051" s="23"/>
      <c r="M2051" s="23" t="s">
        <v>1614</v>
      </c>
      <c r="N2051" s="23" t="s">
        <v>1612</v>
      </c>
      <c r="O2051" s="23"/>
      <c r="P2051" s="54"/>
      <c r="Q2051" s="23"/>
      <c r="R2051" s="17"/>
      <c r="S2051" s="18"/>
      <c r="T2051" s="20"/>
    </row>
    <row r="2052">
      <c r="A2052" s="27" t="s">
        <v>2807</v>
      </c>
      <c r="B2052" s="28" t="s">
        <v>1610</v>
      </c>
      <c r="C2052" s="29"/>
      <c r="D2052" s="29" t="s">
        <v>1611</v>
      </c>
      <c r="E2052" s="70">
        <v>42186.0</v>
      </c>
      <c r="F2052" s="30">
        <v>42216.0</v>
      </c>
      <c r="G2052" s="32">
        <f t="shared" si="2"/>
        <v>0.9666666667</v>
      </c>
      <c r="H2052" s="33"/>
      <c r="I2052" s="32">
        <f t="shared" si="3"/>
        <v>-10.28888889</v>
      </c>
      <c r="J2052" s="34"/>
      <c r="K2052" s="34"/>
      <c r="L2052" s="35"/>
      <c r="M2052" s="35"/>
      <c r="N2052" s="35"/>
      <c r="O2052" s="35"/>
      <c r="P2052" s="36"/>
      <c r="Q2052" s="35"/>
      <c r="R2052" s="29"/>
      <c r="S2052" s="33"/>
      <c r="T2052" s="32"/>
    </row>
    <row r="2053">
      <c r="A2053" s="15" t="s">
        <v>2808</v>
      </c>
      <c r="B2053" s="16" t="s">
        <v>1859</v>
      </c>
      <c r="C2053" s="17"/>
      <c r="D2053" s="17" t="s">
        <v>1860</v>
      </c>
      <c r="E2053" s="76">
        <v>42186.0</v>
      </c>
      <c r="F2053" s="62">
        <v>42200.0</v>
      </c>
      <c r="G2053" s="20">
        <f t="shared" si="2"/>
        <v>0.4666666667</v>
      </c>
      <c r="H2053" s="18"/>
      <c r="I2053" s="20">
        <f t="shared" si="3"/>
        <v>-10.28888889</v>
      </c>
      <c r="J2053" s="53"/>
      <c r="K2053" s="53"/>
      <c r="L2053" s="23"/>
      <c r="M2053" s="23"/>
      <c r="N2053" s="23" t="s">
        <v>1612</v>
      </c>
      <c r="O2053" s="23"/>
      <c r="P2053" s="54"/>
      <c r="Q2053" s="23"/>
      <c r="R2053" s="17"/>
      <c r="S2053" s="18"/>
      <c r="T2053" s="20"/>
    </row>
    <row r="2054">
      <c r="A2054" s="27" t="s">
        <v>566</v>
      </c>
      <c r="B2054" s="28" t="s">
        <v>1610</v>
      </c>
      <c r="C2054" s="29"/>
      <c r="D2054" s="29" t="s">
        <v>1611</v>
      </c>
      <c r="E2054" s="70">
        <v>42156.0</v>
      </c>
      <c r="F2054" s="30">
        <v>42200.0</v>
      </c>
      <c r="G2054" s="32">
        <f t="shared" si="2"/>
        <v>1.466666667</v>
      </c>
      <c r="H2054" s="33"/>
      <c r="I2054" s="32">
        <f t="shared" si="3"/>
        <v>-10.37222222</v>
      </c>
      <c r="J2054" s="34"/>
      <c r="K2054" s="34"/>
      <c r="L2054" s="35"/>
      <c r="M2054" s="35"/>
      <c r="N2054" s="35"/>
      <c r="O2054" s="35"/>
      <c r="P2054" s="36"/>
      <c r="Q2054" s="35"/>
      <c r="R2054" s="29"/>
      <c r="S2054" s="33"/>
      <c r="T2054" s="32"/>
    </row>
    <row r="2055">
      <c r="A2055" s="15" t="s">
        <v>2797</v>
      </c>
      <c r="B2055" s="16" t="s">
        <v>1859</v>
      </c>
      <c r="C2055" s="17"/>
      <c r="D2055" s="17" t="s">
        <v>1860</v>
      </c>
      <c r="E2055" s="76">
        <v>42171.0</v>
      </c>
      <c r="F2055" s="62">
        <v>42185.0</v>
      </c>
      <c r="G2055" s="20">
        <f t="shared" si="2"/>
        <v>0.4666666667</v>
      </c>
      <c r="H2055" s="18"/>
      <c r="I2055" s="20">
        <f t="shared" si="3"/>
        <v>-10.33055556</v>
      </c>
      <c r="J2055" s="53"/>
      <c r="K2055" s="53"/>
      <c r="L2055" s="23"/>
      <c r="M2055" s="23"/>
      <c r="N2055" s="23"/>
      <c r="O2055" s="23"/>
      <c r="P2055" s="54"/>
      <c r="Q2055" s="23"/>
      <c r="R2055" s="17"/>
      <c r="S2055" s="18"/>
      <c r="T2055" s="20"/>
    </row>
    <row r="2056">
      <c r="A2056" s="27" t="s">
        <v>2809</v>
      </c>
      <c r="B2056" s="28" t="s">
        <v>1610</v>
      </c>
      <c r="C2056" s="29"/>
      <c r="D2056" s="29" t="s">
        <v>1611</v>
      </c>
      <c r="E2056" s="70">
        <v>42095.0</v>
      </c>
      <c r="F2056" s="30">
        <v>42185.0</v>
      </c>
      <c r="G2056" s="32">
        <f t="shared" si="2"/>
        <v>2.966666667</v>
      </c>
      <c r="H2056" s="33"/>
      <c r="I2056" s="32">
        <f t="shared" si="3"/>
        <v>-10.53888889</v>
      </c>
      <c r="J2056" s="34"/>
      <c r="K2056" s="34"/>
      <c r="L2056" s="35"/>
      <c r="M2056" s="35"/>
      <c r="N2056" s="35"/>
      <c r="O2056" s="35"/>
      <c r="P2056" s="36"/>
      <c r="Q2056" s="35"/>
      <c r="R2056" s="29"/>
      <c r="S2056" s="33"/>
      <c r="T2056" s="32"/>
    </row>
    <row r="2057">
      <c r="A2057" s="15" t="s">
        <v>2810</v>
      </c>
      <c r="B2057" s="16" t="s">
        <v>1859</v>
      </c>
      <c r="C2057" s="17"/>
      <c r="D2057" s="17" t="s">
        <v>1860</v>
      </c>
      <c r="E2057" s="76">
        <v>42156.0</v>
      </c>
      <c r="F2057" s="62">
        <v>42170.0</v>
      </c>
      <c r="G2057" s="20">
        <f t="shared" si="2"/>
        <v>0.4666666667</v>
      </c>
      <c r="H2057" s="18"/>
      <c r="I2057" s="20">
        <f t="shared" si="3"/>
        <v>-10.37222222</v>
      </c>
      <c r="J2057" s="53"/>
      <c r="K2057" s="53"/>
      <c r="L2057" s="23"/>
      <c r="M2057" s="23"/>
      <c r="N2057" s="23" t="s">
        <v>1612</v>
      </c>
      <c r="O2057" s="23"/>
      <c r="P2057" s="54"/>
      <c r="Q2057" s="23"/>
      <c r="R2057" s="17"/>
      <c r="S2057" s="18"/>
      <c r="T2057" s="20"/>
    </row>
    <row r="2058">
      <c r="A2058" s="27" t="s">
        <v>2811</v>
      </c>
      <c r="B2058" s="28" t="s">
        <v>1859</v>
      </c>
      <c r="C2058" s="29"/>
      <c r="D2058" s="29" t="s">
        <v>1860</v>
      </c>
      <c r="E2058" s="70">
        <v>42140.0</v>
      </c>
      <c r="F2058" s="30">
        <v>42155.0</v>
      </c>
      <c r="G2058" s="32">
        <f t="shared" si="2"/>
        <v>0.4666666667</v>
      </c>
      <c r="H2058" s="33"/>
      <c r="I2058" s="32">
        <f t="shared" si="3"/>
        <v>-10.41388889</v>
      </c>
      <c r="J2058" s="34"/>
      <c r="K2058" s="34"/>
      <c r="L2058" s="35"/>
      <c r="M2058" s="35"/>
      <c r="N2058" s="35"/>
      <c r="O2058" s="35"/>
      <c r="P2058" s="36"/>
      <c r="Q2058" s="35"/>
      <c r="R2058" s="29"/>
      <c r="S2058" s="33"/>
      <c r="T2058" s="32"/>
    </row>
    <row r="2059">
      <c r="A2059" s="15" t="s">
        <v>2812</v>
      </c>
      <c r="B2059" s="16" t="s">
        <v>1610</v>
      </c>
      <c r="C2059" s="17"/>
      <c r="D2059" s="17" t="s">
        <v>1611</v>
      </c>
      <c r="E2059" s="76">
        <v>42125.0</v>
      </c>
      <c r="F2059" s="62">
        <v>42155.0</v>
      </c>
      <c r="G2059" s="20">
        <f t="shared" si="2"/>
        <v>0.9666666667</v>
      </c>
      <c r="H2059" s="18"/>
      <c r="I2059" s="20">
        <f t="shared" si="3"/>
        <v>-10.45555556</v>
      </c>
      <c r="J2059" s="53"/>
      <c r="K2059" s="53"/>
      <c r="L2059" s="23"/>
      <c r="M2059" s="23"/>
      <c r="N2059" s="23"/>
      <c r="O2059" s="23"/>
      <c r="P2059" s="54"/>
      <c r="Q2059" s="23"/>
      <c r="R2059" s="17"/>
      <c r="S2059" s="18"/>
      <c r="T2059" s="20"/>
    </row>
    <row r="2060">
      <c r="A2060" s="27" t="s">
        <v>2813</v>
      </c>
      <c r="B2060" s="28" t="s">
        <v>1859</v>
      </c>
      <c r="C2060" s="29"/>
      <c r="D2060" s="29" t="s">
        <v>1860</v>
      </c>
      <c r="E2060" s="70">
        <v>42125.0</v>
      </c>
      <c r="F2060" s="30">
        <v>42139.0</v>
      </c>
      <c r="G2060" s="32">
        <f t="shared" si="2"/>
        <v>0.4666666667</v>
      </c>
      <c r="H2060" s="33"/>
      <c r="I2060" s="32">
        <f t="shared" si="3"/>
        <v>-10.45555556</v>
      </c>
      <c r="J2060" s="34"/>
      <c r="K2060" s="34"/>
      <c r="L2060" s="35"/>
      <c r="M2060" s="35"/>
      <c r="N2060" s="35" t="s">
        <v>1612</v>
      </c>
      <c r="O2060" s="35"/>
      <c r="P2060" s="36"/>
      <c r="Q2060" s="35"/>
      <c r="R2060" s="29"/>
      <c r="S2060" s="33"/>
      <c r="T2060" s="32"/>
    </row>
    <row r="2061">
      <c r="A2061" s="15" t="s">
        <v>2807</v>
      </c>
      <c r="B2061" s="16" t="s">
        <v>1859</v>
      </c>
      <c r="C2061" s="17"/>
      <c r="D2061" s="17" t="s">
        <v>1860</v>
      </c>
      <c r="E2061" s="76">
        <v>42110.0</v>
      </c>
      <c r="F2061" s="62">
        <v>42124.0</v>
      </c>
      <c r="G2061" s="20">
        <f t="shared" si="2"/>
        <v>0.4666666667</v>
      </c>
      <c r="H2061" s="18"/>
      <c r="I2061" s="20">
        <f t="shared" si="3"/>
        <v>-10.49722222</v>
      </c>
      <c r="J2061" s="53"/>
      <c r="K2061" s="53"/>
      <c r="L2061" s="23"/>
      <c r="M2061" s="23"/>
      <c r="N2061" s="23" t="s">
        <v>1612</v>
      </c>
      <c r="O2061" s="23"/>
      <c r="P2061" s="54"/>
      <c r="Q2061" s="23"/>
      <c r="R2061" s="17"/>
      <c r="S2061" s="18"/>
      <c r="T2061" s="20"/>
    </row>
    <row r="2062">
      <c r="A2062" s="27" t="s">
        <v>2814</v>
      </c>
      <c r="B2062" s="28" t="s">
        <v>1859</v>
      </c>
      <c r="C2062" s="29"/>
      <c r="D2062" s="29" t="s">
        <v>1860</v>
      </c>
      <c r="E2062" s="70">
        <v>42110.0</v>
      </c>
      <c r="F2062" s="30">
        <v>42124.0</v>
      </c>
      <c r="G2062" s="32">
        <f t="shared" si="2"/>
        <v>0.4666666667</v>
      </c>
      <c r="H2062" s="33"/>
      <c r="I2062" s="32">
        <f t="shared" si="3"/>
        <v>-10.49722222</v>
      </c>
      <c r="J2062" s="34"/>
      <c r="K2062" s="34"/>
      <c r="L2062" s="35"/>
      <c r="M2062" s="35"/>
      <c r="N2062" s="35"/>
      <c r="O2062" s="35"/>
      <c r="P2062" s="36"/>
      <c r="Q2062" s="35"/>
      <c r="R2062" s="29"/>
      <c r="S2062" s="33"/>
      <c r="T2062" s="32"/>
    </row>
    <row r="2063">
      <c r="A2063" s="15" t="s">
        <v>70</v>
      </c>
      <c r="B2063" s="16" t="s">
        <v>1610</v>
      </c>
      <c r="C2063" s="17"/>
      <c r="D2063" s="17" t="s">
        <v>1611</v>
      </c>
      <c r="E2063" s="76">
        <v>42095.0</v>
      </c>
      <c r="F2063" s="62">
        <v>42124.0</v>
      </c>
      <c r="G2063" s="20">
        <f t="shared" si="2"/>
        <v>0.9666666667</v>
      </c>
      <c r="H2063" s="18"/>
      <c r="I2063" s="20">
        <f t="shared" si="3"/>
        <v>-10.53888889</v>
      </c>
      <c r="J2063" s="53"/>
      <c r="K2063" s="53"/>
      <c r="L2063" s="23"/>
      <c r="M2063" s="23"/>
      <c r="N2063" s="23"/>
      <c r="O2063" s="23"/>
      <c r="P2063" s="54"/>
      <c r="Q2063" s="23"/>
      <c r="R2063" s="17"/>
      <c r="S2063" s="18"/>
      <c r="T2063" s="20"/>
    </row>
    <row r="2064">
      <c r="A2064" s="27" t="s">
        <v>84</v>
      </c>
      <c r="B2064" s="28" t="s">
        <v>1610</v>
      </c>
      <c r="C2064" s="29"/>
      <c r="D2064" s="29" t="s">
        <v>1611</v>
      </c>
      <c r="E2064" s="70">
        <v>42064.0</v>
      </c>
      <c r="F2064" s="30">
        <v>42124.0</v>
      </c>
      <c r="G2064" s="32">
        <f t="shared" si="2"/>
        <v>1.966666667</v>
      </c>
      <c r="H2064" s="33"/>
      <c r="I2064" s="32">
        <f t="shared" si="3"/>
        <v>-10.62222222</v>
      </c>
      <c r="J2064" s="34"/>
      <c r="K2064" s="34"/>
      <c r="L2064" s="35"/>
      <c r="M2064" s="35"/>
      <c r="N2064" s="35"/>
      <c r="O2064" s="35"/>
      <c r="P2064" s="36"/>
      <c r="Q2064" s="35"/>
      <c r="R2064" s="29"/>
      <c r="S2064" s="33"/>
      <c r="T2064" s="32"/>
    </row>
    <row r="2065">
      <c r="A2065" s="15" t="s">
        <v>1173</v>
      </c>
      <c r="B2065" s="16" t="s">
        <v>1859</v>
      </c>
      <c r="C2065" s="17"/>
      <c r="D2065" s="17" t="s">
        <v>1860</v>
      </c>
      <c r="E2065" s="76">
        <v>42095.0</v>
      </c>
      <c r="F2065" s="62">
        <v>42109.0</v>
      </c>
      <c r="G2065" s="20">
        <f t="shared" si="2"/>
        <v>0.4666666667</v>
      </c>
      <c r="H2065" s="18"/>
      <c r="I2065" s="20">
        <f t="shared" si="3"/>
        <v>-10.53888889</v>
      </c>
      <c r="J2065" s="53"/>
      <c r="K2065" s="53"/>
      <c r="L2065" s="23"/>
      <c r="M2065" s="23"/>
      <c r="N2065" s="23" t="s">
        <v>1612</v>
      </c>
      <c r="O2065" s="23"/>
      <c r="P2065" s="54"/>
      <c r="Q2065" s="23"/>
      <c r="R2065" s="17"/>
      <c r="S2065" s="18"/>
      <c r="T2065" s="20"/>
    </row>
    <row r="2066">
      <c r="A2066" s="27" t="s">
        <v>1189</v>
      </c>
      <c r="B2066" s="28" t="s">
        <v>1859</v>
      </c>
      <c r="C2066" s="29"/>
      <c r="D2066" s="29" t="s">
        <v>1860</v>
      </c>
      <c r="E2066" s="70">
        <v>42095.0</v>
      </c>
      <c r="F2066" s="30">
        <v>42109.0</v>
      </c>
      <c r="G2066" s="32">
        <f t="shared" si="2"/>
        <v>0.4666666667</v>
      </c>
      <c r="H2066" s="33"/>
      <c r="I2066" s="32">
        <f t="shared" si="3"/>
        <v>-10.53888889</v>
      </c>
      <c r="J2066" s="34"/>
      <c r="K2066" s="34"/>
      <c r="L2066" s="35"/>
      <c r="M2066" s="35"/>
      <c r="N2066" s="35"/>
      <c r="O2066" s="35"/>
      <c r="P2066" s="36"/>
      <c r="Q2066" s="35"/>
      <c r="R2066" s="29"/>
      <c r="S2066" s="33"/>
      <c r="T2066" s="32"/>
    </row>
    <row r="2067">
      <c r="A2067" s="15" t="s">
        <v>2688</v>
      </c>
      <c r="B2067" s="16" t="s">
        <v>1859</v>
      </c>
      <c r="C2067" s="17"/>
      <c r="D2067" s="17" t="s">
        <v>1860</v>
      </c>
      <c r="E2067" s="76">
        <v>42079.0</v>
      </c>
      <c r="F2067" s="62">
        <v>42094.0</v>
      </c>
      <c r="G2067" s="20">
        <f t="shared" si="2"/>
        <v>0.4666666667</v>
      </c>
      <c r="H2067" s="18"/>
      <c r="I2067" s="20">
        <f t="shared" si="3"/>
        <v>-10.58055556</v>
      </c>
      <c r="J2067" s="53"/>
      <c r="K2067" s="53"/>
      <c r="L2067" s="23"/>
      <c r="M2067" s="23"/>
      <c r="N2067" s="23" t="s">
        <v>1612</v>
      </c>
      <c r="O2067" s="23"/>
      <c r="P2067" s="54"/>
      <c r="Q2067" s="23"/>
      <c r="R2067" s="17"/>
      <c r="S2067" s="18"/>
      <c r="T2067" s="20"/>
    </row>
    <row r="2068">
      <c r="A2068" s="27" t="s">
        <v>2413</v>
      </c>
      <c r="B2068" s="28" t="s">
        <v>1610</v>
      </c>
      <c r="C2068" s="29"/>
      <c r="D2068" s="29" t="s">
        <v>1611</v>
      </c>
      <c r="E2068" s="70">
        <v>42036.0</v>
      </c>
      <c r="F2068" s="30">
        <v>42094.0</v>
      </c>
      <c r="G2068" s="32">
        <f t="shared" si="2"/>
        <v>1.966666667</v>
      </c>
      <c r="H2068" s="33"/>
      <c r="I2068" s="32">
        <f t="shared" si="3"/>
        <v>-10.70555556</v>
      </c>
      <c r="J2068" s="34"/>
      <c r="K2068" s="34"/>
      <c r="L2068" s="35"/>
      <c r="M2068" s="35"/>
      <c r="N2068" s="35"/>
      <c r="O2068" s="35"/>
      <c r="P2068" s="36"/>
      <c r="Q2068" s="35"/>
      <c r="R2068" s="29"/>
      <c r="S2068" s="33"/>
      <c r="T2068" s="32"/>
    </row>
    <row r="2069">
      <c r="A2069" s="15" t="s">
        <v>2815</v>
      </c>
      <c r="B2069" s="16" t="s">
        <v>1859</v>
      </c>
      <c r="C2069" s="17"/>
      <c r="D2069" s="17" t="s">
        <v>1860</v>
      </c>
      <c r="E2069" s="76">
        <v>42064.0</v>
      </c>
      <c r="F2069" s="62">
        <v>42078.0</v>
      </c>
      <c r="G2069" s="20">
        <f t="shared" si="2"/>
        <v>0.4666666667</v>
      </c>
      <c r="H2069" s="18"/>
      <c r="I2069" s="20">
        <f t="shared" si="3"/>
        <v>-10.62222222</v>
      </c>
      <c r="J2069" s="53"/>
      <c r="K2069" s="53"/>
      <c r="L2069" s="23"/>
      <c r="M2069" s="23"/>
      <c r="N2069" s="23"/>
      <c r="O2069" s="23"/>
      <c r="P2069" s="54"/>
      <c r="Q2069" s="23"/>
      <c r="R2069" s="17"/>
      <c r="S2069" s="18"/>
      <c r="T2069" s="20"/>
    </row>
    <row r="2070">
      <c r="A2070" s="27" t="s">
        <v>2816</v>
      </c>
      <c r="B2070" s="28" t="s">
        <v>1859</v>
      </c>
      <c r="C2070" s="29"/>
      <c r="D2070" s="29" t="s">
        <v>1860</v>
      </c>
      <c r="E2070" s="70">
        <v>42051.0</v>
      </c>
      <c r="F2070" s="30">
        <v>42063.0</v>
      </c>
      <c r="G2070" s="32">
        <f t="shared" si="2"/>
        <v>0.4</v>
      </c>
      <c r="H2070" s="33"/>
      <c r="I2070" s="32">
        <f t="shared" si="3"/>
        <v>-10.66388889</v>
      </c>
      <c r="J2070" s="34"/>
      <c r="K2070" s="34"/>
      <c r="L2070" s="35"/>
      <c r="M2070" s="35"/>
      <c r="N2070" s="35" t="s">
        <v>1612</v>
      </c>
      <c r="O2070" s="35"/>
      <c r="P2070" s="36"/>
      <c r="Q2070" s="35"/>
      <c r="R2070" s="29"/>
      <c r="S2070" s="33"/>
      <c r="T2070" s="32"/>
    </row>
    <row r="2071">
      <c r="A2071" s="15" t="s">
        <v>2817</v>
      </c>
      <c r="B2071" s="16" t="s">
        <v>1610</v>
      </c>
      <c r="C2071" s="17"/>
      <c r="D2071" s="17" t="s">
        <v>1611</v>
      </c>
      <c r="E2071" s="76">
        <v>41974.0</v>
      </c>
      <c r="F2071" s="62">
        <v>42063.0</v>
      </c>
      <c r="G2071" s="20">
        <f t="shared" si="2"/>
        <v>2.9</v>
      </c>
      <c r="H2071" s="18"/>
      <c r="I2071" s="20">
        <f t="shared" si="3"/>
        <v>-10.87222222</v>
      </c>
      <c r="J2071" s="53"/>
      <c r="K2071" s="53"/>
      <c r="L2071" s="23"/>
      <c r="M2071" s="23"/>
      <c r="N2071" s="23"/>
      <c r="O2071" s="23"/>
      <c r="P2071" s="54"/>
      <c r="Q2071" s="23"/>
      <c r="R2071" s="17"/>
      <c r="S2071" s="18"/>
      <c r="T2071" s="20"/>
    </row>
    <row r="2072">
      <c r="A2072" s="27" t="s">
        <v>1260</v>
      </c>
      <c r="B2072" s="28" t="s">
        <v>1859</v>
      </c>
      <c r="C2072" s="29"/>
      <c r="D2072" s="29" t="s">
        <v>1860</v>
      </c>
      <c r="E2072" s="70">
        <v>42036.0</v>
      </c>
      <c r="F2072" s="30">
        <v>42050.0</v>
      </c>
      <c r="G2072" s="32">
        <f t="shared" si="2"/>
        <v>0.4666666667</v>
      </c>
      <c r="H2072" s="33"/>
      <c r="I2072" s="32">
        <f t="shared" si="3"/>
        <v>-10.70555556</v>
      </c>
      <c r="J2072" s="34"/>
      <c r="K2072" s="34"/>
      <c r="L2072" s="35"/>
      <c r="M2072" s="35"/>
      <c r="N2072" s="35"/>
      <c r="O2072" s="35"/>
      <c r="P2072" s="36"/>
      <c r="Q2072" s="35"/>
      <c r="R2072" s="29"/>
      <c r="S2072" s="33"/>
      <c r="T2072" s="32"/>
    </row>
    <row r="2073">
      <c r="A2073" s="15" t="s">
        <v>2818</v>
      </c>
      <c r="B2073" s="16" t="s">
        <v>1859</v>
      </c>
      <c r="C2073" s="17"/>
      <c r="D2073" s="17" t="s">
        <v>1860</v>
      </c>
      <c r="E2073" s="76">
        <v>42020.0</v>
      </c>
      <c r="F2073" s="62">
        <v>42035.0</v>
      </c>
      <c r="G2073" s="20">
        <f t="shared" si="2"/>
        <v>0.4666666667</v>
      </c>
      <c r="H2073" s="18"/>
      <c r="I2073" s="20">
        <f t="shared" si="3"/>
        <v>-10.74722222</v>
      </c>
      <c r="J2073" s="53"/>
      <c r="K2073" s="53"/>
      <c r="L2073" s="23"/>
      <c r="M2073" s="23" t="s">
        <v>1614</v>
      </c>
      <c r="N2073" s="23" t="s">
        <v>1612</v>
      </c>
      <c r="O2073" s="23"/>
      <c r="P2073" s="54"/>
      <c r="Q2073" s="23"/>
      <c r="R2073" s="17"/>
      <c r="S2073" s="18"/>
      <c r="T2073" s="20"/>
    </row>
    <row r="2074">
      <c r="A2074" s="27" t="s">
        <v>2584</v>
      </c>
      <c r="B2074" s="28" t="s">
        <v>1610</v>
      </c>
      <c r="C2074" s="29"/>
      <c r="D2074" s="29" t="s">
        <v>1611</v>
      </c>
      <c r="E2074" s="70">
        <v>42005.0</v>
      </c>
      <c r="F2074" s="30">
        <v>42034.0</v>
      </c>
      <c r="G2074" s="32">
        <f t="shared" si="2"/>
        <v>0.9666666667</v>
      </c>
      <c r="H2074" s="33"/>
      <c r="I2074" s="32">
        <f t="shared" si="3"/>
        <v>-10.78888889</v>
      </c>
      <c r="J2074" s="34"/>
      <c r="K2074" s="34"/>
      <c r="L2074" s="35"/>
      <c r="M2074" s="35"/>
      <c r="N2074" s="35"/>
      <c r="O2074" s="35"/>
      <c r="P2074" s="36"/>
      <c r="Q2074" s="35"/>
      <c r="R2074" s="29"/>
      <c r="S2074" s="33"/>
      <c r="T2074" s="32"/>
    </row>
    <row r="2075">
      <c r="A2075" s="15" t="s">
        <v>2819</v>
      </c>
      <c r="B2075" s="16" t="s">
        <v>1859</v>
      </c>
      <c r="C2075" s="17"/>
      <c r="D2075" s="17" t="s">
        <v>1860</v>
      </c>
      <c r="E2075" s="76">
        <v>42005.0</v>
      </c>
      <c r="F2075" s="62">
        <v>42019.0</v>
      </c>
      <c r="G2075" s="20">
        <f t="shared" si="2"/>
        <v>0.4666666667</v>
      </c>
      <c r="H2075" s="18"/>
      <c r="I2075" s="20">
        <f t="shared" si="3"/>
        <v>-10.78888889</v>
      </c>
      <c r="J2075" s="53"/>
      <c r="K2075" s="53"/>
      <c r="L2075" s="23"/>
      <c r="M2075" s="23"/>
      <c r="N2075" s="23" t="s">
        <v>1612</v>
      </c>
      <c r="O2075" s="23"/>
      <c r="P2075" s="54"/>
      <c r="Q2075" s="23"/>
      <c r="R2075" s="17"/>
      <c r="S2075" s="18"/>
      <c r="T2075" s="20"/>
    </row>
    <row r="2076">
      <c r="A2076" s="27" t="s">
        <v>943</v>
      </c>
      <c r="B2076" s="28" t="s">
        <v>1859</v>
      </c>
      <c r="C2076" s="29"/>
      <c r="D2076" s="29" t="s">
        <v>1860</v>
      </c>
      <c r="E2076" s="70">
        <v>41989.0</v>
      </c>
      <c r="F2076" s="30">
        <v>42004.0</v>
      </c>
      <c r="G2076" s="32">
        <f t="shared" si="2"/>
        <v>0.4666666667</v>
      </c>
      <c r="H2076" s="33"/>
      <c r="I2076" s="32">
        <f t="shared" si="3"/>
        <v>-10.83055556</v>
      </c>
      <c r="J2076" s="34"/>
      <c r="K2076" s="34"/>
      <c r="L2076" s="35"/>
      <c r="M2076" s="35"/>
      <c r="N2076" s="35" t="s">
        <v>1612</v>
      </c>
      <c r="O2076" s="35"/>
      <c r="P2076" s="36"/>
      <c r="Q2076" s="35"/>
      <c r="R2076" s="29"/>
      <c r="S2076" s="33"/>
      <c r="T2076" s="32"/>
    </row>
    <row r="2077">
      <c r="A2077" s="15" t="s">
        <v>2820</v>
      </c>
      <c r="B2077" s="16" t="s">
        <v>1610</v>
      </c>
      <c r="C2077" s="17"/>
      <c r="D2077" s="17" t="s">
        <v>1611</v>
      </c>
      <c r="E2077" s="76">
        <v>41944.0</v>
      </c>
      <c r="F2077" s="62">
        <v>42004.0</v>
      </c>
      <c r="G2077" s="20">
        <f t="shared" si="2"/>
        <v>1.966666667</v>
      </c>
      <c r="H2077" s="18"/>
      <c r="I2077" s="20">
        <f t="shared" si="3"/>
        <v>-10.95555556</v>
      </c>
      <c r="J2077" s="53"/>
      <c r="K2077" s="53"/>
      <c r="L2077" s="23"/>
      <c r="M2077" s="23"/>
      <c r="N2077" s="23"/>
      <c r="O2077" s="23"/>
      <c r="P2077" s="54"/>
      <c r="Q2077" s="23"/>
      <c r="R2077" s="17"/>
      <c r="S2077" s="18"/>
      <c r="T2077" s="20"/>
    </row>
    <row r="2078">
      <c r="A2078" s="27" t="s">
        <v>2821</v>
      </c>
      <c r="B2078" s="28" t="s">
        <v>1859</v>
      </c>
      <c r="C2078" s="29"/>
      <c r="D2078" s="29" t="s">
        <v>1860</v>
      </c>
      <c r="E2078" s="70">
        <v>41974.0</v>
      </c>
      <c r="F2078" s="30">
        <v>41988.0</v>
      </c>
      <c r="G2078" s="32">
        <f t="shared" si="2"/>
        <v>0.4666666667</v>
      </c>
      <c r="H2078" s="33"/>
      <c r="I2078" s="32">
        <f t="shared" si="3"/>
        <v>-10.87222222</v>
      </c>
      <c r="J2078" s="34"/>
      <c r="K2078" s="34"/>
      <c r="L2078" s="35"/>
      <c r="M2078" s="35"/>
      <c r="N2078" s="35"/>
      <c r="O2078" s="35"/>
      <c r="P2078" s="36"/>
      <c r="Q2078" s="35"/>
      <c r="R2078" s="29"/>
      <c r="S2078" s="33"/>
      <c r="T2078" s="32"/>
    </row>
    <row r="2079">
      <c r="A2079" s="15" t="s">
        <v>2822</v>
      </c>
      <c r="B2079" s="16" t="s">
        <v>1859</v>
      </c>
      <c r="C2079" s="17"/>
      <c r="D2079" s="17" t="s">
        <v>1860</v>
      </c>
      <c r="E2079" s="76">
        <v>41959.0</v>
      </c>
      <c r="F2079" s="62">
        <v>41973.0</v>
      </c>
      <c r="G2079" s="20">
        <f t="shared" si="2"/>
        <v>0.4666666667</v>
      </c>
      <c r="H2079" s="18"/>
      <c r="I2079" s="20">
        <f t="shared" si="3"/>
        <v>-10.91388889</v>
      </c>
      <c r="J2079" s="53"/>
      <c r="K2079" s="53"/>
      <c r="L2079" s="23"/>
      <c r="M2079" s="23"/>
      <c r="N2079" s="23"/>
      <c r="O2079" s="23"/>
      <c r="P2079" s="54"/>
      <c r="Q2079" s="23"/>
      <c r="R2079" s="17"/>
      <c r="S2079" s="18"/>
      <c r="T2079" s="20"/>
    </row>
    <row r="2080">
      <c r="A2080" s="27" t="s">
        <v>2823</v>
      </c>
      <c r="B2080" s="28" t="s">
        <v>1610</v>
      </c>
      <c r="C2080" s="29"/>
      <c r="D2080" s="29" t="s">
        <v>1611</v>
      </c>
      <c r="E2080" s="70">
        <v>41913.0</v>
      </c>
      <c r="F2080" s="30">
        <v>41973.0</v>
      </c>
      <c r="G2080" s="32">
        <f t="shared" si="2"/>
        <v>1.966666667</v>
      </c>
      <c r="H2080" s="33"/>
      <c r="I2080" s="32">
        <f t="shared" si="3"/>
        <v>-11.03888889</v>
      </c>
      <c r="J2080" s="34"/>
      <c r="K2080" s="34"/>
      <c r="L2080" s="35"/>
      <c r="M2080" s="35"/>
      <c r="N2080" s="35"/>
      <c r="O2080" s="35"/>
      <c r="P2080" s="36"/>
      <c r="Q2080" s="35"/>
      <c r="R2080" s="29"/>
      <c r="S2080" s="33"/>
      <c r="T2080" s="32"/>
    </row>
    <row r="2081">
      <c r="A2081" s="15" t="s">
        <v>1193</v>
      </c>
      <c r="B2081" s="16" t="s">
        <v>1859</v>
      </c>
      <c r="C2081" s="17"/>
      <c r="D2081" s="17" t="s">
        <v>1860</v>
      </c>
      <c r="E2081" s="76">
        <v>41944.0</v>
      </c>
      <c r="F2081" s="62">
        <v>41958.0</v>
      </c>
      <c r="G2081" s="20">
        <f t="shared" si="2"/>
        <v>0.4666666667</v>
      </c>
      <c r="H2081" s="18"/>
      <c r="I2081" s="20">
        <f t="shared" si="3"/>
        <v>-10.95555556</v>
      </c>
      <c r="J2081" s="53"/>
      <c r="K2081" s="53"/>
      <c r="L2081" s="23"/>
      <c r="M2081" s="23" t="s">
        <v>1614</v>
      </c>
      <c r="N2081" s="23" t="s">
        <v>1612</v>
      </c>
      <c r="O2081" s="23"/>
      <c r="P2081" s="54"/>
      <c r="Q2081" s="23"/>
      <c r="R2081" s="17"/>
      <c r="S2081" s="18"/>
      <c r="T2081" s="20"/>
    </row>
    <row r="2082">
      <c r="A2082" s="27" t="s">
        <v>2824</v>
      </c>
      <c r="B2082" s="28" t="s">
        <v>1859</v>
      </c>
      <c r="C2082" s="29"/>
      <c r="D2082" s="29" t="s">
        <v>1860</v>
      </c>
      <c r="E2082" s="70">
        <v>41928.0</v>
      </c>
      <c r="F2082" s="30">
        <v>41943.0</v>
      </c>
      <c r="G2082" s="32">
        <f t="shared" si="2"/>
        <v>0.4666666667</v>
      </c>
      <c r="H2082" s="33"/>
      <c r="I2082" s="32">
        <f t="shared" si="3"/>
        <v>-10.99722222</v>
      </c>
      <c r="J2082" s="34"/>
      <c r="K2082" s="34"/>
      <c r="L2082" s="35"/>
      <c r="M2082" s="35"/>
      <c r="N2082" s="35" t="s">
        <v>1612</v>
      </c>
      <c r="O2082" s="35"/>
      <c r="P2082" s="36"/>
      <c r="Q2082" s="35"/>
      <c r="R2082" s="29"/>
      <c r="S2082" s="33"/>
      <c r="T2082" s="32"/>
    </row>
    <row r="2083">
      <c r="A2083" s="15" t="s">
        <v>2825</v>
      </c>
      <c r="B2083" s="16" t="s">
        <v>1610</v>
      </c>
      <c r="C2083" s="17"/>
      <c r="D2083" s="17" t="s">
        <v>1611</v>
      </c>
      <c r="E2083" s="76">
        <v>41852.0</v>
      </c>
      <c r="F2083" s="62">
        <v>41943.0</v>
      </c>
      <c r="G2083" s="20">
        <f t="shared" si="2"/>
        <v>2.966666667</v>
      </c>
      <c r="H2083" s="18"/>
      <c r="I2083" s="20">
        <f t="shared" si="3"/>
        <v>-11.20555556</v>
      </c>
      <c r="J2083" s="53"/>
      <c r="K2083" s="53"/>
      <c r="L2083" s="23"/>
      <c r="M2083" s="23"/>
      <c r="N2083" s="23"/>
      <c r="O2083" s="23"/>
      <c r="P2083" s="54"/>
      <c r="Q2083" s="23"/>
      <c r="R2083" s="17"/>
      <c r="S2083" s="18"/>
      <c r="T2083" s="20"/>
    </row>
    <row r="2084">
      <c r="A2084" s="27" t="s">
        <v>1548</v>
      </c>
      <c r="B2084" s="28" t="s">
        <v>1859</v>
      </c>
      <c r="C2084" s="29"/>
      <c r="D2084" s="29" t="s">
        <v>1860</v>
      </c>
      <c r="E2084" s="70">
        <v>41913.0</v>
      </c>
      <c r="F2084" s="30">
        <v>41927.0</v>
      </c>
      <c r="G2084" s="32">
        <f t="shared" si="2"/>
        <v>0.4666666667</v>
      </c>
      <c r="H2084" s="33"/>
      <c r="I2084" s="32">
        <f t="shared" si="3"/>
        <v>-11.03888889</v>
      </c>
      <c r="J2084" s="34"/>
      <c r="K2084" s="34"/>
      <c r="L2084" s="35"/>
      <c r="M2084" s="35"/>
      <c r="N2084" s="35" t="s">
        <v>1612</v>
      </c>
      <c r="O2084" s="35"/>
      <c r="P2084" s="36"/>
      <c r="Q2084" s="35"/>
      <c r="R2084" s="29"/>
      <c r="S2084" s="33"/>
      <c r="T2084" s="32"/>
    </row>
    <row r="2085">
      <c r="A2085" s="15" t="s">
        <v>1034</v>
      </c>
      <c r="B2085" s="16" t="s">
        <v>1859</v>
      </c>
      <c r="C2085" s="17"/>
      <c r="D2085" s="17" t="s">
        <v>1860</v>
      </c>
      <c r="E2085" s="76">
        <v>41898.0</v>
      </c>
      <c r="F2085" s="62">
        <v>41912.0</v>
      </c>
      <c r="G2085" s="20">
        <f t="shared" si="2"/>
        <v>0.4666666667</v>
      </c>
      <c r="H2085" s="18"/>
      <c r="I2085" s="20">
        <f t="shared" si="3"/>
        <v>-11.08055556</v>
      </c>
      <c r="J2085" s="53"/>
      <c r="K2085" s="53"/>
      <c r="L2085" s="23"/>
      <c r="M2085" s="23"/>
      <c r="N2085" s="23" t="s">
        <v>1612</v>
      </c>
      <c r="O2085" s="23"/>
      <c r="P2085" s="54"/>
      <c r="Q2085" s="23"/>
      <c r="R2085" s="17"/>
      <c r="S2085" s="18"/>
      <c r="T2085" s="20"/>
    </row>
    <row r="2086">
      <c r="A2086" s="27" t="s">
        <v>2593</v>
      </c>
      <c r="B2086" s="28" t="s">
        <v>1610</v>
      </c>
      <c r="C2086" s="29"/>
      <c r="D2086" s="29" t="s">
        <v>1611</v>
      </c>
      <c r="E2086" s="70">
        <v>41883.0</v>
      </c>
      <c r="F2086" s="30">
        <v>41912.0</v>
      </c>
      <c r="G2086" s="32">
        <f t="shared" si="2"/>
        <v>0.9666666667</v>
      </c>
      <c r="H2086" s="33"/>
      <c r="I2086" s="32">
        <f t="shared" si="3"/>
        <v>-11.12222222</v>
      </c>
      <c r="J2086" s="34"/>
      <c r="K2086" s="34"/>
      <c r="L2086" s="35"/>
      <c r="M2086" s="35"/>
      <c r="N2086" s="35"/>
      <c r="O2086" s="35"/>
      <c r="P2086" s="36"/>
      <c r="Q2086" s="35"/>
      <c r="R2086" s="29"/>
      <c r="S2086" s="33"/>
      <c r="T2086" s="32"/>
    </row>
    <row r="2087">
      <c r="A2087" s="15" t="s">
        <v>2826</v>
      </c>
      <c r="B2087" s="16" t="s">
        <v>1859</v>
      </c>
      <c r="C2087" s="17"/>
      <c r="D2087" s="17" t="s">
        <v>1860</v>
      </c>
      <c r="E2087" s="76">
        <v>41883.0</v>
      </c>
      <c r="F2087" s="62">
        <v>41897.0</v>
      </c>
      <c r="G2087" s="20">
        <f t="shared" si="2"/>
        <v>0.4666666667</v>
      </c>
      <c r="H2087" s="18"/>
      <c r="I2087" s="20">
        <f t="shared" si="3"/>
        <v>-11.12222222</v>
      </c>
      <c r="J2087" s="53"/>
      <c r="K2087" s="53"/>
      <c r="L2087" s="23"/>
      <c r="M2087" s="23"/>
      <c r="N2087" s="23" t="s">
        <v>1612</v>
      </c>
      <c r="O2087" s="23"/>
      <c r="P2087" s="54"/>
      <c r="Q2087" s="23"/>
      <c r="R2087" s="17"/>
      <c r="S2087" s="18"/>
      <c r="T2087" s="20"/>
    </row>
    <row r="2088">
      <c r="A2088" s="27" t="s">
        <v>2827</v>
      </c>
      <c r="B2088" s="28" t="s">
        <v>1859</v>
      </c>
      <c r="C2088" s="29"/>
      <c r="D2088" s="29" t="s">
        <v>1860</v>
      </c>
      <c r="E2088" s="70">
        <v>41867.0</v>
      </c>
      <c r="F2088" s="30">
        <v>41882.0</v>
      </c>
      <c r="G2088" s="32">
        <f t="shared" si="2"/>
        <v>0.4666666667</v>
      </c>
      <c r="H2088" s="33"/>
      <c r="I2088" s="32">
        <f t="shared" si="3"/>
        <v>-11.16388889</v>
      </c>
      <c r="J2088" s="34"/>
      <c r="K2088" s="34"/>
      <c r="L2088" s="35"/>
      <c r="M2088" s="35"/>
      <c r="N2088" s="35"/>
      <c r="O2088" s="35"/>
      <c r="P2088" s="36"/>
      <c r="Q2088" s="35"/>
      <c r="R2088" s="29"/>
      <c r="S2088" s="33"/>
      <c r="T2088" s="32"/>
    </row>
    <row r="2089">
      <c r="A2089" s="15" t="s">
        <v>2828</v>
      </c>
      <c r="B2089" s="16" t="s">
        <v>1610</v>
      </c>
      <c r="C2089" s="17"/>
      <c r="D2089" s="17" t="s">
        <v>1611</v>
      </c>
      <c r="E2089" s="76">
        <v>41852.0</v>
      </c>
      <c r="F2089" s="62">
        <v>41882.0</v>
      </c>
      <c r="G2089" s="20">
        <f t="shared" si="2"/>
        <v>0.9666666667</v>
      </c>
      <c r="H2089" s="18"/>
      <c r="I2089" s="20">
        <f t="shared" si="3"/>
        <v>-11.20555556</v>
      </c>
      <c r="J2089" s="53"/>
      <c r="K2089" s="53"/>
      <c r="L2089" s="23"/>
      <c r="M2089" s="23"/>
      <c r="N2089" s="23"/>
      <c r="O2089" s="23"/>
      <c r="P2089" s="54"/>
      <c r="Q2089" s="23"/>
      <c r="R2089" s="17"/>
      <c r="S2089" s="18"/>
      <c r="T2089" s="20"/>
    </row>
    <row r="2090">
      <c r="A2090" s="27" t="s">
        <v>2829</v>
      </c>
      <c r="B2090" s="28" t="s">
        <v>1859</v>
      </c>
      <c r="C2090" s="29"/>
      <c r="D2090" s="29" t="s">
        <v>1860</v>
      </c>
      <c r="E2090" s="70">
        <v>41852.0</v>
      </c>
      <c r="F2090" s="30">
        <v>41866.0</v>
      </c>
      <c r="G2090" s="32">
        <f t="shared" si="2"/>
        <v>0.4666666667</v>
      </c>
      <c r="H2090" s="33"/>
      <c r="I2090" s="32">
        <f t="shared" si="3"/>
        <v>-11.20555556</v>
      </c>
      <c r="J2090" s="34"/>
      <c r="K2090" s="34"/>
      <c r="L2090" s="35"/>
      <c r="M2090" s="35"/>
      <c r="N2090" s="35" t="s">
        <v>1612</v>
      </c>
      <c r="O2090" s="35"/>
      <c r="P2090" s="36"/>
      <c r="Q2090" s="35"/>
      <c r="R2090" s="29"/>
      <c r="S2090" s="33"/>
      <c r="T2090" s="32"/>
    </row>
    <row r="2091">
      <c r="A2091" s="15" t="s">
        <v>2537</v>
      </c>
      <c r="B2091" s="16" t="s">
        <v>1859</v>
      </c>
      <c r="C2091" s="17"/>
      <c r="D2091" s="17" t="s">
        <v>1860</v>
      </c>
      <c r="E2091" s="76">
        <v>41836.0</v>
      </c>
      <c r="F2091" s="62">
        <v>41851.0</v>
      </c>
      <c r="G2091" s="20">
        <f t="shared" si="2"/>
        <v>0.4666666667</v>
      </c>
      <c r="H2091" s="18"/>
      <c r="I2091" s="20">
        <f t="shared" si="3"/>
        <v>-11.24722222</v>
      </c>
      <c r="J2091" s="53"/>
      <c r="K2091" s="53"/>
      <c r="L2091" s="23"/>
      <c r="M2091" s="23"/>
      <c r="N2091" s="23" t="s">
        <v>1612</v>
      </c>
      <c r="O2091" s="23"/>
      <c r="P2091" s="54"/>
      <c r="Q2091" s="23"/>
      <c r="R2091" s="17"/>
      <c r="S2091" s="18"/>
      <c r="T2091" s="20"/>
    </row>
    <row r="2092">
      <c r="A2092" s="27" t="s">
        <v>2434</v>
      </c>
      <c r="B2092" s="28" t="s">
        <v>1610</v>
      </c>
      <c r="C2092" s="29"/>
      <c r="D2092" s="29" t="s">
        <v>1611</v>
      </c>
      <c r="E2092" s="70">
        <v>41822.0</v>
      </c>
      <c r="F2092" s="30">
        <v>41851.0</v>
      </c>
      <c r="G2092" s="32">
        <f t="shared" si="2"/>
        <v>0.9333333333</v>
      </c>
      <c r="H2092" s="33"/>
      <c r="I2092" s="32">
        <f t="shared" si="3"/>
        <v>-11.28611111</v>
      </c>
      <c r="J2092" s="34"/>
      <c r="K2092" s="34"/>
      <c r="L2092" s="35"/>
      <c r="M2092" s="35"/>
      <c r="N2092" s="35"/>
      <c r="O2092" s="35"/>
      <c r="P2092" s="36"/>
      <c r="Q2092" s="35"/>
      <c r="R2092" s="29"/>
      <c r="S2092" s="33"/>
      <c r="T2092" s="32"/>
    </row>
    <row r="2093">
      <c r="A2093" s="15" t="s">
        <v>1177</v>
      </c>
      <c r="B2093" s="16" t="s">
        <v>1610</v>
      </c>
      <c r="C2093" s="17"/>
      <c r="D2093" s="17" t="s">
        <v>1611</v>
      </c>
      <c r="E2093" s="76">
        <v>41793.0</v>
      </c>
      <c r="F2093" s="62">
        <v>41851.0</v>
      </c>
      <c r="G2093" s="20">
        <f t="shared" si="2"/>
        <v>1.9</v>
      </c>
      <c r="H2093" s="18"/>
      <c r="I2093" s="20">
        <f t="shared" si="3"/>
        <v>-11.36666667</v>
      </c>
      <c r="J2093" s="53"/>
      <c r="K2093" s="53"/>
      <c r="L2093" s="23"/>
      <c r="M2093" s="23"/>
      <c r="N2093" s="23"/>
      <c r="O2093" s="23"/>
      <c r="P2093" s="54"/>
      <c r="Q2093" s="23"/>
      <c r="R2093" s="17"/>
      <c r="S2093" s="18"/>
      <c r="T2093" s="20"/>
    </row>
    <row r="2094">
      <c r="A2094" s="27" t="s">
        <v>1181</v>
      </c>
      <c r="B2094" s="28" t="s">
        <v>1610</v>
      </c>
      <c r="C2094" s="29"/>
      <c r="D2094" s="29" t="s">
        <v>1611</v>
      </c>
      <c r="E2094" s="70">
        <v>41793.0</v>
      </c>
      <c r="F2094" s="30">
        <v>41851.0</v>
      </c>
      <c r="G2094" s="32">
        <f t="shared" si="2"/>
        <v>1.9</v>
      </c>
      <c r="H2094" s="33"/>
      <c r="I2094" s="32">
        <f t="shared" si="3"/>
        <v>-11.36666667</v>
      </c>
      <c r="J2094" s="34"/>
      <c r="K2094" s="34"/>
      <c r="L2094" s="35"/>
      <c r="M2094" s="35"/>
      <c r="N2094" s="35"/>
      <c r="O2094" s="35"/>
      <c r="P2094" s="36"/>
      <c r="Q2094" s="35"/>
      <c r="R2094" s="29"/>
      <c r="S2094" s="33"/>
      <c r="T2094" s="32"/>
    </row>
    <row r="2095">
      <c r="A2095" s="15" t="s">
        <v>2830</v>
      </c>
      <c r="B2095" s="16" t="s">
        <v>1859</v>
      </c>
      <c r="C2095" s="17"/>
      <c r="D2095" s="17" t="s">
        <v>1860</v>
      </c>
      <c r="E2095" s="76">
        <v>41821.0</v>
      </c>
      <c r="F2095" s="62">
        <v>41835.0</v>
      </c>
      <c r="G2095" s="20">
        <f t="shared" si="2"/>
        <v>0.4666666667</v>
      </c>
      <c r="H2095" s="18"/>
      <c r="I2095" s="20">
        <f t="shared" si="3"/>
        <v>-11.28888889</v>
      </c>
      <c r="J2095" s="53"/>
      <c r="K2095" s="53"/>
      <c r="L2095" s="23"/>
      <c r="M2095" s="23"/>
      <c r="N2095" s="23"/>
      <c r="O2095" s="23"/>
      <c r="P2095" s="54"/>
      <c r="Q2095" s="23"/>
      <c r="R2095" s="17"/>
      <c r="S2095" s="18"/>
      <c r="T2095" s="20"/>
    </row>
    <row r="2096">
      <c r="A2096" s="27" t="s">
        <v>2831</v>
      </c>
      <c r="B2096" s="28" t="s">
        <v>1859</v>
      </c>
      <c r="C2096" s="29"/>
      <c r="D2096" s="29" t="s">
        <v>1860</v>
      </c>
      <c r="E2096" s="70">
        <v>41806.0</v>
      </c>
      <c r="F2096" s="30">
        <v>41820.0</v>
      </c>
      <c r="G2096" s="32">
        <f t="shared" si="2"/>
        <v>0.4666666667</v>
      </c>
      <c r="H2096" s="33"/>
      <c r="I2096" s="32">
        <f t="shared" si="3"/>
        <v>-11.33055556</v>
      </c>
      <c r="J2096" s="34"/>
      <c r="K2096" s="34"/>
      <c r="L2096" s="35"/>
      <c r="M2096" s="35"/>
      <c r="N2096" s="35"/>
      <c r="O2096" s="35"/>
      <c r="P2096" s="36"/>
      <c r="Q2096" s="35"/>
      <c r="R2096" s="29"/>
      <c r="S2096" s="33"/>
      <c r="T2096" s="32"/>
    </row>
    <row r="2097">
      <c r="A2097" s="15" t="s">
        <v>2525</v>
      </c>
      <c r="B2097" s="16" t="s">
        <v>1859</v>
      </c>
      <c r="C2097" s="17"/>
      <c r="D2097" s="17" t="s">
        <v>1860</v>
      </c>
      <c r="E2097" s="76">
        <v>41806.0</v>
      </c>
      <c r="F2097" s="62">
        <v>41820.0</v>
      </c>
      <c r="G2097" s="20">
        <f t="shared" si="2"/>
        <v>0.4666666667</v>
      </c>
      <c r="H2097" s="18"/>
      <c r="I2097" s="20">
        <f t="shared" si="3"/>
        <v>-11.33055556</v>
      </c>
      <c r="J2097" s="53"/>
      <c r="K2097" s="53"/>
      <c r="L2097" s="23"/>
      <c r="M2097" s="23"/>
      <c r="N2097" s="23" t="s">
        <v>1612</v>
      </c>
      <c r="O2097" s="23"/>
      <c r="P2097" s="54"/>
      <c r="Q2097" s="23"/>
      <c r="R2097" s="17"/>
      <c r="S2097" s="18"/>
      <c r="T2097" s="20"/>
    </row>
    <row r="2098">
      <c r="A2098" s="27" t="s">
        <v>2832</v>
      </c>
      <c r="B2098" s="28" t="s">
        <v>1859</v>
      </c>
      <c r="C2098" s="29"/>
      <c r="D2098" s="29" t="s">
        <v>1860</v>
      </c>
      <c r="E2098" s="70">
        <v>41791.0</v>
      </c>
      <c r="F2098" s="30">
        <v>41805.0</v>
      </c>
      <c r="G2098" s="32">
        <f t="shared" si="2"/>
        <v>0.4666666667</v>
      </c>
      <c r="H2098" s="33"/>
      <c r="I2098" s="32">
        <f t="shared" si="3"/>
        <v>-11.37222222</v>
      </c>
      <c r="J2098" s="34"/>
      <c r="K2098" s="34"/>
      <c r="L2098" s="35"/>
      <c r="M2098" s="35"/>
      <c r="N2098" s="35" t="s">
        <v>1612</v>
      </c>
      <c r="O2098" s="35"/>
      <c r="P2098" s="36"/>
      <c r="Q2098" s="35"/>
      <c r="R2098" s="29"/>
      <c r="S2098" s="33"/>
      <c r="T2098" s="32"/>
    </row>
    <row r="2099">
      <c r="A2099" s="15" t="s">
        <v>2475</v>
      </c>
      <c r="B2099" s="16" t="s">
        <v>1859</v>
      </c>
      <c r="C2099" s="17"/>
      <c r="D2099" s="17" t="s">
        <v>1860</v>
      </c>
      <c r="E2099" s="76">
        <v>41775.0</v>
      </c>
      <c r="F2099" s="62">
        <v>41790.0</v>
      </c>
      <c r="G2099" s="20">
        <f t="shared" si="2"/>
        <v>0.4666666667</v>
      </c>
      <c r="H2099" s="18"/>
      <c r="I2099" s="20">
        <f t="shared" si="3"/>
        <v>-11.41388889</v>
      </c>
      <c r="J2099" s="53"/>
      <c r="K2099" s="53"/>
      <c r="L2099" s="23"/>
      <c r="M2099" s="23"/>
      <c r="N2099" s="23" t="s">
        <v>1612</v>
      </c>
      <c r="O2099" s="23"/>
      <c r="P2099" s="54"/>
      <c r="Q2099" s="23"/>
      <c r="R2099" s="17"/>
      <c r="S2099" s="18"/>
      <c r="T2099" s="20"/>
    </row>
    <row r="2100">
      <c r="A2100" s="27" t="s">
        <v>2833</v>
      </c>
      <c r="B2100" s="28" t="s">
        <v>1859</v>
      </c>
      <c r="C2100" s="29"/>
      <c r="D2100" s="29" t="s">
        <v>1860</v>
      </c>
      <c r="E2100" s="70">
        <v>41760.0</v>
      </c>
      <c r="F2100" s="30">
        <v>41774.0</v>
      </c>
      <c r="G2100" s="32">
        <f t="shared" si="2"/>
        <v>0.4666666667</v>
      </c>
      <c r="H2100" s="33"/>
      <c r="I2100" s="32">
        <f t="shared" si="3"/>
        <v>-11.45555556</v>
      </c>
      <c r="J2100" s="34"/>
      <c r="K2100" s="34"/>
      <c r="L2100" s="35"/>
      <c r="M2100" s="35"/>
      <c r="N2100" s="35"/>
      <c r="O2100" s="35"/>
      <c r="P2100" s="36"/>
      <c r="Q2100" s="35"/>
      <c r="R2100" s="29"/>
      <c r="S2100" s="33"/>
      <c r="T2100" s="32"/>
    </row>
    <row r="2101">
      <c r="A2101" s="15" t="s">
        <v>2834</v>
      </c>
      <c r="B2101" s="16" t="s">
        <v>1859</v>
      </c>
      <c r="C2101" s="17"/>
      <c r="D2101" s="17" t="s">
        <v>1860</v>
      </c>
      <c r="E2101" s="76">
        <v>41745.0</v>
      </c>
      <c r="F2101" s="62">
        <v>41759.0</v>
      </c>
      <c r="G2101" s="20">
        <f t="shared" si="2"/>
        <v>0.4666666667</v>
      </c>
      <c r="H2101" s="18"/>
      <c r="I2101" s="20">
        <f t="shared" si="3"/>
        <v>-11.49722222</v>
      </c>
      <c r="J2101" s="53"/>
      <c r="K2101" s="53"/>
      <c r="L2101" s="23"/>
      <c r="M2101" s="23"/>
      <c r="N2101" s="23"/>
      <c r="O2101" s="23"/>
      <c r="P2101" s="54"/>
      <c r="Q2101" s="23"/>
      <c r="R2101" s="17"/>
      <c r="S2101" s="18"/>
      <c r="T2101" s="20"/>
    </row>
    <row r="2102">
      <c r="A2102" s="27" t="s">
        <v>2835</v>
      </c>
      <c r="B2102" s="28" t="s">
        <v>1859</v>
      </c>
      <c r="C2102" s="29"/>
      <c r="D2102" s="29" t="s">
        <v>1860</v>
      </c>
      <c r="E2102" s="70">
        <v>41730.0</v>
      </c>
      <c r="F2102" s="30">
        <v>41744.0</v>
      </c>
      <c r="G2102" s="32">
        <f t="shared" si="2"/>
        <v>0.4666666667</v>
      </c>
      <c r="H2102" s="33"/>
      <c r="I2102" s="32">
        <f t="shared" si="3"/>
        <v>-11.53888889</v>
      </c>
      <c r="J2102" s="34"/>
      <c r="K2102" s="34"/>
      <c r="L2102" s="35"/>
      <c r="M2102" s="35"/>
      <c r="N2102" s="35" t="s">
        <v>1612</v>
      </c>
      <c r="O2102" s="35"/>
      <c r="P2102" s="36"/>
      <c r="Q2102" s="35"/>
      <c r="R2102" s="29"/>
      <c r="S2102" s="33"/>
      <c r="T2102" s="32"/>
    </row>
    <row r="2103">
      <c r="A2103" s="15" t="s">
        <v>2836</v>
      </c>
      <c r="B2103" s="16" t="s">
        <v>1859</v>
      </c>
      <c r="C2103" s="17"/>
      <c r="D2103" s="17" t="s">
        <v>1860</v>
      </c>
      <c r="E2103" s="76">
        <v>41714.0</v>
      </c>
      <c r="F2103" s="62">
        <v>41729.0</v>
      </c>
      <c r="G2103" s="20">
        <f t="shared" si="2"/>
        <v>0.4666666667</v>
      </c>
      <c r="H2103" s="18"/>
      <c r="I2103" s="20">
        <f t="shared" si="3"/>
        <v>-11.58055556</v>
      </c>
      <c r="J2103" s="53"/>
      <c r="K2103" s="53"/>
      <c r="L2103" s="23"/>
      <c r="M2103" s="23"/>
      <c r="N2103" s="23"/>
      <c r="O2103" s="23"/>
      <c r="P2103" s="54"/>
      <c r="Q2103" s="23"/>
      <c r="R2103" s="17"/>
      <c r="S2103" s="18"/>
      <c r="T2103" s="20"/>
    </row>
    <row r="2104">
      <c r="A2104" s="27" t="s">
        <v>2837</v>
      </c>
      <c r="B2104" s="28" t="s">
        <v>1859</v>
      </c>
      <c r="C2104" s="29"/>
      <c r="D2104" s="29" t="s">
        <v>1860</v>
      </c>
      <c r="E2104" s="70">
        <v>41699.0</v>
      </c>
      <c r="F2104" s="30">
        <v>41713.0</v>
      </c>
      <c r="G2104" s="32">
        <f t="shared" si="2"/>
        <v>0.4666666667</v>
      </c>
      <c r="H2104" s="33"/>
      <c r="I2104" s="32">
        <f t="shared" si="3"/>
        <v>-11.62222222</v>
      </c>
      <c r="J2104" s="34"/>
      <c r="K2104" s="34"/>
      <c r="L2104" s="35"/>
      <c r="M2104" s="35" t="s">
        <v>1614</v>
      </c>
      <c r="N2104" s="35" t="s">
        <v>1612</v>
      </c>
      <c r="O2104" s="35"/>
      <c r="P2104" s="36"/>
      <c r="Q2104" s="35"/>
      <c r="R2104" s="29"/>
      <c r="S2104" s="33"/>
      <c r="T2104" s="32"/>
    </row>
    <row r="2105">
      <c r="A2105" s="15" t="s">
        <v>2551</v>
      </c>
      <c r="B2105" s="16" t="s">
        <v>1859</v>
      </c>
      <c r="C2105" s="17"/>
      <c r="D2105" s="17" t="s">
        <v>1860</v>
      </c>
      <c r="E2105" s="76">
        <v>41686.0</v>
      </c>
      <c r="F2105" s="62">
        <v>41698.0</v>
      </c>
      <c r="G2105" s="20">
        <f t="shared" si="2"/>
        <v>0.4</v>
      </c>
      <c r="H2105" s="18"/>
      <c r="I2105" s="20">
        <f t="shared" si="3"/>
        <v>-11.66388889</v>
      </c>
      <c r="J2105" s="53"/>
      <c r="K2105" s="53"/>
      <c r="L2105" s="23"/>
      <c r="M2105" s="23"/>
      <c r="N2105" s="23" t="s">
        <v>1612</v>
      </c>
      <c r="O2105" s="23"/>
      <c r="P2105" s="54"/>
      <c r="Q2105" s="23"/>
      <c r="R2105" s="17"/>
      <c r="S2105" s="18"/>
      <c r="T2105" s="20"/>
    </row>
    <row r="2106">
      <c r="A2106" s="27" t="s">
        <v>2838</v>
      </c>
      <c r="B2106" s="28" t="s">
        <v>1859</v>
      </c>
      <c r="C2106" s="29"/>
      <c r="D2106" s="29" t="s">
        <v>1860</v>
      </c>
      <c r="E2106" s="70">
        <v>41671.0</v>
      </c>
      <c r="F2106" s="30">
        <v>41685.0</v>
      </c>
      <c r="G2106" s="32">
        <f t="shared" si="2"/>
        <v>0.4666666667</v>
      </c>
      <c r="H2106" s="33"/>
      <c r="I2106" s="32">
        <f t="shared" si="3"/>
        <v>-11.70555556</v>
      </c>
      <c r="J2106" s="34"/>
      <c r="K2106" s="34"/>
      <c r="L2106" s="35"/>
      <c r="M2106" s="35"/>
      <c r="N2106" s="35"/>
      <c r="O2106" s="35"/>
      <c r="P2106" s="36"/>
      <c r="Q2106" s="35"/>
      <c r="R2106" s="29"/>
      <c r="S2106" s="33"/>
      <c r="T2106" s="32"/>
    </row>
    <row r="2107">
      <c r="A2107" s="15" t="s">
        <v>114</v>
      </c>
      <c r="B2107" s="16" t="s">
        <v>1859</v>
      </c>
      <c r="C2107" s="17"/>
      <c r="D2107" s="17" t="s">
        <v>1860</v>
      </c>
      <c r="E2107" s="76">
        <v>41655.0</v>
      </c>
      <c r="F2107" s="62">
        <v>41670.0</v>
      </c>
      <c r="G2107" s="20">
        <f t="shared" si="2"/>
        <v>0.4666666667</v>
      </c>
      <c r="H2107" s="18"/>
      <c r="I2107" s="20">
        <f t="shared" si="3"/>
        <v>-11.74722222</v>
      </c>
      <c r="J2107" s="53"/>
      <c r="K2107" s="53"/>
      <c r="L2107" s="23"/>
      <c r="M2107" s="23"/>
      <c r="N2107" s="23" t="s">
        <v>1612</v>
      </c>
      <c r="O2107" s="23"/>
      <c r="P2107" s="54"/>
      <c r="Q2107" s="23"/>
      <c r="R2107" s="17"/>
      <c r="S2107" s="18"/>
      <c r="T2107" s="20"/>
    </row>
    <row r="2108">
      <c r="A2108" s="27" t="s">
        <v>2839</v>
      </c>
      <c r="B2108" s="28" t="s">
        <v>1859</v>
      </c>
      <c r="C2108" s="29"/>
      <c r="D2108" s="29" t="s">
        <v>1860</v>
      </c>
      <c r="E2108" s="70">
        <v>41640.0</v>
      </c>
      <c r="F2108" s="30">
        <v>41654.0</v>
      </c>
      <c r="G2108" s="32">
        <f t="shared" si="2"/>
        <v>0.4666666667</v>
      </c>
      <c r="H2108" s="33"/>
      <c r="I2108" s="32">
        <f t="shared" si="3"/>
        <v>-11.78888889</v>
      </c>
      <c r="J2108" s="34"/>
      <c r="K2108" s="34"/>
      <c r="L2108" s="35"/>
      <c r="M2108" s="35"/>
      <c r="N2108" s="35"/>
      <c r="O2108" s="35"/>
      <c r="P2108" s="36"/>
      <c r="Q2108" s="35"/>
      <c r="R2108" s="29"/>
      <c r="S2108" s="33"/>
      <c r="T2108" s="32"/>
    </row>
    <row r="2109">
      <c r="A2109" s="15" t="s">
        <v>2840</v>
      </c>
      <c r="B2109" s="16" t="s">
        <v>1859</v>
      </c>
      <c r="C2109" s="17"/>
      <c r="D2109" s="17" t="s">
        <v>1860</v>
      </c>
      <c r="E2109" s="76">
        <v>41624.0</v>
      </c>
      <c r="F2109" s="62">
        <v>41639.0</v>
      </c>
      <c r="G2109" s="20">
        <f t="shared" si="2"/>
        <v>0.4666666667</v>
      </c>
      <c r="H2109" s="18"/>
      <c r="I2109" s="20">
        <f t="shared" si="3"/>
        <v>-11.83055556</v>
      </c>
      <c r="J2109" s="53"/>
      <c r="K2109" s="53"/>
      <c r="L2109" s="23"/>
      <c r="M2109" s="23"/>
      <c r="N2109" s="23"/>
      <c r="O2109" s="23"/>
      <c r="P2109" s="54"/>
      <c r="Q2109" s="23"/>
      <c r="R2109" s="17"/>
      <c r="S2109" s="18"/>
      <c r="T2109" s="20"/>
    </row>
    <row r="2110">
      <c r="A2110" s="27" t="s">
        <v>1170</v>
      </c>
      <c r="B2110" s="28" t="s">
        <v>1859</v>
      </c>
      <c r="C2110" s="29"/>
      <c r="D2110" s="29" t="s">
        <v>1860</v>
      </c>
      <c r="E2110" s="70">
        <v>41609.0</v>
      </c>
      <c r="F2110" s="30">
        <v>41623.0</v>
      </c>
      <c r="G2110" s="32">
        <f t="shared" si="2"/>
        <v>0.4666666667</v>
      </c>
      <c r="H2110" s="33"/>
      <c r="I2110" s="32">
        <f t="shared" si="3"/>
        <v>-11.87222222</v>
      </c>
      <c r="J2110" s="34"/>
      <c r="K2110" s="34"/>
      <c r="L2110" s="35"/>
      <c r="M2110" s="35"/>
      <c r="N2110" s="35" t="s">
        <v>1612</v>
      </c>
      <c r="O2110" s="35"/>
      <c r="P2110" s="36"/>
      <c r="Q2110" s="35"/>
      <c r="R2110" s="29"/>
      <c r="S2110" s="33"/>
      <c r="T2110" s="32"/>
    </row>
    <row r="2111">
      <c r="A2111" s="15" t="s">
        <v>581</v>
      </c>
      <c r="B2111" s="16" t="s">
        <v>1859</v>
      </c>
      <c r="C2111" s="17"/>
      <c r="D2111" s="17" t="s">
        <v>1860</v>
      </c>
      <c r="E2111" s="76">
        <v>41594.0</v>
      </c>
      <c r="F2111" s="62">
        <v>41608.0</v>
      </c>
      <c r="G2111" s="20">
        <f t="shared" si="2"/>
        <v>0.4666666667</v>
      </c>
      <c r="H2111" s="18"/>
      <c r="I2111" s="20">
        <f t="shared" si="3"/>
        <v>-11.91388889</v>
      </c>
      <c r="J2111" s="53"/>
      <c r="K2111" s="53"/>
      <c r="L2111" s="23"/>
      <c r="M2111" s="23"/>
      <c r="N2111" s="23" t="s">
        <v>1612</v>
      </c>
      <c r="O2111" s="23"/>
      <c r="P2111" s="54"/>
      <c r="Q2111" s="23"/>
      <c r="R2111" s="17"/>
      <c r="S2111" s="18"/>
      <c r="T2111" s="20"/>
    </row>
    <row r="2112">
      <c r="A2112" s="27" t="s">
        <v>2539</v>
      </c>
      <c r="B2112" s="28" t="s">
        <v>1859</v>
      </c>
      <c r="C2112" s="29"/>
      <c r="D2112" s="29" t="s">
        <v>1860</v>
      </c>
      <c r="E2112" s="70">
        <v>41579.0</v>
      </c>
      <c r="F2112" s="30">
        <v>41593.0</v>
      </c>
      <c r="G2112" s="32">
        <f t="shared" si="2"/>
        <v>0.4666666667</v>
      </c>
      <c r="H2112" s="33"/>
      <c r="I2112" s="32">
        <f t="shared" si="3"/>
        <v>-11.95555556</v>
      </c>
      <c r="J2112" s="34"/>
      <c r="K2112" s="34"/>
      <c r="L2112" s="35"/>
      <c r="M2112" s="35"/>
      <c r="N2112" s="35" t="s">
        <v>1612</v>
      </c>
      <c r="O2112" s="35"/>
      <c r="P2112" s="36"/>
      <c r="Q2112" s="35"/>
      <c r="R2112" s="29"/>
      <c r="S2112" s="33"/>
      <c r="T2112" s="32"/>
    </row>
    <row r="2113">
      <c r="A2113" s="15" t="s">
        <v>990</v>
      </c>
      <c r="B2113" s="16" t="s">
        <v>1859</v>
      </c>
      <c r="C2113" s="17"/>
      <c r="D2113" s="17" t="s">
        <v>1860</v>
      </c>
      <c r="E2113" s="76">
        <v>41563.0</v>
      </c>
      <c r="F2113" s="62">
        <v>41578.0</v>
      </c>
      <c r="G2113" s="20">
        <f t="shared" si="2"/>
        <v>0.4666666667</v>
      </c>
      <c r="H2113" s="18"/>
      <c r="I2113" s="20">
        <f t="shared" si="3"/>
        <v>-11.99722222</v>
      </c>
      <c r="J2113" s="53"/>
      <c r="K2113" s="53"/>
      <c r="L2113" s="23"/>
      <c r="M2113" s="23" t="s">
        <v>1614</v>
      </c>
      <c r="N2113" s="23" t="s">
        <v>1612</v>
      </c>
      <c r="O2113" s="23"/>
      <c r="P2113" s="54"/>
      <c r="Q2113" s="23"/>
      <c r="R2113" s="17"/>
      <c r="S2113" s="18"/>
      <c r="T2113" s="20"/>
    </row>
    <row r="2114">
      <c r="A2114" s="27" t="s">
        <v>2841</v>
      </c>
      <c r="B2114" s="28" t="s">
        <v>1859</v>
      </c>
      <c r="C2114" s="29"/>
      <c r="D2114" s="29" t="s">
        <v>1860</v>
      </c>
      <c r="E2114" s="70">
        <v>41548.0</v>
      </c>
      <c r="F2114" s="30">
        <v>41562.0</v>
      </c>
      <c r="G2114" s="32">
        <f t="shared" si="2"/>
        <v>0.4666666667</v>
      </c>
      <c r="H2114" s="33"/>
      <c r="I2114" s="32">
        <f t="shared" si="3"/>
        <v>-12.03888889</v>
      </c>
      <c r="J2114" s="34"/>
      <c r="K2114" s="34"/>
      <c r="L2114" s="35"/>
      <c r="M2114" s="35"/>
      <c r="N2114" s="35" t="s">
        <v>1612</v>
      </c>
      <c r="O2114" s="35"/>
      <c r="P2114" s="36"/>
      <c r="Q2114" s="35"/>
      <c r="R2114" s="29"/>
      <c r="S2114" s="33"/>
      <c r="T2114" s="32"/>
    </row>
    <row r="2115">
      <c r="A2115" s="15" t="s">
        <v>2842</v>
      </c>
      <c r="B2115" s="16" t="s">
        <v>1859</v>
      </c>
      <c r="C2115" s="17"/>
      <c r="D2115" s="17" t="s">
        <v>1860</v>
      </c>
      <c r="E2115" s="76">
        <v>41533.0</v>
      </c>
      <c r="F2115" s="62">
        <v>41547.0</v>
      </c>
      <c r="G2115" s="20">
        <f t="shared" si="2"/>
        <v>0.4666666667</v>
      </c>
      <c r="H2115" s="18"/>
      <c r="I2115" s="20">
        <f t="shared" si="3"/>
        <v>-12.08055556</v>
      </c>
      <c r="J2115" s="53"/>
      <c r="K2115" s="53"/>
      <c r="L2115" s="23"/>
      <c r="M2115" s="23"/>
      <c r="N2115" s="23" t="s">
        <v>1612</v>
      </c>
      <c r="O2115" s="23"/>
      <c r="P2115" s="54"/>
      <c r="Q2115" s="23"/>
      <c r="R2115" s="17"/>
      <c r="S2115" s="18"/>
      <c r="T2115" s="20"/>
    </row>
    <row r="2116">
      <c r="A2116" s="27" t="s">
        <v>2843</v>
      </c>
      <c r="B2116" s="28" t="s">
        <v>1859</v>
      </c>
      <c r="C2116" s="29"/>
      <c r="D2116" s="29" t="s">
        <v>1860</v>
      </c>
      <c r="E2116" s="70">
        <v>41518.0</v>
      </c>
      <c r="F2116" s="30">
        <v>41532.0</v>
      </c>
      <c r="G2116" s="32">
        <f t="shared" si="2"/>
        <v>0.4666666667</v>
      </c>
      <c r="H2116" s="33"/>
      <c r="I2116" s="32">
        <f t="shared" si="3"/>
        <v>-12.12222222</v>
      </c>
      <c r="J2116" s="34"/>
      <c r="K2116" s="34"/>
      <c r="L2116" s="35"/>
      <c r="M2116" s="35"/>
      <c r="N2116" s="35" t="s">
        <v>1612</v>
      </c>
      <c r="O2116" s="35"/>
      <c r="P2116" s="36"/>
      <c r="Q2116" s="35"/>
      <c r="R2116" s="29"/>
      <c r="S2116" s="33"/>
      <c r="T2116" s="32"/>
    </row>
    <row r="2117">
      <c r="A2117" s="15" t="s">
        <v>2559</v>
      </c>
      <c r="B2117" s="16" t="s">
        <v>1859</v>
      </c>
      <c r="C2117" s="17"/>
      <c r="D2117" s="17" t="s">
        <v>1860</v>
      </c>
      <c r="E2117" s="76">
        <v>41502.0</v>
      </c>
      <c r="F2117" s="62">
        <v>41517.0</v>
      </c>
      <c r="G2117" s="20">
        <f t="shared" si="2"/>
        <v>0.4666666667</v>
      </c>
      <c r="H2117" s="18"/>
      <c r="I2117" s="20">
        <f t="shared" si="3"/>
        <v>-12.16388889</v>
      </c>
      <c r="J2117" s="53"/>
      <c r="K2117" s="53"/>
      <c r="L2117" s="23"/>
      <c r="M2117" s="23"/>
      <c r="N2117" s="23"/>
      <c r="O2117" s="23"/>
      <c r="P2117" s="54"/>
      <c r="Q2117" s="23"/>
      <c r="R2117" s="17"/>
      <c r="S2117" s="18"/>
      <c r="T2117" s="20"/>
    </row>
    <row r="2118">
      <c r="A2118" s="27" t="s">
        <v>2844</v>
      </c>
      <c r="B2118" s="28" t="s">
        <v>1859</v>
      </c>
      <c r="C2118" s="29"/>
      <c r="D2118" s="29" t="s">
        <v>1860</v>
      </c>
      <c r="E2118" s="70">
        <v>41487.0</v>
      </c>
      <c r="F2118" s="30">
        <v>41501.0</v>
      </c>
      <c r="G2118" s="32">
        <f t="shared" si="2"/>
        <v>0.4666666667</v>
      </c>
      <c r="H2118" s="33"/>
      <c r="I2118" s="32">
        <f t="shared" si="3"/>
        <v>-12.20555556</v>
      </c>
      <c r="J2118" s="34"/>
      <c r="K2118" s="34"/>
      <c r="L2118" s="35"/>
      <c r="M2118" s="35" t="s">
        <v>1614</v>
      </c>
      <c r="N2118" s="35" t="s">
        <v>1612</v>
      </c>
      <c r="O2118" s="35"/>
      <c r="P2118" s="36"/>
      <c r="Q2118" s="35"/>
      <c r="R2118" s="29"/>
      <c r="S2118" s="33"/>
      <c r="T2118" s="32"/>
    </row>
    <row r="2119">
      <c r="A2119" s="15" t="s">
        <v>54</v>
      </c>
      <c r="B2119" s="16" t="s">
        <v>1859</v>
      </c>
      <c r="C2119" s="17"/>
      <c r="D2119" s="17" t="s">
        <v>1860</v>
      </c>
      <c r="E2119" s="76">
        <v>41471.0</v>
      </c>
      <c r="F2119" s="62">
        <v>41486.0</v>
      </c>
      <c r="G2119" s="20">
        <f t="shared" si="2"/>
        <v>0.4666666667</v>
      </c>
      <c r="H2119" s="18"/>
      <c r="I2119" s="20">
        <f t="shared" si="3"/>
        <v>-12.24722222</v>
      </c>
      <c r="J2119" s="53"/>
      <c r="K2119" s="53"/>
      <c r="L2119" s="23"/>
      <c r="M2119" s="23"/>
      <c r="N2119" s="23" t="s">
        <v>1612</v>
      </c>
      <c r="O2119" s="23"/>
      <c r="P2119" s="54"/>
      <c r="Q2119" s="23"/>
      <c r="R2119" s="17"/>
      <c r="S2119" s="18"/>
      <c r="T2119" s="20"/>
    </row>
    <row r="2120">
      <c r="A2120" s="27" t="s">
        <v>2562</v>
      </c>
      <c r="B2120" s="28" t="s">
        <v>1859</v>
      </c>
      <c r="C2120" s="29"/>
      <c r="D2120" s="29" t="s">
        <v>1860</v>
      </c>
      <c r="E2120" s="70">
        <v>41456.0</v>
      </c>
      <c r="F2120" s="30">
        <v>41470.0</v>
      </c>
      <c r="G2120" s="32">
        <f t="shared" si="2"/>
        <v>0.4666666667</v>
      </c>
      <c r="H2120" s="33"/>
      <c r="I2120" s="32">
        <f t="shared" si="3"/>
        <v>-12.28888889</v>
      </c>
      <c r="J2120" s="34"/>
      <c r="K2120" s="34"/>
      <c r="L2120" s="35"/>
      <c r="M2120" s="35"/>
      <c r="N2120" s="35" t="s">
        <v>1612</v>
      </c>
      <c r="O2120" s="35"/>
      <c r="P2120" s="36"/>
      <c r="Q2120" s="35"/>
      <c r="R2120" s="29"/>
      <c r="S2120" s="33"/>
      <c r="T2120" s="32"/>
    </row>
    <row r="2121">
      <c r="A2121" s="15" t="s">
        <v>1166</v>
      </c>
      <c r="B2121" s="16" t="s">
        <v>1859</v>
      </c>
      <c r="C2121" s="17"/>
      <c r="D2121" s="17" t="s">
        <v>1860</v>
      </c>
      <c r="E2121" s="76">
        <v>41435.0</v>
      </c>
      <c r="F2121" s="62">
        <v>41455.0</v>
      </c>
      <c r="G2121" s="20">
        <f t="shared" si="2"/>
        <v>0.6666666667</v>
      </c>
      <c r="H2121" s="18"/>
      <c r="I2121" s="20">
        <f t="shared" si="3"/>
        <v>-12.34722222</v>
      </c>
      <c r="J2121" s="53"/>
      <c r="K2121" s="53"/>
      <c r="L2121" s="23"/>
      <c r="M2121" s="23" t="s">
        <v>1614</v>
      </c>
      <c r="N2121" s="23" t="s">
        <v>1612</v>
      </c>
      <c r="O2121" s="23"/>
      <c r="P2121" s="54"/>
      <c r="Q2121" s="23"/>
      <c r="R2121" s="17"/>
      <c r="S2121" s="18"/>
      <c r="T2121" s="20"/>
    </row>
  </sheetData>
  <autoFilter ref="$A$2:$S$2121"/>
  <mergeCells count="1">
    <mergeCell ref="R1:T1"/>
  </mergeCells>
  <conditionalFormatting sqref="B1">
    <cfRule type="cellIs" dxfId="0" priority="1" operator="equal">
      <formula>"Xbox"</formula>
    </cfRule>
  </conditionalFormatting>
  <conditionalFormatting sqref="A3:A2121">
    <cfRule type="expression" dxfId="1" priority="2">
      <formula>MATCH(A3,INDIRECT("'Xbox Game Studios'!A:A"),0)</formula>
    </cfRule>
  </conditionalFormatting>
  <conditionalFormatting sqref="A3:A2121">
    <cfRule type="expression" dxfId="2" priority="3">
      <formula>MATCH(A3,INDIRECT("'EA Play'!A:A"),0)</formula>
    </cfRule>
  </conditionalFormatting>
  <conditionalFormatting sqref="A3:A2121 D3:D2121">
    <cfRule type="expression" dxfId="3" priority="4">
      <formula>$D3="Coming Soon"</formula>
    </cfRule>
  </conditionalFormatting>
  <conditionalFormatting sqref="A3:A2121 D3:D2121">
    <cfRule type="expression" dxfId="4" priority="5">
      <formula>$D3="Removed"</formula>
    </cfRule>
  </conditionalFormatting>
  <conditionalFormatting sqref="A3:A2121 D3:D2121">
    <cfRule type="expression" dxfId="5" priority="6">
      <formula>$D3="Leaving Soon"</formula>
    </cfRule>
  </conditionalFormatting>
  <conditionalFormatting sqref="E3:E145 I3:I2121 E206:E2121">
    <cfRule type="expression" dxfId="0" priority="7">
      <formula>AND($E3&lt;&gt;"",(($E3-$H3)/365*12)&lt;1)</formula>
    </cfRule>
  </conditionalFormatting>
  <conditionalFormatting sqref="J3:J2121">
    <cfRule type="cellIs" dxfId="2" priority="8" operator="between">
      <formula>75</formula>
      <formula>90</formula>
    </cfRule>
  </conditionalFormatting>
  <conditionalFormatting sqref="J3:J2121">
    <cfRule type="cellIs" dxfId="1" priority="9" operator="between">
      <formula>50</formula>
      <formula>75</formula>
    </cfRule>
  </conditionalFormatting>
  <conditionalFormatting sqref="J3:J2121">
    <cfRule type="cellIs" dxfId="4" priority="10" operator="between">
      <formula>1</formula>
      <formula>50</formula>
    </cfRule>
  </conditionalFormatting>
  <conditionalFormatting sqref="B3:B2121">
    <cfRule type="expression" dxfId="6" priority="11">
      <formula>AND(MATCH(A3,INDIRECT("'Cross Play'!D2:D"),0),MATCH(A3,INDIRECT("'Cross Play'!A2:A"),0))</formula>
    </cfRule>
  </conditionalFormatting>
  <conditionalFormatting sqref="B3:B2121">
    <cfRule type="expression" dxfId="7" priority="12">
      <formula>MATCH(A3,INDIRECT("'Cross Play'!A2:A"),0)</formula>
    </cfRule>
  </conditionalFormatting>
  <conditionalFormatting sqref="B3:B2121">
    <cfRule type="expression" dxfId="8" priority="13">
      <formula>MATCH(A3,INDIRECT("'Cross Play'!D2:D"),0)</formula>
    </cfRule>
  </conditionalFormatting>
  <conditionalFormatting sqref="I3:I2121 L216:L217 L220 L224:L229 J408 J415 L703">
    <cfRule type="colorScale" priority="14">
      <colorScale>
        <cfvo type="min"/>
        <cfvo type="percentile" val="50"/>
        <cfvo type="max"/>
        <color rgb="FFB6D7A8"/>
        <color rgb="FFFFE599"/>
        <color rgb="FFEA9999"/>
      </colorScale>
    </cfRule>
  </conditionalFormatting>
  <conditionalFormatting sqref="J3:J2121">
    <cfRule type="cellIs" dxfId="9" priority="15" operator="between">
      <formula>90</formula>
      <formula>100</formula>
    </cfRule>
  </conditionalFormatting>
  <conditionalFormatting sqref="G3:G2121">
    <cfRule type="expression" dxfId="10" priority="16">
      <formula>MATCH(A3,INDIRECT("'Xbox Game Studios'!A:A"),0)</formula>
    </cfRule>
  </conditionalFormatting>
  <conditionalFormatting sqref="G3:G2121">
    <cfRule type="expression" dxfId="10" priority="17">
      <formula>MATCH(A3,INDIRECT("'EA Play'!A:A"),0)</formula>
    </cfRule>
  </conditionalFormatting>
  <conditionalFormatting sqref="G3:G2121">
    <cfRule type="expression" dxfId="10" priority="18">
      <formula>MATCH(A3,INDIRECT("'Game Pass Core'!A:A"),0)</formula>
    </cfRule>
  </conditionalFormatting>
  <conditionalFormatting sqref="G3:G2121">
    <cfRule type="expression" dxfId="5" priority="19">
      <formula>and(or(D3="Active",D3="Leaving Soon",D3="Removed"), G3 &gt; 1, or(mod(G3, 12) &gt; 10.5, mod(G3, 12) &lt; 1))</formula>
    </cfRule>
  </conditionalFormatting>
  <conditionalFormatting sqref="O891">
    <cfRule type="notContainsBlanks" dxfId="10" priority="20">
      <formula>LEN(TRIM(O891))&gt;0</formula>
    </cfRule>
  </conditionalFormatting>
  <conditionalFormatting sqref="J2:L2121 O2:O2121 I240">
    <cfRule type="containsBlanks" dxfId="11" priority="21">
      <formula>LEN(TRIM(J2))=0</formula>
    </cfRule>
  </conditionalFormatting>
  <conditionalFormatting sqref="O2:O2121">
    <cfRule type="containsText" dxfId="11" priority="22" operator="containsText" text="RP">
      <formula>NOT(ISERROR(SEARCH(("RP"),(O2))))</formula>
    </cfRule>
  </conditionalFormatting>
  <conditionalFormatting sqref="O2:O2121">
    <cfRule type="containsText" dxfId="12" priority="23" operator="containsText" text="NR">
      <formula>NOT(ISERROR(SEARCH(("NR"),(O2))))</formula>
    </cfRule>
  </conditionalFormatting>
  <conditionalFormatting sqref="C3:C2121">
    <cfRule type="containsBlanks" dxfId="4" priority="24">
      <formula>LEN(TRIM(C3))=0</formula>
    </cfRule>
  </conditionalFormatting>
  <conditionalFormatting sqref="A3:A2121 D3:D2121">
    <cfRule type="expression" dxfId="4" priority="25">
      <formula>SEARCH("GwG",$D3)</formula>
    </cfRule>
  </conditionalFormatting>
  <conditionalFormatting sqref="S3:S2121">
    <cfRule type="expression" dxfId="3" priority="26">
      <formula>S3&gt;TODAY()</formula>
    </cfRule>
  </conditionalFormatting>
  <conditionalFormatting sqref="S3:S2121">
    <cfRule type="containsBlanks" dxfId="4" priority="27">
      <formula>LEN(TRIM(S3))=0</formula>
    </cfRule>
  </conditionalFormatting>
  <conditionalFormatting sqref="T3:T2121">
    <cfRule type="cellIs" dxfId="1" priority="28" operator="greaterThan">
      <formula>0</formula>
    </cfRule>
  </conditionalFormatting>
  <conditionalFormatting sqref="R3:R2121">
    <cfRule type="cellIs" dxfId="3" priority="29" operator="equal">
      <formula>"Coming Soon"</formula>
    </cfRule>
  </conditionalFormatting>
  <conditionalFormatting sqref="R3:R2121">
    <cfRule type="cellIs" dxfId="4" priority="30" operator="equal">
      <formula>"Removed"</formula>
    </cfRule>
  </conditionalFormatting>
  <conditionalFormatting sqref="R3:R2121">
    <cfRule type="cellIs" dxfId="5" priority="31" operator="equal">
      <formula>"Leaving Soon"</formula>
    </cfRule>
  </conditionalFormatting>
  <conditionalFormatting sqref="R3:R2121">
    <cfRule type="cellIs" dxfId="3" priority="32" operator="equal">
      <formula>"TBD"</formula>
    </cfRule>
  </conditionalFormatting>
  <conditionalFormatting sqref="R3:R2121">
    <cfRule type="cellIs" dxfId="4" priority="33" operator="equal">
      <formula>"N/A - PC"</formula>
    </cfRule>
  </conditionalFormatting>
  <hyperlinks>
    <hyperlink r:id="rId2" ref="H1"/>
    <hyperlink r:id="rId3" ref="Q390"/>
    <hyperlink r:id="rId4" ref="Q391"/>
    <hyperlink r:id="rId5" ref="Q392"/>
    <hyperlink r:id="rId6" ref="Q393"/>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0"/>
    <col customWidth="1" min="2" max="2" width="8.5"/>
    <col customWidth="1" min="3" max="3" width="12.13"/>
    <col customWidth="1" min="4" max="4" width="6.13"/>
    <col customWidth="1" min="5" max="5" width="8.38"/>
    <col customWidth="1" min="6" max="6" width="8.5"/>
    <col customWidth="1" min="7" max="7" width="6.88"/>
    <col customWidth="1" min="8" max="8" width="13.88"/>
    <col customWidth="1" min="9" max="9" width="4.25"/>
    <col customWidth="1" min="10" max="10" width="8.75"/>
    <col customWidth="1" min="11" max="11" width="10.13"/>
    <col customWidth="1" min="12" max="12" width="33.75"/>
    <col customWidth="1" min="13" max="13" width="13.75"/>
    <col customWidth="1" min="14" max="14" width="64.5"/>
    <col customWidth="1" min="15" max="15" width="5.63"/>
    <col customWidth="1" min="16" max="16" width="81.75"/>
    <col customWidth="1" min="17" max="29" width="74.5"/>
  </cols>
  <sheetData>
    <row r="1">
      <c r="A1" s="1" t="s">
        <v>0</v>
      </c>
      <c r="B1" s="2">
        <f>COUNTIF(D2:D544,"Active")+COUNTIF(D2:D544,"Leaving Soon")</f>
        <v>31</v>
      </c>
      <c r="C1" s="148" t="s">
        <v>2845</v>
      </c>
      <c r="D1" s="149"/>
      <c r="E1" s="149"/>
      <c r="F1" s="2"/>
      <c r="G1" s="149"/>
      <c r="H1" s="150"/>
      <c r="I1" s="1"/>
      <c r="J1" s="1"/>
      <c r="K1" s="1"/>
      <c r="L1" s="1"/>
      <c r="M1" s="4"/>
      <c r="N1" s="5"/>
      <c r="O1" s="4"/>
      <c r="P1" s="5"/>
      <c r="Q1" s="4" t="s">
        <v>2846</v>
      </c>
      <c r="R1" s="1"/>
      <c r="S1" s="1"/>
      <c r="T1" s="1"/>
      <c r="U1" s="1"/>
      <c r="V1" s="1"/>
      <c r="W1" s="1"/>
      <c r="X1" s="1"/>
      <c r="Y1" s="1"/>
      <c r="Z1" s="1"/>
      <c r="AA1" s="1"/>
      <c r="AB1" s="1"/>
      <c r="AC1" s="1"/>
    </row>
    <row r="2">
      <c r="A2" s="151" t="s">
        <v>8</v>
      </c>
      <c r="B2" s="152" t="s">
        <v>9</v>
      </c>
      <c r="C2" s="153" t="s">
        <v>10</v>
      </c>
      <c r="D2" s="152" t="s">
        <v>11</v>
      </c>
      <c r="E2" s="152" t="s">
        <v>12</v>
      </c>
      <c r="F2" s="153" t="s">
        <v>13</v>
      </c>
      <c r="G2" s="154" t="s">
        <v>14</v>
      </c>
      <c r="H2" s="155" t="s">
        <v>15</v>
      </c>
      <c r="I2" s="155" t="s">
        <v>16</v>
      </c>
      <c r="J2" s="155" t="s">
        <v>17</v>
      </c>
      <c r="K2" s="155" t="s">
        <v>18</v>
      </c>
      <c r="L2" s="155" t="s">
        <v>2847</v>
      </c>
      <c r="M2" s="155" t="s">
        <v>2848</v>
      </c>
      <c r="N2" s="153" t="s">
        <v>21</v>
      </c>
      <c r="O2" s="156" t="s">
        <v>22</v>
      </c>
      <c r="P2" s="156" t="s">
        <v>23</v>
      </c>
      <c r="Q2" s="156" t="s">
        <v>6</v>
      </c>
      <c r="R2" s="157"/>
      <c r="S2" s="157"/>
      <c r="T2" s="157"/>
      <c r="U2" s="157"/>
      <c r="V2" s="157"/>
      <c r="W2" s="157"/>
      <c r="X2" s="157"/>
      <c r="Y2" s="157"/>
      <c r="Z2" s="157"/>
      <c r="AA2" s="157"/>
      <c r="AB2" s="157"/>
      <c r="AC2" s="157"/>
    </row>
    <row r="3">
      <c r="A3" s="158" t="str">
        <f>IFERROR(__xludf.DUMMYFUNCTION("SORT(FILTER('Master List'!A:Q, 'Master List'!D:D=""Active"", ISNA(MATCH('Master List'!A:A, 'Xbox Game Studios'!A:A, 0)), ISNA(MATCH('Master List'!A:A, 'EA Play'!A:A, 0)), map('Master List'!G:G, lambda(a, if(isnumber(a), (a &gt; 1) * ((mod(a, 12) &gt; 10.5) + (m"&amp;"od(a, 12) &lt; 1)), 0)))),7,1)"),"Aliens: Dark Descent")</f>
        <v>Aliens: Dark Descent</v>
      </c>
      <c r="B3" s="158" t="str">
        <f>IFERROR(__xludf.DUMMYFUNCTION("""COMPUTED_VALUE"""),"Xbox / PC")</f>
        <v>Xbox / PC</v>
      </c>
      <c r="C3" s="158" t="str">
        <f>IFERROR(__xludf.DUMMYFUNCTION("""COMPUTED_VALUE"""),"Yes")</f>
        <v>Yes</v>
      </c>
      <c r="D3" s="159" t="str">
        <f>IFERROR(__xludf.DUMMYFUNCTION("""COMPUTED_VALUE"""),"Active")</f>
        <v>Active</v>
      </c>
      <c r="E3" s="160">
        <f>IFERROR(__xludf.DUMMYFUNCTION("""COMPUTED_VALUE"""),45623.0)</f>
        <v>45623</v>
      </c>
      <c r="F3" s="161"/>
      <c r="G3" s="162">
        <f>IFERROR(__xludf.DUMMYFUNCTION("""COMPUTED_VALUE"""),10.6)</f>
        <v>10.6</v>
      </c>
      <c r="H3" s="163">
        <f>IFERROR(__xludf.DUMMYFUNCTION("""COMPUTED_VALUE"""),45097.0)</f>
        <v>45097</v>
      </c>
      <c r="I3" s="162">
        <f>IFERROR(__xludf.DUMMYFUNCTION("""COMPUTED_VALUE"""),1.4361111111111111)</f>
        <v>1.436111111</v>
      </c>
      <c r="J3" s="164">
        <f>IFERROR(__xludf.DUMMYFUNCTION("""COMPUTED_VALUE"""),75.0)</f>
        <v>75</v>
      </c>
      <c r="K3" s="164">
        <f>IFERROR(__xludf.DUMMYFUNCTION("""COMPUTED_VALUE"""),24.0)</f>
        <v>24</v>
      </c>
      <c r="L3" s="158" t="str">
        <f>IFERROR(__xludf.DUMMYFUNCTION("""COMPUTED_VALUE"""),"Strategy")</f>
        <v>Strategy</v>
      </c>
      <c r="M3" s="158"/>
      <c r="N3" s="158"/>
      <c r="O3" s="158"/>
      <c r="P3" s="158"/>
      <c r="Q3" s="158"/>
      <c r="R3" s="165"/>
      <c r="S3" s="165"/>
      <c r="T3" s="165"/>
      <c r="U3" s="165"/>
      <c r="V3" s="165"/>
      <c r="W3" s="165"/>
      <c r="X3" s="165"/>
      <c r="Y3" s="165"/>
      <c r="Z3" s="165"/>
      <c r="AA3" s="165"/>
      <c r="AB3" s="165"/>
      <c r="AC3" s="165"/>
    </row>
    <row r="4">
      <c r="A4" s="158" t="str">
        <f>IFERROR(__xludf.DUMMYFUNCTION("""COMPUTED_VALUE"""),"Nine Sols")</f>
        <v>Nine Sols</v>
      </c>
      <c r="B4" s="158" t="str">
        <f>IFERROR(__xludf.DUMMYFUNCTION("""COMPUTED_VALUE"""),"Xbox / PC")</f>
        <v>Xbox / PC</v>
      </c>
      <c r="C4" s="158" t="str">
        <f>IFERROR(__xludf.DUMMYFUNCTION("""COMPUTED_VALUE"""),"Yes")</f>
        <v>Yes</v>
      </c>
      <c r="D4" s="159" t="str">
        <f>IFERROR(__xludf.DUMMYFUNCTION("""COMPUTED_VALUE"""),"Active")</f>
        <v>Active</v>
      </c>
      <c r="E4" s="160">
        <f>IFERROR(__xludf.DUMMYFUNCTION("""COMPUTED_VALUE"""),45622.0)</f>
        <v>45622</v>
      </c>
      <c r="F4" s="161"/>
      <c r="G4" s="162">
        <f>IFERROR(__xludf.DUMMYFUNCTION("""COMPUTED_VALUE"""),10.633333333333333)</f>
        <v>10.63333333</v>
      </c>
      <c r="H4" s="163">
        <f>IFERROR(__xludf.DUMMYFUNCTION("""COMPUTED_VALUE"""),45440.0)</f>
        <v>45440</v>
      </c>
      <c r="I4" s="162">
        <f>IFERROR(__xludf.DUMMYFUNCTION("""COMPUTED_VALUE"""),0.49444444444444446)</f>
        <v>0.4944444444</v>
      </c>
      <c r="J4" s="164">
        <f>IFERROR(__xludf.DUMMYFUNCTION("""COMPUTED_VALUE"""),83.0)</f>
        <v>83</v>
      </c>
      <c r="K4" s="164">
        <f>IFERROR(__xludf.DUMMYFUNCTION("""COMPUTED_VALUE"""),21.0)</f>
        <v>21</v>
      </c>
      <c r="L4" s="158" t="str">
        <f>IFERROR(__xludf.DUMMYFUNCTION("""COMPUTED_VALUE"""),"Platformer")</f>
        <v>Platformer</v>
      </c>
      <c r="M4" s="158" t="str">
        <f>IFERROR(__xludf.DUMMYFUNCTION("""COMPUTED_VALUE"""),"Exclusive")</f>
        <v>Exclusive</v>
      </c>
      <c r="N4" s="158" t="str">
        <f>IFERROR(__xludf.DUMMYFUNCTION("""COMPUTED_VALUE"""),"Joins GP in time for day one on console")</f>
        <v>Joins GP in time for day one on console</v>
      </c>
      <c r="O4" s="158"/>
      <c r="P4" s="158"/>
      <c r="Q4" s="158"/>
      <c r="R4" s="165"/>
      <c r="S4" s="165"/>
      <c r="T4" s="165"/>
      <c r="U4" s="165"/>
      <c r="V4" s="165"/>
      <c r="W4" s="165"/>
      <c r="X4" s="165"/>
      <c r="Y4" s="165"/>
      <c r="Z4" s="165"/>
      <c r="AA4" s="165"/>
      <c r="AB4" s="165"/>
      <c r="AC4" s="165"/>
    </row>
    <row r="5">
      <c r="A5" s="158" t="str">
        <f>IFERROR(__xludf.DUMMYFUNCTION("""COMPUTED_VALUE"""),"S.T.A.L.K.E.R. 2: Heart of Chornobyl")</f>
        <v>S.T.A.L.K.E.R. 2: Heart of Chornobyl</v>
      </c>
      <c r="B5" s="158" t="str">
        <f>IFERROR(__xludf.DUMMYFUNCTION("""COMPUTED_VALUE"""),"Xbox / PC")</f>
        <v>Xbox / PC</v>
      </c>
      <c r="C5" s="158" t="str">
        <f>IFERROR(__xludf.DUMMYFUNCTION("""COMPUTED_VALUE"""),"Yes")</f>
        <v>Yes</v>
      </c>
      <c r="D5" s="159" t="str">
        <f>IFERROR(__xludf.DUMMYFUNCTION("""COMPUTED_VALUE"""),"Active")</f>
        <v>Active</v>
      </c>
      <c r="E5" s="160">
        <f>IFERROR(__xludf.DUMMYFUNCTION("""COMPUTED_VALUE"""),45616.0)</f>
        <v>45616</v>
      </c>
      <c r="F5" s="161"/>
      <c r="G5" s="162">
        <f>IFERROR(__xludf.DUMMYFUNCTION("""COMPUTED_VALUE"""),10.833333333333334)</f>
        <v>10.83333333</v>
      </c>
      <c r="H5" s="163">
        <f>IFERROR(__xludf.DUMMYFUNCTION("""COMPUTED_VALUE"""),45616.0)</f>
        <v>45616</v>
      </c>
      <c r="I5" s="162">
        <f>IFERROR(__xludf.DUMMYFUNCTION("""COMPUTED_VALUE"""),0.0)</f>
        <v>0</v>
      </c>
      <c r="J5" s="164">
        <f>IFERROR(__xludf.DUMMYFUNCTION("""COMPUTED_VALUE"""),73.0)</f>
        <v>73</v>
      </c>
      <c r="K5" s="164">
        <f>IFERROR(__xludf.DUMMYFUNCTION("""COMPUTED_VALUE"""),31.0)</f>
        <v>31</v>
      </c>
      <c r="L5" s="158" t="str">
        <f>IFERROR(__xludf.DUMMYFUNCTION("""COMPUTED_VALUE"""),"Action-Adventure")</f>
        <v>Action-Adventure</v>
      </c>
      <c r="M5" s="158" t="str">
        <f>IFERROR(__xludf.DUMMYFUNCTION("""COMPUTED_VALUE"""),"Exclusive")</f>
        <v>Exclusive</v>
      </c>
      <c r="N5" s="158"/>
      <c r="O5" s="158"/>
      <c r="P5" s="158"/>
      <c r="Q5" s="158"/>
      <c r="R5" s="165"/>
      <c r="S5" s="165"/>
      <c r="T5" s="165"/>
      <c r="U5" s="165"/>
      <c r="V5" s="165"/>
      <c r="W5" s="165"/>
      <c r="X5" s="165"/>
      <c r="Y5" s="165"/>
      <c r="Z5" s="165"/>
      <c r="AA5" s="165"/>
      <c r="AB5" s="165"/>
      <c r="AC5" s="165"/>
    </row>
    <row r="6">
      <c r="A6" s="158" t="str">
        <f>IFERROR(__xludf.DUMMYFUNCTION("""COMPUTED_VALUE"""),"Goat Simulator: Remastered")</f>
        <v>Goat Simulator: Remastered</v>
      </c>
      <c r="B6" s="158" t="str">
        <f>IFERROR(__xludf.DUMMYFUNCTION("""COMPUTED_VALUE"""),"Xbox / PC")</f>
        <v>Xbox / PC</v>
      </c>
      <c r="C6" s="158" t="str">
        <f>IFERROR(__xludf.DUMMYFUNCTION("""COMPUTED_VALUE"""),"Yes")</f>
        <v>Yes</v>
      </c>
      <c r="D6" s="159" t="str">
        <f>IFERROR(__xludf.DUMMYFUNCTION("""COMPUTED_VALUE"""),"Active")</f>
        <v>Active</v>
      </c>
      <c r="E6" s="160">
        <f>IFERROR(__xludf.DUMMYFUNCTION("""COMPUTED_VALUE"""),45603.0)</f>
        <v>45603</v>
      </c>
      <c r="F6" s="161"/>
      <c r="G6" s="162">
        <f>IFERROR(__xludf.DUMMYFUNCTION("""COMPUTED_VALUE"""),11.266666666666666)</f>
        <v>11.26666667</v>
      </c>
      <c r="H6" s="163">
        <f>IFERROR(__xludf.DUMMYFUNCTION("""COMPUTED_VALUE"""),45603.0)</f>
        <v>45603</v>
      </c>
      <c r="I6" s="162">
        <f>IFERROR(__xludf.DUMMYFUNCTION("""COMPUTED_VALUE"""),0.0)</f>
        <v>0</v>
      </c>
      <c r="J6" s="164">
        <f>IFERROR(__xludf.DUMMYFUNCTION("""COMPUTED_VALUE"""),65.0)</f>
        <v>65</v>
      </c>
      <c r="K6" s="164">
        <f>IFERROR(__xludf.DUMMYFUNCTION("""COMPUTED_VALUE"""),3.0)</f>
        <v>3</v>
      </c>
      <c r="L6" s="158" t="str">
        <f>IFERROR(__xludf.DUMMYFUNCTION("""COMPUTED_VALUE"""),"Action-Adventure")</f>
        <v>Action-Adventure</v>
      </c>
      <c r="M6" s="158" t="str">
        <f>IFERROR(__xludf.DUMMYFUNCTION("""COMPUTED_VALUE"""),"Exclusive")</f>
        <v>Exclusive</v>
      </c>
      <c r="N6" s="158"/>
      <c r="O6" s="158"/>
      <c r="P6" s="158"/>
      <c r="Q6" s="158"/>
      <c r="R6" s="165"/>
      <c r="S6" s="165"/>
      <c r="T6" s="165"/>
      <c r="U6" s="165"/>
      <c r="V6" s="165"/>
      <c r="W6" s="165"/>
      <c r="X6" s="165"/>
      <c r="Y6" s="165"/>
      <c r="Z6" s="165"/>
      <c r="AA6" s="165"/>
      <c r="AB6" s="165"/>
      <c r="AC6" s="165"/>
    </row>
    <row r="7">
      <c r="A7" s="158" t="str">
        <f>IFERROR(__xludf.DUMMYFUNCTION("""COMPUTED_VALUE"""),"Metal Slug: Tactics")</f>
        <v>Metal Slug: Tactics</v>
      </c>
      <c r="B7" s="158" t="str">
        <f>IFERROR(__xludf.DUMMYFUNCTION("""COMPUTED_VALUE"""),"Xbox / PC")</f>
        <v>Xbox / PC</v>
      </c>
      <c r="C7" s="158" t="str">
        <f>IFERROR(__xludf.DUMMYFUNCTION("""COMPUTED_VALUE"""),"Yes")</f>
        <v>Yes</v>
      </c>
      <c r="D7" s="159" t="str">
        <f>IFERROR(__xludf.DUMMYFUNCTION("""COMPUTED_VALUE"""),"Active")</f>
        <v>Active</v>
      </c>
      <c r="E7" s="160">
        <f>IFERROR(__xludf.DUMMYFUNCTION("""COMPUTED_VALUE"""),45601.0)</f>
        <v>45601</v>
      </c>
      <c r="F7" s="161"/>
      <c r="G7" s="162">
        <f>IFERROR(__xludf.DUMMYFUNCTION("""COMPUTED_VALUE"""),11.333333333333332)</f>
        <v>11.33333333</v>
      </c>
      <c r="H7" s="163">
        <f>IFERROR(__xludf.DUMMYFUNCTION("""COMPUTED_VALUE"""),45601.0)</f>
        <v>45601</v>
      </c>
      <c r="I7" s="162">
        <f>IFERROR(__xludf.DUMMYFUNCTION("""COMPUTED_VALUE"""),0.0)</f>
        <v>0</v>
      </c>
      <c r="J7" s="164">
        <f>IFERROR(__xludf.DUMMYFUNCTION("""COMPUTED_VALUE"""),79.0)</f>
        <v>79</v>
      </c>
      <c r="K7" s="164">
        <f>IFERROR(__xludf.DUMMYFUNCTION("""COMPUTED_VALUE"""),8.0)</f>
        <v>8</v>
      </c>
      <c r="L7" s="158" t="str">
        <f>IFERROR(__xludf.DUMMYFUNCTION("""COMPUTED_VALUE"""),"Strategy")</f>
        <v>Strategy</v>
      </c>
      <c r="M7" s="158"/>
      <c r="N7" s="158"/>
      <c r="O7" s="158"/>
      <c r="P7" s="158"/>
      <c r="Q7" s="158"/>
      <c r="R7" s="165"/>
      <c r="S7" s="165"/>
      <c r="T7" s="165"/>
      <c r="U7" s="165"/>
      <c r="V7" s="165"/>
      <c r="W7" s="165"/>
      <c r="X7" s="165"/>
      <c r="Y7" s="165"/>
      <c r="Z7" s="165"/>
      <c r="AA7" s="165"/>
      <c r="AB7" s="165"/>
      <c r="AC7" s="165"/>
    </row>
    <row r="8">
      <c r="A8" s="158" t="str">
        <f>IFERROR(__xludf.DUMMYFUNCTION("""COMPUTED_VALUE"""),"Ashen")</f>
        <v>Ashen</v>
      </c>
      <c r="B8" s="158" t="str">
        <f>IFERROR(__xludf.DUMMYFUNCTION("""COMPUTED_VALUE"""),"Xbox / PC")</f>
        <v>Xbox / PC</v>
      </c>
      <c r="C8" s="158"/>
      <c r="D8" s="159" t="str">
        <f>IFERROR(__xludf.DUMMYFUNCTION("""COMPUTED_VALUE"""),"Active")</f>
        <v>Active</v>
      </c>
      <c r="E8" s="160">
        <f>IFERROR(__xludf.DUMMYFUNCTION("""COMPUTED_VALUE"""),45594.0)</f>
        <v>45594</v>
      </c>
      <c r="F8" s="161"/>
      <c r="G8" s="162">
        <f>IFERROR(__xludf.DUMMYFUNCTION("""COMPUTED_VALUE"""),11.533333333333333)</f>
        <v>11.53333333</v>
      </c>
      <c r="H8" s="163">
        <f>IFERROR(__xludf.DUMMYFUNCTION("""COMPUTED_VALUE"""),43441.0)</f>
        <v>43441</v>
      </c>
      <c r="I8" s="162">
        <f>IFERROR(__xludf.DUMMYFUNCTION("""COMPUTED_VALUE"""),5.894444444444445)</f>
        <v>5.894444444</v>
      </c>
      <c r="J8" s="164">
        <f>IFERROR(__xludf.DUMMYFUNCTION("""COMPUTED_VALUE"""),78.0)</f>
        <v>78</v>
      </c>
      <c r="K8" s="164">
        <f>IFERROR(__xludf.DUMMYFUNCTION("""COMPUTED_VALUE"""),15.5)</f>
        <v>15.5</v>
      </c>
      <c r="L8" s="158" t="str">
        <f>IFERROR(__xludf.DUMMYFUNCTION("""COMPUTED_VALUE"""),"Action / RPG / Action-Adventure")</f>
        <v>Action / RPG / Action-Adventure</v>
      </c>
      <c r="M8" s="158"/>
      <c r="N8" s="158" t="str">
        <f>IFERROR(__xludf.DUMMYFUNCTION("""COMPUTED_VALUE"""),"Returning title: Originally joined 12/31/18, left 12/1/19")</f>
        <v>Returning title: Originally joined 12/31/18, left 12/1/19</v>
      </c>
      <c r="O8" s="158"/>
      <c r="P8" s="158"/>
      <c r="Q8" s="158"/>
      <c r="R8" s="165"/>
      <c r="S8" s="165"/>
      <c r="T8" s="165"/>
      <c r="U8" s="165"/>
      <c r="V8" s="165"/>
      <c r="W8" s="165"/>
      <c r="X8" s="165"/>
      <c r="Y8" s="165"/>
      <c r="Z8" s="165"/>
      <c r="AA8" s="165"/>
      <c r="AB8" s="165"/>
      <c r="AC8" s="165"/>
    </row>
    <row r="9">
      <c r="A9" s="158" t="str">
        <f>IFERROR(__xludf.DUMMYFUNCTION("""COMPUTED_VALUE"""),"Call of Duty: Warzone")</f>
        <v>Call of Duty: Warzone</v>
      </c>
      <c r="B9" s="158" t="str">
        <f>IFERROR(__xludf.DUMMYFUNCTION("""COMPUTED_VALUE"""),"Xbox / PC")</f>
        <v>Xbox / PC</v>
      </c>
      <c r="C9" s="158" t="str">
        <f>IFERROR(__xludf.DUMMYFUNCTION("""COMPUTED_VALUE"""),"Yes")</f>
        <v>Yes</v>
      </c>
      <c r="D9" s="159" t="str">
        <f>IFERROR(__xludf.DUMMYFUNCTION("""COMPUTED_VALUE"""),"Active")</f>
        <v>Active</v>
      </c>
      <c r="E9" s="160">
        <f>IFERROR(__xludf.DUMMYFUNCTION("""COMPUTED_VALUE"""),45590.0)</f>
        <v>45590</v>
      </c>
      <c r="F9" s="161"/>
      <c r="G9" s="162">
        <f>IFERROR(__xludf.DUMMYFUNCTION("""COMPUTED_VALUE"""),11.666666666666666)</f>
        <v>11.66666667</v>
      </c>
      <c r="H9" s="163">
        <f>IFERROR(__xludf.DUMMYFUNCTION("""COMPUTED_VALUE"""),44881.0)</f>
        <v>44881</v>
      </c>
      <c r="I9" s="162">
        <f>IFERROR(__xludf.DUMMYFUNCTION("""COMPUTED_VALUE"""),1.9416666666666667)</f>
        <v>1.941666667</v>
      </c>
      <c r="J9" s="164">
        <f>IFERROR(__xludf.DUMMYFUNCTION("""COMPUTED_VALUE"""),79.0)</f>
        <v>79</v>
      </c>
      <c r="K9" s="164">
        <f>IFERROR(__xludf.DUMMYFUNCTION("""COMPUTED_VALUE"""),99.0)</f>
        <v>99</v>
      </c>
      <c r="L9" s="158" t="str">
        <f>IFERROR(__xludf.DUMMYFUNCTION("""COMPUTED_VALUE"""),"Shooter")</f>
        <v>Shooter</v>
      </c>
      <c r="M9" s="158"/>
      <c r="N9" s="158" t="str">
        <f>IFERROR(__xludf.DUMMYFUNCTION("""COMPUTED_VALUE"""),"Joins cloud on 10/25/24 (GPU only), free to play")</f>
        <v>Joins cloud on 10/25/24 (GPU only), free to play</v>
      </c>
      <c r="O9" s="158"/>
      <c r="P9" s="158"/>
      <c r="Q9" s="158"/>
      <c r="R9" s="165"/>
      <c r="S9" s="165"/>
      <c r="T9" s="165"/>
      <c r="U9" s="165"/>
      <c r="V9" s="165"/>
      <c r="W9" s="165"/>
      <c r="X9" s="165"/>
      <c r="Y9" s="165"/>
      <c r="Z9" s="165"/>
      <c r="AA9" s="165"/>
      <c r="AB9" s="165"/>
      <c r="AC9" s="165"/>
    </row>
    <row r="10">
      <c r="A10" s="158" t="str">
        <f>IFERROR(__xludf.DUMMYFUNCTION("""COMPUTED_VALUE"""),"Donut County")</f>
        <v>Donut County</v>
      </c>
      <c r="B10" s="158" t="str">
        <f>IFERROR(__xludf.DUMMYFUNCTION("""COMPUTED_VALUE"""),"Xbox / PC")</f>
        <v>Xbox / PC</v>
      </c>
      <c r="C10" s="158" t="str">
        <f>IFERROR(__xludf.DUMMYFUNCTION("""COMPUTED_VALUE"""),"Touch Controls")</f>
        <v>Touch Controls</v>
      </c>
      <c r="D10" s="159" t="str">
        <f>IFERROR(__xludf.DUMMYFUNCTION("""COMPUTED_VALUE"""),"Active")</f>
        <v>Active</v>
      </c>
      <c r="E10" s="160">
        <f>IFERROR(__xludf.DUMMYFUNCTION("""COMPUTED_VALUE"""),45582.0)</f>
        <v>45582</v>
      </c>
      <c r="F10" s="161"/>
      <c r="G10" s="162">
        <f>IFERROR(__xludf.DUMMYFUNCTION("""COMPUTED_VALUE"""),11.933333333333334)</f>
        <v>11.93333333</v>
      </c>
      <c r="H10" s="163">
        <f>IFERROR(__xludf.DUMMYFUNCTION("""COMPUTED_VALUE"""),43340.0)</f>
        <v>43340</v>
      </c>
      <c r="I10" s="162">
        <f>IFERROR(__xludf.DUMMYFUNCTION("""COMPUTED_VALUE"""),6.136111111111111)</f>
        <v>6.136111111</v>
      </c>
      <c r="J10" s="164">
        <f>IFERROR(__xludf.DUMMYFUNCTION("""COMPUTED_VALUE"""),82.0)</f>
        <v>82</v>
      </c>
      <c r="K10" s="164">
        <f>IFERROR(__xludf.DUMMYFUNCTION("""COMPUTED_VALUE"""),2.0)</f>
        <v>2</v>
      </c>
      <c r="L10" s="158" t="str">
        <f>IFERROR(__xludf.DUMMYFUNCTION("""COMPUTED_VALUE"""),"Action")</f>
        <v>Action</v>
      </c>
      <c r="M10" s="158"/>
      <c r="N10" s="158" t="str">
        <f>IFERROR(__xludf.DUMMYFUNCTION("""COMPUTED_VALUE"""),"Returning title: Originally joined 1/21/21, left 1/31/23, Official PC Mod Support")</f>
        <v>Returning title: Originally joined 1/21/21, left 1/31/23, Official PC Mod Support</v>
      </c>
      <c r="O10" s="158" t="str">
        <f>IFERROR(__xludf.DUMMYFUNCTION("""COMPUTED_VALUE"""),"E")</f>
        <v>E</v>
      </c>
      <c r="P10" s="158" t="str">
        <f>IFERROR(__xludf.DUMMYFUNCTION("""COMPUTED_VALUE"""),"Mild Fantasy Violence, Comic Mischief")</f>
        <v>Mild Fantasy Violence, Comic Mischief</v>
      </c>
      <c r="Q10" s="158"/>
      <c r="R10" s="165"/>
      <c r="S10" s="165"/>
      <c r="T10" s="165"/>
      <c r="U10" s="165"/>
      <c r="V10" s="165"/>
      <c r="W10" s="165"/>
      <c r="X10" s="165"/>
      <c r="Y10" s="165"/>
      <c r="Z10" s="165"/>
      <c r="AA10" s="165"/>
      <c r="AB10" s="165"/>
      <c r="AC10" s="165"/>
    </row>
    <row r="11">
      <c r="A11" s="158" t="str">
        <f>IFERROR(__xludf.DUMMYFUNCTION("""COMPUTED_VALUE"""),"Mechwarrior 5: Clans")</f>
        <v>Mechwarrior 5: Clans</v>
      </c>
      <c r="B11" s="158" t="str">
        <f>IFERROR(__xludf.DUMMYFUNCTION("""COMPUTED_VALUE"""),"Xbox / PC")</f>
        <v>Xbox / PC</v>
      </c>
      <c r="C11" s="158" t="str">
        <f>IFERROR(__xludf.DUMMYFUNCTION("""COMPUTED_VALUE"""),"Yes")</f>
        <v>Yes</v>
      </c>
      <c r="D11" s="159" t="str">
        <f>IFERROR(__xludf.DUMMYFUNCTION("""COMPUTED_VALUE"""),"Active")</f>
        <v>Active</v>
      </c>
      <c r="E11" s="160">
        <f>IFERROR(__xludf.DUMMYFUNCTION("""COMPUTED_VALUE"""),45582.0)</f>
        <v>45582</v>
      </c>
      <c r="F11" s="161"/>
      <c r="G11" s="162">
        <f>IFERROR(__xludf.DUMMYFUNCTION("""COMPUTED_VALUE"""),11.933333333333334)</f>
        <v>11.93333333</v>
      </c>
      <c r="H11" s="163">
        <f>IFERROR(__xludf.DUMMYFUNCTION("""COMPUTED_VALUE"""),45582.0)</f>
        <v>45582</v>
      </c>
      <c r="I11" s="162">
        <f>IFERROR(__xludf.DUMMYFUNCTION("""COMPUTED_VALUE"""),0.0)</f>
        <v>0</v>
      </c>
      <c r="J11" s="164">
        <f>IFERROR(__xludf.DUMMYFUNCTION("""COMPUTED_VALUE"""),79.0)</f>
        <v>79</v>
      </c>
      <c r="K11" s="164">
        <f>IFERROR(__xludf.DUMMYFUNCTION("""COMPUTED_VALUE"""),23.0)</f>
        <v>23</v>
      </c>
      <c r="L11" s="158" t="str">
        <f>IFERROR(__xludf.DUMMYFUNCTION("""COMPUTED_VALUE"""),"Simulation")</f>
        <v>Simulation</v>
      </c>
      <c r="M11" s="158" t="str">
        <f>IFERROR(__xludf.DUMMYFUNCTION("""COMPUTED_VALUE"""),"Exclusive")</f>
        <v>Exclusive</v>
      </c>
      <c r="N11" s="158"/>
      <c r="O11" s="158"/>
      <c r="P11" s="158"/>
      <c r="Q11" s="158"/>
      <c r="R11" s="165"/>
      <c r="S11" s="165"/>
      <c r="T11" s="165"/>
      <c r="U11" s="165"/>
      <c r="V11" s="165"/>
      <c r="W11" s="165"/>
      <c r="X11" s="165"/>
      <c r="Y11" s="165"/>
      <c r="Z11" s="165"/>
      <c r="AA11" s="165"/>
      <c r="AB11" s="165"/>
      <c r="AC11" s="165"/>
    </row>
    <row r="12">
      <c r="A12" s="158" t="str">
        <f>IFERROR(__xludf.DUMMYFUNCTION("""COMPUTED_VALUE"""),"South Park: The Fractured but Whole")</f>
        <v>South Park: The Fractured but Whole</v>
      </c>
      <c r="B12" s="158" t="str">
        <f>IFERROR(__xludf.DUMMYFUNCTION("""COMPUTED_VALUE"""),"Xbox / PC")</f>
        <v>Xbox / PC</v>
      </c>
      <c r="C12" s="158" t="str">
        <f>IFERROR(__xludf.DUMMYFUNCTION("""COMPUTED_VALUE"""),"Yes")</f>
        <v>Yes</v>
      </c>
      <c r="D12" s="159" t="str">
        <f>IFERROR(__xludf.DUMMYFUNCTION("""COMPUTED_VALUE"""),"Active")</f>
        <v>Active</v>
      </c>
      <c r="E12" s="160">
        <f>IFERROR(__xludf.DUMMYFUNCTION("""COMPUTED_VALUE"""),45581.0)</f>
        <v>45581</v>
      </c>
      <c r="F12" s="161"/>
      <c r="G12" s="162">
        <f>IFERROR(__xludf.DUMMYFUNCTION("""COMPUTED_VALUE"""),11.966666666666667)</f>
        <v>11.96666667</v>
      </c>
      <c r="H12" s="163">
        <f>IFERROR(__xludf.DUMMYFUNCTION("""COMPUTED_VALUE"""),43312.0)</f>
        <v>43312</v>
      </c>
      <c r="I12" s="162">
        <f>IFERROR(__xludf.DUMMYFUNCTION("""COMPUTED_VALUE"""),6.211111111111111)</f>
        <v>6.211111111</v>
      </c>
      <c r="J12" s="164">
        <f>IFERROR(__xludf.DUMMYFUNCTION("""COMPUTED_VALUE"""),75.0)</f>
        <v>75</v>
      </c>
      <c r="K12" s="164">
        <f>IFERROR(__xludf.DUMMYFUNCTION("""COMPUTED_VALUE"""),18.0)</f>
        <v>18</v>
      </c>
      <c r="L12" s="158" t="str">
        <f>IFERROR(__xludf.DUMMYFUNCTION("""COMPUTED_VALUE"""),"RPG")</f>
        <v>RPG</v>
      </c>
      <c r="M12" s="158"/>
      <c r="N12" s="158"/>
      <c r="O12" s="158"/>
      <c r="P12" s="158"/>
      <c r="Q12" s="158"/>
      <c r="R12" s="165"/>
      <c r="S12" s="165"/>
      <c r="T12" s="165"/>
      <c r="U12" s="165"/>
      <c r="V12" s="165"/>
      <c r="W12" s="165"/>
      <c r="X12" s="165"/>
      <c r="Y12" s="165"/>
      <c r="Z12" s="165"/>
      <c r="AA12" s="165"/>
      <c r="AB12" s="165"/>
      <c r="AC12" s="165"/>
    </row>
    <row r="13">
      <c r="A13" s="158" t="str">
        <f>IFERROR(__xludf.DUMMYFUNCTION("""COMPUTED_VALUE"""),"Inscryption")</f>
        <v>Inscryption</v>
      </c>
      <c r="B13" s="158" t="str">
        <f>IFERROR(__xludf.DUMMYFUNCTION("""COMPUTED_VALUE"""),"Xbox / PC")</f>
        <v>Xbox / PC</v>
      </c>
      <c r="C13" s="158" t="str">
        <f>IFERROR(__xludf.DUMMYFUNCTION("""COMPUTED_VALUE"""),"Yes")</f>
        <v>Yes</v>
      </c>
      <c r="D13" s="159" t="str">
        <f>IFERROR(__xludf.DUMMYFUNCTION("""COMPUTED_VALUE"""),"Active")</f>
        <v>Active</v>
      </c>
      <c r="E13" s="160">
        <f>IFERROR(__xludf.DUMMYFUNCTION("""COMPUTED_VALUE"""),45575.0)</f>
        <v>45575</v>
      </c>
      <c r="F13" s="161"/>
      <c r="G13" s="162">
        <f>IFERROR(__xludf.DUMMYFUNCTION("""COMPUTED_VALUE"""),12.166666666666666)</f>
        <v>12.16666667</v>
      </c>
      <c r="H13" s="163">
        <f>IFERROR(__xludf.DUMMYFUNCTION("""COMPUTED_VALUE"""),44488.0)</f>
        <v>44488</v>
      </c>
      <c r="I13" s="162">
        <f>IFERROR(__xludf.DUMMYFUNCTION("""COMPUTED_VALUE"""),2.975)</f>
        <v>2.975</v>
      </c>
      <c r="J13" s="164">
        <f>IFERROR(__xludf.DUMMYFUNCTION("""COMPUTED_VALUE"""),85.0)</f>
        <v>85</v>
      </c>
      <c r="K13" s="164">
        <f>IFERROR(__xludf.DUMMYFUNCTION("""COMPUTED_VALUE"""),13.0)</f>
        <v>13</v>
      </c>
      <c r="L13" s="158" t="str">
        <f>IFERROR(__xludf.DUMMYFUNCTION("""COMPUTED_VALUE"""),"Card Battle")</f>
        <v>Card Battle</v>
      </c>
      <c r="M13" s="158"/>
      <c r="N13" s="158"/>
      <c r="O13" s="158"/>
      <c r="P13" s="158"/>
      <c r="Q13" s="158"/>
      <c r="R13" s="165"/>
      <c r="S13" s="165"/>
      <c r="T13" s="165"/>
      <c r="U13" s="165"/>
      <c r="V13" s="165"/>
      <c r="W13" s="165"/>
      <c r="X13" s="165"/>
      <c r="Y13" s="165"/>
      <c r="Z13" s="165"/>
      <c r="AA13" s="165"/>
      <c r="AB13" s="165"/>
      <c r="AC13" s="165"/>
    </row>
    <row r="14">
      <c r="A14" s="158" t="str">
        <f>IFERROR(__xludf.DUMMYFUNCTION("""COMPUTED_VALUE"""),"Mad Streets")</f>
        <v>Mad Streets</v>
      </c>
      <c r="B14" s="158" t="str">
        <f>IFERROR(__xludf.DUMMYFUNCTION("""COMPUTED_VALUE"""),"Xbox / PC")</f>
        <v>Xbox / PC</v>
      </c>
      <c r="C14" s="158" t="str">
        <f>IFERROR(__xludf.DUMMYFUNCTION("""COMPUTED_VALUE"""),"Yes")</f>
        <v>Yes</v>
      </c>
      <c r="D14" s="159" t="str">
        <f>IFERROR(__xludf.DUMMYFUNCTION("""COMPUTED_VALUE"""),"Active")</f>
        <v>Active</v>
      </c>
      <c r="E14" s="160">
        <f>IFERROR(__xludf.DUMMYFUNCTION("""COMPUTED_VALUE"""),45572.0)</f>
        <v>45572</v>
      </c>
      <c r="F14" s="161"/>
      <c r="G14" s="162">
        <f>IFERROR(__xludf.DUMMYFUNCTION("""COMPUTED_VALUE"""),12.266666666666666)</f>
        <v>12.26666667</v>
      </c>
      <c r="H14" s="163">
        <f>IFERROR(__xludf.DUMMYFUNCTION("""COMPUTED_VALUE"""),44435.0)</f>
        <v>44435</v>
      </c>
      <c r="I14" s="162">
        <f>IFERROR(__xludf.DUMMYFUNCTION("""COMPUTED_VALUE"""),3.111111111111111)</f>
        <v>3.111111111</v>
      </c>
      <c r="J14" s="164">
        <f>IFERROR(__xludf.DUMMYFUNCTION("""COMPUTED_VALUE"""),55.0)</f>
        <v>55</v>
      </c>
      <c r="K14" s="164">
        <f>IFERROR(__xludf.DUMMYFUNCTION("""COMPUTED_VALUE"""),2.0)</f>
        <v>2</v>
      </c>
      <c r="L14" s="158" t="str">
        <f>IFERROR(__xludf.DUMMYFUNCTION("""COMPUTED_VALUE"""),"Beat-'Em-Up ")</f>
        <v>Beat-'Em-Up </v>
      </c>
      <c r="M14" s="158"/>
      <c r="N14" s="158"/>
      <c r="O14" s="158"/>
      <c r="P14" s="158"/>
      <c r="Q14" s="158"/>
      <c r="R14" s="165"/>
      <c r="S14" s="165"/>
      <c r="T14" s="165"/>
      <c r="U14" s="165"/>
      <c r="V14" s="165"/>
      <c r="W14" s="165"/>
      <c r="X14" s="165"/>
      <c r="Y14" s="165"/>
      <c r="Z14" s="165"/>
      <c r="AA14" s="165"/>
      <c r="AB14" s="165"/>
      <c r="AC14" s="165"/>
    </row>
    <row r="15">
      <c r="A15" s="158" t="str">
        <f>IFERROR(__xludf.DUMMYFUNCTION("""COMPUTED_VALUE"""),"SIFU")</f>
        <v>SIFU</v>
      </c>
      <c r="B15" s="158" t="str">
        <f>IFERROR(__xludf.DUMMYFUNCTION("""COMPUTED_VALUE"""),"Xbox / PC")</f>
        <v>Xbox / PC</v>
      </c>
      <c r="C15" s="158" t="str">
        <f>IFERROR(__xludf.DUMMYFUNCTION("""COMPUTED_VALUE"""),"Yes")</f>
        <v>Yes</v>
      </c>
      <c r="D15" s="159" t="str">
        <f>IFERROR(__xludf.DUMMYFUNCTION("""COMPUTED_VALUE"""),"Active")</f>
        <v>Active</v>
      </c>
      <c r="E15" s="160">
        <f>IFERROR(__xludf.DUMMYFUNCTION("""COMPUTED_VALUE"""),45567.0)</f>
        <v>45567</v>
      </c>
      <c r="F15" s="161"/>
      <c r="G15" s="162">
        <f>IFERROR(__xludf.DUMMYFUNCTION("""COMPUTED_VALUE"""),12.433333333333334)</f>
        <v>12.43333333</v>
      </c>
      <c r="H15" s="163">
        <f>IFERROR(__xludf.DUMMYFUNCTION("""COMPUTED_VALUE"""),44600.0)</f>
        <v>44600</v>
      </c>
      <c r="I15" s="162">
        <f>IFERROR(__xludf.DUMMYFUNCTION("""COMPUTED_VALUE"""),2.65)</f>
        <v>2.65</v>
      </c>
      <c r="J15" s="164">
        <f>IFERROR(__xludf.DUMMYFUNCTION("""COMPUTED_VALUE"""),81.0)</f>
        <v>81</v>
      </c>
      <c r="K15" s="164">
        <f>IFERROR(__xludf.DUMMYFUNCTION("""COMPUTED_VALUE"""),9.0)</f>
        <v>9</v>
      </c>
      <c r="L15" s="158" t="str">
        <f>IFERROR(__xludf.DUMMYFUNCTION("""COMPUTED_VALUE"""),"Xbox / PC")</f>
        <v>Xbox / PC</v>
      </c>
      <c r="M15" s="158"/>
      <c r="N15" s="158"/>
      <c r="O15" s="158"/>
      <c r="P15" s="158"/>
      <c r="Q15" s="158"/>
      <c r="R15" s="165"/>
      <c r="S15" s="165"/>
      <c r="T15" s="165"/>
      <c r="U15" s="165"/>
      <c r="V15" s="165"/>
      <c r="W15" s="165"/>
      <c r="X15" s="165"/>
      <c r="Y15" s="165"/>
      <c r="Z15" s="165"/>
      <c r="AA15" s="165"/>
      <c r="AB15" s="165"/>
      <c r="AC15" s="165"/>
    </row>
    <row r="16">
      <c r="A16" s="158" t="str">
        <f>IFERROR(__xludf.DUMMYFUNCTION("""COMPUTED_VALUE"""),"Legend of Mana (2021)")</f>
        <v>Legend of Mana (2021)</v>
      </c>
      <c r="B16" s="158" t="str">
        <f>IFERROR(__xludf.DUMMYFUNCTION("""COMPUTED_VALUE"""),"Xbox / PC")</f>
        <v>Xbox / PC</v>
      </c>
      <c r="C16" s="158" t="str">
        <f>IFERROR(__xludf.DUMMYFUNCTION("""COMPUTED_VALUE"""),"Yes")</f>
        <v>Yes</v>
      </c>
      <c r="D16" s="159" t="str">
        <f>IFERROR(__xludf.DUMMYFUNCTION("""COMPUTED_VALUE"""),"Active")</f>
        <v>Active</v>
      </c>
      <c r="E16" s="160">
        <f>IFERROR(__xludf.DUMMYFUNCTION("""COMPUTED_VALUE"""),45561.0)</f>
        <v>45561</v>
      </c>
      <c r="F16" s="161"/>
      <c r="G16" s="162">
        <f>IFERROR(__xludf.DUMMYFUNCTION("""COMPUTED_VALUE"""),12.633333333333333)</f>
        <v>12.63333333</v>
      </c>
      <c r="H16" s="163">
        <f>IFERROR(__xludf.DUMMYFUNCTION("""COMPUTED_VALUE"""),44371.0)</f>
        <v>44371</v>
      </c>
      <c r="I16" s="162">
        <f>IFERROR(__xludf.DUMMYFUNCTION("""COMPUTED_VALUE"""),3.2555555555555555)</f>
        <v>3.255555556</v>
      </c>
      <c r="J16" s="164">
        <f>IFERROR(__xludf.DUMMYFUNCTION("""COMPUTED_VALUE"""),72.0)</f>
        <v>72</v>
      </c>
      <c r="K16" s="164">
        <f>IFERROR(__xludf.DUMMYFUNCTION("""COMPUTED_VALUE"""),18.0)</f>
        <v>18</v>
      </c>
      <c r="L16" s="158" t="str">
        <f>IFERROR(__xludf.DUMMYFUNCTION("""COMPUTED_VALUE"""),"RPG")</f>
        <v>RPG</v>
      </c>
      <c r="M16" s="158"/>
      <c r="N16" s="158"/>
      <c r="O16" s="158"/>
      <c r="P16" s="158"/>
      <c r="Q16" s="158"/>
      <c r="R16" s="165"/>
      <c r="S16" s="165"/>
      <c r="T16" s="165"/>
      <c r="U16" s="165"/>
      <c r="V16" s="165"/>
      <c r="W16" s="165"/>
      <c r="X16" s="165"/>
      <c r="Y16" s="165"/>
      <c r="Z16" s="165"/>
      <c r="AA16" s="165"/>
      <c r="AB16" s="165"/>
      <c r="AC16" s="165"/>
    </row>
    <row r="17">
      <c r="A17" s="158" t="str">
        <f>IFERROR(__xludf.DUMMYFUNCTION("""COMPUTED_VALUE"""),"Trials of Mana (2020)")</f>
        <v>Trials of Mana (2020)</v>
      </c>
      <c r="B17" s="158" t="str">
        <f>IFERROR(__xludf.DUMMYFUNCTION("""COMPUTED_VALUE"""),"Xbox / PC")</f>
        <v>Xbox / PC</v>
      </c>
      <c r="C17" s="158" t="str">
        <f>IFERROR(__xludf.DUMMYFUNCTION("""COMPUTED_VALUE"""),"Yes")</f>
        <v>Yes</v>
      </c>
      <c r="D17" s="159" t="str">
        <f>IFERROR(__xludf.DUMMYFUNCTION("""COMPUTED_VALUE"""),"Active")</f>
        <v>Active</v>
      </c>
      <c r="E17" s="160">
        <f>IFERROR(__xludf.DUMMYFUNCTION("""COMPUTED_VALUE"""),45561.0)</f>
        <v>45561</v>
      </c>
      <c r="F17" s="161"/>
      <c r="G17" s="162">
        <f>IFERROR(__xludf.DUMMYFUNCTION("""COMPUTED_VALUE"""),12.633333333333333)</f>
        <v>12.63333333</v>
      </c>
      <c r="H17" s="163">
        <f>IFERROR(__xludf.DUMMYFUNCTION("""COMPUTED_VALUE"""),43945.0)</f>
        <v>43945</v>
      </c>
      <c r="I17" s="162">
        <f>IFERROR(__xludf.DUMMYFUNCTION("""COMPUTED_VALUE"""),4.4222222222222225)</f>
        <v>4.422222222</v>
      </c>
      <c r="J17" s="164">
        <f>IFERROR(__xludf.DUMMYFUNCTION("""COMPUTED_VALUE"""),76.0)</f>
        <v>76</v>
      </c>
      <c r="K17" s="164">
        <f>IFERROR(__xludf.DUMMYFUNCTION("""COMPUTED_VALUE"""),21.0)</f>
        <v>21</v>
      </c>
      <c r="L17" s="158" t="str">
        <f>IFERROR(__xludf.DUMMYFUNCTION("""COMPUTED_VALUE"""),"RPG")</f>
        <v>RPG</v>
      </c>
      <c r="M17" s="158"/>
      <c r="N17" s="158"/>
      <c r="O17" s="158"/>
      <c r="P17" s="158"/>
      <c r="Q17" s="158"/>
      <c r="R17" s="165"/>
      <c r="S17" s="165"/>
      <c r="T17" s="165"/>
      <c r="U17" s="165"/>
      <c r="V17" s="165"/>
      <c r="W17" s="165"/>
      <c r="X17" s="165"/>
      <c r="Y17" s="165"/>
      <c r="Z17" s="165"/>
      <c r="AA17" s="165"/>
      <c r="AB17" s="165"/>
      <c r="AC17" s="165"/>
    </row>
    <row r="18">
      <c r="A18" s="158" t="str">
        <f>IFERROR(__xludf.DUMMYFUNCTION("""COMPUTED_VALUE"""),"Ara: History Untold")</f>
        <v>Ara: History Untold</v>
      </c>
      <c r="B18" s="158" t="str">
        <f>IFERROR(__xludf.DUMMYFUNCTION("""COMPUTED_VALUE"""),"PC")</f>
        <v>PC</v>
      </c>
      <c r="C18" s="158"/>
      <c r="D18" s="159" t="str">
        <f>IFERROR(__xludf.DUMMYFUNCTION("""COMPUTED_VALUE"""),"Active")</f>
        <v>Active</v>
      </c>
      <c r="E18" s="160">
        <f>IFERROR(__xludf.DUMMYFUNCTION("""COMPUTED_VALUE"""),45559.0)</f>
        <v>45559</v>
      </c>
      <c r="F18" s="161"/>
      <c r="G18" s="162">
        <f>IFERROR(__xludf.DUMMYFUNCTION("""COMPUTED_VALUE"""),12.7)</f>
        <v>12.7</v>
      </c>
      <c r="H18" s="163">
        <f>IFERROR(__xludf.DUMMYFUNCTION("""COMPUTED_VALUE"""),45559.0)</f>
        <v>45559</v>
      </c>
      <c r="I18" s="162">
        <f>IFERROR(__xludf.DUMMYFUNCTION("""COMPUTED_VALUE"""),0.0)</f>
        <v>0</v>
      </c>
      <c r="J18" s="164">
        <f>IFERROR(__xludf.DUMMYFUNCTION("""COMPUTED_VALUE"""),76.0)</f>
        <v>76</v>
      </c>
      <c r="K18" s="164">
        <f>IFERROR(__xludf.DUMMYFUNCTION("""COMPUTED_VALUE"""),13.0)</f>
        <v>13</v>
      </c>
      <c r="L18" s="158" t="str">
        <f>IFERROR(__xludf.DUMMYFUNCTION("""COMPUTED_VALUE"""),"Strategy")</f>
        <v>Strategy</v>
      </c>
      <c r="M18" s="158"/>
      <c r="N18" s="158"/>
      <c r="O18" s="158"/>
      <c r="P18" s="158"/>
      <c r="Q18" s="158"/>
      <c r="R18" s="165"/>
      <c r="S18" s="165"/>
      <c r="T18" s="165"/>
      <c r="U18" s="165"/>
      <c r="V18" s="165"/>
      <c r="W18" s="165"/>
      <c r="X18" s="165"/>
      <c r="Y18" s="165"/>
      <c r="Z18" s="165"/>
      <c r="AA18" s="165"/>
      <c r="AB18" s="165"/>
      <c r="AC18" s="165"/>
    </row>
    <row r="19">
      <c r="A19" s="158" t="str">
        <f>IFERROR(__xludf.DUMMYFUNCTION("""COMPUTED_VALUE"""),"Frostpunk 2")</f>
        <v>Frostpunk 2</v>
      </c>
      <c r="B19" s="158" t="str">
        <f>IFERROR(__xludf.DUMMYFUNCTION("""COMPUTED_VALUE"""),"Xbox / PC")</f>
        <v>Xbox / PC</v>
      </c>
      <c r="C19" s="158" t="str">
        <f>IFERROR(__xludf.DUMMYFUNCTION("""COMPUTED_VALUE"""),"Yes")</f>
        <v>Yes</v>
      </c>
      <c r="D19" s="159" t="str">
        <f>IFERROR(__xludf.DUMMYFUNCTION("""COMPUTED_VALUE"""),"Active")</f>
        <v>Active</v>
      </c>
      <c r="E19" s="160">
        <f>IFERROR(__xludf.DUMMYFUNCTION("""COMPUTED_VALUE"""),45555.0)</f>
        <v>45555</v>
      </c>
      <c r="F19" s="161"/>
      <c r="G19" s="162">
        <f>IFERROR(__xludf.DUMMYFUNCTION("""COMPUTED_VALUE"""),12.833333333333332)</f>
        <v>12.83333333</v>
      </c>
      <c r="H19" s="163">
        <f>IFERROR(__xludf.DUMMYFUNCTION("""COMPUTED_VALUE"""),45555.0)</f>
        <v>45555</v>
      </c>
      <c r="I19" s="162">
        <f>IFERROR(__xludf.DUMMYFUNCTION("""COMPUTED_VALUE"""),0.0)</f>
        <v>0</v>
      </c>
      <c r="J19" s="164">
        <f>IFERROR(__xludf.DUMMYFUNCTION("""COMPUTED_VALUE"""),86.0)</f>
        <v>86</v>
      </c>
      <c r="K19" s="164">
        <f>IFERROR(__xludf.DUMMYFUNCTION("""COMPUTED_VALUE"""),11.0)</f>
        <v>11</v>
      </c>
      <c r="L19" s="158" t="str">
        <f>IFERROR(__xludf.DUMMYFUNCTION("""COMPUTED_VALUE"""),"Simulation")</f>
        <v>Simulation</v>
      </c>
      <c r="M19" s="158" t="str">
        <f>IFERROR(__xludf.DUMMYFUNCTION("""COMPUTED_VALUE"""),"Exclusive")</f>
        <v>Exclusive</v>
      </c>
      <c r="N19" s="158" t="str">
        <f>IFERROR(__xludf.DUMMYFUNCTION("""COMPUTED_VALUE"""),"Joins console and cloud 9/18/25")</f>
        <v>Joins console and cloud 9/18/25</v>
      </c>
      <c r="O19" s="158"/>
      <c r="P19" s="158"/>
      <c r="Q19" s="158"/>
      <c r="R19" s="165"/>
      <c r="S19" s="165"/>
      <c r="T19" s="165"/>
      <c r="U19" s="165"/>
      <c r="V19" s="165"/>
      <c r="W19" s="165"/>
      <c r="X19" s="165"/>
      <c r="Y19" s="165"/>
      <c r="Z19" s="165"/>
      <c r="AA19" s="165"/>
      <c r="AB19" s="165"/>
      <c r="AC19" s="165"/>
    </row>
    <row r="20">
      <c r="A20" s="158" t="str">
        <f>IFERROR(__xludf.DUMMYFUNCTION("""COMPUTED_VALUE"""),"Train Sim World 5")</f>
        <v>Train Sim World 5</v>
      </c>
      <c r="B20" s="158" t="str">
        <f>IFERROR(__xludf.DUMMYFUNCTION("""COMPUTED_VALUE"""),"Xbox / PC")</f>
        <v>Xbox / PC</v>
      </c>
      <c r="C20" s="158" t="str">
        <f>IFERROR(__xludf.DUMMYFUNCTION("""COMPUTED_VALUE"""),"Yes")</f>
        <v>Yes</v>
      </c>
      <c r="D20" s="159" t="str">
        <f>IFERROR(__xludf.DUMMYFUNCTION("""COMPUTED_VALUE"""),"Active")</f>
        <v>Active</v>
      </c>
      <c r="E20" s="160">
        <f>IFERROR(__xludf.DUMMYFUNCTION("""COMPUTED_VALUE"""),45552.0)</f>
        <v>45552</v>
      </c>
      <c r="F20" s="161"/>
      <c r="G20" s="162">
        <f>IFERROR(__xludf.DUMMYFUNCTION("""COMPUTED_VALUE"""),12.933333333333334)</f>
        <v>12.93333333</v>
      </c>
      <c r="H20" s="163">
        <f>IFERROR(__xludf.DUMMYFUNCTION("""COMPUTED_VALUE"""),45195.0)</f>
        <v>45195</v>
      </c>
      <c r="I20" s="162">
        <f>IFERROR(__xludf.DUMMYFUNCTION("""COMPUTED_VALUE"""),0.975)</f>
        <v>0.975</v>
      </c>
      <c r="J20" s="164">
        <f>IFERROR(__xludf.DUMMYFUNCTION("""COMPUTED_VALUE"""),77.0)</f>
        <v>77</v>
      </c>
      <c r="K20" s="164"/>
      <c r="L20" s="158" t="str">
        <f>IFERROR(__xludf.DUMMYFUNCTION("""COMPUTED_VALUE"""),"Simulation")</f>
        <v>Simulation</v>
      </c>
      <c r="M20" s="158"/>
      <c r="N20" s="158"/>
      <c r="O20" s="158"/>
      <c r="P20" s="158"/>
      <c r="Q20" s="158"/>
      <c r="R20" s="165"/>
      <c r="S20" s="165"/>
      <c r="T20" s="165"/>
      <c r="U20" s="165"/>
      <c r="V20" s="165"/>
      <c r="W20" s="165"/>
      <c r="X20" s="165"/>
      <c r="Y20" s="165"/>
      <c r="Z20" s="165"/>
      <c r="AA20" s="165"/>
      <c r="AB20" s="165"/>
      <c r="AC20" s="165"/>
    </row>
    <row r="21">
      <c r="A21" s="158" t="str">
        <f>IFERROR(__xludf.DUMMYFUNCTION("""COMPUTED_VALUE"""),"Spirittea")</f>
        <v>Spirittea</v>
      </c>
      <c r="B21" s="158" t="str">
        <f>IFERROR(__xludf.DUMMYFUNCTION("""COMPUTED_VALUE"""),"Xbox / PC")</f>
        <v>Xbox / PC</v>
      </c>
      <c r="C21" s="158" t="str">
        <f>IFERROR(__xludf.DUMMYFUNCTION("""COMPUTED_VALUE"""),"Yes")</f>
        <v>Yes</v>
      </c>
      <c r="D21" s="159" t="str">
        <f>IFERROR(__xludf.DUMMYFUNCTION("""COMPUTED_VALUE"""),"Active")</f>
        <v>Active</v>
      </c>
      <c r="E21" s="160">
        <f>IFERROR(__xludf.DUMMYFUNCTION("""COMPUTED_VALUE"""),45243.0)</f>
        <v>45243</v>
      </c>
      <c r="F21" s="161"/>
      <c r="G21" s="162">
        <f>IFERROR(__xludf.DUMMYFUNCTION("""COMPUTED_VALUE"""),23.066666666666666)</f>
        <v>23.06666667</v>
      </c>
      <c r="H21" s="163">
        <f>IFERROR(__xludf.DUMMYFUNCTION("""COMPUTED_VALUE"""),45243.0)</f>
        <v>45243</v>
      </c>
      <c r="I21" s="162">
        <f>IFERROR(__xludf.DUMMYFUNCTION("""COMPUTED_VALUE"""),0.0)</f>
        <v>0</v>
      </c>
      <c r="J21" s="164">
        <f>IFERROR(__xludf.DUMMYFUNCTION("""COMPUTED_VALUE"""),76.0)</f>
        <v>76</v>
      </c>
      <c r="K21" s="164">
        <f>IFERROR(__xludf.DUMMYFUNCTION("""COMPUTED_VALUE"""),33.0)</f>
        <v>33</v>
      </c>
      <c r="L21" s="158" t="str">
        <f>IFERROR(__xludf.DUMMYFUNCTION("""COMPUTED_VALUE"""),"Strategy / Adventure / RPG / Simulation")</f>
        <v>Strategy / Adventure / RPG / Simulation</v>
      </c>
      <c r="M21" s="158"/>
      <c r="N21" s="158"/>
      <c r="O21" s="158"/>
      <c r="P21" s="158"/>
      <c r="Q21" s="158"/>
      <c r="R21" s="165"/>
      <c r="S21" s="165"/>
      <c r="T21" s="165"/>
      <c r="U21" s="165"/>
      <c r="V21" s="165"/>
      <c r="W21" s="165"/>
      <c r="X21" s="165"/>
      <c r="Y21" s="165"/>
      <c r="Z21" s="165"/>
      <c r="AA21" s="165"/>
      <c r="AB21" s="165"/>
      <c r="AC21" s="165"/>
    </row>
    <row r="22">
      <c r="A22" s="158" t="str">
        <f>IFERROR(__xludf.DUMMYFUNCTION("""COMPUTED_VALUE"""),"Football Manager 2024")</f>
        <v>Football Manager 2024</v>
      </c>
      <c r="B22" s="158" t="str">
        <f>IFERROR(__xludf.DUMMYFUNCTION("""COMPUTED_VALUE"""),"Xbox / PC")</f>
        <v>Xbox / PC</v>
      </c>
      <c r="C22" s="158" t="str">
        <f>IFERROR(__xludf.DUMMYFUNCTION("""COMPUTED_VALUE"""),"Yes")</f>
        <v>Yes</v>
      </c>
      <c r="D22" s="159" t="str">
        <f>IFERROR(__xludf.DUMMYFUNCTION("""COMPUTED_VALUE"""),"Active")</f>
        <v>Active</v>
      </c>
      <c r="E22" s="160">
        <f>IFERROR(__xludf.DUMMYFUNCTION("""COMPUTED_VALUE"""),45236.0)</f>
        <v>45236</v>
      </c>
      <c r="F22" s="161"/>
      <c r="G22" s="162">
        <f>IFERROR(__xludf.DUMMYFUNCTION("""COMPUTED_VALUE"""),23.3)</f>
        <v>23.3</v>
      </c>
      <c r="H22" s="163">
        <f>IFERROR(__xludf.DUMMYFUNCTION("""COMPUTED_VALUE"""),45236.0)</f>
        <v>45236</v>
      </c>
      <c r="I22" s="162">
        <f>IFERROR(__xludf.DUMMYFUNCTION("""COMPUTED_VALUE"""),0.0)</f>
        <v>0</v>
      </c>
      <c r="J22" s="164">
        <f>IFERROR(__xludf.DUMMYFUNCTION("""COMPUTED_VALUE"""),84.0)</f>
        <v>84</v>
      </c>
      <c r="K22" s="164">
        <f>IFERROR(__xludf.DUMMYFUNCTION("""COMPUTED_VALUE"""),11.0)</f>
        <v>11</v>
      </c>
      <c r="L22" s="158" t="str">
        <f>IFERROR(__xludf.DUMMYFUNCTION("""COMPUTED_VALUE"""),"Simulation / Soccer")</f>
        <v>Simulation / Soccer</v>
      </c>
      <c r="M22" s="158"/>
      <c r="N22" s="158"/>
      <c r="O22" s="158"/>
      <c r="P22" s="158"/>
      <c r="Q22" s="158"/>
      <c r="R22" s="165"/>
      <c r="S22" s="165"/>
      <c r="T22" s="165"/>
      <c r="U22" s="165"/>
      <c r="V22" s="165"/>
      <c r="W22" s="165"/>
      <c r="X22" s="165"/>
      <c r="Y22" s="165"/>
      <c r="Z22" s="165"/>
      <c r="AA22" s="165"/>
      <c r="AB22" s="165"/>
      <c r="AC22" s="165"/>
    </row>
    <row r="23">
      <c r="A23" s="158" t="str">
        <f>IFERROR(__xludf.DUMMYFUNCTION("""COMPUTED_VALUE"""),"Thirsty Suitors")</f>
        <v>Thirsty Suitors</v>
      </c>
      <c r="B23" s="158" t="str">
        <f>IFERROR(__xludf.DUMMYFUNCTION("""COMPUTED_VALUE"""),"Xbox / PC")</f>
        <v>Xbox / PC</v>
      </c>
      <c r="C23" s="158" t="str">
        <f>IFERROR(__xludf.DUMMYFUNCTION("""COMPUTED_VALUE"""),"Yes")</f>
        <v>Yes</v>
      </c>
      <c r="D23" s="159" t="str">
        <f>IFERROR(__xludf.DUMMYFUNCTION("""COMPUTED_VALUE"""),"Active")</f>
        <v>Active</v>
      </c>
      <c r="E23" s="160">
        <f>IFERROR(__xludf.DUMMYFUNCTION("""COMPUTED_VALUE"""),45232.0)</f>
        <v>45232</v>
      </c>
      <c r="F23" s="161"/>
      <c r="G23" s="162">
        <f>IFERROR(__xludf.DUMMYFUNCTION("""COMPUTED_VALUE"""),23.433333333333334)</f>
        <v>23.43333333</v>
      </c>
      <c r="H23" s="163">
        <f>IFERROR(__xludf.DUMMYFUNCTION("""COMPUTED_VALUE"""),45232.0)</f>
        <v>45232</v>
      </c>
      <c r="I23" s="162">
        <f>IFERROR(__xludf.DUMMYFUNCTION("""COMPUTED_VALUE"""),0.0)</f>
        <v>0</v>
      </c>
      <c r="J23" s="164">
        <f>IFERROR(__xludf.DUMMYFUNCTION("""COMPUTED_VALUE"""),80.0)</f>
        <v>80</v>
      </c>
      <c r="K23" s="164">
        <f>IFERROR(__xludf.DUMMYFUNCTION("""COMPUTED_VALUE"""),8.0)</f>
        <v>8</v>
      </c>
      <c r="L23" s="158" t="str">
        <f>IFERROR(__xludf.DUMMYFUNCTION("""COMPUTED_VALUE"""),"Adventure / RPG")</f>
        <v>Adventure / RPG</v>
      </c>
      <c r="M23" s="158"/>
      <c r="N23" s="158"/>
      <c r="O23" s="158" t="str">
        <f>IFERROR(__xludf.DUMMYFUNCTION("""COMPUTED_VALUE"""),"T")</f>
        <v>T</v>
      </c>
      <c r="P23" s="158"/>
      <c r="Q23" s="158"/>
      <c r="R23" s="165"/>
      <c r="S23" s="165"/>
      <c r="T23" s="165"/>
      <c r="U23" s="165"/>
      <c r="V23" s="165"/>
      <c r="W23" s="165"/>
      <c r="X23" s="165"/>
      <c r="Y23" s="165"/>
      <c r="Z23" s="165"/>
      <c r="AA23" s="165"/>
      <c r="AB23" s="165"/>
      <c r="AC23" s="165"/>
    </row>
    <row r="24">
      <c r="A24" s="158" t="str">
        <f>IFERROR(__xludf.DUMMYFUNCTION("""COMPUTED_VALUE"""),"Jusant")</f>
        <v>Jusant</v>
      </c>
      <c r="B24" s="158" t="str">
        <f>IFERROR(__xludf.DUMMYFUNCTION("""COMPUTED_VALUE"""),"Xbox / PC")</f>
        <v>Xbox / PC</v>
      </c>
      <c r="C24" s="158" t="str">
        <f>IFERROR(__xludf.DUMMYFUNCTION("""COMPUTED_VALUE"""),"Yes")</f>
        <v>Yes</v>
      </c>
      <c r="D24" s="159" t="str">
        <f>IFERROR(__xludf.DUMMYFUNCTION("""COMPUTED_VALUE"""),"Active")</f>
        <v>Active</v>
      </c>
      <c r="E24" s="160">
        <f>IFERROR(__xludf.DUMMYFUNCTION("""COMPUTED_VALUE"""),45230.0)</f>
        <v>45230</v>
      </c>
      <c r="F24" s="161"/>
      <c r="G24" s="162">
        <f>IFERROR(__xludf.DUMMYFUNCTION("""COMPUTED_VALUE"""),23.5)</f>
        <v>23.5</v>
      </c>
      <c r="H24" s="163">
        <f>IFERROR(__xludf.DUMMYFUNCTION("""COMPUTED_VALUE"""),45230.0)</f>
        <v>45230</v>
      </c>
      <c r="I24" s="162">
        <f>IFERROR(__xludf.DUMMYFUNCTION("""COMPUTED_VALUE"""),0.0)</f>
        <v>0</v>
      </c>
      <c r="J24" s="164">
        <f>IFERROR(__xludf.DUMMYFUNCTION("""COMPUTED_VALUE"""),83.0)</f>
        <v>83</v>
      </c>
      <c r="K24" s="164">
        <f>IFERROR(__xludf.DUMMYFUNCTION("""COMPUTED_VALUE"""),4.0)</f>
        <v>4</v>
      </c>
      <c r="L24" s="158" t="str">
        <f>IFERROR(__xludf.DUMMYFUNCTION("""COMPUTED_VALUE"""),"Adventure")</f>
        <v>Adventure</v>
      </c>
      <c r="M24" s="158"/>
      <c r="N24" s="158"/>
      <c r="O24" s="158" t="str">
        <f>IFERROR(__xludf.DUMMYFUNCTION("""COMPUTED_VALUE"""),"RP")</f>
        <v>RP</v>
      </c>
      <c r="P24" s="158"/>
      <c r="Q24" s="158"/>
      <c r="R24" s="165"/>
      <c r="S24" s="165"/>
      <c r="T24" s="165"/>
      <c r="U24" s="165"/>
      <c r="V24" s="165"/>
      <c r="W24" s="165"/>
      <c r="X24" s="165"/>
      <c r="Y24" s="165"/>
      <c r="Z24" s="165"/>
      <c r="AA24" s="165"/>
      <c r="AB24" s="165"/>
      <c r="AC24" s="165"/>
    </row>
    <row r="25">
      <c r="A25" s="158" t="str">
        <f>IFERROR(__xludf.DUMMYFUNCTION("""COMPUTED_VALUE"""),"Wartales")</f>
        <v>Wartales</v>
      </c>
      <c r="B25" s="158" t="str">
        <f>IFERROR(__xludf.DUMMYFUNCTION("""COMPUTED_VALUE"""),"Xbox / PC")</f>
        <v>Xbox / PC</v>
      </c>
      <c r="C25" s="158" t="str">
        <f>IFERROR(__xludf.DUMMYFUNCTION("""COMPUTED_VALUE"""),"Yes")</f>
        <v>Yes</v>
      </c>
      <c r="D25" s="159" t="str">
        <f>IFERROR(__xludf.DUMMYFUNCTION("""COMPUTED_VALUE"""),"Active")</f>
        <v>Active</v>
      </c>
      <c r="E25" s="160">
        <f>IFERROR(__xludf.DUMMYFUNCTION("""COMPUTED_VALUE"""),45230.0)</f>
        <v>45230</v>
      </c>
      <c r="F25" s="161"/>
      <c r="G25" s="162">
        <f>IFERROR(__xludf.DUMMYFUNCTION("""COMPUTED_VALUE"""),23.5)</f>
        <v>23.5</v>
      </c>
      <c r="H25" s="163">
        <f>IFERROR(__xludf.DUMMYFUNCTION("""COMPUTED_VALUE"""),44531.0)</f>
        <v>44531</v>
      </c>
      <c r="I25" s="162">
        <f>IFERROR(__xludf.DUMMYFUNCTION("""COMPUTED_VALUE"""),1.913888888888889)</f>
        <v>1.913888889</v>
      </c>
      <c r="J25" s="164">
        <f>IFERROR(__xludf.DUMMYFUNCTION("""COMPUTED_VALUE"""),80.0)</f>
        <v>80</v>
      </c>
      <c r="K25" s="164">
        <f>IFERROR(__xludf.DUMMYFUNCTION("""COMPUTED_VALUE"""),38.0)</f>
        <v>38</v>
      </c>
      <c r="L25" s="158" t="str">
        <f>IFERROR(__xludf.DUMMYFUNCTION("""COMPUTED_VALUE"""),"Strategy / Adventure / RPG")</f>
        <v>Strategy / Adventure / RPG</v>
      </c>
      <c r="M25" s="158"/>
      <c r="N25" s="158" t="str">
        <f>IFERROR(__xludf.DUMMYFUNCTION("""COMPUTED_VALUE"""),"Joined xbox one ine June 2024")</f>
        <v>Joined xbox one ine June 2024</v>
      </c>
      <c r="O25" s="158"/>
      <c r="P25" s="158"/>
      <c r="Q25" s="158"/>
      <c r="R25" s="165"/>
      <c r="S25" s="165"/>
      <c r="T25" s="165"/>
      <c r="U25" s="165"/>
      <c r="V25" s="165"/>
      <c r="W25" s="165"/>
      <c r="X25" s="165"/>
      <c r="Y25" s="165"/>
      <c r="Z25" s="165"/>
      <c r="AA25" s="165"/>
      <c r="AB25" s="165"/>
      <c r="AC25" s="165"/>
    </row>
    <row r="26">
      <c r="A26" s="158" t="str">
        <f>IFERROR(__xludf.DUMMYFUNCTION("""COMPUTED_VALUE"""),"Cities: Skylines II")</f>
        <v>Cities: Skylines II</v>
      </c>
      <c r="B26" s="158" t="str">
        <f>IFERROR(__xludf.DUMMYFUNCTION("""COMPUTED_VALUE"""),"PC")</f>
        <v>PC</v>
      </c>
      <c r="C26" s="158"/>
      <c r="D26" s="159" t="str">
        <f>IFERROR(__xludf.DUMMYFUNCTION("""COMPUTED_VALUE"""),"Active")</f>
        <v>Active</v>
      </c>
      <c r="E26" s="160">
        <f>IFERROR(__xludf.DUMMYFUNCTION("""COMPUTED_VALUE"""),45223.0)</f>
        <v>45223</v>
      </c>
      <c r="F26" s="161"/>
      <c r="G26" s="162">
        <f>IFERROR(__xludf.DUMMYFUNCTION("""COMPUTED_VALUE"""),23.700000000000003)</f>
        <v>23.7</v>
      </c>
      <c r="H26" s="163">
        <f>IFERROR(__xludf.DUMMYFUNCTION("""COMPUTED_VALUE"""),45223.0)</f>
        <v>45223</v>
      </c>
      <c r="I26" s="162">
        <f>IFERROR(__xludf.DUMMYFUNCTION("""COMPUTED_VALUE"""),0.0)</f>
        <v>0</v>
      </c>
      <c r="J26" s="164">
        <f>IFERROR(__xludf.DUMMYFUNCTION("""COMPUTED_VALUE"""),75.0)</f>
        <v>75</v>
      </c>
      <c r="K26" s="164">
        <f>IFERROR(__xludf.DUMMYFUNCTION("""COMPUTED_VALUE"""),25.0)</f>
        <v>25</v>
      </c>
      <c r="L26" s="158" t="str">
        <f>IFERROR(__xludf.DUMMYFUNCTION("""COMPUTED_VALUE"""),"Simulation")</f>
        <v>Simulation</v>
      </c>
      <c r="M26" s="158"/>
      <c r="N26" s="158"/>
      <c r="O26" s="158" t="str">
        <f>IFERROR(__xludf.DUMMYFUNCTION("""COMPUTED_VALUE"""),"RP")</f>
        <v>RP</v>
      </c>
      <c r="P26" s="158"/>
      <c r="Q26" s="158"/>
      <c r="R26" s="165"/>
      <c r="S26" s="165"/>
      <c r="T26" s="165"/>
      <c r="U26" s="165"/>
      <c r="V26" s="165"/>
      <c r="W26" s="165"/>
      <c r="X26" s="165"/>
      <c r="Y26" s="165"/>
      <c r="Z26" s="165"/>
      <c r="AA26" s="165"/>
      <c r="AB26" s="165"/>
      <c r="AC26" s="165"/>
    </row>
    <row r="27">
      <c r="A27" s="158" t="str">
        <f>IFERROR(__xludf.DUMMYFUNCTION("""COMPUTED_VALUE"""),"Return to Monkey Island")</f>
        <v>Return to Monkey Island</v>
      </c>
      <c r="B27" s="158" t="str">
        <f>IFERROR(__xludf.DUMMYFUNCTION("""COMPUTED_VALUE"""),"Xbox / PC")</f>
        <v>Xbox / PC</v>
      </c>
      <c r="C27" s="158" t="str">
        <f>IFERROR(__xludf.DUMMYFUNCTION("""COMPUTED_VALUE"""),"Yes")</f>
        <v>Yes</v>
      </c>
      <c r="D27" s="159" t="str">
        <f>IFERROR(__xludf.DUMMYFUNCTION("""COMPUTED_VALUE"""),"Active")</f>
        <v>Active</v>
      </c>
      <c r="E27" s="160">
        <f>IFERROR(__xludf.DUMMYFUNCTION("""COMPUTED_VALUE"""),44873.0)</f>
        <v>44873</v>
      </c>
      <c r="F27" s="161"/>
      <c r="G27" s="162">
        <f>IFERROR(__xludf.DUMMYFUNCTION("""COMPUTED_VALUE"""),35.233333333333334)</f>
        <v>35.23333333</v>
      </c>
      <c r="H27" s="163">
        <f>IFERROR(__xludf.DUMMYFUNCTION("""COMPUTED_VALUE"""),44823.0)</f>
        <v>44823</v>
      </c>
      <c r="I27" s="162">
        <f>IFERROR(__xludf.DUMMYFUNCTION("""COMPUTED_VALUE"""),0.1361111111111111)</f>
        <v>0.1361111111</v>
      </c>
      <c r="J27" s="164">
        <f>IFERROR(__xludf.DUMMYFUNCTION("""COMPUTED_VALUE"""),87.0)</f>
        <v>87</v>
      </c>
      <c r="K27" s="164">
        <f>IFERROR(__xludf.DUMMYFUNCTION("""COMPUTED_VALUE"""),10.5)</f>
        <v>10.5</v>
      </c>
      <c r="L27" s="158" t="str">
        <f>IFERROR(__xludf.DUMMYFUNCTION("""COMPUTED_VALUE"""),"Adventure")</f>
        <v>Adventure</v>
      </c>
      <c r="M27" s="158" t="str">
        <f>IFERROR(__xludf.DUMMYFUNCTION("""COMPUTED_VALUE"""),"Exclusive")</f>
        <v>Exclusive</v>
      </c>
      <c r="N27" s="158"/>
      <c r="O27" s="158" t="str">
        <f>IFERROR(__xludf.DUMMYFUNCTION("""COMPUTED_VALUE"""),"E10+")</f>
        <v>E10+</v>
      </c>
      <c r="P27" s="158" t="str">
        <f>IFERROR(__xludf.DUMMYFUNCTION("""COMPUTED_VALUE"""),"Alcohol Reference, Fantasy Violence")</f>
        <v>Alcohol Reference, Fantasy Violence</v>
      </c>
      <c r="Q27" s="158"/>
      <c r="R27" s="165"/>
      <c r="S27" s="165"/>
      <c r="T27" s="165"/>
      <c r="U27" s="165"/>
      <c r="V27" s="165"/>
      <c r="W27" s="165"/>
      <c r="X27" s="165"/>
      <c r="Y27" s="165"/>
      <c r="Z27" s="165"/>
      <c r="AA27" s="165"/>
      <c r="AB27" s="165"/>
      <c r="AC27" s="165"/>
    </row>
    <row r="28">
      <c r="A28" s="158" t="str">
        <f>IFERROR(__xludf.DUMMYFUNCTION("""COMPUTED_VALUE"""),"A Plague Tale: Requiem")</f>
        <v>A Plague Tale: Requiem</v>
      </c>
      <c r="B28" s="158" t="str">
        <f>IFERROR(__xludf.DUMMYFUNCTION("""COMPUTED_VALUE"""),"Xbox / PC")</f>
        <v>Xbox / PC</v>
      </c>
      <c r="C28" s="158" t="str">
        <f>IFERROR(__xludf.DUMMYFUNCTION("""COMPUTED_VALUE"""),"Yes")</f>
        <v>Yes</v>
      </c>
      <c r="D28" s="159" t="str">
        <f>IFERROR(__xludf.DUMMYFUNCTION("""COMPUTED_VALUE"""),"Active")</f>
        <v>Active</v>
      </c>
      <c r="E28" s="160">
        <f>IFERROR(__xludf.DUMMYFUNCTION("""COMPUTED_VALUE"""),44852.0)</f>
        <v>44852</v>
      </c>
      <c r="F28" s="161"/>
      <c r="G28" s="162">
        <f>IFERROR(__xludf.DUMMYFUNCTION("""COMPUTED_VALUE"""),35.9)</f>
        <v>35.9</v>
      </c>
      <c r="H28" s="163">
        <f>IFERROR(__xludf.DUMMYFUNCTION("""COMPUTED_VALUE"""),44852.0)</f>
        <v>44852</v>
      </c>
      <c r="I28" s="162">
        <f>IFERROR(__xludf.DUMMYFUNCTION("""COMPUTED_VALUE"""),0.0)</f>
        <v>0</v>
      </c>
      <c r="J28" s="164">
        <f>IFERROR(__xludf.DUMMYFUNCTION("""COMPUTED_VALUE"""),85.0)</f>
        <v>85</v>
      </c>
      <c r="K28" s="164">
        <f>IFERROR(__xludf.DUMMYFUNCTION("""COMPUTED_VALUE"""),15.0)</f>
        <v>15</v>
      </c>
      <c r="L28" s="158" t="str">
        <f>IFERROR(__xludf.DUMMYFUNCTION("""COMPUTED_VALUE"""),"Action-Adventure")</f>
        <v>Action-Adventure</v>
      </c>
      <c r="M28" s="158" t="str">
        <f>IFERROR(__xludf.DUMMYFUNCTION("""COMPUTED_VALUE"""),"Exclusive")</f>
        <v>Exclusive</v>
      </c>
      <c r="N28" s="158"/>
      <c r="O28" s="158" t="str">
        <f>IFERROR(__xludf.DUMMYFUNCTION("""COMPUTED_VALUE"""),"M")</f>
        <v>M</v>
      </c>
      <c r="P28" s="158" t="str">
        <f>IFERROR(__xludf.DUMMYFUNCTION("""COMPUTED_VALUE"""),"Intense Violence, Blood, Language")</f>
        <v>Intense Violence, Blood, Language</v>
      </c>
      <c r="Q28" s="158"/>
      <c r="R28" s="165"/>
      <c r="S28" s="165"/>
      <c r="T28" s="165"/>
      <c r="U28" s="165"/>
      <c r="V28" s="165"/>
      <c r="W28" s="165"/>
      <c r="X28" s="165"/>
      <c r="Y28" s="165"/>
      <c r="Z28" s="165"/>
      <c r="AA28" s="165"/>
      <c r="AB28" s="165"/>
      <c r="AC28" s="165"/>
    </row>
    <row r="29">
      <c r="A29" s="158" t="str">
        <f>IFERROR(__xludf.DUMMYFUNCTION("""COMPUTED_VALUE"""),"Chivalry II")</f>
        <v>Chivalry II</v>
      </c>
      <c r="B29" s="158" t="str">
        <f>IFERROR(__xludf.DUMMYFUNCTION("""COMPUTED_VALUE"""),"Xbox / PC")</f>
        <v>Xbox / PC</v>
      </c>
      <c r="C29" s="158" t="str">
        <f>IFERROR(__xludf.DUMMYFUNCTION("""COMPUTED_VALUE"""),"Yes")</f>
        <v>Yes</v>
      </c>
      <c r="D29" s="159" t="str">
        <f>IFERROR(__xludf.DUMMYFUNCTION("""COMPUTED_VALUE"""),"Active")</f>
        <v>Active</v>
      </c>
      <c r="E29" s="160">
        <f>IFERROR(__xludf.DUMMYFUNCTION("""COMPUTED_VALUE"""),44838.0)</f>
        <v>44838</v>
      </c>
      <c r="F29" s="161"/>
      <c r="G29" s="162">
        <f>IFERROR(__xludf.DUMMYFUNCTION("""COMPUTED_VALUE"""),36.36666666666667)</f>
        <v>36.36666667</v>
      </c>
      <c r="H29" s="163">
        <f>IFERROR(__xludf.DUMMYFUNCTION("""COMPUTED_VALUE"""),44355.0)</f>
        <v>44355</v>
      </c>
      <c r="I29" s="162">
        <f>IFERROR(__xludf.DUMMYFUNCTION("""COMPUTED_VALUE"""),1.3222222222222222)</f>
        <v>1.322222222</v>
      </c>
      <c r="J29" s="164">
        <f>IFERROR(__xludf.DUMMYFUNCTION("""COMPUTED_VALUE"""),82.0)</f>
        <v>82</v>
      </c>
      <c r="K29" s="164">
        <f>IFERROR(__xludf.DUMMYFUNCTION("""COMPUTED_VALUE"""),42.5)</f>
        <v>42.5</v>
      </c>
      <c r="L29" s="158" t="str">
        <f>IFERROR(__xludf.DUMMYFUNCTION("""COMPUTED_VALUE"""),"Action")</f>
        <v>Action</v>
      </c>
      <c r="M29" s="158"/>
      <c r="N29" s="158" t="str">
        <f>IFERROR(__xludf.DUMMYFUNCTION("""COMPUTED_VALUE"""),"Game Pass Essential (12/6/23)")</f>
        <v>Game Pass Essential (12/6/23)</v>
      </c>
      <c r="O29" s="158" t="str">
        <f>IFERROR(__xludf.DUMMYFUNCTION("""COMPUTED_VALUE"""),"M")</f>
        <v>M</v>
      </c>
      <c r="P29" s="158" t="str">
        <f>IFERROR(__xludf.DUMMYFUNCTION("""COMPUTED_VALUE"""),"Use of Alcohol, Blood and Gore, Mild Sexual Themes, Language, Intense Violence")</f>
        <v>Use of Alcohol, Blood and Gore, Mild Sexual Themes, Language, Intense Violence</v>
      </c>
      <c r="Q29" s="158"/>
      <c r="R29" s="165"/>
      <c r="S29" s="165"/>
      <c r="T29" s="165"/>
      <c r="U29" s="165"/>
      <c r="V29" s="165"/>
      <c r="W29" s="165"/>
      <c r="X29" s="165"/>
      <c r="Y29" s="165"/>
      <c r="Z29" s="165"/>
      <c r="AA29" s="165"/>
      <c r="AB29" s="165"/>
      <c r="AC29" s="165"/>
    </row>
    <row r="30">
      <c r="A30" s="158" t="str">
        <f>IFERROR(__xludf.DUMMYFUNCTION("""COMPUTED_VALUE"""),"Unpacking")</f>
        <v>Unpacking</v>
      </c>
      <c r="B30" s="158" t="str">
        <f>IFERROR(__xludf.DUMMYFUNCTION("""COMPUTED_VALUE"""),"Xbox / PC")</f>
        <v>Xbox / PC</v>
      </c>
      <c r="C30" s="158" t="str">
        <f>IFERROR(__xludf.DUMMYFUNCTION("""COMPUTED_VALUE"""),"Touch Controls")</f>
        <v>Touch Controls</v>
      </c>
      <c r="D30" s="159" t="str">
        <f>IFERROR(__xludf.DUMMYFUNCTION("""COMPUTED_VALUE"""),"Active")</f>
        <v>Active</v>
      </c>
      <c r="E30" s="160">
        <f>IFERROR(__xludf.DUMMYFUNCTION("""COMPUTED_VALUE"""),44502.0)</f>
        <v>44502</v>
      </c>
      <c r="F30" s="161"/>
      <c r="G30" s="162">
        <f>IFERROR(__xludf.DUMMYFUNCTION("""COMPUTED_VALUE"""),47.43333333333334)</f>
        <v>47.43333333</v>
      </c>
      <c r="H30" s="163">
        <f>IFERROR(__xludf.DUMMYFUNCTION("""COMPUTED_VALUE"""),44502.0)</f>
        <v>44502</v>
      </c>
      <c r="I30" s="162">
        <f>IFERROR(__xludf.DUMMYFUNCTION("""COMPUTED_VALUE"""),0.0)</f>
        <v>0</v>
      </c>
      <c r="J30" s="164">
        <f>IFERROR(__xludf.DUMMYFUNCTION("""COMPUTED_VALUE"""),82.0)</f>
        <v>82</v>
      </c>
      <c r="K30" s="164">
        <f>IFERROR(__xludf.DUMMYFUNCTION("""COMPUTED_VALUE"""),3.5)</f>
        <v>3.5</v>
      </c>
      <c r="L30" s="158" t="str">
        <f>IFERROR(__xludf.DUMMYFUNCTION("""COMPUTED_VALUE"""),"Simulation / Puzzle")</f>
        <v>Simulation / Puzzle</v>
      </c>
      <c r="M30" s="158"/>
      <c r="N30" s="158" t="str">
        <f>IFERROR(__xludf.DUMMYFUNCTION("""COMPUTED_VALUE"""),"Game Pass Essential launch title (9/14/23)")</f>
        <v>Game Pass Essential launch title (9/14/23)</v>
      </c>
      <c r="O30" s="158" t="str">
        <f>IFERROR(__xludf.DUMMYFUNCTION("""COMPUTED_VALUE"""),"E")</f>
        <v>E</v>
      </c>
      <c r="P30" s="158"/>
      <c r="Q30" s="158"/>
      <c r="R30" s="165"/>
      <c r="S30" s="165"/>
      <c r="T30" s="165"/>
      <c r="U30" s="165"/>
      <c r="V30" s="165"/>
      <c r="W30" s="165"/>
      <c r="X30" s="165"/>
      <c r="Y30" s="165"/>
      <c r="Z30" s="165"/>
      <c r="AA30" s="165"/>
      <c r="AB30" s="165"/>
      <c r="AC30" s="165"/>
    </row>
    <row r="31">
      <c r="A31" s="158" t="str">
        <f>IFERROR(__xludf.DUMMYFUNCTION("""COMPUTED_VALUE"""),"Superliminal")</f>
        <v>Superliminal</v>
      </c>
      <c r="B31" s="158" t="str">
        <f>IFERROR(__xludf.DUMMYFUNCTION("""COMPUTED_VALUE"""),"Xbox / PC")</f>
        <v>Xbox / PC</v>
      </c>
      <c r="C31" s="158" t="str">
        <f>IFERROR(__xludf.DUMMYFUNCTION("""COMPUTED_VALUE"""),"Touch Controls")</f>
        <v>Touch Controls</v>
      </c>
      <c r="D31" s="159" t="str">
        <f>IFERROR(__xludf.DUMMYFUNCTION("""COMPUTED_VALUE"""),"Active")</f>
        <v>Active</v>
      </c>
      <c r="E31" s="160">
        <f>IFERROR(__xludf.DUMMYFUNCTION("""COMPUTED_VALUE"""),44455.0)</f>
        <v>44455</v>
      </c>
      <c r="F31" s="161"/>
      <c r="G31" s="162">
        <f>IFERROR(__xludf.DUMMYFUNCTION("""COMPUTED_VALUE"""),48.96666666666667)</f>
        <v>48.96666667</v>
      </c>
      <c r="H31" s="163">
        <f>IFERROR(__xludf.DUMMYFUNCTION("""COMPUTED_VALUE"""),43781.0)</f>
        <v>43781</v>
      </c>
      <c r="I31" s="162">
        <f>IFERROR(__xludf.DUMMYFUNCTION("""COMPUTED_VALUE"""),1.8444444444444446)</f>
        <v>1.844444444</v>
      </c>
      <c r="J31" s="164">
        <f>IFERROR(__xludf.DUMMYFUNCTION("""COMPUTED_VALUE"""),77.0)</f>
        <v>77</v>
      </c>
      <c r="K31" s="164">
        <f>IFERROR(__xludf.DUMMYFUNCTION("""COMPUTED_VALUE"""),2.5)</f>
        <v>2.5</v>
      </c>
      <c r="L31" s="158" t="str">
        <f>IFERROR(__xludf.DUMMYFUNCTION("""COMPUTED_VALUE"""),"Puzzle")</f>
        <v>Puzzle</v>
      </c>
      <c r="M31" s="158"/>
      <c r="N31" s="158" t="str">
        <f>IFERROR(__xludf.DUMMYFUNCTION("""COMPUTED_VALUE"""),"Game Pass Essential launch title (9/14/23)")</f>
        <v>Game Pass Essential launch title (9/14/23)</v>
      </c>
      <c r="O31" s="158" t="str">
        <f>IFERROR(__xludf.DUMMYFUNCTION("""COMPUTED_VALUE"""),"E")</f>
        <v>E</v>
      </c>
      <c r="P31" s="158" t="str">
        <f>IFERROR(__xludf.DUMMYFUNCTION("""COMPUTED_VALUE"""),"Mild Blood")</f>
        <v>Mild Blood</v>
      </c>
      <c r="Q31" s="158"/>
      <c r="R31" s="165"/>
      <c r="S31" s="165"/>
      <c r="T31" s="165"/>
      <c r="U31" s="165"/>
      <c r="V31" s="165"/>
      <c r="W31" s="165"/>
      <c r="X31" s="165"/>
      <c r="Y31" s="165"/>
      <c r="Z31" s="165"/>
      <c r="AA31" s="165"/>
      <c r="AB31" s="165"/>
      <c r="AC31" s="165"/>
    </row>
    <row r="32">
      <c r="A32" s="158" t="str">
        <f>IFERROR(__xludf.DUMMYFUNCTION("""COMPUTED_VALUE"""),"Deep Rock Galactic")</f>
        <v>Deep Rock Galactic</v>
      </c>
      <c r="B32" s="158" t="str">
        <f>IFERROR(__xludf.DUMMYFUNCTION("""COMPUTED_VALUE"""),"Xbox / PC")</f>
        <v>Xbox / PC</v>
      </c>
      <c r="C32" s="158" t="str">
        <f>IFERROR(__xludf.DUMMYFUNCTION("""COMPUTED_VALUE"""),"M+KB")</f>
        <v>M+KB</v>
      </c>
      <c r="D32" s="159" t="str">
        <f>IFERROR(__xludf.DUMMYFUNCTION("""COMPUTED_VALUE"""),"Active")</f>
        <v>Active</v>
      </c>
      <c r="E32" s="160">
        <f>IFERROR(__xludf.DUMMYFUNCTION("""COMPUTED_VALUE"""),44140.0)</f>
        <v>44140</v>
      </c>
      <c r="F32" s="161"/>
      <c r="G32" s="162">
        <f>IFERROR(__xludf.DUMMYFUNCTION("""COMPUTED_VALUE"""),59.333333333333336)</f>
        <v>59.33333333</v>
      </c>
      <c r="H32" s="163">
        <f>IFERROR(__xludf.DUMMYFUNCTION("""COMPUTED_VALUE"""),43964.0)</f>
        <v>43964</v>
      </c>
      <c r="I32" s="162">
        <f>IFERROR(__xludf.DUMMYFUNCTION("""COMPUTED_VALUE"""),0.4777777777777778)</f>
        <v>0.4777777778</v>
      </c>
      <c r="J32" s="164">
        <f>IFERROR(__xludf.DUMMYFUNCTION("""COMPUTED_VALUE"""),84.0)</f>
        <v>84</v>
      </c>
      <c r="K32" s="164">
        <f>IFERROR(__xludf.DUMMYFUNCTION("""COMPUTED_VALUE"""),119.0)</f>
        <v>119</v>
      </c>
      <c r="L32" s="158" t="str">
        <f>IFERROR(__xludf.DUMMYFUNCTION("""COMPUTED_VALUE"""),"First-Person Shooter")</f>
        <v>First-Person Shooter</v>
      </c>
      <c r="M32" s="158"/>
      <c r="N32" s="158" t="str">
        <f>IFERROR(__xludf.DUMMYFUNCTION("""COMPUTED_VALUE"""),"Game Pass Essential (4/23/24)")</f>
        <v>Game Pass Essential (4/23/24)</v>
      </c>
      <c r="O32" s="158" t="str">
        <f>IFERROR(__xludf.DUMMYFUNCTION("""COMPUTED_VALUE"""),"T")</f>
        <v>T</v>
      </c>
      <c r="P32" s="158" t="str">
        <f>IFERROR(__xludf.DUMMYFUNCTION("""COMPUTED_VALUE"""),"Violence, Blood, Use of Alcohol, Language")</f>
        <v>Violence, Blood, Use of Alcohol, Language</v>
      </c>
      <c r="Q32" s="158"/>
      <c r="R32" s="165"/>
      <c r="S32" s="165"/>
      <c r="T32" s="165"/>
      <c r="U32" s="165"/>
      <c r="V32" s="165"/>
      <c r="W32" s="165"/>
      <c r="X32" s="165"/>
      <c r="Y32" s="165"/>
      <c r="Z32" s="165"/>
      <c r="AA32" s="165"/>
      <c r="AB32" s="165"/>
      <c r="AC32" s="165"/>
    </row>
    <row r="33">
      <c r="A33" s="158" t="str">
        <f>IFERROR(__xludf.DUMMYFUNCTION("""COMPUTED_VALUE"""),"Tom Clancy's Rainbow Six: Siege - Deluxe Edition")</f>
        <v>Tom Clancy's Rainbow Six: Siege - Deluxe Edition</v>
      </c>
      <c r="B33" s="158" t="str">
        <f>IFERROR(__xludf.DUMMYFUNCTION("""COMPUTED_VALUE"""),"Xbox / PC")</f>
        <v>Xbox / PC</v>
      </c>
      <c r="C33" s="158" t="str">
        <f>IFERROR(__xludf.DUMMYFUNCTION("""COMPUTED_VALUE"""),"Yes")</f>
        <v>Yes</v>
      </c>
      <c r="D33" s="159" t="str">
        <f>IFERROR(__xludf.DUMMYFUNCTION("""COMPUTED_VALUE"""),"Active")</f>
        <v>Active</v>
      </c>
      <c r="E33" s="160">
        <f>IFERROR(__xludf.DUMMYFUNCTION("""COMPUTED_VALUE"""),44126.0)</f>
        <v>44126</v>
      </c>
      <c r="F33" s="161"/>
      <c r="G33" s="162">
        <f>IFERROR(__xludf.DUMMYFUNCTION("""COMPUTED_VALUE"""),59.766666666666666)</f>
        <v>59.76666667</v>
      </c>
      <c r="H33" s="163">
        <f>IFERROR(__xludf.DUMMYFUNCTION("""COMPUTED_VALUE"""),42339.0)</f>
        <v>42339</v>
      </c>
      <c r="I33" s="162">
        <f>IFERROR(__xludf.DUMMYFUNCTION("""COMPUTED_VALUE"""),4.891666666666667)</f>
        <v>4.891666667</v>
      </c>
      <c r="J33" s="164">
        <f>IFERROR(__xludf.DUMMYFUNCTION("""COMPUTED_VALUE"""),74.0)</f>
        <v>74</v>
      </c>
      <c r="K33" s="164">
        <f>IFERROR(__xludf.DUMMYFUNCTION("""COMPUTED_VALUE"""),7.5)</f>
        <v>7.5</v>
      </c>
      <c r="L33" s="158" t="str">
        <f>IFERROR(__xludf.DUMMYFUNCTION("""COMPUTED_VALUE"""),"First-Person Shooter")</f>
        <v>First-Person Shooter</v>
      </c>
      <c r="M33" s="158" t="str">
        <f>IFERROR(__xludf.DUMMYFUNCTION("""COMPUTED_VALUE"""),"Optimized")</f>
        <v>Optimized</v>
      </c>
      <c r="N33" s="158" t="str">
        <f>IFERROR(__xludf.DUMMYFUNCTION("""COMPUTED_VALUE"""),"Ubisoft Connect launcher, joined PC 1/20/21")</f>
        <v>Ubisoft Connect launcher, joined PC 1/20/21</v>
      </c>
      <c r="O33" s="158" t="str">
        <f>IFERROR(__xludf.DUMMYFUNCTION("""COMPUTED_VALUE"""),"M")</f>
        <v>M</v>
      </c>
      <c r="P33" s="158" t="str">
        <f>IFERROR(__xludf.DUMMYFUNCTION("""COMPUTED_VALUE"""),"Blood, Drug Reference, Strong Language, Violence")</f>
        <v>Blood, Drug Reference, Strong Language, Violence</v>
      </c>
      <c r="Q33" s="158"/>
      <c r="R33" s="165"/>
      <c r="S33" s="165"/>
      <c r="T33" s="165"/>
      <c r="U33" s="165"/>
      <c r="V33" s="165"/>
      <c r="W33" s="165"/>
      <c r="X33" s="165"/>
      <c r="Y33" s="165"/>
      <c r="Z33" s="165"/>
      <c r="AA33" s="165"/>
      <c r="AB33" s="165"/>
      <c r="AC33" s="165"/>
    </row>
    <row r="34">
      <c r="A34" s="158"/>
      <c r="B34" s="158"/>
      <c r="C34" s="158"/>
      <c r="D34" s="159"/>
      <c r="E34" s="160"/>
      <c r="F34" s="161"/>
      <c r="G34" s="162"/>
      <c r="H34" s="163"/>
      <c r="I34" s="162"/>
      <c r="J34" s="164"/>
      <c r="K34" s="164"/>
      <c r="L34" s="158"/>
      <c r="M34" s="158"/>
      <c r="N34" s="158"/>
      <c r="O34" s="158"/>
      <c r="P34" s="158"/>
      <c r="Q34" s="158"/>
      <c r="R34" s="165"/>
      <c r="S34" s="165"/>
      <c r="T34" s="165"/>
      <c r="U34" s="165"/>
      <c r="V34" s="165"/>
      <c r="W34" s="165"/>
      <c r="X34" s="165"/>
      <c r="Y34" s="165"/>
      <c r="Z34" s="165"/>
      <c r="AA34" s="165"/>
      <c r="AB34" s="165"/>
      <c r="AC34" s="165"/>
    </row>
    <row r="35">
      <c r="A35" s="158"/>
      <c r="B35" s="158"/>
      <c r="C35" s="158"/>
      <c r="D35" s="159"/>
      <c r="E35" s="160"/>
      <c r="F35" s="161"/>
      <c r="G35" s="162"/>
      <c r="H35" s="163"/>
      <c r="I35" s="162"/>
      <c r="J35" s="164"/>
      <c r="K35" s="164"/>
      <c r="L35" s="158"/>
      <c r="M35" s="158"/>
      <c r="N35" s="158"/>
      <c r="O35" s="158"/>
      <c r="P35" s="158"/>
      <c r="Q35" s="158"/>
      <c r="R35" s="165"/>
      <c r="S35" s="165"/>
      <c r="T35" s="165"/>
      <c r="U35" s="165"/>
      <c r="V35" s="165"/>
      <c r="W35" s="165"/>
      <c r="X35" s="165"/>
      <c r="Y35" s="165"/>
      <c r="Z35" s="165"/>
      <c r="AA35" s="165"/>
      <c r="AB35" s="165"/>
      <c r="AC35" s="165"/>
    </row>
    <row r="36">
      <c r="A36" s="158"/>
      <c r="B36" s="158"/>
      <c r="C36" s="158"/>
      <c r="D36" s="159"/>
      <c r="E36" s="160"/>
      <c r="F36" s="161"/>
      <c r="G36" s="162"/>
      <c r="H36" s="163"/>
      <c r="I36" s="162"/>
      <c r="J36" s="164"/>
      <c r="K36" s="164"/>
      <c r="L36" s="158"/>
      <c r="M36" s="158"/>
      <c r="N36" s="158"/>
      <c r="O36" s="158"/>
      <c r="P36" s="158"/>
      <c r="Q36" s="158"/>
      <c r="R36" s="165"/>
      <c r="S36" s="165"/>
      <c r="T36" s="165"/>
      <c r="U36" s="165"/>
      <c r="V36" s="165"/>
      <c r="W36" s="165"/>
      <c r="X36" s="165"/>
      <c r="Y36" s="165"/>
      <c r="Z36" s="165"/>
      <c r="AA36" s="165"/>
      <c r="AB36" s="165"/>
      <c r="AC36" s="165"/>
    </row>
    <row r="37">
      <c r="A37" s="158"/>
      <c r="B37" s="158"/>
      <c r="C37" s="158"/>
      <c r="D37" s="159"/>
      <c r="E37" s="160"/>
      <c r="F37" s="161"/>
      <c r="G37" s="162"/>
      <c r="H37" s="163"/>
      <c r="I37" s="162"/>
      <c r="J37" s="164"/>
      <c r="K37" s="164"/>
      <c r="L37" s="158"/>
      <c r="M37" s="158"/>
      <c r="N37" s="158"/>
      <c r="O37" s="158"/>
      <c r="P37" s="158"/>
      <c r="Q37" s="158"/>
      <c r="R37" s="165"/>
      <c r="S37" s="165"/>
      <c r="T37" s="165"/>
      <c r="U37" s="165"/>
      <c r="V37" s="165"/>
      <c r="W37" s="165"/>
      <c r="X37" s="165"/>
      <c r="Y37" s="165"/>
      <c r="Z37" s="165"/>
      <c r="AA37" s="165"/>
      <c r="AB37" s="165"/>
      <c r="AC37" s="165"/>
    </row>
    <row r="38">
      <c r="A38" s="158"/>
      <c r="B38" s="158"/>
      <c r="C38" s="158"/>
      <c r="D38" s="159"/>
      <c r="E38" s="160"/>
      <c r="F38" s="161"/>
      <c r="G38" s="162"/>
      <c r="H38" s="163"/>
      <c r="I38" s="162"/>
      <c r="J38" s="164"/>
      <c r="K38" s="164"/>
      <c r="L38" s="158"/>
      <c r="M38" s="158"/>
      <c r="N38" s="158"/>
      <c r="O38" s="158"/>
      <c r="P38" s="158"/>
      <c r="Q38" s="158"/>
      <c r="R38" s="165"/>
      <c r="S38" s="165"/>
      <c r="T38" s="165"/>
      <c r="U38" s="165"/>
      <c r="V38" s="165"/>
      <c r="W38" s="165"/>
      <c r="X38" s="165"/>
      <c r="Y38" s="165"/>
      <c r="Z38" s="165"/>
      <c r="AA38" s="165"/>
      <c r="AB38" s="165"/>
      <c r="AC38" s="165"/>
    </row>
    <row r="39">
      <c r="A39" s="158"/>
      <c r="B39" s="158"/>
      <c r="C39" s="158"/>
      <c r="D39" s="159"/>
      <c r="E39" s="160"/>
      <c r="F39" s="161"/>
      <c r="G39" s="162"/>
      <c r="H39" s="163"/>
      <c r="I39" s="162"/>
      <c r="J39" s="164"/>
      <c r="K39" s="164"/>
      <c r="L39" s="158"/>
      <c r="M39" s="158"/>
      <c r="N39" s="158"/>
      <c r="O39" s="158"/>
      <c r="P39" s="158"/>
      <c r="Q39" s="158"/>
      <c r="R39" s="165"/>
      <c r="S39" s="165"/>
      <c r="T39" s="165"/>
      <c r="U39" s="165"/>
      <c r="V39" s="165"/>
      <c r="W39" s="165"/>
      <c r="X39" s="165"/>
      <c r="Y39" s="165"/>
      <c r="Z39" s="165"/>
      <c r="AA39" s="165"/>
      <c r="AB39" s="165"/>
      <c r="AC39" s="165"/>
    </row>
    <row r="40">
      <c r="A40" s="158"/>
      <c r="B40" s="158"/>
      <c r="C40" s="158"/>
      <c r="D40" s="159"/>
      <c r="E40" s="160"/>
      <c r="F40" s="161"/>
      <c r="G40" s="162"/>
      <c r="H40" s="163"/>
      <c r="I40" s="162"/>
      <c r="J40" s="164"/>
      <c r="K40" s="164"/>
      <c r="L40" s="158"/>
      <c r="M40" s="158"/>
      <c r="N40" s="158"/>
      <c r="O40" s="158"/>
      <c r="P40" s="158"/>
      <c r="Q40" s="158"/>
      <c r="R40" s="165"/>
      <c r="S40" s="165"/>
      <c r="T40" s="165"/>
      <c r="U40" s="165"/>
      <c r="V40" s="165"/>
      <c r="W40" s="165"/>
      <c r="X40" s="165"/>
      <c r="Y40" s="165"/>
      <c r="Z40" s="165"/>
      <c r="AA40" s="165"/>
      <c r="AB40" s="165"/>
      <c r="AC40" s="165"/>
    </row>
    <row r="41">
      <c r="A41" s="158"/>
      <c r="B41" s="158"/>
      <c r="C41" s="158"/>
      <c r="D41" s="159"/>
      <c r="E41" s="160"/>
      <c r="F41" s="161"/>
      <c r="G41" s="162"/>
      <c r="H41" s="163"/>
      <c r="I41" s="162"/>
      <c r="J41" s="164"/>
      <c r="K41" s="164"/>
      <c r="L41" s="158"/>
      <c r="M41" s="158"/>
      <c r="N41" s="158"/>
      <c r="O41" s="158"/>
      <c r="P41" s="158"/>
      <c r="Q41" s="158"/>
      <c r="R41" s="165"/>
      <c r="S41" s="165"/>
      <c r="T41" s="165"/>
      <c r="U41" s="165"/>
      <c r="V41" s="165"/>
      <c r="W41" s="165"/>
      <c r="X41" s="165"/>
      <c r="Y41" s="165"/>
      <c r="Z41" s="165"/>
      <c r="AA41" s="165"/>
      <c r="AB41" s="165"/>
      <c r="AC41" s="165"/>
    </row>
    <row r="42">
      <c r="A42" s="158"/>
      <c r="B42" s="158"/>
      <c r="C42" s="158"/>
      <c r="D42" s="159"/>
      <c r="E42" s="160"/>
      <c r="F42" s="161"/>
      <c r="G42" s="162"/>
      <c r="H42" s="163"/>
      <c r="I42" s="162"/>
      <c r="J42" s="164"/>
      <c r="K42" s="164"/>
      <c r="L42" s="158"/>
      <c r="M42" s="158"/>
      <c r="N42" s="158"/>
      <c r="O42" s="158"/>
      <c r="P42" s="158"/>
      <c r="Q42" s="158"/>
      <c r="R42" s="165"/>
      <c r="S42" s="165"/>
      <c r="T42" s="165"/>
      <c r="U42" s="165"/>
      <c r="V42" s="165"/>
      <c r="W42" s="165"/>
      <c r="X42" s="165"/>
      <c r="Y42" s="165"/>
      <c r="Z42" s="165"/>
      <c r="AA42" s="165"/>
      <c r="AB42" s="165"/>
      <c r="AC42" s="165"/>
    </row>
    <row r="43">
      <c r="A43" s="158"/>
      <c r="B43" s="158"/>
      <c r="C43" s="158"/>
      <c r="D43" s="159"/>
      <c r="E43" s="160"/>
      <c r="F43" s="161"/>
      <c r="G43" s="162"/>
      <c r="H43" s="163"/>
      <c r="I43" s="162"/>
      <c r="J43" s="164"/>
      <c r="K43" s="164"/>
      <c r="L43" s="158"/>
      <c r="M43" s="158"/>
      <c r="N43" s="158"/>
      <c r="O43" s="158"/>
      <c r="P43" s="158"/>
      <c r="Q43" s="158"/>
      <c r="R43" s="165"/>
      <c r="S43" s="165"/>
      <c r="T43" s="165"/>
      <c r="U43" s="165"/>
      <c r="V43" s="165"/>
      <c r="W43" s="165"/>
      <c r="X43" s="165"/>
      <c r="Y43" s="165"/>
      <c r="Z43" s="165"/>
      <c r="AA43" s="165"/>
      <c r="AB43" s="165"/>
      <c r="AC43" s="165"/>
    </row>
    <row r="44">
      <c r="A44" s="158"/>
      <c r="B44" s="158"/>
      <c r="C44" s="158"/>
      <c r="D44" s="159"/>
      <c r="E44" s="160"/>
      <c r="F44" s="161"/>
      <c r="G44" s="162"/>
      <c r="H44" s="163"/>
      <c r="I44" s="162"/>
      <c r="J44" s="164"/>
      <c r="K44" s="164"/>
      <c r="L44" s="158"/>
      <c r="M44" s="158"/>
      <c r="N44" s="158"/>
      <c r="O44" s="158"/>
      <c r="P44" s="158"/>
      <c r="Q44" s="158"/>
      <c r="R44" s="165"/>
      <c r="S44" s="165"/>
      <c r="T44" s="165"/>
      <c r="U44" s="165"/>
      <c r="V44" s="165"/>
      <c r="W44" s="165"/>
      <c r="X44" s="165"/>
      <c r="Y44" s="165"/>
      <c r="Z44" s="165"/>
      <c r="AA44" s="165"/>
      <c r="AB44" s="165"/>
      <c r="AC44" s="165"/>
    </row>
    <row r="45">
      <c r="A45" s="158"/>
      <c r="B45" s="158"/>
      <c r="C45" s="158"/>
      <c r="D45" s="159"/>
      <c r="E45" s="160"/>
      <c r="F45" s="161"/>
      <c r="G45" s="162"/>
      <c r="H45" s="163"/>
      <c r="I45" s="162"/>
      <c r="J45" s="164"/>
      <c r="K45" s="164"/>
      <c r="L45" s="158"/>
      <c r="M45" s="158"/>
      <c r="N45" s="158"/>
      <c r="O45" s="158"/>
      <c r="P45" s="158"/>
      <c r="Q45" s="158"/>
      <c r="R45" s="165"/>
      <c r="S45" s="165"/>
      <c r="T45" s="165"/>
      <c r="U45" s="165"/>
      <c r="V45" s="165"/>
      <c r="W45" s="165"/>
      <c r="X45" s="165"/>
      <c r="Y45" s="165"/>
      <c r="Z45" s="165"/>
      <c r="AA45" s="165"/>
      <c r="AB45" s="165"/>
      <c r="AC45" s="165"/>
    </row>
    <row r="46">
      <c r="A46" s="158"/>
      <c r="B46" s="158"/>
      <c r="C46" s="158"/>
      <c r="D46" s="159"/>
      <c r="E46" s="160"/>
      <c r="F46" s="161"/>
      <c r="G46" s="162"/>
      <c r="H46" s="163"/>
      <c r="I46" s="162"/>
      <c r="J46" s="164"/>
      <c r="K46" s="164"/>
      <c r="L46" s="158"/>
      <c r="M46" s="158"/>
      <c r="N46" s="158"/>
      <c r="O46" s="158"/>
      <c r="P46" s="158"/>
      <c r="Q46" s="158"/>
      <c r="R46" s="165"/>
      <c r="S46" s="165"/>
      <c r="T46" s="165"/>
      <c r="U46" s="165"/>
      <c r="V46" s="165"/>
      <c r="W46" s="165"/>
      <c r="X46" s="165"/>
      <c r="Y46" s="165"/>
      <c r="Z46" s="165"/>
      <c r="AA46" s="165"/>
      <c r="AB46" s="165"/>
      <c r="AC46" s="165"/>
    </row>
    <row r="47">
      <c r="A47" s="158"/>
      <c r="B47" s="158"/>
      <c r="C47" s="158"/>
      <c r="D47" s="159"/>
      <c r="E47" s="160"/>
      <c r="F47" s="161"/>
      <c r="G47" s="162"/>
      <c r="H47" s="163"/>
      <c r="I47" s="162"/>
      <c r="J47" s="164"/>
      <c r="K47" s="164"/>
      <c r="L47" s="158"/>
      <c r="M47" s="158"/>
      <c r="N47" s="158"/>
      <c r="O47" s="158"/>
      <c r="P47" s="158"/>
      <c r="Q47" s="158"/>
      <c r="R47" s="165"/>
      <c r="S47" s="165"/>
      <c r="T47" s="165"/>
      <c r="U47" s="165"/>
      <c r="V47" s="165"/>
      <c r="W47" s="165"/>
      <c r="X47" s="165"/>
      <c r="Y47" s="165"/>
      <c r="Z47" s="165"/>
      <c r="AA47" s="165"/>
      <c r="AB47" s="165"/>
      <c r="AC47" s="165"/>
    </row>
    <row r="48">
      <c r="A48" s="158"/>
      <c r="B48" s="158"/>
      <c r="C48" s="158"/>
      <c r="D48" s="159"/>
      <c r="E48" s="160"/>
      <c r="F48" s="161"/>
      <c r="G48" s="162"/>
      <c r="H48" s="163"/>
      <c r="I48" s="162"/>
      <c r="J48" s="164"/>
      <c r="K48" s="164"/>
      <c r="L48" s="158"/>
      <c r="M48" s="158"/>
      <c r="N48" s="158"/>
      <c r="O48" s="158"/>
      <c r="P48" s="158"/>
      <c r="Q48" s="158"/>
      <c r="R48" s="165"/>
      <c r="S48" s="165"/>
      <c r="T48" s="165"/>
      <c r="U48" s="165"/>
      <c r="V48" s="165"/>
      <c r="W48" s="165"/>
      <c r="X48" s="165"/>
      <c r="Y48" s="165"/>
      <c r="Z48" s="165"/>
      <c r="AA48" s="165"/>
      <c r="AB48" s="165"/>
      <c r="AC48" s="165"/>
    </row>
    <row r="49">
      <c r="A49" s="158"/>
      <c r="B49" s="158"/>
      <c r="C49" s="158"/>
      <c r="D49" s="159"/>
      <c r="E49" s="160"/>
      <c r="F49" s="161"/>
      <c r="G49" s="162"/>
      <c r="H49" s="163"/>
      <c r="I49" s="162"/>
      <c r="J49" s="164"/>
      <c r="K49" s="164"/>
      <c r="L49" s="158"/>
      <c r="M49" s="158"/>
      <c r="N49" s="158"/>
      <c r="O49" s="158"/>
      <c r="P49" s="158"/>
      <c r="Q49" s="158"/>
      <c r="R49" s="165"/>
      <c r="S49" s="165"/>
      <c r="T49" s="165"/>
      <c r="U49" s="165"/>
      <c r="V49" s="165"/>
      <c r="W49" s="165"/>
      <c r="X49" s="165"/>
      <c r="Y49" s="165"/>
      <c r="Z49" s="165"/>
      <c r="AA49" s="165"/>
      <c r="AB49" s="165"/>
      <c r="AC49" s="165"/>
    </row>
    <row r="50">
      <c r="A50" s="158"/>
      <c r="B50" s="158"/>
      <c r="C50" s="158"/>
      <c r="D50" s="159"/>
      <c r="E50" s="160"/>
      <c r="F50" s="161"/>
      <c r="G50" s="162"/>
      <c r="H50" s="163"/>
      <c r="I50" s="162"/>
      <c r="J50" s="164"/>
      <c r="K50" s="164"/>
      <c r="L50" s="158"/>
      <c r="M50" s="158"/>
      <c r="N50" s="158"/>
      <c r="O50" s="158"/>
      <c r="P50" s="158"/>
      <c r="Q50" s="158"/>
      <c r="R50" s="165"/>
      <c r="S50" s="165"/>
      <c r="T50" s="165"/>
      <c r="U50" s="165"/>
      <c r="V50" s="165"/>
      <c r="W50" s="165"/>
      <c r="X50" s="165"/>
      <c r="Y50" s="165"/>
      <c r="Z50" s="165"/>
      <c r="AA50" s="165"/>
      <c r="AB50" s="165"/>
      <c r="AC50" s="165"/>
    </row>
    <row r="51">
      <c r="A51" s="158"/>
      <c r="B51" s="158"/>
      <c r="C51" s="158"/>
      <c r="D51" s="159"/>
      <c r="E51" s="160"/>
      <c r="F51" s="161"/>
      <c r="G51" s="162"/>
      <c r="H51" s="163"/>
      <c r="I51" s="162"/>
      <c r="J51" s="164"/>
      <c r="K51" s="164"/>
      <c r="L51" s="158"/>
      <c r="M51" s="158"/>
      <c r="N51" s="158"/>
      <c r="O51" s="158"/>
      <c r="P51" s="158"/>
      <c r="Q51" s="158"/>
      <c r="R51" s="165"/>
      <c r="S51" s="165"/>
      <c r="T51" s="165"/>
      <c r="U51" s="165"/>
      <c r="V51" s="165"/>
      <c r="W51" s="165"/>
      <c r="X51" s="165"/>
      <c r="Y51" s="165"/>
      <c r="Z51" s="165"/>
      <c r="AA51" s="165"/>
      <c r="AB51" s="165"/>
      <c r="AC51" s="165"/>
    </row>
    <row r="52">
      <c r="A52" s="158"/>
      <c r="B52" s="158"/>
      <c r="C52" s="158"/>
      <c r="D52" s="159"/>
      <c r="E52" s="160"/>
      <c r="F52" s="161"/>
      <c r="G52" s="162"/>
      <c r="H52" s="163"/>
      <c r="I52" s="162"/>
      <c r="J52" s="164"/>
      <c r="K52" s="164"/>
      <c r="L52" s="158"/>
      <c r="M52" s="158"/>
      <c r="N52" s="158"/>
      <c r="O52" s="158"/>
      <c r="P52" s="158"/>
      <c r="Q52" s="158"/>
      <c r="R52" s="165"/>
      <c r="S52" s="165"/>
      <c r="T52" s="165"/>
      <c r="U52" s="165"/>
      <c r="V52" s="165"/>
      <c r="W52" s="165"/>
      <c r="X52" s="165"/>
      <c r="Y52" s="165"/>
      <c r="Z52" s="165"/>
      <c r="AA52" s="165"/>
      <c r="AB52" s="165"/>
      <c r="AC52" s="165"/>
    </row>
    <row r="53">
      <c r="A53" s="158"/>
      <c r="B53" s="158"/>
      <c r="C53" s="158"/>
      <c r="D53" s="159"/>
      <c r="E53" s="160"/>
      <c r="F53" s="161"/>
      <c r="G53" s="162"/>
      <c r="H53" s="163"/>
      <c r="I53" s="162"/>
      <c r="J53" s="164"/>
      <c r="K53" s="164"/>
      <c r="L53" s="158"/>
      <c r="M53" s="158"/>
      <c r="N53" s="158"/>
      <c r="O53" s="158"/>
      <c r="P53" s="158"/>
      <c r="Q53" s="158"/>
      <c r="R53" s="165"/>
      <c r="S53" s="165"/>
      <c r="T53" s="165"/>
      <c r="U53" s="165"/>
      <c r="V53" s="165"/>
      <c r="W53" s="165"/>
      <c r="X53" s="165"/>
      <c r="Y53" s="165"/>
      <c r="Z53" s="165"/>
      <c r="AA53" s="165"/>
      <c r="AB53" s="165"/>
      <c r="AC53" s="165"/>
    </row>
    <row r="54">
      <c r="A54" s="158"/>
      <c r="B54" s="158"/>
      <c r="C54" s="158"/>
      <c r="D54" s="159"/>
      <c r="E54" s="160"/>
      <c r="F54" s="161"/>
      <c r="G54" s="162"/>
      <c r="H54" s="163"/>
      <c r="I54" s="162"/>
      <c r="J54" s="164"/>
      <c r="K54" s="164"/>
      <c r="L54" s="158"/>
      <c r="M54" s="158"/>
      <c r="N54" s="158"/>
      <c r="O54" s="158"/>
      <c r="P54" s="158"/>
      <c r="Q54" s="158"/>
      <c r="R54" s="165"/>
      <c r="S54" s="165"/>
      <c r="T54" s="165"/>
      <c r="U54" s="165"/>
      <c r="V54" s="165"/>
      <c r="W54" s="165"/>
      <c r="X54" s="165"/>
      <c r="Y54" s="165"/>
      <c r="Z54" s="165"/>
      <c r="AA54" s="165"/>
      <c r="AB54" s="165"/>
      <c r="AC54" s="165"/>
    </row>
    <row r="55">
      <c r="A55" s="158"/>
      <c r="B55" s="158"/>
      <c r="C55" s="158"/>
      <c r="D55" s="159"/>
      <c r="E55" s="160"/>
      <c r="F55" s="161"/>
      <c r="G55" s="162"/>
      <c r="H55" s="163"/>
      <c r="I55" s="162"/>
      <c r="J55" s="164"/>
      <c r="K55" s="164"/>
      <c r="L55" s="158"/>
      <c r="M55" s="158"/>
      <c r="N55" s="158"/>
      <c r="O55" s="158"/>
      <c r="P55" s="158"/>
      <c r="Q55" s="158"/>
      <c r="R55" s="165"/>
      <c r="S55" s="165"/>
      <c r="T55" s="165"/>
      <c r="U55" s="165"/>
      <c r="V55" s="165"/>
      <c r="W55" s="165"/>
      <c r="X55" s="165"/>
      <c r="Y55" s="165"/>
      <c r="Z55" s="165"/>
      <c r="AA55" s="165"/>
      <c r="AB55" s="165"/>
      <c r="AC55" s="165"/>
    </row>
    <row r="56">
      <c r="A56" s="158"/>
      <c r="B56" s="158"/>
      <c r="C56" s="158"/>
      <c r="D56" s="159"/>
      <c r="E56" s="160"/>
      <c r="F56" s="161"/>
      <c r="G56" s="162"/>
      <c r="H56" s="163"/>
      <c r="I56" s="162"/>
      <c r="J56" s="164"/>
      <c r="K56" s="164"/>
      <c r="L56" s="158"/>
      <c r="M56" s="158"/>
      <c r="N56" s="158"/>
      <c r="O56" s="158"/>
      <c r="P56" s="158"/>
      <c r="Q56" s="158"/>
      <c r="R56" s="165"/>
      <c r="S56" s="165"/>
      <c r="T56" s="165"/>
      <c r="U56" s="165"/>
      <c r="V56" s="165"/>
      <c r="W56" s="165"/>
      <c r="X56" s="165"/>
      <c r="Y56" s="165"/>
      <c r="Z56" s="165"/>
      <c r="AA56" s="165"/>
      <c r="AB56" s="165"/>
      <c r="AC56" s="165"/>
    </row>
    <row r="57">
      <c r="A57" s="158"/>
      <c r="B57" s="158"/>
      <c r="C57" s="158"/>
      <c r="D57" s="159"/>
      <c r="E57" s="160"/>
      <c r="F57" s="161"/>
      <c r="G57" s="162"/>
      <c r="H57" s="163"/>
      <c r="I57" s="162"/>
      <c r="J57" s="164"/>
      <c r="K57" s="164"/>
      <c r="L57" s="158"/>
      <c r="M57" s="158"/>
      <c r="N57" s="158"/>
      <c r="O57" s="158"/>
      <c r="P57" s="158"/>
      <c r="Q57" s="158"/>
      <c r="R57" s="165"/>
      <c r="S57" s="165"/>
      <c r="T57" s="165"/>
      <c r="U57" s="165"/>
      <c r="V57" s="165"/>
      <c r="W57" s="165"/>
      <c r="X57" s="165"/>
      <c r="Y57" s="165"/>
      <c r="Z57" s="165"/>
      <c r="AA57" s="165"/>
      <c r="AB57" s="165"/>
      <c r="AC57" s="165"/>
    </row>
    <row r="58">
      <c r="A58" s="158"/>
      <c r="B58" s="158"/>
      <c r="C58" s="158"/>
      <c r="D58" s="159"/>
      <c r="E58" s="160"/>
      <c r="F58" s="161"/>
      <c r="G58" s="162"/>
      <c r="H58" s="163"/>
      <c r="I58" s="162"/>
      <c r="J58" s="164"/>
      <c r="K58" s="164"/>
      <c r="L58" s="158"/>
      <c r="M58" s="158"/>
      <c r="N58" s="158"/>
      <c r="O58" s="158"/>
      <c r="P58" s="158"/>
      <c r="Q58" s="158"/>
      <c r="R58" s="165"/>
      <c r="S58" s="165"/>
      <c r="T58" s="165"/>
      <c r="U58" s="165"/>
      <c r="V58" s="165"/>
      <c r="W58" s="165"/>
      <c r="X58" s="165"/>
      <c r="Y58" s="165"/>
      <c r="Z58" s="165"/>
      <c r="AA58" s="165"/>
      <c r="AB58" s="165"/>
      <c r="AC58" s="165"/>
    </row>
    <row r="59">
      <c r="A59" s="158"/>
      <c r="B59" s="158"/>
      <c r="C59" s="158"/>
      <c r="D59" s="159"/>
      <c r="E59" s="160"/>
      <c r="F59" s="161"/>
      <c r="G59" s="162"/>
      <c r="H59" s="163"/>
      <c r="I59" s="162"/>
      <c r="J59" s="164"/>
      <c r="K59" s="164"/>
      <c r="L59" s="158"/>
      <c r="M59" s="158"/>
      <c r="N59" s="158"/>
      <c r="O59" s="158"/>
      <c r="P59" s="158"/>
      <c r="Q59" s="158"/>
      <c r="R59" s="165"/>
      <c r="S59" s="165"/>
      <c r="T59" s="165"/>
      <c r="U59" s="165"/>
      <c r="V59" s="165"/>
      <c r="W59" s="165"/>
      <c r="X59" s="165"/>
      <c r="Y59" s="165"/>
      <c r="Z59" s="165"/>
      <c r="AA59" s="165"/>
      <c r="AB59" s="165"/>
      <c r="AC59" s="165"/>
    </row>
    <row r="60">
      <c r="A60" s="165"/>
      <c r="B60" s="165"/>
      <c r="C60" s="165"/>
      <c r="D60" s="165"/>
      <c r="E60" s="166"/>
      <c r="F60" s="165"/>
      <c r="G60" s="167"/>
      <c r="H60" s="166"/>
      <c r="I60" s="167"/>
      <c r="J60" s="168"/>
      <c r="K60" s="169"/>
      <c r="L60" s="165"/>
      <c r="M60" s="165"/>
      <c r="N60" s="165"/>
      <c r="O60" s="165"/>
      <c r="P60" s="165"/>
      <c r="Q60" s="165"/>
      <c r="R60" s="165"/>
      <c r="S60" s="165"/>
      <c r="T60" s="165"/>
      <c r="U60" s="165"/>
      <c r="V60" s="165"/>
      <c r="W60" s="165"/>
      <c r="X60" s="165"/>
      <c r="Y60" s="165"/>
      <c r="Z60" s="165"/>
      <c r="AA60" s="165"/>
      <c r="AB60" s="165"/>
      <c r="AC60" s="165"/>
    </row>
    <row r="61">
      <c r="A61" s="165"/>
      <c r="B61" s="165"/>
      <c r="C61" s="165"/>
      <c r="D61" s="165"/>
      <c r="E61" s="166"/>
      <c r="F61" s="165"/>
      <c r="G61" s="167"/>
      <c r="H61" s="166"/>
      <c r="I61" s="167"/>
      <c r="J61" s="168"/>
      <c r="K61" s="169"/>
      <c r="L61" s="165"/>
      <c r="M61" s="165"/>
      <c r="N61" s="165"/>
      <c r="O61" s="165"/>
      <c r="P61" s="165"/>
      <c r="Q61" s="165"/>
      <c r="R61" s="165"/>
      <c r="S61" s="165"/>
      <c r="T61" s="165"/>
      <c r="U61" s="165"/>
      <c r="V61" s="165"/>
      <c r="W61" s="165"/>
      <c r="X61" s="165"/>
      <c r="Y61" s="165"/>
      <c r="Z61" s="165"/>
      <c r="AA61" s="165"/>
      <c r="AB61" s="165"/>
      <c r="AC61" s="165"/>
    </row>
    <row r="62">
      <c r="A62" s="165"/>
      <c r="B62" s="165"/>
      <c r="C62" s="165"/>
      <c r="D62" s="165"/>
      <c r="E62" s="166"/>
      <c r="F62" s="165"/>
      <c r="G62" s="167"/>
      <c r="H62" s="166"/>
      <c r="I62" s="167"/>
      <c r="J62" s="168"/>
      <c r="K62" s="169"/>
      <c r="L62" s="165"/>
      <c r="M62" s="165"/>
      <c r="N62" s="165"/>
      <c r="O62" s="165"/>
      <c r="P62" s="165"/>
      <c r="Q62" s="165"/>
      <c r="R62" s="165"/>
      <c r="S62" s="165"/>
      <c r="T62" s="165"/>
      <c r="U62" s="165"/>
      <c r="V62" s="165"/>
      <c r="W62" s="165"/>
      <c r="X62" s="165"/>
      <c r="Y62" s="165"/>
      <c r="Z62" s="165"/>
      <c r="AA62" s="165"/>
      <c r="AB62" s="165"/>
      <c r="AC62" s="165"/>
    </row>
    <row r="63">
      <c r="A63" s="165"/>
      <c r="B63" s="165"/>
      <c r="C63" s="165"/>
      <c r="D63" s="165"/>
      <c r="E63" s="166"/>
      <c r="F63" s="165"/>
      <c r="G63" s="167"/>
      <c r="H63" s="166"/>
      <c r="I63" s="167"/>
      <c r="J63" s="168"/>
      <c r="K63" s="169"/>
      <c r="L63" s="165"/>
      <c r="M63" s="165"/>
      <c r="N63" s="165"/>
      <c r="O63" s="165"/>
      <c r="P63" s="165"/>
      <c r="Q63" s="165"/>
      <c r="R63" s="165"/>
      <c r="S63" s="165"/>
      <c r="T63" s="165"/>
      <c r="U63" s="165"/>
      <c r="V63" s="165"/>
      <c r="W63" s="165"/>
      <c r="X63" s="165"/>
      <c r="Y63" s="165"/>
      <c r="Z63" s="165"/>
      <c r="AA63" s="165"/>
      <c r="AB63" s="165"/>
      <c r="AC63" s="165"/>
    </row>
    <row r="64">
      <c r="A64" s="165"/>
      <c r="B64" s="165"/>
      <c r="C64" s="165"/>
      <c r="D64" s="165"/>
      <c r="E64" s="166"/>
      <c r="F64" s="165"/>
      <c r="G64" s="167"/>
      <c r="H64" s="166"/>
      <c r="I64" s="167"/>
      <c r="J64" s="168"/>
      <c r="K64" s="169"/>
      <c r="L64" s="165"/>
      <c r="M64" s="165"/>
      <c r="N64" s="165"/>
      <c r="O64" s="165"/>
      <c r="P64" s="165"/>
      <c r="Q64" s="165"/>
      <c r="R64" s="165"/>
      <c r="S64" s="165"/>
      <c r="T64" s="165"/>
      <c r="U64" s="165"/>
      <c r="V64" s="165"/>
      <c r="W64" s="165"/>
      <c r="X64" s="165"/>
      <c r="Y64" s="165"/>
      <c r="Z64" s="165"/>
      <c r="AA64" s="165"/>
      <c r="AB64" s="165"/>
      <c r="AC64" s="165"/>
    </row>
    <row r="65">
      <c r="A65" s="165"/>
      <c r="B65" s="165"/>
      <c r="C65" s="165"/>
      <c r="D65" s="165"/>
      <c r="E65" s="166"/>
      <c r="F65" s="165"/>
      <c r="G65" s="167"/>
      <c r="H65" s="166"/>
      <c r="I65" s="167"/>
      <c r="J65" s="168"/>
      <c r="K65" s="169"/>
      <c r="L65" s="165"/>
      <c r="M65" s="165"/>
      <c r="N65" s="165"/>
      <c r="O65" s="165"/>
      <c r="P65" s="165"/>
      <c r="Q65" s="165"/>
      <c r="R65" s="165"/>
      <c r="S65" s="165"/>
      <c r="T65" s="165"/>
      <c r="U65" s="165"/>
      <c r="V65" s="165"/>
      <c r="W65" s="165"/>
      <c r="X65" s="165"/>
      <c r="Y65" s="165"/>
      <c r="Z65" s="165"/>
      <c r="AA65" s="165"/>
      <c r="AB65" s="165"/>
      <c r="AC65" s="165"/>
    </row>
    <row r="66">
      <c r="A66" s="165"/>
      <c r="B66" s="165"/>
      <c r="C66" s="165"/>
      <c r="D66" s="165"/>
      <c r="E66" s="166"/>
      <c r="F66" s="165"/>
      <c r="G66" s="167"/>
      <c r="H66" s="166"/>
      <c r="I66" s="167"/>
      <c r="J66" s="168"/>
      <c r="K66" s="169"/>
      <c r="L66" s="165"/>
      <c r="M66" s="165"/>
      <c r="N66" s="165"/>
      <c r="O66" s="165"/>
      <c r="P66" s="165"/>
      <c r="Q66" s="165"/>
      <c r="R66" s="165"/>
      <c r="S66" s="165"/>
      <c r="T66" s="165"/>
      <c r="U66" s="165"/>
      <c r="V66" s="165"/>
      <c r="W66" s="165"/>
      <c r="X66" s="165"/>
      <c r="Y66" s="165"/>
      <c r="Z66" s="165"/>
      <c r="AA66" s="165"/>
      <c r="AB66" s="165"/>
      <c r="AC66" s="165"/>
    </row>
    <row r="67">
      <c r="A67" s="165"/>
      <c r="B67" s="165"/>
      <c r="C67" s="165"/>
      <c r="D67" s="165"/>
      <c r="E67" s="166"/>
      <c r="F67" s="165"/>
      <c r="G67" s="167"/>
      <c r="H67" s="166"/>
      <c r="I67" s="167"/>
      <c r="J67" s="168"/>
      <c r="K67" s="169"/>
      <c r="L67" s="165"/>
      <c r="M67" s="165"/>
      <c r="N67" s="165"/>
      <c r="O67" s="165"/>
      <c r="P67" s="165"/>
      <c r="Q67" s="165"/>
      <c r="R67" s="165"/>
      <c r="S67" s="165"/>
      <c r="T67" s="165"/>
      <c r="U67" s="165"/>
      <c r="V67" s="165"/>
      <c r="W67" s="165"/>
      <c r="X67" s="165"/>
      <c r="Y67" s="165"/>
      <c r="Z67" s="165"/>
      <c r="AA67" s="165"/>
      <c r="AB67" s="165"/>
      <c r="AC67" s="165"/>
    </row>
    <row r="68">
      <c r="A68" s="165"/>
      <c r="B68" s="165"/>
      <c r="C68" s="165"/>
      <c r="D68" s="165"/>
      <c r="E68" s="166"/>
      <c r="F68" s="165"/>
      <c r="G68" s="167"/>
      <c r="H68" s="166"/>
      <c r="I68" s="167"/>
      <c r="J68" s="168"/>
      <c r="K68" s="169"/>
      <c r="L68" s="165"/>
      <c r="M68" s="165"/>
      <c r="N68" s="165"/>
      <c r="O68" s="165"/>
      <c r="P68" s="165"/>
      <c r="Q68" s="165"/>
      <c r="R68" s="165"/>
      <c r="S68" s="165"/>
      <c r="T68" s="165"/>
      <c r="U68" s="165"/>
      <c r="V68" s="165"/>
      <c r="W68" s="165"/>
      <c r="X68" s="165"/>
      <c r="Y68" s="165"/>
      <c r="Z68" s="165"/>
      <c r="AA68" s="165"/>
      <c r="AB68" s="165"/>
      <c r="AC68" s="165"/>
    </row>
    <row r="69">
      <c r="A69" s="165"/>
      <c r="B69" s="165"/>
      <c r="C69" s="165"/>
      <c r="D69" s="165"/>
      <c r="E69" s="166"/>
      <c r="F69" s="165"/>
      <c r="G69" s="167"/>
      <c r="H69" s="166"/>
      <c r="I69" s="167"/>
      <c r="J69" s="168"/>
      <c r="K69" s="169"/>
      <c r="L69" s="165"/>
      <c r="M69" s="165"/>
      <c r="N69" s="165"/>
      <c r="O69" s="165"/>
      <c r="P69" s="165"/>
      <c r="Q69" s="165"/>
      <c r="R69" s="165"/>
      <c r="S69" s="165"/>
      <c r="T69" s="165"/>
      <c r="U69" s="165"/>
      <c r="V69" s="165"/>
      <c r="W69" s="165"/>
      <c r="X69" s="165"/>
      <c r="Y69" s="165"/>
      <c r="Z69" s="165"/>
      <c r="AA69" s="165"/>
      <c r="AB69" s="165"/>
      <c r="AC69" s="165"/>
    </row>
    <row r="70">
      <c r="A70" s="165"/>
      <c r="B70" s="165"/>
      <c r="C70" s="165"/>
      <c r="D70" s="165"/>
      <c r="E70" s="166"/>
      <c r="F70" s="165"/>
      <c r="G70" s="167"/>
      <c r="H70" s="166"/>
      <c r="I70" s="167"/>
      <c r="J70" s="168"/>
      <c r="K70" s="169"/>
      <c r="L70" s="165"/>
      <c r="M70" s="165"/>
      <c r="N70" s="165"/>
      <c r="O70" s="165"/>
      <c r="P70" s="165"/>
      <c r="Q70" s="165"/>
      <c r="R70" s="165"/>
      <c r="S70" s="165"/>
      <c r="T70" s="165"/>
      <c r="U70" s="165"/>
      <c r="V70" s="165"/>
      <c r="W70" s="165"/>
      <c r="X70" s="165"/>
      <c r="Y70" s="165"/>
      <c r="Z70" s="165"/>
      <c r="AA70" s="165"/>
      <c r="AB70" s="165"/>
      <c r="AC70" s="165"/>
    </row>
    <row r="71">
      <c r="A71" s="165"/>
      <c r="B71" s="165"/>
      <c r="C71" s="165"/>
      <c r="D71" s="165"/>
      <c r="E71" s="166"/>
      <c r="F71" s="165"/>
      <c r="G71" s="167"/>
      <c r="H71" s="166"/>
      <c r="I71" s="167"/>
      <c r="J71" s="168"/>
      <c r="K71" s="169"/>
      <c r="L71" s="165"/>
      <c r="M71" s="165"/>
      <c r="N71" s="165"/>
      <c r="O71" s="165"/>
      <c r="P71" s="165"/>
      <c r="Q71" s="165"/>
      <c r="R71" s="165"/>
      <c r="S71" s="165"/>
      <c r="T71" s="165"/>
      <c r="U71" s="165"/>
      <c r="V71" s="165"/>
      <c r="W71" s="165"/>
      <c r="X71" s="165"/>
      <c r="Y71" s="165"/>
      <c r="Z71" s="165"/>
      <c r="AA71" s="165"/>
      <c r="AB71" s="165"/>
      <c r="AC71" s="165"/>
    </row>
    <row r="72">
      <c r="A72" s="165"/>
      <c r="B72" s="165"/>
      <c r="C72" s="165"/>
      <c r="D72" s="165"/>
      <c r="E72" s="166"/>
      <c r="F72" s="165"/>
      <c r="G72" s="167"/>
      <c r="H72" s="166"/>
      <c r="I72" s="167"/>
      <c r="J72" s="168"/>
      <c r="K72" s="169"/>
      <c r="L72" s="165"/>
      <c r="M72" s="165"/>
      <c r="N72" s="165"/>
      <c r="O72" s="165"/>
      <c r="P72" s="165"/>
      <c r="Q72" s="165"/>
      <c r="R72" s="165"/>
      <c r="S72" s="165"/>
      <c r="T72" s="165"/>
      <c r="U72" s="165"/>
      <c r="V72" s="165"/>
      <c r="W72" s="165"/>
      <c r="X72" s="165"/>
      <c r="Y72" s="165"/>
      <c r="Z72" s="165"/>
      <c r="AA72" s="165"/>
      <c r="AB72" s="165"/>
      <c r="AC72" s="165"/>
    </row>
    <row r="73">
      <c r="A73" s="165"/>
      <c r="B73" s="165"/>
      <c r="C73" s="165"/>
      <c r="D73" s="165"/>
      <c r="E73" s="166"/>
      <c r="F73" s="165"/>
      <c r="G73" s="167"/>
      <c r="H73" s="166"/>
      <c r="I73" s="167"/>
      <c r="J73" s="168"/>
      <c r="K73" s="169"/>
      <c r="L73" s="165"/>
      <c r="M73" s="165"/>
      <c r="N73" s="165"/>
      <c r="O73" s="165"/>
      <c r="P73" s="165"/>
      <c r="Q73" s="165"/>
      <c r="R73" s="165"/>
      <c r="S73" s="165"/>
      <c r="T73" s="165"/>
      <c r="U73" s="165"/>
      <c r="V73" s="165"/>
      <c r="W73" s="165"/>
      <c r="X73" s="165"/>
      <c r="Y73" s="165"/>
      <c r="Z73" s="165"/>
      <c r="AA73" s="165"/>
      <c r="AB73" s="165"/>
      <c r="AC73" s="165"/>
    </row>
    <row r="74">
      <c r="A74" s="165"/>
      <c r="B74" s="165"/>
      <c r="C74" s="165"/>
      <c r="D74" s="165"/>
      <c r="E74" s="166"/>
      <c r="F74" s="165"/>
      <c r="G74" s="167"/>
      <c r="H74" s="166"/>
      <c r="I74" s="167"/>
      <c r="J74" s="168"/>
      <c r="K74" s="169"/>
      <c r="L74" s="165"/>
      <c r="M74" s="165"/>
      <c r="N74" s="165"/>
      <c r="O74" s="165"/>
      <c r="P74" s="165"/>
      <c r="Q74" s="165"/>
      <c r="R74" s="165"/>
      <c r="S74" s="165"/>
      <c r="T74" s="165"/>
      <c r="U74" s="165"/>
      <c r="V74" s="165"/>
      <c r="W74" s="165"/>
      <c r="X74" s="165"/>
      <c r="Y74" s="165"/>
      <c r="Z74" s="165"/>
      <c r="AA74" s="165"/>
      <c r="AB74" s="165"/>
      <c r="AC74" s="165"/>
    </row>
    <row r="75">
      <c r="A75" s="165"/>
      <c r="B75" s="165"/>
      <c r="C75" s="165"/>
      <c r="D75" s="165"/>
      <c r="E75" s="166"/>
      <c r="F75" s="165"/>
      <c r="G75" s="167"/>
      <c r="H75" s="166"/>
      <c r="I75" s="167"/>
      <c r="J75" s="168"/>
      <c r="K75" s="169"/>
      <c r="L75" s="165"/>
      <c r="M75" s="165"/>
      <c r="N75" s="165"/>
      <c r="O75" s="165"/>
      <c r="P75" s="165"/>
      <c r="Q75" s="165"/>
      <c r="R75" s="165"/>
      <c r="S75" s="165"/>
      <c r="T75" s="165"/>
      <c r="U75" s="165"/>
      <c r="V75" s="165"/>
      <c r="W75" s="165"/>
      <c r="X75" s="165"/>
      <c r="Y75" s="165"/>
      <c r="Z75" s="165"/>
      <c r="AA75" s="165"/>
      <c r="AB75" s="165"/>
      <c r="AC75" s="165"/>
    </row>
    <row r="76">
      <c r="A76" s="165"/>
      <c r="B76" s="165"/>
      <c r="C76" s="165"/>
      <c r="D76" s="165"/>
      <c r="E76" s="166"/>
      <c r="F76" s="165"/>
      <c r="G76" s="167"/>
      <c r="H76" s="166"/>
      <c r="I76" s="167"/>
      <c r="J76" s="168"/>
      <c r="K76" s="169"/>
      <c r="L76" s="165"/>
      <c r="M76" s="165"/>
      <c r="N76" s="165"/>
      <c r="O76" s="165"/>
      <c r="P76" s="165"/>
      <c r="Q76" s="165"/>
      <c r="R76" s="165"/>
      <c r="S76" s="165"/>
      <c r="T76" s="165"/>
      <c r="U76" s="165"/>
      <c r="V76" s="165"/>
      <c r="W76" s="165"/>
      <c r="X76" s="165"/>
      <c r="Y76" s="165"/>
      <c r="Z76" s="165"/>
      <c r="AA76" s="165"/>
      <c r="AB76" s="165"/>
      <c r="AC76" s="165"/>
    </row>
    <row r="77">
      <c r="A77" s="165"/>
      <c r="B77" s="165"/>
      <c r="C77" s="165"/>
      <c r="D77" s="165"/>
      <c r="E77" s="166"/>
      <c r="F77" s="165"/>
      <c r="G77" s="167"/>
      <c r="H77" s="166"/>
      <c r="I77" s="167"/>
      <c r="J77" s="168"/>
      <c r="K77" s="169"/>
      <c r="L77" s="165"/>
      <c r="M77" s="165"/>
      <c r="N77" s="165"/>
      <c r="O77" s="165"/>
      <c r="P77" s="165"/>
      <c r="Q77" s="165"/>
      <c r="R77" s="165"/>
      <c r="S77" s="165"/>
      <c r="T77" s="165"/>
      <c r="U77" s="165"/>
      <c r="V77" s="165"/>
      <c r="W77" s="165"/>
      <c r="X77" s="165"/>
      <c r="Y77" s="165"/>
      <c r="Z77" s="165"/>
      <c r="AA77" s="165"/>
      <c r="AB77" s="165"/>
      <c r="AC77" s="165"/>
    </row>
    <row r="78">
      <c r="A78" s="165"/>
      <c r="B78" s="165"/>
      <c r="C78" s="165"/>
      <c r="D78" s="165"/>
      <c r="E78" s="166"/>
      <c r="F78" s="165"/>
      <c r="G78" s="167"/>
      <c r="H78" s="166"/>
      <c r="I78" s="167"/>
      <c r="J78" s="168"/>
      <c r="K78" s="169"/>
      <c r="L78" s="165"/>
      <c r="M78" s="165"/>
      <c r="N78" s="165"/>
      <c r="O78" s="165"/>
      <c r="P78" s="165"/>
      <c r="Q78" s="165"/>
      <c r="R78" s="165"/>
      <c r="S78" s="165"/>
      <c r="T78" s="165"/>
      <c r="U78" s="165"/>
      <c r="V78" s="165"/>
      <c r="W78" s="165"/>
      <c r="X78" s="165"/>
      <c r="Y78" s="165"/>
      <c r="Z78" s="165"/>
      <c r="AA78" s="165"/>
      <c r="AB78" s="165"/>
      <c r="AC78" s="165"/>
    </row>
    <row r="79">
      <c r="A79" s="165"/>
      <c r="B79" s="165"/>
      <c r="C79" s="165"/>
      <c r="D79" s="165"/>
      <c r="E79" s="166"/>
      <c r="F79" s="165"/>
      <c r="G79" s="167"/>
      <c r="H79" s="166"/>
      <c r="I79" s="167"/>
      <c r="J79" s="168"/>
      <c r="K79" s="169"/>
      <c r="L79" s="165"/>
      <c r="M79" s="165"/>
      <c r="N79" s="165"/>
      <c r="O79" s="165"/>
      <c r="P79" s="165"/>
      <c r="Q79" s="165"/>
      <c r="R79" s="165"/>
      <c r="S79" s="165"/>
      <c r="T79" s="165"/>
      <c r="U79" s="165"/>
      <c r="V79" s="165"/>
      <c r="W79" s="165"/>
      <c r="X79" s="165"/>
      <c r="Y79" s="165"/>
      <c r="Z79" s="165"/>
      <c r="AA79" s="165"/>
      <c r="AB79" s="165"/>
      <c r="AC79" s="165"/>
    </row>
    <row r="80">
      <c r="A80" s="165"/>
      <c r="B80" s="165"/>
      <c r="C80" s="165"/>
      <c r="D80" s="165"/>
      <c r="E80" s="166"/>
      <c r="F80" s="165"/>
      <c r="G80" s="167"/>
      <c r="H80" s="166"/>
      <c r="I80" s="167"/>
      <c r="J80" s="168"/>
      <c r="K80" s="169"/>
      <c r="L80" s="165"/>
      <c r="M80" s="165"/>
      <c r="N80" s="165"/>
      <c r="O80" s="165"/>
      <c r="P80" s="165"/>
      <c r="Q80" s="165"/>
      <c r="R80" s="165"/>
      <c r="S80" s="165"/>
      <c r="T80" s="165"/>
      <c r="U80" s="165"/>
      <c r="V80" s="165"/>
      <c r="W80" s="165"/>
      <c r="X80" s="165"/>
      <c r="Y80" s="165"/>
      <c r="Z80" s="165"/>
      <c r="AA80" s="165"/>
      <c r="AB80" s="165"/>
      <c r="AC80" s="165"/>
    </row>
    <row r="81">
      <c r="A81" s="165"/>
      <c r="B81" s="165"/>
      <c r="C81" s="165"/>
      <c r="D81" s="165"/>
      <c r="E81" s="166"/>
      <c r="F81" s="165"/>
      <c r="G81" s="167"/>
      <c r="H81" s="166"/>
      <c r="I81" s="167"/>
      <c r="J81" s="168"/>
      <c r="K81" s="169"/>
      <c r="L81" s="165"/>
      <c r="M81" s="165"/>
      <c r="N81" s="165"/>
      <c r="O81" s="165"/>
      <c r="P81" s="165"/>
      <c r="Q81" s="165"/>
      <c r="R81" s="165"/>
      <c r="S81" s="165"/>
      <c r="T81" s="165"/>
      <c r="U81" s="165"/>
      <c r="V81" s="165"/>
      <c r="W81" s="165"/>
      <c r="X81" s="165"/>
      <c r="Y81" s="165"/>
      <c r="Z81" s="165"/>
      <c r="AA81" s="165"/>
      <c r="AB81" s="165"/>
      <c r="AC81" s="165"/>
    </row>
    <row r="82">
      <c r="A82" s="165"/>
      <c r="B82" s="165"/>
      <c r="C82" s="165"/>
      <c r="D82" s="165"/>
      <c r="E82" s="166"/>
      <c r="F82" s="165"/>
      <c r="G82" s="167"/>
      <c r="H82" s="166"/>
      <c r="I82" s="167"/>
      <c r="J82" s="168"/>
      <c r="K82" s="169"/>
      <c r="L82" s="165"/>
      <c r="M82" s="165"/>
      <c r="N82" s="165"/>
      <c r="O82" s="165"/>
      <c r="P82" s="165"/>
      <c r="Q82" s="165"/>
      <c r="R82" s="165"/>
      <c r="S82" s="165"/>
      <c r="T82" s="165"/>
      <c r="U82" s="165"/>
      <c r="V82" s="165"/>
      <c r="W82" s="165"/>
      <c r="X82" s="165"/>
      <c r="Y82" s="165"/>
      <c r="Z82" s="165"/>
      <c r="AA82" s="165"/>
      <c r="AB82" s="165"/>
      <c r="AC82" s="165"/>
    </row>
    <row r="83">
      <c r="A83" s="165"/>
      <c r="B83" s="165"/>
      <c r="C83" s="165"/>
      <c r="D83" s="165"/>
      <c r="E83" s="166"/>
      <c r="F83" s="165"/>
      <c r="G83" s="167"/>
      <c r="H83" s="166"/>
      <c r="I83" s="167"/>
      <c r="J83" s="168"/>
      <c r="K83" s="169"/>
      <c r="L83" s="165"/>
      <c r="M83" s="165"/>
      <c r="N83" s="165"/>
      <c r="O83" s="165"/>
      <c r="P83" s="165"/>
      <c r="Q83" s="165"/>
      <c r="R83" s="165"/>
      <c r="S83" s="165"/>
      <c r="T83" s="165"/>
      <c r="U83" s="165"/>
      <c r="V83" s="165"/>
      <c r="W83" s="165"/>
      <c r="X83" s="165"/>
      <c r="Y83" s="165"/>
      <c r="Z83" s="165"/>
      <c r="AA83" s="165"/>
      <c r="AB83" s="165"/>
      <c r="AC83" s="165"/>
    </row>
    <row r="84">
      <c r="A84" s="165"/>
      <c r="B84" s="165"/>
      <c r="C84" s="165"/>
      <c r="D84" s="165"/>
      <c r="E84" s="166"/>
      <c r="F84" s="165"/>
      <c r="G84" s="167"/>
      <c r="H84" s="166"/>
      <c r="I84" s="167"/>
      <c r="J84" s="168"/>
      <c r="K84" s="169"/>
      <c r="L84" s="165"/>
      <c r="M84" s="165"/>
      <c r="N84" s="165"/>
      <c r="O84" s="165"/>
      <c r="P84" s="165"/>
      <c r="Q84" s="165"/>
      <c r="R84" s="165"/>
      <c r="S84" s="165"/>
      <c r="T84" s="165"/>
      <c r="U84" s="165"/>
      <c r="V84" s="165"/>
      <c r="W84" s="165"/>
      <c r="X84" s="165"/>
      <c r="Y84" s="165"/>
      <c r="Z84" s="165"/>
      <c r="AA84" s="165"/>
      <c r="AB84" s="165"/>
      <c r="AC84" s="165"/>
    </row>
    <row r="85">
      <c r="A85" s="165"/>
      <c r="B85" s="165"/>
      <c r="C85" s="165"/>
      <c r="D85" s="165"/>
      <c r="E85" s="166"/>
      <c r="F85" s="165"/>
      <c r="G85" s="167"/>
      <c r="H85" s="166"/>
      <c r="I85" s="167"/>
      <c r="J85" s="168"/>
      <c r="K85" s="169"/>
      <c r="L85" s="165"/>
      <c r="M85" s="165"/>
      <c r="N85" s="165"/>
      <c r="O85" s="165"/>
      <c r="P85" s="165"/>
      <c r="Q85" s="165"/>
      <c r="R85" s="165"/>
      <c r="S85" s="165"/>
      <c r="T85" s="165"/>
      <c r="U85" s="165"/>
      <c r="V85" s="165"/>
      <c r="W85" s="165"/>
      <c r="X85" s="165"/>
      <c r="Y85" s="165"/>
      <c r="Z85" s="165"/>
      <c r="AA85" s="165"/>
      <c r="AB85" s="165"/>
      <c r="AC85" s="165"/>
    </row>
    <row r="86">
      <c r="A86" s="165"/>
      <c r="B86" s="165"/>
      <c r="C86" s="165"/>
      <c r="D86" s="165"/>
      <c r="E86" s="166"/>
      <c r="F86" s="165"/>
      <c r="G86" s="167"/>
      <c r="H86" s="166"/>
      <c r="I86" s="167"/>
      <c r="J86" s="168"/>
      <c r="K86" s="169"/>
      <c r="L86" s="165"/>
      <c r="M86" s="165"/>
      <c r="N86" s="165"/>
      <c r="O86" s="165"/>
      <c r="P86" s="165"/>
      <c r="Q86" s="165"/>
      <c r="R86" s="165"/>
      <c r="S86" s="165"/>
      <c r="T86" s="165"/>
      <c r="U86" s="165"/>
      <c r="V86" s="165"/>
      <c r="W86" s="165"/>
      <c r="X86" s="165"/>
      <c r="Y86" s="165"/>
      <c r="Z86" s="165"/>
      <c r="AA86" s="165"/>
      <c r="AB86" s="165"/>
      <c r="AC86" s="165"/>
    </row>
    <row r="87">
      <c r="A87" s="165"/>
      <c r="B87" s="165"/>
      <c r="C87" s="165"/>
      <c r="D87" s="165"/>
      <c r="E87" s="166"/>
      <c r="F87" s="165"/>
      <c r="G87" s="167"/>
      <c r="H87" s="166"/>
      <c r="I87" s="167"/>
      <c r="J87" s="168"/>
      <c r="K87" s="169"/>
      <c r="L87" s="165"/>
      <c r="M87" s="165"/>
      <c r="N87" s="165"/>
      <c r="O87" s="165"/>
      <c r="P87" s="165"/>
      <c r="Q87" s="165"/>
      <c r="R87" s="165"/>
      <c r="S87" s="165"/>
      <c r="T87" s="165"/>
      <c r="U87" s="165"/>
      <c r="V87" s="165"/>
      <c r="W87" s="165"/>
      <c r="X87" s="165"/>
      <c r="Y87" s="165"/>
      <c r="Z87" s="165"/>
      <c r="AA87" s="165"/>
      <c r="AB87" s="165"/>
      <c r="AC87" s="165"/>
    </row>
    <row r="88">
      <c r="A88" s="165"/>
      <c r="B88" s="165"/>
      <c r="C88" s="165"/>
      <c r="D88" s="165"/>
      <c r="E88" s="166"/>
      <c r="F88" s="165"/>
      <c r="G88" s="167"/>
      <c r="H88" s="166"/>
      <c r="I88" s="167"/>
      <c r="J88" s="168"/>
      <c r="K88" s="169"/>
      <c r="L88" s="165"/>
      <c r="M88" s="165"/>
      <c r="N88" s="165"/>
      <c r="O88" s="165"/>
      <c r="P88" s="165"/>
      <c r="Q88" s="165"/>
      <c r="R88" s="165"/>
      <c r="S88" s="165"/>
      <c r="T88" s="165"/>
      <c r="U88" s="165"/>
      <c r="V88" s="165"/>
      <c r="W88" s="165"/>
      <c r="X88" s="165"/>
      <c r="Y88" s="165"/>
      <c r="Z88" s="165"/>
      <c r="AA88" s="165"/>
      <c r="AB88" s="165"/>
      <c r="AC88" s="165"/>
    </row>
    <row r="89">
      <c r="A89" s="165"/>
      <c r="B89" s="165"/>
      <c r="C89" s="165"/>
      <c r="D89" s="165"/>
      <c r="E89" s="166"/>
      <c r="F89" s="165"/>
      <c r="G89" s="167"/>
      <c r="H89" s="166"/>
      <c r="I89" s="167"/>
      <c r="J89" s="168"/>
      <c r="K89" s="169"/>
      <c r="L89" s="165"/>
      <c r="M89" s="165"/>
      <c r="N89" s="165"/>
      <c r="O89" s="165"/>
      <c r="P89" s="165"/>
      <c r="Q89" s="165"/>
      <c r="R89" s="165"/>
      <c r="S89" s="165"/>
      <c r="T89" s="165"/>
      <c r="U89" s="165"/>
      <c r="V89" s="165"/>
      <c r="W89" s="165"/>
      <c r="X89" s="165"/>
      <c r="Y89" s="165"/>
      <c r="Z89" s="165"/>
      <c r="AA89" s="165"/>
      <c r="AB89" s="165"/>
      <c r="AC89" s="165"/>
    </row>
    <row r="90">
      <c r="A90" s="165"/>
      <c r="B90" s="165"/>
      <c r="C90" s="165"/>
      <c r="D90" s="165"/>
      <c r="E90" s="166"/>
      <c r="F90" s="165"/>
      <c r="G90" s="167"/>
      <c r="H90" s="166"/>
      <c r="I90" s="167"/>
      <c r="J90" s="168"/>
      <c r="K90" s="169"/>
      <c r="L90" s="165"/>
      <c r="M90" s="165"/>
      <c r="N90" s="165"/>
      <c r="O90" s="165"/>
      <c r="P90" s="165"/>
      <c r="Q90" s="165"/>
      <c r="R90" s="165"/>
      <c r="S90" s="165"/>
      <c r="T90" s="165"/>
      <c r="U90" s="165"/>
      <c r="V90" s="165"/>
      <c r="W90" s="165"/>
      <c r="X90" s="165"/>
      <c r="Y90" s="165"/>
      <c r="Z90" s="165"/>
      <c r="AA90" s="165"/>
      <c r="AB90" s="165"/>
      <c r="AC90" s="165"/>
    </row>
    <row r="91">
      <c r="A91" s="165"/>
      <c r="B91" s="165"/>
      <c r="C91" s="165"/>
      <c r="D91" s="165"/>
      <c r="E91" s="166"/>
      <c r="F91" s="165"/>
      <c r="G91" s="167"/>
      <c r="H91" s="166"/>
      <c r="I91" s="167"/>
      <c r="J91" s="168"/>
      <c r="K91" s="169"/>
      <c r="L91" s="165"/>
      <c r="M91" s="165"/>
      <c r="N91" s="165"/>
      <c r="O91" s="165"/>
      <c r="P91" s="165"/>
      <c r="Q91" s="165"/>
      <c r="R91" s="165"/>
      <c r="S91" s="165"/>
      <c r="T91" s="165"/>
      <c r="U91" s="165"/>
      <c r="V91" s="165"/>
      <c r="W91" s="165"/>
      <c r="X91" s="165"/>
      <c r="Y91" s="165"/>
      <c r="Z91" s="165"/>
      <c r="AA91" s="165"/>
      <c r="AB91" s="165"/>
      <c r="AC91" s="165"/>
    </row>
    <row r="92">
      <c r="A92" s="165"/>
      <c r="B92" s="165"/>
      <c r="C92" s="165"/>
      <c r="D92" s="165"/>
      <c r="E92" s="166"/>
      <c r="F92" s="165"/>
      <c r="G92" s="167"/>
      <c r="H92" s="166"/>
      <c r="I92" s="167"/>
      <c r="J92" s="168"/>
      <c r="K92" s="169"/>
      <c r="L92" s="165"/>
      <c r="M92" s="165"/>
      <c r="N92" s="165"/>
      <c r="O92" s="165"/>
      <c r="P92" s="165"/>
      <c r="Q92" s="165"/>
      <c r="R92" s="165"/>
      <c r="S92" s="165"/>
      <c r="T92" s="165"/>
      <c r="U92" s="165"/>
      <c r="V92" s="165"/>
      <c r="W92" s="165"/>
      <c r="X92" s="165"/>
      <c r="Y92" s="165"/>
      <c r="Z92" s="165"/>
      <c r="AA92" s="165"/>
      <c r="AB92" s="165"/>
      <c r="AC92" s="165"/>
    </row>
    <row r="93">
      <c r="A93" s="165"/>
      <c r="B93" s="165"/>
      <c r="C93" s="165"/>
      <c r="D93" s="165"/>
      <c r="E93" s="166"/>
      <c r="F93" s="165"/>
      <c r="G93" s="167"/>
      <c r="H93" s="166"/>
      <c r="I93" s="167"/>
      <c r="J93" s="168"/>
      <c r="K93" s="169"/>
      <c r="L93" s="165"/>
      <c r="M93" s="165"/>
      <c r="N93" s="165"/>
      <c r="O93" s="165"/>
      <c r="P93" s="165"/>
      <c r="Q93" s="165"/>
      <c r="R93" s="165"/>
      <c r="S93" s="165"/>
      <c r="T93" s="165"/>
      <c r="U93" s="165"/>
      <c r="V93" s="165"/>
      <c r="W93" s="165"/>
      <c r="X93" s="165"/>
      <c r="Y93" s="165"/>
      <c r="Z93" s="165"/>
      <c r="AA93" s="165"/>
      <c r="AB93" s="165"/>
      <c r="AC93" s="165"/>
    </row>
    <row r="94">
      <c r="A94" s="165"/>
      <c r="B94" s="165"/>
      <c r="C94" s="165"/>
      <c r="D94" s="165"/>
      <c r="E94" s="166"/>
      <c r="F94" s="165"/>
      <c r="G94" s="167"/>
      <c r="H94" s="166"/>
      <c r="I94" s="167"/>
      <c r="J94" s="168"/>
      <c r="K94" s="169"/>
      <c r="L94" s="165"/>
      <c r="M94" s="165"/>
      <c r="N94" s="165"/>
      <c r="O94" s="165"/>
      <c r="P94" s="165"/>
      <c r="Q94" s="165"/>
      <c r="R94" s="165"/>
      <c r="S94" s="165"/>
      <c r="T94" s="165"/>
      <c r="U94" s="165"/>
      <c r="V94" s="165"/>
      <c r="W94" s="165"/>
      <c r="X94" s="165"/>
      <c r="Y94" s="165"/>
      <c r="Z94" s="165"/>
      <c r="AA94" s="165"/>
      <c r="AB94" s="165"/>
      <c r="AC94" s="165"/>
    </row>
    <row r="95">
      <c r="A95" s="165"/>
      <c r="B95" s="165"/>
      <c r="C95" s="165"/>
      <c r="D95" s="165"/>
      <c r="E95" s="166"/>
      <c r="F95" s="165"/>
      <c r="G95" s="167"/>
      <c r="H95" s="166"/>
      <c r="I95" s="167"/>
      <c r="J95" s="168"/>
      <c r="K95" s="169"/>
      <c r="L95" s="165"/>
      <c r="M95" s="165"/>
      <c r="N95" s="165"/>
      <c r="O95" s="165"/>
      <c r="P95" s="165"/>
      <c r="Q95" s="165"/>
      <c r="R95" s="165"/>
      <c r="S95" s="165"/>
      <c r="T95" s="165"/>
      <c r="U95" s="165"/>
      <c r="V95" s="165"/>
      <c r="W95" s="165"/>
      <c r="X95" s="165"/>
      <c r="Y95" s="165"/>
      <c r="Z95" s="165"/>
      <c r="AA95" s="165"/>
      <c r="AB95" s="165"/>
      <c r="AC95" s="165"/>
    </row>
    <row r="96">
      <c r="A96" s="165"/>
      <c r="B96" s="165"/>
      <c r="C96" s="165"/>
      <c r="D96" s="165"/>
      <c r="E96" s="166"/>
      <c r="F96" s="165"/>
      <c r="G96" s="167"/>
      <c r="H96" s="166"/>
      <c r="I96" s="167"/>
      <c r="J96" s="168"/>
      <c r="K96" s="169"/>
      <c r="L96" s="165"/>
      <c r="M96" s="165"/>
      <c r="N96" s="165"/>
      <c r="O96" s="165"/>
      <c r="P96" s="165"/>
      <c r="Q96" s="165"/>
      <c r="R96" s="165"/>
      <c r="S96" s="165"/>
      <c r="T96" s="165"/>
      <c r="U96" s="165"/>
      <c r="V96" s="165"/>
      <c r="W96" s="165"/>
      <c r="X96" s="165"/>
      <c r="Y96" s="165"/>
      <c r="Z96" s="165"/>
      <c r="AA96" s="165"/>
      <c r="AB96" s="165"/>
      <c r="AC96" s="165"/>
    </row>
    <row r="97">
      <c r="A97" s="165"/>
      <c r="B97" s="165"/>
      <c r="C97" s="165"/>
      <c r="D97" s="165"/>
      <c r="E97" s="166"/>
      <c r="F97" s="165"/>
      <c r="G97" s="167"/>
      <c r="H97" s="166"/>
      <c r="I97" s="167"/>
      <c r="J97" s="168"/>
      <c r="K97" s="169"/>
      <c r="L97" s="165"/>
      <c r="M97" s="165"/>
      <c r="N97" s="165"/>
      <c r="O97" s="165"/>
      <c r="P97" s="165"/>
      <c r="Q97" s="165"/>
      <c r="R97" s="165"/>
      <c r="S97" s="165"/>
      <c r="T97" s="165"/>
      <c r="U97" s="165"/>
      <c r="V97" s="165"/>
      <c r="W97" s="165"/>
      <c r="X97" s="165"/>
      <c r="Y97" s="165"/>
      <c r="Z97" s="165"/>
      <c r="AA97" s="165"/>
      <c r="AB97" s="165"/>
      <c r="AC97" s="165"/>
    </row>
    <row r="98">
      <c r="A98" s="165"/>
      <c r="B98" s="165"/>
      <c r="C98" s="165"/>
      <c r="D98" s="165"/>
      <c r="E98" s="166"/>
      <c r="F98" s="165"/>
      <c r="G98" s="167"/>
      <c r="H98" s="166"/>
      <c r="I98" s="167"/>
      <c r="J98" s="168"/>
      <c r="K98" s="169"/>
      <c r="L98" s="165"/>
      <c r="M98" s="165"/>
      <c r="N98" s="165"/>
      <c r="O98" s="165"/>
      <c r="P98" s="165"/>
      <c r="Q98" s="165"/>
      <c r="R98" s="165"/>
      <c r="S98" s="165"/>
      <c r="T98" s="165"/>
      <c r="U98" s="165"/>
      <c r="V98" s="165"/>
      <c r="W98" s="165"/>
      <c r="X98" s="165"/>
      <c r="Y98" s="165"/>
      <c r="Z98" s="165"/>
      <c r="AA98" s="165"/>
      <c r="AB98" s="165"/>
      <c r="AC98" s="165"/>
    </row>
    <row r="99">
      <c r="A99" s="165"/>
      <c r="B99" s="165"/>
      <c r="C99" s="165"/>
      <c r="D99" s="165"/>
      <c r="E99" s="166"/>
      <c r="F99" s="165"/>
      <c r="G99" s="167"/>
      <c r="H99" s="166"/>
      <c r="I99" s="167"/>
      <c r="J99" s="168"/>
      <c r="K99" s="169"/>
      <c r="L99" s="165"/>
      <c r="M99" s="165"/>
      <c r="N99" s="165"/>
      <c r="O99" s="165"/>
      <c r="P99" s="165"/>
      <c r="Q99" s="165"/>
      <c r="R99" s="165"/>
      <c r="S99" s="165"/>
      <c r="T99" s="165"/>
      <c r="U99" s="165"/>
      <c r="V99" s="165"/>
      <c r="W99" s="165"/>
      <c r="X99" s="165"/>
      <c r="Y99" s="165"/>
      <c r="Z99" s="165"/>
      <c r="AA99" s="165"/>
      <c r="AB99" s="165"/>
      <c r="AC99" s="165"/>
    </row>
    <row r="100">
      <c r="A100" s="165"/>
      <c r="B100" s="165"/>
      <c r="C100" s="165"/>
      <c r="D100" s="165"/>
      <c r="E100" s="166"/>
      <c r="F100" s="165"/>
      <c r="G100" s="167"/>
      <c r="H100" s="166"/>
      <c r="I100" s="167"/>
      <c r="J100" s="168"/>
      <c r="K100" s="169"/>
      <c r="L100" s="165"/>
      <c r="M100" s="165"/>
      <c r="N100" s="165"/>
      <c r="O100" s="165"/>
      <c r="P100" s="165"/>
      <c r="Q100" s="165"/>
      <c r="R100" s="165"/>
      <c r="S100" s="165"/>
      <c r="T100" s="165"/>
      <c r="U100" s="165"/>
      <c r="V100" s="165"/>
      <c r="W100" s="165"/>
      <c r="X100" s="165"/>
      <c r="Y100" s="165"/>
      <c r="Z100" s="165"/>
      <c r="AA100" s="165"/>
      <c r="AB100" s="165"/>
      <c r="AC100" s="165"/>
    </row>
    <row r="101">
      <c r="A101" s="165"/>
      <c r="B101" s="165"/>
      <c r="C101" s="165"/>
      <c r="D101" s="165"/>
      <c r="E101" s="166"/>
      <c r="F101" s="165"/>
      <c r="G101" s="167"/>
      <c r="H101" s="166"/>
      <c r="I101" s="167"/>
      <c r="J101" s="168"/>
      <c r="K101" s="169"/>
      <c r="L101" s="165"/>
      <c r="M101" s="165"/>
      <c r="N101" s="165"/>
      <c r="O101" s="165"/>
      <c r="P101" s="165"/>
      <c r="Q101" s="165"/>
      <c r="R101" s="165"/>
      <c r="S101" s="165"/>
      <c r="T101" s="165"/>
      <c r="U101" s="165"/>
      <c r="V101" s="165"/>
      <c r="W101" s="165"/>
      <c r="X101" s="165"/>
      <c r="Y101" s="165"/>
      <c r="Z101" s="165"/>
      <c r="AA101" s="165"/>
      <c r="AB101" s="165"/>
      <c r="AC101" s="165"/>
    </row>
    <row r="102">
      <c r="A102" s="165"/>
      <c r="B102" s="165"/>
      <c r="C102" s="165"/>
      <c r="D102" s="165"/>
      <c r="E102" s="166"/>
      <c r="F102" s="165"/>
      <c r="G102" s="167"/>
      <c r="H102" s="166"/>
      <c r="I102" s="167"/>
      <c r="J102" s="168"/>
      <c r="K102" s="169"/>
      <c r="L102" s="165"/>
      <c r="M102" s="165"/>
      <c r="N102" s="165"/>
      <c r="O102" s="165"/>
      <c r="P102" s="165"/>
      <c r="Q102" s="165"/>
      <c r="R102" s="165"/>
      <c r="S102" s="165"/>
      <c r="T102" s="165"/>
      <c r="U102" s="165"/>
      <c r="V102" s="165"/>
      <c r="W102" s="165"/>
      <c r="X102" s="165"/>
      <c r="Y102" s="165"/>
      <c r="Z102" s="165"/>
      <c r="AA102" s="165"/>
      <c r="AB102" s="165"/>
      <c r="AC102" s="165"/>
    </row>
    <row r="103">
      <c r="A103" s="165"/>
      <c r="B103" s="165"/>
      <c r="C103" s="165"/>
      <c r="D103" s="165"/>
      <c r="E103" s="166"/>
      <c r="F103" s="165"/>
      <c r="G103" s="167"/>
      <c r="H103" s="166"/>
      <c r="I103" s="167"/>
      <c r="J103" s="168"/>
      <c r="K103" s="169"/>
      <c r="L103" s="165"/>
      <c r="M103" s="165"/>
      <c r="N103" s="165"/>
      <c r="O103" s="165"/>
      <c r="P103" s="165"/>
      <c r="Q103" s="165"/>
      <c r="R103" s="165"/>
      <c r="S103" s="165"/>
      <c r="T103" s="165"/>
      <c r="U103" s="165"/>
      <c r="V103" s="165"/>
      <c r="W103" s="165"/>
      <c r="X103" s="165"/>
      <c r="Y103" s="165"/>
      <c r="Z103" s="165"/>
      <c r="AA103" s="165"/>
      <c r="AB103" s="165"/>
      <c r="AC103" s="165"/>
    </row>
    <row r="104">
      <c r="A104" s="165"/>
      <c r="B104" s="165"/>
      <c r="C104" s="165"/>
      <c r="D104" s="165"/>
      <c r="E104" s="166"/>
      <c r="F104" s="165"/>
      <c r="G104" s="167"/>
      <c r="H104" s="166"/>
      <c r="I104" s="167"/>
      <c r="J104" s="168"/>
      <c r="K104" s="169"/>
      <c r="L104" s="165"/>
      <c r="M104" s="165"/>
      <c r="N104" s="165"/>
      <c r="O104" s="165"/>
      <c r="P104" s="165"/>
      <c r="Q104" s="165"/>
      <c r="R104" s="165"/>
      <c r="S104" s="165"/>
      <c r="T104" s="165"/>
      <c r="U104" s="165"/>
      <c r="V104" s="165"/>
      <c r="W104" s="165"/>
      <c r="X104" s="165"/>
      <c r="Y104" s="165"/>
      <c r="Z104" s="165"/>
      <c r="AA104" s="165"/>
      <c r="AB104" s="165"/>
      <c r="AC104" s="165"/>
    </row>
    <row r="105">
      <c r="A105" s="165"/>
      <c r="B105" s="165"/>
      <c r="C105" s="165"/>
      <c r="D105" s="165"/>
      <c r="E105" s="166"/>
      <c r="F105" s="165"/>
      <c r="G105" s="167"/>
      <c r="H105" s="166"/>
      <c r="I105" s="167"/>
      <c r="J105" s="168"/>
      <c r="K105" s="169"/>
      <c r="L105" s="165"/>
      <c r="M105" s="165"/>
      <c r="N105" s="165"/>
      <c r="O105" s="165"/>
      <c r="P105" s="165"/>
      <c r="Q105" s="165"/>
      <c r="R105" s="165"/>
      <c r="S105" s="165"/>
      <c r="T105" s="165"/>
      <c r="U105" s="165"/>
      <c r="V105" s="165"/>
      <c r="W105" s="165"/>
      <c r="X105" s="165"/>
      <c r="Y105" s="165"/>
      <c r="Z105" s="165"/>
      <c r="AA105" s="165"/>
      <c r="AB105" s="165"/>
      <c r="AC105" s="165"/>
    </row>
    <row r="106">
      <c r="A106" s="165"/>
      <c r="B106" s="165"/>
      <c r="C106" s="165"/>
      <c r="D106" s="165"/>
      <c r="E106" s="166"/>
      <c r="F106" s="165"/>
      <c r="G106" s="167"/>
      <c r="H106" s="166"/>
      <c r="I106" s="167"/>
      <c r="J106" s="168"/>
      <c r="K106" s="169"/>
      <c r="L106" s="165"/>
      <c r="M106" s="165"/>
      <c r="N106" s="165"/>
      <c r="O106" s="165"/>
      <c r="P106" s="165"/>
      <c r="Q106" s="165"/>
      <c r="R106" s="165"/>
      <c r="S106" s="165"/>
      <c r="T106" s="165"/>
      <c r="U106" s="165"/>
      <c r="V106" s="165"/>
      <c r="W106" s="165"/>
      <c r="X106" s="165"/>
      <c r="Y106" s="165"/>
      <c r="Z106" s="165"/>
      <c r="AA106" s="165"/>
      <c r="AB106" s="165"/>
      <c r="AC106" s="165"/>
    </row>
    <row r="107">
      <c r="A107" s="165"/>
      <c r="B107" s="165"/>
      <c r="C107" s="165"/>
      <c r="D107" s="165"/>
      <c r="E107" s="166"/>
      <c r="F107" s="165"/>
      <c r="G107" s="167"/>
      <c r="H107" s="166"/>
      <c r="I107" s="167"/>
      <c r="J107" s="168"/>
      <c r="K107" s="169"/>
      <c r="L107" s="165"/>
      <c r="M107" s="165"/>
      <c r="N107" s="165"/>
      <c r="O107" s="165"/>
      <c r="P107" s="165"/>
      <c r="Q107" s="165"/>
      <c r="R107" s="165"/>
      <c r="S107" s="165"/>
      <c r="T107" s="165"/>
      <c r="U107" s="165"/>
      <c r="V107" s="165"/>
      <c r="W107" s="165"/>
      <c r="X107" s="165"/>
      <c r="Y107" s="165"/>
      <c r="Z107" s="165"/>
      <c r="AA107" s="165"/>
      <c r="AB107" s="165"/>
      <c r="AC107" s="165"/>
    </row>
    <row r="108">
      <c r="A108" s="165"/>
      <c r="B108" s="165"/>
      <c r="C108" s="165"/>
      <c r="D108" s="165"/>
      <c r="E108" s="166"/>
      <c r="F108" s="165"/>
      <c r="G108" s="167"/>
      <c r="H108" s="166"/>
      <c r="I108" s="167"/>
      <c r="J108" s="168"/>
      <c r="K108" s="169"/>
      <c r="L108" s="165"/>
      <c r="M108" s="165"/>
      <c r="N108" s="165"/>
      <c r="O108" s="165"/>
      <c r="P108" s="165"/>
      <c r="Q108" s="165"/>
      <c r="R108" s="165"/>
      <c r="S108" s="165"/>
      <c r="T108" s="165"/>
      <c r="U108" s="165"/>
      <c r="V108" s="165"/>
      <c r="W108" s="165"/>
      <c r="X108" s="165"/>
      <c r="Y108" s="165"/>
      <c r="Z108" s="165"/>
      <c r="AA108" s="165"/>
      <c r="AB108" s="165"/>
      <c r="AC108" s="165"/>
    </row>
    <row r="109">
      <c r="A109" s="165"/>
      <c r="B109" s="165"/>
      <c r="C109" s="165"/>
      <c r="D109" s="165"/>
      <c r="E109" s="166"/>
      <c r="F109" s="165"/>
      <c r="G109" s="167"/>
      <c r="H109" s="166"/>
      <c r="I109" s="167"/>
      <c r="J109" s="168"/>
      <c r="K109" s="169"/>
      <c r="L109" s="165"/>
      <c r="M109" s="165"/>
      <c r="N109" s="165"/>
      <c r="O109" s="165"/>
      <c r="P109" s="165"/>
      <c r="Q109" s="165"/>
      <c r="R109" s="165"/>
      <c r="S109" s="165"/>
      <c r="T109" s="165"/>
      <c r="U109" s="165"/>
      <c r="V109" s="165"/>
      <c r="W109" s="165"/>
      <c r="X109" s="165"/>
      <c r="Y109" s="165"/>
      <c r="Z109" s="165"/>
      <c r="AA109" s="165"/>
      <c r="AB109" s="165"/>
      <c r="AC109" s="165"/>
    </row>
    <row r="110">
      <c r="A110" s="165"/>
      <c r="B110" s="165"/>
      <c r="C110" s="165"/>
      <c r="D110" s="165"/>
      <c r="E110" s="166"/>
      <c r="F110" s="165"/>
      <c r="G110" s="167"/>
      <c r="H110" s="166"/>
      <c r="I110" s="167"/>
      <c r="J110" s="168"/>
      <c r="K110" s="169"/>
      <c r="L110" s="165"/>
      <c r="M110" s="165"/>
      <c r="N110" s="165"/>
      <c r="O110" s="165"/>
      <c r="P110" s="165"/>
      <c r="Q110" s="165"/>
      <c r="R110" s="165"/>
      <c r="S110" s="165"/>
      <c r="T110" s="165"/>
      <c r="U110" s="165"/>
      <c r="V110" s="165"/>
      <c r="W110" s="165"/>
      <c r="X110" s="165"/>
      <c r="Y110" s="165"/>
      <c r="Z110" s="165"/>
      <c r="AA110" s="165"/>
      <c r="AB110" s="165"/>
      <c r="AC110" s="165"/>
    </row>
    <row r="111">
      <c r="A111" s="165"/>
      <c r="B111" s="165"/>
      <c r="C111" s="165"/>
      <c r="D111" s="165"/>
      <c r="E111" s="166"/>
      <c r="F111" s="165"/>
      <c r="G111" s="167"/>
      <c r="H111" s="166"/>
      <c r="I111" s="167"/>
      <c r="J111" s="168"/>
      <c r="K111" s="169"/>
      <c r="L111" s="165"/>
      <c r="M111" s="165"/>
      <c r="N111" s="165"/>
      <c r="O111" s="165"/>
      <c r="P111" s="165"/>
      <c r="Q111" s="165"/>
      <c r="R111" s="165"/>
      <c r="S111" s="165"/>
      <c r="T111" s="165"/>
      <c r="U111" s="165"/>
      <c r="V111" s="165"/>
      <c r="W111" s="165"/>
      <c r="X111" s="165"/>
      <c r="Y111" s="165"/>
      <c r="Z111" s="165"/>
      <c r="AA111" s="165"/>
      <c r="AB111" s="165"/>
      <c r="AC111" s="165"/>
    </row>
    <row r="112">
      <c r="A112" s="165"/>
      <c r="B112" s="165"/>
      <c r="C112" s="165"/>
      <c r="D112" s="165"/>
      <c r="E112" s="166"/>
      <c r="F112" s="165"/>
      <c r="G112" s="167"/>
      <c r="H112" s="166"/>
      <c r="I112" s="167"/>
      <c r="J112" s="168"/>
      <c r="K112" s="169"/>
      <c r="L112" s="165"/>
      <c r="M112" s="165"/>
      <c r="N112" s="165"/>
      <c r="O112" s="165"/>
      <c r="P112" s="165"/>
      <c r="Q112" s="165"/>
      <c r="R112" s="165"/>
      <c r="S112" s="165"/>
      <c r="T112" s="165"/>
      <c r="U112" s="165"/>
      <c r="V112" s="165"/>
      <c r="W112" s="165"/>
      <c r="X112" s="165"/>
      <c r="Y112" s="165"/>
      <c r="Z112" s="165"/>
      <c r="AA112" s="165"/>
      <c r="AB112" s="165"/>
      <c r="AC112" s="165"/>
    </row>
    <row r="113">
      <c r="A113" s="165"/>
      <c r="B113" s="165"/>
      <c r="C113" s="165"/>
      <c r="D113" s="165"/>
      <c r="E113" s="166"/>
      <c r="F113" s="165"/>
      <c r="G113" s="167"/>
      <c r="H113" s="166"/>
      <c r="I113" s="167"/>
      <c r="J113" s="168"/>
      <c r="K113" s="169"/>
      <c r="L113" s="165"/>
      <c r="M113" s="165"/>
      <c r="N113" s="165"/>
      <c r="O113" s="165"/>
      <c r="P113" s="165"/>
      <c r="Q113" s="165"/>
      <c r="R113" s="165"/>
      <c r="S113" s="165"/>
      <c r="T113" s="165"/>
      <c r="U113" s="165"/>
      <c r="V113" s="165"/>
      <c r="W113" s="165"/>
      <c r="X113" s="165"/>
      <c r="Y113" s="165"/>
      <c r="Z113" s="165"/>
      <c r="AA113" s="165"/>
      <c r="AB113" s="165"/>
      <c r="AC113" s="165"/>
    </row>
    <row r="114">
      <c r="A114" s="165"/>
      <c r="B114" s="165"/>
      <c r="C114" s="165"/>
      <c r="D114" s="165"/>
      <c r="E114" s="166"/>
      <c r="F114" s="165"/>
      <c r="G114" s="167"/>
      <c r="H114" s="166"/>
      <c r="I114" s="167"/>
      <c r="J114" s="168"/>
      <c r="K114" s="169"/>
      <c r="L114" s="165"/>
      <c r="M114" s="165"/>
      <c r="N114" s="165"/>
      <c r="O114" s="165"/>
      <c r="P114" s="165"/>
      <c r="Q114" s="165"/>
      <c r="R114" s="165"/>
      <c r="S114" s="165"/>
      <c r="T114" s="165"/>
      <c r="U114" s="165"/>
      <c r="V114" s="165"/>
      <c r="W114" s="165"/>
      <c r="X114" s="165"/>
      <c r="Y114" s="165"/>
      <c r="Z114" s="165"/>
      <c r="AA114" s="165"/>
      <c r="AB114" s="165"/>
      <c r="AC114" s="165"/>
    </row>
    <row r="115">
      <c r="A115" s="165"/>
      <c r="B115" s="165"/>
      <c r="C115" s="165"/>
      <c r="D115" s="165"/>
      <c r="E115" s="166"/>
      <c r="F115" s="165"/>
      <c r="G115" s="167"/>
      <c r="H115" s="166"/>
      <c r="I115" s="167"/>
      <c r="J115" s="168"/>
      <c r="K115" s="169"/>
      <c r="L115" s="165"/>
      <c r="M115" s="165"/>
      <c r="N115" s="165"/>
      <c r="O115" s="165"/>
      <c r="P115" s="165"/>
      <c r="Q115" s="165"/>
      <c r="R115" s="165"/>
      <c r="S115" s="165"/>
      <c r="T115" s="165"/>
      <c r="U115" s="165"/>
      <c r="V115" s="165"/>
      <c r="W115" s="165"/>
      <c r="X115" s="165"/>
      <c r="Y115" s="165"/>
      <c r="Z115" s="165"/>
      <c r="AA115" s="165"/>
      <c r="AB115" s="165"/>
      <c r="AC115" s="165"/>
    </row>
    <row r="116">
      <c r="A116" s="165"/>
      <c r="B116" s="165"/>
      <c r="C116" s="165"/>
      <c r="D116" s="165"/>
      <c r="E116" s="166"/>
      <c r="F116" s="165"/>
      <c r="G116" s="167"/>
      <c r="H116" s="166"/>
      <c r="I116" s="167"/>
      <c r="J116" s="168"/>
      <c r="K116" s="169"/>
      <c r="L116" s="165"/>
      <c r="M116" s="165"/>
      <c r="N116" s="165"/>
      <c r="O116" s="165"/>
      <c r="P116" s="165"/>
      <c r="Q116" s="165"/>
      <c r="R116" s="165"/>
      <c r="S116" s="165"/>
      <c r="T116" s="165"/>
      <c r="U116" s="165"/>
      <c r="V116" s="165"/>
      <c r="W116" s="165"/>
      <c r="X116" s="165"/>
      <c r="Y116" s="165"/>
      <c r="Z116" s="165"/>
      <c r="AA116" s="165"/>
      <c r="AB116" s="165"/>
      <c r="AC116" s="165"/>
    </row>
    <row r="117">
      <c r="A117" s="165"/>
      <c r="B117" s="165"/>
      <c r="C117" s="165"/>
      <c r="D117" s="165"/>
      <c r="E117" s="166"/>
      <c r="F117" s="165"/>
      <c r="G117" s="167"/>
      <c r="H117" s="166"/>
      <c r="I117" s="167"/>
      <c r="J117" s="168"/>
      <c r="K117" s="169"/>
      <c r="L117" s="165"/>
      <c r="M117" s="165"/>
      <c r="N117" s="165"/>
      <c r="O117" s="165"/>
      <c r="P117" s="165"/>
      <c r="Q117" s="165"/>
      <c r="R117" s="165"/>
      <c r="S117" s="165"/>
      <c r="T117" s="165"/>
      <c r="U117" s="165"/>
      <c r="V117" s="165"/>
      <c r="W117" s="165"/>
      <c r="X117" s="165"/>
      <c r="Y117" s="165"/>
      <c r="Z117" s="165"/>
      <c r="AA117" s="165"/>
      <c r="AB117" s="165"/>
      <c r="AC117" s="165"/>
    </row>
    <row r="118">
      <c r="A118" s="165"/>
      <c r="B118" s="165"/>
      <c r="C118" s="165"/>
      <c r="D118" s="165"/>
      <c r="E118" s="166"/>
      <c r="F118" s="165"/>
      <c r="G118" s="167"/>
      <c r="H118" s="166"/>
      <c r="I118" s="167"/>
      <c r="J118" s="168"/>
      <c r="K118" s="169"/>
      <c r="L118" s="165"/>
      <c r="M118" s="165"/>
      <c r="N118" s="165"/>
      <c r="O118" s="165"/>
      <c r="P118" s="165"/>
      <c r="Q118" s="165"/>
      <c r="R118" s="165"/>
      <c r="S118" s="165"/>
      <c r="T118" s="165"/>
      <c r="U118" s="165"/>
      <c r="V118" s="165"/>
      <c r="W118" s="165"/>
      <c r="X118" s="165"/>
      <c r="Y118" s="165"/>
      <c r="Z118" s="165"/>
      <c r="AA118" s="165"/>
      <c r="AB118" s="165"/>
      <c r="AC118" s="165"/>
    </row>
    <row r="119">
      <c r="A119" s="165"/>
      <c r="B119" s="165"/>
      <c r="C119" s="165"/>
      <c r="D119" s="165"/>
      <c r="E119" s="166"/>
      <c r="F119" s="165"/>
      <c r="G119" s="167"/>
      <c r="H119" s="166"/>
      <c r="I119" s="167"/>
      <c r="J119" s="168"/>
      <c r="K119" s="169"/>
      <c r="L119" s="165"/>
      <c r="M119" s="165"/>
      <c r="N119" s="165"/>
      <c r="O119" s="165"/>
      <c r="P119" s="165"/>
      <c r="Q119" s="165"/>
      <c r="R119" s="165"/>
      <c r="S119" s="165"/>
      <c r="T119" s="165"/>
      <c r="U119" s="165"/>
      <c r="V119" s="165"/>
      <c r="W119" s="165"/>
      <c r="X119" s="165"/>
      <c r="Y119" s="165"/>
      <c r="Z119" s="165"/>
      <c r="AA119" s="165"/>
      <c r="AB119" s="165"/>
      <c r="AC119" s="165"/>
    </row>
    <row r="120">
      <c r="A120" s="165"/>
      <c r="B120" s="165"/>
      <c r="C120" s="165"/>
      <c r="D120" s="165"/>
      <c r="E120" s="166"/>
      <c r="F120" s="165"/>
      <c r="G120" s="167"/>
      <c r="H120" s="166"/>
      <c r="I120" s="167"/>
      <c r="J120" s="168"/>
      <c r="K120" s="169"/>
      <c r="L120" s="165"/>
      <c r="M120" s="165"/>
      <c r="N120" s="165"/>
      <c r="O120" s="165"/>
      <c r="P120" s="165"/>
      <c r="Q120" s="165"/>
      <c r="R120" s="165"/>
      <c r="S120" s="165"/>
      <c r="T120" s="165"/>
      <c r="U120" s="165"/>
      <c r="V120" s="165"/>
      <c r="W120" s="165"/>
      <c r="X120" s="165"/>
      <c r="Y120" s="165"/>
      <c r="Z120" s="165"/>
      <c r="AA120" s="165"/>
      <c r="AB120" s="165"/>
      <c r="AC120" s="165"/>
    </row>
    <row r="121">
      <c r="A121" s="165"/>
      <c r="B121" s="165"/>
      <c r="C121" s="165"/>
      <c r="D121" s="165"/>
      <c r="E121" s="166"/>
      <c r="F121" s="165"/>
      <c r="G121" s="167"/>
      <c r="H121" s="166"/>
      <c r="I121" s="167"/>
      <c r="J121" s="168"/>
      <c r="K121" s="169"/>
      <c r="L121" s="165"/>
      <c r="M121" s="165"/>
      <c r="N121" s="165"/>
      <c r="O121" s="165"/>
      <c r="P121" s="165"/>
      <c r="Q121" s="165"/>
      <c r="R121" s="165"/>
      <c r="S121" s="165"/>
      <c r="T121" s="165"/>
      <c r="U121" s="165"/>
      <c r="V121" s="165"/>
      <c r="W121" s="165"/>
      <c r="X121" s="165"/>
      <c r="Y121" s="165"/>
      <c r="Z121" s="165"/>
      <c r="AA121" s="165"/>
      <c r="AB121" s="165"/>
      <c r="AC121" s="165"/>
    </row>
    <row r="122">
      <c r="A122" s="165"/>
      <c r="B122" s="165"/>
      <c r="C122" s="165"/>
      <c r="D122" s="165"/>
      <c r="E122" s="166"/>
      <c r="F122" s="165"/>
      <c r="G122" s="167"/>
      <c r="H122" s="166"/>
      <c r="I122" s="167"/>
      <c r="J122" s="168"/>
      <c r="K122" s="169"/>
      <c r="L122" s="165"/>
      <c r="M122" s="165"/>
      <c r="N122" s="165"/>
      <c r="O122" s="165"/>
      <c r="P122" s="165"/>
      <c r="Q122" s="165"/>
      <c r="R122" s="165"/>
      <c r="S122" s="165"/>
      <c r="T122" s="165"/>
      <c r="U122" s="165"/>
      <c r="V122" s="165"/>
      <c r="W122" s="165"/>
      <c r="X122" s="165"/>
      <c r="Y122" s="165"/>
      <c r="Z122" s="165"/>
      <c r="AA122" s="165"/>
      <c r="AB122" s="165"/>
      <c r="AC122" s="165"/>
    </row>
    <row r="123">
      <c r="A123" s="165"/>
      <c r="B123" s="165"/>
      <c r="C123" s="165"/>
      <c r="D123" s="165"/>
      <c r="E123" s="166"/>
      <c r="F123" s="165"/>
      <c r="G123" s="167"/>
      <c r="H123" s="166"/>
      <c r="I123" s="167"/>
      <c r="J123" s="168"/>
      <c r="K123" s="169"/>
      <c r="L123" s="165"/>
      <c r="M123" s="165"/>
      <c r="N123" s="165"/>
      <c r="O123" s="165"/>
      <c r="P123" s="165"/>
      <c r="Q123" s="165"/>
      <c r="R123" s="165"/>
      <c r="S123" s="165"/>
      <c r="T123" s="165"/>
      <c r="U123" s="165"/>
      <c r="V123" s="165"/>
      <c r="W123" s="165"/>
      <c r="X123" s="165"/>
      <c r="Y123" s="165"/>
      <c r="Z123" s="165"/>
      <c r="AA123" s="165"/>
      <c r="AB123" s="165"/>
      <c r="AC123" s="165"/>
    </row>
    <row r="124">
      <c r="A124" s="165"/>
      <c r="B124" s="165"/>
      <c r="C124" s="165"/>
      <c r="D124" s="165"/>
      <c r="E124" s="166"/>
      <c r="F124" s="165"/>
      <c r="G124" s="167"/>
      <c r="H124" s="166"/>
      <c r="I124" s="167"/>
      <c r="J124" s="168"/>
      <c r="K124" s="169"/>
      <c r="L124" s="165"/>
      <c r="M124" s="165"/>
      <c r="N124" s="165"/>
      <c r="O124" s="165"/>
      <c r="P124" s="165"/>
      <c r="Q124" s="165"/>
      <c r="R124" s="165"/>
      <c r="S124" s="165"/>
      <c r="T124" s="165"/>
      <c r="U124" s="165"/>
      <c r="V124" s="165"/>
      <c r="W124" s="165"/>
      <c r="X124" s="165"/>
      <c r="Y124" s="165"/>
      <c r="Z124" s="165"/>
      <c r="AA124" s="165"/>
      <c r="AB124" s="165"/>
      <c r="AC124" s="165"/>
    </row>
    <row r="125">
      <c r="A125" s="165"/>
      <c r="B125" s="165"/>
      <c r="C125" s="165"/>
      <c r="D125" s="165"/>
      <c r="E125" s="166"/>
      <c r="F125" s="165"/>
      <c r="G125" s="167"/>
      <c r="H125" s="166"/>
      <c r="I125" s="167"/>
      <c r="J125" s="168"/>
      <c r="K125" s="169"/>
      <c r="L125" s="165"/>
      <c r="M125" s="165"/>
      <c r="N125" s="165"/>
      <c r="O125" s="165"/>
      <c r="P125" s="165"/>
      <c r="Q125" s="165"/>
      <c r="R125" s="165"/>
      <c r="S125" s="165"/>
      <c r="T125" s="165"/>
      <c r="U125" s="165"/>
      <c r="V125" s="165"/>
      <c r="W125" s="165"/>
      <c r="X125" s="165"/>
      <c r="Y125" s="165"/>
      <c r="Z125" s="165"/>
      <c r="AA125" s="165"/>
      <c r="AB125" s="165"/>
      <c r="AC125" s="165"/>
    </row>
    <row r="126">
      <c r="A126" s="165"/>
      <c r="B126" s="165"/>
      <c r="C126" s="165"/>
      <c r="D126" s="165"/>
      <c r="E126" s="166"/>
      <c r="F126" s="165"/>
      <c r="G126" s="167"/>
      <c r="H126" s="166"/>
      <c r="I126" s="167"/>
      <c r="J126" s="168"/>
      <c r="K126" s="169"/>
      <c r="L126" s="165"/>
      <c r="M126" s="165"/>
      <c r="N126" s="165"/>
      <c r="O126" s="165"/>
      <c r="P126" s="165"/>
      <c r="Q126" s="165"/>
      <c r="R126" s="165"/>
      <c r="S126" s="165"/>
      <c r="T126" s="165"/>
      <c r="U126" s="165"/>
      <c r="V126" s="165"/>
      <c r="W126" s="165"/>
      <c r="X126" s="165"/>
      <c r="Y126" s="165"/>
      <c r="Z126" s="165"/>
      <c r="AA126" s="165"/>
      <c r="AB126" s="165"/>
      <c r="AC126" s="165"/>
    </row>
    <row r="127">
      <c r="A127" s="165"/>
      <c r="B127" s="165"/>
      <c r="C127" s="165"/>
      <c r="D127" s="165"/>
      <c r="E127" s="166"/>
      <c r="F127" s="165"/>
      <c r="G127" s="167"/>
      <c r="H127" s="166"/>
      <c r="I127" s="167"/>
      <c r="J127" s="168"/>
      <c r="K127" s="169"/>
      <c r="L127" s="165"/>
      <c r="M127" s="165"/>
      <c r="N127" s="165"/>
      <c r="O127" s="165"/>
      <c r="P127" s="165"/>
      <c r="Q127" s="165"/>
      <c r="R127" s="165"/>
      <c r="S127" s="165"/>
      <c r="T127" s="165"/>
      <c r="U127" s="165"/>
      <c r="V127" s="165"/>
      <c r="W127" s="165"/>
      <c r="X127" s="165"/>
      <c r="Y127" s="165"/>
      <c r="Z127" s="165"/>
      <c r="AA127" s="165"/>
      <c r="AB127" s="165"/>
      <c r="AC127" s="165"/>
    </row>
    <row r="128">
      <c r="A128" s="165"/>
      <c r="B128" s="165"/>
      <c r="C128" s="165"/>
      <c r="D128" s="165"/>
      <c r="E128" s="166"/>
      <c r="F128" s="165"/>
      <c r="G128" s="167"/>
      <c r="H128" s="166"/>
      <c r="I128" s="167"/>
      <c r="J128" s="168"/>
      <c r="K128" s="169"/>
      <c r="L128" s="165"/>
      <c r="M128" s="165"/>
      <c r="N128" s="165"/>
      <c r="O128" s="165"/>
      <c r="P128" s="165"/>
      <c r="Q128" s="165"/>
      <c r="R128" s="165"/>
      <c r="S128" s="165"/>
      <c r="T128" s="165"/>
      <c r="U128" s="165"/>
      <c r="V128" s="165"/>
      <c r="W128" s="165"/>
      <c r="X128" s="165"/>
      <c r="Y128" s="165"/>
      <c r="Z128" s="165"/>
      <c r="AA128" s="165"/>
      <c r="AB128" s="165"/>
      <c r="AC128" s="165"/>
    </row>
    <row r="129">
      <c r="A129" s="165"/>
      <c r="B129" s="165"/>
      <c r="C129" s="165"/>
      <c r="D129" s="165"/>
      <c r="E129" s="166"/>
      <c r="F129" s="165"/>
      <c r="G129" s="167"/>
      <c r="H129" s="166"/>
      <c r="I129" s="167"/>
      <c r="J129" s="168"/>
      <c r="K129" s="169"/>
      <c r="L129" s="165"/>
      <c r="M129" s="165"/>
      <c r="N129" s="165"/>
      <c r="O129" s="165"/>
      <c r="P129" s="165"/>
      <c r="Q129" s="165"/>
      <c r="R129" s="165"/>
      <c r="S129" s="165"/>
      <c r="T129" s="165"/>
      <c r="U129" s="165"/>
      <c r="V129" s="165"/>
      <c r="W129" s="165"/>
      <c r="X129" s="165"/>
      <c r="Y129" s="165"/>
      <c r="Z129" s="165"/>
      <c r="AA129" s="165"/>
      <c r="AB129" s="165"/>
      <c r="AC129" s="165"/>
    </row>
    <row r="130">
      <c r="A130" s="165"/>
      <c r="B130" s="165"/>
      <c r="C130" s="165"/>
      <c r="D130" s="165"/>
      <c r="E130" s="166"/>
      <c r="F130" s="165"/>
      <c r="G130" s="167"/>
      <c r="H130" s="166"/>
      <c r="I130" s="167"/>
      <c r="J130" s="168"/>
      <c r="K130" s="169"/>
      <c r="L130" s="165"/>
      <c r="M130" s="165"/>
      <c r="N130" s="165"/>
      <c r="O130" s="165"/>
      <c r="P130" s="165"/>
      <c r="Q130" s="165"/>
      <c r="R130" s="165"/>
      <c r="S130" s="165"/>
      <c r="T130" s="165"/>
      <c r="U130" s="165"/>
      <c r="V130" s="165"/>
      <c r="W130" s="165"/>
      <c r="X130" s="165"/>
      <c r="Y130" s="165"/>
      <c r="Z130" s="165"/>
      <c r="AA130" s="165"/>
      <c r="AB130" s="165"/>
      <c r="AC130" s="165"/>
    </row>
    <row r="131">
      <c r="A131" s="165"/>
      <c r="B131" s="165"/>
      <c r="C131" s="165"/>
      <c r="D131" s="165"/>
      <c r="E131" s="166"/>
      <c r="F131" s="165"/>
      <c r="G131" s="167"/>
      <c r="H131" s="166"/>
      <c r="I131" s="167"/>
      <c r="J131" s="168"/>
      <c r="K131" s="169"/>
      <c r="L131" s="165"/>
      <c r="M131" s="165"/>
      <c r="N131" s="165"/>
      <c r="O131" s="165"/>
      <c r="P131" s="165"/>
      <c r="Q131" s="165"/>
      <c r="R131" s="165"/>
      <c r="S131" s="165"/>
      <c r="T131" s="165"/>
      <c r="U131" s="165"/>
      <c r="V131" s="165"/>
      <c r="W131" s="165"/>
      <c r="X131" s="165"/>
      <c r="Y131" s="165"/>
      <c r="Z131" s="165"/>
      <c r="AA131" s="165"/>
      <c r="AB131" s="165"/>
      <c r="AC131" s="165"/>
    </row>
    <row r="132">
      <c r="A132" s="165"/>
      <c r="B132" s="165"/>
      <c r="C132" s="165"/>
      <c r="D132" s="165"/>
      <c r="E132" s="166"/>
      <c r="F132" s="165"/>
      <c r="G132" s="167"/>
      <c r="H132" s="166"/>
      <c r="I132" s="167"/>
      <c r="J132" s="168"/>
      <c r="K132" s="169"/>
      <c r="L132" s="165"/>
      <c r="M132" s="165"/>
      <c r="N132" s="165"/>
      <c r="O132" s="165"/>
      <c r="P132" s="165"/>
      <c r="Q132" s="165"/>
      <c r="R132" s="165"/>
      <c r="S132" s="165"/>
      <c r="T132" s="165"/>
      <c r="U132" s="165"/>
      <c r="V132" s="165"/>
      <c r="W132" s="165"/>
      <c r="X132" s="165"/>
      <c r="Y132" s="165"/>
      <c r="Z132" s="165"/>
      <c r="AA132" s="165"/>
      <c r="AB132" s="165"/>
      <c r="AC132" s="165"/>
    </row>
    <row r="133">
      <c r="A133" s="165"/>
      <c r="B133" s="165"/>
      <c r="C133" s="165"/>
      <c r="D133" s="165"/>
      <c r="E133" s="166"/>
      <c r="F133" s="165"/>
      <c r="G133" s="167"/>
      <c r="H133" s="166"/>
      <c r="I133" s="167"/>
      <c r="J133" s="168"/>
      <c r="K133" s="169"/>
      <c r="L133" s="165"/>
      <c r="M133" s="165"/>
      <c r="N133" s="165"/>
      <c r="O133" s="165"/>
      <c r="P133" s="165"/>
      <c r="Q133" s="165"/>
      <c r="R133" s="165"/>
      <c r="S133" s="165"/>
      <c r="T133" s="165"/>
      <c r="U133" s="165"/>
      <c r="V133" s="165"/>
      <c r="W133" s="165"/>
      <c r="X133" s="165"/>
      <c r="Y133" s="165"/>
      <c r="Z133" s="165"/>
      <c r="AA133" s="165"/>
      <c r="AB133" s="165"/>
      <c r="AC133" s="165"/>
    </row>
    <row r="134">
      <c r="A134" s="165"/>
      <c r="B134" s="165"/>
      <c r="C134" s="165"/>
      <c r="D134" s="165"/>
      <c r="E134" s="166"/>
      <c r="F134" s="165"/>
      <c r="G134" s="167"/>
      <c r="H134" s="166"/>
      <c r="I134" s="167"/>
      <c r="J134" s="168"/>
      <c r="K134" s="169"/>
      <c r="L134" s="165"/>
      <c r="M134" s="165"/>
      <c r="N134" s="165"/>
      <c r="O134" s="165"/>
      <c r="P134" s="165"/>
      <c r="Q134" s="165"/>
      <c r="R134" s="165"/>
      <c r="S134" s="165"/>
      <c r="T134" s="165"/>
      <c r="U134" s="165"/>
      <c r="V134" s="165"/>
      <c r="W134" s="165"/>
      <c r="X134" s="165"/>
      <c r="Y134" s="165"/>
      <c r="Z134" s="165"/>
      <c r="AA134" s="165"/>
      <c r="AB134" s="165"/>
      <c r="AC134" s="165"/>
    </row>
    <row r="135">
      <c r="A135" s="165"/>
      <c r="B135" s="165"/>
      <c r="C135" s="165"/>
      <c r="D135" s="165"/>
      <c r="E135" s="166"/>
      <c r="F135" s="165"/>
      <c r="G135" s="167"/>
      <c r="H135" s="166"/>
      <c r="I135" s="167"/>
      <c r="J135" s="168"/>
      <c r="K135" s="169"/>
      <c r="L135" s="165"/>
      <c r="M135" s="165"/>
      <c r="N135" s="165"/>
      <c r="O135" s="165"/>
      <c r="P135" s="165"/>
      <c r="Q135" s="165"/>
      <c r="R135" s="165"/>
      <c r="S135" s="165"/>
      <c r="T135" s="165"/>
      <c r="U135" s="165"/>
      <c r="V135" s="165"/>
      <c r="W135" s="165"/>
      <c r="X135" s="165"/>
      <c r="Y135" s="165"/>
      <c r="Z135" s="165"/>
      <c r="AA135" s="165"/>
      <c r="AB135" s="165"/>
      <c r="AC135" s="165"/>
    </row>
    <row r="136">
      <c r="A136" s="165"/>
      <c r="B136" s="165"/>
      <c r="C136" s="165"/>
      <c r="D136" s="165"/>
      <c r="E136" s="166"/>
      <c r="F136" s="165"/>
      <c r="G136" s="167"/>
      <c r="H136" s="166"/>
      <c r="I136" s="167"/>
      <c r="J136" s="168"/>
      <c r="K136" s="169"/>
      <c r="L136" s="165"/>
      <c r="M136" s="165"/>
      <c r="N136" s="165"/>
      <c r="O136" s="165"/>
      <c r="P136" s="165"/>
      <c r="Q136" s="165"/>
      <c r="R136" s="165"/>
      <c r="S136" s="165"/>
      <c r="T136" s="165"/>
      <c r="U136" s="165"/>
      <c r="V136" s="165"/>
      <c r="W136" s="165"/>
      <c r="X136" s="165"/>
      <c r="Y136" s="165"/>
      <c r="Z136" s="165"/>
      <c r="AA136" s="165"/>
      <c r="AB136" s="165"/>
      <c r="AC136" s="165"/>
    </row>
    <row r="137">
      <c r="A137" s="165"/>
      <c r="B137" s="165"/>
      <c r="C137" s="165"/>
      <c r="D137" s="165"/>
      <c r="E137" s="166"/>
      <c r="F137" s="165"/>
      <c r="G137" s="167"/>
      <c r="H137" s="166"/>
      <c r="I137" s="167"/>
      <c r="J137" s="168"/>
      <c r="K137" s="169"/>
      <c r="L137" s="165"/>
      <c r="M137" s="165"/>
      <c r="N137" s="165"/>
      <c r="O137" s="165"/>
      <c r="P137" s="165"/>
      <c r="Q137" s="165"/>
      <c r="R137" s="165"/>
      <c r="S137" s="165"/>
      <c r="T137" s="165"/>
      <c r="U137" s="165"/>
      <c r="V137" s="165"/>
      <c r="W137" s="165"/>
      <c r="X137" s="165"/>
      <c r="Y137" s="165"/>
      <c r="Z137" s="165"/>
      <c r="AA137" s="165"/>
      <c r="AB137" s="165"/>
      <c r="AC137" s="165"/>
    </row>
    <row r="138">
      <c r="A138" s="165"/>
      <c r="B138" s="165"/>
      <c r="C138" s="165"/>
      <c r="D138" s="165"/>
      <c r="E138" s="166"/>
      <c r="F138" s="165"/>
      <c r="G138" s="167"/>
      <c r="H138" s="166"/>
      <c r="I138" s="167"/>
      <c r="J138" s="168"/>
      <c r="K138" s="169"/>
      <c r="L138" s="165"/>
      <c r="M138" s="165"/>
      <c r="N138" s="165"/>
      <c r="O138" s="165"/>
      <c r="P138" s="165"/>
      <c r="Q138" s="165"/>
      <c r="R138" s="165"/>
      <c r="S138" s="165"/>
      <c r="T138" s="165"/>
      <c r="U138" s="165"/>
      <c r="V138" s="165"/>
      <c r="W138" s="165"/>
      <c r="X138" s="165"/>
      <c r="Y138" s="165"/>
      <c r="Z138" s="165"/>
      <c r="AA138" s="165"/>
      <c r="AB138" s="165"/>
      <c r="AC138" s="165"/>
    </row>
    <row r="139">
      <c r="A139" s="165"/>
      <c r="B139" s="165"/>
      <c r="C139" s="165"/>
      <c r="D139" s="165"/>
      <c r="E139" s="166"/>
      <c r="F139" s="165"/>
      <c r="G139" s="167"/>
      <c r="H139" s="166"/>
      <c r="I139" s="167"/>
      <c r="J139" s="168"/>
      <c r="K139" s="169"/>
      <c r="L139" s="165"/>
      <c r="M139" s="165"/>
      <c r="N139" s="165"/>
      <c r="O139" s="165"/>
      <c r="P139" s="165"/>
      <c r="Q139" s="165"/>
      <c r="R139" s="165"/>
      <c r="S139" s="165"/>
      <c r="T139" s="165"/>
      <c r="U139" s="165"/>
      <c r="V139" s="165"/>
      <c r="W139" s="165"/>
      <c r="X139" s="165"/>
      <c r="Y139" s="165"/>
      <c r="Z139" s="165"/>
      <c r="AA139" s="165"/>
      <c r="AB139" s="165"/>
      <c r="AC139" s="165"/>
    </row>
    <row r="140">
      <c r="A140" s="165"/>
      <c r="B140" s="165"/>
      <c r="C140" s="165"/>
      <c r="D140" s="165"/>
      <c r="E140" s="166"/>
      <c r="F140" s="165"/>
      <c r="G140" s="167"/>
      <c r="H140" s="166"/>
      <c r="I140" s="167"/>
      <c r="J140" s="168"/>
      <c r="K140" s="169"/>
      <c r="L140" s="165"/>
      <c r="M140" s="165"/>
      <c r="N140" s="165"/>
      <c r="O140" s="165"/>
      <c r="P140" s="165"/>
      <c r="Q140" s="165"/>
      <c r="R140" s="165"/>
      <c r="S140" s="165"/>
      <c r="T140" s="165"/>
      <c r="U140" s="165"/>
      <c r="V140" s="165"/>
      <c r="W140" s="165"/>
      <c r="X140" s="165"/>
      <c r="Y140" s="165"/>
      <c r="Z140" s="165"/>
      <c r="AA140" s="165"/>
      <c r="AB140" s="165"/>
      <c r="AC140" s="165"/>
    </row>
    <row r="141">
      <c r="A141" s="165"/>
      <c r="B141" s="165"/>
      <c r="C141" s="165"/>
      <c r="D141" s="165"/>
      <c r="E141" s="166"/>
      <c r="F141" s="165"/>
      <c r="G141" s="167"/>
      <c r="H141" s="166"/>
      <c r="I141" s="167"/>
      <c r="J141" s="168"/>
      <c r="K141" s="169"/>
      <c r="L141" s="165"/>
      <c r="M141" s="165"/>
      <c r="N141" s="165"/>
      <c r="O141" s="165"/>
      <c r="P141" s="165"/>
      <c r="Q141" s="165"/>
      <c r="R141" s="165"/>
      <c r="S141" s="165"/>
      <c r="T141" s="165"/>
      <c r="U141" s="165"/>
      <c r="V141" s="165"/>
      <c r="W141" s="165"/>
      <c r="X141" s="165"/>
      <c r="Y141" s="165"/>
      <c r="Z141" s="165"/>
      <c r="AA141" s="165"/>
      <c r="AB141" s="165"/>
      <c r="AC141" s="165"/>
    </row>
    <row r="142">
      <c r="A142" s="165"/>
      <c r="B142" s="165"/>
      <c r="C142" s="165"/>
      <c r="D142" s="165"/>
      <c r="E142" s="166"/>
      <c r="F142" s="165"/>
      <c r="G142" s="167"/>
      <c r="H142" s="166"/>
      <c r="I142" s="167"/>
      <c r="J142" s="168"/>
      <c r="K142" s="169"/>
      <c r="L142" s="165"/>
      <c r="M142" s="165"/>
      <c r="N142" s="165"/>
      <c r="O142" s="165"/>
      <c r="P142" s="165"/>
      <c r="Q142" s="165"/>
      <c r="R142" s="165"/>
      <c r="S142" s="165"/>
      <c r="T142" s="165"/>
      <c r="U142" s="165"/>
      <c r="V142" s="165"/>
      <c r="W142" s="165"/>
      <c r="X142" s="165"/>
      <c r="Y142" s="165"/>
      <c r="Z142" s="165"/>
      <c r="AA142" s="165"/>
      <c r="AB142" s="165"/>
      <c r="AC142" s="165"/>
    </row>
    <row r="143">
      <c r="A143" s="165"/>
      <c r="B143" s="165"/>
      <c r="C143" s="165"/>
      <c r="D143" s="165"/>
      <c r="E143" s="166"/>
      <c r="F143" s="165"/>
      <c r="G143" s="167"/>
      <c r="H143" s="166"/>
      <c r="I143" s="167"/>
      <c r="J143" s="168"/>
      <c r="K143" s="169"/>
      <c r="L143" s="165"/>
      <c r="M143" s="165"/>
      <c r="N143" s="165"/>
      <c r="O143" s="165"/>
      <c r="P143" s="165"/>
      <c r="Q143" s="165"/>
      <c r="R143" s="165"/>
      <c r="S143" s="165"/>
      <c r="T143" s="165"/>
      <c r="U143" s="165"/>
      <c r="V143" s="165"/>
      <c r="W143" s="165"/>
      <c r="X143" s="165"/>
      <c r="Y143" s="165"/>
      <c r="Z143" s="165"/>
      <c r="AA143" s="165"/>
      <c r="AB143" s="165"/>
      <c r="AC143" s="165"/>
    </row>
    <row r="144">
      <c r="A144" s="165"/>
      <c r="B144" s="165"/>
      <c r="C144" s="165"/>
      <c r="D144" s="165"/>
      <c r="E144" s="166"/>
      <c r="F144" s="165"/>
      <c r="G144" s="167"/>
      <c r="H144" s="166"/>
      <c r="I144" s="167"/>
      <c r="J144" s="168"/>
      <c r="K144" s="169"/>
      <c r="L144" s="165"/>
      <c r="M144" s="165"/>
      <c r="N144" s="165"/>
      <c r="O144" s="165"/>
      <c r="P144" s="165"/>
      <c r="Q144" s="165"/>
      <c r="R144" s="165"/>
      <c r="S144" s="165"/>
      <c r="T144" s="165"/>
      <c r="U144" s="165"/>
      <c r="V144" s="165"/>
      <c r="W144" s="165"/>
      <c r="X144" s="165"/>
      <c r="Y144" s="165"/>
      <c r="Z144" s="165"/>
      <c r="AA144" s="165"/>
      <c r="AB144" s="165"/>
      <c r="AC144" s="165"/>
    </row>
    <row r="145">
      <c r="A145" s="165"/>
      <c r="B145" s="165"/>
      <c r="C145" s="165"/>
      <c r="D145" s="165"/>
      <c r="E145" s="166"/>
      <c r="F145" s="165"/>
      <c r="G145" s="167"/>
      <c r="H145" s="166"/>
      <c r="I145" s="167"/>
      <c r="J145" s="168"/>
      <c r="K145" s="169"/>
      <c r="L145" s="165"/>
      <c r="M145" s="165"/>
      <c r="N145" s="165"/>
      <c r="O145" s="165"/>
      <c r="P145" s="165"/>
      <c r="Q145" s="165"/>
      <c r="R145" s="165"/>
      <c r="S145" s="165"/>
      <c r="T145" s="165"/>
      <c r="U145" s="165"/>
      <c r="V145" s="165"/>
      <c r="W145" s="165"/>
      <c r="X145" s="165"/>
      <c r="Y145" s="165"/>
      <c r="Z145" s="165"/>
      <c r="AA145" s="165"/>
      <c r="AB145" s="165"/>
      <c r="AC145" s="165"/>
    </row>
    <row r="146">
      <c r="A146" s="165"/>
      <c r="B146" s="165"/>
      <c r="C146" s="165"/>
      <c r="D146" s="165"/>
      <c r="E146" s="166"/>
      <c r="F146" s="165"/>
      <c r="G146" s="167"/>
      <c r="H146" s="166"/>
      <c r="I146" s="167"/>
      <c r="J146" s="168"/>
      <c r="K146" s="169"/>
      <c r="L146" s="165"/>
      <c r="M146" s="165"/>
      <c r="N146" s="165"/>
      <c r="O146" s="165"/>
      <c r="P146" s="165"/>
      <c r="Q146" s="165"/>
      <c r="R146" s="165"/>
      <c r="S146" s="165"/>
      <c r="T146" s="165"/>
      <c r="U146" s="165"/>
      <c r="V146" s="165"/>
      <c r="W146" s="165"/>
      <c r="X146" s="165"/>
      <c r="Y146" s="165"/>
      <c r="Z146" s="165"/>
      <c r="AA146" s="165"/>
      <c r="AB146" s="165"/>
      <c r="AC146" s="165"/>
    </row>
    <row r="147">
      <c r="A147" s="165"/>
      <c r="B147" s="165"/>
      <c r="C147" s="165"/>
      <c r="D147" s="165"/>
      <c r="E147" s="166"/>
      <c r="F147" s="165"/>
      <c r="G147" s="167"/>
      <c r="H147" s="166"/>
      <c r="I147" s="167"/>
      <c r="J147" s="168"/>
      <c r="K147" s="169"/>
      <c r="L147" s="165"/>
      <c r="M147" s="165"/>
      <c r="N147" s="165"/>
      <c r="O147" s="165"/>
      <c r="P147" s="165"/>
      <c r="Q147" s="165"/>
      <c r="R147" s="165"/>
      <c r="S147" s="165"/>
      <c r="T147" s="165"/>
      <c r="U147" s="165"/>
      <c r="V147" s="165"/>
      <c r="W147" s="165"/>
      <c r="X147" s="165"/>
      <c r="Y147" s="165"/>
      <c r="Z147" s="165"/>
      <c r="AA147" s="165"/>
      <c r="AB147" s="165"/>
      <c r="AC147" s="165"/>
    </row>
    <row r="148">
      <c r="A148" s="165"/>
      <c r="B148" s="165"/>
      <c r="C148" s="165"/>
      <c r="D148" s="165"/>
      <c r="E148" s="166"/>
      <c r="F148" s="165"/>
      <c r="G148" s="167"/>
      <c r="H148" s="166"/>
      <c r="I148" s="167"/>
      <c r="J148" s="168"/>
      <c r="K148" s="169"/>
      <c r="L148" s="165"/>
      <c r="M148" s="165"/>
      <c r="N148" s="165"/>
      <c r="O148" s="165"/>
      <c r="P148" s="165"/>
      <c r="Q148" s="165"/>
      <c r="R148" s="165"/>
      <c r="S148" s="165"/>
      <c r="T148" s="165"/>
      <c r="U148" s="165"/>
      <c r="V148" s="165"/>
      <c r="W148" s="165"/>
      <c r="X148" s="165"/>
      <c r="Y148" s="165"/>
      <c r="Z148" s="165"/>
      <c r="AA148" s="165"/>
      <c r="AB148" s="165"/>
      <c r="AC148" s="165"/>
    </row>
    <row r="149">
      <c r="A149" s="165"/>
      <c r="B149" s="165"/>
      <c r="C149" s="165"/>
      <c r="D149" s="165"/>
      <c r="E149" s="166"/>
      <c r="F149" s="165"/>
      <c r="G149" s="167"/>
      <c r="H149" s="166"/>
      <c r="I149" s="167"/>
      <c r="J149" s="168"/>
      <c r="K149" s="169"/>
      <c r="L149" s="165"/>
      <c r="M149" s="165"/>
      <c r="N149" s="165"/>
      <c r="O149" s="165"/>
      <c r="P149" s="165"/>
      <c r="Q149" s="165"/>
      <c r="R149" s="165"/>
      <c r="S149" s="165"/>
      <c r="T149" s="165"/>
      <c r="U149" s="165"/>
      <c r="V149" s="165"/>
      <c r="W149" s="165"/>
      <c r="X149" s="165"/>
      <c r="Y149" s="165"/>
      <c r="Z149" s="165"/>
      <c r="AA149" s="165"/>
      <c r="AB149" s="165"/>
      <c r="AC149" s="165"/>
    </row>
    <row r="150">
      <c r="A150" s="165"/>
      <c r="B150" s="165"/>
      <c r="C150" s="165"/>
      <c r="D150" s="165"/>
      <c r="E150" s="166"/>
      <c r="F150" s="165"/>
      <c r="G150" s="167"/>
      <c r="H150" s="166"/>
      <c r="I150" s="167"/>
      <c r="J150" s="168"/>
      <c r="K150" s="169"/>
      <c r="L150" s="165"/>
      <c r="M150" s="165"/>
      <c r="N150" s="165"/>
      <c r="O150" s="165"/>
      <c r="P150" s="165"/>
      <c r="Q150" s="165"/>
      <c r="R150" s="165"/>
      <c r="S150" s="165"/>
      <c r="T150" s="165"/>
      <c r="U150" s="165"/>
      <c r="V150" s="165"/>
      <c r="W150" s="165"/>
      <c r="X150" s="165"/>
      <c r="Y150" s="165"/>
      <c r="Z150" s="165"/>
      <c r="AA150" s="165"/>
      <c r="AB150" s="165"/>
      <c r="AC150" s="165"/>
    </row>
    <row r="151">
      <c r="A151" s="165"/>
      <c r="B151" s="165"/>
      <c r="C151" s="165"/>
      <c r="D151" s="165"/>
      <c r="E151" s="166"/>
      <c r="F151" s="165"/>
      <c r="G151" s="167"/>
      <c r="H151" s="166"/>
      <c r="I151" s="167"/>
      <c r="J151" s="168"/>
      <c r="K151" s="169"/>
      <c r="L151" s="165"/>
      <c r="M151" s="165"/>
      <c r="N151" s="165"/>
      <c r="O151" s="165"/>
      <c r="P151" s="165"/>
      <c r="Q151" s="165"/>
      <c r="R151" s="165"/>
      <c r="S151" s="165"/>
      <c r="T151" s="165"/>
      <c r="U151" s="165"/>
      <c r="V151" s="165"/>
      <c r="W151" s="165"/>
      <c r="X151" s="165"/>
      <c r="Y151" s="165"/>
      <c r="Z151" s="165"/>
      <c r="AA151" s="165"/>
      <c r="AB151" s="165"/>
      <c r="AC151" s="165"/>
    </row>
    <row r="152">
      <c r="A152" s="165"/>
      <c r="B152" s="165"/>
      <c r="C152" s="165"/>
      <c r="D152" s="165"/>
      <c r="E152" s="166"/>
      <c r="F152" s="165"/>
      <c r="G152" s="167"/>
      <c r="H152" s="166"/>
      <c r="I152" s="167"/>
      <c r="J152" s="168"/>
      <c r="K152" s="169"/>
      <c r="L152" s="165"/>
      <c r="M152" s="165"/>
      <c r="N152" s="165"/>
      <c r="O152" s="165"/>
      <c r="P152" s="165"/>
      <c r="Q152" s="165"/>
      <c r="R152" s="165"/>
      <c r="S152" s="165"/>
      <c r="T152" s="165"/>
      <c r="U152" s="165"/>
      <c r="V152" s="165"/>
      <c r="W152" s="165"/>
      <c r="X152" s="165"/>
      <c r="Y152" s="165"/>
      <c r="Z152" s="165"/>
      <c r="AA152" s="165"/>
      <c r="AB152" s="165"/>
      <c r="AC152" s="165"/>
    </row>
    <row r="153">
      <c r="A153" s="165"/>
      <c r="B153" s="165"/>
      <c r="C153" s="165"/>
      <c r="D153" s="165"/>
      <c r="E153" s="166"/>
      <c r="F153" s="165"/>
      <c r="G153" s="167"/>
      <c r="H153" s="166"/>
      <c r="I153" s="167"/>
      <c r="J153" s="168"/>
      <c r="K153" s="169"/>
      <c r="L153" s="165"/>
      <c r="M153" s="165"/>
      <c r="N153" s="165"/>
      <c r="O153" s="165"/>
      <c r="P153" s="165"/>
      <c r="Q153" s="165"/>
      <c r="R153" s="165"/>
      <c r="S153" s="165"/>
      <c r="T153" s="165"/>
      <c r="U153" s="165"/>
      <c r="V153" s="165"/>
      <c r="W153" s="165"/>
      <c r="X153" s="165"/>
      <c r="Y153" s="165"/>
      <c r="Z153" s="165"/>
      <c r="AA153" s="165"/>
      <c r="AB153" s="165"/>
      <c r="AC153" s="165"/>
    </row>
    <row r="154">
      <c r="A154" s="165"/>
      <c r="B154" s="165"/>
      <c r="C154" s="165"/>
      <c r="D154" s="165"/>
      <c r="E154" s="166"/>
      <c r="F154" s="165"/>
      <c r="G154" s="167"/>
      <c r="H154" s="166"/>
      <c r="I154" s="167"/>
      <c r="J154" s="168"/>
      <c r="K154" s="169"/>
      <c r="L154" s="165"/>
      <c r="M154" s="165"/>
      <c r="N154" s="165"/>
      <c r="O154" s="165"/>
      <c r="P154" s="165"/>
      <c r="Q154" s="165"/>
      <c r="R154" s="165"/>
      <c r="S154" s="165"/>
      <c r="T154" s="165"/>
      <c r="U154" s="165"/>
      <c r="V154" s="165"/>
      <c r="W154" s="165"/>
      <c r="X154" s="165"/>
      <c r="Y154" s="165"/>
      <c r="Z154" s="165"/>
      <c r="AA154" s="165"/>
      <c r="AB154" s="165"/>
      <c r="AC154" s="165"/>
    </row>
    <row r="155">
      <c r="A155" s="165"/>
      <c r="B155" s="165"/>
      <c r="C155" s="165"/>
      <c r="D155" s="165"/>
      <c r="E155" s="166"/>
      <c r="F155" s="165"/>
      <c r="G155" s="167"/>
      <c r="H155" s="166"/>
      <c r="I155" s="167"/>
      <c r="J155" s="168"/>
      <c r="K155" s="169"/>
      <c r="L155" s="165"/>
      <c r="M155" s="165"/>
      <c r="N155" s="165"/>
      <c r="O155" s="165"/>
      <c r="P155" s="165"/>
      <c r="Q155" s="165"/>
      <c r="R155" s="165"/>
      <c r="S155" s="165"/>
      <c r="T155" s="165"/>
      <c r="U155" s="165"/>
      <c r="V155" s="165"/>
      <c r="W155" s="165"/>
      <c r="X155" s="165"/>
      <c r="Y155" s="165"/>
      <c r="Z155" s="165"/>
      <c r="AA155" s="165"/>
      <c r="AB155" s="165"/>
      <c r="AC155" s="165"/>
    </row>
    <row r="156">
      <c r="A156" s="165"/>
      <c r="B156" s="165"/>
      <c r="C156" s="165"/>
      <c r="D156" s="165"/>
      <c r="E156" s="166"/>
      <c r="F156" s="165"/>
      <c r="G156" s="167"/>
      <c r="H156" s="166"/>
      <c r="I156" s="167"/>
      <c r="J156" s="168"/>
      <c r="K156" s="169"/>
      <c r="L156" s="165"/>
      <c r="M156" s="165"/>
      <c r="N156" s="165"/>
      <c r="O156" s="165"/>
      <c r="P156" s="165"/>
      <c r="Q156" s="165"/>
      <c r="R156" s="165"/>
      <c r="S156" s="165"/>
      <c r="T156" s="165"/>
      <c r="U156" s="165"/>
      <c r="V156" s="165"/>
      <c r="W156" s="165"/>
      <c r="X156" s="165"/>
      <c r="Y156" s="165"/>
      <c r="Z156" s="165"/>
      <c r="AA156" s="165"/>
      <c r="AB156" s="165"/>
      <c r="AC156" s="165"/>
    </row>
    <row r="157">
      <c r="A157" s="165"/>
      <c r="B157" s="165"/>
      <c r="C157" s="165"/>
      <c r="D157" s="165"/>
      <c r="E157" s="166"/>
      <c r="F157" s="165"/>
      <c r="G157" s="167"/>
      <c r="H157" s="166"/>
      <c r="I157" s="167"/>
      <c r="J157" s="168"/>
      <c r="K157" s="169"/>
      <c r="L157" s="165"/>
      <c r="M157" s="165"/>
      <c r="N157" s="165"/>
      <c r="O157" s="165"/>
      <c r="P157" s="165"/>
      <c r="Q157" s="165"/>
      <c r="R157" s="165"/>
      <c r="S157" s="165"/>
      <c r="T157" s="165"/>
      <c r="U157" s="165"/>
      <c r="V157" s="165"/>
      <c r="W157" s="165"/>
      <c r="X157" s="165"/>
      <c r="Y157" s="165"/>
      <c r="Z157" s="165"/>
      <c r="AA157" s="165"/>
      <c r="AB157" s="165"/>
      <c r="AC157" s="165"/>
    </row>
    <row r="158">
      <c r="A158" s="165"/>
      <c r="B158" s="165"/>
      <c r="C158" s="165"/>
      <c r="D158" s="165"/>
      <c r="E158" s="166"/>
      <c r="F158" s="165"/>
      <c r="G158" s="167"/>
      <c r="H158" s="166"/>
      <c r="I158" s="167"/>
      <c r="J158" s="168"/>
      <c r="K158" s="169"/>
      <c r="L158" s="165"/>
      <c r="M158" s="165"/>
      <c r="N158" s="165"/>
      <c r="O158" s="165"/>
      <c r="P158" s="165"/>
      <c r="Q158" s="165"/>
      <c r="R158" s="165"/>
      <c r="S158" s="165"/>
      <c r="T158" s="165"/>
      <c r="U158" s="165"/>
      <c r="V158" s="165"/>
      <c r="W158" s="165"/>
      <c r="X158" s="165"/>
      <c r="Y158" s="165"/>
      <c r="Z158" s="165"/>
      <c r="AA158" s="165"/>
      <c r="AB158" s="165"/>
      <c r="AC158" s="165"/>
    </row>
    <row r="159">
      <c r="A159" s="165"/>
      <c r="B159" s="165"/>
      <c r="C159" s="165"/>
      <c r="D159" s="165"/>
      <c r="E159" s="166"/>
      <c r="F159" s="165"/>
      <c r="G159" s="167"/>
      <c r="H159" s="166"/>
      <c r="I159" s="167"/>
      <c r="J159" s="168"/>
      <c r="K159" s="169"/>
      <c r="L159" s="165"/>
      <c r="M159" s="165"/>
      <c r="N159" s="165"/>
      <c r="O159" s="165"/>
      <c r="P159" s="165"/>
      <c r="Q159" s="165"/>
      <c r="R159" s="165"/>
      <c r="S159" s="165"/>
      <c r="T159" s="165"/>
      <c r="U159" s="165"/>
      <c r="V159" s="165"/>
      <c r="W159" s="165"/>
      <c r="X159" s="165"/>
      <c r="Y159" s="165"/>
      <c r="Z159" s="165"/>
      <c r="AA159" s="165"/>
      <c r="AB159" s="165"/>
      <c r="AC159" s="165"/>
    </row>
    <row r="160">
      <c r="A160" s="165"/>
      <c r="B160" s="165"/>
      <c r="C160" s="165"/>
      <c r="D160" s="165"/>
      <c r="E160" s="166"/>
      <c r="F160" s="165"/>
      <c r="G160" s="167"/>
      <c r="H160" s="166"/>
      <c r="I160" s="167"/>
      <c r="J160" s="168"/>
      <c r="K160" s="169"/>
      <c r="L160" s="165"/>
      <c r="M160" s="165"/>
      <c r="N160" s="165"/>
      <c r="O160" s="165"/>
      <c r="P160" s="165"/>
      <c r="Q160" s="165"/>
      <c r="R160" s="165"/>
      <c r="S160" s="165"/>
      <c r="T160" s="165"/>
      <c r="U160" s="165"/>
      <c r="V160" s="165"/>
      <c r="W160" s="165"/>
      <c r="X160" s="165"/>
      <c r="Y160" s="165"/>
      <c r="Z160" s="165"/>
      <c r="AA160" s="165"/>
      <c r="AB160" s="165"/>
      <c r="AC160" s="165"/>
    </row>
    <row r="161">
      <c r="A161" s="165"/>
      <c r="B161" s="165"/>
      <c r="C161" s="165"/>
      <c r="D161" s="165"/>
      <c r="E161" s="166"/>
      <c r="F161" s="165"/>
      <c r="G161" s="167"/>
      <c r="H161" s="166"/>
      <c r="I161" s="167"/>
      <c r="J161" s="168"/>
      <c r="K161" s="169"/>
      <c r="L161" s="165"/>
      <c r="M161" s="165"/>
      <c r="N161" s="165"/>
      <c r="O161" s="165"/>
      <c r="P161" s="165"/>
      <c r="Q161" s="165"/>
      <c r="R161" s="165"/>
      <c r="S161" s="165"/>
      <c r="T161" s="165"/>
      <c r="U161" s="165"/>
      <c r="V161" s="165"/>
      <c r="W161" s="165"/>
      <c r="X161" s="165"/>
      <c r="Y161" s="165"/>
      <c r="Z161" s="165"/>
      <c r="AA161" s="165"/>
      <c r="AB161" s="165"/>
      <c r="AC161" s="165"/>
    </row>
    <row r="162">
      <c r="A162" s="165"/>
      <c r="B162" s="165"/>
      <c r="C162" s="165"/>
      <c r="D162" s="165"/>
      <c r="E162" s="166"/>
      <c r="F162" s="165"/>
      <c r="G162" s="167"/>
      <c r="H162" s="166"/>
      <c r="I162" s="167"/>
      <c r="J162" s="168"/>
      <c r="K162" s="169"/>
      <c r="L162" s="165"/>
      <c r="M162" s="165"/>
      <c r="N162" s="165"/>
      <c r="O162" s="165"/>
      <c r="P162" s="165"/>
      <c r="Q162" s="165"/>
      <c r="R162" s="165"/>
      <c r="S162" s="165"/>
      <c r="T162" s="165"/>
      <c r="U162" s="165"/>
      <c r="V162" s="165"/>
      <c r="W162" s="165"/>
      <c r="X162" s="165"/>
      <c r="Y162" s="165"/>
      <c r="Z162" s="165"/>
      <c r="AA162" s="165"/>
      <c r="AB162" s="165"/>
      <c r="AC162" s="165"/>
    </row>
    <row r="163">
      <c r="A163" s="165"/>
      <c r="B163" s="165"/>
      <c r="C163" s="165"/>
      <c r="D163" s="165"/>
      <c r="E163" s="166"/>
      <c r="F163" s="165"/>
      <c r="G163" s="167"/>
      <c r="H163" s="166"/>
      <c r="I163" s="167"/>
      <c r="J163" s="168"/>
      <c r="K163" s="169"/>
      <c r="L163" s="165"/>
      <c r="M163" s="165"/>
      <c r="N163" s="165"/>
      <c r="O163" s="165"/>
      <c r="P163" s="165"/>
      <c r="Q163" s="165"/>
      <c r="R163" s="165"/>
      <c r="S163" s="165"/>
      <c r="T163" s="165"/>
      <c r="U163" s="165"/>
      <c r="V163" s="165"/>
      <c r="W163" s="165"/>
      <c r="X163" s="165"/>
      <c r="Y163" s="165"/>
      <c r="Z163" s="165"/>
      <c r="AA163" s="165"/>
      <c r="AB163" s="165"/>
      <c r="AC163" s="165"/>
    </row>
    <row r="164">
      <c r="A164" s="165"/>
      <c r="B164" s="165"/>
      <c r="C164" s="165"/>
      <c r="D164" s="165"/>
      <c r="E164" s="166"/>
      <c r="F164" s="165"/>
      <c r="G164" s="167"/>
      <c r="H164" s="166"/>
      <c r="I164" s="167"/>
      <c r="J164" s="168"/>
      <c r="K164" s="169"/>
      <c r="L164" s="165"/>
      <c r="M164" s="165"/>
      <c r="N164" s="165"/>
      <c r="O164" s="165"/>
      <c r="P164" s="165"/>
      <c r="Q164" s="165"/>
      <c r="R164" s="165"/>
      <c r="S164" s="165"/>
      <c r="T164" s="165"/>
      <c r="U164" s="165"/>
      <c r="V164" s="165"/>
      <c r="W164" s="165"/>
      <c r="X164" s="165"/>
      <c r="Y164" s="165"/>
      <c r="Z164" s="165"/>
      <c r="AA164" s="165"/>
      <c r="AB164" s="165"/>
      <c r="AC164" s="165"/>
    </row>
    <row r="165">
      <c r="A165" s="165"/>
      <c r="B165" s="165"/>
      <c r="C165" s="165"/>
      <c r="D165" s="165"/>
      <c r="E165" s="166"/>
      <c r="F165" s="165"/>
      <c r="G165" s="167"/>
      <c r="H165" s="166"/>
      <c r="I165" s="167"/>
      <c r="J165" s="168"/>
      <c r="K165" s="169"/>
      <c r="L165" s="165"/>
      <c r="M165" s="165"/>
      <c r="N165" s="165"/>
      <c r="O165" s="165"/>
      <c r="P165" s="165"/>
      <c r="Q165" s="165"/>
      <c r="R165" s="165"/>
      <c r="S165" s="165"/>
      <c r="T165" s="165"/>
      <c r="U165" s="165"/>
      <c r="V165" s="165"/>
      <c r="W165" s="165"/>
      <c r="X165" s="165"/>
      <c r="Y165" s="165"/>
      <c r="Z165" s="165"/>
      <c r="AA165" s="165"/>
      <c r="AB165" s="165"/>
      <c r="AC165" s="165"/>
    </row>
    <row r="166">
      <c r="A166" s="165"/>
      <c r="B166" s="165"/>
      <c r="C166" s="165"/>
      <c r="D166" s="165"/>
      <c r="E166" s="166"/>
      <c r="F166" s="165"/>
      <c r="G166" s="167"/>
      <c r="H166" s="166"/>
      <c r="I166" s="167"/>
      <c r="J166" s="168"/>
      <c r="K166" s="169"/>
      <c r="L166" s="165"/>
      <c r="M166" s="165"/>
      <c r="N166" s="165"/>
      <c r="O166" s="165"/>
      <c r="P166" s="165"/>
      <c r="Q166" s="165"/>
      <c r="R166" s="165"/>
      <c r="S166" s="165"/>
      <c r="T166" s="165"/>
      <c r="U166" s="165"/>
      <c r="V166" s="165"/>
      <c r="W166" s="165"/>
      <c r="X166" s="165"/>
      <c r="Y166" s="165"/>
      <c r="Z166" s="165"/>
      <c r="AA166" s="165"/>
      <c r="AB166" s="165"/>
      <c r="AC166" s="165"/>
    </row>
    <row r="167">
      <c r="A167" s="165"/>
      <c r="B167" s="165"/>
      <c r="C167" s="165"/>
      <c r="D167" s="165"/>
      <c r="E167" s="166"/>
      <c r="F167" s="165"/>
      <c r="G167" s="167"/>
      <c r="H167" s="166"/>
      <c r="I167" s="167"/>
      <c r="J167" s="168"/>
      <c r="K167" s="169"/>
      <c r="L167" s="165"/>
      <c r="M167" s="165"/>
      <c r="N167" s="165"/>
      <c r="O167" s="165"/>
      <c r="P167" s="165"/>
      <c r="Q167" s="165"/>
      <c r="R167" s="165"/>
      <c r="S167" s="165"/>
      <c r="T167" s="165"/>
      <c r="U167" s="165"/>
      <c r="V167" s="165"/>
      <c r="W167" s="165"/>
      <c r="X167" s="165"/>
      <c r="Y167" s="165"/>
      <c r="Z167" s="165"/>
      <c r="AA167" s="165"/>
      <c r="AB167" s="165"/>
      <c r="AC167" s="165"/>
    </row>
    <row r="168">
      <c r="A168" s="165"/>
      <c r="B168" s="165"/>
      <c r="C168" s="165"/>
      <c r="D168" s="165"/>
      <c r="E168" s="166"/>
      <c r="F168" s="165"/>
      <c r="G168" s="167"/>
      <c r="H168" s="166"/>
      <c r="I168" s="167"/>
      <c r="J168" s="168"/>
      <c r="K168" s="169"/>
      <c r="L168" s="165"/>
      <c r="M168" s="165"/>
      <c r="N168" s="165"/>
      <c r="O168" s="165"/>
      <c r="P168" s="165"/>
      <c r="Q168" s="165"/>
      <c r="R168" s="165"/>
      <c r="S168" s="165"/>
      <c r="T168" s="165"/>
      <c r="U168" s="165"/>
      <c r="V168" s="165"/>
      <c r="W168" s="165"/>
      <c r="X168" s="165"/>
      <c r="Y168" s="165"/>
      <c r="Z168" s="165"/>
      <c r="AA168" s="165"/>
      <c r="AB168" s="165"/>
      <c r="AC168" s="165"/>
    </row>
    <row r="169">
      <c r="A169" s="165"/>
      <c r="B169" s="165"/>
      <c r="C169" s="165"/>
      <c r="D169" s="165"/>
      <c r="E169" s="166"/>
      <c r="F169" s="165"/>
      <c r="G169" s="167"/>
      <c r="H169" s="166"/>
      <c r="I169" s="167"/>
      <c r="J169" s="168"/>
      <c r="K169" s="169"/>
      <c r="L169" s="165"/>
      <c r="M169" s="165"/>
      <c r="N169" s="165"/>
      <c r="O169" s="165"/>
      <c r="P169" s="165"/>
      <c r="Q169" s="165"/>
      <c r="R169" s="165"/>
      <c r="S169" s="165"/>
      <c r="T169" s="165"/>
      <c r="U169" s="165"/>
      <c r="V169" s="165"/>
      <c r="W169" s="165"/>
      <c r="X169" s="165"/>
      <c r="Y169" s="165"/>
      <c r="Z169" s="165"/>
      <c r="AA169" s="165"/>
      <c r="AB169" s="165"/>
      <c r="AC169" s="165"/>
    </row>
    <row r="170">
      <c r="A170" s="165"/>
      <c r="B170" s="165"/>
      <c r="C170" s="165"/>
      <c r="D170" s="165"/>
      <c r="E170" s="166"/>
      <c r="F170" s="165"/>
      <c r="G170" s="167"/>
      <c r="H170" s="166"/>
      <c r="I170" s="167"/>
      <c r="J170" s="168"/>
      <c r="K170" s="169"/>
      <c r="L170" s="165"/>
      <c r="M170" s="165"/>
      <c r="N170" s="165"/>
      <c r="O170" s="165"/>
      <c r="P170" s="165"/>
      <c r="Q170" s="165"/>
      <c r="R170" s="165"/>
      <c r="S170" s="165"/>
      <c r="T170" s="165"/>
      <c r="U170" s="165"/>
      <c r="V170" s="165"/>
      <c r="W170" s="165"/>
      <c r="X170" s="165"/>
      <c r="Y170" s="165"/>
      <c r="Z170" s="165"/>
      <c r="AA170" s="165"/>
      <c r="AB170" s="165"/>
      <c r="AC170" s="165"/>
    </row>
    <row r="171">
      <c r="A171" s="165"/>
      <c r="B171" s="165"/>
      <c r="C171" s="165"/>
      <c r="D171" s="165"/>
      <c r="E171" s="166"/>
      <c r="F171" s="165"/>
      <c r="G171" s="167"/>
      <c r="H171" s="166"/>
      <c r="I171" s="167"/>
      <c r="J171" s="168"/>
      <c r="K171" s="169"/>
      <c r="L171" s="165"/>
      <c r="M171" s="165"/>
      <c r="N171" s="165"/>
      <c r="O171" s="165"/>
      <c r="P171" s="165"/>
      <c r="Q171" s="165"/>
      <c r="R171" s="165"/>
      <c r="S171" s="165"/>
      <c r="T171" s="165"/>
      <c r="U171" s="165"/>
      <c r="V171" s="165"/>
      <c r="W171" s="165"/>
      <c r="X171" s="165"/>
      <c r="Y171" s="165"/>
      <c r="Z171" s="165"/>
      <c r="AA171" s="165"/>
      <c r="AB171" s="165"/>
      <c r="AC171" s="165"/>
    </row>
    <row r="172">
      <c r="A172" s="165"/>
      <c r="B172" s="165"/>
      <c r="C172" s="165"/>
      <c r="D172" s="165"/>
      <c r="E172" s="166"/>
      <c r="F172" s="165"/>
      <c r="G172" s="167"/>
      <c r="H172" s="166"/>
      <c r="I172" s="167"/>
      <c r="J172" s="168"/>
      <c r="K172" s="169"/>
      <c r="L172" s="165"/>
      <c r="M172" s="165"/>
      <c r="N172" s="165"/>
      <c r="O172" s="165"/>
      <c r="P172" s="165"/>
      <c r="Q172" s="165"/>
      <c r="R172" s="165"/>
      <c r="S172" s="165"/>
      <c r="T172" s="165"/>
      <c r="U172" s="165"/>
      <c r="V172" s="165"/>
      <c r="W172" s="165"/>
      <c r="X172" s="165"/>
      <c r="Y172" s="165"/>
      <c r="Z172" s="165"/>
      <c r="AA172" s="165"/>
      <c r="AB172" s="165"/>
      <c r="AC172" s="165"/>
    </row>
    <row r="173">
      <c r="A173" s="165"/>
      <c r="B173" s="165"/>
      <c r="C173" s="165"/>
      <c r="D173" s="165"/>
      <c r="E173" s="166"/>
      <c r="F173" s="165"/>
      <c r="G173" s="167"/>
      <c r="H173" s="166"/>
      <c r="I173" s="167"/>
      <c r="J173" s="168"/>
      <c r="K173" s="169"/>
      <c r="L173" s="165"/>
      <c r="M173" s="165"/>
      <c r="N173" s="165"/>
      <c r="O173" s="165"/>
      <c r="P173" s="165"/>
      <c r="Q173" s="165"/>
      <c r="R173" s="165"/>
      <c r="S173" s="165"/>
      <c r="T173" s="165"/>
      <c r="U173" s="165"/>
      <c r="V173" s="165"/>
      <c r="W173" s="165"/>
      <c r="X173" s="165"/>
      <c r="Y173" s="165"/>
      <c r="Z173" s="165"/>
      <c r="AA173" s="165"/>
      <c r="AB173" s="165"/>
      <c r="AC173" s="165"/>
    </row>
    <row r="174">
      <c r="A174" s="165"/>
      <c r="B174" s="165"/>
      <c r="C174" s="165"/>
      <c r="D174" s="165"/>
      <c r="E174" s="166"/>
      <c r="F174" s="165"/>
      <c r="G174" s="167"/>
      <c r="H174" s="166"/>
      <c r="I174" s="167"/>
      <c r="J174" s="168"/>
      <c r="K174" s="169"/>
      <c r="L174" s="165"/>
      <c r="M174" s="165"/>
      <c r="N174" s="165"/>
      <c r="O174" s="165"/>
      <c r="P174" s="165"/>
      <c r="Q174" s="165"/>
      <c r="R174" s="165"/>
      <c r="S174" s="165"/>
      <c r="T174" s="165"/>
      <c r="U174" s="165"/>
      <c r="V174" s="165"/>
      <c r="W174" s="165"/>
      <c r="X174" s="165"/>
      <c r="Y174" s="165"/>
      <c r="Z174" s="165"/>
      <c r="AA174" s="165"/>
      <c r="AB174" s="165"/>
      <c r="AC174" s="165"/>
    </row>
    <row r="175">
      <c r="A175" s="165"/>
      <c r="B175" s="165"/>
      <c r="C175" s="165"/>
      <c r="D175" s="165"/>
      <c r="E175" s="166"/>
      <c r="F175" s="165"/>
      <c r="G175" s="167"/>
      <c r="H175" s="166"/>
      <c r="I175" s="167"/>
      <c r="J175" s="168"/>
      <c r="K175" s="169"/>
      <c r="L175" s="165"/>
      <c r="M175" s="165"/>
      <c r="N175" s="165"/>
      <c r="O175" s="165"/>
      <c r="P175" s="165"/>
      <c r="Q175" s="165"/>
      <c r="R175" s="165"/>
      <c r="S175" s="165"/>
      <c r="T175" s="165"/>
      <c r="U175" s="165"/>
      <c r="V175" s="165"/>
      <c r="W175" s="165"/>
      <c r="X175" s="165"/>
      <c r="Y175" s="165"/>
      <c r="Z175" s="165"/>
      <c r="AA175" s="165"/>
      <c r="AB175" s="165"/>
      <c r="AC175" s="165"/>
    </row>
    <row r="176">
      <c r="A176" s="165"/>
      <c r="B176" s="165"/>
      <c r="C176" s="165"/>
      <c r="D176" s="165"/>
      <c r="E176" s="166"/>
      <c r="F176" s="165"/>
      <c r="G176" s="167"/>
      <c r="H176" s="166"/>
      <c r="I176" s="167"/>
      <c r="J176" s="168"/>
      <c r="K176" s="169"/>
      <c r="L176" s="165"/>
      <c r="M176" s="165"/>
      <c r="N176" s="165"/>
      <c r="O176" s="165"/>
      <c r="P176" s="165"/>
      <c r="Q176" s="165"/>
      <c r="R176" s="165"/>
      <c r="S176" s="165"/>
      <c r="T176" s="165"/>
      <c r="U176" s="165"/>
      <c r="V176" s="165"/>
      <c r="W176" s="165"/>
      <c r="X176" s="165"/>
      <c r="Y176" s="165"/>
      <c r="Z176" s="165"/>
      <c r="AA176" s="165"/>
      <c r="AB176" s="165"/>
      <c r="AC176" s="165"/>
    </row>
    <row r="177">
      <c r="A177" s="165"/>
      <c r="B177" s="165"/>
      <c r="C177" s="165"/>
      <c r="D177" s="165"/>
      <c r="E177" s="166"/>
      <c r="F177" s="165"/>
      <c r="G177" s="167"/>
      <c r="H177" s="166"/>
      <c r="I177" s="167"/>
      <c r="J177" s="168"/>
      <c r="K177" s="169"/>
      <c r="L177" s="165"/>
      <c r="M177" s="165"/>
      <c r="N177" s="165"/>
      <c r="O177" s="165"/>
      <c r="P177" s="165"/>
      <c r="Q177" s="165"/>
      <c r="R177" s="165"/>
      <c r="S177" s="165"/>
      <c r="T177" s="165"/>
      <c r="U177" s="165"/>
      <c r="V177" s="165"/>
      <c r="W177" s="165"/>
      <c r="X177" s="165"/>
      <c r="Y177" s="165"/>
      <c r="Z177" s="165"/>
      <c r="AA177" s="165"/>
      <c r="AB177" s="165"/>
      <c r="AC177" s="165"/>
    </row>
    <row r="178">
      <c r="A178" s="165"/>
      <c r="B178" s="165"/>
      <c r="C178" s="165"/>
      <c r="D178" s="165"/>
      <c r="E178" s="166"/>
      <c r="F178" s="165"/>
      <c r="G178" s="167"/>
      <c r="H178" s="166"/>
      <c r="I178" s="167"/>
      <c r="J178" s="168"/>
      <c r="K178" s="169"/>
      <c r="L178" s="165"/>
      <c r="M178" s="165"/>
      <c r="N178" s="165"/>
      <c r="O178" s="165"/>
      <c r="P178" s="165"/>
      <c r="Q178" s="165"/>
      <c r="R178" s="165"/>
      <c r="S178" s="165"/>
      <c r="T178" s="165"/>
      <c r="U178" s="165"/>
      <c r="V178" s="165"/>
      <c r="W178" s="165"/>
      <c r="X178" s="165"/>
      <c r="Y178" s="165"/>
      <c r="Z178" s="165"/>
      <c r="AA178" s="165"/>
      <c r="AB178" s="165"/>
      <c r="AC178" s="165"/>
    </row>
    <row r="179">
      <c r="A179" s="165"/>
      <c r="B179" s="165"/>
      <c r="C179" s="165"/>
      <c r="D179" s="165"/>
      <c r="E179" s="166"/>
      <c r="F179" s="165"/>
      <c r="G179" s="167"/>
      <c r="H179" s="166"/>
      <c r="I179" s="167"/>
      <c r="J179" s="168"/>
      <c r="K179" s="169"/>
      <c r="L179" s="165"/>
      <c r="M179" s="165"/>
      <c r="N179" s="165"/>
      <c r="O179" s="165"/>
      <c r="P179" s="165"/>
      <c r="Q179" s="165"/>
      <c r="R179" s="165"/>
      <c r="S179" s="165"/>
      <c r="T179" s="165"/>
      <c r="U179" s="165"/>
      <c r="V179" s="165"/>
      <c r="W179" s="165"/>
      <c r="X179" s="165"/>
      <c r="Y179" s="165"/>
      <c r="Z179" s="165"/>
      <c r="AA179" s="165"/>
      <c r="AB179" s="165"/>
      <c r="AC179" s="165"/>
    </row>
    <row r="180">
      <c r="A180" s="165"/>
      <c r="B180" s="165"/>
      <c r="C180" s="165"/>
      <c r="D180" s="165"/>
      <c r="E180" s="166"/>
      <c r="F180" s="165"/>
      <c r="G180" s="167"/>
      <c r="H180" s="166"/>
      <c r="I180" s="167"/>
      <c r="J180" s="168"/>
      <c r="K180" s="169"/>
      <c r="L180" s="165"/>
      <c r="M180" s="165"/>
      <c r="N180" s="165"/>
      <c r="O180" s="165"/>
      <c r="P180" s="165"/>
      <c r="Q180" s="165"/>
      <c r="R180" s="165"/>
      <c r="S180" s="165"/>
      <c r="T180" s="165"/>
      <c r="U180" s="165"/>
      <c r="V180" s="165"/>
      <c r="W180" s="165"/>
      <c r="X180" s="165"/>
      <c r="Y180" s="165"/>
      <c r="Z180" s="165"/>
      <c r="AA180" s="165"/>
      <c r="AB180" s="165"/>
      <c r="AC180" s="165"/>
    </row>
    <row r="181">
      <c r="A181" s="165"/>
      <c r="B181" s="165"/>
      <c r="C181" s="165"/>
      <c r="D181" s="165"/>
      <c r="E181" s="166"/>
      <c r="F181" s="165"/>
      <c r="G181" s="167"/>
      <c r="H181" s="166"/>
      <c r="I181" s="167"/>
      <c r="J181" s="168"/>
      <c r="K181" s="169"/>
      <c r="L181" s="165"/>
      <c r="M181" s="165"/>
      <c r="N181" s="165"/>
      <c r="O181" s="165"/>
      <c r="P181" s="165"/>
      <c r="Q181" s="165"/>
      <c r="R181" s="165"/>
      <c r="S181" s="165"/>
      <c r="T181" s="165"/>
      <c r="U181" s="165"/>
      <c r="V181" s="165"/>
      <c r="W181" s="165"/>
      <c r="X181" s="165"/>
      <c r="Y181" s="165"/>
      <c r="Z181" s="165"/>
      <c r="AA181" s="165"/>
      <c r="AB181" s="165"/>
      <c r="AC181" s="165"/>
    </row>
    <row r="182">
      <c r="A182" s="165"/>
      <c r="B182" s="165"/>
      <c r="C182" s="165"/>
      <c r="D182" s="165"/>
      <c r="E182" s="166"/>
      <c r="F182" s="165"/>
      <c r="G182" s="167"/>
      <c r="H182" s="166"/>
      <c r="I182" s="167"/>
      <c r="J182" s="168"/>
      <c r="K182" s="169"/>
      <c r="L182" s="165"/>
      <c r="M182" s="165"/>
      <c r="N182" s="165"/>
      <c r="O182" s="165"/>
      <c r="P182" s="165"/>
      <c r="Q182" s="165"/>
      <c r="R182" s="165"/>
      <c r="S182" s="165"/>
      <c r="T182" s="165"/>
      <c r="U182" s="165"/>
      <c r="V182" s="165"/>
      <c r="W182" s="165"/>
      <c r="X182" s="165"/>
      <c r="Y182" s="165"/>
      <c r="Z182" s="165"/>
      <c r="AA182" s="165"/>
      <c r="AB182" s="165"/>
      <c r="AC182" s="165"/>
    </row>
    <row r="183">
      <c r="A183" s="165"/>
      <c r="B183" s="165"/>
      <c r="C183" s="165"/>
      <c r="D183" s="165"/>
      <c r="E183" s="166"/>
      <c r="F183" s="165"/>
      <c r="G183" s="167"/>
      <c r="H183" s="166"/>
      <c r="I183" s="167"/>
      <c r="J183" s="168"/>
      <c r="K183" s="169"/>
      <c r="L183" s="165"/>
      <c r="M183" s="165"/>
      <c r="N183" s="165"/>
      <c r="O183" s="165"/>
      <c r="P183" s="165"/>
      <c r="Q183" s="165"/>
      <c r="R183" s="165"/>
      <c r="S183" s="165"/>
      <c r="T183" s="165"/>
      <c r="U183" s="165"/>
      <c r="V183" s="165"/>
      <c r="W183" s="165"/>
      <c r="X183" s="165"/>
      <c r="Y183" s="165"/>
      <c r="Z183" s="165"/>
      <c r="AA183" s="165"/>
      <c r="AB183" s="165"/>
      <c r="AC183" s="165"/>
    </row>
    <row r="184">
      <c r="A184" s="165"/>
      <c r="B184" s="165"/>
      <c r="C184" s="165"/>
      <c r="D184" s="165"/>
      <c r="E184" s="166"/>
      <c r="F184" s="165"/>
      <c r="G184" s="167"/>
      <c r="H184" s="166"/>
      <c r="I184" s="167"/>
      <c r="J184" s="168"/>
      <c r="K184" s="169"/>
      <c r="L184" s="165"/>
      <c r="M184" s="165"/>
      <c r="N184" s="165"/>
      <c r="O184" s="165"/>
      <c r="P184" s="165"/>
      <c r="Q184" s="165"/>
      <c r="R184" s="165"/>
      <c r="S184" s="165"/>
      <c r="T184" s="165"/>
      <c r="U184" s="165"/>
      <c r="V184" s="165"/>
      <c r="W184" s="165"/>
      <c r="X184" s="165"/>
      <c r="Y184" s="165"/>
      <c r="Z184" s="165"/>
      <c r="AA184" s="165"/>
      <c r="AB184" s="165"/>
      <c r="AC184" s="165"/>
    </row>
    <row r="185">
      <c r="A185" s="165"/>
      <c r="B185" s="165"/>
      <c r="C185" s="165"/>
      <c r="D185" s="165"/>
      <c r="E185" s="166"/>
      <c r="F185" s="165"/>
      <c r="G185" s="167"/>
      <c r="H185" s="166"/>
      <c r="I185" s="167"/>
      <c r="J185" s="168"/>
      <c r="K185" s="169"/>
      <c r="L185" s="165"/>
      <c r="M185" s="165"/>
      <c r="N185" s="165"/>
      <c r="O185" s="165"/>
      <c r="P185" s="165"/>
      <c r="Q185" s="165"/>
      <c r="R185" s="165"/>
      <c r="S185" s="165"/>
      <c r="T185" s="165"/>
      <c r="U185" s="165"/>
      <c r="V185" s="165"/>
      <c r="W185" s="165"/>
      <c r="X185" s="165"/>
      <c r="Y185" s="165"/>
      <c r="Z185" s="165"/>
      <c r="AA185" s="165"/>
      <c r="AB185" s="165"/>
      <c r="AC185" s="165"/>
    </row>
    <row r="186">
      <c r="A186" s="165"/>
      <c r="B186" s="165"/>
      <c r="C186" s="165"/>
      <c r="D186" s="165"/>
      <c r="E186" s="166"/>
      <c r="F186" s="165"/>
      <c r="G186" s="167"/>
      <c r="H186" s="166"/>
      <c r="I186" s="167"/>
      <c r="J186" s="168"/>
      <c r="K186" s="169"/>
      <c r="L186" s="165"/>
      <c r="M186" s="165"/>
      <c r="N186" s="165"/>
      <c r="O186" s="165"/>
      <c r="P186" s="165"/>
      <c r="Q186" s="165"/>
      <c r="R186" s="165"/>
      <c r="S186" s="165"/>
      <c r="T186" s="165"/>
      <c r="U186" s="165"/>
      <c r="V186" s="165"/>
      <c r="W186" s="165"/>
      <c r="X186" s="165"/>
      <c r="Y186" s="165"/>
      <c r="Z186" s="165"/>
      <c r="AA186" s="165"/>
      <c r="AB186" s="165"/>
      <c r="AC186" s="165"/>
    </row>
    <row r="187">
      <c r="A187" s="165"/>
      <c r="B187" s="165"/>
      <c r="C187" s="165"/>
      <c r="D187" s="165"/>
      <c r="E187" s="166"/>
      <c r="F187" s="165"/>
      <c r="G187" s="167"/>
      <c r="H187" s="166"/>
      <c r="I187" s="167"/>
      <c r="J187" s="168"/>
      <c r="K187" s="169"/>
      <c r="L187" s="165"/>
      <c r="M187" s="165"/>
      <c r="N187" s="165"/>
      <c r="O187" s="165"/>
      <c r="P187" s="165"/>
      <c r="Q187" s="165"/>
      <c r="R187" s="165"/>
      <c r="S187" s="165"/>
      <c r="T187" s="165"/>
      <c r="U187" s="165"/>
      <c r="V187" s="165"/>
      <c r="W187" s="165"/>
      <c r="X187" s="165"/>
      <c r="Y187" s="165"/>
      <c r="Z187" s="165"/>
      <c r="AA187" s="165"/>
      <c r="AB187" s="165"/>
      <c r="AC187" s="165"/>
    </row>
    <row r="188">
      <c r="A188" s="165"/>
      <c r="B188" s="165"/>
      <c r="C188" s="165"/>
      <c r="D188" s="165"/>
      <c r="E188" s="166"/>
      <c r="F188" s="165"/>
      <c r="G188" s="167"/>
      <c r="H188" s="166"/>
      <c r="I188" s="167"/>
      <c r="J188" s="168"/>
      <c r="K188" s="169"/>
      <c r="L188" s="165"/>
      <c r="M188" s="165"/>
      <c r="N188" s="165"/>
      <c r="O188" s="165"/>
      <c r="P188" s="165"/>
      <c r="Q188" s="165"/>
      <c r="R188" s="165"/>
      <c r="S188" s="165"/>
      <c r="T188" s="165"/>
      <c r="U188" s="165"/>
      <c r="V188" s="165"/>
      <c r="W188" s="165"/>
      <c r="X188" s="165"/>
      <c r="Y188" s="165"/>
      <c r="Z188" s="165"/>
      <c r="AA188" s="165"/>
      <c r="AB188" s="165"/>
      <c r="AC188" s="165"/>
    </row>
    <row r="189">
      <c r="A189" s="165"/>
      <c r="B189" s="165"/>
      <c r="C189" s="165"/>
      <c r="D189" s="165"/>
      <c r="E189" s="166"/>
      <c r="F189" s="165"/>
      <c r="G189" s="167"/>
      <c r="H189" s="166"/>
      <c r="I189" s="167"/>
      <c r="J189" s="168"/>
      <c r="K189" s="169"/>
      <c r="L189" s="165"/>
      <c r="M189" s="165"/>
      <c r="N189" s="165"/>
      <c r="O189" s="165"/>
      <c r="P189" s="165"/>
      <c r="Q189" s="165"/>
      <c r="R189" s="165"/>
      <c r="S189" s="165"/>
      <c r="T189" s="165"/>
      <c r="U189" s="165"/>
      <c r="V189" s="165"/>
      <c r="W189" s="165"/>
      <c r="X189" s="165"/>
      <c r="Y189" s="165"/>
      <c r="Z189" s="165"/>
      <c r="AA189" s="165"/>
      <c r="AB189" s="165"/>
      <c r="AC189" s="165"/>
    </row>
    <row r="190">
      <c r="A190" s="165"/>
      <c r="B190" s="165"/>
      <c r="C190" s="165"/>
      <c r="D190" s="165"/>
      <c r="E190" s="166"/>
      <c r="F190" s="165"/>
      <c r="G190" s="167"/>
      <c r="H190" s="166"/>
      <c r="I190" s="167"/>
      <c r="J190" s="168"/>
      <c r="K190" s="169"/>
      <c r="L190" s="165"/>
      <c r="M190" s="165"/>
      <c r="N190" s="165"/>
      <c r="O190" s="165"/>
      <c r="P190" s="165"/>
      <c r="Q190" s="165"/>
      <c r="R190" s="165"/>
      <c r="S190" s="165"/>
      <c r="T190" s="165"/>
      <c r="U190" s="165"/>
      <c r="V190" s="165"/>
      <c r="W190" s="165"/>
      <c r="X190" s="165"/>
      <c r="Y190" s="165"/>
      <c r="Z190" s="165"/>
      <c r="AA190" s="165"/>
      <c r="AB190" s="165"/>
      <c r="AC190" s="165"/>
    </row>
    <row r="191">
      <c r="A191" s="165"/>
      <c r="B191" s="165"/>
      <c r="C191" s="165"/>
      <c r="D191" s="165"/>
      <c r="E191" s="166"/>
      <c r="F191" s="165"/>
      <c r="G191" s="167"/>
      <c r="H191" s="166"/>
      <c r="I191" s="167"/>
      <c r="J191" s="168"/>
      <c r="K191" s="169"/>
      <c r="L191" s="165"/>
      <c r="M191" s="165"/>
      <c r="N191" s="165"/>
      <c r="O191" s="165"/>
      <c r="P191" s="165"/>
      <c r="Q191" s="165"/>
      <c r="R191" s="165"/>
      <c r="S191" s="165"/>
      <c r="T191" s="165"/>
      <c r="U191" s="165"/>
      <c r="V191" s="165"/>
      <c r="W191" s="165"/>
      <c r="X191" s="165"/>
      <c r="Y191" s="165"/>
      <c r="Z191" s="165"/>
      <c r="AA191" s="165"/>
      <c r="AB191" s="165"/>
      <c r="AC191" s="165"/>
    </row>
    <row r="192">
      <c r="A192" s="165"/>
      <c r="B192" s="165"/>
      <c r="C192" s="165"/>
      <c r="D192" s="165"/>
      <c r="E192" s="166"/>
      <c r="F192" s="165"/>
      <c r="G192" s="167"/>
      <c r="H192" s="166"/>
      <c r="I192" s="167"/>
      <c r="J192" s="168"/>
      <c r="K192" s="169"/>
      <c r="L192" s="165"/>
      <c r="M192" s="165"/>
      <c r="N192" s="165"/>
      <c r="O192" s="165"/>
      <c r="P192" s="165"/>
      <c r="Q192" s="165"/>
      <c r="R192" s="165"/>
      <c r="S192" s="165"/>
      <c r="T192" s="165"/>
      <c r="U192" s="165"/>
      <c r="V192" s="165"/>
      <c r="W192" s="165"/>
      <c r="X192" s="165"/>
      <c r="Y192" s="165"/>
      <c r="Z192" s="165"/>
      <c r="AA192" s="165"/>
      <c r="AB192" s="165"/>
      <c r="AC192" s="165"/>
    </row>
    <row r="193">
      <c r="A193" s="165"/>
      <c r="B193" s="165"/>
      <c r="C193" s="165"/>
      <c r="D193" s="165"/>
      <c r="E193" s="166"/>
      <c r="F193" s="165"/>
      <c r="G193" s="167"/>
      <c r="H193" s="166"/>
      <c r="I193" s="167"/>
      <c r="J193" s="168"/>
      <c r="K193" s="169"/>
      <c r="L193" s="165"/>
      <c r="M193" s="165"/>
      <c r="N193" s="165"/>
      <c r="O193" s="165"/>
      <c r="P193" s="165"/>
      <c r="Q193" s="165"/>
      <c r="R193" s="165"/>
      <c r="S193" s="165"/>
      <c r="T193" s="165"/>
      <c r="U193" s="165"/>
      <c r="V193" s="165"/>
      <c r="W193" s="165"/>
      <c r="X193" s="165"/>
      <c r="Y193" s="165"/>
      <c r="Z193" s="165"/>
      <c r="AA193" s="165"/>
      <c r="AB193" s="165"/>
      <c r="AC193" s="165"/>
    </row>
    <row r="194">
      <c r="A194" s="165"/>
      <c r="B194" s="165"/>
      <c r="C194" s="165"/>
      <c r="D194" s="165"/>
      <c r="E194" s="166"/>
      <c r="F194" s="165"/>
      <c r="G194" s="167"/>
      <c r="H194" s="166"/>
      <c r="I194" s="167"/>
      <c r="J194" s="168"/>
      <c r="K194" s="169"/>
      <c r="L194" s="165"/>
      <c r="M194" s="165"/>
      <c r="N194" s="165"/>
      <c r="O194" s="165"/>
      <c r="P194" s="165"/>
      <c r="Q194" s="165"/>
      <c r="R194" s="165"/>
      <c r="S194" s="165"/>
      <c r="T194" s="165"/>
      <c r="U194" s="165"/>
      <c r="V194" s="165"/>
      <c r="W194" s="165"/>
      <c r="X194" s="165"/>
      <c r="Y194" s="165"/>
      <c r="Z194" s="165"/>
      <c r="AA194" s="165"/>
      <c r="AB194" s="165"/>
      <c r="AC194" s="165"/>
    </row>
    <row r="195">
      <c r="A195" s="165"/>
      <c r="B195" s="165"/>
      <c r="C195" s="165"/>
      <c r="D195" s="165"/>
      <c r="E195" s="166"/>
      <c r="F195" s="165"/>
      <c r="G195" s="167"/>
      <c r="H195" s="166"/>
      <c r="I195" s="167"/>
      <c r="J195" s="168"/>
      <c r="K195" s="169"/>
      <c r="L195" s="165"/>
      <c r="M195" s="165"/>
      <c r="N195" s="165"/>
      <c r="O195" s="165"/>
      <c r="P195" s="165"/>
      <c r="Q195" s="165"/>
      <c r="R195" s="165"/>
      <c r="S195" s="165"/>
      <c r="T195" s="165"/>
      <c r="U195" s="165"/>
      <c r="V195" s="165"/>
      <c r="W195" s="165"/>
      <c r="X195" s="165"/>
      <c r="Y195" s="165"/>
      <c r="Z195" s="165"/>
      <c r="AA195" s="165"/>
      <c r="AB195" s="165"/>
      <c r="AC195" s="165"/>
    </row>
    <row r="196">
      <c r="A196" s="165"/>
      <c r="B196" s="165"/>
      <c r="C196" s="165"/>
      <c r="D196" s="165"/>
      <c r="E196" s="166"/>
      <c r="F196" s="165"/>
      <c r="G196" s="167"/>
      <c r="H196" s="166"/>
      <c r="I196" s="167"/>
      <c r="J196" s="168"/>
      <c r="K196" s="169"/>
      <c r="L196" s="165"/>
      <c r="M196" s="165"/>
      <c r="N196" s="165"/>
      <c r="O196" s="165"/>
      <c r="P196" s="165"/>
      <c r="Q196" s="165"/>
      <c r="R196" s="165"/>
      <c r="S196" s="165"/>
      <c r="T196" s="165"/>
      <c r="U196" s="165"/>
      <c r="V196" s="165"/>
      <c r="W196" s="165"/>
      <c r="X196" s="165"/>
      <c r="Y196" s="165"/>
      <c r="Z196" s="165"/>
      <c r="AA196" s="165"/>
      <c r="AB196" s="165"/>
      <c r="AC196" s="165"/>
    </row>
    <row r="197">
      <c r="A197" s="165"/>
      <c r="B197" s="165"/>
      <c r="C197" s="165"/>
      <c r="D197" s="165"/>
      <c r="E197" s="166"/>
      <c r="F197" s="165"/>
      <c r="G197" s="167"/>
      <c r="H197" s="166"/>
      <c r="I197" s="167"/>
      <c r="J197" s="168"/>
      <c r="K197" s="169"/>
      <c r="L197" s="165"/>
      <c r="M197" s="165"/>
      <c r="N197" s="165"/>
      <c r="O197" s="165"/>
      <c r="P197" s="165"/>
      <c r="Q197" s="165"/>
      <c r="R197" s="165"/>
      <c r="S197" s="165"/>
      <c r="T197" s="165"/>
      <c r="U197" s="165"/>
      <c r="V197" s="165"/>
      <c r="W197" s="165"/>
      <c r="X197" s="165"/>
      <c r="Y197" s="165"/>
      <c r="Z197" s="165"/>
      <c r="AA197" s="165"/>
      <c r="AB197" s="165"/>
      <c r="AC197" s="165"/>
    </row>
    <row r="198">
      <c r="A198" s="165"/>
      <c r="B198" s="165"/>
      <c r="C198" s="165"/>
      <c r="D198" s="165"/>
      <c r="E198" s="166"/>
      <c r="F198" s="165"/>
      <c r="G198" s="167"/>
      <c r="H198" s="166"/>
      <c r="I198" s="167"/>
      <c r="J198" s="168"/>
      <c r="K198" s="169"/>
      <c r="L198" s="165"/>
      <c r="M198" s="165"/>
      <c r="N198" s="165"/>
      <c r="O198" s="165"/>
      <c r="P198" s="165"/>
      <c r="Q198" s="165"/>
      <c r="R198" s="165"/>
      <c r="S198" s="165"/>
      <c r="T198" s="165"/>
      <c r="U198" s="165"/>
      <c r="V198" s="165"/>
      <c r="W198" s="165"/>
      <c r="X198" s="165"/>
      <c r="Y198" s="165"/>
      <c r="Z198" s="165"/>
      <c r="AA198" s="165"/>
      <c r="AB198" s="165"/>
      <c r="AC198" s="165"/>
    </row>
    <row r="199">
      <c r="A199" s="165"/>
      <c r="B199" s="165"/>
      <c r="C199" s="165"/>
      <c r="D199" s="165"/>
      <c r="E199" s="166"/>
      <c r="F199" s="165"/>
      <c r="G199" s="167"/>
      <c r="H199" s="166"/>
      <c r="I199" s="167"/>
      <c r="J199" s="168"/>
      <c r="K199" s="169"/>
      <c r="L199" s="165"/>
      <c r="M199" s="165"/>
      <c r="N199" s="165"/>
      <c r="O199" s="165"/>
      <c r="P199" s="165"/>
      <c r="Q199" s="165"/>
      <c r="R199" s="165"/>
      <c r="S199" s="165"/>
      <c r="T199" s="165"/>
      <c r="U199" s="165"/>
      <c r="V199" s="165"/>
      <c r="W199" s="165"/>
      <c r="X199" s="165"/>
      <c r="Y199" s="165"/>
      <c r="Z199" s="165"/>
      <c r="AA199" s="165"/>
      <c r="AB199" s="165"/>
      <c r="AC199" s="165"/>
    </row>
    <row r="200">
      <c r="A200" s="165"/>
      <c r="B200" s="165"/>
      <c r="C200" s="165"/>
      <c r="D200" s="165"/>
      <c r="E200" s="166"/>
      <c r="F200" s="165"/>
      <c r="G200" s="167"/>
      <c r="H200" s="166"/>
      <c r="I200" s="167"/>
      <c r="J200" s="168"/>
      <c r="K200" s="169"/>
      <c r="L200" s="165"/>
      <c r="M200" s="165"/>
      <c r="N200" s="165"/>
      <c r="O200" s="165"/>
      <c r="P200" s="165"/>
      <c r="Q200" s="165"/>
      <c r="R200" s="165"/>
      <c r="S200" s="165"/>
      <c r="T200" s="165"/>
      <c r="U200" s="165"/>
      <c r="V200" s="165"/>
      <c r="W200" s="165"/>
      <c r="X200" s="165"/>
      <c r="Y200" s="165"/>
      <c r="Z200" s="165"/>
      <c r="AA200" s="165"/>
      <c r="AB200" s="165"/>
      <c r="AC200" s="165"/>
    </row>
    <row r="201">
      <c r="A201" s="165"/>
      <c r="B201" s="165"/>
      <c r="C201" s="165"/>
      <c r="D201" s="165"/>
      <c r="E201" s="166"/>
      <c r="F201" s="165"/>
      <c r="G201" s="167"/>
      <c r="H201" s="166"/>
      <c r="I201" s="167"/>
      <c r="J201" s="168"/>
      <c r="K201" s="169"/>
      <c r="L201" s="165"/>
      <c r="M201" s="165"/>
      <c r="N201" s="165"/>
      <c r="O201" s="165"/>
      <c r="P201" s="165"/>
      <c r="Q201" s="165"/>
      <c r="R201" s="165"/>
      <c r="S201" s="165"/>
      <c r="T201" s="165"/>
      <c r="U201" s="165"/>
      <c r="V201" s="165"/>
      <c r="W201" s="165"/>
      <c r="X201" s="165"/>
      <c r="Y201" s="165"/>
      <c r="Z201" s="165"/>
      <c r="AA201" s="165"/>
      <c r="AB201" s="165"/>
      <c r="AC201" s="165"/>
    </row>
    <row r="202">
      <c r="A202" s="165"/>
      <c r="B202" s="165"/>
      <c r="C202" s="165"/>
      <c r="D202" s="165"/>
      <c r="E202" s="166"/>
      <c r="F202" s="165"/>
      <c r="G202" s="167"/>
      <c r="H202" s="166"/>
      <c r="I202" s="167"/>
      <c r="J202" s="168"/>
      <c r="K202" s="169"/>
      <c r="L202" s="165"/>
      <c r="M202" s="165"/>
      <c r="N202" s="165"/>
      <c r="O202" s="165"/>
      <c r="P202" s="165"/>
      <c r="Q202" s="165"/>
      <c r="R202" s="165"/>
      <c r="S202" s="165"/>
      <c r="T202" s="165"/>
      <c r="U202" s="165"/>
      <c r="V202" s="165"/>
      <c r="W202" s="165"/>
      <c r="X202" s="165"/>
      <c r="Y202" s="165"/>
      <c r="Z202" s="165"/>
      <c r="AA202" s="165"/>
      <c r="AB202" s="165"/>
      <c r="AC202" s="165"/>
    </row>
    <row r="203">
      <c r="A203" s="165"/>
      <c r="B203" s="165"/>
      <c r="C203" s="165"/>
      <c r="D203" s="165"/>
      <c r="E203" s="166"/>
      <c r="F203" s="165"/>
      <c r="G203" s="167"/>
      <c r="H203" s="166"/>
      <c r="I203" s="167"/>
      <c r="J203" s="168"/>
      <c r="K203" s="169"/>
      <c r="L203" s="165"/>
      <c r="M203" s="165"/>
      <c r="N203" s="165"/>
      <c r="O203" s="165"/>
      <c r="P203" s="165"/>
      <c r="Q203" s="165"/>
      <c r="R203" s="165"/>
      <c r="S203" s="165"/>
      <c r="T203" s="165"/>
      <c r="U203" s="165"/>
      <c r="V203" s="165"/>
      <c r="W203" s="165"/>
      <c r="X203" s="165"/>
      <c r="Y203" s="165"/>
      <c r="Z203" s="165"/>
      <c r="AA203" s="165"/>
      <c r="AB203" s="165"/>
      <c r="AC203" s="165"/>
    </row>
    <row r="204">
      <c r="A204" s="165"/>
      <c r="B204" s="165"/>
      <c r="C204" s="165"/>
      <c r="D204" s="165"/>
      <c r="E204" s="166"/>
      <c r="F204" s="165"/>
      <c r="G204" s="167"/>
      <c r="H204" s="166"/>
      <c r="I204" s="167"/>
      <c r="J204" s="168"/>
      <c r="K204" s="169"/>
      <c r="L204" s="165"/>
      <c r="M204" s="165"/>
      <c r="N204" s="165"/>
      <c r="O204" s="165"/>
      <c r="P204" s="165"/>
      <c r="Q204" s="165"/>
      <c r="R204" s="165"/>
      <c r="S204" s="165"/>
      <c r="T204" s="165"/>
      <c r="U204" s="165"/>
      <c r="V204" s="165"/>
      <c r="W204" s="165"/>
      <c r="X204" s="165"/>
      <c r="Y204" s="165"/>
      <c r="Z204" s="165"/>
      <c r="AA204" s="165"/>
      <c r="AB204" s="165"/>
      <c r="AC204" s="165"/>
    </row>
    <row r="205">
      <c r="A205" s="165"/>
      <c r="B205" s="165"/>
      <c r="C205" s="165"/>
      <c r="D205" s="165"/>
      <c r="E205" s="166"/>
      <c r="F205" s="165"/>
      <c r="G205" s="167"/>
      <c r="H205" s="166"/>
      <c r="I205" s="167"/>
      <c r="J205" s="168"/>
      <c r="K205" s="169"/>
      <c r="L205" s="165"/>
      <c r="M205" s="165"/>
      <c r="N205" s="165"/>
      <c r="O205" s="165"/>
      <c r="P205" s="165"/>
      <c r="Q205" s="165"/>
      <c r="R205" s="165"/>
      <c r="S205" s="165"/>
      <c r="T205" s="165"/>
      <c r="U205" s="165"/>
      <c r="V205" s="165"/>
      <c r="W205" s="165"/>
      <c r="X205" s="165"/>
      <c r="Y205" s="165"/>
      <c r="Z205" s="165"/>
      <c r="AA205" s="165"/>
      <c r="AB205" s="165"/>
      <c r="AC205" s="165"/>
    </row>
    <row r="206">
      <c r="A206" s="165"/>
      <c r="B206" s="165"/>
      <c r="C206" s="165"/>
      <c r="D206" s="165"/>
      <c r="E206" s="166"/>
      <c r="F206" s="165"/>
      <c r="G206" s="167"/>
      <c r="H206" s="166"/>
      <c r="I206" s="167"/>
      <c r="J206" s="168"/>
      <c r="K206" s="169"/>
      <c r="L206" s="165"/>
      <c r="M206" s="165"/>
      <c r="N206" s="165"/>
      <c r="O206" s="165"/>
      <c r="P206" s="165"/>
      <c r="Q206" s="165"/>
      <c r="R206" s="165"/>
      <c r="S206" s="165"/>
      <c r="T206" s="165"/>
      <c r="U206" s="165"/>
      <c r="V206" s="165"/>
      <c r="W206" s="165"/>
      <c r="X206" s="165"/>
      <c r="Y206" s="165"/>
      <c r="Z206" s="165"/>
      <c r="AA206" s="165"/>
      <c r="AB206" s="165"/>
      <c r="AC206" s="165"/>
    </row>
    <row r="207">
      <c r="A207" s="165"/>
      <c r="B207" s="165"/>
      <c r="C207" s="165"/>
      <c r="D207" s="165"/>
      <c r="E207" s="166"/>
      <c r="F207" s="165"/>
      <c r="G207" s="167"/>
      <c r="H207" s="166"/>
      <c r="I207" s="167"/>
      <c r="J207" s="168"/>
      <c r="K207" s="169"/>
      <c r="L207" s="165"/>
      <c r="M207" s="165"/>
      <c r="N207" s="165"/>
      <c r="O207" s="165"/>
      <c r="P207" s="165"/>
      <c r="Q207" s="165"/>
      <c r="R207" s="165"/>
      <c r="S207" s="165"/>
      <c r="T207" s="165"/>
      <c r="U207" s="165"/>
      <c r="V207" s="165"/>
      <c r="W207" s="165"/>
      <c r="X207" s="165"/>
      <c r="Y207" s="165"/>
      <c r="Z207" s="165"/>
      <c r="AA207" s="165"/>
      <c r="AB207" s="165"/>
      <c r="AC207" s="165"/>
    </row>
    <row r="208">
      <c r="A208" s="165"/>
      <c r="B208" s="165"/>
      <c r="C208" s="165"/>
      <c r="D208" s="165"/>
      <c r="E208" s="166"/>
      <c r="F208" s="165"/>
      <c r="G208" s="167"/>
      <c r="H208" s="166"/>
      <c r="I208" s="167"/>
      <c r="J208" s="168"/>
      <c r="K208" s="169"/>
      <c r="L208" s="165"/>
      <c r="M208" s="165"/>
      <c r="N208" s="165"/>
      <c r="O208" s="165"/>
      <c r="P208" s="165"/>
      <c r="Q208" s="165"/>
      <c r="R208" s="165"/>
      <c r="S208" s="165"/>
      <c r="T208" s="165"/>
      <c r="U208" s="165"/>
      <c r="V208" s="165"/>
      <c r="W208" s="165"/>
      <c r="X208" s="165"/>
      <c r="Y208" s="165"/>
      <c r="Z208" s="165"/>
      <c r="AA208" s="165"/>
      <c r="AB208" s="165"/>
      <c r="AC208" s="165"/>
    </row>
    <row r="209">
      <c r="A209" s="165"/>
      <c r="B209" s="165"/>
      <c r="C209" s="165"/>
      <c r="D209" s="165"/>
      <c r="E209" s="166"/>
      <c r="F209" s="165"/>
      <c r="G209" s="167"/>
      <c r="H209" s="166"/>
      <c r="I209" s="167"/>
      <c r="J209" s="168"/>
      <c r="K209" s="169"/>
      <c r="L209" s="165"/>
      <c r="M209" s="165"/>
      <c r="N209" s="165"/>
      <c r="O209" s="165"/>
      <c r="P209" s="165"/>
      <c r="Q209" s="165"/>
      <c r="R209" s="165"/>
      <c r="S209" s="165"/>
      <c r="T209" s="165"/>
      <c r="U209" s="165"/>
      <c r="V209" s="165"/>
      <c r="W209" s="165"/>
      <c r="X209" s="165"/>
      <c r="Y209" s="165"/>
      <c r="Z209" s="165"/>
      <c r="AA209" s="165"/>
      <c r="AB209" s="165"/>
      <c r="AC209" s="165"/>
    </row>
    <row r="210">
      <c r="A210" s="165"/>
      <c r="B210" s="165"/>
      <c r="C210" s="165"/>
      <c r="D210" s="165"/>
      <c r="E210" s="166"/>
      <c r="F210" s="165"/>
      <c r="G210" s="167"/>
      <c r="H210" s="166"/>
      <c r="I210" s="167"/>
      <c r="J210" s="168"/>
      <c r="K210" s="169"/>
      <c r="L210" s="165"/>
      <c r="M210" s="165"/>
      <c r="N210" s="165"/>
      <c r="O210" s="165"/>
      <c r="P210" s="165"/>
      <c r="Q210" s="165"/>
      <c r="R210" s="165"/>
      <c r="S210" s="165"/>
      <c r="T210" s="165"/>
      <c r="U210" s="165"/>
      <c r="V210" s="165"/>
      <c r="W210" s="165"/>
      <c r="X210" s="165"/>
      <c r="Y210" s="165"/>
      <c r="Z210" s="165"/>
      <c r="AA210" s="165"/>
      <c r="AB210" s="165"/>
      <c r="AC210" s="165"/>
    </row>
    <row r="211">
      <c r="A211" s="165"/>
      <c r="B211" s="165"/>
      <c r="C211" s="165"/>
      <c r="D211" s="165"/>
      <c r="E211" s="166"/>
      <c r="F211" s="165"/>
      <c r="G211" s="167"/>
      <c r="H211" s="166"/>
      <c r="I211" s="167"/>
      <c r="J211" s="168"/>
      <c r="K211" s="169"/>
      <c r="L211" s="165"/>
      <c r="M211" s="165"/>
      <c r="N211" s="165"/>
      <c r="O211" s="165"/>
      <c r="P211" s="165"/>
      <c r="Q211" s="165"/>
      <c r="R211" s="165"/>
      <c r="S211" s="165"/>
      <c r="T211" s="165"/>
      <c r="U211" s="165"/>
      <c r="V211" s="165"/>
      <c r="W211" s="165"/>
      <c r="X211" s="165"/>
      <c r="Y211" s="165"/>
      <c r="Z211" s="165"/>
      <c r="AA211" s="165"/>
      <c r="AB211" s="165"/>
      <c r="AC211" s="165"/>
    </row>
    <row r="212">
      <c r="A212" s="165"/>
      <c r="B212" s="165"/>
      <c r="C212" s="165"/>
      <c r="D212" s="165"/>
      <c r="E212" s="166"/>
      <c r="F212" s="165"/>
      <c r="G212" s="167"/>
      <c r="H212" s="166"/>
      <c r="I212" s="167"/>
      <c r="J212" s="168"/>
      <c r="K212" s="169"/>
      <c r="L212" s="165"/>
      <c r="M212" s="165"/>
      <c r="N212" s="165"/>
      <c r="O212" s="165"/>
      <c r="P212" s="165"/>
      <c r="Q212" s="165"/>
      <c r="R212" s="165"/>
      <c r="S212" s="165"/>
      <c r="T212" s="165"/>
      <c r="U212" s="165"/>
      <c r="V212" s="165"/>
      <c r="W212" s="165"/>
      <c r="X212" s="165"/>
      <c r="Y212" s="165"/>
      <c r="Z212" s="165"/>
      <c r="AA212" s="165"/>
      <c r="AB212" s="165"/>
      <c r="AC212" s="165"/>
    </row>
    <row r="213">
      <c r="A213" s="165"/>
      <c r="B213" s="165"/>
      <c r="C213" s="165"/>
      <c r="D213" s="165"/>
      <c r="E213" s="166"/>
      <c r="F213" s="165"/>
      <c r="G213" s="167"/>
      <c r="H213" s="166"/>
      <c r="I213" s="167"/>
      <c r="J213" s="168"/>
      <c r="K213" s="169"/>
      <c r="L213" s="165"/>
      <c r="M213" s="165"/>
      <c r="N213" s="165"/>
      <c r="O213" s="165"/>
      <c r="P213" s="165"/>
      <c r="Q213" s="165"/>
      <c r="R213" s="165"/>
      <c r="S213" s="165"/>
      <c r="T213" s="165"/>
      <c r="U213" s="165"/>
      <c r="V213" s="165"/>
      <c r="W213" s="165"/>
      <c r="X213" s="165"/>
      <c r="Y213" s="165"/>
      <c r="Z213" s="165"/>
      <c r="AA213" s="165"/>
      <c r="AB213" s="165"/>
      <c r="AC213" s="165"/>
    </row>
    <row r="214">
      <c r="A214" s="165"/>
      <c r="B214" s="165"/>
      <c r="C214" s="165"/>
      <c r="D214" s="165"/>
      <c r="E214" s="166"/>
      <c r="F214" s="165"/>
      <c r="G214" s="167"/>
      <c r="H214" s="166"/>
      <c r="I214" s="167"/>
      <c r="J214" s="168"/>
      <c r="K214" s="169"/>
      <c r="L214" s="165"/>
      <c r="M214" s="165"/>
      <c r="N214" s="165"/>
      <c r="O214" s="165"/>
      <c r="P214" s="165"/>
      <c r="Q214" s="165"/>
      <c r="R214" s="165"/>
      <c r="S214" s="165"/>
      <c r="T214" s="165"/>
      <c r="U214" s="165"/>
      <c r="V214" s="165"/>
      <c r="W214" s="165"/>
      <c r="X214" s="165"/>
      <c r="Y214" s="165"/>
      <c r="Z214" s="165"/>
      <c r="AA214" s="165"/>
      <c r="AB214" s="165"/>
      <c r="AC214" s="165"/>
    </row>
    <row r="215">
      <c r="A215" s="165"/>
      <c r="B215" s="165"/>
      <c r="C215" s="165"/>
      <c r="D215" s="165"/>
      <c r="E215" s="166"/>
      <c r="F215" s="165"/>
      <c r="G215" s="167"/>
      <c r="H215" s="166"/>
      <c r="I215" s="167"/>
      <c r="J215" s="168"/>
      <c r="K215" s="169"/>
      <c r="L215" s="165"/>
      <c r="M215" s="165"/>
      <c r="N215" s="165"/>
      <c r="O215" s="165"/>
      <c r="P215" s="165"/>
      <c r="Q215" s="165"/>
      <c r="R215" s="165"/>
      <c r="S215" s="165"/>
      <c r="T215" s="165"/>
      <c r="U215" s="165"/>
      <c r="V215" s="165"/>
      <c r="W215" s="165"/>
      <c r="X215" s="165"/>
      <c r="Y215" s="165"/>
      <c r="Z215" s="165"/>
      <c r="AA215" s="165"/>
      <c r="AB215" s="165"/>
      <c r="AC215" s="165"/>
    </row>
    <row r="216">
      <c r="A216" s="165"/>
      <c r="B216" s="165"/>
      <c r="C216" s="165"/>
      <c r="D216" s="165"/>
      <c r="E216" s="166"/>
      <c r="F216" s="165"/>
      <c r="G216" s="167"/>
      <c r="H216" s="166"/>
      <c r="I216" s="167"/>
      <c r="J216" s="168"/>
      <c r="K216" s="169"/>
      <c r="L216" s="165"/>
      <c r="M216" s="165"/>
      <c r="N216" s="165"/>
      <c r="O216" s="165"/>
      <c r="P216" s="165"/>
      <c r="Q216" s="165"/>
      <c r="R216" s="165"/>
      <c r="S216" s="165"/>
      <c r="T216" s="165"/>
      <c r="U216" s="165"/>
      <c r="V216" s="165"/>
      <c r="W216" s="165"/>
      <c r="X216" s="165"/>
      <c r="Y216" s="165"/>
      <c r="Z216" s="165"/>
      <c r="AA216" s="165"/>
      <c r="AB216" s="165"/>
      <c r="AC216" s="165"/>
    </row>
    <row r="217">
      <c r="A217" s="165"/>
      <c r="B217" s="165"/>
      <c r="C217" s="165"/>
      <c r="D217" s="165"/>
      <c r="E217" s="166"/>
      <c r="F217" s="165"/>
      <c r="G217" s="167"/>
      <c r="H217" s="166"/>
      <c r="I217" s="167"/>
      <c r="J217" s="168"/>
      <c r="K217" s="169"/>
      <c r="L217" s="165"/>
      <c r="M217" s="165"/>
      <c r="N217" s="165"/>
      <c r="O217" s="165"/>
      <c r="P217" s="165"/>
      <c r="Q217" s="165"/>
      <c r="R217" s="165"/>
      <c r="S217" s="165"/>
      <c r="T217" s="165"/>
      <c r="U217" s="165"/>
      <c r="V217" s="165"/>
      <c r="W217" s="165"/>
      <c r="X217" s="165"/>
      <c r="Y217" s="165"/>
      <c r="Z217" s="165"/>
      <c r="AA217" s="165"/>
      <c r="AB217" s="165"/>
      <c r="AC217" s="165"/>
    </row>
    <row r="218">
      <c r="A218" s="165"/>
      <c r="B218" s="165"/>
      <c r="C218" s="165"/>
      <c r="D218" s="165"/>
      <c r="E218" s="166"/>
      <c r="F218" s="165"/>
      <c r="G218" s="167"/>
      <c r="H218" s="166"/>
      <c r="I218" s="167"/>
      <c r="J218" s="168"/>
      <c r="K218" s="169"/>
      <c r="L218" s="165"/>
      <c r="M218" s="165"/>
      <c r="N218" s="165"/>
      <c r="O218" s="165"/>
      <c r="P218" s="165"/>
      <c r="Q218" s="165"/>
      <c r="R218" s="165"/>
      <c r="S218" s="165"/>
      <c r="T218" s="165"/>
      <c r="U218" s="165"/>
      <c r="V218" s="165"/>
      <c r="W218" s="165"/>
      <c r="X218" s="165"/>
      <c r="Y218" s="165"/>
      <c r="Z218" s="165"/>
      <c r="AA218" s="165"/>
      <c r="AB218" s="165"/>
      <c r="AC218" s="165"/>
    </row>
    <row r="219">
      <c r="A219" s="165"/>
      <c r="B219" s="165"/>
      <c r="C219" s="165"/>
      <c r="D219" s="165"/>
      <c r="E219" s="166"/>
      <c r="F219" s="165"/>
      <c r="G219" s="167"/>
      <c r="H219" s="166"/>
      <c r="I219" s="167"/>
      <c r="J219" s="168"/>
      <c r="K219" s="169"/>
      <c r="L219" s="165"/>
      <c r="M219" s="165"/>
      <c r="N219" s="165"/>
      <c r="O219" s="165"/>
      <c r="P219" s="165"/>
      <c r="Q219" s="165"/>
      <c r="R219" s="165"/>
      <c r="S219" s="165"/>
      <c r="T219" s="165"/>
      <c r="U219" s="165"/>
      <c r="V219" s="165"/>
      <c r="W219" s="165"/>
      <c r="X219" s="165"/>
      <c r="Y219" s="165"/>
      <c r="Z219" s="165"/>
      <c r="AA219" s="165"/>
      <c r="AB219" s="165"/>
      <c r="AC219" s="165"/>
    </row>
    <row r="220">
      <c r="A220" s="165"/>
      <c r="B220" s="165"/>
      <c r="C220" s="165"/>
      <c r="D220" s="165"/>
      <c r="E220" s="166"/>
      <c r="F220" s="165"/>
      <c r="G220" s="167"/>
      <c r="H220" s="166"/>
      <c r="I220" s="167"/>
      <c r="J220" s="168"/>
      <c r="K220" s="169"/>
      <c r="L220" s="165"/>
      <c r="M220" s="165"/>
      <c r="N220" s="165"/>
      <c r="O220" s="165"/>
      <c r="P220" s="165"/>
      <c r="Q220" s="165"/>
      <c r="R220" s="165"/>
      <c r="S220" s="165"/>
      <c r="T220" s="165"/>
      <c r="U220" s="165"/>
      <c r="V220" s="165"/>
      <c r="W220" s="165"/>
      <c r="X220" s="165"/>
      <c r="Y220" s="165"/>
      <c r="Z220" s="165"/>
      <c r="AA220" s="165"/>
      <c r="AB220" s="165"/>
      <c r="AC220" s="165"/>
    </row>
    <row r="221">
      <c r="A221" s="165"/>
      <c r="B221" s="165"/>
      <c r="C221" s="165"/>
      <c r="D221" s="165"/>
      <c r="E221" s="166"/>
      <c r="F221" s="165"/>
      <c r="G221" s="167"/>
      <c r="H221" s="166"/>
      <c r="I221" s="167"/>
      <c r="J221" s="168"/>
      <c r="K221" s="169"/>
      <c r="L221" s="165"/>
      <c r="M221" s="165"/>
      <c r="N221" s="165"/>
      <c r="O221" s="165"/>
      <c r="P221" s="165"/>
      <c r="Q221" s="165"/>
      <c r="R221" s="165"/>
      <c r="S221" s="165"/>
      <c r="T221" s="165"/>
      <c r="U221" s="165"/>
      <c r="V221" s="165"/>
      <c r="W221" s="165"/>
      <c r="X221" s="165"/>
      <c r="Y221" s="165"/>
      <c r="Z221" s="165"/>
      <c r="AA221" s="165"/>
      <c r="AB221" s="165"/>
      <c r="AC221" s="165"/>
    </row>
    <row r="222">
      <c r="A222" s="165"/>
      <c r="B222" s="165"/>
      <c r="C222" s="165"/>
      <c r="D222" s="165"/>
      <c r="E222" s="166"/>
      <c r="F222" s="165"/>
      <c r="G222" s="167"/>
      <c r="H222" s="166"/>
      <c r="I222" s="167"/>
      <c r="J222" s="168"/>
      <c r="K222" s="169"/>
      <c r="L222" s="165"/>
      <c r="M222" s="165"/>
      <c r="N222" s="165"/>
      <c r="O222" s="165"/>
      <c r="P222" s="165"/>
      <c r="Q222" s="165"/>
      <c r="R222" s="165"/>
      <c r="S222" s="165"/>
      <c r="T222" s="165"/>
      <c r="U222" s="165"/>
      <c r="V222" s="165"/>
      <c r="W222" s="165"/>
      <c r="X222" s="165"/>
      <c r="Y222" s="165"/>
      <c r="Z222" s="165"/>
      <c r="AA222" s="165"/>
      <c r="AB222" s="165"/>
      <c r="AC222" s="165"/>
    </row>
    <row r="223">
      <c r="A223" s="165"/>
      <c r="B223" s="165"/>
      <c r="C223" s="165"/>
      <c r="D223" s="165"/>
      <c r="E223" s="166"/>
      <c r="F223" s="165"/>
      <c r="G223" s="167"/>
      <c r="H223" s="166"/>
      <c r="I223" s="167"/>
      <c r="J223" s="168"/>
      <c r="K223" s="169"/>
      <c r="L223" s="165"/>
      <c r="M223" s="165"/>
      <c r="N223" s="165"/>
      <c r="O223" s="165"/>
      <c r="P223" s="165"/>
      <c r="Q223" s="165"/>
      <c r="R223" s="165"/>
      <c r="S223" s="165"/>
      <c r="T223" s="165"/>
      <c r="U223" s="165"/>
      <c r="V223" s="165"/>
      <c r="W223" s="165"/>
      <c r="X223" s="165"/>
      <c r="Y223" s="165"/>
      <c r="Z223" s="165"/>
      <c r="AA223" s="165"/>
      <c r="AB223" s="165"/>
      <c r="AC223" s="165"/>
    </row>
    <row r="224">
      <c r="A224" s="165"/>
      <c r="B224" s="165"/>
      <c r="C224" s="165"/>
      <c r="D224" s="165"/>
      <c r="E224" s="166"/>
      <c r="F224" s="165"/>
      <c r="G224" s="167"/>
      <c r="H224" s="166"/>
      <c r="I224" s="167"/>
      <c r="J224" s="168"/>
      <c r="K224" s="169"/>
      <c r="L224" s="165"/>
      <c r="M224" s="165"/>
      <c r="N224" s="165"/>
      <c r="O224" s="165"/>
      <c r="P224" s="165"/>
      <c r="Q224" s="165"/>
      <c r="R224" s="165"/>
      <c r="S224" s="165"/>
      <c r="T224" s="165"/>
      <c r="U224" s="165"/>
      <c r="V224" s="165"/>
      <c r="W224" s="165"/>
      <c r="X224" s="165"/>
      <c r="Y224" s="165"/>
      <c r="Z224" s="165"/>
      <c r="AA224" s="165"/>
      <c r="AB224" s="165"/>
      <c r="AC224" s="165"/>
    </row>
    <row r="225">
      <c r="A225" s="165"/>
      <c r="B225" s="165"/>
      <c r="C225" s="165"/>
      <c r="D225" s="165"/>
      <c r="E225" s="166"/>
      <c r="F225" s="165"/>
      <c r="G225" s="167"/>
      <c r="H225" s="166"/>
      <c r="I225" s="167"/>
      <c r="J225" s="168"/>
      <c r="K225" s="169"/>
      <c r="L225" s="165"/>
      <c r="M225" s="165"/>
      <c r="N225" s="165"/>
      <c r="O225" s="165"/>
      <c r="P225" s="165"/>
      <c r="Q225" s="165"/>
      <c r="R225" s="165"/>
      <c r="S225" s="165"/>
      <c r="T225" s="165"/>
      <c r="U225" s="165"/>
      <c r="V225" s="165"/>
      <c r="W225" s="165"/>
      <c r="X225" s="165"/>
      <c r="Y225" s="165"/>
      <c r="Z225" s="165"/>
      <c r="AA225" s="165"/>
      <c r="AB225" s="165"/>
      <c r="AC225" s="165"/>
    </row>
    <row r="226">
      <c r="A226" s="165"/>
      <c r="B226" s="165"/>
      <c r="C226" s="165"/>
      <c r="D226" s="165"/>
      <c r="E226" s="166"/>
      <c r="F226" s="165"/>
      <c r="G226" s="167"/>
      <c r="H226" s="166"/>
      <c r="I226" s="167"/>
      <c r="J226" s="168"/>
      <c r="K226" s="169"/>
      <c r="L226" s="165"/>
      <c r="M226" s="165"/>
      <c r="N226" s="165"/>
      <c r="O226" s="165"/>
      <c r="P226" s="165"/>
      <c r="Q226" s="165"/>
      <c r="R226" s="165"/>
      <c r="S226" s="165"/>
      <c r="T226" s="165"/>
      <c r="U226" s="165"/>
      <c r="V226" s="165"/>
      <c r="W226" s="165"/>
      <c r="X226" s="165"/>
      <c r="Y226" s="165"/>
      <c r="Z226" s="165"/>
      <c r="AA226" s="165"/>
      <c r="AB226" s="165"/>
      <c r="AC226" s="165"/>
    </row>
    <row r="227">
      <c r="A227" s="165"/>
      <c r="B227" s="165"/>
      <c r="C227" s="165"/>
      <c r="D227" s="165"/>
      <c r="E227" s="166"/>
      <c r="F227" s="165"/>
      <c r="G227" s="167"/>
      <c r="H227" s="166"/>
      <c r="I227" s="167"/>
      <c r="J227" s="168"/>
      <c r="K227" s="169"/>
      <c r="L227" s="165"/>
      <c r="M227" s="165"/>
      <c r="N227" s="165"/>
      <c r="O227" s="165"/>
      <c r="P227" s="165"/>
      <c r="Q227" s="165"/>
      <c r="R227" s="165"/>
      <c r="S227" s="165"/>
      <c r="T227" s="165"/>
      <c r="U227" s="165"/>
      <c r="V227" s="165"/>
      <c r="W227" s="165"/>
      <c r="X227" s="165"/>
      <c r="Y227" s="165"/>
      <c r="Z227" s="165"/>
      <c r="AA227" s="165"/>
      <c r="AB227" s="165"/>
      <c r="AC227" s="165"/>
    </row>
    <row r="228">
      <c r="A228" s="165"/>
      <c r="B228" s="165"/>
      <c r="C228" s="165"/>
      <c r="D228" s="165"/>
      <c r="E228" s="166"/>
      <c r="F228" s="165"/>
      <c r="G228" s="167"/>
      <c r="H228" s="166"/>
      <c r="I228" s="167"/>
      <c r="J228" s="168"/>
      <c r="K228" s="169"/>
      <c r="L228" s="165"/>
      <c r="M228" s="165"/>
      <c r="N228" s="165"/>
      <c r="O228" s="165"/>
      <c r="P228" s="165"/>
      <c r="Q228" s="165"/>
      <c r="R228" s="165"/>
      <c r="S228" s="165"/>
      <c r="T228" s="165"/>
      <c r="U228" s="165"/>
      <c r="V228" s="165"/>
      <c r="W228" s="165"/>
      <c r="X228" s="165"/>
      <c r="Y228" s="165"/>
      <c r="Z228" s="165"/>
      <c r="AA228" s="165"/>
      <c r="AB228" s="165"/>
      <c r="AC228" s="165"/>
    </row>
    <row r="229">
      <c r="A229" s="165"/>
      <c r="B229" s="165"/>
      <c r="C229" s="165"/>
      <c r="D229" s="165"/>
      <c r="E229" s="166"/>
      <c r="F229" s="165"/>
      <c r="G229" s="167"/>
      <c r="H229" s="166"/>
      <c r="I229" s="167"/>
      <c r="J229" s="168"/>
      <c r="K229" s="169"/>
      <c r="L229" s="165"/>
      <c r="M229" s="165"/>
      <c r="N229" s="165"/>
      <c r="O229" s="165"/>
      <c r="P229" s="165"/>
      <c r="Q229" s="165"/>
      <c r="R229" s="165"/>
      <c r="S229" s="165"/>
      <c r="T229" s="165"/>
      <c r="U229" s="165"/>
      <c r="V229" s="165"/>
      <c r="W229" s="165"/>
      <c r="X229" s="165"/>
      <c r="Y229" s="165"/>
      <c r="Z229" s="165"/>
      <c r="AA229" s="165"/>
      <c r="AB229" s="165"/>
      <c r="AC229" s="165"/>
    </row>
    <row r="230">
      <c r="A230" s="165"/>
      <c r="B230" s="165"/>
      <c r="C230" s="165"/>
      <c r="D230" s="165"/>
      <c r="E230" s="166"/>
      <c r="F230" s="165"/>
      <c r="G230" s="167"/>
      <c r="H230" s="166"/>
      <c r="I230" s="167"/>
      <c r="J230" s="168"/>
      <c r="K230" s="169"/>
      <c r="L230" s="165"/>
      <c r="M230" s="165"/>
      <c r="N230" s="165"/>
      <c r="O230" s="165"/>
      <c r="P230" s="165"/>
      <c r="Q230" s="165"/>
      <c r="R230" s="165"/>
      <c r="S230" s="165"/>
      <c r="T230" s="165"/>
      <c r="U230" s="165"/>
      <c r="V230" s="165"/>
      <c r="W230" s="165"/>
      <c r="X230" s="165"/>
      <c r="Y230" s="165"/>
      <c r="Z230" s="165"/>
      <c r="AA230" s="165"/>
      <c r="AB230" s="165"/>
      <c r="AC230" s="165"/>
    </row>
    <row r="231">
      <c r="A231" s="165"/>
      <c r="B231" s="165"/>
      <c r="C231" s="165"/>
      <c r="D231" s="165"/>
      <c r="E231" s="166"/>
      <c r="F231" s="165"/>
      <c r="G231" s="167"/>
      <c r="H231" s="166"/>
      <c r="I231" s="167"/>
      <c r="J231" s="168"/>
      <c r="K231" s="169"/>
      <c r="L231" s="165"/>
      <c r="M231" s="165"/>
      <c r="N231" s="165"/>
      <c r="O231" s="165"/>
      <c r="P231" s="165"/>
      <c r="Q231" s="165"/>
      <c r="R231" s="165"/>
      <c r="S231" s="165"/>
      <c r="T231" s="165"/>
      <c r="U231" s="165"/>
      <c r="V231" s="165"/>
      <c r="W231" s="165"/>
      <c r="X231" s="165"/>
      <c r="Y231" s="165"/>
      <c r="Z231" s="165"/>
      <c r="AA231" s="165"/>
      <c r="AB231" s="165"/>
      <c r="AC231" s="165"/>
    </row>
    <row r="232">
      <c r="A232" s="165"/>
      <c r="B232" s="165"/>
      <c r="C232" s="165"/>
      <c r="D232" s="165"/>
      <c r="E232" s="166"/>
      <c r="F232" s="165"/>
      <c r="G232" s="167"/>
      <c r="H232" s="166"/>
      <c r="I232" s="167"/>
      <c r="J232" s="168"/>
      <c r="K232" s="169"/>
      <c r="L232" s="165"/>
      <c r="M232" s="165"/>
      <c r="N232" s="165"/>
      <c r="O232" s="165"/>
      <c r="P232" s="165"/>
      <c r="Q232" s="165"/>
      <c r="R232" s="165"/>
      <c r="S232" s="165"/>
      <c r="T232" s="165"/>
      <c r="U232" s="165"/>
      <c r="V232" s="165"/>
      <c r="W232" s="165"/>
      <c r="X232" s="165"/>
      <c r="Y232" s="165"/>
      <c r="Z232" s="165"/>
      <c r="AA232" s="165"/>
      <c r="AB232" s="165"/>
      <c r="AC232" s="165"/>
    </row>
    <row r="233">
      <c r="A233" s="165"/>
      <c r="B233" s="165"/>
      <c r="C233" s="165"/>
      <c r="D233" s="165"/>
      <c r="E233" s="166"/>
      <c r="F233" s="165"/>
      <c r="G233" s="167"/>
      <c r="H233" s="166"/>
      <c r="I233" s="167"/>
      <c r="J233" s="168"/>
      <c r="K233" s="169"/>
      <c r="L233" s="165"/>
      <c r="M233" s="165"/>
      <c r="N233" s="165"/>
      <c r="O233" s="165"/>
      <c r="P233" s="165"/>
      <c r="Q233" s="165"/>
      <c r="R233" s="165"/>
      <c r="S233" s="165"/>
      <c r="T233" s="165"/>
      <c r="U233" s="165"/>
      <c r="V233" s="165"/>
      <c r="W233" s="165"/>
      <c r="X233" s="165"/>
      <c r="Y233" s="165"/>
      <c r="Z233" s="165"/>
      <c r="AA233" s="165"/>
      <c r="AB233" s="165"/>
      <c r="AC233" s="165"/>
    </row>
    <row r="234">
      <c r="A234" s="165"/>
      <c r="B234" s="165"/>
      <c r="C234" s="165"/>
      <c r="D234" s="165"/>
      <c r="E234" s="166"/>
      <c r="F234" s="165"/>
      <c r="G234" s="167"/>
      <c r="H234" s="166"/>
      <c r="I234" s="167"/>
      <c r="J234" s="168"/>
      <c r="K234" s="169"/>
      <c r="L234" s="165"/>
      <c r="M234" s="165"/>
      <c r="N234" s="165"/>
      <c r="O234" s="165"/>
      <c r="P234" s="165"/>
      <c r="Q234" s="165"/>
      <c r="R234" s="165"/>
      <c r="S234" s="165"/>
      <c r="T234" s="165"/>
      <c r="U234" s="165"/>
      <c r="V234" s="165"/>
      <c r="W234" s="165"/>
      <c r="X234" s="165"/>
      <c r="Y234" s="165"/>
      <c r="Z234" s="165"/>
      <c r="AA234" s="165"/>
      <c r="AB234" s="165"/>
      <c r="AC234" s="165"/>
    </row>
    <row r="235">
      <c r="A235" s="165"/>
      <c r="B235" s="165"/>
      <c r="C235" s="165"/>
      <c r="D235" s="165"/>
      <c r="E235" s="166"/>
      <c r="F235" s="165"/>
      <c r="G235" s="167"/>
      <c r="H235" s="166"/>
      <c r="I235" s="167"/>
      <c r="J235" s="168"/>
      <c r="K235" s="169"/>
      <c r="L235" s="165"/>
      <c r="M235" s="165"/>
      <c r="N235" s="165"/>
      <c r="O235" s="165"/>
      <c r="P235" s="165"/>
      <c r="Q235" s="165"/>
      <c r="R235" s="165"/>
      <c r="S235" s="165"/>
      <c r="T235" s="165"/>
      <c r="U235" s="165"/>
      <c r="V235" s="165"/>
      <c r="W235" s="165"/>
      <c r="X235" s="165"/>
      <c r="Y235" s="165"/>
      <c r="Z235" s="165"/>
      <c r="AA235" s="165"/>
      <c r="AB235" s="165"/>
      <c r="AC235" s="165"/>
    </row>
    <row r="236">
      <c r="A236" s="165"/>
      <c r="B236" s="165"/>
      <c r="C236" s="165"/>
      <c r="D236" s="165"/>
      <c r="E236" s="166"/>
      <c r="F236" s="165"/>
      <c r="G236" s="167"/>
      <c r="H236" s="166"/>
      <c r="I236" s="167"/>
      <c r="J236" s="168"/>
      <c r="K236" s="169"/>
      <c r="L236" s="165"/>
      <c r="M236" s="165"/>
      <c r="N236" s="165"/>
      <c r="O236" s="165"/>
      <c r="P236" s="165"/>
      <c r="Q236" s="165"/>
      <c r="R236" s="165"/>
      <c r="S236" s="165"/>
      <c r="T236" s="165"/>
      <c r="U236" s="165"/>
      <c r="V236" s="165"/>
      <c r="W236" s="165"/>
      <c r="X236" s="165"/>
      <c r="Y236" s="165"/>
      <c r="Z236" s="165"/>
      <c r="AA236" s="165"/>
      <c r="AB236" s="165"/>
      <c r="AC236" s="165"/>
    </row>
    <row r="237">
      <c r="A237" s="165"/>
      <c r="B237" s="165"/>
      <c r="C237" s="165"/>
      <c r="D237" s="165"/>
      <c r="E237" s="166"/>
      <c r="F237" s="165"/>
      <c r="G237" s="167"/>
      <c r="H237" s="166"/>
      <c r="I237" s="167"/>
      <c r="J237" s="168"/>
      <c r="K237" s="169"/>
      <c r="L237" s="165"/>
      <c r="M237" s="165"/>
      <c r="N237" s="165"/>
      <c r="O237" s="165"/>
      <c r="P237" s="165"/>
      <c r="Q237" s="165"/>
      <c r="R237" s="165"/>
      <c r="S237" s="165"/>
      <c r="T237" s="165"/>
      <c r="U237" s="165"/>
      <c r="V237" s="165"/>
      <c r="W237" s="165"/>
      <c r="X237" s="165"/>
      <c r="Y237" s="165"/>
      <c r="Z237" s="165"/>
      <c r="AA237" s="165"/>
      <c r="AB237" s="165"/>
      <c r="AC237" s="165"/>
    </row>
    <row r="238">
      <c r="A238" s="165"/>
      <c r="B238" s="165"/>
      <c r="C238" s="165"/>
      <c r="D238" s="165"/>
      <c r="E238" s="166"/>
      <c r="F238" s="165"/>
      <c r="G238" s="167"/>
      <c r="H238" s="166"/>
      <c r="I238" s="167"/>
      <c r="J238" s="168"/>
      <c r="K238" s="169"/>
      <c r="L238" s="165"/>
      <c r="M238" s="165"/>
      <c r="N238" s="165"/>
      <c r="O238" s="165"/>
      <c r="P238" s="165"/>
      <c r="Q238" s="165"/>
      <c r="R238" s="165"/>
      <c r="S238" s="165"/>
      <c r="T238" s="165"/>
      <c r="U238" s="165"/>
      <c r="V238" s="165"/>
      <c r="W238" s="165"/>
      <c r="X238" s="165"/>
      <c r="Y238" s="165"/>
      <c r="Z238" s="165"/>
      <c r="AA238" s="165"/>
      <c r="AB238" s="165"/>
      <c r="AC238" s="165"/>
    </row>
    <row r="239">
      <c r="A239" s="165"/>
      <c r="B239" s="165"/>
      <c r="C239" s="165"/>
      <c r="D239" s="165"/>
      <c r="E239" s="166"/>
      <c r="F239" s="165"/>
      <c r="G239" s="167"/>
      <c r="H239" s="166"/>
      <c r="I239" s="167"/>
      <c r="J239" s="168"/>
      <c r="K239" s="169"/>
      <c r="L239" s="165"/>
      <c r="M239" s="165"/>
      <c r="N239" s="165"/>
      <c r="O239" s="165"/>
      <c r="P239" s="165"/>
      <c r="Q239" s="165"/>
      <c r="R239" s="165"/>
      <c r="S239" s="165"/>
      <c r="T239" s="165"/>
      <c r="U239" s="165"/>
      <c r="V239" s="165"/>
      <c r="W239" s="165"/>
      <c r="X239" s="165"/>
      <c r="Y239" s="165"/>
      <c r="Z239" s="165"/>
      <c r="AA239" s="165"/>
      <c r="AB239" s="165"/>
      <c r="AC239" s="165"/>
    </row>
    <row r="240">
      <c r="A240" s="165"/>
      <c r="B240" s="165"/>
      <c r="C240" s="165"/>
      <c r="D240" s="165"/>
      <c r="E240" s="166"/>
      <c r="F240" s="165"/>
      <c r="G240" s="167"/>
      <c r="H240" s="166"/>
      <c r="I240" s="167"/>
      <c r="J240" s="168"/>
      <c r="K240" s="169"/>
      <c r="L240" s="165"/>
      <c r="M240" s="165"/>
      <c r="N240" s="165"/>
      <c r="O240" s="165"/>
      <c r="P240" s="165"/>
      <c r="Q240" s="165"/>
      <c r="R240" s="165"/>
      <c r="S240" s="165"/>
      <c r="T240" s="165"/>
      <c r="U240" s="165"/>
      <c r="V240" s="165"/>
      <c r="W240" s="165"/>
      <c r="X240" s="165"/>
      <c r="Y240" s="165"/>
      <c r="Z240" s="165"/>
      <c r="AA240" s="165"/>
      <c r="AB240" s="165"/>
      <c r="AC240" s="165"/>
    </row>
    <row r="241">
      <c r="A241" s="165"/>
      <c r="B241" s="165"/>
      <c r="C241" s="165"/>
      <c r="D241" s="165"/>
      <c r="E241" s="166"/>
      <c r="F241" s="165"/>
      <c r="G241" s="167"/>
      <c r="H241" s="166"/>
      <c r="I241" s="167"/>
      <c r="J241" s="168"/>
      <c r="K241" s="169"/>
      <c r="L241" s="165"/>
      <c r="M241" s="165"/>
      <c r="N241" s="165"/>
      <c r="O241" s="165"/>
      <c r="P241" s="165"/>
      <c r="Q241" s="165"/>
      <c r="R241" s="165"/>
      <c r="S241" s="165"/>
      <c r="T241" s="165"/>
      <c r="U241" s="165"/>
      <c r="V241" s="165"/>
      <c r="W241" s="165"/>
      <c r="X241" s="165"/>
      <c r="Y241" s="165"/>
      <c r="Z241" s="165"/>
      <c r="AA241" s="165"/>
      <c r="AB241" s="165"/>
      <c r="AC241" s="165"/>
    </row>
    <row r="242">
      <c r="A242" s="165"/>
      <c r="B242" s="165"/>
      <c r="C242" s="165"/>
      <c r="D242" s="165"/>
      <c r="E242" s="166"/>
      <c r="F242" s="165"/>
      <c r="G242" s="167"/>
      <c r="H242" s="166"/>
      <c r="I242" s="167"/>
      <c r="J242" s="168"/>
      <c r="K242" s="169"/>
      <c r="L242" s="165"/>
      <c r="M242" s="165"/>
      <c r="N242" s="165"/>
      <c r="O242" s="165"/>
      <c r="P242" s="165"/>
      <c r="Q242" s="165"/>
      <c r="R242" s="165"/>
      <c r="S242" s="165"/>
      <c r="T242" s="165"/>
      <c r="U242" s="165"/>
      <c r="V242" s="165"/>
      <c r="W242" s="165"/>
      <c r="X242" s="165"/>
      <c r="Y242" s="165"/>
      <c r="Z242" s="165"/>
      <c r="AA242" s="165"/>
      <c r="AB242" s="165"/>
      <c r="AC242" s="165"/>
    </row>
    <row r="243">
      <c r="A243" s="165"/>
      <c r="B243" s="165"/>
      <c r="C243" s="165"/>
      <c r="D243" s="165"/>
      <c r="E243" s="166"/>
      <c r="F243" s="165"/>
      <c r="G243" s="167"/>
      <c r="H243" s="166"/>
      <c r="I243" s="167"/>
      <c r="J243" s="168"/>
      <c r="K243" s="169"/>
      <c r="L243" s="165"/>
      <c r="M243" s="165"/>
      <c r="N243" s="165"/>
      <c r="O243" s="165"/>
      <c r="P243" s="165"/>
      <c r="Q243" s="165"/>
      <c r="R243" s="165"/>
      <c r="S243" s="165"/>
      <c r="T243" s="165"/>
      <c r="U243" s="165"/>
      <c r="V243" s="165"/>
      <c r="W243" s="165"/>
      <c r="X243" s="165"/>
      <c r="Y243" s="165"/>
      <c r="Z243" s="165"/>
      <c r="AA243" s="165"/>
      <c r="AB243" s="165"/>
      <c r="AC243" s="165"/>
    </row>
    <row r="244">
      <c r="A244" s="165"/>
      <c r="B244" s="165"/>
      <c r="C244" s="165"/>
      <c r="D244" s="165"/>
      <c r="E244" s="166"/>
      <c r="F244" s="165"/>
      <c r="G244" s="167"/>
      <c r="H244" s="166"/>
      <c r="I244" s="167"/>
      <c r="J244" s="168"/>
      <c r="K244" s="169"/>
      <c r="L244" s="165"/>
      <c r="M244" s="165"/>
      <c r="N244" s="165"/>
      <c r="O244" s="165"/>
      <c r="P244" s="165"/>
      <c r="Q244" s="165"/>
      <c r="R244" s="165"/>
      <c r="S244" s="165"/>
      <c r="T244" s="165"/>
      <c r="U244" s="165"/>
      <c r="V244" s="165"/>
      <c r="W244" s="165"/>
      <c r="X244" s="165"/>
      <c r="Y244" s="165"/>
      <c r="Z244" s="165"/>
      <c r="AA244" s="165"/>
      <c r="AB244" s="165"/>
      <c r="AC244" s="165"/>
    </row>
    <row r="245">
      <c r="A245" s="165"/>
      <c r="B245" s="165"/>
      <c r="C245" s="165"/>
      <c r="D245" s="165"/>
      <c r="E245" s="166"/>
      <c r="F245" s="165"/>
      <c r="G245" s="167"/>
      <c r="H245" s="166"/>
      <c r="I245" s="167"/>
      <c r="J245" s="168"/>
      <c r="K245" s="169"/>
      <c r="L245" s="165"/>
      <c r="M245" s="165"/>
      <c r="N245" s="165"/>
      <c r="O245" s="165"/>
      <c r="P245" s="165"/>
      <c r="Q245" s="165"/>
      <c r="R245" s="165"/>
      <c r="S245" s="165"/>
      <c r="T245" s="165"/>
      <c r="U245" s="165"/>
      <c r="V245" s="165"/>
      <c r="W245" s="165"/>
      <c r="X245" s="165"/>
      <c r="Y245" s="165"/>
      <c r="Z245" s="165"/>
      <c r="AA245" s="165"/>
      <c r="AB245" s="165"/>
      <c r="AC245" s="165"/>
    </row>
    <row r="246">
      <c r="A246" s="165"/>
      <c r="B246" s="165"/>
      <c r="C246" s="165"/>
      <c r="D246" s="165"/>
      <c r="E246" s="166"/>
      <c r="F246" s="165"/>
      <c r="G246" s="167"/>
      <c r="H246" s="166"/>
      <c r="I246" s="167"/>
      <c r="J246" s="168"/>
      <c r="K246" s="169"/>
      <c r="L246" s="165"/>
      <c r="M246" s="165"/>
      <c r="N246" s="165"/>
      <c r="O246" s="165"/>
      <c r="P246" s="165"/>
      <c r="Q246" s="165"/>
      <c r="R246" s="165"/>
      <c r="S246" s="165"/>
      <c r="T246" s="165"/>
      <c r="U246" s="165"/>
      <c r="V246" s="165"/>
      <c r="W246" s="165"/>
      <c r="X246" s="165"/>
      <c r="Y246" s="165"/>
      <c r="Z246" s="165"/>
      <c r="AA246" s="165"/>
      <c r="AB246" s="165"/>
      <c r="AC246" s="165"/>
    </row>
    <row r="247">
      <c r="A247" s="165"/>
      <c r="B247" s="165"/>
      <c r="C247" s="165"/>
      <c r="D247" s="165"/>
      <c r="E247" s="166"/>
      <c r="F247" s="165"/>
      <c r="G247" s="167"/>
      <c r="H247" s="166"/>
      <c r="I247" s="167"/>
      <c r="J247" s="168"/>
      <c r="K247" s="169"/>
      <c r="L247" s="165"/>
      <c r="M247" s="165"/>
      <c r="N247" s="165"/>
      <c r="O247" s="165"/>
      <c r="P247" s="165"/>
      <c r="Q247" s="165"/>
      <c r="R247" s="165"/>
      <c r="S247" s="165"/>
      <c r="T247" s="165"/>
      <c r="U247" s="165"/>
      <c r="V247" s="165"/>
      <c r="W247" s="165"/>
      <c r="X247" s="165"/>
      <c r="Y247" s="165"/>
      <c r="Z247" s="165"/>
      <c r="AA247" s="165"/>
      <c r="AB247" s="165"/>
      <c r="AC247" s="165"/>
    </row>
    <row r="248">
      <c r="A248" s="165"/>
      <c r="B248" s="165"/>
      <c r="C248" s="165"/>
      <c r="D248" s="165"/>
      <c r="E248" s="166"/>
      <c r="F248" s="165"/>
      <c r="G248" s="167"/>
      <c r="H248" s="166"/>
      <c r="I248" s="167"/>
      <c r="J248" s="168"/>
      <c r="K248" s="169"/>
      <c r="L248" s="165"/>
      <c r="M248" s="165"/>
      <c r="N248" s="165"/>
      <c r="O248" s="165"/>
      <c r="P248" s="165"/>
      <c r="Q248" s="165"/>
      <c r="R248" s="165"/>
      <c r="S248" s="165"/>
      <c r="T248" s="165"/>
      <c r="U248" s="165"/>
      <c r="V248" s="165"/>
      <c r="W248" s="165"/>
      <c r="X248" s="165"/>
      <c r="Y248" s="165"/>
      <c r="Z248" s="165"/>
      <c r="AA248" s="165"/>
      <c r="AB248" s="165"/>
      <c r="AC248" s="165"/>
    </row>
    <row r="249">
      <c r="A249" s="165"/>
      <c r="B249" s="165"/>
      <c r="C249" s="165"/>
      <c r="D249" s="165"/>
      <c r="E249" s="166"/>
      <c r="F249" s="165"/>
      <c r="G249" s="167"/>
      <c r="H249" s="166"/>
      <c r="I249" s="167"/>
      <c r="J249" s="168"/>
      <c r="K249" s="169"/>
      <c r="L249" s="165"/>
      <c r="M249" s="165"/>
      <c r="N249" s="165"/>
      <c r="O249" s="165"/>
      <c r="P249" s="165"/>
      <c r="Q249" s="165"/>
      <c r="R249" s="165"/>
      <c r="S249" s="165"/>
      <c r="T249" s="165"/>
      <c r="U249" s="165"/>
      <c r="V249" s="165"/>
      <c r="W249" s="165"/>
      <c r="X249" s="165"/>
      <c r="Y249" s="165"/>
      <c r="Z249" s="165"/>
      <c r="AA249" s="165"/>
      <c r="AB249" s="165"/>
      <c r="AC249" s="165"/>
    </row>
    <row r="250">
      <c r="A250" s="165"/>
      <c r="B250" s="165"/>
      <c r="C250" s="165"/>
      <c r="D250" s="165"/>
      <c r="E250" s="166"/>
      <c r="F250" s="165"/>
      <c r="G250" s="167"/>
      <c r="H250" s="166"/>
      <c r="I250" s="167"/>
      <c r="J250" s="168"/>
      <c r="K250" s="169"/>
      <c r="L250" s="165"/>
      <c r="M250" s="165"/>
      <c r="N250" s="165"/>
      <c r="O250" s="165"/>
      <c r="P250" s="165"/>
      <c r="Q250" s="165"/>
      <c r="R250" s="165"/>
      <c r="S250" s="165"/>
      <c r="T250" s="165"/>
      <c r="U250" s="165"/>
      <c r="V250" s="165"/>
      <c r="W250" s="165"/>
      <c r="X250" s="165"/>
      <c r="Y250" s="165"/>
      <c r="Z250" s="165"/>
      <c r="AA250" s="165"/>
      <c r="AB250" s="165"/>
      <c r="AC250" s="165"/>
    </row>
    <row r="251">
      <c r="A251" s="165"/>
      <c r="B251" s="165"/>
      <c r="C251" s="165"/>
      <c r="D251" s="165"/>
      <c r="E251" s="166"/>
      <c r="F251" s="165"/>
      <c r="G251" s="167"/>
      <c r="H251" s="166"/>
      <c r="I251" s="167"/>
      <c r="J251" s="168"/>
      <c r="K251" s="169"/>
      <c r="L251" s="165"/>
      <c r="M251" s="165"/>
      <c r="N251" s="165"/>
      <c r="O251" s="165"/>
      <c r="P251" s="165"/>
      <c r="Q251" s="165"/>
      <c r="R251" s="165"/>
      <c r="S251" s="165"/>
      <c r="T251" s="165"/>
      <c r="U251" s="165"/>
      <c r="V251" s="165"/>
      <c r="W251" s="165"/>
      <c r="X251" s="165"/>
      <c r="Y251" s="165"/>
      <c r="Z251" s="165"/>
      <c r="AA251" s="165"/>
      <c r="AB251" s="165"/>
      <c r="AC251" s="165"/>
    </row>
    <row r="252">
      <c r="A252" s="165"/>
      <c r="B252" s="165"/>
      <c r="C252" s="165"/>
      <c r="D252" s="165"/>
      <c r="E252" s="166"/>
      <c r="F252" s="165"/>
      <c r="G252" s="167"/>
      <c r="H252" s="166"/>
      <c r="I252" s="167"/>
      <c r="J252" s="168"/>
      <c r="K252" s="169"/>
      <c r="L252" s="165"/>
      <c r="M252" s="165"/>
      <c r="N252" s="165"/>
      <c r="O252" s="165"/>
      <c r="P252" s="165"/>
      <c r="Q252" s="165"/>
      <c r="R252" s="165"/>
      <c r="S252" s="165"/>
      <c r="T252" s="165"/>
      <c r="U252" s="165"/>
      <c r="V252" s="165"/>
      <c r="W252" s="165"/>
      <c r="X252" s="165"/>
      <c r="Y252" s="165"/>
      <c r="Z252" s="165"/>
      <c r="AA252" s="165"/>
      <c r="AB252" s="165"/>
      <c r="AC252" s="165"/>
    </row>
    <row r="253">
      <c r="A253" s="165"/>
      <c r="B253" s="165"/>
      <c r="C253" s="165"/>
      <c r="D253" s="165"/>
      <c r="E253" s="166"/>
      <c r="F253" s="165"/>
      <c r="G253" s="167"/>
      <c r="H253" s="166"/>
      <c r="I253" s="167"/>
      <c r="J253" s="168"/>
      <c r="K253" s="169"/>
      <c r="L253" s="165"/>
      <c r="M253" s="165"/>
      <c r="N253" s="165"/>
      <c r="O253" s="165"/>
      <c r="P253" s="165"/>
      <c r="Q253" s="165"/>
      <c r="R253" s="165"/>
      <c r="S253" s="165"/>
      <c r="T253" s="165"/>
      <c r="U253" s="165"/>
      <c r="V253" s="165"/>
      <c r="W253" s="165"/>
      <c r="X253" s="165"/>
      <c r="Y253" s="165"/>
      <c r="Z253" s="165"/>
      <c r="AA253" s="165"/>
      <c r="AB253" s="165"/>
      <c r="AC253" s="165"/>
    </row>
    <row r="254">
      <c r="A254" s="165"/>
      <c r="B254" s="165"/>
      <c r="C254" s="165"/>
      <c r="D254" s="165"/>
      <c r="E254" s="166"/>
      <c r="F254" s="165"/>
      <c r="G254" s="167"/>
      <c r="H254" s="166"/>
      <c r="I254" s="167"/>
      <c r="J254" s="168"/>
      <c r="K254" s="169"/>
      <c r="L254" s="165"/>
      <c r="M254" s="165"/>
      <c r="N254" s="165"/>
      <c r="O254" s="165"/>
      <c r="P254" s="165"/>
      <c r="Q254" s="165"/>
      <c r="R254" s="165"/>
      <c r="S254" s="165"/>
      <c r="T254" s="165"/>
      <c r="U254" s="165"/>
      <c r="V254" s="165"/>
      <c r="W254" s="165"/>
      <c r="X254" s="165"/>
      <c r="Y254" s="165"/>
      <c r="Z254" s="165"/>
      <c r="AA254" s="165"/>
      <c r="AB254" s="165"/>
      <c r="AC254" s="165"/>
    </row>
    <row r="255">
      <c r="A255" s="165"/>
      <c r="B255" s="165"/>
      <c r="C255" s="165"/>
      <c r="D255" s="165"/>
      <c r="E255" s="166"/>
      <c r="F255" s="165"/>
      <c r="G255" s="167"/>
      <c r="H255" s="166"/>
      <c r="I255" s="167"/>
      <c r="J255" s="168"/>
      <c r="K255" s="169"/>
      <c r="L255" s="165"/>
      <c r="M255" s="165"/>
      <c r="N255" s="165"/>
      <c r="O255" s="165"/>
      <c r="P255" s="165"/>
      <c r="Q255" s="165"/>
      <c r="R255" s="165"/>
      <c r="S255" s="165"/>
      <c r="T255" s="165"/>
      <c r="U255" s="165"/>
      <c r="V255" s="165"/>
      <c r="W255" s="165"/>
      <c r="X255" s="165"/>
      <c r="Y255" s="165"/>
      <c r="Z255" s="165"/>
      <c r="AA255" s="165"/>
      <c r="AB255" s="165"/>
      <c r="AC255" s="165"/>
    </row>
    <row r="256">
      <c r="A256" s="165"/>
      <c r="B256" s="165"/>
      <c r="C256" s="165"/>
      <c r="D256" s="165"/>
      <c r="E256" s="166"/>
      <c r="F256" s="165"/>
      <c r="G256" s="167"/>
      <c r="H256" s="166"/>
      <c r="I256" s="167"/>
      <c r="J256" s="168"/>
      <c r="K256" s="169"/>
      <c r="L256" s="165"/>
      <c r="M256" s="165"/>
      <c r="N256" s="165"/>
      <c r="O256" s="165"/>
      <c r="P256" s="165"/>
      <c r="Q256" s="165"/>
      <c r="R256" s="165"/>
      <c r="S256" s="165"/>
      <c r="T256" s="165"/>
      <c r="U256" s="165"/>
      <c r="V256" s="165"/>
      <c r="W256" s="165"/>
      <c r="X256" s="165"/>
      <c r="Y256" s="165"/>
      <c r="Z256" s="165"/>
      <c r="AA256" s="165"/>
      <c r="AB256" s="165"/>
      <c r="AC256" s="165"/>
    </row>
    <row r="257">
      <c r="A257" s="165"/>
      <c r="B257" s="165"/>
      <c r="C257" s="165"/>
      <c r="D257" s="165"/>
      <c r="E257" s="166"/>
      <c r="F257" s="165"/>
      <c r="G257" s="167"/>
      <c r="H257" s="166"/>
      <c r="I257" s="167"/>
      <c r="J257" s="168"/>
      <c r="K257" s="169"/>
      <c r="L257" s="165"/>
      <c r="M257" s="165"/>
      <c r="N257" s="165"/>
      <c r="O257" s="165"/>
      <c r="P257" s="165"/>
      <c r="Q257" s="165"/>
      <c r="R257" s="165"/>
      <c r="S257" s="165"/>
      <c r="T257" s="165"/>
      <c r="U257" s="165"/>
      <c r="V257" s="165"/>
      <c r="W257" s="165"/>
      <c r="X257" s="165"/>
      <c r="Y257" s="165"/>
      <c r="Z257" s="165"/>
      <c r="AA257" s="165"/>
      <c r="AB257" s="165"/>
      <c r="AC257" s="165"/>
    </row>
    <row r="258">
      <c r="A258" s="165"/>
      <c r="B258" s="165"/>
      <c r="C258" s="165"/>
      <c r="D258" s="165"/>
      <c r="E258" s="166"/>
      <c r="F258" s="165"/>
      <c r="G258" s="167"/>
      <c r="H258" s="166"/>
      <c r="I258" s="167"/>
      <c r="J258" s="168"/>
      <c r="K258" s="169"/>
      <c r="L258" s="165"/>
      <c r="M258" s="165"/>
      <c r="N258" s="165"/>
      <c r="O258" s="165"/>
      <c r="P258" s="165"/>
      <c r="Q258" s="165"/>
      <c r="R258" s="165"/>
      <c r="S258" s="165"/>
      <c r="T258" s="165"/>
      <c r="U258" s="165"/>
      <c r="V258" s="165"/>
      <c r="W258" s="165"/>
      <c r="X258" s="165"/>
      <c r="Y258" s="165"/>
      <c r="Z258" s="165"/>
      <c r="AA258" s="165"/>
      <c r="AB258" s="165"/>
      <c r="AC258" s="165"/>
    </row>
    <row r="259">
      <c r="A259" s="165"/>
      <c r="B259" s="165"/>
      <c r="C259" s="165"/>
      <c r="D259" s="165"/>
      <c r="E259" s="166"/>
      <c r="F259" s="165"/>
      <c r="G259" s="167"/>
      <c r="H259" s="166"/>
      <c r="I259" s="167"/>
      <c r="J259" s="168"/>
      <c r="K259" s="169"/>
      <c r="L259" s="165"/>
      <c r="M259" s="165"/>
      <c r="N259" s="165"/>
      <c r="O259" s="165"/>
      <c r="P259" s="165"/>
      <c r="Q259" s="165"/>
      <c r="R259" s="165"/>
      <c r="S259" s="165"/>
      <c r="T259" s="165"/>
      <c r="U259" s="165"/>
      <c r="V259" s="165"/>
      <c r="W259" s="165"/>
      <c r="X259" s="165"/>
      <c r="Y259" s="165"/>
      <c r="Z259" s="165"/>
      <c r="AA259" s="165"/>
      <c r="AB259" s="165"/>
      <c r="AC259" s="165"/>
    </row>
    <row r="260">
      <c r="A260" s="165"/>
      <c r="B260" s="165"/>
      <c r="C260" s="165"/>
      <c r="D260" s="165"/>
      <c r="E260" s="166"/>
      <c r="F260" s="165"/>
      <c r="G260" s="167"/>
      <c r="H260" s="166"/>
      <c r="I260" s="167"/>
      <c r="J260" s="168"/>
      <c r="K260" s="169"/>
      <c r="L260" s="165"/>
      <c r="M260" s="165"/>
      <c r="N260" s="165"/>
      <c r="O260" s="165"/>
      <c r="P260" s="165"/>
      <c r="Q260" s="165"/>
      <c r="R260" s="165"/>
      <c r="S260" s="165"/>
      <c r="T260" s="165"/>
      <c r="U260" s="165"/>
      <c r="V260" s="165"/>
      <c r="W260" s="165"/>
      <c r="X260" s="165"/>
      <c r="Y260" s="165"/>
      <c r="Z260" s="165"/>
      <c r="AA260" s="165"/>
      <c r="AB260" s="165"/>
      <c r="AC260" s="165"/>
    </row>
    <row r="261">
      <c r="A261" s="165"/>
      <c r="B261" s="165"/>
      <c r="C261" s="165"/>
      <c r="D261" s="165"/>
      <c r="E261" s="166"/>
      <c r="F261" s="165"/>
      <c r="G261" s="167"/>
      <c r="H261" s="166"/>
      <c r="I261" s="167"/>
      <c r="J261" s="168"/>
      <c r="K261" s="169"/>
      <c r="L261" s="165"/>
      <c r="M261" s="165"/>
      <c r="N261" s="165"/>
      <c r="O261" s="165"/>
      <c r="P261" s="165"/>
      <c r="Q261" s="165"/>
      <c r="R261" s="165"/>
      <c r="S261" s="165"/>
      <c r="T261" s="165"/>
      <c r="U261" s="165"/>
      <c r="V261" s="165"/>
      <c r="W261" s="165"/>
      <c r="X261" s="165"/>
      <c r="Y261" s="165"/>
      <c r="Z261" s="165"/>
      <c r="AA261" s="165"/>
      <c r="AB261" s="165"/>
      <c r="AC261" s="165"/>
    </row>
    <row r="262">
      <c r="A262" s="165"/>
      <c r="B262" s="165"/>
      <c r="C262" s="165"/>
      <c r="D262" s="165"/>
      <c r="E262" s="166"/>
      <c r="F262" s="165"/>
      <c r="G262" s="167"/>
      <c r="H262" s="166"/>
      <c r="I262" s="167"/>
      <c r="J262" s="168"/>
      <c r="K262" s="169"/>
      <c r="L262" s="165"/>
      <c r="M262" s="165"/>
      <c r="N262" s="165"/>
      <c r="O262" s="165"/>
      <c r="P262" s="165"/>
      <c r="Q262" s="165"/>
      <c r="R262" s="165"/>
      <c r="S262" s="165"/>
      <c r="T262" s="165"/>
      <c r="U262" s="165"/>
      <c r="V262" s="165"/>
      <c r="W262" s="165"/>
      <c r="X262" s="165"/>
      <c r="Y262" s="165"/>
      <c r="Z262" s="165"/>
      <c r="AA262" s="165"/>
      <c r="AB262" s="165"/>
      <c r="AC262" s="165"/>
    </row>
    <row r="263">
      <c r="A263" s="165"/>
      <c r="B263" s="165"/>
      <c r="C263" s="165"/>
      <c r="D263" s="165"/>
      <c r="E263" s="166"/>
      <c r="F263" s="165"/>
      <c r="G263" s="167"/>
      <c r="H263" s="166"/>
      <c r="I263" s="167"/>
      <c r="J263" s="168"/>
      <c r="K263" s="169"/>
      <c r="L263" s="165"/>
      <c r="M263" s="165"/>
      <c r="N263" s="165"/>
      <c r="O263" s="165"/>
      <c r="P263" s="165"/>
      <c r="Q263" s="165"/>
      <c r="R263" s="165"/>
      <c r="S263" s="165"/>
      <c r="T263" s="165"/>
      <c r="U263" s="165"/>
      <c r="V263" s="165"/>
      <c r="W263" s="165"/>
      <c r="X263" s="165"/>
      <c r="Y263" s="165"/>
      <c r="Z263" s="165"/>
      <c r="AA263" s="165"/>
      <c r="AB263" s="165"/>
      <c r="AC263" s="165"/>
    </row>
    <row r="264">
      <c r="A264" s="165"/>
      <c r="B264" s="165"/>
      <c r="C264" s="165"/>
      <c r="D264" s="165"/>
      <c r="E264" s="166"/>
      <c r="F264" s="165"/>
      <c r="G264" s="167"/>
      <c r="H264" s="166"/>
      <c r="I264" s="167"/>
      <c r="J264" s="168"/>
      <c r="K264" s="169"/>
      <c r="L264" s="165"/>
      <c r="M264" s="165"/>
      <c r="N264" s="165"/>
      <c r="O264" s="165"/>
      <c r="P264" s="165"/>
      <c r="Q264" s="165"/>
      <c r="R264" s="165"/>
      <c r="S264" s="165"/>
      <c r="T264" s="165"/>
      <c r="U264" s="165"/>
      <c r="V264" s="165"/>
      <c r="W264" s="165"/>
      <c r="X264" s="165"/>
      <c r="Y264" s="165"/>
      <c r="Z264" s="165"/>
      <c r="AA264" s="165"/>
      <c r="AB264" s="165"/>
      <c r="AC264" s="165"/>
    </row>
    <row r="265">
      <c r="A265" s="165"/>
      <c r="B265" s="165"/>
      <c r="C265" s="165"/>
      <c r="D265" s="165"/>
      <c r="E265" s="166"/>
      <c r="F265" s="165"/>
      <c r="G265" s="167"/>
      <c r="H265" s="166"/>
      <c r="I265" s="167"/>
      <c r="J265" s="168"/>
      <c r="K265" s="169"/>
      <c r="L265" s="165"/>
      <c r="M265" s="165"/>
      <c r="N265" s="165"/>
      <c r="O265" s="165"/>
      <c r="P265" s="165"/>
      <c r="Q265" s="165"/>
      <c r="R265" s="165"/>
      <c r="S265" s="165"/>
      <c r="T265" s="165"/>
      <c r="U265" s="165"/>
      <c r="V265" s="165"/>
      <c r="W265" s="165"/>
      <c r="X265" s="165"/>
      <c r="Y265" s="165"/>
      <c r="Z265" s="165"/>
      <c r="AA265" s="165"/>
      <c r="AB265" s="165"/>
      <c r="AC265" s="165"/>
    </row>
    <row r="266">
      <c r="A266" s="165"/>
      <c r="B266" s="165"/>
      <c r="C266" s="165"/>
      <c r="D266" s="165"/>
      <c r="E266" s="166"/>
      <c r="F266" s="165"/>
      <c r="G266" s="167"/>
      <c r="H266" s="166"/>
      <c r="I266" s="167"/>
      <c r="J266" s="168"/>
      <c r="K266" s="169"/>
      <c r="L266" s="165"/>
      <c r="M266" s="165"/>
      <c r="N266" s="165"/>
      <c r="O266" s="165"/>
      <c r="P266" s="165"/>
      <c r="Q266" s="165"/>
      <c r="R266" s="165"/>
      <c r="S266" s="165"/>
      <c r="T266" s="165"/>
      <c r="U266" s="165"/>
      <c r="V266" s="165"/>
      <c r="W266" s="165"/>
      <c r="X266" s="165"/>
      <c r="Y266" s="165"/>
      <c r="Z266" s="165"/>
      <c r="AA266" s="165"/>
      <c r="AB266" s="165"/>
      <c r="AC266" s="165"/>
    </row>
    <row r="267">
      <c r="A267" s="165"/>
      <c r="B267" s="165"/>
      <c r="C267" s="165"/>
      <c r="D267" s="165"/>
      <c r="E267" s="166"/>
      <c r="F267" s="165"/>
      <c r="G267" s="167"/>
      <c r="H267" s="166"/>
      <c r="I267" s="167"/>
      <c r="J267" s="168"/>
      <c r="K267" s="169"/>
      <c r="L267" s="165"/>
      <c r="M267" s="165"/>
      <c r="N267" s="165"/>
      <c r="O267" s="165"/>
      <c r="P267" s="165"/>
      <c r="Q267" s="165"/>
      <c r="R267" s="165"/>
      <c r="S267" s="165"/>
      <c r="T267" s="165"/>
      <c r="U267" s="165"/>
      <c r="V267" s="165"/>
      <c r="W267" s="165"/>
      <c r="X267" s="165"/>
      <c r="Y267" s="165"/>
      <c r="Z267" s="165"/>
      <c r="AA267" s="165"/>
      <c r="AB267" s="165"/>
      <c r="AC267" s="165"/>
    </row>
    <row r="268">
      <c r="A268" s="165"/>
      <c r="B268" s="165"/>
      <c r="C268" s="165"/>
      <c r="D268" s="165"/>
      <c r="E268" s="166"/>
      <c r="F268" s="165"/>
      <c r="G268" s="167"/>
      <c r="H268" s="166"/>
      <c r="I268" s="167"/>
      <c r="J268" s="168"/>
      <c r="K268" s="169"/>
      <c r="L268" s="165"/>
      <c r="M268" s="165"/>
      <c r="N268" s="165"/>
      <c r="O268" s="165"/>
      <c r="P268" s="165"/>
      <c r="Q268" s="165"/>
      <c r="R268" s="165"/>
      <c r="S268" s="165"/>
      <c r="T268" s="165"/>
      <c r="U268" s="165"/>
      <c r="V268" s="165"/>
      <c r="W268" s="165"/>
      <c r="X268" s="165"/>
      <c r="Y268" s="165"/>
      <c r="Z268" s="165"/>
      <c r="AA268" s="165"/>
      <c r="AB268" s="165"/>
      <c r="AC268" s="165"/>
    </row>
    <row r="269">
      <c r="A269" s="165"/>
      <c r="B269" s="165"/>
      <c r="C269" s="165"/>
      <c r="D269" s="165"/>
      <c r="E269" s="166"/>
      <c r="F269" s="165"/>
      <c r="G269" s="167"/>
      <c r="H269" s="166"/>
      <c r="I269" s="167"/>
      <c r="J269" s="168"/>
      <c r="K269" s="169"/>
      <c r="L269" s="165"/>
      <c r="M269" s="165"/>
      <c r="N269" s="165"/>
      <c r="O269" s="165"/>
      <c r="P269" s="165"/>
      <c r="Q269" s="165"/>
      <c r="R269" s="165"/>
      <c r="S269" s="165"/>
      <c r="T269" s="165"/>
      <c r="U269" s="165"/>
      <c r="V269" s="165"/>
      <c r="W269" s="165"/>
      <c r="X269" s="165"/>
      <c r="Y269" s="165"/>
      <c r="Z269" s="165"/>
      <c r="AA269" s="165"/>
      <c r="AB269" s="165"/>
      <c r="AC269" s="165"/>
    </row>
    <row r="270">
      <c r="A270" s="165"/>
      <c r="B270" s="165"/>
      <c r="C270" s="165"/>
      <c r="D270" s="165"/>
      <c r="E270" s="166"/>
      <c r="F270" s="165"/>
      <c r="G270" s="167"/>
      <c r="H270" s="166"/>
      <c r="I270" s="167"/>
      <c r="J270" s="168"/>
      <c r="K270" s="169"/>
      <c r="L270" s="165"/>
      <c r="M270" s="165"/>
      <c r="N270" s="165"/>
      <c r="O270" s="165"/>
      <c r="P270" s="165"/>
      <c r="Q270" s="165"/>
      <c r="R270" s="165"/>
      <c r="S270" s="165"/>
      <c r="T270" s="165"/>
      <c r="U270" s="165"/>
      <c r="V270" s="165"/>
      <c r="W270" s="165"/>
      <c r="X270" s="165"/>
      <c r="Y270" s="165"/>
      <c r="Z270" s="165"/>
      <c r="AA270" s="165"/>
      <c r="AB270" s="165"/>
      <c r="AC270" s="165"/>
    </row>
    <row r="271">
      <c r="A271" s="165"/>
      <c r="B271" s="165"/>
      <c r="C271" s="165"/>
      <c r="D271" s="165"/>
      <c r="E271" s="166"/>
      <c r="F271" s="165"/>
      <c r="G271" s="167"/>
      <c r="H271" s="166"/>
      <c r="I271" s="167"/>
      <c r="J271" s="168"/>
      <c r="K271" s="169"/>
      <c r="L271" s="165"/>
      <c r="M271" s="165"/>
      <c r="N271" s="165"/>
      <c r="O271" s="165"/>
      <c r="P271" s="165"/>
      <c r="Q271" s="165"/>
      <c r="R271" s="165"/>
      <c r="S271" s="165"/>
      <c r="T271" s="165"/>
      <c r="U271" s="165"/>
      <c r="V271" s="165"/>
      <c r="W271" s="165"/>
      <c r="X271" s="165"/>
      <c r="Y271" s="165"/>
      <c r="Z271" s="165"/>
      <c r="AA271" s="165"/>
      <c r="AB271" s="165"/>
      <c r="AC271" s="165"/>
    </row>
    <row r="272">
      <c r="A272" s="165"/>
      <c r="B272" s="165"/>
      <c r="C272" s="165"/>
      <c r="D272" s="165"/>
      <c r="E272" s="166"/>
      <c r="F272" s="165"/>
      <c r="G272" s="167"/>
      <c r="H272" s="166"/>
      <c r="I272" s="167"/>
      <c r="J272" s="168"/>
      <c r="K272" s="169"/>
      <c r="L272" s="165"/>
      <c r="M272" s="165"/>
      <c r="N272" s="165"/>
      <c r="O272" s="165"/>
      <c r="P272" s="165"/>
      <c r="Q272" s="165"/>
      <c r="R272" s="165"/>
      <c r="S272" s="165"/>
      <c r="T272" s="165"/>
      <c r="U272" s="165"/>
      <c r="V272" s="165"/>
      <c r="W272" s="165"/>
      <c r="X272" s="165"/>
      <c r="Y272" s="165"/>
      <c r="Z272" s="165"/>
      <c r="AA272" s="165"/>
      <c r="AB272" s="165"/>
      <c r="AC272" s="165"/>
    </row>
    <row r="273">
      <c r="A273" s="165"/>
      <c r="B273" s="165"/>
      <c r="C273" s="165"/>
      <c r="D273" s="165"/>
      <c r="E273" s="166"/>
      <c r="F273" s="165"/>
      <c r="G273" s="167"/>
      <c r="H273" s="166"/>
      <c r="I273" s="167"/>
      <c r="J273" s="168"/>
      <c r="K273" s="169"/>
      <c r="L273" s="165"/>
      <c r="M273" s="165"/>
      <c r="N273" s="165"/>
      <c r="O273" s="165"/>
      <c r="P273" s="165"/>
      <c r="Q273" s="165"/>
      <c r="R273" s="165"/>
      <c r="S273" s="165"/>
      <c r="T273" s="165"/>
      <c r="U273" s="165"/>
      <c r="V273" s="165"/>
      <c r="W273" s="165"/>
      <c r="X273" s="165"/>
      <c r="Y273" s="165"/>
      <c r="Z273" s="165"/>
      <c r="AA273" s="165"/>
      <c r="AB273" s="165"/>
      <c r="AC273" s="165"/>
    </row>
    <row r="274">
      <c r="A274" s="165"/>
      <c r="B274" s="165"/>
      <c r="C274" s="165"/>
      <c r="D274" s="165"/>
      <c r="E274" s="166"/>
      <c r="F274" s="165"/>
      <c r="G274" s="167"/>
      <c r="H274" s="166"/>
      <c r="I274" s="167"/>
      <c r="J274" s="168"/>
      <c r="K274" s="169"/>
      <c r="L274" s="165"/>
      <c r="M274" s="165"/>
      <c r="N274" s="165"/>
      <c r="O274" s="165"/>
      <c r="P274" s="165"/>
      <c r="Q274" s="165"/>
      <c r="R274" s="165"/>
      <c r="S274" s="165"/>
      <c r="T274" s="165"/>
      <c r="U274" s="165"/>
      <c r="V274" s="165"/>
      <c r="W274" s="165"/>
      <c r="X274" s="165"/>
      <c r="Y274" s="165"/>
      <c r="Z274" s="165"/>
      <c r="AA274" s="165"/>
      <c r="AB274" s="165"/>
      <c r="AC274" s="165"/>
    </row>
    <row r="275">
      <c r="A275" s="165"/>
      <c r="B275" s="165"/>
      <c r="C275" s="165"/>
      <c r="D275" s="165"/>
      <c r="E275" s="166"/>
      <c r="F275" s="165"/>
      <c r="G275" s="167"/>
      <c r="H275" s="166"/>
      <c r="I275" s="167"/>
      <c r="J275" s="168"/>
      <c r="K275" s="169"/>
      <c r="L275" s="165"/>
      <c r="M275" s="165"/>
      <c r="N275" s="165"/>
      <c r="O275" s="165"/>
      <c r="P275" s="165"/>
      <c r="Q275" s="165"/>
      <c r="R275" s="165"/>
      <c r="S275" s="165"/>
      <c r="T275" s="165"/>
      <c r="U275" s="165"/>
      <c r="V275" s="165"/>
      <c r="W275" s="165"/>
      <c r="X275" s="165"/>
      <c r="Y275" s="165"/>
      <c r="Z275" s="165"/>
      <c r="AA275" s="165"/>
      <c r="AB275" s="165"/>
      <c r="AC275" s="165"/>
    </row>
    <row r="276">
      <c r="A276" s="165"/>
      <c r="B276" s="165"/>
      <c r="C276" s="165"/>
      <c r="D276" s="165"/>
      <c r="E276" s="166"/>
      <c r="F276" s="165"/>
      <c r="G276" s="167"/>
      <c r="H276" s="166"/>
      <c r="I276" s="167"/>
      <c r="J276" s="168"/>
      <c r="K276" s="169"/>
      <c r="L276" s="165"/>
      <c r="M276" s="165"/>
      <c r="N276" s="165"/>
      <c r="O276" s="165"/>
      <c r="P276" s="165"/>
      <c r="Q276" s="165"/>
      <c r="R276" s="165"/>
      <c r="S276" s="165"/>
      <c r="T276" s="165"/>
      <c r="U276" s="165"/>
      <c r="V276" s="165"/>
      <c r="W276" s="165"/>
      <c r="X276" s="165"/>
      <c r="Y276" s="165"/>
      <c r="Z276" s="165"/>
      <c r="AA276" s="165"/>
      <c r="AB276" s="165"/>
      <c r="AC276" s="165"/>
    </row>
    <row r="277">
      <c r="A277" s="165"/>
      <c r="B277" s="165"/>
      <c r="C277" s="165"/>
      <c r="D277" s="165"/>
      <c r="E277" s="166"/>
      <c r="F277" s="165"/>
      <c r="G277" s="167"/>
      <c r="H277" s="166"/>
      <c r="I277" s="167"/>
      <c r="J277" s="168"/>
      <c r="K277" s="169"/>
      <c r="L277" s="165"/>
      <c r="M277" s="165"/>
      <c r="N277" s="165"/>
      <c r="O277" s="165"/>
      <c r="P277" s="165"/>
      <c r="Q277" s="165"/>
      <c r="R277" s="165"/>
      <c r="S277" s="165"/>
      <c r="T277" s="165"/>
      <c r="U277" s="165"/>
      <c r="V277" s="165"/>
      <c r="W277" s="165"/>
      <c r="X277" s="165"/>
      <c r="Y277" s="165"/>
      <c r="Z277" s="165"/>
      <c r="AA277" s="165"/>
      <c r="AB277" s="165"/>
      <c r="AC277" s="165"/>
    </row>
    <row r="278">
      <c r="A278" s="165"/>
      <c r="B278" s="165"/>
      <c r="C278" s="165"/>
      <c r="D278" s="165"/>
      <c r="E278" s="166"/>
      <c r="F278" s="165"/>
      <c r="G278" s="167"/>
      <c r="H278" s="166"/>
      <c r="I278" s="167"/>
      <c r="J278" s="168"/>
      <c r="K278" s="169"/>
      <c r="L278" s="165"/>
      <c r="M278" s="165"/>
      <c r="N278" s="165"/>
      <c r="O278" s="165"/>
      <c r="P278" s="165"/>
      <c r="Q278" s="165"/>
      <c r="R278" s="165"/>
      <c r="S278" s="165"/>
      <c r="T278" s="165"/>
      <c r="U278" s="165"/>
      <c r="V278" s="165"/>
      <c r="W278" s="165"/>
      <c r="X278" s="165"/>
      <c r="Y278" s="165"/>
      <c r="Z278" s="165"/>
      <c r="AA278" s="165"/>
      <c r="AB278" s="165"/>
      <c r="AC278" s="165"/>
    </row>
    <row r="279">
      <c r="A279" s="165"/>
      <c r="B279" s="165"/>
      <c r="C279" s="165"/>
      <c r="D279" s="165"/>
      <c r="E279" s="166"/>
      <c r="F279" s="165"/>
      <c r="G279" s="167"/>
      <c r="H279" s="166"/>
      <c r="I279" s="167"/>
      <c r="J279" s="168"/>
      <c r="K279" s="169"/>
      <c r="L279" s="165"/>
      <c r="M279" s="165"/>
      <c r="N279" s="165"/>
      <c r="O279" s="165"/>
      <c r="P279" s="165"/>
      <c r="Q279" s="165"/>
      <c r="R279" s="165"/>
      <c r="S279" s="165"/>
      <c r="T279" s="165"/>
      <c r="U279" s="165"/>
      <c r="V279" s="165"/>
      <c r="W279" s="165"/>
      <c r="X279" s="165"/>
      <c r="Y279" s="165"/>
      <c r="Z279" s="165"/>
      <c r="AA279" s="165"/>
      <c r="AB279" s="165"/>
      <c r="AC279" s="165"/>
    </row>
    <row r="280">
      <c r="A280" s="165"/>
      <c r="B280" s="165"/>
      <c r="C280" s="165"/>
      <c r="D280" s="165"/>
      <c r="E280" s="166"/>
      <c r="F280" s="165"/>
      <c r="G280" s="167"/>
      <c r="H280" s="166"/>
      <c r="I280" s="167"/>
      <c r="J280" s="168"/>
      <c r="K280" s="169"/>
      <c r="L280" s="165"/>
      <c r="M280" s="165"/>
      <c r="N280" s="165"/>
      <c r="O280" s="165"/>
      <c r="P280" s="165"/>
      <c r="Q280" s="165"/>
      <c r="R280" s="165"/>
      <c r="S280" s="165"/>
      <c r="T280" s="165"/>
      <c r="U280" s="165"/>
      <c r="V280" s="165"/>
      <c r="W280" s="165"/>
      <c r="X280" s="165"/>
      <c r="Y280" s="165"/>
      <c r="Z280" s="165"/>
      <c r="AA280" s="165"/>
      <c r="AB280" s="165"/>
      <c r="AC280" s="165"/>
    </row>
    <row r="281">
      <c r="A281" s="165"/>
      <c r="B281" s="165"/>
      <c r="C281" s="165"/>
      <c r="D281" s="165"/>
      <c r="E281" s="166"/>
      <c r="F281" s="165"/>
      <c r="G281" s="167"/>
      <c r="H281" s="166"/>
      <c r="I281" s="167"/>
      <c r="J281" s="168"/>
      <c r="K281" s="169"/>
      <c r="L281" s="165"/>
      <c r="M281" s="165"/>
      <c r="N281" s="165"/>
      <c r="O281" s="165"/>
      <c r="P281" s="165"/>
      <c r="Q281" s="165"/>
      <c r="R281" s="165"/>
      <c r="S281" s="165"/>
      <c r="T281" s="165"/>
      <c r="U281" s="165"/>
      <c r="V281" s="165"/>
      <c r="W281" s="165"/>
      <c r="X281" s="165"/>
      <c r="Y281" s="165"/>
      <c r="Z281" s="165"/>
      <c r="AA281" s="165"/>
      <c r="AB281" s="165"/>
      <c r="AC281" s="165"/>
    </row>
    <row r="282">
      <c r="A282" s="165"/>
      <c r="B282" s="165"/>
      <c r="C282" s="165"/>
      <c r="D282" s="165"/>
      <c r="E282" s="166"/>
      <c r="F282" s="165"/>
      <c r="G282" s="167"/>
      <c r="H282" s="166"/>
      <c r="I282" s="167"/>
      <c r="J282" s="168"/>
      <c r="K282" s="169"/>
      <c r="L282" s="165"/>
      <c r="M282" s="165"/>
      <c r="N282" s="165"/>
      <c r="O282" s="165"/>
      <c r="P282" s="165"/>
      <c r="Q282" s="165"/>
      <c r="R282" s="165"/>
      <c r="S282" s="165"/>
      <c r="T282" s="165"/>
      <c r="U282" s="165"/>
      <c r="V282" s="165"/>
      <c r="W282" s="165"/>
      <c r="X282" s="165"/>
      <c r="Y282" s="165"/>
      <c r="Z282" s="165"/>
      <c r="AA282" s="165"/>
      <c r="AB282" s="165"/>
      <c r="AC282" s="165"/>
    </row>
    <row r="283">
      <c r="A283" s="165"/>
      <c r="B283" s="165"/>
      <c r="C283" s="165"/>
      <c r="D283" s="165"/>
      <c r="E283" s="166"/>
      <c r="F283" s="165"/>
      <c r="G283" s="167"/>
      <c r="H283" s="166"/>
      <c r="I283" s="167"/>
      <c r="J283" s="168"/>
      <c r="K283" s="169"/>
      <c r="L283" s="165"/>
      <c r="M283" s="165"/>
      <c r="N283" s="165"/>
      <c r="O283" s="165"/>
      <c r="P283" s="165"/>
      <c r="Q283" s="165"/>
      <c r="R283" s="165"/>
      <c r="S283" s="165"/>
      <c r="T283" s="165"/>
      <c r="U283" s="165"/>
      <c r="V283" s="165"/>
      <c r="W283" s="165"/>
      <c r="X283" s="165"/>
      <c r="Y283" s="165"/>
      <c r="Z283" s="165"/>
      <c r="AA283" s="165"/>
      <c r="AB283" s="165"/>
      <c r="AC283" s="165"/>
    </row>
    <row r="284">
      <c r="A284" s="165"/>
      <c r="B284" s="165"/>
      <c r="C284" s="165"/>
      <c r="D284" s="165"/>
      <c r="E284" s="166"/>
      <c r="F284" s="165"/>
      <c r="G284" s="167"/>
      <c r="H284" s="166"/>
      <c r="I284" s="167"/>
      <c r="J284" s="168"/>
      <c r="K284" s="169"/>
      <c r="L284" s="165"/>
      <c r="M284" s="165"/>
      <c r="N284" s="165"/>
      <c r="O284" s="165"/>
      <c r="P284" s="165"/>
      <c r="Q284" s="165"/>
      <c r="R284" s="165"/>
      <c r="S284" s="165"/>
      <c r="T284" s="165"/>
      <c r="U284" s="165"/>
      <c r="V284" s="165"/>
      <c r="W284" s="165"/>
      <c r="X284" s="165"/>
      <c r="Y284" s="165"/>
      <c r="Z284" s="165"/>
      <c r="AA284" s="165"/>
      <c r="AB284" s="165"/>
      <c r="AC284" s="165"/>
    </row>
    <row r="285">
      <c r="A285" s="165"/>
      <c r="B285" s="165"/>
      <c r="C285" s="165"/>
      <c r="D285" s="165"/>
      <c r="E285" s="166"/>
      <c r="F285" s="165"/>
      <c r="G285" s="167"/>
      <c r="H285" s="166"/>
      <c r="I285" s="167"/>
      <c r="J285" s="168"/>
      <c r="K285" s="169"/>
      <c r="L285" s="165"/>
      <c r="M285" s="165"/>
      <c r="N285" s="165"/>
      <c r="O285" s="165"/>
      <c r="P285" s="165"/>
      <c r="Q285" s="165"/>
      <c r="R285" s="165"/>
      <c r="S285" s="165"/>
      <c r="T285" s="165"/>
      <c r="U285" s="165"/>
      <c r="V285" s="165"/>
      <c r="W285" s="165"/>
      <c r="X285" s="165"/>
      <c r="Y285" s="165"/>
      <c r="Z285" s="165"/>
      <c r="AA285" s="165"/>
      <c r="AB285" s="165"/>
      <c r="AC285" s="165"/>
    </row>
    <row r="286">
      <c r="A286" s="165"/>
      <c r="B286" s="165"/>
      <c r="C286" s="165"/>
      <c r="D286" s="165"/>
      <c r="E286" s="166"/>
      <c r="F286" s="165"/>
      <c r="G286" s="167"/>
      <c r="H286" s="166"/>
      <c r="I286" s="167"/>
      <c r="J286" s="168"/>
      <c r="K286" s="169"/>
      <c r="L286" s="165"/>
      <c r="M286" s="165"/>
      <c r="N286" s="165"/>
      <c r="O286" s="165"/>
      <c r="P286" s="165"/>
      <c r="Q286" s="165"/>
      <c r="R286" s="165"/>
      <c r="S286" s="165"/>
      <c r="T286" s="165"/>
      <c r="U286" s="165"/>
      <c r="V286" s="165"/>
      <c r="W286" s="165"/>
      <c r="X286" s="165"/>
      <c r="Y286" s="165"/>
      <c r="Z286" s="165"/>
      <c r="AA286" s="165"/>
      <c r="AB286" s="165"/>
      <c r="AC286" s="165"/>
    </row>
    <row r="287">
      <c r="A287" s="165"/>
      <c r="B287" s="165"/>
      <c r="C287" s="165"/>
      <c r="D287" s="165"/>
      <c r="E287" s="166"/>
      <c r="F287" s="165"/>
      <c r="G287" s="167"/>
      <c r="H287" s="166"/>
      <c r="I287" s="167"/>
      <c r="J287" s="168"/>
      <c r="K287" s="169"/>
      <c r="L287" s="165"/>
      <c r="M287" s="165"/>
      <c r="N287" s="165"/>
      <c r="O287" s="165"/>
      <c r="P287" s="165"/>
      <c r="Q287" s="165"/>
      <c r="R287" s="165"/>
      <c r="S287" s="165"/>
      <c r="T287" s="165"/>
      <c r="U287" s="165"/>
      <c r="V287" s="165"/>
      <c r="W287" s="165"/>
      <c r="X287" s="165"/>
      <c r="Y287" s="165"/>
      <c r="Z287" s="165"/>
      <c r="AA287" s="165"/>
      <c r="AB287" s="165"/>
      <c r="AC287" s="165"/>
    </row>
    <row r="288">
      <c r="A288" s="165"/>
      <c r="B288" s="165"/>
      <c r="C288" s="165"/>
      <c r="D288" s="165"/>
      <c r="E288" s="166"/>
      <c r="F288" s="165"/>
      <c r="G288" s="167"/>
      <c r="H288" s="166"/>
      <c r="I288" s="167"/>
      <c r="J288" s="168"/>
      <c r="K288" s="169"/>
      <c r="L288" s="165"/>
      <c r="M288" s="165"/>
      <c r="N288" s="165"/>
      <c r="O288" s="165"/>
      <c r="P288" s="165"/>
      <c r="Q288" s="165"/>
      <c r="R288" s="165"/>
      <c r="S288" s="165"/>
      <c r="T288" s="165"/>
      <c r="U288" s="165"/>
      <c r="V288" s="165"/>
      <c r="W288" s="165"/>
      <c r="X288" s="165"/>
      <c r="Y288" s="165"/>
      <c r="Z288" s="165"/>
      <c r="AA288" s="165"/>
      <c r="AB288" s="165"/>
      <c r="AC288" s="165"/>
    </row>
    <row r="289">
      <c r="A289" s="165"/>
      <c r="B289" s="165"/>
      <c r="C289" s="165"/>
      <c r="D289" s="165"/>
      <c r="E289" s="166"/>
      <c r="F289" s="165"/>
      <c r="G289" s="167"/>
      <c r="H289" s="166"/>
      <c r="I289" s="167"/>
      <c r="J289" s="168"/>
      <c r="K289" s="169"/>
      <c r="L289" s="165"/>
      <c r="M289" s="165"/>
      <c r="N289" s="165"/>
      <c r="O289" s="165"/>
      <c r="P289" s="165"/>
      <c r="Q289" s="165"/>
      <c r="R289" s="165"/>
      <c r="S289" s="165"/>
      <c r="T289" s="165"/>
      <c r="U289" s="165"/>
      <c r="V289" s="165"/>
      <c r="W289" s="165"/>
      <c r="X289" s="165"/>
      <c r="Y289" s="165"/>
      <c r="Z289" s="165"/>
      <c r="AA289" s="165"/>
      <c r="AB289" s="165"/>
      <c r="AC289" s="165"/>
    </row>
    <row r="290">
      <c r="A290" s="165"/>
      <c r="B290" s="165"/>
      <c r="C290" s="165"/>
      <c r="D290" s="165"/>
      <c r="E290" s="166"/>
      <c r="F290" s="165"/>
      <c r="G290" s="167"/>
      <c r="H290" s="166"/>
      <c r="I290" s="167"/>
      <c r="J290" s="168"/>
      <c r="K290" s="169"/>
      <c r="L290" s="165"/>
      <c r="M290" s="165"/>
      <c r="N290" s="165"/>
      <c r="O290" s="165"/>
      <c r="P290" s="165"/>
      <c r="Q290" s="165"/>
      <c r="R290" s="165"/>
      <c r="S290" s="165"/>
      <c r="T290" s="165"/>
      <c r="U290" s="165"/>
      <c r="V290" s="165"/>
      <c r="W290" s="165"/>
      <c r="X290" s="165"/>
      <c r="Y290" s="165"/>
      <c r="Z290" s="165"/>
      <c r="AA290" s="165"/>
      <c r="AB290" s="165"/>
      <c r="AC290" s="165"/>
    </row>
    <row r="291">
      <c r="A291" s="165"/>
      <c r="B291" s="165"/>
      <c r="C291" s="165"/>
      <c r="D291" s="165"/>
      <c r="E291" s="166"/>
      <c r="F291" s="165"/>
      <c r="G291" s="167"/>
      <c r="H291" s="166"/>
      <c r="I291" s="167"/>
      <c r="J291" s="168"/>
      <c r="K291" s="169"/>
      <c r="L291" s="165"/>
      <c r="M291" s="165"/>
      <c r="N291" s="165"/>
      <c r="O291" s="165"/>
      <c r="P291" s="165"/>
      <c r="Q291" s="165"/>
      <c r="R291" s="165"/>
      <c r="S291" s="165"/>
      <c r="T291" s="165"/>
      <c r="U291" s="165"/>
      <c r="V291" s="165"/>
      <c r="W291" s="165"/>
      <c r="X291" s="165"/>
      <c r="Y291" s="165"/>
      <c r="Z291" s="165"/>
      <c r="AA291" s="165"/>
      <c r="AB291" s="165"/>
      <c r="AC291" s="165"/>
    </row>
    <row r="292">
      <c r="A292" s="165"/>
      <c r="B292" s="165"/>
      <c r="C292" s="165"/>
      <c r="D292" s="165"/>
      <c r="E292" s="166"/>
      <c r="F292" s="165"/>
      <c r="G292" s="167"/>
      <c r="H292" s="166"/>
      <c r="I292" s="167"/>
      <c r="J292" s="168"/>
      <c r="K292" s="169"/>
      <c r="L292" s="165"/>
      <c r="M292" s="165"/>
      <c r="N292" s="165"/>
      <c r="O292" s="165"/>
      <c r="P292" s="165"/>
      <c r="Q292" s="165"/>
      <c r="R292" s="165"/>
      <c r="S292" s="165"/>
      <c r="T292" s="165"/>
      <c r="U292" s="165"/>
      <c r="V292" s="165"/>
      <c r="W292" s="165"/>
      <c r="X292" s="165"/>
      <c r="Y292" s="165"/>
      <c r="Z292" s="165"/>
      <c r="AA292" s="165"/>
      <c r="AB292" s="165"/>
      <c r="AC292" s="165"/>
    </row>
    <row r="293">
      <c r="A293" s="165"/>
      <c r="B293" s="165"/>
      <c r="C293" s="165"/>
      <c r="D293" s="165"/>
      <c r="E293" s="166"/>
      <c r="F293" s="165"/>
      <c r="G293" s="167"/>
      <c r="H293" s="166"/>
      <c r="I293" s="167"/>
      <c r="J293" s="168"/>
      <c r="K293" s="169"/>
      <c r="L293" s="165"/>
      <c r="M293" s="165"/>
      <c r="N293" s="165"/>
      <c r="O293" s="165"/>
      <c r="P293" s="165"/>
      <c r="Q293" s="165"/>
      <c r="R293" s="165"/>
      <c r="S293" s="165"/>
      <c r="T293" s="165"/>
      <c r="U293" s="165"/>
      <c r="V293" s="165"/>
      <c r="W293" s="165"/>
      <c r="X293" s="165"/>
      <c r="Y293" s="165"/>
      <c r="Z293" s="165"/>
      <c r="AA293" s="165"/>
      <c r="AB293" s="165"/>
      <c r="AC293" s="165"/>
    </row>
    <row r="294">
      <c r="A294" s="165"/>
      <c r="B294" s="165"/>
      <c r="C294" s="165"/>
      <c r="D294" s="165"/>
      <c r="E294" s="166"/>
      <c r="F294" s="165"/>
      <c r="G294" s="167"/>
      <c r="H294" s="166"/>
      <c r="I294" s="167"/>
      <c r="J294" s="168"/>
      <c r="K294" s="169"/>
      <c r="L294" s="165"/>
      <c r="M294" s="165"/>
      <c r="N294" s="165"/>
      <c r="O294" s="165"/>
      <c r="P294" s="165"/>
      <c r="Q294" s="165"/>
      <c r="R294" s="165"/>
      <c r="S294" s="165"/>
      <c r="T294" s="165"/>
      <c r="U294" s="165"/>
      <c r="V294" s="165"/>
      <c r="W294" s="165"/>
      <c r="X294" s="165"/>
      <c r="Y294" s="165"/>
      <c r="Z294" s="165"/>
      <c r="AA294" s="165"/>
      <c r="AB294" s="165"/>
      <c r="AC294" s="165"/>
    </row>
    <row r="295">
      <c r="A295" s="165"/>
      <c r="B295" s="165"/>
      <c r="C295" s="165"/>
      <c r="D295" s="165"/>
      <c r="E295" s="166"/>
      <c r="F295" s="165"/>
      <c r="G295" s="167"/>
      <c r="H295" s="166"/>
      <c r="I295" s="167"/>
      <c r="J295" s="168"/>
      <c r="K295" s="169"/>
      <c r="L295" s="165"/>
      <c r="M295" s="165"/>
      <c r="N295" s="165"/>
      <c r="O295" s="165"/>
      <c r="P295" s="165"/>
      <c r="Q295" s="165"/>
      <c r="R295" s="165"/>
      <c r="S295" s="165"/>
      <c r="T295" s="165"/>
      <c r="U295" s="165"/>
      <c r="V295" s="165"/>
      <c r="W295" s="165"/>
      <c r="X295" s="165"/>
      <c r="Y295" s="165"/>
      <c r="Z295" s="165"/>
      <c r="AA295" s="165"/>
      <c r="AB295" s="165"/>
      <c r="AC295" s="165"/>
    </row>
    <row r="296">
      <c r="A296" s="165"/>
      <c r="B296" s="165"/>
      <c r="C296" s="165"/>
      <c r="D296" s="165"/>
      <c r="E296" s="166"/>
      <c r="F296" s="165"/>
      <c r="G296" s="167"/>
      <c r="H296" s="166"/>
      <c r="I296" s="167"/>
      <c r="J296" s="168"/>
      <c r="K296" s="169"/>
      <c r="L296" s="165"/>
      <c r="M296" s="165"/>
      <c r="N296" s="165"/>
      <c r="O296" s="165"/>
      <c r="P296" s="165"/>
      <c r="Q296" s="165"/>
      <c r="R296" s="165"/>
      <c r="S296" s="165"/>
      <c r="T296" s="165"/>
      <c r="U296" s="165"/>
      <c r="V296" s="165"/>
      <c r="W296" s="165"/>
      <c r="X296" s="165"/>
      <c r="Y296" s="165"/>
      <c r="Z296" s="165"/>
      <c r="AA296" s="165"/>
      <c r="AB296" s="165"/>
      <c r="AC296" s="165"/>
    </row>
    <row r="297">
      <c r="A297" s="165"/>
      <c r="B297" s="165"/>
      <c r="C297" s="165"/>
      <c r="D297" s="165"/>
      <c r="E297" s="166"/>
      <c r="F297" s="165"/>
      <c r="G297" s="167"/>
      <c r="H297" s="166"/>
      <c r="I297" s="167"/>
      <c r="J297" s="168"/>
      <c r="K297" s="169"/>
      <c r="L297" s="165"/>
      <c r="M297" s="165"/>
      <c r="N297" s="165"/>
      <c r="O297" s="165"/>
      <c r="P297" s="165"/>
      <c r="Q297" s="165"/>
      <c r="R297" s="165"/>
      <c r="S297" s="165"/>
      <c r="T297" s="165"/>
      <c r="U297" s="165"/>
      <c r="V297" s="165"/>
      <c r="W297" s="165"/>
      <c r="X297" s="165"/>
      <c r="Y297" s="165"/>
      <c r="Z297" s="165"/>
      <c r="AA297" s="165"/>
      <c r="AB297" s="165"/>
      <c r="AC297" s="165"/>
    </row>
    <row r="298">
      <c r="A298" s="165"/>
      <c r="B298" s="165"/>
      <c r="C298" s="165"/>
      <c r="D298" s="165"/>
      <c r="E298" s="166"/>
      <c r="F298" s="165"/>
      <c r="G298" s="167"/>
      <c r="H298" s="166"/>
      <c r="I298" s="167"/>
      <c r="J298" s="168"/>
      <c r="K298" s="169"/>
      <c r="L298" s="165"/>
      <c r="M298" s="165"/>
      <c r="N298" s="165"/>
      <c r="O298" s="165"/>
      <c r="P298" s="165"/>
      <c r="Q298" s="165"/>
      <c r="R298" s="165"/>
      <c r="S298" s="165"/>
      <c r="T298" s="165"/>
      <c r="U298" s="165"/>
      <c r="V298" s="165"/>
      <c r="W298" s="165"/>
      <c r="X298" s="165"/>
      <c r="Y298" s="165"/>
      <c r="Z298" s="165"/>
      <c r="AA298" s="165"/>
      <c r="AB298" s="165"/>
      <c r="AC298" s="165"/>
    </row>
    <row r="299">
      <c r="A299" s="165"/>
      <c r="B299" s="165"/>
      <c r="C299" s="165"/>
      <c r="D299" s="165"/>
      <c r="E299" s="166"/>
      <c r="F299" s="165"/>
      <c r="G299" s="167"/>
      <c r="H299" s="166"/>
      <c r="I299" s="167"/>
      <c r="J299" s="168"/>
      <c r="K299" s="169"/>
      <c r="L299" s="165"/>
      <c r="M299" s="165"/>
      <c r="N299" s="165"/>
      <c r="O299" s="165"/>
      <c r="P299" s="165"/>
      <c r="Q299" s="165"/>
      <c r="R299" s="165"/>
      <c r="S299" s="165"/>
      <c r="T299" s="165"/>
      <c r="U299" s="165"/>
      <c r="V299" s="165"/>
      <c r="W299" s="165"/>
      <c r="X299" s="165"/>
      <c r="Y299" s="165"/>
      <c r="Z299" s="165"/>
      <c r="AA299" s="165"/>
      <c r="AB299" s="165"/>
      <c r="AC299" s="165"/>
    </row>
    <row r="300">
      <c r="A300" s="165"/>
      <c r="B300" s="165"/>
      <c r="C300" s="165"/>
      <c r="D300" s="165"/>
      <c r="E300" s="166"/>
      <c r="F300" s="165"/>
      <c r="G300" s="167"/>
      <c r="H300" s="166"/>
      <c r="I300" s="167"/>
      <c r="J300" s="168"/>
      <c r="K300" s="169"/>
      <c r="L300" s="165"/>
      <c r="M300" s="165"/>
      <c r="N300" s="165"/>
      <c r="O300" s="165"/>
      <c r="P300" s="165"/>
      <c r="Q300" s="165"/>
      <c r="R300" s="165"/>
      <c r="S300" s="165"/>
      <c r="T300" s="165"/>
      <c r="U300" s="165"/>
      <c r="V300" s="165"/>
      <c r="W300" s="165"/>
      <c r="X300" s="165"/>
      <c r="Y300" s="165"/>
      <c r="Z300" s="165"/>
      <c r="AA300" s="165"/>
      <c r="AB300" s="165"/>
      <c r="AC300" s="165"/>
    </row>
    <row r="301">
      <c r="A301" s="165"/>
      <c r="B301" s="165"/>
      <c r="C301" s="165"/>
      <c r="D301" s="165"/>
      <c r="E301" s="166"/>
      <c r="F301" s="165"/>
      <c r="G301" s="167"/>
      <c r="H301" s="166"/>
      <c r="I301" s="167"/>
      <c r="J301" s="168"/>
      <c r="K301" s="169"/>
      <c r="L301" s="165"/>
      <c r="M301" s="165"/>
      <c r="N301" s="165"/>
      <c r="O301" s="165"/>
      <c r="P301" s="165"/>
      <c r="Q301" s="165"/>
      <c r="R301" s="165"/>
      <c r="S301" s="165"/>
      <c r="T301" s="165"/>
      <c r="U301" s="165"/>
      <c r="V301" s="165"/>
      <c r="W301" s="165"/>
      <c r="X301" s="165"/>
      <c r="Y301" s="165"/>
      <c r="Z301" s="165"/>
      <c r="AA301" s="165"/>
      <c r="AB301" s="165"/>
      <c r="AC301" s="165"/>
    </row>
    <row r="302">
      <c r="A302" s="165"/>
      <c r="B302" s="165"/>
      <c r="C302" s="165"/>
      <c r="D302" s="165"/>
      <c r="E302" s="166"/>
      <c r="F302" s="165"/>
      <c r="G302" s="167"/>
      <c r="H302" s="166"/>
      <c r="I302" s="167"/>
      <c r="J302" s="168"/>
      <c r="K302" s="169"/>
      <c r="L302" s="165"/>
      <c r="M302" s="165"/>
      <c r="N302" s="165"/>
      <c r="O302" s="165"/>
      <c r="P302" s="165"/>
      <c r="Q302" s="165"/>
      <c r="R302" s="165"/>
      <c r="S302" s="165"/>
      <c r="T302" s="165"/>
      <c r="U302" s="165"/>
      <c r="V302" s="165"/>
      <c r="W302" s="165"/>
      <c r="X302" s="165"/>
      <c r="Y302" s="165"/>
      <c r="Z302" s="165"/>
      <c r="AA302" s="165"/>
      <c r="AB302" s="165"/>
      <c r="AC302" s="165"/>
    </row>
    <row r="303">
      <c r="A303" s="165"/>
      <c r="B303" s="165"/>
      <c r="C303" s="165"/>
      <c r="D303" s="165"/>
      <c r="E303" s="166"/>
      <c r="F303" s="165"/>
      <c r="G303" s="167"/>
      <c r="H303" s="166"/>
      <c r="I303" s="167"/>
      <c r="J303" s="168"/>
      <c r="K303" s="169"/>
      <c r="L303" s="165"/>
      <c r="M303" s="165"/>
      <c r="N303" s="165"/>
      <c r="O303" s="165"/>
      <c r="P303" s="165"/>
      <c r="Q303" s="165"/>
      <c r="R303" s="165"/>
      <c r="S303" s="165"/>
      <c r="T303" s="165"/>
      <c r="U303" s="165"/>
      <c r="V303" s="165"/>
      <c r="W303" s="165"/>
      <c r="X303" s="165"/>
      <c r="Y303" s="165"/>
      <c r="Z303" s="165"/>
      <c r="AA303" s="165"/>
      <c r="AB303" s="165"/>
      <c r="AC303" s="165"/>
    </row>
    <row r="304">
      <c r="A304" s="165"/>
      <c r="B304" s="165"/>
      <c r="C304" s="165"/>
      <c r="D304" s="165"/>
      <c r="E304" s="166"/>
      <c r="F304" s="165"/>
      <c r="G304" s="167"/>
      <c r="H304" s="166"/>
      <c r="I304" s="167"/>
      <c r="J304" s="168"/>
      <c r="K304" s="169"/>
      <c r="L304" s="165"/>
      <c r="M304" s="165"/>
      <c r="N304" s="165"/>
      <c r="O304" s="165"/>
      <c r="P304" s="165"/>
      <c r="Q304" s="165"/>
      <c r="R304" s="165"/>
      <c r="S304" s="165"/>
      <c r="T304" s="165"/>
      <c r="U304" s="165"/>
      <c r="V304" s="165"/>
      <c r="W304" s="165"/>
      <c r="X304" s="165"/>
      <c r="Y304" s="165"/>
      <c r="Z304" s="165"/>
      <c r="AA304" s="165"/>
      <c r="AB304" s="165"/>
      <c r="AC304" s="165"/>
    </row>
    <row r="305">
      <c r="A305" s="165"/>
      <c r="B305" s="165"/>
      <c r="C305" s="165"/>
      <c r="D305" s="165"/>
      <c r="E305" s="166"/>
      <c r="F305" s="165"/>
      <c r="G305" s="167"/>
      <c r="H305" s="166"/>
      <c r="I305" s="167"/>
      <c r="J305" s="168"/>
      <c r="K305" s="169"/>
      <c r="L305" s="165"/>
      <c r="M305" s="165"/>
      <c r="N305" s="165"/>
      <c r="O305" s="165"/>
      <c r="P305" s="165"/>
      <c r="Q305" s="165"/>
      <c r="R305" s="165"/>
      <c r="S305" s="165"/>
      <c r="T305" s="165"/>
      <c r="U305" s="165"/>
      <c r="V305" s="165"/>
      <c r="W305" s="165"/>
      <c r="X305" s="165"/>
      <c r="Y305" s="165"/>
      <c r="Z305" s="165"/>
      <c r="AA305" s="165"/>
      <c r="AB305" s="165"/>
      <c r="AC305" s="165"/>
    </row>
    <row r="306">
      <c r="A306" s="165"/>
      <c r="B306" s="165"/>
      <c r="C306" s="165"/>
      <c r="D306" s="165"/>
      <c r="E306" s="166"/>
      <c r="F306" s="165"/>
      <c r="G306" s="167"/>
      <c r="H306" s="166"/>
      <c r="I306" s="167"/>
      <c r="J306" s="168"/>
      <c r="K306" s="169"/>
      <c r="L306" s="165"/>
      <c r="M306" s="165"/>
      <c r="N306" s="165"/>
      <c r="O306" s="165"/>
      <c r="P306" s="165"/>
      <c r="Q306" s="165"/>
      <c r="R306" s="165"/>
      <c r="S306" s="165"/>
      <c r="T306" s="165"/>
      <c r="U306" s="165"/>
      <c r="V306" s="165"/>
      <c r="W306" s="165"/>
      <c r="X306" s="165"/>
      <c r="Y306" s="165"/>
      <c r="Z306" s="165"/>
      <c r="AA306" s="165"/>
      <c r="AB306" s="165"/>
      <c r="AC306" s="165"/>
    </row>
    <row r="307">
      <c r="A307" s="165"/>
      <c r="B307" s="165"/>
      <c r="C307" s="165"/>
      <c r="D307" s="165"/>
      <c r="E307" s="166"/>
      <c r="F307" s="165"/>
      <c r="G307" s="167"/>
      <c r="H307" s="166"/>
      <c r="I307" s="167"/>
      <c r="J307" s="168"/>
      <c r="K307" s="169"/>
      <c r="L307" s="165"/>
      <c r="M307" s="165"/>
      <c r="N307" s="165"/>
      <c r="O307" s="165"/>
      <c r="P307" s="165"/>
      <c r="Q307" s="165"/>
      <c r="R307" s="165"/>
      <c r="S307" s="165"/>
      <c r="T307" s="165"/>
      <c r="U307" s="165"/>
      <c r="V307" s="165"/>
      <c r="W307" s="165"/>
      <c r="X307" s="165"/>
      <c r="Y307" s="165"/>
      <c r="Z307" s="165"/>
      <c r="AA307" s="165"/>
      <c r="AB307" s="165"/>
      <c r="AC307" s="165"/>
    </row>
    <row r="308">
      <c r="A308" s="165"/>
      <c r="B308" s="165"/>
      <c r="C308" s="165"/>
      <c r="D308" s="165"/>
      <c r="E308" s="166"/>
      <c r="F308" s="165"/>
      <c r="G308" s="167"/>
      <c r="H308" s="166"/>
      <c r="I308" s="167"/>
      <c r="J308" s="168"/>
      <c r="K308" s="169"/>
      <c r="L308" s="165"/>
      <c r="M308" s="165"/>
      <c r="N308" s="165"/>
      <c r="O308" s="165"/>
      <c r="P308" s="165"/>
      <c r="Q308" s="165"/>
      <c r="R308" s="165"/>
      <c r="S308" s="165"/>
      <c r="T308" s="165"/>
      <c r="U308" s="165"/>
      <c r="V308" s="165"/>
      <c r="W308" s="165"/>
      <c r="X308" s="165"/>
      <c r="Y308" s="165"/>
      <c r="Z308" s="165"/>
      <c r="AA308" s="165"/>
      <c r="AB308" s="165"/>
      <c r="AC308" s="165"/>
    </row>
    <row r="309">
      <c r="A309" s="165"/>
      <c r="B309" s="165"/>
      <c r="C309" s="165"/>
      <c r="D309" s="165"/>
      <c r="E309" s="166"/>
      <c r="F309" s="165"/>
      <c r="G309" s="167"/>
      <c r="H309" s="166"/>
      <c r="I309" s="167"/>
      <c r="J309" s="168"/>
      <c r="K309" s="169"/>
      <c r="L309" s="165"/>
      <c r="M309" s="165"/>
      <c r="N309" s="165"/>
      <c r="O309" s="165"/>
      <c r="P309" s="165"/>
      <c r="Q309" s="165"/>
      <c r="R309" s="165"/>
      <c r="S309" s="165"/>
      <c r="T309" s="165"/>
      <c r="U309" s="165"/>
      <c r="V309" s="165"/>
      <c r="W309" s="165"/>
      <c r="X309" s="165"/>
      <c r="Y309" s="165"/>
      <c r="Z309" s="165"/>
      <c r="AA309" s="165"/>
      <c r="AB309" s="165"/>
      <c r="AC309" s="165"/>
    </row>
    <row r="310">
      <c r="A310" s="165"/>
      <c r="B310" s="165"/>
      <c r="C310" s="165"/>
      <c r="D310" s="165"/>
      <c r="E310" s="166"/>
      <c r="F310" s="165"/>
      <c r="G310" s="167"/>
      <c r="H310" s="166"/>
      <c r="I310" s="167"/>
      <c r="J310" s="168"/>
      <c r="K310" s="169"/>
      <c r="L310" s="165"/>
      <c r="M310" s="165"/>
      <c r="N310" s="165"/>
      <c r="O310" s="165"/>
      <c r="P310" s="165"/>
      <c r="Q310" s="165"/>
      <c r="R310" s="165"/>
      <c r="S310" s="165"/>
      <c r="T310" s="165"/>
      <c r="U310" s="165"/>
      <c r="V310" s="165"/>
      <c r="W310" s="165"/>
      <c r="X310" s="165"/>
      <c r="Y310" s="165"/>
      <c r="Z310" s="165"/>
      <c r="AA310" s="165"/>
      <c r="AB310" s="165"/>
      <c r="AC310" s="165"/>
    </row>
    <row r="311">
      <c r="A311" s="165"/>
      <c r="B311" s="165"/>
      <c r="C311" s="165"/>
      <c r="D311" s="165"/>
      <c r="E311" s="166"/>
      <c r="F311" s="165"/>
      <c r="G311" s="167"/>
      <c r="H311" s="166"/>
      <c r="I311" s="167"/>
      <c r="J311" s="168"/>
      <c r="K311" s="169"/>
      <c r="L311" s="165"/>
      <c r="M311" s="165"/>
      <c r="N311" s="165"/>
      <c r="O311" s="165"/>
      <c r="P311" s="165"/>
      <c r="Q311" s="165"/>
      <c r="R311" s="165"/>
      <c r="S311" s="165"/>
      <c r="T311" s="165"/>
      <c r="U311" s="165"/>
      <c r="V311" s="165"/>
      <c r="W311" s="165"/>
      <c r="X311" s="165"/>
      <c r="Y311" s="165"/>
      <c r="Z311" s="165"/>
      <c r="AA311" s="165"/>
      <c r="AB311" s="165"/>
      <c r="AC311" s="165"/>
    </row>
    <row r="312">
      <c r="A312" s="165"/>
      <c r="B312" s="165"/>
      <c r="C312" s="165"/>
      <c r="D312" s="165"/>
      <c r="E312" s="166"/>
      <c r="F312" s="165"/>
      <c r="G312" s="167"/>
      <c r="H312" s="166"/>
      <c r="I312" s="167"/>
      <c r="J312" s="168"/>
      <c r="K312" s="169"/>
      <c r="L312" s="165"/>
      <c r="M312" s="165"/>
      <c r="N312" s="165"/>
      <c r="O312" s="165"/>
      <c r="P312" s="165"/>
      <c r="Q312" s="165"/>
      <c r="R312" s="165"/>
      <c r="S312" s="165"/>
      <c r="T312" s="165"/>
      <c r="U312" s="165"/>
      <c r="V312" s="165"/>
      <c r="W312" s="165"/>
      <c r="X312" s="165"/>
      <c r="Y312" s="165"/>
      <c r="Z312" s="165"/>
      <c r="AA312" s="165"/>
      <c r="AB312" s="165"/>
      <c r="AC312" s="165"/>
    </row>
    <row r="313">
      <c r="A313" s="165"/>
      <c r="B313" s="165"/>
      <c r="C313" s="165"/>
      <c r="D313" s="165"/>
      <c r="E313" s="166"/>
      <c r="F313" s="165"/>
      <c r="G313" s="167"/>
      <c r="H313" s="166"/>
      <c r="I313" s="167"/>
      <c r="J313" s="168"/>
      <c r="K313" s="169"/>
      <c r="L313" s="165"/>
      <c r="M313" s="165"/>
      <c r="N313" s="165"/>
      <c r="O313" s="165"/>
      <c r="P313" s="165"/>
      <c r="Q313" s="165"/>
      <c r="R313" s="165"/>
      <c r="S313" s="165"/>
      <c r="T313" s="165"/>
      <c r="U313" s="165"/>
      <c r="V313" s="165"/>
      <c r="W313" s="165"/>
      <c r="X313" s="165"/>
      <c r="Y313" s="165"/>
      <c r="Z313" s="165"/>
      <c r="AA313" s="165"/>
      <c r="AB313" s="165"/>
      <c r="AC313" s="165"/>
    </row>
    <row r="314">
      <c r="A314" s="165"/>
      <c r="B314" s="165"/>
      <c r="C314" s="165"/>
      <c r="D314" s="165"/>
      <c r="E314" s="166"/>
      <c r="F314" s="165"/>
      <c r="G314" s="167"/>
      <c r="H314" s="166"/>
      <c r="I314" s="167"/>
      <c r="J314" s="168"/>
      <c r="K314" s="169"/>
      <c r="L314" s="165"/>
      <c r="M314" s="165"/>
      <c r="N314" s="165"/>
      <c r="O314" s="165"/>
      <c r="P314" s="165"/>
      <c r="Q314" s="165"/>
      <c r="R314" s="165"/>
      <c r="S314" s="165"/>
      <c r="T314" s="165"/>
      <c r="U314" s="165"/>
      <c r="V314" s="165"/>
      <c r="W314" s="165"/>
      <c r="X314" s="165"/>
      <c r="Y314" s="165"/>
      <c r="Z314" s="165"/>
      <c r="AA314" s="165"/>
      <c r="AB314" s="165"/>
      <c r="AC314" s="165"/>
    </row>
    <row r="315">
      <c r="A315" s="165"/>
      <c r="B315" s="165"/>
      <c r="C315" s="165"/>
      <c r="D315" s="165"/>
      <c r="E315" s="166"/>
      <c r="F315" s="165"/>
      <c r="G315" s="167"/>
      <c r="H315" s="166"/>
      <c r="I315" s="167"/>
      <c r="J315" s="168"/>
      <c r="K315" s="169"/>
      <c r="L315" s="165"/>
      <c r="M315" s="165"/>
      <c r="N315" s="165"/>
      <c r="O315" s="165"/>
      <c r="P315" s="165"/>
      <c r="Q315" s="165"/>
      <c r="R315" s="165"/>
      <c r="S315" s="165"/>
      <c r="T315" s="165"/>
      <c r="U315" s="165"/>
      <c r="V315" s="165"/>
      <c r="W315" s="165"/>
      <c r="X315" s="165"/>
      <c r="Y315" s="165"/>
      <c r="Z315" s="165"/>
      <c r="AA315" s="165"/>
      <c r="AB315" s="165"/>
      <c r="AC315" s="165"/>
    </row>
    <row r="316">
      <c r="A316" s="165"/>
      <c r="B316" s="165"/>
      <c r="C316" s="165"/>
      <c r="D316" s="165"/>
      <c r="E316" s="166"/>
      <c r="F316" s="165"/>
      <c r="G316" s="167"/>
      <c r="H316" s="166"/>
      <c r="I316" s="167"/>
      <c r="J316" s="168"/>
      <c r="K316" s="169"/>
      <c r="L316" s="165"/>
      <c r="M316" s="165"/>
      <c r="N316" s="165"/>
      <c r="O316" s="165"/>
      <c r="P316" s="165"/>
      <c r="Q316" s="165"/>
      <c r="R316" s="165"/>
      <c r="S316" s="165"/>
      <c r="T316" s="165"/>
      <c r="U316" s="165"/>
      <c r="V316" s="165"/>
      <c r="W316" s="165"/>
      <c r="X316" s="165"/>
      <c r="Y316" s="165"/>
      <c r="Z316" s="165"/>
      <c r="AA316" s="165"/>
      <c r="AB316" s="165"/>
      <c r="AC316" s="165"/>
    </row>
    <row r="317">
      <c r="A317" s="165"/>
      <c r="B317" s="165"/>
      <c r="C317" s="165"/>
      <c r="D317" s="165"/>
      <c r="E317" s="166"/>
      <c r="F317" s="165"/>
      <c r="G317" s="167"/>
      <c r="H317" s="166"/>
      <c r="I317" s="167"/>
      <c r="J317" s="168"/>
      <c r="K317" s="169"/>
      <c r="L317" s="165"/>
      <c r="M317" s="165"/>
      <c r="N317" s="165"/>
      <c r="O317" s="165"/>
      <c r="P317" s="165"/>
      <c r="Q317" s="165"/>
      <c r="R317" s="165"/>
      <c r="S317" s="165"/>
      <c r="T317" s="165"/>
      <c r="U317" s="165"/>
      <c r="V317" s="165"/>
      <c r="W317" s="165"/>
      <c r="X317" s="165"/>
      <c r="Y317" s="165"/>
      <c r="Z317" s="165"/>
      <c r="AA317" s="165"/>
      <c r="AB317" s="165"/>
      <c r="AC317" s="165"/>
    </row>
    <row r="318">
      <c r="A318" s="165"/>
      <c r="B318" s="165"/>
      <c r="C318" s="165"/>
      <c r="D318" s="165"/>
      <c r="E318" s="166"/>
      <c r="F318" s="165"/>
      <c r="G318" s="167"/>
      <c r="H318" s="166"/>
      <c r="I318" s="167"/>
      <c r="J318" s="168"/>
      <c r="K318" s="169"/>
      <c r="L318" s="165"/>
      <c r="M318" s="165"/>
      <c r="N318" s="165"/>
      <c r="O318" s="165"/>
      <c r="P318" s="165"/>
      <c r="Q318" s="165"/>
      <c r="R318" s="165"/>
      <c r="S318" s="165"/>
      <c r="T318" s="165"/>
      <c r="U318" s="165"/>
      <c r="V318" s="165"/>
      <c r="W318" s="165"/>
      <c r="X318" s="165"/>
      <c r="Y318" s="165"/>
      <c r="Z318" s="165"/>
      <c r="AA318" s="165"/>
      <c r="AB318" s="165"/>
      <c r="AC318" s="165"/>
    </row>
    <row r="319">
      <c r="A319" s="165"/>
      <c r="B319" s="165"/>
      <c r="C319" s="165"/>
      <c r="D319" s="165"/>
      <c r="E319" s="166"/>
      <c r="F319" s="165"/>
      <c r="G319" s="167"/>
      <c r="H319" s="166"/>
      <c r="I319" s="167"/>
      <c r="J319" s="168"/>
      <c r="K319" s="169"/>
      <c r="L319" s="165"/>
      <c r="M319" s="165"/>
      <c r="N319" s="165"/>
      <c r="O319" s="165"/>
      <c r="P319" s="165"/>
      <c r="Q319" s="165"/>
      <c r="R319" s="165"/>
      <c r="S319" s="165"/>
      <c r="T319" s="165"/>
      <c r="U319" s="165"/>
      <c r="V319" s="165"/>
      <c r="W319" s="165"/>
      <c r="X319" s="165"/>
      <c r="Y319" s="165"/>
      <c r="Z319" s="165"/>
      <c r="AA319" s="165"/>
      <c r="AB319" s="165"/>
      <c r="AC319" s="165"/>
    </row>
    <row r="320">
      <c r="A320" s="165"/>
      <c r="B320" s="165"/>
      <c r="C320" s="165"/>
      <c r="D320" s="165"/>
      <c r="E320" s="166"/>
      <c r="F320" s="165"/>
      <c r="G320" s="167"/>
      <c r="H320" s="166"/>
      <c r="I320" s="167"/>
      <c r="J320" s="168"/>
      <c r="K320" s="169"/>
      <c r="L320" s="165"/>
      <c r="M320" s="165"/>
      <c r="N320" s="165"/>
      <c r="O320" s="165"/>
      <c r="P320" s="165"/>
      <c r="Q320" s="165"/>
      <c r="R320" s="165"/>
      <c r="S320" s="165"/>
      <c r="T320" s="165"/>
      <c r="U320" s="165"/>
      <c r="V320" s="165"/>
      <c r="W320" s="165"/>
      <c r="X320" s="165"/>
      <c r="Y320" s="165"/>
      <c r="Z320" s="165"/>
      <c r="AA320" s="165"/>
      <c r="AB320" s="165"/>
      <c r="AC320" s="165"/>
    </row>
    <row r="321">
      <c r="A321" s="165"/>
      <c r="B321" s="165"/>
      <c r="C321" s="165"/>
      <c r="D321" s="165"/>
      <c r="E321" s="166"/>
      <c r="F321" s="165"/>
      <c r="G321" s="167"/>
      <c r="H321" s="166"/>
      <c r="I321" s="167"/>
      <c r="J321" s="168"/>
      <c r="K321" s="169"/>
      <c r="L321" s="165"/>
      <c r="M321" s="165"/>
      <c r="N321" s="165"/>
      <c r="O321" s="165"/>
      <c r="P321" s="165"/>
      <c r="Q321" s="165"/>
      <c r="R321" s="165"/>
      <c r="S321" s="165"/>
      <c r="T321" s="165"/>
      <c r="U321" s="165"/>
      <c r="V321" s="165"/>
      <c r="W321" s="165"/>
      <c r="X321" s="165"/>
      <c r="Y321" s="165"/>
      <c r="Z321" s="165"/>
      <c r="AA321" s="165"/>
      <c r="AB321" s="165"/>
      <c r="AC321" s="165"/>
    </row>
    <row r="322">
      <c r="A322" s="165"/>
      <c r="B322" s="165"/>
      <c r="C322" s="165"/>
      <c r="D322" s="165"/>
      <c r="E322" s="166"/>
      <c r="F322" s="165"/>
      <c r="G322" s="167"/>
      <c r="H322" s="166"/>
      <c r="I322" s="167"/>
      <c r="J322" s="168"/>
      <c r="K322" s="169"/>
      <c r="L322" s="165"/>
      <c r="M322" s="165"/>
      <c r="N322" s="165"/>
      <c r="O322" s="165"/>
      <c r="P322" s="165"/>
      <c r="Q322" s="165"/>
      <c r="R322" s="165"/>
      <c r="S322" s="165"/>
      <c r="T322" s="165"/>
      <c r="U322" s="165"/>
      <c r="V322" s="165"/>
      <c r="W322" s="165"/>
      <c r="X322" s="165"/>
      <c r="Y322" s="165"/>
      <c r="Z322" s="165"/>
      <c r="AA322" s="165"/>
      <c r="AB322" s="165"/>
      <c r="AC322" s="165"/>
    </row>
    <row r="323">
      <c r="A323" s="165"/>
      <c r="B323" s="165"/>
      <c r="C323" s="165"/>
      <c r="D323" s="165"/>
      <c r="E323" s="166"/>
      <c r="F323" s="165"/>
      <c r="G323" s="167"/>
      <c r="H323" s="166"/>
      <c r="I323" s="167"/>
      <c r="J323" s="168"/>
      <c r="K323" s="169"/>
      <c r="L323" s="165"/>
      <c r="M323" s="165"/>
      <c r="N323" s="165"/>
      <c r="O323" s="165"/>
      <c r="P323" s="165"/>
      <c r="Q323" s="165"/>
      <c r="R323" s="165"/>
      <c r="S323" s="165"/>
      <c r="T323" s="165"/>
      <c r="U323" s="165"/>
      <c r="V323" s="165"/>
      <c r="W323" s="165"/>
      <c r="X323" s="165"/>
      <c r="Y323" s="165"/>
      <c r="Z323" s="165"/>
      <c r="AA323" s="165"/>
      <c r="AB323" s="165"/>
      <c r="AC323" s="165"/>
    </row>
    <row r="324">
      <c r="A324" s="165"/>
      <c r="B324" s="165"/>
      <c r="C324" s="165"/>
      <c r="D324" s="165"/>
      <c r="E324" s="166"/>
      <c r="F324" s="165"/>
      <c r="G324" s="167"/>
      <c r="H324" s="166"/>
      <c r="I324" s="167"/>
      <c r="J324" s="168"/>
      <c r="K324" s="169"/>
      <c r="L324" s="165"/>
      <c r="M324" s="165"/>
      <c r="N324" s="165"/>
      <c r="O324" s="165"/>
      <c r="P324" s="165"/>
      <c r="Q324" s="165"/>
      <c r="R324" s="165"/>
      <c r="S324" s="165"/>
      <c r="T324" s="165"/>
      <c r="U324" s="165"/>
      <c r="V324" s="165"/>
      <c r="W324" s="165"/>
      <c r="X324" s="165"/>
      <c r="Y324" s="165"/>
      <c r="Z324" s="165"/>
      <c r="AA324" s="165"/>
      <c r="AB324" s="165"/>
      <c r="AC324" s="165"/>
    </row>
    <row r="325">
      <c r="A325" s="165"/>
      <c r="B325" s="165"/>
      <c r="C325" s="165"/>
      <c r="D325" s="165"/>
      <c r="E325" s="166"/>
      <c r="F325" s="165"/>
      <c r="G325" s="167"/>
      <c r="H325" s="166"/>
      <c r="I325" s="167"/>
      <c r="J325" s="168"/>
      <c r="K325" s="169"/>
      <c r="L325" s="165"/>
      <c r="M325" s="165"/>
      <c r="N325" s="165"/>
      <c r="O325" s="165"/>
      <c r="P325" s="165"/>
      <c r="Q325" s="165"/>
      <c r="R325" s="165"/>
      <c r="S325" s="165"/>
      <c r="T325" s="165"/>
      <c r="U325" s="165"/>
      <c r="V325" s="165"/>
      <c r="W325" s="165"/>
      <c r="X325" s="165"/>
      <c r="Y325" s="165"/>
      <c r="Z325" s="165"/>
      <c r="AA325" s="165"/>
      <c r="AB325" s="165"/>
      <c r="AC325" s="165"/>
    </row>
    <row r="326">
      <c r="A326" s="165"/>
      <c r="B326" s="165"/>
      <c r="C326" s="165"/>
      <c r="D326" s="165"/>
      <c r="E326" s="166"/>
      <c r="F326" s="165"/>
      <c r="G326" s="167"/>
      <c r="H326" s="166"/>
      <c r="I326" s="167"/>
      <c r="J326" s="168"/>
      <c r="K326" s="169"/>
      <c r="L326" s="165"/>
      <c r="M326" s="165"/>
      <c r="N326" s="165"/>
      <c r="O326" s="165"/>
      <c r="P326" s="165"/>
      <c r="Q326" s="165"/>
      <c r="R326" s="165"/>
      <c r="S326" s="165"/>
      <c r="T326" s="165"/>
      <c r="U326" s="165"/>
      <c r="V326" s="165"/>
      <c r="W326" s="165"/>
      <c r="X326" s="165"/>
      <c r="Y326" s="165"/>
      <c r="Z326" s="165"/>
      <c r="AA326" s="165"/>
      <c r="AB326" s="165"/>
      <c r="AC326" s="165"/>
    </row>
    <row r="327">
      <c r="A327" s="165"/>
      <c r="B327" s="165"/>
      <c r="C327" s="165"/>
      <c r="D327" s="165"/>
      <c r="E327" s="166"/>
      <c r="F327" s="165"/>
      <c r="G327" s="167"/>
      <c r="H327" s="166"/>
      <c r="I327" s="167"/>
      <c r="J327" s="168"/>
      <c r="K327" s="169"/>
      <c r="L327" s="165"/>
      <c r="M327" s="165"/>
      <c r="N327" s="165"/>
      <c r="O327" s="165"/>
      <c r="P327" s="165"/>
      <c r="Q327" s="165"/>
      <c r="R327" s="165"/>
      <c r="S327" s="165"/>
      <c r="T327" s="165"/>
      <c r="U327" s="165"/>
      <c r="V327" s="165"/>
      <c r="W327" s="165"/>
      <c r="X327" s="165"/>
      <c r="Y327" s="165"/>
      <c r="Z327" s="165"/>
      <c r="AA327" s="165"/>
      <c r="AB327" s="165"/>
      <c r="AC327" s="165"/>
    </row>
    <row r="328">
      <c r="A328" s="165"/>
      <c r="B328" s="165"/>
      <c r="C328" s="165"/>
      <c r="D328" s="165"/>
      <c r="E328" s="166"/>
      <c r="F328" s="165"/>
      <c r="G328" s="167"/>
      <c r="H328" s="166"/>
      <c r="I328" s="167"/>
      <c r="J328" s="168"/>
      <c r="K328" s="169"/>
      <c r="L328" s="165"/>
      <c r="M328" s="165"/>
      <c r="N328" s="165"/>
      <c r="O328" s="165"/>
      <c r="P328" s="165"/>
      <c r="Q328" s="165"/>
      <c r="R328" s="165"/>
      <c r="S328" s="165"/>
      <c r="T328" s="165"/>
      <c r="U328" s="165"/>
      <c r="V328" s="165"/>
      <c r="W328" s="165"/>
      <c r="X328" s="165"/>
      <c r="Y328" s="165"/>
      <c r="Z328" s="165"/>
      <c r="AA328" s="165"/>
      <c r="AB328" s="165"/>
      <c r="AC328" s="165"/>
    </row>
    <row r="329">
      <c r="A329" s="165"/>
      <c r="B329" s="165"/>
      <c r="C329" s="165"/>
      <c r="D329" s="165"/>
      <c r="E329" s="166"/>
      <c r="F329" s="165"/>
      <c r="G329" s="167"/>
      <c r="H329" s="166"/>
      <c r="I329" s="167"/>
      <c r="J329" s="168"/>
      <c r="K329" s="169"/>
      <c r="L329" s="165"/>
      <c r="M329" s="165"/>
      <c r="N329" s="165"/>
      <c r="O329" s="165"/>
      <c r="P329" s="165"/>
      <c r="Q329" s="165"/>
      <c r="R329" s="165"/>
      <c r="S329" s="165"/>
      <c r="T329" s="165"/>
      <c r="U329" s="165"/>
      <c r="V329" s="165"/>
      <c r="W329" s="165"/>
      <c r="X329" s="165"/>
      <c r="Y329" s="165"/>
      <c r="Z329" s="165"/>
      <c r="AA329" s="165"/>
      <c r="AB329" s="165"/>
      <c r="AC329" s="165"/>
    </row>
    <row r="330">
      <c r="A330" s="165"/>
      <c r="B330" s="165"/>
      <c r="C330" s="165"/>
      <c r="D330" s="165"/>
      <c r="E330" s="166"/>
      <c r="F330" s="165"/>
      <c r="G330" s="167"/>
      <c r="H330" s="166"/>
      <c r="I330" s="167"/>
      <c r="J330" s="168"/>
      <c r="K330" s="169"/>
      <c r="L330" s="165"/>
      <c r="M330" s="165"/>
      <c r="N330" s="165"/>
      <c r="O330" s="165"/>
      <c r="P330" s="165"/>
      <c r="Q330" s="165"/>
      <c r="R330" s="165"/>
      <c r="S330" s="165"/>
      <c r="T330" s="165"/>
      <c r="U330" s="165"/>
      <c r="V330" s="165"/>
      <c r="W330" s="165"/>
      <c r="X330" s="165"/>
      <c r="Y330" s="165"/>
      <c r="Z330" s="165"/>
      <c r="AA330" s="165"/>
      <c r="AB330" s="165"/>
      <c r="AC330" s="165"/>
    </row>
    <row r="331">
      <c r="A331" s="165"/>
      <c r="B331" s="165"/>
      <c r="C331" s="165"/>
      <c r="D331" s="165"/>
      <c r="E331" s="166"/>
      <c r="F331" s="165"/>
      <c r="G331" s="167"/>
      <c r="H331" s="166"/>
      <c r="I331" s="167"/>
      <c r="J331" s="168"/>
      <c r="K331" s="169"/>
      <c r="L331" s="165"/>
      <c r="M331" s="165"/>
      <c r="N331" s="165"/>
      <c r="O331" s="165"/>
      <c r="P331" s="165"/>
      <c r="Q331" s="165"/>
      <c r="R331" s="165"/>
      <c r="S331" s="165"/>
      <c r="T331" s="165"/>
      <c r="U331" s="165"/>
      <c r="V331" s="165"/>
      <c r="W331" s="165"/>
      <c r="X331" s="165"/>
      <c r="Y331" s="165"/>
      <c r="Z331" s="165"/>
      <c r="AA331" s="165"/>
      <c r="AB331" s="165"/>
      <c r="AC331" s="165"/>
    </row>
    <row r="332">
      <c r="A332" s="165"/>
      <c r="B332" s="165"/>
      <c r="C332" s="165"/>
      <c r="D332" s="165"/>
      <c r="E332" s="166"/>
      <c r="F332" s="165"/>
      <c r="G332" s="167"/>
      <c r="H332" s="166"/>
      <c r="I332" s="167"/>
      <c r="J332" s="168"/>
      <c r="K332" s="169"/>
      <c r="L332" s="165"/>
      <c r="M332" s="165"/>
      <c r="N332" s="165"/>
      <c r="O332" s="165"/>
      <c r="P332" s="165"/>
      <c r="Q332" s="165"/>
      <c r="R332" s="165"/>
      <c r="S332" s="165"/>
      <c r="T332" s="165"/>
      <c r="U332" s="165"/>
      <c r="V332" s="165"/>
      <c r="W332" s="165"/>
      <c r="X332" s="165"/>
      <c r="Y332" s="165"/>
      <c r="Z332" s="165"/>
      <c r="AA332" s="165"/>
      <c r="AB332" s="165"/>
      <c r="AC332" s="165"/>
    </row>
    <row r="333">
      <c r="A333" s="165"/>
      <c r="B333" s="165"/>
      <c r="C333" s="165"/>
      <c r="D333" s="165"/>
      <c r="E333" s="166"/>
      <c r="F333" s="165"/>
      <c r="G333" s="167"/>
      <c r="H333" s="166"/>
      <c r="I333" s="167"/>
      <c r="J333" s="168"/>
      <c r="K333" s="169"/>
      <c r="L333" s="165"/>
      <c r="M333" s="165"/>
      <c r="N333" s="165"/>
      <c r="O333" s="165"/>
      <c r="P333" s="165"/>
      <c r="Q333" s="165"/>
      <c r="R333" s="165"/>
      <c r="S333" s="165"/>
      <c r="T333" s="165"/>
      <c r="U333" s="165"/>
      <c r="V333" s="165"/>
      <c r="W333" s="165"/>
      <c r="X333" s="165"/>
      <c r="Y333" s="165"/>
      <c r="Z333" s="165"/>
      <c r="AA333" s="165"/>
      <c r="AB333" s="165"/>
      <c r="AC333" s="165"/>
    </row>
    <row r="334">
      <c r="A334" s="165"/>
      <c r="B334" s="165"/>
      <c r="C334" s="165"/>
      <c r="D334" s="165"/>
      <c r="E334" s="166"/>
      <c r="F334" s="165"/>
      <c r="G334" s="167"/>
      <c r="H334" s="166"/>
      <c r="I334" s="167"/>
      <c r="J334" s="168"/>
      <c r="K334" s="169"/>
      <c r="L334" s="165"/>
      <c r="M334" s="165"/>
      <c r="N334" s="165"/>
      <c r="O334" s="165"/>
      <c r="P334" s="165"/>
      <c r="Q334" s="165"/>
      <c r="R334" s="165"/>
      <c r="S334" s="165"/>
      <c r="T334" s="165"/>
      <c r="U334" s="165"/>
      <c r="V334" s="165"/>
      <c r="W334" s="165"/>
      <c r="X334" s="165"/>
      <c r="Y334" s="165"/>
      <c r="Z334" s="165"/>
      <c r="AA334" s="165"/>
      <c r="AB334" s="165"/>
      <c r="AC334" s="165"/>
    </row>
    <row r="335">
      <c r="A335" s="165"/>
      <c r="B335" s="165"/>
      <c r="C335" s="165"/>
      <c r="D335" s="165"/>
      <c r="E335" s="166"/>
      <c r="F335" s="165"/>
      <c r="G335" s="167"/>
      <c r="H335" s="166"/>
      <c r="I335" s="167"/>
      <c r="J335" s="168"/>
      <c r="K335" s="169"/>
      <c r="L335" s="165"/>
      <c r="M335" s="165"/>
      <c r="N335" s="165"/>
      <c r="O335" s="165"/>
      <c r="P335" s="165"/>
      <c r="Q335" s="165"/>
      <c r="R335" s="165"/>
      <c r="S335" s="165"/>
      <c r="T335" s="165"/>
      <c r="U335" s="165"/>
      <c r="V335" s="165"/>
      <c r="W335" s="165"/>
      <c r="X335" s="165"/>
      <c r="Y335" s="165"/>
      <c r="Z335" s="165"/>
      <c r="AA335" s="165"/>
      <c r="AB335" s="165"/>
      <c r="AC335" s="165"/>
    </row>
    <row r="336">
      <c r="A336" s="165"/>
      <c r="B336" s="165"/>
      <c r="C336" s="165"/>
      <c r="D336" s="165"/>
      <c r="E336" s="166"/>
      <c r="F336" s="165"/>
      <c r="G336" s="167"/>
      <c r="H336" s="166"/>
      <c r="I336" s="167"/>
      <c r="J336" s="168"/>
      <c r="K336" s="169"/>
      <c r="L336" s="165"/>
      <c r="M336" s="165"/>
      <c r="N336" s="165"/>
      <c r="O336" s="165"/>
      <c r="P336" s="165"/>
      <c r="Q336" s="165"/>
      <c r="R336" s="165"/>
      <c r="S336" s="165"/>
      <c r="T336" s="165"/>
      <c r="U336" s="165"/>
      <c r="V336" s="165"/>
      <c r="W336" s="165"/>
      <c r="X336" s="165"/>
      <c r="Y336" s="165"/>
      <c r="Z336" s="165"/>
      <c r="AA336" s="165"/>
      <c r="AB336" s="165"/>
      <c r="AC336" s="165"/>
    </row>
    <row r="337">
      <c r="A337" s="165"/>
      <c r="B337" s="165"/>
      <c r="C337" s="165"/>
      <c r="D337" s="165"/>
      <c r="E337" s="166"/>
      <c r="F337" s="165"/>
      <c r="G337" s="167"/>
      <c r="H337" s="166"/>
      <c r="I337" s="167"/>
      <c r="J337" s="168"/>
      <c r="K337" s="169"/>
      <c r="L337" s="165"/>
      <c r="M337" s="165"/>
      <c r="N337" s="165"/>
      <c r="O337" s="165"/>
      <c r="P337" s="165"/>
      <c r="Q337" s="165"/>
      <c r="R337" s="165"/>
      <c r="S337" s="165"/>
      <c r="T337" s="165"/>
      <c r="U337" s="165"/>
      <c r="V337" s="165"/>
      <c r="W337" s="165"/>
      <c r="X337" s="165"/>
      <c r="Y337" s="165"/>
      <c r="Z337" s="165"/>
      <c r="AA337" s="165"/>
      <c r="AB337" s="165"/>
      <c r="AC337" s="165"/>
    </row>
    <row r="338">
      <c r="A338" s="165"/>
      <c r="B338" s="165"/>
      <c r="C338" s="165"/>
      <c r="D338" s="165"/>
      <c r="E338" s="166"/>
      <c r="F338" s="165"/>
      <c r="G338" s="167"/>
      <c r="H338" s="166"/>
      <c r="I338" s="167"/>
      <c r="J338" s="168"/>
      <c r="K338" s="169"/>
      <c r="L338" s="165"/>
      <c r="M338" s="165"/>
      <c r="N338" s="165"/>
      <c r="O338" s="165"/>
      <c r="P338" s="165"/>
      <c r="Q338" s="165"/>
      <c r="R338" s="165"/>
      <c r="S338" s="165"/>
      <c r="T338" s="165"/>
      <c r="U338" s="165"/>
      <c r="V338" s="165"/>
      <c r="W338" s="165"/>
      <c r="X338" s="165"/>
      <c r="Y338" s="165"/>
      <c r="Z338" s="165"/>
      <c r="AA338" s="165"/>
      <c r="AB338" s="165"/>
      <c r="AC338" s="165"/>
    </row>
    <row r="339">
      <c r="A339" s="165"/>
      <c r="B339" s="165"/>
      <c r="C339" s="165"/>
      <c r="D339" s="165"/>
      <c r="E339" s="166"/>
      <c r="F339" s="165"/>
      <c r="G339" s="167"/>
      <c r="H339" s="166"/>
      <c r="I339" s="167"/>
      <c r="J339" s="168"/>
      <c r="K339" s="169"/>
      <c r="L339" s="165"/>
      <c r="M339" s="165"/>
      <c r="N339" s="165"/>
      <c r="O339" s="165"/>
      <c r="P339" s="165"/>
      <c r="Q339" s="165"/>
      <c r="R339" s="165"/>
      <c r="S339" s="165"/>
      <c r="T339" s="165"/>
      <c r="U339" s="165"/>
      <c r="V339" s="165"/>
      <c r="W339" s="165"/>
      <c r="X339" s="165"/>
      <c r="Y339" s="165"/>
      <c r="Z339" s="165"/>
      <c r="AA339" s="165"/>
      <c r="AB339" s="165"/>
      <c r="AC339" s="165"/>
    </row>
    <row r="340">
      <c r="A340" s="165"/>
      <c r="B340" s="165"/>
      <c r="C340" s="165"/>
      <c r="D340" s="165"/>
      <c r="E340" s="166"/>
      <c r="F340" s="165"/>
      <c r="G340" s="167"/>
      <c r="H340" s="166"/>
      <c r="I340" s="167"/>
      <c r="J340" s="168"/>
      <c r="K340" s="169"/>
      <c r="L340" s="165"/>
      <c r="M340" s="165"/>
      <c r="N340" s="165"/>
      <c r="O340" s="165"/>
      <c r="P340" s="165"/>
      <c r="Q340" s="165"/>
      <c r="R340" s="165"/>
      <c r="S340" s="165"/>
      <c r="T340" s="165"/>
      <c r="U340" s="165"/>
      <c r="V340" s="165"/>
      <c r="W340" s="165"/>
      <c r="X340" s="165"/>
      <c r="Y340" s="165"/>
      <c r="Z340" s="165"/>
      <c r="AA340" s="165"/>
      <c r="AB340" s="165"/>
      <c r="AC340" s="165"/>
    </row>
    <row r="341">
      <c r="A341" s="165"/>
      <c r="B341" s="165"/>
      <c r="C341" s="165"/>
      <c r="D341" s="165"/>
      <c r="E341" s="166"/>
      <c r="F341" s="165"/>
      <c r="G341" s="167"/>
      <c r="H341" s="166"/>
      <c r="I341" s="167"/>
      <c r="J341" s="168"/>
      <c r="K341" s="169"/>
      <c r="L341" s="165"/>
      <c r="M341" s="165"/>
      <c r="N341" s="165"/>
      <c r="O341" s="165"/>
      <c r="P341" s="165"/>
      <c r="Q341" s="165"/>
      <c r="R341" s="165"/>
      <c r="S341" s="165"/>
      <c r="T341" s="165"/>
      <c r="U341" s="165"/>
      <c r="V341" s="165"/>
      <c r="W341" s="165"/>
      <c r="X341" s="165"/>
      <c r="Y341" s="165"/>
      <c r="Z341" s="165"/>
      <c r="AA341" s="165"/>
      <c r="AB341" s="165"/>
      <c r="AC341" s="165"/>
    </row>
    <row r="342">
      <c r="A342" s="165"/>
      <c r="B342" s="165"/>
      <c r="C342" s="165"/>
      <c r="D342" s="165"/>
      <c r="E342" s="166"/>
      <c r="F342" s="165"/>
      <c r="G342" s="167"/>
      <c r="H342" s="166"/>
      <c r="I342" s="167"/>
      <c r="J342" s="168"/>
      <c r="K342" s="169"/>
      <c r="L342" s="165"/>
      <c r="M342" s="165"/>
      <c r="N342" s="165"/>
      <c r="O342" s="165"/>
      <c r="P342" s="165"/>
      <c r="Q342" s="165"/>
      <c r="R342" s="165"/>
      <c r="S342" s="165"/>
      <c r="T342" s="165"/>
      <c r="U342" s="165"/>
      <c r="V342" s="165"/>
      <c r="W342" s="165"/>
      <c r="X342" s="165"/>
      <c r="Y342" s="165"/>
      <c r="Z342" s="165"/>
      <c r="AA342" s="165"/>
      <c r="AB342" s="165"/>
      <c r="AC342" s="165"/>
    </row>
    <row r="343">
      <c r="A343" s="165"/>
      <c r="B343" s="165"/>
      <c r="C343" s="165"/>
      <c r="D343" s="165"/>
      <c r="E343" s="166"/>
      <c r="F343" s="165"/>
      <c r="G343" s="167"/>
      <c r="H343" s="166"/>
      <c r="I343" s="167"/>
      <c r="J343" s="168"/>
      <c r="K343" s="169"/>
      <c r="L343" s="165"/>
      <c r="M343" s="165"/>
      <c r="N343" s="165"/>
      <c r="O343" s="165"/>
      <c r="P343" s="165"/>
      <c r="Q343" s="165"/>
      <c r="R343" s="165"/>
      <c r="S343" s="165"/>
      <c r="T343" s="165"/>
      <c r="U343" s="165"/>
      <c r="V343" s="165"/>
      <c r="W343" s="165"/>
      <c r="X343" s="165"/>
      <c r="Y343" s="165"/>
      <c r="Z343" s="165"/>
      <c r="AA343" s="165"/>
      <c r="AB343" s="165"/>
      <c r="AC343" s="165"/>
    </row>
    <row r="344">
      <c r="A344" s="165"/>
      <c r="B344" s="165"/>
      <c r="C344" s="165"/>
      <c r="D344" s="165"/>
      <c r="E344" s="166"/>
      <c r="F344" s="165"/>
      <c r="G344" s="167"/>
      <c r="H344" s="166"/>
      <c r="I344" s="167"/>
      <c r="J344" s="168"/>
      <c r="K344" s="169"/>
      <c r="L344" s="165"/>
      <c r="M344" s="165"/>
      <c r="N344" s="165"/>
      <c r="O344" s="165"/>
      <c r="P344" s="165"/>
      <c r="Q344" s="165"/>
      <c r="R344" s="165"/>
      <c r="S344" s="165"/>
      <c r="T344" s="165"/>
      <c r="U344" s="165"/>
      <c r="V344" s="165"/>
      <c r="W344" s="165"/>
      <c r="X344" s="165"/>
      <c r="Y344" s="165"/>
      <c r="Z344" s="165"/>
      <c r="AA344" s="165"/>
      <c r="AB344" s="165"/>
      <c r="AC344" s="165"/>
    </row>
    <row r="345">
      <c r="A345" s="165"/>
      <c r="B345" s="165"/>
      <c r="C345" s="165"/>
      <c r="D345" s="165"/>
      <c r="E345" s="166"/>
      <c r="F345" s="165"/>
      <c r="G345" s="167"/>
      <c r="H345" s="166"/>
      <c r="I345" s="167"/>
      <c r="J345" s="168"/>
      <c r="K345" s="169"/>
      <c r="L345" s="165"/>
      <c r="M345" s="165"/>
      <c r="N345" s="165"/>
      <c r="O345" s="165"/>
      <c r="P345" s="165"/>
      <c r="Q345" s="165"/>
      <c r="R345" s="165"/>
      <c r="S345" s="165"/>
      <c r="T345" s="165"/>
      <c r="U345" s="165"/>
      <c r="V345" s="165"/>
      <c r="W345" s="165"/>
      <c r="X345" s="165"/>
      <c r="Y345" s="165"/>
      <c r="Z345" s="165"/>
      <c r="AA345" s="165"/>
      <c r="AB345" s="165"/>
      <c r="AC345" s="165"/>
    </row>
    <row r="346">
      <c r="A346" s="165"/>
      <c r="B346" s="165"/>
      <c r="C346" s="165"/>
      <c r="D346" s="165"/>
      <c r="E346" s="166"/>
      <c r="F346" s="165"/>
      <c r="G346" s="167"/>
      <c r="H346" s="166"/>
      <c r="I346" s="167"/>
      <c r="J346" s="168"/>
      <c r="K346" s="169"/>
      <c r="L346" s="165"/>
      <c r="M346" s="165"/>
      <c r="N346" s="165"/>
      <c r="O346" s="165"/>
      <c r="P346" s="165"/>
      <c r="Q346" s="165"/>
      <c r="R346" s="165"/>
      <c r="S346" s="165"/>
      <c r="T346" s="165"/>
      <c r="U346" s="165"/>
      <c r="V346" s="165"/>
      <c r="W346" s="165"/>
      <c r="X346" s="165"/>
      <c r="Y346" s="165"/>
      <c r="Z346" s="165"/>
      <c r="AA346" s="165"/>
      <c r="AB346" s="165"/>
      <c r="AC346" s="165"/>
    </row>
    <row r="347">
      <c r="A347" s="165"/>
      <c r="B347" s="165"/>
      <c r="C347" s="165"/>
      <c r="D347" s="165"/>
      <c r="E347" s="166"/>
      <c r="F347" s="165"/>
      <c r="G347" s="167"/>
      <c r="H347" s="166"/>
      <c r="I347" s="167"/>
      <c r="J347" s="168"/>
      <c r="K347" s="169"/>
      <c r="L347" s="165"/>
      <c r="M347" s="165"/>
      <c r="N347" s="165"/>
      <c r="O347" s="165"/>
      <c r="P347" s="165"/>
      <c r="Q347" s="165"/>
      <c r="R347" s="165"/>
      <c r="S347" s="165"/>
      <c r="T347" s="165"/>
      <c r="U347" s="165"/>
      <c r="V347" s="165"/>
      <c r="W347" s="165"/>
      <c r="X347" s="165"/>
      <c r="Y347" s="165"/>
      <c r="Z347" s="165"/>
      <c r="AA347" s="165"/>
      <c r="AB347" s="165"/>
      <c r="AC347" s="165"/>
    </row>
    <row r="348">
      <c r="A348" s="165"/>
      <c r="B348" s="165"/>
      <c r="C348" s="165"/>
      <c r="D348" s="165"/>
      <c r="E348" s="166"/>
      <c r="F348" s="165"/>
      <c r="G348" s="167"/>
      <c r="H348" s="166"/>
      <c r="I348" s="167"/>
      <c r="J348" s="168"/>
      <c r="K348" s="169"/>
      <c r="L348" s="165"/>
      <c r="M348" s="165"/>
      <c r="N348" s="165"/>
      <c r="O348" s="165"/>
      <c r="P348" s="165"/>
      <c r="Q348" s="165"/>
      <c r="R348" s="165"/>
      <c r="S348" s="165"/>
      <c r="T348" s="165"/>
      <c r="U348" s="165"/>
      <c r="V348" s="165"/>
      <c r="W348" s="165"/>
      <c r="X348" s="165"/>
      <c r="Y348" s="165"/>
      <c r="Z348" s="165"/>
      <c r="AA348" s="165"/>
      <c r="AB348" s="165"/>
      <c r="AC348" s="165"/>
    </row>
    <row r="349">
      <c r="A349" s="165"/>
      <c r="B349" s="165"/>
      <c r="C349" s="165"/>
      <c r="D349" s="165"/>
      <c r="E349" s="166"/>
      <c r="F349" s="165"/>
      <c r="G349" s="167"/>
      <c r="H349" s="166"/>
      <c r="I349" s="167"/>
      <c r="J349" s="168"/>
      <c r="K349" s="169"/>
      <c r="L349" s="165"/>
      <c r="M349" s="165"/>
      <c r="N349" s="165"/>
      <c r="O349" s="165"/>
      <c r="P349" s="165"/>
      <c r="Q349" s="165"/>
      <c r="R349" s="165"/>
      <c r="S349" s="165"/>
      <c r="T349" s="165"/>
      <c r="U349" s="165"/>
      <c r="V349" s="165"/>
      <c r="W349" s="165"/>
      <c r="X349" s="165"/>
      <c r="Y349" s="165"/>
      <c r="Z349" s="165"/>
      <c r="AA349" s="165"/>
      <c r="AB349" s="165"/>
      <c r="AC349" s="165"/>
    </row>
    <row r="350">
      <c r="A350" s="165"/>
      <c r="B350" s="165"/>
      <c r="C350" s="165"/>
      <c r="D350" s="165"/>
      <c r="E350" s="166"/>
      <c r="F350" s="165"/>
      <c r="G350" s="167"/>
      <c r="H350" s="166"/>
      <c r="I350" s="167"/>
      <c r="J350" s="168"/>
      <c r="K350" s="169"/>
      <c r="L350" s="165"/>
      <c r="M350" s="165"/>
      <c r="N350" s="165"/>
      <c r="O350" s="165"/>
      <c r="P350" s="165"/>
      <c r="Q350" s="165"/>
      <c r="R350" s="165"/>
      <c r="S350" s="165"/>
      <c r="T350" s="165"/>
      <c r="U350" s="165"/>
      <c r="V350" s="165"/>
      <c r="W350" s="165"/>
      <c r="X350" s="165"/>
      <c r="Y350" s="165"/>
      <c r="Z350" s="165"/>
      <c r="AA350" s="165"/>
      <c r="AB350" s="165"/>
      <c r="AC350" s="165"/>
    </row>
    <row r="351">
      <c r="A351" s="165"/>
      <c r="B351" s="165"/>
      <c r="C351" s="165"/>
      <c r="D351" s="165"/>
      <c r="E351" s="166"/>
      <c r="F351" s="165"/>
      <c r="G351" s="167"/>
      <c r="H351" s="166"/>
      <c r="I351" s="167"/>
      <c r="J351" s="168"/>
      <c r="K351" s="169"/>
      <c r="L351" s="165"/>
      <c r="M351" s="165"/>
      <c r="N351" s="165"/>
      <c r="O351" s="165"/>
      <c r="P351" s="165"/>
      <c r="Q351" s="165"/>
      <c r="R351" s="165"/>
      <c r="S351" s="165"/>
      <c r="T351" s="165"/>
      <c r="U351" s="165"/>
      <c r="V351" s="165"/>
      <c r="W351" s="165"/>
      <c r="X351" s="165"/>
      <c r="Y351" s="165"/>
      <c r="Z351" s="165"/>
      <c r="AA351" s="165"/>
      <c r="AB351" s="165"/>
      <c r="AC351" s="165"/>
    </row>
    <row r="352">
      <c r="A352" s="165"/>
      <c r="B352" s="165"/>
      <c r="C352" s="165"/>
      <c r="D352" s="165"/>
      <c r="E352" s="166"/>
      <c r="F352" s="165"/>
      <c r="G352" s="167"/>
      <c r="H352" s="166"/>
      <c r="I352" s="167"/>
      <c r="J352" s="168"/>
      <c r="K352" s="169"/>
      <c r="L352" s="165"/>
      <c r="M352" s="165"/>
      <c r="N352" s="165"/>
      <c r="O352" s="165"/>
      <c r="P352" s="165"/>
      <c r="Q352" s="165"/>
      <c r="R352" s="165"/>
      <c r="S352" s="165"/>
      <c r="T352" s="165"/>
      <c r="U352" s="165"/>
      <c r="V352" s="165"/>
      <c r="W352" s="165"/>
      <c r="X352" s="165"/>
      <c r="Y352" s="165"/>
      <c r="Z352" s="165"/>
      <c r="AA352" s="165"/>
      <c r="AB352" s="165"/>
      <c r="AC352" s="165"/>
    </row>
    <row r="353">
      <c r="A353" s="165"/>
      <c r="B353" s="165"/>
      <c r="C353" s="165"/>
      <c r="D353" s="165"/>
      <c r="E353" s="166"/>
      <c r="F353" s="165"/>
      <c r="G353" s="167"/>
      <c r="H353" s="166"/>
      <c r="I353" s="167"/>
      <c r="J353" s="168"/>
      <c r="K353" s="169"/>
      <c r="L353" s="165"/>
      <c r="M353" s="165"/>
      <c r="N353" s="165"/>
      <c r="O353" s="165"/>
      <c r="P353" s="165"/>
      <c r="Q353" s="165"/>
      <c r="R353" s="165"/>
      <c r="S353" s="165"/>
      <c r="T353" s="165"/>
      <c r="U353" s="165"/>
      <c r="V353" s="165"/>
      <c r="W353" s="165"/>
      <c r="X353" s="165"/>
      <c r="Y353" s="165"/>
      <c r="Z353" s="165"/>
      <c r="AA353" s="165"/>
      <c r="AB353" s="165"/>
      <c r="AC353" s="165"/>
    </row>
    <row r="354">
      <c r="A354" s="165"/>
      <c r="B354" s="165"/>
      <c r="C354" s="165"/>
      <c r="D354" s="165"/>
      <c r="E354" s="166"/>
      <c r="F354" s="165"/>
      <c r="G354" s="167"/>
      <c r="H354" s="166"/>
      <c r="I354" s="167"/>
      <c r="J354" s="168"/>
      <c r="K354" s="169"/>
      <c r="L354" s="165"/>
      <c r="M354" s="165"/>
      <c r="N354" s="165"/>
      <c r="O354" s="165"/>
      <c r="P354" s="165"/>
      <c r="Q354" s="165"/>
      <c r="R354" s="165"/>
      <c r="S354" s="165"/>
      <c r="T354" s="165"/>
      <c r="U354" s="165"/>
      <c r="V354" s="165"/>
      <c r="W354" s="165"/>
      <c r="X354" s="165"/>
      <c r="Y354" s="165"/>
      <c r="Z354" s="165"/>
      <c r="AA354" s="165"/>
      <c r="AB354" s="165"/>
      <c r="AC354" s="165"/>
    </row>
    <row r="355">
      <c r="A355" s="165"/>
      <c r="B355" s="165"/>
      <c r="C355" s="165"/>
      <c r="D355" s="165"/>
      <c r="E355" s="166"/>
      <c r="F355" s="165"/>
      <c r="G355" s="167"/>
      <c r="H355" s="166"/>
      <c r="I355" s="167"/>
      <c r="J355" s="168"/>
      <c r="K355" s="169"/>
      <c r="L355" s="165"/>
      <c r="M355" s="165"/>
      <c r="N355" s="165"/>
      <c r="O355" s="165"/>
      <c r="P355" s="165"/>
      <c r="Q355" s="165"/>
      <c r="R355" s="165"/>
      <c r="S355" s="165"/>
      <c r="T355" s="165"/>
      <c r="U355" s="165"/>
      <c r="V355" s="165"/>
      <c r="W355" s="165"/>
      <c r="X355" s="165"/>
      <c r="Y355" s="165"/>
      <c r="Z355" s="165"/>
      <c r="AA355" s="165"/>
      <c r="AB355" s="165"/>
      <c r="AC355" s="165"/>
    </row>
    <row r="356">
      <c r="A356" s="165"/>
      <c r="B356" s="165"/>
      <c r="C356" s="165"/>
      <c r="D356" s="165"/>
      <c r="E356" s="166"/>
      <c r="F356" s="165"/>
      <c r="G356" s="167"/>
      <c r="H356" s="166"/>
      <c r="I356" s="167"/>
      <c r="J356" s="168"/>
      <c r="K356" s="169"/>
      <c r="L356" s="165"/>
      <c r="M356" s="165"/>
      <c r="N356" s="165"/>
      <c r="O356" s="165"/>
      <c r="P356" s="165"/>
      <c r="Q356" s="165"/>
      <c r="R356" s="165"/>
      <c r="S356" s="165"/>
      <c r="T356" s="165"/>
      <c r="U356" s="165"/>
      <c r="V356" s="165"/>
      <c r="W356" s="165"/>
      <c r="X356" s="165"/>
      <c r="Y356" s="165"/>
      <c r="Z356" s="165"/>
      <c r="AA356" s="165"/>
      <c r="AB356" s="165"/>
      <c r="AC356" s="165"/>
    </row>
    <row r="357">
      <c r="A357" s="165"/>
      <c r="B357" s="165"/>
      <c r="C357" s="165"/>
      <c r="D357" s="165"/>
      <c r="E357" s="166"/>
      <c r="F357" s="165"/>
      <c r="G357" s="167"/>
      <c r="H357" s="166"/>
      <c r="I357" s="167"/>
      <c r="J357" s="168"/>
      <c r="K357" s="169"/>
      <c r="L357" s="165"/>
      <c r="M357" s="165"/>
      <c r="N357" s="165"/>
      <c r="O357" s="165"/>
      <c r="P357" s="165"/>
      <c r="Q357" s="165"/>
      <c r="R357" s="165"/>
      <c r="S357" s="165"/>
      <c r="T357" s="165"/>
      <c r="U357" s="165"/>
      <c r="V357" s="165"/>
      <c r="W357" s="165"/>
      <c r="X357" s="165"/>
      <c r="Y357" s="165"/>
      <c r="Z357" s="165"/>
      <c r="AA357" s="165"/>
      <c r="AB357" s="165"/>
      <c r="AC357" s="165"/>
    </row>
    <row r="358">
      <c r="A358" s="165"/>
      <c r="B358" s="165"/>
      <c r="C358" s="165"/>
      <c r="D358" s="165"/>
      <c r="E358" s="166"/>
      <c r="F358" s="165"/>
      <c r="G358" s="167"/>
      <c r="H358" s="166"/>
      <c r="I358" s="167"/>
      <c r="J358" s="168"/>
      <c r="K358" s="169"/>
      <c r="L358" s="165"/>
      <c r="M358" s="165"/>
      <c r="N358" s="165"/>
      <c r="O358" s="165"/>
      <c r="P358" s="165"/>
      <c r="Q358" s="165"/>
      <c r="R358" s="165"/>
      <c r="S358" s="165"/>
      <c r="T358" s="165"/>
      <c r="U358" s="165"/>
      <c r="V358" s="165"/>
      <c r="W358" s="165"/>
      <c r="X358" s="165"/>
      <c r="Y358" s="165"/>
      <c r="Z358" s="165"/>
      <c r="AA358" s="165"/>
      <c r="AB358" s="165"/>
      <c r="AC358" s="165"/>
    </row>
    <row r="359">
      <c r="A359" s="165"/>
      <c r="B359" s="165"/>
      <c r="C359" s="165"/>
      <c r="D359" s="165"/>
      <c r="E359" s="166"/>
      <c r="F359" s="165"/>
      <c r="G359" s="167"/>
      <c r="H359" s="166"/>
      <c r="I359" s="167"/>
      <c r="J359" s="168"/>
      <c r="K359" s="169"/>
      <c r="L359" s="165"/>
      <c r="M359" s="165"/>
      <c r="N359" s="165"/>
      <c r="O359" s="165"/>
      <c r="P359" s="165"/>
      <c r="Q359" s="165"/>
      <c r="R359" s="165"/>
      <c r="S359" s="165"/>
      <c r="T359" s="165"/>
      <c r="U359" s="165"/>
      <c r="V359" s="165"/>
      <c r="W359" s="165"/>
      <c r="X359" s="165"/>
      <c r="Y359" s="165"/>
      <c r="Z359" s="165"/>
      <c r="AA359" s="165"/>
      <c r="AB359" s="165"/>
      <c r="AC359" s="165"/>
    </row>
    <row r="360">
      <c r="A360" s="165"/>
      <c r="B360" s="165"/>
      <c r="C360" s="165"/>
      <c r="D360" s="165"/>
      <c r="E360" s="166"/>
      <c r="F360" s="165"/>
      <c r="G360" s="167"/>
      <c r="H360" s="166"/>
      <c r="I360" s="167"/>
      <c r="J360" s="168"/>
      <c r="K360" s="169"/>
      <c r="L360" s="165"/>
      <c r="M360" s="165"/>
      <c r="N360" s="165"/>
      <c r="O360" s="165"/>
      <c r="P360" s="165"/>
      <c r="Q360" s="165"/>
      <c r="R360" s="165"/>
      <c r="S360" s="165"/>
      <c r="T360" s="165"/>
      <c r="U360" s="165"/>
      <c r="V360" s="165"/>
      <c r="W360" s="165"/>
      <c r="X360" s="165"/>
      <c r="Y360" s="165"/>
      <c r="Z360" s="165"/>
      <c r="AA360" s="165"/>
      <c r="AB360" s="165"/>
      <c r="AC360" s="165"/>
    </row>
    <row r="361">
      <c r="A361" s="165"/>
      <c r="B361" s="165"/>
      <c r="C361" s="165"/>
      <c r="D361" s="165"/>
      <c r="E361" s="166"/>
      <c r="F361" s="165"/>
      <c r="G361" s="167"/>
      <c r="H361" s="166"/>
      <c r="I361" s="167"/>
      <c r="J361" s="168"/>
      <c r="K361" s="169"/>
      <c r="L361" s="165"/>
      <c r="M361" s="165"/>
      <c r="N361" s="165"/>
      <c r="O361" s="165"/>
      <c r="P361" s="165"/>
      <c r="Q361" s="165"/>
      <c r="R361" s="165"/>
      <c r="S361" s="165"/>
      <c r="T361" s="165"/>
      <c r="U361" s="165"/>
      <c r="V361" s="165"/>
      <c r="W361" s="165"/>
      <c r="X361" s="165"/>
      <c r="Y361" s="165"/>
      <c r="Z361" s="165"/>
      <c r="AA361" s="165"/>
      <c r="AB361" s="165"/>
      <c r="AC361" s="165"/>
    </row>
    <row r="362">
      <c r="A362" s="165"/>
      <c r="B362" s="165"/>
      <c r="C362" s="165"/>
      <c r="D362" s="165"/>
      <c r="E362" s="166"/>
      <c r="F362" s="165"/>
      <c r="G362" s="167"/>
      <c r="H362" s="166"/>
      <c r="I362" s="167"/>
      <c r="J362" s="168"/>
      <c r="K362" s="169"/>
      <c r="L362" s="165"/>
      <c r="M362" s="165"/>
      <c r="N362" s="165"/>
      <c r="O362" s="165"/>
      <c r="P362" s="165"/>
      <c r="Q362" s="165"/>
      <c r="R362" s="165"/>
      <c r="S362" s="165"/>
      <c r="T362" s="165"/>
      <c r="U362" s="165"/>
      <c r="V362" s="165"/>
      <c r="W362" s="165"/>
      <c r="X362" s="165"/>
      <c r="Y362" s="165"/>
      <c r="Z362" s="165"/>
      <c r="AA362" s="165"/>
      <c r="AB362" s="165"/>
      <c r="AC362" s="165"/>
    </row>
    <row r="363">
      <c r="A363" s="165"/>
      <c r="B363" s="165"/>
      <c r="C363" s="165"/>
      <c r="D363" s="165"/>
      <c r="E363" s="166"/>
      <c r="F363" s="165"/>
      <c r="G363" s="167"/>
      <c r="H363" s="166"/>
      <c r="I363" s="167"/>
      <c r="J363" s="168"/>
      <c r="K363" s="169"/>
      <c r="L363" s="165"/>
      <c r="M363" s="165"/>
      <c r="N363" s="165"/>
      <c r="O363" s="165"/>
      <c r="P363" s="165"/>
      <c r="Q363" s="165"/>
      <c r="R363" s="165"/>
      <c r="S363" s="165"/>
      <c r="T363" s="165"/>
      <c r="U363" s="165"/>
      <c r="V363" s="165"/>
      <c r="W363" s="165"/>
      <c r="X363" s="165"/>
      <c r="Y363" s="165"/>
      <c r="Z363" s="165"/>
      <c r="AA363" s="165"/>
      <c r="AB363" s="165"/>
      <c r="AC363" s="165"/>
    </row>
    <row r="364">
      <c r="A364" s="165"/>
      <c r="B364" s="165"/>
      <c r="C364" s="165"/>
      <c r="D364" s="165"/>
      <c r="E364" s="166"/>
      <c r="F364" s="165"/>
      <c r="G364" s="167"/>
      <c r="H364" s="166"/>
      <c r="I364" s="167"/>
      <c r="J364" s="168"/>
      <c r="K364" s="169"/>
      <c r="L364" s="165"/>
      <c r="M364" s="165"/>
      <c r="N364" s="165"/>
      <c r="O364" s="165"/>
      <c r="P364" s="165"/>
      <c r="Q364" s="165"/>
      <c r="R364" s="165"/>
      <c r="S364" s="165"/>
      <c r="T364" s="165"/>
      <c r="U364" s="165"/>
      <c r="V364" s="165"/>
      <c r="W364" s="165"/>
      <c r="X364" s="165"/>
      <c r="Y364" s="165"/>
      <c r="Z364" s="165"/>
      <c r="AA364" s="165"/>
      <c r="AB364" s="165"/>
      <c r="AC364" s="165"/>
    </row>
    <row r="365">
      <c r="A365" s="165"/>
      <c r="B365" s="165"/>
      <c r="C365" s="165"/>
      <c r="D365" s="165"/>
      <c r="E365" s="166"/>
      <c r="F365" s="165"/>
      <c r="G365" s="167"/>
      <c r="H365" s="166"/>
      <c r="I365" s="167"/>
      <c r="J365" s="168"/>
      <c r="K365" s="169"/>
      <c r="L365" s="165"/>
      <c r="M365" s="165"/>
      <c r="N365" s="165"/>
      <c r="O365" s="165"/>
      <c r="P365" s="165"/>
      <c r="Q365" s="165"/>
      <c r="R365" s="165"/>
      <c r="S365" s="165"/>
      <c r="T365" s="165"/>
      <c r="U365" s="165"/>
      <c r="V365" s="165"/>
      <c r="W365" s="165"/>
      <c r="X365" s="165"/>
      <c r="Y365" s="165"/>
      <c r="Z365" s="165"/>
      <c r="AA365" s="165"/>
      <c r="AB365" s="165"/>
      <c r="AC365" s="165"/>
    </row>
    <row r="366">
      <c r="A366" s="165"/>
      <c r="B366" s="165"/>
      <c r="C366" s="165"/>
      <c r="D366" s="165"/>
      <c r="E366" s="166"/>
      <c r="F366" s="165"/>
      <c r="G366" s="167"/>
      <c r="H366" s="166"/>
      <c r="I366" s="167"/>
      <c r="J366" s="168"/>
      <c r="K366" s="169"/>
      <c r="L366" s="165"/>
      <c r="M366" s="165"/>
      <c r="N366" s="165"/>
      <c r="O366" s="165"/>
      <c r="P366" s="165"/>
      <c r="Q366" s="165"/>
      <c r="R366" s="165"/>
      <c r="S366" s="165"/>
      <c r="T366" s="165"/>
      <c r="U366" s="165"/>
      <c r="V366" s="165"/>
      <c r="W366" s="165"/>
      <c r="X366" s="165"/>
      <c r="Y366" s="165"/>
      <c r="Z366" s="165"/>
      <c r="AA366" s="165"/>
      <c r="AB366" s="165"/>
      <c r="AC366" s="165"/>
    </row>
    <row r="367">
      <c r="A367" s="165"/>
      <c r="B367" s="165"/>
      <c r="C367" s="165"/>
      <c r="D367" s="165"/>
      <c r="E367" s="166"/>
      <c r="F367" s="165"/>
      <c r="G367" s="167"/>
      <c r="H367" s="166"/>
      <c r="I367" s="167"/>
      <c r="J367" s="168"/>
      <c r="K367" s="169"/>
      <c r="L367" s="165"/>
      <c r="M367" s="165"/>
      <c r="N367" s="165"/>
      <c r="O367" s="165"/>
      <c r="P367" s="165"/>
      <c r="Q367" s="165"/>
      <c r="R367" s="165"/>
      <c r="S367" s="165"/>
      <c r="T367" s="165"/>
      <c r="U367" s="165"/>
      <c r="V367" s="165"/>
      <c r="W367" s="165"/>
      <c r="X367" s="165"/>
      <c r="Y367" s="165"/>
      <c r="Z367" s="165"/>
      <c r="AA367" s="165"/>
      <c r="AB367" s="165"/>
      <c r="AC367" s="165"/>
    </row>
    <row r="368">
      <c r="A368" s="165"/>
      <c r="B368" s="165"/>
      <c r="C368" s="165"/>
      <c r="D368" s="165"/>
      <c r="E368" s="166"/>
      <c r="F368" s="165"/>
      <c r="G368" s="167"/>
      <c r="H368" s="166"/>
      <c r="I368" s="167"/>
      <c r="J368" s="168"/>
      <c r="K368" s="169"/>
      <c r="L368" s="165"/>
      <c r="M368" s="165"/>
      <c r="N368" s="165"/>
      <c r="O368" s="165"/>
      <c r="P368" s="165"/>
      <c r="Q368" s="165"/>
      <c r="R368" s="165"/>
      <c r="S368" s="165"/>
      <c r="T368" s="165"/>
      <c r="U368" s="165"/>
      <c r="V368" s="165"/>
      <c r="W368" s="165"/>
      <c r="X368" s="165"/>
      <c r="Y368" s="165"/>
      <c r="Z368" s="165"/>
      <c r="AA368" s="165"/>
      <c r="AB368" s="165"/>
      <c r="AC368" s="165"/>
    </row>
    <row r="369">
      <c r="A369" s="165"/>
      <c r="B369" s="165"/>
      <c r="C369" s="165"/>
      <c r="D369" s="165"/>
      <c r="E369" s="166"/>
      <c r="F369" s="165"/>
      <c r="G369" s="167"/>
      <c r="H369" s="166"/>
      <c r="I369" s="167"/>
      <c r="J369" s="168"/>
      <c r="K369" s="169"/>
      <c r="L369" s="165"/>
      <c r="M369" s="165"/>
      <c r="N369" s="165"/>
      <c r="O369" s="165"/>
      <c r="P369" s="165"/>
      <c r="Q369" s="165"/>
      <c r="R369" s="165"/>
      <c r="S369" s="165"/>
      <c r="T369" s="165"/>
      <c r="U369" s="165"/>
      <c r="V369" s="165"/>
      <c r="W369" s="165"/>
      <c r="X369" s="165"/>
      <c r="Y369" s="165"/>
      <c r="Z369" s="165"/>
      <c r="AA369" s="165"/>
      <c r="AB369" s="165"/>
      <c r="AC369" s="165"/>
    </row>
    <row r="370">
      <c r="A370" s="165"/>
      <c r="B370" s="165"/>
      <c r="C370" s="165"/>
      <c r="D370" s="165"/>
      <c r="E370" s="166"/>
      <c r="F370" s="165"/>
      <c r="G370" s="167"/>
      <c r="H370" s="166"/>
      <c r="I370" s="167"/>
      <c r="J370" s="168"/>
      <c r="K370" s="169"/>
      <c r="L370" s="165"/>
      <c r="M370" s="165"/>
      <c r="N370" s="165"/>
      <c r="O370" s="165"/>
      <c r="P370" s="165"/>
      <c r="Q370" s="165"/>
      <c r="R370" s="165"/>
      <c r="S370" s="165"/>
      <c r="T370" s="165"/>
      <c r="U370" s="165"/>
      <c r="V370" s="165"/>
      <c r="W370" s="165"/>
      <c r="X370" s="165"/>
      <c r="Y370" s="165"/>
      <c r="Z370" s="165"/>
      <c r="AA370" s="165"/>
      <c r="AB370" s="165"/>
      <c r="AC370" s="165"/>
    </row>
    <row r="371">
      <c r="A371" s="165"/>
      <c r="B371" s="165"/>
      <c r="C371" s="165"/>
      <c r="D371" s="165"/>
      <c r="E371" s="166"/>
      <c r="F371" s="165"/>
      <c r="G371" s="167"/>
      <c r="H371" s="166"/>
      <c r="I371" s="167"/>
      <c r="J371" s="168"/>
      <c r="K371" s="169"/>
      <c r="L371" s="165"/>
      <c r="M371" s="165"/>
      <c r="N371" s="165"/>
      <c r="O371" s="165"/>
      <c r="P371" s="165"/>
      <c r="Q371" s="165"/>
      <c r="R371" s="165"/>
      <c r="S371" s="165"/>
      <c r="T371" s="165"/>
      <c r="U371" s="165"/>
      <c r="V371" s="165"/>
      <c r="W371" s="165"/>
      <c r="X371" s="165"/>
      <c r="Y371" s="165"/>
      <c r="Z371" s="165"/>
      <c r="AA371" s="165"/>
      <c r="AB371" s="165"/>
      <c r="AC371" s="165"/>
    </row>
    <row r="372">
      <c r="A372" s="165"/>
      <c r="B372" s="165"/>
      <c r="C372" s="165"/>
      <c r="D372" s="165"/>
      <c r="E372" s="166"/>
      <c r="F372" s="165"/>
      <c r="G372" s="167"/>
      <c r="H372" s="166"/>
      <c r="I372" s="167"/>
      <c r="J372" s="168"/>
      <c r="K372" s="169"/>
      <c r="L372" s="165"/>
      <c r="M372" s="165"/>
      <c r="N372" s="165"/>
      <c r="O372" s="165"/>
      <c r="P372" s="165"/>
      <c r="Q372" s="165"/>
      <c r="R372" s="165"/>
      <c r="S372" s="165"/>
      <c r="T372" s="165"/>
      <c r="U372" s="165"/>
      <c r="V372" s="165"/>
      <c r="W372" s="165"/>
      <c r="X372" s="165"/>
      <c r="Y372" s="165"/>
      <c r="Z372" s="165"/>
      <c r="AA372" s="165"/>
      <c r="AB372" s="165"/>
      <c r="AC372" s="165"/>
    </row>
    <row r="373">
      <c r="A373" s="165"/>
      <c r="B373" s="165"/>
      <c r="C373" s="165"/>
      <c r="D373" s="165"/>
      <c r="E373" s="166"/>
      <c r="F373" s="165"/>
      <c r="G373" s="167"/>
      <c r="H373" s="166"/>
      <c r="I373" s="167"/>
      <c r="J373" s="168"/>
      <c r="K373" s="169"/>
      <c r="L373" s="165"/>
      <c r="M373" s="165"/>
      <c r="N373" s="165"/>
      <c r="O373" s="165"/>
      <c r="P373" s="165"/>
      <c r="Q373" s="165"/>
      <c r="R373" s="165"/>
      <c r="S373" s="165"/>
      <c r="T373" s="165"/>
      <c r="U373" s="165"/>
      <c r="V373" s="165"/>
      <c r="W373" s="165"/>
      <c r="X373" s="165"/>
      <c r="Y373" s="165"/>
      <c r="Z373" s="165"/>
      <c r="AA373" s="165"/>
      <c r="AB373" s="165"/>
      <c r="AC373" s="165"/>
    </row>
    <row r="374">
      <c r="A374" s="165"/>
      <c r="B374" s="165"/>
      <c r="C374" s="165"/>
      <c r="D374" s="165"/>
      <c r="E374" s="166"/>
      <c r="F374" s="165"/>
      <c r="G374" s="167"/>
      <c r="H374" s="166"/>
      <c r="I374" s="167"/>
      <c r="J374" s="168"/>
      <c r="K374" s="169"/>
      <c r="L374" s="165"/>
      <c r="M374" s="165"/>
      <c r="N374" s="165"/>
      <c r="O374" s="165"/>
      <c r="P374" s="165"/>
      <c r="Q374" s="165"/>
      <c r="R374" s="165"/>
      <c r="S374" s="165"/>
      <c r="T374" s="165"/>
      <c r="U374" s="165"/>
      <c r="V374" s="165"/>
      <c r="W374" s="165"/>
      <c r="X374" s="165"/>
      <c r="Y374" s="165"/>
      <c r="Z374" s="165"/>
      <c r="AA374" s="165"/>
      <c r="AB374" s="165"/>
      <c r="AC374" s="165"/>
    </row>
    <row r="375">
      <c r="A375" s="165"/>
      <c r="B375" s="165"/>
      <c r="C375" s="165"/>
      <c r="D375" s="165"/>
      <c r="E375" s="166"/>
      <c r="F375" s="165"/>
      <c r="G375" s="167"/>
      <c r="H375" s="166"/>
      <c r="I375" s="167"/>
      <c r="J375" s="168"/>
      <c r="K375" s="169"/>
      <c r="L375" s="165"/>
      <c r="M375" s="165"/>
      <c r="N375" s="165"/>
      <c r="O375" s="165"/>
      <c r="P375" s="165"/>
      <c r="Q375" s="165"/>
      <c r="R375" s="165"/>
      <c r="S375" s="165"/>
      <c r="T375" s="165"/>
      <c r="U375" s="165"/>
      <c r="V375" s="165"/>
      <c r="W375" s="165"/>
      <c r="X375" s="165"/>
      <c r="Y375" s="165"/>
      <c r="Z375" s="165"/>
      <c r="AA375" s="165"/>
      <c r="AB375" s="165"/>
      <c r="AC375" s="165"/>
    </row>
    <row r="376">
      <c r="A376" s="165"/>
      <c r="B376" s="165"/>
      <c r="C376" s="165"/>
      <c r="D376" s="165"/>
      <c r="E376" s="166"/>
      <c r="F376" s="165"/>
      <c r="G376" s="167"/>
      <c r="H376" s="166"/>
      <c r="I376" s="167"/>
      <c r="J376" s="168"/>
      <c r="K376" s="169"/>
      <c r="L376" s="165"/>
      <c r="M376" s="165"/>
      <c r="N376" s="165"/>
      <c r="O376" s="165"/>
      <c r="P376" s="165"/>
      <c r="Q376" s="165"/>
      <c r="R376" s="165"/>
      <c r="S376" s="165"/>
      <c r="T376" s="165"/>
      <c r="U376" s="165"/>
      <c r="V376" s="165"/>
      <c r="W376" s="165"/>
      <c r="X376" s="165"/>
      <c r="Y376" s="165"/>
      <c r="Z376" s="165"/>
      <c r="AA376" s="165"/>
      <c r="AB376" s="165"/>
      <c r="AC376" s="165"/>
    </row>
    <row r="377">
      <c r="A377" s="165"/>
      <c r="B377" s="165"/>
      <c r="C377" s="165"/>
      <c r="D377" s="165"/>
      <c r="E377" s="166"/>
      <c r="F377" s="165"/>
      <c r="G377" s="167"/>
      <c r="H377" s="166"/>
      <c r="I377" s="167"/>
      <c r="J377" s="168"/>
      <c r="K377" s="169"/>
      <c r="L377" s="165"/>
      <c r="M377" s="165"/>
      <c r="N377" s="165"/>
      <c r="O377" s="165"/>
      <c r="P377" s="165"/>
      <c r="Q377" s="165"/>
      <c r="R377" s="165"/>
      <c r="S377" s="165"/>
      <c r="T377" s="165"/>
      <c r="U377" s="165"/>
      <c r="V377" s="165"/>
      <c r="W377" s="165"/>
      <c r="X377" s="165"/>
      <c r="Y377" s="165"/>
      <c r="Z377" s="165"/>
      <c r="AA377" s="165"/>
      <c r="AB377" s="165"/>
      <c r="AC377" s="165"/>
    </row>
    <row r="378">
      <c r="A378" s="165"/>
      <c r="B378" s="165"/>
      <c r="C378" s="165"/>
      <c r="D378" s="165"/>
      <c r="E378" s="166"/>
      <c r="F378" s="165"/>
      <c r="G378" s="167"/>
      <c r="H378" s="166"/>
      <c r="I378" s="167"/>
      <c r="J378" s="168"/>
      <c r="K378" s="169"/>
      <c r="L378" s="165"/>
      <c r="M378" s="165"/>
      <c r="N378" s="165"/>
      <c r="O378" s="165"/>
      <c r="P378" s="165"/>
      <c r="Q378" s="165"/>
      <c r="R378" s="165"/>
      <c r="S378" s="165"/>
      <c r="T378" s="165"/>
      <c r="U378" s="165"/>
      <c r="V378" s="165"/>
      <c r="W378" s="165"/>
      <c r="X378" s="165"/>
      <c r="Y378" s="165"/>
      <c r="Z378" s="165"/>
      <c r="AA378" s="165"/>
      <c r="AB378" s="165"/>
      <c r="AC378" s="165"/>
    </row>
    <row r="379">
      <c r="A379" s="165"/>
      <c r="B379" s="165"/>
      <c r="C379" s="165"/>
      <c r="D379" s="165"/>
      <c r="E379" s="166"/>
      <c r="F379" s="165"/>
      <c r="G379" s="167"/>
      <c r="H379" s="166"/>
      <c r="I379" s="167"/>
      <c r="J379" s="168"/>
      <c r="K379" s="169"/>
      <c r="L379" s="165"/>
      <c r="M379" s="165"/>
      <c r="N379" s="165"/>
      <c r="O379" s="165"/>
      <c r="P379" s="165"/>
      <c r="Q379" s="165"/>
      <c r="R379" s="165"/>
      <c r="S379" s="165"/>
      <c r="T379" s="165"/>
      <c r="U379" s="165"/>
      <c r="V379" s="165"/>
      <c r="W379" s="165"/>
      <c r="X379" s="165"/>
      <c r="Y379" s="165"/>
      <c r="Z379" s="165"/>
      <c r="AA379" s="165"/>
      <c r="AB379" s="165"/>
      <c r="AC379" s="165"/>
    </row>
    <row r="380">
      <c r="A380" s="165"/>
      <c r="B380" s="165"/>
      <c r="C380" s="165"/>
      <c r="D380" s="165"/>
      <c r="E380" s="166"/>
      <c r="F380" s="165"/>
      <c r="G380" s="167"/>
      <c r="H380" s="166"/>
      <c r="I380" s="167"/>
      <c r="J380" s="168"/>
      <c r="K380" s="169"/>
      <c r="L380" s="165"/>
      <c r="M380" s="165"/>
      <c r="N380" s="165"/>
      <c r="O380" s="165"/>
      <c r="P380" s="165"/>
      <c r="Q380" s="165"/>
      <c r="R380" s="165"/>
      <c r="S380" s="165"/>
      <c r="T380" s="165"/>
      <c r="U380" s="165"/>
      <c r="V380" s="165"/>
      <c r="W380" s="165"/>
      <c r="X380" s="165"/>
      <c r="Y380" s="165"/>
      <c r="Z380" s="165"/>
      <c r="AA380" s="165"/>
      <c r="AB380" s="165"/>
      <c r="AC380" s="165"/>
    </row>
    <row r="381">
      <c r="A381" s="165"/>
      <c r="B381" s="165"/>
      <c r="C381" s="165"/>
      <c r="D381" s="165"/>
      <c r="E381" s="166"/>
      <c r="F381" s="165"/>
      <c r="G381" s="167"/>
      <c r="H381" s="166"/>
      <c r="I381" s="167"/>
      <c r="J381" s="168"/>
      <c r="K381" s="169"/>
      <c r="L381" s="165"/>
      <c r="M381" s="165"/>
      <c r="N381" s="165"/>
      <c r="O381" s="165"/>
      <c r="P381" s="165"/>
      <c r="Q381" s="165"/>
      <c r="R381" s="165"/>
      <c r="S381" s="165"/>
      <c r="T381" s="165"/>
      <c r="U381" s="165"/>
      <c r="V381" s="165"/>
      <c r="W381" s="165"/>
      <c r="X381" s="165"/>
      <c r="Y381" s="165"/>
      <c r="Z381" s="165"/>
      <c r="AA381" s="165"/>
      <c r="AB381" s="165"/>
      <c r="AC381" s="165"/>
    </row>
    <row r="382">
      <c r="A382" s="165"/>
      <c r="B382" s="165"/>
      <c r="C382" s="165"/>
      <c r="D382" s="165"/>
      <c r="E382" s="166"/>
      <c r="F382" s="165"/>
      <c r="G382" s="167"/>
      <c r="H382" s="166"/>
      <c r="I382" s="167"/>
      <c r="J382" s="168"/>
      <c r="K382" s="169"/>
      <c r="L382" s="165"/>
      <c r="M382" s="165"/>
      <c r="N382" s="165"/>
      <c r="O382" s="165"/>
      <c r="P382" s="165"/>
      <c r="Q382" s="165"/>
      <c r="R382" s="165"/>
      <c r="S382" s="165"/>
      <c r="T382" s="165"/>
      <c r="U382" s="165"/>
      <c r="V382" s="165"/>
      <c r="W382" s="165"/>
      <c r="X382" s="165"/>
      <c r="Y382" s="165"/>
      <c r="Z382" s="165"/>
      <c r="AA382" s="165"/>
      <c r="AB382" s="165"/>
      <c r="AC382" s="165"/>
    </row>
    <row r="383">
      <c r="A383" s="165"/>
      <c r="B383" s="165"/>
      <c r="C383" s="165"/>
      <c r="D383" s="165"/>
      <c r="E383" s="166"/>
      <c r="F383" s="165"/>
      <c r="G383" s="167"/>
      <c r="H383" s="166"/>
      <c r="I383" s="167"/>
      <c r="J383" s="168"/>
      <c r="K383" s="169"/>
      <c r="L383" s="165"/>
      <c r="M383" s="165"/>
      <c r="N383" s="165"/>
      <c r="O383" s="165"/>
      <c r="P383" s="165"/>
      <c r="Q383" s="165"/>
      <c r="R383" s="165"/>
      <c r="S383" s="165"/>
      <c r="T383" s="165"/>
      <c r="U383" s="165"/>
      <c r="V383" s="165"/>
      <c r="W383" s="165"/>
      <c r="X383" s="165"/>
      <c r="Y383" s="165"/>
      <c r="Z383" s="165"/>
      <c r="AA383" s="165"/>
      <c r="AB383" s="165"/>
      <c r="AC383" s="165"/>
    </row>
    <row r="384">
      <c r="A384" s="165"/>
      <c r="B384" s="165"/>
      <c r="C384" s="165"/>
      <c r="D384" s="165"/>
      <c r="E384" s="166"/>
      <c r="F384" s="165"/>
      <c r="G384" s="167"/>
      <c r="H384" s="166"/>
      <c r="I384" s="167"/>
      <c r="J384" s="168"/>
      <c r="K384" s="169"/>
      <c r="L384" s="165"/>
      <c r="M384" s="165"/>
      <c r="N384" s="165"/>
      <c r="O384" s="165"/>
      <c r="P384" s="165"/>
      <c r="Q384" s="165"/>
      <c r="R384" s="165"/>
      <c r="S384" s="165"/>
      <c r="T384" s="165"/>
      <c r="U384" s="165"/>
      <c r="V384" s="165"/>
      <c r="W384" s="165"/>
      <c r="X384" s="165"/>
      <c r="Y384" s="165"/>
      <c r="Z384" s="165"/>
      <c r="AA384" s="165"/>
      <c r="AB384" s="165"/>
      <c r="AC384" s="165"/>
    </row>
    <row r="385">
      <c r="A385" s="165"/>
      <c r="B385" s="165"/>
      <c r="C385" s="165"/>
      <c r="D385" s="165"/>
      <c r="E385" s="166"/>
      <c r="F385" s="165"/>
      <c r="G385" s="167"/>
      <c r="H385" s="166"/>
      <c r="I385" s="167"/>
      <c r="J385" s="168"/>
      <c r="K385" s="169"/>
      <c r="L385" s="165"/>
      <c r="M385" s="165"/>
      <c r="N385" s="165"/>
      <c r="O385" s="165"/>
      <c r="P385" s="165"/>
      <c r="Q385" s="165"/>
      <c r="R385" s="165"/>
      <c r="S385" s="165"/>
      <c r="T385" s="165"/>
      <c r="U385" s="165"/>
      <c r="V385" s="165"/>
      <c r="W385" s="165"/>
      <c r="X385" s="165"/>
      <c r="Y385" s="165"/>
      <c r="Z385" s="165"/>
      <c r="AA385" s="165"/>
      <c r="AB385" s="165"/>
      <c r="AC385" s="165"/>
    </row>
    <row r="386">
      <c r="A386" s="165"/>
      <c r="B386" s="165"/>
      <c r="C386" s="165"/>
      <c r="D386" s="165"/>
      <c r="E386" s="166"/>
      <c r="F386" s="165"/>
      <c r="G386" s="167"/>
      <c r="H386" s="166"/>
      <c r="I386" s="167"/>
      <c r="J386" s="168"/>
      <c r="K386" s="169"/>
      <c r="L386" s="165"/>
      <c r="M386" s="165"/>
      <c r="N386" s="165"/>
      <c r="O386" s="165"/>
      <c r="P386" s="165"/>
      <c r="Q386" s="165"/>
      <c r="R386" s="165"/>
      <c r="S386" s="165"/>
      <c r="T386" s="165"/>
      <c r="U386" s="165"/>
      <c r="V386" s="165"/>
      <c r="W386" s="165"/>
      <c r="X386" s="165"/>
      <c r="Y386" s="165"/>
      <c r="Z386" s="165"/>
      <c r="AA386" s="165"/>
      <c r="AB386" s="165"/>
      <c r="AC386" s="165"/>
    </row>
    <row r="387">
      <c r="A387" s="165"/>
      <c r="B387" s="165"/>
      <c r="C387" s="165"/>
      <c r="D387" s="165"/>
      <c r="E387" s="166"/>
      <c r="F387" s="165"/>
      <c r="G387" s="167"/>
      <c r="H387" s="166"/>
      <c r="I387" s="167"/>
      <c r="J387" s="168"/>
      <c r="K387" s="169"/>
      <c r="L387" s="165"/>
      <c r="M387" s="165"/>
      <c r="N387" s="165"/>
      <c r="O387" s="165"/>
      <c r="P387" s="165"/>
      <c r="Q387" s="165"/>
      <c r="R387" s="165"/>
      <c r="S387" s="165"/>
      <c r="T387" s="165"/>
      <c r="U387" s="165"/>
      <c r="V387" s="165"/>
      <c r="W387" s="165"/>
      <c r="X387" s="165"/>
      <c r="Y387" s="165"/>
      <c r="Z387" s="165"/>
      <c r="AA387" s="165"/>
      <c r="AB387" s="165"/>
      <c r="AC387" s="165"/>
    </row>
    <row r="388">
      <c r="A388" s="165"/>
      <c r="B388" s="165"/>
      <c r="C388" s="165"/>
      <c r="D388" s="165"/>
      <c r="E388" s="166"/>
      <c r="F388" s="165"/>
      <c r="G388" s="167"/>
      <c r="H388" s="166"/>
      <c r="I388" s="167"/>
      <c r="J388" s="168"/>
      <c r="K388" s="169"/>
      <c r="L388" s="165"/>
      <c r="M388" s="165"/>
      <c r="N388" s="165"/>
      <c r="O388" s="165"/>
      <c r="P388" s="165"/>
      <c r="Q388" s="165"/>
      <c r="R388" s="165"/>
      <c r="S388" s="165"/>
      <c r="T388" s="165"/>
      <c r="U388" s="165"/>
      <c r="V388" s="165"/>
      <c r="W388" s="165"/>
      <c r="X388" s="165"/>
      <c r="Y388" s="165"/>
      <c r="Z388" s="165"/>
      <c r="AA388" s="165"/>
      <c r="AB388" s="165"/>
      <c r="AC388" s="165"/>
    </row>
    <row r="389">
      <c r="A389" s="165"/>
      <c r="B389" s="165"/>
      <c r="C389" s="165"/>
      <c r="D389" s="165"/>
      <c r="E389" s="166"/>
      <c r="F389" s="165"/>
      <c r="G389" s="167"/>
      <c r="H389" s="166"/>
      <c r="I389" s="167"/>
      <c r="J389" s="168"/>
      <c r="K389" s="169"/>
      <c r="L389" s="165"/>
      <c r="M389" s="165"/>
      <c r="N389" s="165"/>
      <c r="O389" s="165"/>
      <c r="P389" s="165"/>
      <c r="Q389" s="165"/>
      <c r="R389" s="165"/>
      <c r="S389" s="165"/>
      <c r="T389" s="165"/>
      <c r="U389" s="165"/>
      <c r="V389" s="165"/>
      <c r="W389" s="165"/>
      <c r="X389" s="165"/>
      <c r="Y389" s="165"/>
      <c r="Z389" s="165"/>
      <c r="AA389" s="165"/>
      <c r="AB389" s="165"/>
      <c r="AC389" s="165"/>
    </row>
    <row r="390">
      <c r="A390" s="165"/>
      <c r="B390" s="165"/>
      <c r="C390" s="165"/>
      <c r="D390" s="165"/>
      <c r="E390" s="166"/>
      <c r="F390" s="165"/>
      <c r="G390" s="167"/>
      <c r="H390" s="166"/>
      <c r="I390" s="167"/>
      <c r="J390" s="168"/>
      <c r="K390" s="169"/>
      <c r="L390" s="165"/>
      <c r="M390" s="165"/>
      <c r="N390" s="165"/>
      <c r="O390" s="165"/>
      <c r="P390" s="165"/>
      <c r="Q390" s="165"/>
      <c r="R390" s="165"/>
      <c r="S390" s="165"/>
      <c r="T390" s="165"/>
      <c r="U390" s="165"/>
      <c r="V390" s="165"/>
      <c r="W390" s="165"/>
      <c r="X390" s="165"/>
      <c r="Y390" s="165"/>
      <c r="Z390" s="165"/>
      <c r="AA390" s="165"/>
      <c r="AB390" s="165"/>
      <c r="AC390" s="165"/>
    </row>
    <row r="391">
      <c r="A391" s="165"/>
      <c r="B391" s="165"/>
      <c r="C391" s="165"/>
      <c r="D391" s="165"/>
      <c r="E391" s="166"/>
      <c r="F391" s="165"/>
      <c r="G391" s="167"/>
      <c r="H391" s="166"/>
      <c r="I391" s="167"/>
      <c r="J391" s="168"/>
      <c r="K391" s="169"/>
      <c r="L391" s="165"/>
      <c r="M391" s="165"/>
      <c r="N391" s="165"/>
      <c r="O391" s="165"/>
      <c r="P391" s="165"/>
      <c r="Q391" s="165"/>
      <c r="R391" s="165"/>
      <c r="S391" s="165"/>
      <c r="T391" s="165"/>
      <c r="U391" s="165"/>
      <c r="V391" s="165"/>
      <c r="W391" s="165"/>
      <c r="X391" s="165"/>
      <c r="Y391" s="165"/>
      <c r="Z391" s="165"/>
      <c r="AA391" s="165"/>
      <c r="AB391" s="165"/>
      <c r="AC391" s="165"/>
    </row>
    <row r="392">
      <c r="A392" s="165"/>
      <c r="B392" s="165"/>
      <c r="C392" s="165"/>
      <c r="D392" s="165"/>
      <c r="E392" s="166"/>
      <c r="F392" s="165"/>
      <c r="G392" s="167"/>
      <c r="H392" s="166"/>
      <c r="I392" s="167"/>
      <c r="J392" s="168"/>
      <c r="K392" s="169"/>
      <c r="L392" s="165"/>
      <c r="M392" s="165"/>
      <c r="N392" s="165"/>
      <c r="O392" s="165"/>
      <c r="P392" s="165"/>
      <c r="Q392" s="165"/>
      <c r="R392" s="165"/>
      <c r="S392" s="165"/>
      <c r="T392" s="165"/>
      <c r="U392" s="165"/>
      <c r="V392" s="165"/>
      <c r="W392" s="165"/>
      <c r="X392" s="165"/>
      <c r="Y392" s="165"/>
      <c r="Z392" s="165"/>
      <c r="AA392" s="165"/>
      <c r="AB392" s="165"/>
      <c r="AC392" s="165"/>
    </row>
    <row r="393">
      <c r="A393" s="165"/>
      <c r="B393" s="165"/>
      <c r="C393" s="165"/>
      <c r="D393" s="165"/>
      <c r="E393" s="166"/>
      <c r="F393" s="165"/>
      <c r="G393" s="167"/>
      <c r="H393" s="166"/>
      <c r="I393" s="167"/>
      <c r="J393" s="168"/>
      <c r="K393" s="169"/>
      <c r="L393" s="165"/>
      <c r="M393" s="165"/>
      <c r="N393" s="165"/>
      <c r="O393" s="165"/>
      <c r="P393" s="165"/>
      <c r="Q393" s="165"/>
      <c r="R393" s="165"/>
      <c r="S393" s="165"/>
      <c r="T393" s="165"/>
      <c r="U393" s="165"/>
      <c r="V393" s="165"/>
      <c r="W393" s="165"/>
      <c r="X393" s="165"/>
      <c r="Y393" s="165"/>
      <c r="Z393" s="165"/>
      <c r="AA393" s="165"/>
      <c r="AB393" s="165"/>
      <c r="AC393" s="165"/>
    </row>
    <row r="394">
      <c r="A394" s="165"/>
      <c r="B394" s="165"/>
      <c r="C394" s="165"/>
      <c r="D394" s="165"/>
      <c r="E394" s="166"/>
      <c r="F394" s="165"/>
      <c r="G394" s="167"/>
      <c r="H394" s="166"/>
      <c r="I394" s="167"/>
      <c r="J394" s="168"/>
      <c r="K394" s="169"/>
      <c r="L394" s="165"/>
      <c r="M394" s="165"/>
      <c r="N394" s="165"/>
      <c r="O394" s="165"/>
      <c r="P394" s="165"/>
      <c r="Q394" s="165"/>
      <c r="R394" s="165"/>
      <c r="S394" s="165"/>
      <c r="T394" s="165"/>
      <c r="U394" s="165"/>
      <c r="V394" s="165"/>
      <c r="W394" s="165"/>
      <c r="X394" s="165"/>
      <c r="Y394" s="165"/>
      <c r="Z394" s="165"/>
      <c r="AA394" s="165"/>
      <c r="AB394" s="165"/>
      <c r="AC394" s="165"/>
    </row>
    <row r="395">
      <c r="A395" s="165"/>
      <c r="B395" s="165"/>
      <c r="C395" s="165"/>
      <c r="D395" s="165"/>
      <c r="E395" s="166"/>
      <c r="F395" s="165"/>
      <c r="G395" s="167"/>
      <c r="H395" s="166"/>
      <c r="I395" s="167"/>
      <c r="J395" s="168"/>
      <c r="K395" s="169"/>
      <c r="L395" s="165"/>
      <c r="M395" s="165"/>
      <c r="N395" s="165"/>
      <c r="O395" s="165"/>
      <c r="P395" s="165"/>
      <c r="Q395" s="165"/>
      <c r="R395" s="165"/>
      <c r="S395" s="165"/>
      <c r="T395" s="165"/>
      <c r="U395" s="165"/>
      <c r="V395" s="165"/>
      <c r="W395" s="165"/>
      <c r="X395" s="165"/>
      <c r="Y395" s="165"/>
      <c r="Z395" s="165"/>
      <c r="AA395" s="165"/>
      <c r="AB395" s="165"/>
      <c r="AC395" s="165"/>
    </row>
    <row r="396">
      <c r="A396" s="165"/>
      <c r="B396" s="165"/>
      <c r="C396" s="165"/>
      <c r="D396" s="165"/>
      <c r="E396" s="166"/>
      <c r="F396" s="165"/>
      <c r="G396" s="167"/>
      <c r="H396" s="166"/>
      <c r="I396" s="167"/>
      <c r="J396" s="168"/>
      <c r="K396" s="169"/>
      <c r="L396" s="165"/>
      <c r="M396" s="165"/>
      <c r="N396" s="165"/>
      <c r="O396" s="165"/>
      <c r="P396" s="165"/>
      <c r="Q396" s="165"/>
      <c r="R396" s="165"/>
      <c r="S396" s="165"/>
      <c r="T396" s="165"/>
      <c r="U396" s="165"/>
      <c r="V396" s="165"/>
      <c r="W396" s="165"/>
      <c r="X396" s="165"/>
      <c r="Y396" s="165"/>
      <c r="Z396" s="165"/>
      <c r="AA396" s="165"/>
      <c r="AB396" s="165"/>
      <c r="AC396" s="165"/>
    </row>
    <row r="397">
      <c r="A397" s="165"/>
      <c r="B397" s="165"/>
      <c r="C397" s="165"/>
      <c r="D397" s="165"/>
      <c r="E397" s="166"/>
      <c r="F397" s="165"/>
      <c r="G397" s="167"/>
      <c r="H397" s="166"/>
      <c r="I397" s="167"/>
      <c r="J397" s="168"/>
      <c r="K397" s="169"/>
      <c r="L397" s="165"/>
      <c r="M397" s="165"/>
      <c r="N397" s="165"/>
      <c r="O397" s="165"/>
      <c r="P397" s="165"/>
      <c r="Q397" s="165"/>
      <c r="R397" s="165"/>
      <c r="S397" s="165"/>
      <c r="T397" s="165"/>
      <c r="U397" s="165"/>
      <c r="V397" s="165"/>
      <c r="W397" s="165"/>
      <c r="X397" s="165"/>
      <c r="Y397" s="165"/>
      <c r="Z397" s="165"/>
      <c r="AA397" s="165"/>
      <c r="AB397" s="165"/>
      <c r="AC397" s="165"/>
    </row>
    <row r="398">
      <c r="A398" s="165"/>
      <c r="B398" s="165"/>
      <c r="C398" s="165"/>
      <c r="D398" s="165"/>
      <c r="E398" s="166"/>
      <c r="F398" s="165"/>
      <c r="G398" s="167"/>
      <c r="H398" s="166"/>
      <c r="I398" s="167"/>
      <c r="J398" s="168"/>
      <c r="K398" s="169"/>
      <c r="L398" s="165"/>
      <c r="M398" s="165"/>
      <c r="N398" s="165"/>
      <c r="O398" s="165"/>
      <c r="P398" s="165"/>
      <c r="Q398" s="165"/>
      <c r="R398" s="165"/>
      <c r="S398" s="165"/>
      <c r="T398" s="165"/>
      <c r="U398" s="165"/>
      <c r="V398" s="165"/>
      <c r="W398" s="165"/>
      <c r="X398" s="165"/>
      <c r="Y398" s="165"/>
      <c r="Z398" s="165"/>
      <c r="AA398" s="165"/>
      <c r="AB398" s="165"/>
      <c r="AC398" s="165"/>
    </row>
    <row r="399">
      <c r="A399" s="165"/>
      <c r="B399" s="165"/>
      <c r="C399" s="165"/>
      <c r="D399" s="165"/>
      <c r="E399" s="166"/>
      <c r="F399" s="165"/>
      <c r="G399" s="167"/>
      <c r="H399" s="166"/>
      <c r="I399" s="167"/>
      <c r="J399" s="168"/>
      <c r="K399" s="169"/>
      <c r="L399" s="165"/>
      <c r="M399" s="165"/>
      <c r="N399" s="165"/>
      <c r="O399" s="165"/>
      <c r="P399" s="165"/>
      <c r="Q399" s="165"/>
      <c r="R399" s="165"/>
      <c r="S399" s="165"/>
      <c r="T399" s="165"/>
      <c r="U399" s="165"/>
      <c r="V399" s="165"/>
      <c r="W399" s="165"/>
      <c r="X399" s="165"/>
      <c r="Y399" s="165"/>
      <c r="Z399" s="165"/>
      <c r="AA399" s="165"/>
      <c r="AB399" s="165"/>
      <c r="AC399" s="165"/>
    </row>
    <row r="400">
      <c r="A400" s="165"/>
      <c r="B400" s="165"/>
      <c r="C400" s="165"/>
      <c r="D400" s="165"/>
      <c r="E400" s="166"/>
      <c r="F400" s="165"/>
      <c r="G400" s="167"/>
      <c r="H400" s="166"/>
      <c r="I400" s="167"/>
      <c r="J400" s="168"/>
      <c r="K400" s="169"/>
      <c r="L400" s="165"/>
      <c r="M400" s="165"/>
      <c r="N400" s="165"/>
      <c r="O400" s="165"/>
      <c r="P400" s="165"/>
      <c r="Q400" s="165"/>
      <c r="R400" s="165"/>
      <c r="S400" s="165"/>
      <c r="T400" s="165"/>
      <c r="U400" s="165"/>
      <c r="V400" s="165"/>
      <c r="W400" s="165"/>
      <c r="X400" s="165"/>
      <c r="Y400" s="165"/>
      <c r="Z400" s="165"/>
      <c r="AA400" s="165"/>
      <c r="AB400" s="165"/>
      <c r="AC400" s="165"/>
    </row>
    <row r="401">
      <c r="A401" s="165"/>
      <c r="B401" s="165"/>
      <c r="C401" s="165"/>
      <c r="D401" s="165"/>
      <c r="E401" s="166"/>
      <c r="F401" s="165"/>
      <c r="G401" s="167"/>
      <c r="H401" s="166"/>
      <c r="I401" s="167"/>
      <c r="J401" s="168"/>
      <c r="K401" s="169"/>
      <c r="L401" s="165"/>
      <c r="M401" s="165"/>
      <c r="N401" s="165"/>
      <c r="O401" s="165"/>
      <c r="P401" s="165"/>
      <c r="Q401" s="165"/>
      <c r="R401" s="165"/>
      <c r="S401" s="165"/>
      <c r="T401" s="165"/>
      <c r="U401" s="165"/>
      <c r="V401" s="165"/>
      <c r="W401" s="165"/>
      <c r="X401" s="165"/>
      <c r="Y401" s="165"/>
      <c r="Z401" s="165"/>
      <c r="AA401" s="165"/>
      <c r="AB401" s="165"/>
      <c r="AC401" s="165"/>
    </row>
    <row r="402">
      <c r="A402" s="165"/>
      <c r="B402" s="165"/>
      <c r="C402" s="165"/>
      <c r="D402" s="165"/>
      <c r="E402" s="166"/>
      <c r="F402" s="165"/>
      <c r="G402" s="167"/>
      <c r="H402" s="166"/>
      <c r="I402" s="167"/>
      <c r="J402" s="168"/>
      <c r="K402" s="169"/>
      <c r="L402" s="165"/>
      <c r="M402" s="165"/>
      <c r="N402" s="165"/>
      <c r="O402" s="165"/>
      <c r="P402" s="165"/>
      <c r="Q402" s="165"/>
      <c r="R402" s="165"/>
      <c r="S402" s="165"/>
      <c r="T402" s="165"/>
      <c r="U402" s="165"/>
      <c r="V402" s="165"/>
      <c r="W402" s="165"/>
      <c r="X402" s="165"/>
      <c r="Y402" s="165"/>
      <c r="Z402" s="165"/>
      <c r="AA402" s="165"/>
      <c r="AB402" s="165"/>
      <c r="AC402" s="165"/>
    </row>
    <row r="403">
      <c r="A403" s="165"/>
      <c r="B403" s="165"/>
      <c r="C403" s="165"/>
      <c r="D403" s="165"/>
      <c r="E403" s="166"/>
      <c r="F403" s="165"/>
      <c r="G403" s="167"/>
      <c r="H403" s="166"/>
      <c r="I403" s="167"/>
      <c r="J403" s="168"/>
      <c r="K403" s="169"/>
      <c r="L403" s="165"/>
      <c r="M403" s="165"/>
      <c r="N403" s="165"/>
      <c r="O403" s="165"/>
      <c r="P403" s="165"/>
      <c r="Q403" s="165"/>
      <c r="R403" s="165"/>
      <c r="S403" s="165"/>
      <c r="T403" s="165"/>
      <c r="U403" s="165"/>
      <c r="V403" s="165"/>
      <c r="W403" s="165"/>
      <c r="X403" s="165"/>
      <c r="Y403" s="165"/>
      <c r="Z403" s="165"/>
      <c r="AA403" s="165"/>
      <c r="AB403" s="165"/>
      <c r="AC403" s="165"/>
    </row>
    <row r="404">
      <c r="A404" s="165"/>
      <c r="B404" s="165"/>
      <c r="C404" s="165"/>
      <c r="D404" s="165"/>
      <c r="E404" s="166"/>
      <c r="F404" s="165"/>
      <c r="G404" s="167"/>
      <c r="H404" s="166"/>
      <c r="I404" s="167"/>
      <c r="J404" s="168"/>
      <c r="K404" s="169"/>
      <c r="L404" s="165"/>
      <c r="M404" s="165"/>
      <c r="N404" s="165"/>
      <c r="O404" s="165"/>
      <c r="P404" s="165"/>
      <c r="Q404" s="165"/>
      <c r="R404" s="165"/>
      <c r="S404" s="165"/>
      <c r="T404" s="165"/>
      <c r="U404" s="165"/>
      <c r="V404" s="165"/>
      <c r="W404" s="165"/>
      <c r="X404" s="165"/>
      <c r="Y404" s="165"/>
      <c r="Z404" s="165"/>
      <c r="AA404" s="165"/>
      <c r="AB404" s="165"/>
      <c r="AC404" s="165"/>
    </row>
    <row r="405">
      <c r="A405" s="165"/>
      <c r="B405" s="165"/>
      <c r="C405" s="165"/>
      <c r="D405" s="165"/>
      <c r="E405" s="166"/>
      <c r="F405" s="165"/>
      <c r="G405" s="167"/>
      <c r="H405" s="166"/>
      <c r="I405" s="167"/>
      <c r="J405" s="168"/>
      <c r="K405" s="169"/>
      <c r="L405" s="165"/>
      <c r="M405" s="165"/>
      <c r="N405" s="165"/>
      <c r="O405" s="165"/>
      <c r="P405" s="165"/>
      <c r="Q405" s="165"/>
      <c r="R405" s="165"/>
      <c r="S405" s="165"/>
      <c r="T405" s="165"/>
      <c r="U405" s="165"/>
      <c r="V405" s="165"/>
      <c r="W405" s="165"/>
      <c r="X405" s="165"/>
      <c r="Y405" s="165"/>
      <c r="Z405" s="165"/>
      <c r="AA405" s="165"/>
      <c r="AB405" s="165"/>
      <c r="AC405" s="165"/>
    </row>
    <row r="406">
      <c r="A406" s="165"/>
      <c r="B406" s="165"/>
      <c r="C406" s="165"/>
      <c r="D406" s="165"/>
      <c r="E406" s="166"/>
      <c r="F406" s="165"/>
      <c r="G406" s="167"/>
      <c r="H406" s="166"/>
      <c r="I406" s="167"/>
      <c r="J406" s="168"/>
      <c r="K406" s="169"/>
      <c r="L406" s="165"/>
      <c r="M406" s="165"/>
      <c r="N406" s="165"/>
      <c r="O406" s="165"/>
      <c r="P406" s="165"/>
      <c r="Q406" s="165"/>
      <c r="R406" s="165"/>
      <c r="S406" s="165"/>
      <c r="T406" s="165"/>
      <c r="U406" s="165"/>
      <c r="V406" s="165"/>
      <c r="W406" s="165"/>
      <c r="X406" s="165"/>
      <c r="Y406" s="165"/>
      <c r="Z406" s="165"/>
      <c r="AA406" s="165"/>
      <c r="AB406" s="165"/>
      <c r="AC406" s="165"/>
    </row>
    <row r="407">
      <c r="A407" s="165"/>
      <c r="B407" s="165"/>
      <c r="C407" s="165"/>
      <c r="D407" s="165"/>
      <c r="E407" s="166"/>
      <c r="F407" s="165"/>
      <c r="G407" s="167"/>
      <c r="H407" s="166"/>
      <c r="I407" s="167"/>
      <c r="J407" s="168"/>
      <c r="K407" s="169"/>
      <c r="L407" s="165"/>
      <c r="M407" s="165"/>
      <c r="N407" s="165"/>
      <c r="O407" s="165"/>
      <c r="P407" s="165"/>
      <c r="Q407" s="165"/>
      <c r="R407" s="165"/>
      <c r="S407" s="165"/>
      <c r="T407" s="165"/>
      <c r="U407" s="165"/>
      <c r="V407" s="165"/>
      <c r="W407" s="165"/>
      <c r="X407" s="165"/>
      <c r="Y407" s="165"/>
      <c r="Z407" s="165"/>
      <c r="AA407" s="165"/>
      <c r="AB407" s="165"/>
      <c r="AC407" s="165"/>
    </row>
    <row r="408">
      <c r="A408" s="165"/>
      <c r="B408" s="165"/>
      <c r="C408" s="165"/>
      <c r="D408" s="165"/>
      <c r="E408" s="166"/>
      <c r="F408" s="165"/>
      <c r="G408" s="167"/>
      <c r="H408" s="166"/>
      <c r="I408" s="167"/>
      <c r="J408" s="168"/>
      <c r="K408" s="169"/>
      <c r="L408" s="165"/>
      <c r="M408" s="165"/>
      <c r="N408" s="165"/>
      <c r="O408" s="165"/>
      <c r="P408" s="165"/>
      <c r="Q408" s="165"/>
      <c r="R408" s="165"/>
      <c r="S408" s="165"/>
      <c r="T408" s="165"/>
      <c r="U408" s="165"/>
      <c r="V408" s="165"/>
      <c r="W408" s="165"/>
      <c r="X408" s="165"/>
      <c r="Y408" s="165"/>
      <c r="Z408" s="165"/>
      <c r="AA408" s="165"/>
      <c r="AB408" s="165"/>
      <c r="AC408" s="165"/>
    </row>
    <row r="409">
      <c r="A409" s="165"/>
      <c r="B409" s="165"/>
      <c r="C409" s="165"/>
      <c r="D409" s="165"/>
      <c r="E409" s="166"/>
      <c r="F409" s="165"/>
      <c r="G409" s="167"/>
      <c r="H409" s="166"/>
      <c r="I409" s="167"/>
      <c r="J409" s="168"/>
      <c r="K409" s="169"/>
      <c r="L409" s="165"/>
      <c r="M409" s="165"/>
      <c r="N409" s="165"/>
      <c r="O409" s="165"/>
      <c r="P409" s="165"/>
      <c r="Q409" s="165"/>
      <c r="R409" s="165"/>
      <c r="S409" s="165"/>
      <c r="T409" s="165"/>
      <c r="U409" s="165"/>
      <c r="V409" s="165"/>
      <c r="W409" s="165"/>
      <c r="X409" s="165"/>
      <c r="Y409" s="165"/>
      <c r="Z409" s="165"/>
      <c r="AA409" s="165"/>
      <c r="AB409" s="165"/>
      <c r="AC409" s="165"/>
    </row>
    <row r="410">
      <c r="A410" s="165"/>
      <c r="B410" s="165"/>
      <c r="C410" s="165"/>
      <c r="D410" s="165"/>
      <c r="E410" s="166"/>
      <c r="F410" s="165"/>
      <c r="G410" s="167"/>
      <c r="H410" s="166"/>
      <c r="I410" s="167"/>
      <c r="J410" s="168"/>
      <c r="K410" s="169"/>
      <c r="L410" s="165"/>
      <c r="M410" s="165"/>
      <c r="N410" s="165"/>
      <c r="O410" s="165"/>
      <c r="P410" s="165"/>
      <c r="Q410" s="165"/>
      <c r="R410" s="165"/>
      <c r="S410" s="165"/>
      <c r="T410" s="165"/>
      <c r="U410" s="165"/>
      <c r="V410" s="165"/>
      <c r="W410" s="165"/>
      <c r="X410" s="165"/>
      <c r="Y410" s="165"/>
      <c r="Z410" s="165"/>
      <c r="AA410" s="165"/>
      <c r="AB410" s="165"/>
      <c r="AC410" s="165"/>
    </row>
    <row r="411">
      <c r="A411" s="165"/>
      <c r="B411" s="165"/>
      <c r="C411" s="165"/>
      <c r="D411" s="165"/>
      <c r="E411" s="166"/>
      <c r="F411" s="165"/>
      <c r="G411" s="167"/>
      <c r="H411" s="166"/>
      <c r="I411" s="167"/>
      <c r="J411" s="168"/>
      <c r="K411" s="169"/>
      <c r="L411" s="165"/>
      <c r="M411" s="165"/>
      <c r="N411" s="165"/>
      <c r="O411" s="165"/>
      <c r="P411" s="165"/>
      <c r="Q411" s="165"/>
      <c r="R411" s="165"/>
      <c r="S411" s="165"/>
      <c r="T411" s="165"/>
      <c r="U411" s="165"/>
      <c r="V411" s="165"/>
      <c r="W411" s="165"/>
      <c r="X411" s="165"/>
      <c r="Y411" s="165"/>
      <c r="Z411" s="165"/>
      <c r="AA411" s="165"/>
      <c r="AB411" s="165"/>
      <c r="AC411" s="165"/>
    </row>
    <row r="412">
      <c r="A412" s="165"/>
      <c r="B412" s="165"/>
      <c r="C412" s="165"/>
      <c r="D412" s="165"/>
      <c r="E412" s="166"/>
      <c r="F412" s="165"/>
      <c r="G412" s="167"/>
      <c r="H412" s="166"/>
      <c r="I412" s="167"/>
      <c r="J412" s="168"/>
      <c r="K412" s="169"/>
      <c r="L412" s="165"/>
      <c r="M412" s="165"/>
      <c r="N412" s="165"/>
      <c r="O412" s="165"/>
      <c r="P412" s="165"/>
      <c r="Q412" s="165"/>
      <c r="R412" s="165"/>
      <c r="S412" s="165"/>
      <c r="T412" s="165"/>
      <c r="U412" s="165"/>
      <c r="V412" s="165"/>
      <c r="W412" s="165"/>
      <c r="X412" s="165"/>
      <c r="Y412" s="165"/>
      <c r="Z412" s="165"/>
      <c r="AA412" s="165"/>
      <c r="AB412" s="165"/>
      <c r="AC412" s="165"/>
    </row>
    <row r="413">
      <c r="A413" s="165"/>
      <c r="B413" s="165"/>
      <c r="C413" s="165"/>
      <c r="D413" s="165"/>
      <c r="E413" s="166"/>
      <c r="F413" s="165"/>
      <c r="G413" s="167"/>
      <c r="H413" s="166"/>
      <c r="I413" s="167"/>
      <c r="J413" s="168"/>
      <c r="K413" s="169"/>
      <c r="L413" s="165"/>
      <c r="M413" s="165"/>
      <c r="N413" s="165"/>
      <c r="O413" s="165"/>
      <c r="P413" s="165"/>
      <c r="Q413" s="165"/>
      <c r="R413" s="165"/>
      <c r="S413" s="165"/>
      <c r="T413" s="165"/>
      <c r="U413" s="165"/>
      <c r="V413" s="165"/>
      <c r="W413" s="165"/>
      <c r="X413" s="165"/>
      <c r="Y413" s="165"/>
      <c r="Z413" s="165"/>
      <c r="AA413" s="165"/>
      <c r="AB413" s="165"/>
      <c r="AC413" s="165"/>
    </row>
    <row r="414">
      <c r="A414" s="165"/>
      <c r="B414" s="165"/>
      <c r="C414" s="165"/>
      <c r="D414" s="165"/>
      <c r="E414" s="166"/>
      <c r="F414" s="165"/>
      <c r="G414" s="167"/>
      <c r="H414" s="166"/>
      <c r="I414" s="167"/>
      <c r="J414" s="168"/>
      <c r="K414" s="169"/>
      <c r="L414" s="165"/>
      <c r="M414" s="165"/>
      <c r="N414" s="165"/>
      <c r="O414" s="165"/>
      <c r="P414" s="165"/>
      <c r="Q414" s="165"/>
      <c r="R414" s="165"/>
      <c r="S414" s="165"/>
      <c r="T414" s="165"/>
      <c r="U414" s="165"/>
      <c r="V414" s="165"/>
      <c r="W414" s="165"/>
      <c r="X414" s="165"/>
      <c r="Y414" s="165"/>
      <c r="Z414" s="165"/>
      <c r="AA414" s="165"/>
      <c r="AB414" s="165"/>
      <c r="AC414" s="165"/>
    </row>
    <row r="415">
      <c r="A415" s="165"/>
      <c r="B415" s="165"/>
      <c r="C415" s="165"/>
      <c r="D415" s="165"/>
      <c r="E415" s="166"/>
      <c r="F415" s="165"/>
      <c r="G415" s="167"/>
      <c r="H415" s="166"/>
      <c r="I415" s="167"/>
      <c r="J415" s="168"/>
      <c r="K415" s="169"/>
      <c r="L415" s="165"/>
      <c r="M415" s="165"/>
      <c r="N415" s="165"/>
      <c r="O415" s="165"/>
      <c r="P415" s="165"/>
      <c r="Q415" s="165"/>
      <c r="R415" s="165"/>
      <c r="S415" s="165"/>
      <c r="T415" s="165"/>
      <c r="U415" s="165"/>
      <c r="V415" s="165"/>
      <c r="W415" s="165"/>
      <c r="X415" s="165"/>
      <c r="Y415" s="165"/>
      <c r="Z415" s="165"/>
      <c r="AA415" s="165"/>
      <c r="AB415" s="165"/>
      <c r="AC415" s="165"/>
    </row>
    <row r="416">
      <c r="A416" s="165"/>
      <c r="B416" s="165"/>
      <c r="C416" s="165"/>
      <c r="D416" s="165"/>
      <c r="E416" s="166"/>
      <c r="F416" s="165"/>
      <c r="G416" s="167"/>
      <c r="H416" s="166"/>
      <c r="I416" s="167"/>
      <c r="J416" s="168"/>
      <c r="K416" s="169"/>
      <c r="L416" s="165"/>
      <c r="M416" s="165"/>
      <c r="N416" s="165"/>
      <c r="O416" s="165"/>
      <c r="P416" s="165"/>
      <c r="Q416" s="165"/>
      <c r="R416" s="165"/>
      <c r="S416" s="165"/>
      <c r="T416" s="165"/>
      <c r="U416" s="165"/>
      <c r="V416" s="165"/>
      <c r="W416" s="165"/>
      <c r="X416" s="165"/>
      <c r="Y416" s="165"/>
      <c r="Z416" s="165"/>
      <c r="AA416" s="165"/>
      <c r="AB416" s="165"/>
      <c r="AC416" s="165"/>
    </row>
    <row r="417">
      <c r="A417" s="165"/>
      <c r="B417" s="165"/>
      <c r="C417" s="165"/>
      <c r="D417" s="165"/>
      <c r="E417" s="166"/>
      <c r="F417" s="165"/>
      <c r="G417" s="167"/>
      <c r="H417" s="166"/>
      <c r="I417" s="167"/>
      <c r="J417" s="168"/>
      <c r="K417" s="169"/>
      <c r="L417" s="165"/>
      <c r="M417" s="165"/>
      <c r="N417" s="165"/>
      <c r="O417" s="165"/>
      <c r="P417" s="165"/>
      <c r="Q417" s="165"/>
      <c r="R417" s="165"/>
      <c r="S417" s="165"/>
      <c r="T417" s="165"/>
      <c r="U417" s="165"/>
      <c r="V417" s="165"/>
      <c r="W417" s="165"/>
      <c r="X417" s="165"/>
      <c r="Y417" s="165"/>
      <c r="Z417" s="165"/>
      <c r="AA417" s="165"/>
      <c r="AB417" s="165"/>
      <c r="AC417" s="165"/>
    </row>
    <row r="418">
      <c r="A418" s="165"/>
      <c r="B418" s="165"/>
      <c r="C418" s="165"/>
      <c r="D418" s="165"/>
      <c r="E418" s="166"/>
      <c r="F418" s="165"/>
      <c r="G418" s="167"/>
      <c r="H418" s="166"/>
      <c r="I418" s="167"/>
      <c r="J418" s="168"/>
      <c r="K418" s="169"/>
      <c r="L418" s="165"/>
      <c r="M418" s="165"/>
      <c r="N418" s="165"/>
      <c r="O418" s="165"/>
      <c r="P418" s="165"/>
      <c r="Q418" s="165"/>
      <c r="R418" s="165"/>
      <c r="S418" s="165"/>
      <c r="T418" s="165"/>
      <c r="U418" s="165"/>
      <c r="V418" s="165"/>
      <c r="W418" s="165"/>
      <c r="X418" s="165"/>
      <c r="Y418" s="165"/>
      <c r="Z418" s="165"/>
      <c r="AA418" s="165"/>
      <c r="AB418" s="165"/>
      <c r="AC418" s="165"/>
    </row>
    <row r="419">
      <c r="A419" s="165"/>
      <c r="B419" s="165"/>
      <c r="C419" s="165"/>
      <c r="D419" s="165"/>
      <c r="E419" s="166"/>
      <c r="F419" s="165"/>
      <c r="G419" s="167"/>
      <c r="H419" s="166"/>
      <c r="I419" s="167"/>
      <c r="J419" s="168"/>
      <c r="K419" s="169"/>
      <c r="L419" s="165"/>
      <c r="M419" s="165"/>
      <c r="N419" s="165"/>
      <c r="O419" s="165"/>
      <c r="P419" s="165"/>
      <c r="Q419" s="165"/>
      <c r="R419" s="165"/>
      <c r="S419" s="165"/>
      <c r="T419" s="165"/>
      <c r="U419" s="165"/>
      <c r="V419" s="165"/>
      <c r="W419" s="165"/>
      <c r="X419" s="165"/>
      <c r="Y419" s="165"/>
      <c r="Z419" s="165"/>
      <c r="AA419" s="165"/>
      <c r="AB419" s="165"/>
      <c r="AC419" s="165"/>
    </row>
    <row r="420">
      <c r="A420" s="165"/>
      <c r="B420" s="165"/>
      <c r="C420" s="165"/>
      <c r="D420" s="165"/>
      <c r="E420" s="166"/>
      <c r="F420" s="165"/>
      <c r="G420" s="167"/>
      <c r="H420" s="166"/>
      <c r="I420" s="167"/>
      <c r="J420" s="168"/>
      <c r="K420" s="169"/>
      <c r="L420" s="165"/>
      <c r="M420" s="165"/>
      <c r="N420" s="165"/>
      <c r="O420" s="165"/>
      <c r="P420" s="165"/>
      <c r="Q420" s="165"/>
      <c r="R420" s="165"/>
      <c r="S420" s="165"/>
      <c r="T420" s="165"/>
      <c r="U420" s="165"/>
      <c r="V420" s="165"/>
      <c r="W420" s="165"/>
      <c r="X420" s="165"/>
      <c r="Y420" s="165"/>
      <c r="Z420" s="165"/>
      <c r="AA420" s="165"/>
      <c r="AB420" s="165"/>
      <c r="AC420" s="165"/>
    </row>
    <row r="421">
      <c r="A421" s="165"/>
      <c r="B421" s="165"/>
      <c r="C421" s="165"/>
      <c r="D421" s="165"/>
      <c r="E421" s="166"/>
      <c r="F421" s="165"/>
      <c r="G421" s="167"/>
      <c r="H421" s="166"/>
      <c r="I421" s="167"/>
      <c r="J421" s="168"/>
      <c r="K421" s="169"/>
      <c r="L421" s="165"/>
      <c r="M421" s="165"/>
      <c r="N421" s="165"/>
      <c r="O421" s="165"/>
      <c r="P421" s="165"/>
      <c r="Q421" s="165"/>
      <c r="R421" s="165"/>
      <c r="S421" s="165"/>
      <c r="T421" s="165"/>
      <c r="U421" s="165"/>
      <c r="V421" s="165"/>
      <c r="W421" s="165"/>
      <c r="X421" s="165"/>
      <c r="Y421" s="165"/>
      <c r="Z421" s="165"/>
      <c r="AA421" s="165"/>
      <c r="AB421" s="165"/>
      <c r="AC421" s="165"/>
    </row>
    <row r="422">
      <c r="A422" s="165"/>
      <c r="B422" s="165"/>
      <c r="C422" s="165"/>
      <c r="D422" s="165"/>
      <c r="E422" s="166"/>
      <c r="F422" s="165"/>
      <c r="G422" s="167"/>
      <c r="H422" s="166"/>
      <c r="I422" s="167"/>
      <c r="J422" s="168"/>
      <c r="K422" s="169"/>
      <c r="L422" s="165"/>
      <c r="M422" s="165"/>
      <c r="N422" s="165"/>
      <c r="O422" s="165"/>
      <c r="P422" s="165"/>
      <c r="Q422" s="165"/>
      <c r="R422" s="165"/>
      <c r="S422" s="165"/>
      <c r="T422" s="165"/>
      <c r="U422" s="165"/>
      <c r="V422" s="165"/>
      <c r="W422" s="165"/>
      <c r="X422" s="165"/>
      <c r="Y422" s="165"/>
      <c r="Z422" s="165"/>
      <c r="AA422" s="165"/>
      <c r="AB422" s="165"/>
      <c r="AC422" s="165"/>
    </row>
    <row r="423">
      <c r="A423" s="165"/>
      <c r="B423" s="165"/>
      <c r="C423" s="165"/>
      <c r="D423" s="165"/>
      <c r="E423" s="166"/>
      <c r="F423" s="165"/>
      <c r="G423" s="167"/>
      <c r="H423" s="166"/>
      <c r="I423" s="167"/>
      <c r="J423" s="168"/>
      <c r="K423" s="169"/>
      <c r="L423" s="165"/>
      <c r="M423" s="165"/>
      <c r="N423" s="165"/>
      <c r="O423" s="165"/>
      <c r="P423" s="165"/>
      <c r="Q423" s="165"/>
      <c r="R423" s="165"/>
      <c r="S423" s="165"/>
      <c r="T423" s="165"/>
      <c r="U423" s="165"/>
      <c r="V423" s="165"/>
      <c r="W423" s="165"/>
      <c r="X423" s="165"/>
      <c r="Y423" s="165"/>
      <c r="Z423" s="165"/>
      <c r="AA423" s="165"/>
      <c r="AB423" s="165"/>
      <c r="AC423" s="165"/>
    </row>
    <row r="424">
      <c r="A424" s="165"/>
      <c r="B424" s="165"/>
      <c r="C424" s="165"/>
      <c r="D424" s="165"/>
      <c r="E424" s="166"/>
      <c r="F424" s="165"/>
      <c r="G424" s="167"/>
      <c r="H424" s="166"/>
      <c r="I424" s="167"/>
      <c r="J424" s="168"/>
      <c r="K424" s="169"/>
      <c r="L424" s="165"/>
      <c r="M424" s="165"/>
      <c r="N424" s="165"/>
      <c r="O424" s="165"/>
      <c r="P424" s="165"/>
      <c r="Q424" s="165"/>
      <c r="R424" s="165"/>
      <c r="S424" s="165"/>
      <c r="T424" s="165"/>
      <c r="U424" s="165"/>
      <c r="V424" s="165"/>
      <c r="W424" s="165"/>
      <c r="X424" s="165"/>
      <c r="Y424" s="165"/>
      <c r="Z424" s="165"/>
      <c r="AA424" s="165"/>
      <c r="AB424" s="165"/>
      <c r="AC424" s="165"/>
    </row>
    <row r="425">
      <c r="A425" s="165"/>
      <c r="B425" s="165"/>
      <c r="C425" s="165"/>
      <c r="D425" s="165"/>
      <c r="E425" s="166"/>
      <c r="F425" s="165"/>
      <c r="G425" s="167"/>
      <c r="H425" s="166"/>
      <c r="I425" s="167"/>
      <c r="J425" s="168"/>
      <c r="K425" s="169"/>
      <c r="L425" s="165"/>
      <c r="M425" s="165"/>
      <c r="N425" s="165"/>
      <c r="O425" s="165"/>
      <c r="P425" s="165"/>
      <c r="Q425" s="165"/>
      <c r="R425" s="165"/>
      <c r="S425" s="165"/>
      <c r="T425" s="165"/>
      <c r="U425" s="165"/>
      <c r="V425" s="165"/>
      <c r="W425" s="165"/>
      <c r="X425" s="165"/>
      <c r="Y425" s="165"/>
      <c r="Z425" s="165"/>
      <c r="AA425" s="165"/>
      <c r="AB425" s="165"/>
      <c r="AC425" s="165"/>
    </row>
    <row r="426">
      <c r="A426" s="165"/>
      <c r="B426" s="165"/>
      <c r="C426" s="165"/>
      <c r="D426" s="165"/>
      <c r="E426" s="166"/>
      <c r="F426" s="165"/>
      <c r="G426" s="167"/>
      <c r="H426" s="166"/>
      <c r="I426" s="167"/>
      <c r="J426" s="168"/>
      <c r="K426" s="169"/>
      <c r="L426" s="165"/>
      <c r="M426" s="165"/>
      <c r="N426" s="165"/>
      <c r="O426" s="165"/>
      <c r="P426" s="165"/>
      <c r="Q426" s="165"/>
      <c r="R426" s="165"/>
      <c r="S426" s="165"/>
      <c r="T426" s="165"/>
      <c r="U426" s="165"/>
      <c r="V426" s="165"/>
      <c r="W426" s="165"/>
      <c r="X426" s="165"/>
      <c r="Y426" s="165"/>
      <c r="Z426" s="165"/>
      <c r="AA426" s="165"/>
      <c r="AB426" s="165"/>
      <c r="AC426" s="165"/>
    </row>
    <row r="427">
      <c r="A427" s="165"/>
      <c r="B427" s="165"/>
      <c r="C427" s="165"/>
      <c r="D427" s="165"/>
      <c r="E427" s="166"/>
      <c r="F427" s="165"/>
      <c r="G427" s="167"/>
      <c r="H427" s="166"/>
      <c r="I427" s="167"/>
      <c r="J427" s="168"/>
      <c r="K427" s="169"/>
      <c r="L427" s="165"/>
      <c r="M427" s="165"/>
      <c r="N427" s="165"/>
      <c r="O427" s="165"/>
      <c r="P427" s="165"/>
      <c r="Q427" s="165"/>
      <c r="R427" s="165"/>
      <c r="S427" s="165"/>
      <c r="T427" s="165"/>
      <c r="U427" s="165"/>
      <c r="V427" s="165"/>
      <c r="W427" s="165"/>
      <c r="X427" s="165"/>
      <c r="Y427" s="165"/>
      <c r="Z427" s="165"/>
      <c r="AA427" s="165"/>
      <c r="AB427" s="165"/>
      <c r="AC427" s="165"/>
    </row>
    <row r="428">
      <c r="A428" s="165"/>
      <c r="B428" s="165"/>
      <c r="C428" s="165"/>
      <c r="D428" s="165"/>
      <c r="E428" s="166"/>
      <c r="F428" s="165"/>
      <c r="G428" s="167"/>
      <c r="H428" s="166"/>
      <c r="I428" s="167"/>
      <c r="J428" s="168"/>
      <c r="K428" s="169"/>
      <c r="L428" s="165"/>
      <c r="M428" s="165"/>
      <c r="N428" s="165"/>
      <c r="O428" s="165"/>
      <c r="P428" s="165"/>
      <c r="Q428" s="165"/>
      <c r="R428" s="165"/>
      <c r="S428" s="165"/>
      <c r="T428" s="165"/>
      <c r="U428" s="165"/>
      <c r="V428" s="165"/>
      <c r="W428" s="165"/>
      <c r="X428" s="165"/>
      <c r="Y428" s="165"/>
      <c r="Z428" s="165"/>
      <c r="AA428" s="165"/>
      <c r="AB428" s="165"/>
      <c r="AC428" s="165"/>
    </row>
    <row r="429">
      <c r="A429" s="165"/>
      <c r="B429" s="165"/>
      <c r="C429" s="165"/>
      <c r="D429" s="165"/>
      <c r="E429" s="166"/>
      <c r="F429" s="165"/>
      <c r="G429" s="167"/>
      <c r="H429" s="166"/>
      <c r="I429" s="167"/>
      <c r="J429" s="168"/>
      <c r="K429" s="169"/>
      <c r="L429" s="165"/>
      <c r="M429" s="165"/>
      <c r="N429" s="165"/>
      <c r="O429" s="165"/>
      <c r="P429" s="165"/>
      <c r="Q429" s="165"/>
      <c r="R429" s="165"/>
      <c r="S429" s="165"/>
      <c r="T429" s="165"/>
      <c r="U429" s="165"/>
      <c r="V429" s="165"/>
      <c r="W429" s="165"/>
      <c r="X429" s="165"/>
      <c r="Y429" s="165"/>
      <c r="Z429" s="165"/>
      <c r="AA429" s="165"/>
      <c r="AB429" s="165"/>
      <c r="AC429" s="165"/>
    </row>
    <row r="430">
      <c r="A430" s="165"/>
      <c r="B430" s="165"/>
      <c r="C430" s="165"/>
      <c r="D430" s="165"/>
      <c r="E430" s="166"/>
      <c r="F430" s="165"/>
      <c r="G430" s="167"/>
      <c r="H430" s="166"/>
      <c r="I430" s="167"/>
      <c r="J430" s="168"/>
      <c r="K430" s="169"/>
      <c r="L430" s="165"/>
      <c r="M430" s="165"/>
      <c r="N430" s="165"/>
      <c r="O430" s="165"/>
      <c r="P430" s="165"/>
      <c r="Q430" s="165"/>
      <c r="R430" s="165"/>
      <c r="S430" s="165"/>
      <c r="T430" s="165"/>
      <c r="U430" s="165"/>
      <c r="V430" s="165"/>
      <c r="W430" s="165"/>
      <c r="X430" s="165"/>
      <c r="Y430" s="165"/>
      <c r="Z430" s="165"/>
      <c r="AA430" s="165"/>
      <c r="AB430" s="165"/>
      <c r="AC430" s="165"/>
    </row>
    <row r="431">
      <c r="A431" s="165"/>
      <c r="B431" s="165"/>
      <c r="C431" s="165"/>
      <c r="D431" s="165"/>
      <c r="E431" s="166"/>
      <c r="F431" s="165"/>
      <c r="G431" s="167"/>
      <c r="H431" s="166"/>
      <c r="I431" s="167"/>
      <c r="J431" s="168"/>
      <c r="K431" s="169"/>
      <c r="L431" s="165"/>
      <c r="M431" s="165"/>
      <c r="N431" s="165"/>
      <c r="O431" s="165"/>
      <c r="P431" s="165"/>
      <c r="Q431" s="165"/>
      <c r="R431" s="165"/>
      <c r="S431" s="165"/>
      <c r="T431" s="165"/>
      <c r="U431" s="165"/>
      <c r="V431" s="165"/>
      <c r="W431" s="165"/>
      <c r="X431" s="165"/>
      <c r="Y431" s="165"/>
      <c r="Z431" s="165"/>
      <c r="AA431" s="165"/>
      <c r="AB431" s="165"/>
      <c r="AC431" s="165"/>
    </row>
    <row r="432">
      <c r="A432" s="165"/>
      <c r="B432" s="165"/>
      <c r="C432" s="165"/>
      <c r="D432" s="165"/>
      <c r="E432" s="166"/>
      <c r="F432" s="165"/>
      <c r="G432" s="167"/>
      <c r="H432" s="166"/>
      <c r="I432" s="167"/>
      <c r="J432" s="168"/>
      <c r="K432" s="169"/>
      <c r="L432" s="165"/>
      <c r="M432" s="165"/>
      <c r="N432" s="165"/>
      <c r="O432" s="165"/>
      <c r="P432" s="165"/>
      <c r="Q432" s="165"/>
      <c r="R432" s="165"/>
      <c r="S432" s="165"/>
      <c r="T432" s="165"/>
      <c r="U432" s="165"/>
      <c r="V432" s="165"/>
      <c r="W432" s="165"/>
      <c r="X432" s="165"/>
      <c r="Y432" s="165"/>
      <c r="Z432" s="165"/>
      <c r="AA432" s="165"/>
      <c r="AB432" s="165"/>
      <c r="AC432" s="165"/>
    </row>
    <row r="433">
      <c r="A433" s="165"/>
      <c r="B433" s="165"/>
      <c r="C433" s="165"/>
      <c r="D433" s="165"/>
      <c r="E433" s="166"/>
      <c r="F433" s="165"/>
      <c r="G433" s="167"/>
      <c r="H433" s="166"/>
      <c r="I433" s="167"/>
      <c r="J433" s="168"/>
      <c r="K433" s="169"/>
      <c r="L433" s="165"/>
      <c r="M433" s="165"/>
      <c r="N433" s="165"/>
      <c r="O433" s="165"/>
      <c r="P433" s="165"/>
      <c r="Q433" s="165"/>
      <c r="R433" s="165"/>
      <c r="S433" s="165"/>
      <c r="T433" s="165"/>
      <c r="U433" s="165"/>
      <c r="V433" s="165"/>
      <c r="W433" s="165"/>
      <c r="X433" s="165"/>
      <c r="Y433" s="165"/>
      <c r="Z433" s="165"/>
      <c r="AA433" s="165"/>
      <c r="AB433" s="165"/>
      <c r="AC433" s="165"/>
    </row>
    <row r="434">
      <c r="A434" s="165"/>
      <c r="B434" s="165"/>
      <c r="C434" s="165"/>
      <c r="D434" s="165"/>
      <c r="E434" s="166"/>
      <c r="F434" s="165"/>
      <c r="G434" s="167"/>
      <c r="H434" s="166"/>
      <c r="I434" s="167"/>
      <c r="J434" s="168"/>
      <c r="K434" s="169"/>
      <c r="L434" s="165"/>
      <c r="M434" s="165"/>
      <c r="N434" s="165"/>
      <c r="O434" s="165"/>
      <c r="P434" s="165"/>
      <c r="Q434" s="165"/>
      <c r="R434" s="165"/>
      <c r="S434" s="165"/>
      <c r="T434" s="165"/>
      <c r="U434" s="165"/>
      <c r="V434" s="165"/>
      <c r="W434" s="165"/>
      <c r="X434" s="165"/>
      <c r="Y434" s="165"/>
      <c r="Z434" s="165"/>
      <c r="AA434" s="165"/>
      <c r="AB434" s="165"/>
      <c r="AC434" s="165"/>
    </row>
    <row r="435">
      <c r="A435" s="165"/>
      <c r="B435" s="165"/>
      <c r="C435" s="165"/>
      <c r="D435" s="165"/>
      <c r="E435" s="166"/>
      <c r="F435" s="165"/>
      <c r="G435" s="167"/>
      <c r="H435" s="166"/>
      <c r="I435" s="167"/>
      <c r="J435" s="168"/>
      <c r="K435" s="169"/>
      <c r="L435" s="165"/>
      <c r="M435" s="165"/>
      <c r="N435" s="165"/>
      <c r="O435" s="165"/>
      <c r="P435" s="165"/>
      <c r="Q435" s="165"/>
      <c r="R435" s="165"/>
      <c r="S435" s="165"/>
      <c r="T435" s="165"/>
      <c r="U435" s="165"/>
      <c r="V435" s="165"/>
      <c r="W435" s="165"/>
      <c r="X435" s="165"/>
      <c r="Y435" s="165"/>
      <c r="Z435" s="165"/>
      <c r="AA435" s="165"/>
      <c r="AB435" s="165"/>
      <c r="AC435" s="165"/>
    </row>
    <row r="436">
      <c r="A436" s="165"/>
      <c r="B436" s="165"/>
      <c r="C436" s="165"/>
      <c r="D436" s="165"/>
      <c r="E436" s="166"/>
      <c r="F436" s="165"/>
      <c r="G436" s="167"/>
      <c r="H436" s="166"/>
      <c r="I436" s="167"/>
      <c r="J436" s="168"/>
      <c r="K436" s="169"/>
      <c r="L436" s="165"/>
      <c r="M436" s="165"/>
      <c r="N436" s="165"/>
      <c r="O436" s="165"/>
      <c r="P436" s="165"/>
      <c r="Q436" s="165"/>
      <c r="R436" s="165"/>
      <c r="S436" s="165"/>
      <c r="T436" s="165"/>
      <c r="U436" s="165"/>
      <c r="V436" s="165"/>
      <c r="W436" s="165"/>
      <c r="X436" s="165"/>
      <c r="Y436" s="165"/>
      <c r="Z436" s="165"/>
      <c r="AA436" s="165"/>
      <c r="AB436" s="165"/>
      <c r="AC436" s="165"/>
    </row>
    <row r="437">
      <c r="A437" s="165"/>
      <c r="B437" s="165"/>
      <c r="C437" s="165"/>
      <c r="D437" s="165"/>
      <c r="E437" s="166"/>
      <c r="F437" s="165"/>
      <c r="G437" s="167"/>
      <c r="H437" s="166"/>
      <c r="I437" s="167"/>
      <c r="J437" s="168"/>
      <c r="K437" s="169"/>
      <c r="L437" s="165"/>
      <c r="M437" s="165"/>
      <c r="N437" s="165"/>
      <c r="O437" s="165"/>
      <c r="P437" s="165"/>
      <c r="Q437" s="165"/>
      <c r="R437" s="165"/>
      <c r="S437" s="165"/>
      <c r="T437" s="165"/>
      <c r="U437" s="165"/>
      <c r="V437" s="165"/>
      <c r="W437" s="165"/>
      <c r="X437" s="165"/>
      <c r="Y437" s="165"/>
      <c r="Z437" s="165"/>
      <c r="AA437" s="165"/>
      <c r="AB437" s="165"/>
      <c r="AC437" s="165"/>
    </row>
    <row r="438">
      <c r="A438" s="165"/>
      <c r="B438" s="165"/>
      <c r="C438" s="165"/>
      <c r="D438" s="165"/>
      <c r="E438" s="166"/>
      <c r="F438" s="165"/>
      <c r="G438" s="167"/>
      <c r="H438" s="166"/>
      <c r="I438" s="167"/>
      <c r="J438" s="168"/>
      <c r="K438" s="169"/>
      <c r="L438" s="165"/>
      <c r="M438" s="165"/>
      <c r="N438" s="165"/>
      <c r="O438" s="165"/>
      <c r="P438" s="165"/>
      <c r="Q438" s="165"/>
      <c r="R438" s="165"/>
      <c r="S438" s="165"/>
      <c r="T438" s="165"/>
      <c r="U438" s="165"/>
      <c r="V438" s="165"/>
      <c r="W438" s="165"/>
      <c r="X438" s="165"/>
      <c r="Y438" s="165"/>
      <c r="Z438" s="165"/>
      <c r="AA438" s="165"/>
      <c r="AB438" s="165"/>
      <c r="AC438" s="165"/>
    </row>
    <row r="439">
      <c r="A439" s="165"/>
      <c r="B439" s="165"/>
      <c r="C439" s="165"/>
      <c r="D439" s="165"/>
      <c r="E439" s="166"/>
      <c r="F439" s="165"/>
      <c r="G439" s="167"/>
      <c r="H439" s="166"/>
      <c r="I439" s="167"/>
      <c r="J439" s="168"/>
      <c r="K439" s="169"/>
      <c r="L439" s="165"/>
      <c r="M439" s="165"/>
      <c r="N439" s="165"/>
      <c r="O439" s="165"/>
      <c r="P439" s="165"/>
      <c r="Q439" s="165"/>
      <c r="R439" s="165"/>
      <c r="S439" s="165"/>
      <c r="T439" s="165"/>
      <c r="U439" s="165"/>
      <c r="V439" s="165"/>
      <c r="W439" s="165"/>
      <c r="X439" s="165"/>
      <c r="Y439" s="165"/>
      <c r="Z439" s="165"/>
      <c r="AA439" s="165"/>
      <c r="AB439" s="165"/>
      <c r="AC439" s="165"/>
    </row>
    <row r="440">
      <c r="A440" s="165"/>
      <c r="B440" s="165"/>
      <c r="C440" s="165"/>
      <c r="D440" s="165"/>
      <c r="E440" s="166"/>
      <c r="F440" s="165"/>
      <c r="G440" s="167"/>
      <c r="H440" s="166"/>
      <c r="I440" s="167"/>
      <c r="J440" s="168"/>
      <c r="K440" s="169"/>
      <c r="L440" s="165"/>
      <c r="M440" s="165"/>
      <c r="N440" s="165"/>
      <c r="O440" s="165"/>
      <c r="P440" s="165"/>
      <c r="Q440" s="165"/>
      <c r="R440" s="165"/>
      <c r="S440" s="165"/>
      <c r="T440" s="165"/>
      <c r="U440" s="165"/>
      <c r="V440" s="165"/>
      <c r="W440" s="165"/>
      <c r="X440" s="165"/>
      <c r="Y440" s="165"/>
      <c r="Z440" s="165"/>
      <c r="AA440" s="165"/>
      <c r="AB440" s="165"/>
      <c r="AC440" s="165"/>
    </row>
    <row r="441">
      <c r="A441" s="165"/>
      <c r="B441" s="165"/>
      <c r="C441" s="165"/>
      <c r="D441" s="165"/>
      <c r="E441" s="166"/>
      <c r="F441" s="165"/>
      <c r="G441" s="167"/>
      <c r="H441" s="166"/>
      <c r="I441" s="167"/>
      <c r="J441" s="168"/>
      <c r="K441" s="169"/>
      <c r="L441" s="165"/>
      <c r="M441" s="165"/>
      <c r="N441" s="165"/>
      <c r="O441" s="165"/>
      <c r="P441" s="165"/>
      <c r="Q441" s="165"/>
      <c r="R441" s="165"/>
      <c r="S441" s="165"/>
      <c r="T441" s="165"/>
      <c r="U441" s="165"/>
      <c r="V441" s="165"/>
      <c r="W441" s="165"/>
      <c r="X441" s="165"/>
      <c r="Y441" s="165"/>
      <c r="Z441" s="165"/>
      <c r="AA441" s="165"/>
      <c r="AB441" s="165"/>
      <c r="AC441" s="165"/>
    </row>
    <row r="442">
      <c r="A442" s="165"/>
      <c r="B442" s="165"/>
      <c r="C442" s="165"/>
      <c r="D442" s="165"/>
      <c r="E442" s="166"/>
      <c r="F442" s="165"/>
      <c r="G442" s="167"/>
      <c r="H442" s="166"/>
      <c r="I442" s="167"/>
      <c r="J442" s="168"/>
      <c r="K442" s="169"/>
      <c r="L442" s="165"/>
      <c r="M442" s="165"/>
      <c r="N442" s="165"/>
      <c r="O442" s="165"/>
      <c r="P442" s="165"/>
      <c r="Q442" s="165"/>
      <c r="R442" s="165"/>
      <c r="S442" s="165"/>
      <c r="T442" s="165"/>
      <c r="U442" s="165"/>
      <c r="V442" s="165"/>
      <c r="W442" s="165"/>
      <c r="X442" s="165"/>
      <c r="Y442" s="165"/>
      <c r="Z442" s="165"/>
      <c r="AA442" s="165"/>
      <c r="AB442" s="165"/>
      <c r="AC442" s="165"/>
    </row>
    <row r="443">
      <c r="A443" s="165"/>
      <c r="B443" s="165"/>
      <c r="C443" s="165"/>
      <c r="D443" s="165"/>
      <c r="E443" s="166"/>
      <c r="F443" s="165"/>
      <c r="G443" s="167"/>
      <c r="H443" s="166"/>
      <c r="I443" s="167"/>
      <c r="J443" s="168"/>
      <c r="K443" s="169"/>
      <c r="L443" s="165"/>
      <c r="M443" s="165"/>
      <c r="N443" s="165"/>
      <c r="O443" s="165"/>
      <c r="P443" s="165"/>
      <c r="Q443" s="165"/>
      <c r="R443" s="165"/>
      <c r="S443" s="165"/>
      <c r="T443" s="165"/>
      <c r="U443" s="165"/>
      <c r="V443" s="165"/>
      <c r="W443" s="165"/>
      <c r="X443" s="165"/>
      <c r="Y443" s="165"/>
      <c r="Z443" s="165"/>
      <c r="AA443" s="165"/>
      <c r="AB443" s="165"/>
      <c r="AC443" s="165"/>
    </row>
    <row r="444">
      <c r="A444" s="165"/>
      <c r="B444" s="165"/>
      <c r="C444" s="165"/>
      <c r="D444" s="165"/>
      <c r="E444" s="166"/>
      <c r="F444" s="165"/>
      <c r="G444" s="167"/>
      <c r="H444" s="166"/>
      <c r="I444" s="167"/>
      <c r="J444" s="168"/>
      <c r="K444" s="169"/>
      <c r="L444" s="165"/>
      <c r="M444" s="165"/>
      <c r="N444" s="165"/>
      <c r="O444" s="165"/>
      <c r="P444" s="165"/>
      <c r="Q444" s="165"/>
      <c r="R444" s="165"/>
      <c r="S444" s="165"/>
      <c r="T444" s="165"/>
      <c r="U444" s="165"/>
      <c r="V444" s="165"/>
      <c r="W444" s="165"/>
      <c r="X444" s="165"/>
      <c r="Y444" s="165"/>
      <c r="Z444" s="165"/>
      <c r="AA444" s="165"/>
      <c r="AB444" s="165"/>
      <c r="AC444" s="165"/>
    </row>
    <row r="445">
      <c r="A445" s="165"/>
      <c r="B445" s="165"/>
      <c r="C445" s="165"/>
      <c r="D445" s="165"/>
      <c r="E445" s="166"/>
      <c r="F445" s="165"/>
      <c r="G445" s="167"/>
      <c r="H445" s="166"/>
      <c r="I445" s="167"/>
      <c r="J445" s="168"/>
      <c r="K445" s="169"/>
      <c r="L445" s="165"/>
      <c r="M445" s="165"/>
      <c r="N445" s="165"/>
      <c r="O445" s="165"/>
      <c r="P445" s="165"/>
      <c r="Q445" s="165"/>
      <c r="R445" s="165"/>
      <c r="S445" s="165"/>
      <c r="T445" s="165"/>
      <c r="U445" s="165"/>
      <c r="V445" s="165"/>
      <c r="W445" s="165"/>
      <c r="X445" s="165"/>
      <c r="Y445" s="165"/>
      <c r="Z445" s="165"/>
      <c r="AA445" s="165"/>
      <c r="AB445" s="165"/>
      <c r="AC445" s="165"/>
    </row>
    <row r="446">
      <c r="A446" s="165"/>
      <c r="B446" s="165"/>
      <c r="C446" s="165"/>
      <c r="D446" s="165"/>
      <c r="E446" s="166"/>
      <c r="F446" s="165"/>
      <c r="G446" s="167"/>
      <c r="H446" s="166"/>
      <c r="I446" s="167"/>
      <c r="J446" s="168"/>
      <c r="K446" s="169"/>
      <c r="L446" s="165"/>
      <c r="M446" s="165"/>
      <c r="N446" s="165"/>
      <c r="O446" s="165"/>
      <c r="P446" s="165"/>
      <c r="Q446" s="165"/>
      <c r="R446" s="165"/>
      <c r="S446" s="165"/>
      <c r="T446" s="165"/>
      <c r="U446" s="165"/>
      <c r="V446" s="165"/>
      <c r="W446" s="165"/>
      <c r="X446" s="165"/>
      <c r="Y446" s="165"/>
      <c r="Z446" s="165"/>
      <c r="AA446" s="165"/>
      <c r="AB446" s="165"/>
      <c r="AC446" s="165"/>
    </row>
    <row r="447">
      <c r="A447" s="165"/>
      <c r="B447" s="165"/>
      <c r="C447" s="165"/>
      <c r="D447" s="165"/>
      <c r="E447" s="166"/>
      <c r="F447" s="165"/>
      <c r="G447" s="167"/>
      <c r="H447" s="166"/>
      <c r="I447" s="167"/>
      <c r="J447" s="168"/>
      <c r="K447" s="169"/>
      <c r="L447" s="165"/>
      <c r="M447" s="165"/>
      <c r="N447" s="165"/>
      <c r="O447" s="165"/>
      <c r="P447" s="165"/>
      <c r="Q447" s="165"/>
      <c r="R447" s="165"/>
      <c r="S447" s="165"/>
      <c r="T447" s="165"/>
      <c r="U447" s="165"/>
      <c r="V447" s="165"/>
      <c r="W447" s="165"/>
      <c r="X447" s="165"/>
      <c r="Y447" s="165"/>
      <c r="Z447" s="165"/>
      <c r="AA447" s="165"/>
      <c r="AB447" s="165"/>
      <c r="AC447" s="165"/>
    </row>
    <row r="448">
      <c r="A448" s="165"/>
      <c r="B448" s="165"/>
      <c r="C448" s="165"/>
      <c r="D448" s="165"/>
      <c r="E448" s="166"/>
      <c r="F448" s="165"/>
      <c r="G448" s="167"/>
      <c r="H448" s="166"/>
      <c r="I448" s="167"/>
      <c r="J448" s="168"/>
      <c r="K448" s="169"/>
      <c r="L448" s="165"/>
      <c r="M448" s="165"/>
      <c r="N448" s="165"/>
      <c r="O448" s="165"/>
      <c r="P448" s="165"/>
      <c r="Q448" s="165"/>
      <c r="R448" s="165"/>
      <c r="S448" s="165"/>
      <c r="T448" s="165"/>
      <c r="U448" s="165"/>
      <c r="V448" s="165"/>
      <c r="W448" s="165"/>
      <c r="X448" s="165"/>
      <c r="Y448" s="165"/>
      <c r="Z448" s="165"/>
      <c r="AA448" s="165"/>
      <c r="AB448" s="165"/>
      <c r="AC448" s="165"/>
    </row>
    <row r="449">
      <c r="A449" s="165"/>
      <c r="B449" s="165"/>
      <c r="C449" s="165"/>
      <c r="D449" s="165"/>
      <c r="E449" s="166"/>
      <c r="F449" s="165"/>
      <c r="G449" s="167"/>
      <c r="H449" s="166"/>
      <c r="I449" s="167"/>
      <c r="J449" s="168"/>
      <c r="K449" s="169"/>
      <c r="L449" s="165"/>
      <c r="M449" s="165"/>
      <c r="N449" s="165"/>
      <c r="O449" s="165"/>
      <c r="P449" s="165"/>
      <c r="Q449" s="165"/>
      <c r="R449" s="165"/>
      <c r="S449" s="165"/>
      <c r="T449" s="165"/>
      <c r="U449" s="165"/>
      <c r="V449" s="165"/>
      <c r="W449" s="165"/>
      <c r="X449" s="165"/>
      <c r="Y449" s="165"/>
      <c r="Z449" s="165"/>
      <c r="AA449" s="165"/>
      <c r="AB449" s="165"/>
      <c r="AC449" s="165"/>
    </row>
    <row r="450">
      <c r="A450" s="165"/>
      <c r="B450" s="165"/>
      <c r="C450" s="165"/>
      <c r="D450" s="165"/>
      <c r="E450" s="166"/>
      <c r="F450" s="165"/>
      <c r="G450" s="167"/>
      <c r="H450" s="166"/>
      <c r="I450" s="167"/>
      <c r="J450" s="168"/>
      <c r="K450" s="169"/>
      <c r="L450" s="165"/>
      <c r="M450" s="165"/>
      <c r="N450" s="165"/>
      <c r="O450" s="165"/>
      <c r="P450" s="165"/>
      <c r="Q450" s="165"/>
      <c r="R450" s="165"/>
      <c r="S450" s="165"/>
      <c r="T450" s="165"/>
      <c r="U450" s="165"/>
      <c r="V450" s="165"/>
      <c r="W450" s="165"/>
      <c r="X450" s="165"/>
      <c r="Y450" s="165"/>
      <c r="Z450" s="165"/>
      <c r="AA450" s="165"/>
      <c r="AB450" s="165"/>
      <c r="AC450" s="165"/>
    </row>
    <row r="451">
      <c r="A451" s="165"/>
      <c r="B451" s="165"/>
      <c r="C451" s="165"/>
      <c r="D451" s="165"/>
      <c r="E451" s="166"/>
      <c r="F451" s="165"/>
      <c r="G451" s="167"/>
      <c r="H451" s="166"/>
      <c r="I451" s="167"/>
      <c r="J451" s="168"/>
      <c r="K451" s="169"/>
      <c r="L451" s="165"/>
      <c r="M451" s="165"/>
      <c r="N451" s="165"/>
      <c r="O451" s="165"/>
      <c r="P451" s="165"/>
      <c r="Q451" s="165"/>
      <c r="R451" s="165"/>
      <c r="S451" s="165"/>
      <c r="T451" s="165"/>
      <c r="U451" s="165"/>
      <c r="V451" s="165"/>
      <c r="W451" s="165"/>
      <c r="X451" s="165"/>
      <c r="Y451" s="165"/>
      <c r="Z451" s="165"/>
      <c r="AA451" s="165"/>
      <c r="AB451" s="165"/>
      <c r="AC451" s="165"/>
    </row>
    <row r="452">
      <c r="A452" s="165"/>
      <c r="B452" s="165"/>
      <c r="C452" s="165"/>
      <c r="D452" s="165"/>
      <c r="E452" s="166"/>
      <c r="F452" s="165"/>
      <c r="G452" s="167"/>
      <c r="H452" s="166"/>
      <c r="I452" s="167"/>
      <c r="J452" s="168"/>
      <c r="K452" s="169"/>
      <c r="L452" s="165"/>
      <c r="M452" s="165"/>
      <c r="N452" s="165"/>
      <c r="O452" s="165"/>
      <c r="P452" s="165"/>
      <c r="Q452" s="165"/>
      <c r="R452" s="165"/>
      <c r="S452" s="165"/>
      <c r="T452" s="165"/>
      <c r="U452" s="165"/>
      <c r="V452" s="165"/>
      <c r="W452" s="165"/>
      <c r="X452" s="165"/>
      <c r="Y452" s="165"/>
      <c r="Z452" s="165"/>
      <c r="AA452" s="165"/>
      <c r="AB452" s="165"/>
      <c r="AC452" s="165"/>
    </row>
    <row r="453">
      <c r="A453" s="165"/>
      <c r="B453" s="165"/>
      <c r="C453" s="165"/>
      <c r="D453" s="165"/>
      <c r="E453" s="166"/>
      <c r="F453" s="165"/>
      <c r="G453" s="167"/>
      <c r="H453" s="166"/>
      <c r="I453" s="167"/>
      <c r="J453" s="168"/>
      <c r="K453" s="169"/>
      <c r="L453" s="165"/>
      <c r="M453" s="165"/>
      <c r="N453" s="165"/>
      <c r="O453" s="165"/>
      <c r="P453" s="165"/>
      <c r="Q453" s="165"/>
      <c r="R453" s="165"/>
      <c r="S453" s="165"/>
      <c r="T453" s="165"/>
      <c r="U453" s="165"/>
      <c r="V453" s="165"/>
      <c r="W453" s="165"/>
      <c r="X453" s="165"/>
      <c r="Y453" s="165"/>
      <c r="Z453" s="165"/>
      <c r="AA453" s="165"/>
      <c r="AB453" s="165"/>
      <c r="AC453" s="165"/>
    </row>
    <row r="454">
      <c r="A454" s="165"/>
      <c r="B454" s="165"/>
      <c r="C454" s="165"/>
      <c r="D454" s="165"/>
      <c r="E454" s="166"/>
      <c r="F454" s="165"/>
      <c r="G454" s="167"/>
      <c r="H454" s="166"/>
      <c r="I454" s="167"/>
      <c r="J454" s="168"/>
      <c r="K454" s="169"/>
      <c r="L454" s="165"/>
      <c r="M454" s="165"/>
      <c r="N454" s="165"/>
      <c r="O454" s="165"/>
      <c r="P454" s="165"/>
      <c r="Q454" s="165"/>
      <c r="R454" s="165"/>
      <c r="S454" s="165"/>
      <c r="T454" s="165"/>
      <c r="U454" s="165"/>
      <c r="V454" s="165"/>
      <c r="W454" s="165"/>
      <c r="X454" s="165"/>
      <c r="Y454" s="165"/>
      <c r="Z454" s="165"/>
      <c r="AA454" s="165"/>
      <c r="AB454" s="165"/>
      <c r="AC454" s="165"/>
    </row>
    <row r="455">
      <c r="A455" s="165"/>
      <c r="B455" s="165"/>
      <c r="C455" s="165"/>
      <c r="D455" s="165"/>
      <c r="E455" s="166"/>
      <c r="F455" s="165"/>
      <c r="G455" s="167"/>
      <c r="H455" s="166"/>
      <c r="I455" s="167"/>
      <c r="J455" s="168"/>
      <c r="K455" s="169"/>
      <c r="L455" s="165"/>
      <c r="M455" s="165"/>
      <c r="N455" s="165"/>
      <c r="O455" s="165"/>
      <c r="P455" s="165"/>
      <c r="Q455" s="165"/>
      <c r="R455" s="165"/>
      <c r="S455" s="165"/>
      <c r="T455" s="165"/>
      <c r="U455" s="165"/>
      <c r="V455" s="165"/>
      <c r="W455" s="165"/>
      <c r="X455" s="165"/>
      <c r="Y455" s="165"/>
      <c r="Z455" s="165"/>
      <c r="AA455" s="165"/>
      <c r="AB455" s="165"/>
      <c r="AC455" s="165"/>
    </row>
    <row r="456">
      <c r="A456" s="165"/>
      <c r="B456" s="165"/>
      <c r="C456" s="165"/>
      <c r="D456" s="165"/>
      <c r="E456" s="166"/>
      <c r="F456" s="165"/>
      <c r="G456" s="167"/>
      <c r="H456" s="166"/>
      <c r="I456" s="167"/>
      <c r="J456" s="168"/>
      <c r="K456" s="169"/>
      <c r="L456" s="165"/>
      <c r="M456" s="165"/>
      <c r="N456" s="165"/>
      <c r="O456" s="165"/>
      <c r="P456" s="165"/>
      <c r="Q456" s="165"/>
      <c r="R456" s="165"/>
      <c r="S456" s="165"/>
      <c r="T456" s="165"/>
      <c r="U456" s="165"/>
      <c r="V456" s="165"/>
      <c r="W456" s="165"/>
      <c r="X456" s="165"/>
      <c r="Y456" s="165"/>
      <c r="Z456" s="165"/>
      <c r="AA456" s="165"/>
      <c r="AB456" s="165"/>
      <c r="AC456" s="165"/>
    </row>
    <row r="457">
      <c r="A457" s="165"/>
      <c r="B457" s="165"/>
      <c r="C457" s="165"/>
      <c r="D457" s="165"/>
      <c r="E457" s="166"/>
      <c r="F457" s="165"/>
      <c r="G457" s="167"/>
      <c r="H457" s="166"/>
      <c r="I457" s="167"/>
      <c r="J457" s="168"/>
      <c r="K457" s="169"/>
      <c r="L457" s="165"/>
      <c r="M457" s="165"/>
      <c r="N457" s="165"/>
      <c r="O457" s="165"/>
      <c r="P457" s="165"/>
      <c r="Q457" s="165"/>
      <c r="R457" s="165"/>
      <c r="S457" s="165"/>
      <c r="T457" s="165"/>
      <c r="U457" s="165"/>
      <c r="V457" s="165"/>
      <c r="W457" s="165"/>
      <c r="X457" s="165"/>
      <c r="Y457" s="165"/>
      <c r="Z457" s="165"/>
      <c r="AA457" s="165"/>
      <c r="AB457" s="165"/>
      <c r="AC457" s="165"/>
    </row>
    <row r="458">
      <c r="A458" s="165"/>
      <c r="B458" s="165"/>
      <c r="C458" s="165"/>
      <c r="D458" s="165"/>
      <c r="E458" s="166"/>
      <c r="F458" s="165"/>
      <c r="G458" s="167"/>
      <c r="H458" s="166"/>
      <c r="I458" s="167"/>
      <c r="J458" s="168"/>
      <c r="K458" s="169"/>
      <c r="L458" s="165"/>
      <c r="M458" s="165"/>
      <c r="N458" s="165"/>
      <c r="O458" s="165"/>
      <c r="P458" s="165"/>
      <c r="Q458" s="165"/>
      <c r="R458" s="165"/>
      <c r="S458" s="165"/>
      <c r="T458" s="165"/>
      <c r="U458" s="165"/>
      <c r="V458" s="165"/>
      <c r="W458" s="165"/>
      <c r="X458" s="165"/>
      <c r="Y458" s="165"/>
      <c r="Z458" s="165"/>
      <c r="AA458" s="165"/>
      <c r="AB458" s="165"/>
      <c r="AC458" s="165"/>
    </row>
    <row r="459">
      <c r="A459" s="165"/>
      <c r="B459" s="165"/>
      <c r="C459" s="165"/>
      <c r="D459" s="165"/>
      <c r="E459" s="166"/>
      <c r="F459" s="165"/>
      <c r="G459" s="167"/>
      <c r="H459" s="166"/>
      <c r="I459" s="167"/>
      <c r="J459" s="168"/>
      <c r="K459" s="169"/>
      <c r="L459" s="165"/>
      <c r="M459" s="165"/>
      <c r="N459" s="165"/>
      <c r="O459" s="165"/>
      <c r="P459" s="165"/>
      <c r="Q459" s="165"/>
      <c r="R459" s="165"/>
      <c r="S459" s="165"/>
      <c r="T459" s="165"/>
      <c r="U459" s="165"/>
      <c r="V459" s="165"/>
      <c r="W459" s="165"/>
      <c r="X459" s="165"/>
      <c r="Y459" s="165"/>
      <c r="Z459" s="165"/>
      <c r="AA459" s="165"/>
      <c r="AB459" s="165"/>
      <c r="AC459" s="165"/>
    </row>
    <row r="460">
      <c r="A460" s="165"/>
      <c r="B460" s="165"/>
      <c r="C460" s="165"/>
      <c r="D460" s="165"/>
      <c r="E460" s="166"/>
      <c r="F460" s="165"/>
      <c r="G460" s="167"/>
      <c r="H460" s="166"/>
      <c r="I460" s="167"/>
      <c r="J460" s="168"/>
      <c r="K460" s="169"/>
      <c r="L460" s="165"/>
      <c r="M460" s="165"/>
      <c r="N460" s="165"/>
      <c r="O460" s="165"/>
      <c r="P460" s="165"/>
      <c r="Q460" s="165"/>
      <c r="R460" s="165"/>
      <c r="S460" s="165"/>
      <c r="T460" s="165"/>
      <c r="U460" s="165"/>
      <c r="V460" s="165"/>
      <c r="W460" s="165"/>
      <c r="X460" s="165"/>
      <c r="Y460" s="165"/>
      <c r="Z460" s="165"/>
      <c r="AA460" s="165"/>
      <c r="AB460" s="165"/>
      <c r="AC460" s="165"/>
    </row>
    <row r="461">
      <c r="A461" s="165"/>
      <c r="B461" s="165"/>
      <c r="C461" s="165"/>
      <c r="D461" s="165"/>
      <c r="E461" s="166"/>
      <c r="F461" s="165"/>
      <c r="G461" s="167"/>
      <c r="H461" s="166"/>
      <c r="I461" s="167"/>
      <c r="J461" s="168"/>
      <c r="K461" s="169"/>
      <c r="L461" s="165"/>
      <c r="M461" s="165"/>
      <c r="N461" s="165"/>
      <c r="O461" s="165"/>
      <c r="P461" s="165"/>
      <c r="Q461" s="165"/>
      <c r="R461" s="165"/>
      <c r="S461" s="165"/>
      <c r="T461" s="165"/>
      <c r="U461" s="165"/>
      <c r="V461" s="165"/>
      <c r="W461" s="165"/>
      <c r="X461" s="165"/>
      <c r="Y461" s="165"/>
      <c r="Z461" s="165"/>
      <c r="AA461" s="165"/>
      <c r="AB461" s="165"/>
      <c r="AC461" s="165"/>
    </row>
    <row r="462">
      <c r="A462" s="165"/>
      <c r="B462" s="165"/>
      <c r="C462" s="165"/>
      <c r="D462" s="165"/>
      <c r="E462" s="166"/>
      <c r="F462" s="165"/>
      <c r="G462" s="167"/>
      <c r="H462" s="166"/>
      <c r="I462" s="167"/>
      <c r="J462" s="168"/>
      <c r="K462" s="169"/>
      <c r="L462" s="165"/>
      <c r="M462" s="165"/>
      <c r="N462" s="165"/>
      <c r="O462" s="165"/>
      <c r="P462" s="165"/>
      <c r="Q462" s="165"/>
      <c r="R462" s="165"/>
      <c r="S462" s="165"/>
      <c r="T462" s="165"/>
      <c r="U462" s="165"/>
      <c r="V462" s="165"/>
      <c r="W462" s="165"/>
      <c r="X462" s="165"/>
      <c r="Y462" s="165"/>
      <c r="Z462" s="165"/>
      <c r="AA462" s="165"/>
      <c r="AB462" s="165"/>
      <c r="AC462" s="165"/>
    </row>
    <row r="463">
      <c r="A463" s="165"/>
      <c r="B463" s="165"/>
      <c r="C463" s="165"/>
      <c r="D463" s="165"/>
      <c r="E463" s="166"/>
      <c r="F463" s="165"/>
      <c r="G463" s="167"/>
      <c r="H463" s="166"/>
      <c r="I463" s="167"/>
      <c r="J463" s="168"/>
      <c r="K463" s="169"/>
      <c r="L463" s="165"/>
      <c r="M463" s="165"/>
      <c r="N463" s="165"/>
      <c r="O463" s="165"/>
      <c r="P463" s="165"/>
      <c r="Q463" s="165"/>
      <c r="R463" s="165"/>
      <c r="S463" s="165"/>
      <c r="T463" s="165"/>
      <c r="U463" s="165"/>
      <c r="V463" s="165"/>
      <c r="W463" s="165"/>
      <c r="X463" s="165"/>
      <c r="Y463" s="165"/>
      <c r="Z463" s="165"/>
      <c r="AA463" s="165"/>
      <c r="AB463" s="165"/>
      <c r="AC463" s="165"/>
    </row>
    <row r="464">
      <c r="A464" s="165"/>
      <c r="B464" s="165"/>
      <c r="C464" s="165"/>
      <c r="D464" s="165"/>
      <c r="E464" s="166"/>
      <c r="F464" s="165"/>
      <c r="G464" s="167"/>
      <c r="H464" s="166"/>
      <c r="I464" s="167"/>
      <c r="J464" s="168"/>
      <c r="K464" s="169"/>
      <c r="L464" s="165"/>
      <c r="M464" s="165"/>
      <c r="N464" s="165"/>
      <c r="O464" s="165"/>
      <c r="P464" s="165"/>
      <c r="Q464" s="165"/>
      <c r="R464" s="165"/>
      <c r="S464" s="165"/>
      <c r="T464" s="165"/>
      <c r="U464" s="165"/>
      <c r="V464" s="165"/>
      <c r="W464" s="165"/>
      <c r="X464" s="165"/>
      <c r="Y464" s="165"/>
      <c r="Z464" s="165"/>
      <c r="AA464" s="165"/>
      <c r="AB464" s="165"/>
      <c r="AC464" s="165"/>
    </row>
    <row r="465">
      <c r="A465" s="165"/>
      <c r="B465" s="165"/>
      <c r="C465" s="165"/>
      <c r="D465" s="165"/>
      <c r="E465" s="166"/>
      <c r="F465" s="165"/>
      <c r="G465" s="167"/>
      <c r="H465" s="166"/>
      <c r="I465" s="167"/>
      <c r="J465" s="168"/>
      <c r="K465" s="169"/>
      <c r="L465" s="165"/>
      <c r="M465" s="165"/>
      <c r="N465" s="165"/>
      <c r="O465" s="165"/>
      <c r="P465" s="165"/>
      <c r="Q465" s="165"/>
      <c r="R465" s="165"/>
      <c r="S465" s="165"/>
      <c r="T465" s="165"/>
      <c r="U465" s="165"/>
      <c r="V465" s="165"/>
      <c r="W465" s="165"/>
      <c r="X465" s="165"/>
      <c r="Y465" s="165"/>
      <c r="Z465" s="165"/>
      <c r="AA465" s="165"/>
      <c r="AB465" s="165"/>
      <c r="AC465" s="165"/>
    </row>
    <row r="466">
      <c r="A466" s="165"/>
      <c r="B466" s="165"/>
      <c r="C466" s="165"/>
      <c r="D466" s="165"/>
      <c r="E466" s="166"/>
      <c r="F466" s="165"/>
      <c r="G466" s="167"/>
      <c r="H466" s="166"/>
      <c r="I466" s="167"/>
      <c r="J466" s="168"/>
      <c r="K466" s="169"/>
      <c r="L466" s="165"/>
      <c r="M466" s="165"/>
      <c r="N466" s="165"/>
      <c r="O466" s="165"/>
      <c r="P466" s="165"/>
      <c r="Q466" s="165"/>
      <c r="R466" s="165"/>
      <c r="S466" s="165"/>
      <c r="T466" s="165"/>
      <c r="U466" s="165"/>
      <c r="V466" s="165"/>
      <c r="W466" s="165"/>
      <c r="X466" s="165"/>
      <c r="Y466" s="165"/>
      <c r="Z466" s="165"/>
      <c r="AA466" s="165"/>
      <c r="AB466" s="165"/>
      <c r="AC466" s="165"/>
    </row>
    <row r="467">
      <c r="A467" s="165"/>
      <c r="B467" s="165"/>
      <c r="C467" s="165"/>
      <c r="D467" s="165"/>
      <c r="E467" s="166"/>
      <c r="F467" s="165"/>
      <c r="G467" s="167"/>
      <c r="H467" s="166"/>
      <c r="I467" s="167"/>
      <c r="J467" s="168"/>
      <c r="K467" s="169"/>
      <c r="L467" s="165"/>
      <c r="M467" s="165"/>
      <c r="N467" s="165"/>
      <c r="O467" s="165"/>
      <c r="P467" s="165"/>
      <c r="Q467" s="165"/>
      <c r="R467" s="165"/>
      <c r="S467" s="165"/>
      <c r="T467" s="165"/>
      <c r="U467" s="165"/>
      <c r="V467" s="165"/>
      <c r="W467" s="165"/>
      <c r="X467" s="165"/>
      <c r="Y467" s="165"/>
      <c r="Z467" s="165"/>
      <c r="AA467" s="165"/>
      <c r="AB467" s="165"/>
      <c r="AC467" s="165"/>
    </row>
    <row r="468">
      <c r="A468" s="165"/>
      <c r="B468" s="165"/>
      <c r="C468" s="165"/>
      <c r="D468" s="165"/>
      <c r="E468" s="166"/>
      <c r="F468" s="165"/>
      <c r="G468" s="167"/>
      <c r="H468" s="166"/>
      <c r="I468" s="167"/>
      <c r="J468" s="168"/>
      <c r="K468" s="169"/>
      <c r="L468" s="165"/>
      <c r="M468" s="165"/>
      <c r="N468" s="165"/>
      <c r="O468" s="165"/>
      <c r="P468" s="165"/>
      <c r="Q468" s="165"/>
      <c r="R468" s="165"/>
      <c r="S468" s="165"/>
      <c r="T468" s="165"/>
      <c r="U468" s="165"/>
      <c r="V468" s="165"/>
      <c r="W468" s="165"/>
      <c r="X468" s="165"/>
      <c r="Y468" s="165"/>
      <c r="Z468" s="165"/>
      <c r="AA468" s="165"/>
      <c r="AB468" s="165"/>
      <c r="AC468" s="165"/>
    </row>
    <row r="469">
      <c r="A469" s="165"/>
      <c r="B469" s="165"/>
      <c r="C469" s="165"/>
      <c r="D469" s="165"/>
      <c r="E469" s="166"/>
      <c r="F469" s="165"/>
      <c r="G469" s="167"/>
      <c r="H469" s="166"/>
      <c r="I469" s="167"/>
      <c r="J469" s="168"/>
      <c r="K469" s="169"/>
      <c r="L469" s="165"/>
      <c r="M469" s="165"/>
      <c r="N469" s="165"/>
      <c r="O469" s="165"/>
      <c r="P469" s="165"/>
      <c r="Q469" s="165"/>
      <c r="R469" s="165"/>
      <c r="S469" s="165"/>
      <c r="T469" s="165"/>
      <c r="U469" s="165"/>
      <c r="V469" s="165"/>
      <c r="W469" s="165"/>
      <c r="X469" s="165"/>
      <c r="Y469" s="165"/>
      <c r="Z469" s="165"/>
      <c r="AA469" s="165"/>
      <c r="AB469" s="165"/>
      <c r="AC469" s="165"/>
    </row>
    <row r="470">
      <c r="A470" s="165"/>
      <c r="B470" s="165"/>
      <c r="C470" s="165"/>
      <c r="D470" s="165"/>
      <c r="E470" s="166"/>
      <c r="F470" s="165"/>
      <c r="G470" s="167"/>
      <c r="H470" s="166"/>
      <c r="I470" s="167"/>
      <c r="J470" s="168"/>
      <c r="K470" s="169"/>
      <c r="L470" s="165"/>
      <c r="M470" s="165"/>
      <c r="N470" s="165"/>
      <c r="O470" s="165"/>
      <c r="P470" s="165"/>
      <c r="Q470" s="165"/>
      <c r="R470" s="165"/>
      <c r="S470" s="165"/>
      <c r="T470" s="165"/>
      <c r="U470" s="165"/>
      <c r="V470" s="165"/>
      <c r="W470" s="165"/>
      <c r="X470" s="165"/>
      <c r="Y470" s="165"/>
      <c r="Z470" s="165"/>
      <c r="AA470" s="165"/>
      <c r="AB470" s="165"/>
      <c r="AC470" s="165"/>
    </row>
    <row r="471">
      <c r="A471" s="165"/>
      <c r="B471" s="165"/>
      <c r="C471" s="165"/>
      <c r="D471" s="165"/>
      <c r="E471" s="166"/>
      <c r="F471" s="165"/>
      <c r="G471" s="167"/>
      <c r="H471" s="166"/>
      <c r="I471" s="167"/>
      <c r="J471" s="168"/>
      <c r="K471" s="169"/>
      <c r="L471" s="165"/>
      <c r="M471" s="165"/>
      <c r="N471" s="165"/>
      <c r="O471" s="165"/>
      <c r="P471" s="165"/>
      <c r="Q471" s="165"/>
      <c r="R471" s="165"/>
      <c r="S471" s="165"/>
      <c r="T471" s="165"/>
      <c r="U471" s="165"/>
      <c r="V471" s="165"/>
      <c r="W471" s="165"/>
      <c r="X471" s="165"/>
      <c r="Y471" s="165"/>
      <c r="Z471" s="165"/>
      <c r="AA471" s="165"/>
      <c r="AB471" s="165"/>
      <c r="AC471" s="165"/>
    </row>
    <row r="472">
      <c r="A472" s="165"/>
      <c r="B472" s="165"/>
      <c r="C472" s="165"/>
      <c r="D472" s="165"/>
      <c r="E472" s="166"/>
      <c r="F472" s="165"/>
      <c r="G472" s="167"/>
      <c r="H472" s="166"/>
      <c r="I472" s="167"/>
      <c r="J472" s="168"/>
      <c r="K472" s="169"/>
      <c r="L472" s="165"/>
      <c r="M472" s="165"/>
      <c r="N472" s="165"/>
      <c r="O472" s="165"/>
      <c r="P472" s="165"/>
      <c r="Q472" s="165"/>
      <c r="R472" s="165"/>
      <c r="S472" s="165"/>
      <c r="T472" s="165"/>
      <c r="U472" s="165"/>
      <c r="V472" s="165"/>
      <c r="W472" s="165"/>
      <c r="X472" s="165"/>
      <c r="Y472" s="165"/>
      <c r="Z472" s="165"/>
      <c r="AA472" s="165"/>
      <c r="AB472" s="165"/>
      <c r="AC472" s="165"/>
    </row>
    <row r="473">
      <c r="A473" s="165"/>
      <c r="B473" s="165"/>
      <c r="C473" s="165"/>
      <c r="D473" s="165"/>
      <c r="E473" s="166"/>
      <c r="F473" s="165"/>
      <c r="G473" s="167"/>
      <c r="H473" s="166"/>
      <c r="I473" s="167"/>
      <c r="J473" s="168"/>
      <c r="K473" s="169"/>
      <c r="L473" s="165"/>
      <c r="M473" s="165"/>
      <c r="N473" s="165"/>
      <c r="O473" s="165"/>
      <c r="P473" s="165"/>
      <c r="Q473" s="165"/>
      <c r="R473" s="165"/>
      <c r="S473" s="165"/>
      <c r="T473" s="165"/>
      <c r="U473" s="165"/>
      <c r="V473" s="165"/>
      <c r="W473" s="165"/>
      <c r="X473" s="165"/>
      <c r="Y473" s="165"/>
      <c r="Z473" s="165"/>
      <c r="AA473" s="165"/>
      <c r="AB473" s="165"/>
      <c r="AC473" s="165"/>
    </row>
    <row r="474">
      <c r="A474" s="165"/>
      <c r="B474" s="165"/>
      <c r="C474" s="165"/>
      <c r="D474" s="165"/>
      <c r="E474" s="166"/>
      <c r="F474" s="165"/>
      <c r="G474" s="167"/>
      <c r="H474" s="166"/>
      <c r="I474" s="167"/>
      <c r="J474" s="168"/>
      <c r="K474" s="169"/>
      <c r="L474" s="165"/>
      <c r="M474" s="165"/>
      <c r="N474" s="165"/>
      <c r="O474" s="165"/>
      <c r="P474" s="165"/>
      <c r="Q474" s="165"/>
      <c r="R474" s="165"/>
      <c r="S474" s="165"/>
      <c r="T474" s="165"/>
      <c r="U474" s="165"/>
      <c r="V474" s="165"/>
      <c r="W474" s="165"/>
      <c r="X474" s="165"/>
      <c r="Y474" s="165"/>
      <c r="Z474" s="165"/>
      <c r="AA474" s="165"/>
      <c r="AB474" s="165"/>
      <c r="AC474" s="165"/>
    </row>
    <row r="475">
      <c r="A475" s="165"/>
      <c r="B475" s="165"/>
      <c r="C475" s="165"/>
      <c r="D475" s="165"/>
      <c r="E475" s="166"/>
      <c r="F475" s="165"/>
      <c r="G475" s="167"/>
      <c r="H475" s="166"/>
      <c r="I475" s="167"/>
      <c r="J475" s="168"/>
      <c r="K475" s="169"/>
      <c r="L475" s="165"/>
      <c r="M475" s="165"/>
      <c r="N475" s="165"/>
      <c r="O475" s="165"/>
      <c r="P475" s="165"/>
      <c r="Q475" s="165"/>
      <c r="R475" s="165"/>
      <c r="S475" s="165"/>
      <c r="T475" s="165"/>
      <c r="U475" s="165"/>
      <c r="V475" s="165"/>
      <c r="W475" s="165"/>
      <c r="X475" s="165"/>
      <c r="Y475" s="165"/>
      <c r="Z475" s="165"/>
      <c r="AA475" s="165"/>
      <c r="AB475" s="165"/>
      <c r="AC475" s="165"/>
    </row>
    <row r="476">
      <c r="A476" s="165"/>
      <c r="B476" s="165"/>
      <c r="C476" s="165"/>
      <c r="D476" s="165"/>
      <c r="E476" s="166"/>
      <c r="F476" s="165"/>
      <c r="G476" s="167"/>
      <c r="H476" s="166"/>
      <c r="I476" s="167"/>
      <c r="J476" s="168"/>
      <c r="K476" s="169"/>
      <c r="L476" s="165"/>
      <c r="M476" s="165"/>
      <c r="N476" s="165"/>
      <c r="O476" s="165"/>
      <c r="P476" s="165"/>
      <c r="Q476" s="165"/>
      <c r="R476" s="165"/>
      <c r="S476" s="165"/>
      <c r="T476" s="165"/>
      <c r="U476" s="165"/>
      <c r="V476" s="165"/>
      <c r="W476" s="165"/>
      <c r="X476" s="165"/>
      <c r="Y476" s="165"/>
      <c r="Z476" s="165"/>
      <c r="AA476" s="165"/>
      <c r="AB476" s="165"/>
      <c r="AC476" s="165"/>
    </row>
    <row r="477">
      <c r="A477" s="165"/>
      <c r="B477" s="165"/>
      <c r="C477" s="165"/>
      <c r="D477" s="165"/>
      <c r="E477" s="166"/>
      <c r="F477" s="165"/>
      <c r="G477" s="167"/>
      <c r="H477" s="166"/>
      <c r="I477" s="167"/>
      <c r="J477" s="168"/>
      <c r="K477" s="169"/>
      <c r="L477" s="165"/>
      <c r="M477" s="165"/>
      <c r="N477" s="165"/>
      <c r="O477" s="165"/>
      <c r="P477" s="165"/>
      <c r="Q477" s="165"/>
      <c r="R477" s="165"/>
      <c r="S477" s="165"/>
      <c r="T477" s="165"/>
      <c r="U477" s="165"/>
      <c r="V477" s="165"/>
      <c r="W477" s="165"/>
      <c r="X477" s="165"/>
      <c r="Y477" s="165"/>
      <c r="Z477" s="165"/>
      <c r="AA477" s="165"/>
      <c r="AB477" s="165"/>
      <c r="AC477" s="165"/>
    </row>
    <row r="478">
      <c r="A478" s="165"/>
      <c r="B478" s="165"/>
      <c r="C478" s="165"/>
      <c r="D478" s="165"/>
      <c r="E478" s="166"/>
      <c r="F478" s="165"/>
      <c r="G478" s="167"/>
      <c r="H478" s="166"/>
      <c r="I478" s="167"/>
      <c r="J478" s="168"/>
      <c r="K478" s="169"/>
      <c r="L478" s="165"/>
      <c r="M478" s="165"/>
      <c r="N478" s="165"/>
      <c r="O478" s="165"/>
      <c r="P478" s="165"/>
      <c r="Q478" s="165"/>
      <c r="R478" s="165"/>
      <c r="S478" s="165"/>
      <c r="T478" s="165"/>
      <c r="U478" s="165"/>
      <c r="V478" s="165"/>
      <c r="W478" s="165"/>
      <c r="X478" s="165"/>
      <c r="Y478" s="165"/>
      <c r="Z478" s="165"/>
      <c r="AA478" s="165"/>
      <c r="AB478" s="165"/>
      <c r="AC478" s="165"/>
    </row>
    <row r="479">
      <c r="A479" s="165"/>
      <c r="B479" s="165"/>
      <c r="C479" s="165"/>
      <c r="D479" s="165"/>
      <c r="E479" s="166"/>
      <c r="F479" s="165"/>
      <c r="G479" s="167"/>
      <c r="H479" s="166"/>
      <c r="I479" s="167"/>
      <c r="J479" s="168"/>
      <c r="K479" s="169"/>
      <c r="L479" s="165"/>
      <c r="M479" s="165"/>
      <c r="N479" s="165"/>
      <c r="O479" s="165"/>
      <c r="P479" s="165"/>
      <c r="Q479" s="165"/>
      <c r="R479" s="165"/>
      <c r="S479" s="165"/>
      <c r="T479" s="165"/>
      <c r="U479" s="165"/>
      <c r="V479" s="165"/>
      <c r="W479" s="165"/>
      <c r="X479" s="165"/>
      <c r="Y479" s="165"/>
      <c r="Z479" s="165"/>
      <c r="AA479" s="165"/>
      <c r="AB479" s="165"/>
      <c r="AC479" s="165"/>
    </row>
    <row r="480">
      <c r="A480" s="165"/>
      <c r="B480" s="165"/>
      <c r="C480" s="165"/>
      <c r="D480" s="165"/>
      <c r="E480" s="166"/>
      <c r="F480" s="165"/>
      <c r="G480" s="167"/>
      <c r="H480" s="166"/>
      <c r="I480" s="167"/>
      <c r="J480" s="168"/>
      <c r="K480" s="169"/>
      <c r="L480" s="165"/>
      <c r="M480" s="165"/>
      <c r="N480" s="165"/>
      <c r="O480" s="165"/>
      <c r="P480" s="165"/>
      <c r="Q480" s="165"/>
      <c r="R480" s="165"/>
      <c r="S480" s="165"/>
      <c r="T480" s="165"/>
      <c r="U480" s="165"/>
      <c r="V480" s="165"/>
      <c r="W480" s="165"/>
      <c r="X480" s="165"/>
      <c r="Y480" s="165"/>
      <c r="Z480" s="165"/>
      <c r="AA480" s="165"/>
      <c r="AB480" s="165"/>
      <c r="AC480" s="165"/>
    </row>
    <row r="481">
      <c r="A481" s="165"/>
      <c r="B481" s="165"/>
      <c r="C481" s="165"/>
      <c r="D481" s="165"/>
      <c r="E481" s="166"/>
      <c r="F481" s="165"/>
      <c r="G481" s="167"/>
      <c r="H481" s="166"/>
      <c r="I481" s="167"/>
      <c r="J481" s="168"/>
      <c r="K481" s="169"/>
      <c r="L481" s="165"/>
      <c r="M481" s="165"/>
      <c r="N481" s="165"/>
      <c r="O481" s="165"/>
      <c r="P481" s="165"/>
      <c r="Q481" s="165"/>
      <c r="R481" s="165"/>
      <c r="S481" s="165"/>
      <c r="T481" s="165"/>
      <c r="U481" s="165"/>
      <c r="V481" s="165"/>
      <c r="W481" s="165"/>
      <c r="X481" s="165"/>
      <c r="Y481" s="165"/>
      <c r="Z481" s="165"/>
      <c r="AA481" s="165"/>
      <c r="AB481" s="165"/>
      <c r="AC481" s="165"/>
    </row>
    <row r="482">
      <c r="A482" s="165"/>
      <c r="B482" s="165"/>
      <c r="C482" s="165"/>
      <c r="D482" s="165"/>
      <c r="E482" s="166"/>
      <c r="F482" s="165"/>
      <c r="G482" s="167"/>
      <c r="H482" s="166"/>
      <c r="I482" s="167"/>
      <c r="J482" s="168"/>
      <c r="K482" s="169"/>
      <c r="L482" s="165"/>
      <c r="M482" s="165"/>
      <c r="N482" s="165"/>
      <c r="O482" s="165"/>
      <c r="P482" s="165"/>
      <c r="Q482" s="165"/>
      <c r="R482" s="165"/>
      <c r="S482" s="165"/>
      <c r="T482" s="165"/>
      <c r="U482" s="165"/>
      <c r="V482" s="165"/>
      <c r="W482" s="165"/>
      <c r="X482" s="165"/>
      <c r="Y482" s="165"/>
      <c r="Z482" s="165"/>
      <c r="AA482" s="165"/>
      <c r="AB482" s="165"/>
      <c r="AC482" s="165"/>
    </row>
    <row r="483">
      <c r="A483" s="165"/>
      <c r="B483" s="165"/>
      <c r="C483" s="165"/>
      <c r="D483" s="165"/>
      <c r="E483" s="166"/>
      <c r="F483" s="165"/>
      <c r="G483" s="167"/>
      <c r="H483" s="166"/>
      <c r="I483" s="167"/>
      <c r="J483" s="168"/>
      <c r="K483" s="169"/>
      <c r="L483" s="165"/>
      <c r="M483" s="165"/>
      <c r="N483" s="165"/>
      <c r="O483" s="165"/>
      <c r="P483" s="165"/>
      <c r="Q483" s="165"/>
      <c r="R483" s="165"/>
      <c r="S483" s="165"/>
      <c r="T483" s="165"/>
      <c r="U483" s="165"/>
      <c r="V483" s="165"/>
      <c r="W483" s="165"/>
      <c r="X483" s="165"/>
      <c r="Y483" s="165"/>
      <c r="Z483" s="165"/>
      <c r="AA483" s="165"/>
      <c r="AB483" s="165"/>
      <c r="AC483" s="165"/>
    </row>
    <row r="484">
      <c r="A484" s="165"/>
      <c r="B484" s="165"/>
      <c r="C484" s="165"/>
      <c r="D484" s="165"/>
      <c r="E484" s="166"/>
      <c r="F484" s="165"/>
      <c r="G484" s="167"/>
      <c r="H484" s="166"/>
      <c r="I484" s="167"/>
      <c r="J484" s="168"/>
      <c r="K484" s="169"/>
      <c r="L484" s="165"/>
      <c r="M484" s="165"/>
      <c r="N484" s="165"/>
      <c r="O484" s="165"/>
      <c r="P484" s="165"/>
      <c r="Q484" s="165"/>
      <c r="R484" s="165"/>
      <c r="S484" s="165"/>
      <c r="T484" s="165"/>
      <c r="U484" s="165"/>
      <c r="V484" s="165"/>
      <c r="W484" s="165"/>
      <c r="X484" s="165"/>
      <c r="Y484" s="165"/>
      <c r="Z484" s="165"/>
      <c r="AA484" s="165"/>
      <c r="AB484" s="165"/>
      <c r="AC484" s="165"/>
    </row>
    <row r="485">
      <c r="A485" s="165"/>
      <c r="B485" s="165"/>
      <c r="C485" s="165"/>
      <c r="D485" s="165"/>
      <c r="E485" s="166"/>
      <c r="F485" s="165"/>
      <c r="G485" s="167"/>
      <c r="H485" s="166"/>
      <c r="I485" s="167"/>
      <c r="J485" s="168"/>
      <c r="K485" s="169"/>
      <c r="L485" s="165"/>
      <c r="M485" s="165"/>
      <c r="N485" s="165"/>
      <c r="O485" s="165"/>
      <c r="P485" s="165"/>
      <c r="Q485" s="165"/>
      <c r="R485" s="165"/>
      <c r="S485" s="165"/>
      <c r="T485" s="165"/>
      <c r="U485" s="165"/>
      <c r="V485" s="165"/>
      <c r="W485" s="165"/>
      <c r="X485" s="165"/>
      <c r="Y485" s="165"/>
      <c r="Z485" s="165"/>
      <c r="AA485" s="165"/>
      <c r="AB485" s="165"/>
      <c r="AC485" s="165"/>
    </row>
    <row r="486">
      <c r="A486" s="165"/>
      <c r="B486" s="165"/>
      <c r="C486" s="165"/>
      <c r="D486" s="165"/>
      <c r="E486" s="166"/>
      <c r="F486" s="165"/>
      <c r="G486" s="167"/>
      <c r="H486" s="166"/>
      <c r="I486" s="167"/>
      <c r="J486" s="168"/>
      <c r="K486" s="169"/>
      <c r="L486" s="165"/>
      <c r="M486" s="165"/>
      <c r="N486" s="165"/>
      <c r="O486" s="165"/>
      <c r="P486" s="165"/>
      <c r="Q486" s="165"/>
      <c r="R486" s="165"/>
      <c r="S486" s="165"/>
      <c r="T486" s="165"/>
      <c r="U486" s="165"/>
      <c r="V486" s="165"/>
      <c r="W486" s="165"/>
      <c r="X486" s="165"/>
      <c r="Y486" s="165"/>
      <c r="Z486" s="165"/>
      <c r="AA486" s="165"/>
      <c r="AB486" s="165"/>
      <c r="AC486" s="165"/>
    </row>
    <row r="487">
      <c r="A487" s="165"/>
      <c r="B487" s="165"/>
      <c r="C487" s="165"/>
      <c r="D487" s="165"/>
      <c r="E487" s="166"/>
      <c r="F487" s="165"/>
      <c r="G487" s="167"/>
      <c r="H487" s="166"/>
      <c r="I487" s="167"/>
      <c r="J487" s="168"/>
      <c r="K487" s="169"/>
      <c r="L487" s="165"/>
      <c r="M487" s="165"/>
      <c r="N487" s="165"/>
      <c r="O487" s="165"/>
      <c r="P487" s="165"/>
      <c r="Q487" s="165"/>
      <c r="R487" s="165"/>
      <c r="S487" s="165"/>
      <c r="T487" s="165"/>
      <c r="U487" s="165"/>
      <c r="V487" s="165"/>
      <c r="W487" s="165"/>
      <c r="X487" s="165"/>
      <c r="Y487" s="165"/>
      <c r="Z487" s="165"/>
      <c r="AA487" s="165"/>
      <c r="AB487" s="165"/>
      <c r="AC487" s="165"/>
    </row>
    <row r="488">
      <c r="A488" s="165"/>
      <c r="B488" s="165"/>
      <c r="C488" s="165"/>
      <c r="D488" s="165"/>
      <c r="E488" s="166"/>
      <c r="F488" s="165"/>
      <c r="G488" s="167"/>
      <c r="H488" s="166"/>
      <c r="I488" s="167"/>
      <c r="J488" s="168"/>
      <c r="K488" s="169"/>
      <c r="L488" s="165"/>
      <c r="M488" s="165"/>
      <c r="N488" s="165"/>
      <c r="O488" s="165"/>
      <c r="P488" s="165"/>
      <c r="Q488" s="165"/>
      <c r="R488" s="165"/>
      <c r="S488" s="165"/>
      <c r="T488" s="165"/>
      <c r="U488" s="165"/>
      <c r="V488" s="165"/>
      <c r="W488" s="165"/>
      <c r="X488" s="165"/>
      <c r="Y488" s="165"/>
      <c r="Z488" s="165"/>
      <c r="AA488" s="165"/>
      <c r="AB488" s="165"/>
      <c r="AC488" s="165"/>
    </row>
    <row r="489">
      <c r="A489" s="165"/>
      <c r="B489" s="165"/>
      <c r="C489" s="165"/>
      <c r="D489" s="165"/>
      <c r="E489" s="166"/>
      <c r="F489" s="165"/>
      <c r="G489" s="167"/>
      <c r="H489" s="166"/>
      <c r="I489" s="167"/>
      <c r="J489" s="168"/>
      <c r="K489" s="169"/>
      <c r="L489" s="165"/>
      <c r="M489" s="165"/>
      <c r="N489" s="165"/>
      <c r="O489" s="165"/>
      <c r="P489" s="165"/>
      <c r="Q489" s="165"/>
      <c r="R489" s="165"/>
      <c r="S489" s="165"/>
      <c r="T489" s="165"/>
      <c r="U489" s="165"/>
      <c r="V489" s="165"/>
      <c r="W489" s="165"/>
      <c r="X489" s="165"/>
      <c r="Y489" s="165"/>
      <c r="Z489" s="165"/>
      <c r="AA489" s="165"/>
      <c r="AB489" s="165"/>
      <c r="AC489" s="165"/>
    </row>
    <row r="490">
      <c r="A490" s="165"/>
      <c r="B490" s="165"/>
      <c r="C490" s="165"/>
      <c r="D490" s="165"/>
      <c r="E490" s="166"/>
      <c r="F490" s="165"/>
      <c r="G490" s="167"/>
      <c r="H490" s="166"/>
      <c r="I490" s="167"/>
      <c r="J490" s="168"/>
      <c r="K490" s="169"/>
      <c r="L490" s="165"/>
      <c r="M490" s="165"/>
      <c r="N490" s="165"/>
      <c r="O490" s="165"/>
      <c r="P490" s="165"/>
      <c r="Q490" s="165"/>
      <c r="R490" s="165"/>
      <c r="S490" s="165"/>
      <c r="T490" s="165"/>
      <c r="U490" s="165"/>
      <c r="V490" s="165"/>
      <c r="W490" s="165"/>
      <c r="X490" s="165"/>
      <c r="Y490" s="165"/>
      <c r="Z490" s="165"/>
      <c r="AA490" s="165"/>
      <c r="AB490" s="165"/>
      <c r="AC490" s="165"/>
    </row>
    <row r="491">
      <c r="A491" s="165"/>
      <c r="B491" s="165"/>
      <c r="C491" s="165"/>
      <c r="D491" s="165"/>
      <c r="E491" s="166"/>
      <c r="F491" s="165"/>
      <c r="G491" s="167"/>
      <c r="H491" s="166"/>
      <c r="I491" s="167"/>
      <c r="J491" s="168"/>
      <c r="K491" s="169"/>
      <c r="L491" s="165"/>
      <c r="M491" s="165"/>
      <c r="N491" s="165"/>
      <c r="O491" s="165"/>
      <c r="P491" s="165"/>
      <c r="Q491" s="165"/>
      <c r="R491" s="165"/>
      <c r="S491" s="165"/>
      <c r="T491" s="165"/>
      <c r="U491" s="165"/>
      <c r="V491" s="165"/>
      <c r="W491" s="165"/>
      <c r="X491" s="165"/>
      <c r="Y491" s="165"/>
      <c r="Z491" s="165"/>
      <c r="AA491" s="165"/>
      <c r="AB491" s="165"/>
      <c r="AC491" s="165"/>
    </row>
    <row r="492">
      <c r="A492" s="165"/>
      <c r="B492" s="165"/>
      <c r="C492" s="165"/>
      <c r="D492" s="165"/>
      <c r="E492" s="166"/>
      <c r="F492" s="165"/>
      <c r="G492" s="167"/>
      <c r="H492" s="166"/>
      <c r="I492" s="167"/>
      <c r="J492" s="168"/>
      <c r="K492" s="169"/>
      <c r="L492" s="165"/>
      <c r="M492" s="165"/>
      <c r="N492" s="165"/>
      <c r="O492" s="165"/>
      <c r="P492" s="165"/>
      <c r="Q492" s="165"/>
      <c r="R492" s="165"/>
      <c r="S492" s="165"/>
      <c r="T492" s="165"/>
      <c r="U492" s="165"/>
      <c r="V492" s="165"/>
      <c r="W492" s="165"/>
      <c r="X492" s="165"/>
      <c r="Y492" s="165"/>
      <c r="Z492" s="165"/>
      <c r="AA492" s="165"/>
      <c r="AB492" s="165"/>
      <c r="AC492" s="165"/>
    </row>
    <row r="493">
      <c r="A493" s="165"/>
      <c r="B493" s="165"/>
      <c r="C493" s="165"/>
      <c r="D493" s="165"/>
      <c r="E493" s="166"/>
      <c r="F493" s="165"/>
      <c r="G493" s="167"/>
      <c r="H493" s="166"/>
      <c r="I493" s="167"/>
      <c r="J493" s="168"/>
      <c r="K493" s="169"/>
      <c r="L493" s="165"/>
      <c r="M493" s="165"/>
      <c r="N493" s="165"/>
      <c r="O493" s="165"/>
      <c r="P493" s="165"/>
      <c r="Q493" s="165"/>
      <c r="R493" s="165"/>
      <c r="S493" s="165"/>
      <c r="T493" s="165"/>
      <c r="U493" s="165"/>
      <c r="V493" s="165"/>
      <c r="W493" s="165"/>
      <c r="X493" s="165"/>
      <c r="Y493" s="165"/>
      <c r="Z493" s="165"/>
      <c r="AA493" s="165"/>
      <c r="AB493" s="165"/>
      <c r="AC493" s="165"/>
    </row>
    <row r="494">
      <c r="A494" s="165"/>
      <c r="B494" s="165"/>
      <c r="C494" s="165"/>
      <c r="D494" s="165"/>
      <c r="E494" s="166"/>
      <c r="F494" s="165"/>
      <c r="G494" s="167"/>
      <c r="H494" s="166"/>
      <c r="I494" s="167"/>
      <c r="J494" s="168"/>
      <c r="K494" s="169"/>
      <c r="L494" s="165"/>
      <c r="M494" s="165"/>
      <c r="N494" s="165"/>
      <c r="O494" s="165"/>
      <c r="P494" s="165"/>
      <c r="Q494" s="165"/>
      <c r="R494" s="165"/>
      <c r="S494" s="165"/>
      <c r="T494" s="165"/>
      <c r="U494" s="165"/>
      <c r="V494" s="165"/>
      <c r="W494" s="165"/>
      <c r="X494" s="165"/>
      <c r="Y494" s="165"/>
      <c r="Z494" s="165"/>
      <c r="AA494" s="165"/>
      <c r="AB494" s="165"/>
      <c r="AC494" s="165"/>
    </row>
    <row r="495">
      <c r="A495" s="165"/>
      <c r="B495" s="165"/>
      <c r="C495" s="165"/>
      <c r="D495" s="165"/>
      <c r="E495" s="166"/>
      <c r="F495" s="165"/>
      <c r="G495" s="167"/>
      <c r="H495" s="166"/>
      <c r="I495" s="167"/>
      <c r="J495" s="168"/>
      <c r="K495" s="169"/>
      <c r="L495" s="165"/>
      <c r="M495" s="165"/>
      <c r="N495" s="165"/>
      <c r="O495" s="165"/>
      <c r="P495" s="165"/>
      <c r="Q495" s="165"/>
      <c r="R495" s="165"/>
      <c r="S495" s="165"/>
      <c r="T495" s="165"/>
      <c r="U495" s="165"/>
      <c r="V495" s="165"/>
      <c r="W495" s="165"/>
      <c r="X495" s="165"/>
      <c r="Y495" s="165"/>
      <c r="Z495" s="165"/>
      <c r="AA495" s="165"/>
      <c r="AB495" s="165"/>
      <c r="AC495" s="165"/>
    </row>
    <row r="496">
      <c r="A496" s="165"/>
      <c r="B496" s="165"/>
      <c r="C496" s="165"/>
      <c r="D496" s="165"/>
      <c r="E496" s="166"/>
      <c r="F496" s="165"/>
      <c r="G496" s="167"/>
      <c r="H496" s="166"/>
      <c r="I496" s="167"/>
      <c r="J496" s="168"/>
      <c r="K496" s="169"/>
      <c r="L496" s="165"/>
      <c r="M496" s="165"/>
      <c r="N496" s="165"/>
      <c r="O496" s="165"/>
      <c r="P496" s="165"/>
      <c r="Q496" s="165"/>
      <c r="R496" s="165"/>
      <c r="S496" s="165"/>
      <c r="T496" s="165"/>
      <c r="U496" s="165"/>
      <c r="V496" s="165"/>
      <c r="W496" s="165"/>
      <c r="X496" s="165"/>
      <c r="Y496" s="165"/>
      <c r="Z496" s="165"/>
      <c r="AA496" s="165"/>
      <c r="AB496" s="165"/>
      <c r="AC496" s="165"/>
    </row>
    <row r="497">
      <c r="A497" s="165"/>
      <c r="B497" s="165"/>
      <c r="C497" s="165"/>
      <c r="D497" s="165"/>
      <c r="E497" s="166"/>
      <c r="F497" s="165"/>
      <c r="G497" s="167"/>
      <c r="H497" s="166"/>
      <c r="I497" s="167"/>
      <c r="J497" s="168"/>
      <c r="K497" s="169"/>
      <c r="L497" s="165"/>
      <c r="M497" s="165"/>
      <c r="N497" s="165"/>
      <c r="O497" s="165"/>
      <c r="P497" s="165"/>
      <c r="Q497" s="165"/>
      <c r="R497" s="165"/>
      <c r="S497" s="165"/>
      <c r="T497" s="165"/>
      <c r="U497" s="165"/>
      <c r="V497" s="165"/>
      <c r="W497" s="165"/>
      <c r="X497" s="165"/>
      <c r="Y497" s="165"/>
      <c r="Z497" s="165"/>
      <c r="AA497" s="165"/>
      <c r="AB497" s="165"/>
      <c r="AC497" s="165"/>
    </row>
    <row r="498">
      <c r="A498" s="165"/>
      <c r="B498" s="165"/>
      <c r="C498" s="165"/>
      <c r="D498" s="165"/>
      <c r="E498" s="166"/>
      <c r="F498" s="165"/>
      <c r="G498" s="167"/>
      <c r="H498" s="166"/>
      <c r="I498" s="167"/>
      <c r="J498" s="168"/>
      <c r="K498" s="169"/>
      <c r="L498" s="165"/>
      <c r="M498" s="165"/>
      <c r="N498" s="165"/>
      <c r="O498" s="165"/>
      <c r="P498" s="165"/>
      <c r="Q498" s="165"/>
      <c r="R498" s="165"/>
      <c r="S498" s="165"/>
      <c r="T498" s="165"/>
      <c r="U498" s="165"/>
      <c r="V498" s="165"/>
      <c r="W498" s="165"/>
      <c r="X498" s="165"/>
      <c r="Y498" s="165"/>
      <c r="Z498" s="165"/>
      <c r="AA498" s="165"/>
      <c r="AB498" s="165"/>
      <c r="AC498" s="165"/>
    </row>
    <row r="499">
      <c r="A499" s="165"/>
      <c r="B499" s="165"/>
      <c r="C499" s="165"/>
      <c r="D499" s="165"/>
      <c r="E499" s="166"/>
      <c r="F499" s="165"/>
      <c r="G499" s="167"/>
      <c r="H499" s="166"/>
      <c r="I499" s="167"/>
      <c r="J499" s="168"/>
      <c r="K499" s="169"/>
      <c r="L499" s="165"/>
      <c r="M499" s="165"/>
      <c r="N499" s="165"/>
      <c r="O499" s="165"/>
      <c r="P499" s="165"/>
      <c r="Q499" s="165"/>
      <c r="R499" s="165"/>
      <c r="S499" s="165"/>
      <c r="T499" s="165"/>
      <c r="U499" s="165"/>
      <c r="V499" s="165"/>
      <c r="W499" s="165"/>
      <c r="X499" s="165"/>
      <c r="Y499" s="165"/>
      <c r="Z499" s="165"/>
      <c r="AA499" s="165"/>
      <c r="AB499" s="165"/>
      <c r="AC499" s="165"/>
    </row>
    <row r="500">
      <c r="A500" s="165"/>
      <c r="B500" s="165"/>
      <c r="C500" s="165"/>
      <c r="D500" s="165"/>
      <c r="E500" s="166"/>
      <c r="F500" s="165"/>
      <c r="G500" s="167"/>
      <c r="H500" s="166"/>
      <c r="I500" s="167"/>
      <c r="J500" s="168"/>
      <c r="K500" s="169"/>
      <c r="L500" s="165"/>
      <c r="M500" s="165"/>
      <c r="N500" s="165"/>
      <c r="O500" s="165"/>
      <c r="P500" s="165"/>
      <c r="Q500" s="165"/>
      <c r="R500" s="165"/>
      <c r="S500" s="165"/>
      <c r="T500" s="165"/>
      <c r="U500" s="165"/>
      <c r="V500" s="165"/>
      <c r="W500" s="165"/>
      <c r="X500" s="165"/>
      <c r="Y500" s="165"/>
      <c r="Z500" s="165"/>
      <c r="AA500" s="165"/>
      <c r="AB500" s="165"/>
      <c r="AC500" s="165"/>
    </row>
    <row r="501">
      <c r="A501" s="165"/>
      <c r="B501" s="165"/>
      <c r="C501" s="165"/>
      <c r="D501" s="165"/>
      <c r="E501" s="166"/>
      <c r="F501" s="165"/>
      <c r="G501" s="167"/>
      <c r="H501" s="166"/>
      <c r="I501" s="167"/>
      <c r="J501" s="168"/>
      <c r="K501" s="169"/>
      <c r="L501" s="165"/>
      <c r="M501" s="165"/>
      <c r="N501" s="165"/>
      <c r="O501" s="165"/>
      <c r="P501" s="165"/>
      <c r="Q501" s="165"/>
      <c r="R501" s="165"/>
      <c r="S501" s="165"/>
      <c r="T501" s="165"/>
      <c r="U501" s="165"/>
      <c r="V501" s="165"/>
      <c r="W501" s="165"/>
      <c r="X501" s="165"/>
      <c r="Y501" s="165"/>
      <c r="Z501" s="165"/>
      <c r="AA501" s="165"/>
      <c r="AB501" s="165"/>
      <c r="AC501" s="165"/>
    </row>
    <row r="502">
      <c r="A502" s="165"/>
      <c r="B502" s="165"/>
      <c r="C502" s="165"/>
      <c r="D502" s="165"/>
      <c r="E502" s="166"/>
      <c r="F502" s="165"/>
      <c r="G502" s="167"/>
      <c r="H502" s="166"/>
      <c r="I502" s="167"/>
      <c r="J502" s="168"/>
      <c r="K502" s="169"/>
      <c r="L502" s="165"/>
      <c r="M502" s="165"/>
      <c r="N502" s="165"/>
      <c r="O502" s="165"/>
      <c r="P502" s="165"/>
      <c r="Q502" s="165"/>
      <c r="R502" s="165"/>
      <c r="S502" s="165"/>
      <c r="T502" s="165"/>
      <c r="U502" s="165"/>
      <c r="V502" s="165"/>
      <c r="W502" s="165"/>
      <c r="X502" s="165"/>
      <c r="Y502" s="165"/>
      <c r="Z502" s="165"/>
      <c r="AA502" s="165"/>
      <c r="AB502" s="165"/>
      <c r="AC502" s="165"/>
    </row>
    <row r="503">
      <c r="A503" s="165"/>
      <c r="B503" s="165"/>
      <c r="C503" s="165"/>
      <c r="D503" s="165"/>
      <c r="E503" s="166"/>
      <c r="F503" s="165"/>
      <c r="G503" s="167"/>
      <c r="H503" s="166"/>
      <c r="I503" s="167"/>
      <c r="J503" s="168"/>
      <c r="K503" s="169"/>
      <c r="L503" s="165"/>
      <c r="M503" s="165"/>
      <c r="N503" s="165"/>
      <c r="O503" s="165"/>
      <c r="P503" s="165"/>
      <c r="Q503" s="165"/>
      <c r="R503" s="165"/>
      <c r="S503" s="165"/>
      <c r="T503" s="165"/>
      <c r="U503" s="165"/>
      <c r="V503" s="165"/>
      <c r="W503" s="165"/>
      <c r="X503" s="165"/>
      <c r="Y503" s="165"/>
      <c r="Z503" s="165"/>
      <c r="AA503" s="165"/>
      <c r="AB503" s="165"/>
      <c r="AC503" s="165"/>
    </row>
    <row r="504">
      <c r="A504" s="165"/>
      <c r="B504" s="165"/>
      <c r="C504" s="165"/>
      <c r="D504" s="165"/>
      <c r="E504" s="166"/>
      <c r="F504" s="165"/>
      <c r="G504" s="167"/>
      <c r="H504" s="166"/>
      <c r="I504" s="167"/>
      <c r="J504" s="168"/>
      <c r="K504" s="169"/>
      <c r="L504" s="165"/>
      <c r="M504" s="165"/>
      <c r="N504" s="165"/>
      <c r="O504" s="165"/>
      <c r="P504" s="165"/>
      <c r="Q504" s="165"/>
      <c r="R504" s="165"/>
      <c r="S504" s="165"/>
      <c r="T504" s="165"/>
      <c r="U504" s="165"/>
      <c r="V504" s="165"/>
      <c r="W504" s="165"/>
      <c r="X504" s="165"/>
      <c r="Y504" s="165"/>
      <c r="Z504" s="165"/>
      <c r="AA504" s="165"/>
      <c r="AB504" s="165"/>
      <c r="AC504" s="165"/>
    </row>
    <row r="505">
      <c r="A505" s="165"/>
      <c r="B505" s="165"/>
      <c r="C505" s="165"/>
      <c r="D505" s="165"/>
      <c r="E505" s="166"/>
      <c r="F505" s="165"/>
      <c r="G505" s="167"/>
      <c r="H505" s="166"/>
      <c r="I505" s="167"/>
      <c r="J505" s="168"/>
      <c r="K505" s="169"/>
      <c r="L505" s="165"/>
      <c r="M505" s="165"/>
      <c r="N505" s="165"/>
      <c r="O505" s="165"/>
      <c r="P505" s="165"/>
      <c r="Q505" s="165"/>
      <c r="R505" s="165"/>
      <c r="S505" s="165"/>
      <c r="T505" s="165"/>
      <c r="U505" s="165"/>
      <c r="V505" s="165"/>
      <c r="W505" s="165"/>
      <c r="X505" s="165"/>
      <c r="Y505" s="165"/>
      <c r="Z505" s="165"/>
      <c r="AA505" s="165"/>
      <c r="AB505" s="165"/>
      <c r="AC505" s="165"/>
    </row>
    <row r="506">
      <c r="A506" s="165"/>
      <c r="B506" s="165"/>
      <c r="C506" s="165"/>
      <c r="D506" s="165"/>
      <c r="E506" s="166"/>
      <c r="F506" s="165"/>
      <c r="G506" s="167"/>
      <c r="H506" s="166"/>
      <c r="I506" s="167"/>
      <c r="J506" s="168"/>
      <c r="K506" s="169"/>
      <c r="L506" s="165"/>
      <c r="M506" s="165"/>
      <c r="N506" s="165"/>
      <c r="O506" s="165"/>
      <c r="P506" s="165"/>
      <c r="Q506" s="165"/>
      <c r="R506" s="165"/>
      <c r="S506" s="165"/>
      <c r="T506" s="165"/>
      <c r="U506" s="165"/>
      <c r="V506" s="165"/>
      <c r="W506" s="165"/>
      <c r="X506" s="165"/>
      <c r="Y506" s="165"/>
      <c r="Z506" s="165"/>
      <c r="AA506" s="165"/>
      <c r="AB506" s="165"/>
      <c r="AC506" s="165"/>
    </row>
    <row r="507">
      <c r="A507" s="165"/>
      <c r="B507" s="165"/>
      <c r="C507" s="165"/>
      <c r="D507" s="165"/>
      <c r="E507" s="166"/>
      <c r="F507" s="165"/>
      <c r="G507" s="167"/>
      <c r="H507" s="166"/>
      <c r="I507" s="167"/>
      <c r="J507" s="168"/>
      <c r="K507" s="169"/>
      <c r="L507" s="165"/>
      <c r="M507" s="165"/>
      <c r="N507" s="165"/>
      <c r="O507" s="165"/>
      <c r="P507" s="165"/>
      <c r="Q507" s="165"/>
      <c r="R507" s="165"/>
      <c r="S507" s="165"/>
      <c r="T507" s="165"/>
      <c r="U507" s="165"/>
      <c r="V507" s="165"/>
      <c r="W507" s="165"/>
      <c r="X507" s="165"/>
      <c r="Y507" s="165"/>
      <c r="Z507" s="165"/>
      <c r="AA507" s="165"/>
      <c r="AB507" s="165"/>
      <c r="AC507" s="165"/>
    </row>
    <row r="508">
      <c r="A508" s="165"/>
      <c r="B508" s="165"/>
      <c r="C508" s="165"/>
      <c r="D508" s="165"/>
      <c r="E508" s="166"/>
      <c r="F508" s="165"/>
      <c r="G508" s="167"/>
      <c r="H508" s="166"/>
      <c r="I508" s="167"/>
      <c r="J508" s="168"/>
      <c r="K508" s="169"/>
      <c r="L508" s="165"/>
      <c r="M508" s="165"/>
      <c r="N508" s="165"/>
      <c r="O508" s="165"/>
      <c r="P508" s="165"/>
      <c r="Q508" s="165"/>
      <c r="R508" s="165"/>
      <c r="S508" s="165"/>
      <c r="T508" s="165"/>
      <c r="U508" s="165"/>
      <c r="V508" s="165"/>
      <c r="W508" s="165"/>
      <c r="X508" s="165"/>
      <c r="Y508" s="165"/>
      <c r="Z508" s="165"/>
      <c r="AA508" s="165"/>
      <c r="AB508" s="165"/>
      <c r="AC508" s="165"/>
    </row>
    <row r="509">
      <c r="A509" s="165"/>
      <c r="B509" s="165"/>
      <c r="C509" s="165"/>
      <c r="D509" s="165"/>
      <c r="E509" s="166"/>
      <c r="F509" s="165"/>
      <c r="G509" s="167"/>
      <c r="H509" s="166"/>
      <c r="I509" s="167"/>
      <c r="J509" s="168"/>
      <c r="K509" s="169"/>
      <c r="L509" s="165"/>
      <c r="M509" s="165"/>
      <c r="N509" s="165"/>
      <c r="O509" s="165"/>
      <c r="P509" s="165"/>
      <c r="Q509" s="165"/>
      <c r="R509" s="165"/>
      <c r="S509" s="165"/>
      <c r="T509" s="165"/>
      <c r="U509" s="165"/>
      <c r="V509" s="165"/>
      <c r="W509" s="165"/>
      <c r="X509" s="165"/>
      <c r="Y509" s="165"/>
      <c r="Z509" s="165"/>
      <c r="AA509" s="165"/>
      <c r="AB509" s="165"/>
      <c r="AC509" s="165"/>
    </row>
    <row r="510">
      <c r="A510" s="165"/>
      <c r="B510" s="165"/>
      <c r="C510" s="165"/>
      <c r="D510" s="165"/>
      <c r="E510" s="166"/>
      <c r="F510" s="165"/>
      <c r="G510" s="167"/>
      <c r="H510" s="166"/>
      <c r="I510" s="167"/>
      <c r="J510" s="168"/>
      <c r="K510" s="169"/>
      <c r="L510" s="165"/>
      <c r="M510" s="165"/>
      <c r="N510" s="165"/>
      <c r="O510" s="165"/>
      <c r="P510" s="165"/>
      <c r="Q510" s="165"/>
      <c r="R510" s="165"/>
      <c r="S510" s="165"/>
      <c r="T510" s="165"/>
      <c r="U510" s="165"/>
      <c r="V510" s="165"/>
      <c r="W510" s="165"/>
      <c r="X510" s="165"/>
      <c r="Y510" s="165"/>
      <c r="Z510" s="165"/>
      <c r="AA510" s="165"/>
      <c r="AB510" s="165"/>
      <c r="AC510" s="165"/>
    </row>
    <row r="511">
      <c r="A511" s="165"/>
      <c r="B511" s="165"/>
      <c r="C511" s="165"/>
      <c r="D511" s="165"/>
      <c r="E511" s="166"/>
      <c r="F511" s="165"/>
      <c r="G511" s="167"/>
      <c r="H511" s="166"/>
      <c r="I511" s="167"/>
      <c r="J511" s="168"/>
      <c r="K511" s="169"/>
      <c r="L511" s="165"/>
      <c r="M511" s="165"/>
      <c r="N511" s="165"/>
      <c r="O511" s="165"/>
      <c r="P511" s="165"/>
      <c r="Q511" s="165"/>
      <c r="R511" s="165"/>
      <c r="S511" s="165"/>
      <c r="T511" s="165"/>
      <c r="U511" s="165"/>
      <c r="V511" s="165"/>
      <c r="W511" s="165"/>
      <c r="X511" s="165"/>
      <c r="Y511" s="165"/>
      <c r="Z511" s="165"/>
      <c r="AA511" s="165"/>
      <c r="AB511" s="165"/>
      <c r="AC511" s="165"/>
    </row>
    <row r="512">
      <c r="A512" s="165"/>
      <c r="B512" s="165"/>
      <c r="C512" s="165"/>
      <c r="D512" s="165"/>
      <c r="E512" s="166"/>
      <c r="F512" s="165"/>
      <c r="G512" s="167"/>
      <c r="H512" s="166"/>
      <c r="I512" s="167"/>
      <c r="J512" s="168"/>
      <c r="K512" s="169"/>
      <c r="L512" s="165"/>
      <c r="M512" s="165"/>
      <c r="N512" s="165"/>
      <c r="O512" s="165"/>
      <c r="P512" s="165"/>
      <c r="Q512" s="165"/>
      <c r="R512" s="165"/>
      <c r="S512" s="165"/>
      <c r="T512" s="165"/>
      <c r="U512" s="165"/>
      <c r="V512" s="165"/>
      <c r="W512" s="165"/>
      <c r="X512" s="165"/>
      <c r="Y512" s="165"/>
      <c r="Z512" s="165"/>
      <c r="AA512" s="165"/>
      <c r="AB512" s="165"/>
      <c r="AC512" s="165"/>
    </row>
    <row r="513">
      <c r="A513" s="165"/>
      <c r="B513" s="165"/>
      <c r="C513" s="165"/>
      <c r="D513" s="165"/>
      <c r="E513" s="166"/>
      <c r="F513" s="165"/>
      <c r="G513" s="167"/>
      <c r="H513" s="166"/>
      <c r="I513" s="167"/>
      <c r="J513" s="168"/>
      <c r="K513" s="169"/>
      <c r="L513" s="165"/>
      <c r="M513" s="165"/>
      <c r="N513" s="165"/>
      <c r="O513" s="165"/>
      <c r="P513" s="165"/>
      <c r="Q513" s="165"/>
      <c r="R513" s="165"/>
      <c r="S513" s="165"/>
      <c r="T513" s="165"/>
      <c r="U513" s="165"/>
      <c r="V513" s="165"/>
      <c r="W513" s="165"/>
      <c r="X513" s="165"/>
      <c r="Y513" s="165"/>
      <c r="Z513" s="165"/>
      <c r="AA513" s="165"/>
      <c r="AB513" s="165"/>
      <c r="AC513" s="165"/>
    </row>
    <row r="514">
      <c r="A514" s="165"/>
      <c r="B514" s="165"/>
      <c r="C514" s="165"/>
      <c r="D514" s="165"/>
      <c r="E514" s="166"/>
      <c r="F514" s="165"/>
      <c r="G514" s="167"/>
      <c r="H514" s="166"/>
      <c r="I514" s="167"/>
      <c r="J514" s="168"/>
      <c r="K514" s="169"/>
      <c r="L514" s="165"/>
      <c r="M514" s="165"/>
      <c r="N514" s="165"/>
      <c r="O514" s="165"/>
      <c r="P514" s="165"/>
      <c r="Q514" s="165"/>
      <c r="R514" s="165"/>
      <c r="S514" s="165"/>
      <c r="T514" s="165"/>
      <c r="U514" s="165"/>
      <c r="V514" s="165"/>
      <c r="W514" s="165"/>
      <c r="X514" s="165"/>
      <c r="Y514" s="165"/>
      <c r="Z514" s="165"/>
      <c r="AA514" s="165"/>
      <c r="AB514" s="165"/>
      <c r="AC514" s="165"/>
    </row>
    <row r="515">
      <c r="A515" s="165"/>
      <c r="B515" s="165"/>
      <c r="C515" s="165"/>
      <c r="D515" s="165"/>
      <c r="E515" s="166"/>
      <c r="F515" s="165"/>
      <c r="G515" s="167"/>
      <c r="H515" s="166"/>
      <c r="I515" s="167"/>
      <c r="J515" s="168"/>
      <c r="K515" s="169"/>
      <c r="L515" s="165"/>
      <c r="M515" s="165"/>
      <c r="N515" s="165"/>
      <c r="O515" s="165"/>
      <c r="P515" s="165"/>
      <c r="Q515" s="165"/>
      <c r="R515" s="165"/>
      <c r="S515" s="165"/>
      <c r="T515" s="165"/>
      <c r="U515" s="165"/>
      <c r="V515" s="165"/>
      <c r="W515" s="165"/>
      <c r="X515" s="165"/>
      <c r="Y515" s="165"/>
      <c r="Z515" s="165"/>
      <c r="AA515" s="165"/>
      <c r="AB515" s="165"/>
      <c r="AC515" s="165"/>
    </row>
    <row r="516">
      <c r="A516" s="165"/>
      <c r="B516" s="165"/>
      <c r="C516" s="165"/>
      <c r="D516" s="165"/>
      <c r="E516" s="166"/>
      <c r="F516" s="165"/>
      <c r="G516" s="167"/>
      <c r="H516" s="166"/>
      <c r="I516" s="167"/>
      <c r="J516" s="168"/>
      <c r="K516" s="169"/>
      <c r="L516" s="165"/>
      <c r="M516" s="165"/>
      <c r="N516" s="165"/>
      <c r="O516" s="165"/>
      <c r="P516" s="165"/>
      <c r="Q516" s="165"/>
      <c r="R516" s="165"/>
      <c r="S516" s="165"/>
      <c r="T516" s="165"/>
      <c r="U516" s="165"/>
      <c r="V516" s="165"/>
      <c r="W516" s="165"/>
      <c r="X516" s="165"/>
      <c r="Y516" s="165"/>
      <c r="Z516" s="165"/>
      <c r="AA516" s="165"/>
      <c r="AB516" s="165"/>
      <c r="AC516" s="165"/>
    </row>
    <row r="517">
      <c r="A517" s="165"/>
      <c r="B517" s="165"/>
      <c r="C517" s="165"/>
      <c r="D517" s="165"/>
      <c r="E517" s="166"/>
      <c r="F517" s="165"/>
      <c r="G517" s="167"/>
      <c r="H517" s="166"/>
      <c r="I517" s="167"/>
      <c r="J517" s="168"/>
      <c r="K517" s="169"/>
      <c r="L517" s="165"/>
      <c r="M517" s="165"/>
      <c r="N517" s="165"/>
      <c r="O517" s="165"/>
      <c r="P517" s="165"/>
      <c r="Q517" s="165"/>
      <c r="R517" s="165"/>
      <c r="S517" s="165"/>
      <c r="T517" s="165"/>
      <c r="U517" s="165"/>
      <c r="V517" s="165"/>
      <c r="W517" s="165"/>
      <c r="X517" s="165"/>
      <c r="Y517" s="165"/>
      <c r="Z517" s="165"/>
      <c r="AA517" s="165"/>
      <c r="AB517" s="165"/>
      <c r="AC517" s="165"/>
    </row>
    <row r="518">
      <c r="A518" s="165"/>
      <c r="B518" s="165"/>
      <c r="C518" s="165"/>
      <c r="D518" s="165"/>
      <c r="E518" s="166"/>
      <c r="F518" s="165"/>
      <c r="G518" s="167"/>
      <c r="H518" s="166"/>
      <c r="I518" s="167"/>
      <c r="J518" s="168"/>
      <c r="K518" s="169"/>
      <c r="L518" s="165"/>
      <c r="M518" s="165"/>
      <c r="N518" s="165"/>
      <c r="O518" s="165"/>
      <c r="P518" s="165"/>
      <c r="Q518" s="165"/>
      <c r="R518" s="165"/>
      <c r="S518" s="165"/>
      <c r="T518" s="165"/>
      <c r="U518" s="165"/>
      <c r="V518" s="165"/>
      <c r="W518" s="165"/>
      <c r="X518" s="165"/>
      <c r="Y518" s="165"/>
      <c r="Z518" s="165"/>
      <c r="AA518" s="165"/>
      <c r="AB518" s="165"/>
      <c r="AC518" s="165"/>
    </row>
    <row r="519">
      <c r="A519" s="165"/>
      <c r="B519" s="165"/>
      <c r="C519" s="165"/>
      <c r="D519" s="165"/>
      <c r="E519" s="166"/>
      <c r="F519" s="165"/>
      <c r="G519" s="167"/>
      <c r="H519" s="166"/>
      <c r="I519" s="167"/>
      <c r="J519" s="168"/>
      <c r="K519" s="169"/>
      <c r="L519" s="165"/>
      <c r="M519" s="165"/>
      <c r="N519" s="165"/>
      <c r="O519" s="165"/>
      <c r="P519" s="165"/>
      <c r="Q519" s="165"/>
      <c r="R519" s="165"/>
      <c r="S519" s="165"/>
      <c r="T519" s="165"/>
      <c r="U519" s="165"/>
      <c r="V519" s="165"/>
      <c r="W519" s="165"/>
      <c r="X519" s="165"/>
      <c r="Y519" s="165"/>
      <c r="Z519" s="165"/>
      <c r="AA519" s="165"/>
      <c r="AB519" s="165"/>
      <c r="AC519" s="165"/>
    </row>
    <row r="520">
      <c r="A520" s="165"/>
      <c r="B520" s="165"/>
      <c r="C520" s="165"/>
      <c r="D520" s="165"/>
      <c r="E520" s="166"/>
      <c r="F520" s="165"/>
      <c r="G520" s="167"/>
      <c r="H520" s="166"/>
      <c r="I520" s="167"/>
      <c r="J520" s="168"/>
      <c r="K520" s="169"/>
      <c r="L520" s="165"/>
      <c r="M520" s="165"/>
      <c r="N520" s="165"/>
      <c r="O520" s="165"/>
      <c r="P520" s="165"/>
      <c r="Q520" s="165"/>
      <c r="R520" s="165"/>
      <c r="S520" s="165"/>
      <c r="T520" s="165"/>
      <c r="U520" s="165"/>
      <c r="V520" s="165"/>
      <c r="W520" s="165"/>
      <c r="X520" s="165"/>
      <c r="Y520" s="165"/>
      <c r="Z520" s="165"/>
      <c r="AA520" s="165"/>
      <c r="AB520" s="165"/>
      <c r="AC520" s="165"/>
    </row>
    <row r="521">
      <c r="A521" s="165"/>
      <c r="B521" s="165"/>
      <c r="C521" s="165"/>
      <c r="D521" s="165"/>
      <c r="E521" s="166"/>
      <c r="F521" s="165"/>
      <c r="G521" s="167"/>
      <c r="H521" s="166"/>
      <c r="I521" s="167"/>
      <c r="J521" s="168"/>
      <c r="K521" s="169"/>
      <c r="L521" s="165"/>
      <c r="M521" s="165"/>
      <c r="N521" s="165"/>
      <c r="O521" s="165"/>
      <c r="P521" s="165"/>
      <c r="Q521" s="165"/>
      <c r="R521" s="165"/>
      <c r="S521" s="165"/>
      <c r="T521" s="165"/>
      <c r="U521" s="165"/>
      <c r="V521" s="165"/>
      <c r="W521" s="165"/>
      <c r="X521" s="165"/>
      <c r="Y521" s="165"/>
      <c r="Z521" s="165"/>
      <c r="AA521" s="165"/>
      <c r="AB521" s="165"/>
      <c r="AC521" s="165"/>
    </row>
    <row r="522">
      <c r="A522" s="165"/>
      <c r="B522" s="165"/>
      <c r="C522" s="165"/>
      <c r="D522" s="165"/>
      <c r="E522" s="166"/>
      <c r="F522" s="165"/>
      <c r="G522" s="167"/>
      <c r="H522" s="166"/>
      <c r="I522" s="167"/>
      <c r="J522" s="168"/>
      <c r="K522" s="169"/>
      <c r="L522" s="165"/>
      <c r="M522" s="165"/>
      <c r="N522" s="165"/>
      <c r="O522" s="165"/>
      <c r="P522" s="165"/>
      <c r="Q522" s="165"/>
      <c r="R522" s="165"/>
      <c r="S522" s="165"/>
      <c r="T522" s="165"/>
      <c r="U522" s="165"/>
      <c r="V522" s="165"/>
      <c r="W522" s="165"/>
      <c r="X522" s="165"/>
      <c r="Y522" s="165"/>
      <c r="Z522" s="165"/>
      <c r="AA522" s="165"/>
      <c r="AB522" s="165"/>
      <c r="AC522" s="165"/>
    </row>
    <row r="523">
      <c r="A523" s="165"/>
      <c r="B523" s="165"/>
      <c r="C523" s="165"/>
      <c r="D523" s="165"/>
      <c r="E523" s="166"/>
      <c r="F523" s="165"/>
      <c r="G523" s="167"/>
      <c r="H523" s="166"/>
      <c r="I523" s="167"/>
      <c r="J523" s="168"/>
      <c r="K523" s="169"/>
      <c r="L523" s="165"/>
      <c r="M523" s="165"/>
      <c r="N523" s="165"/>
      <c r="O523" s="165"/>
      <c r="P523" s="165"/>
      <c r="Q523" s="165"/>
      <c r="R523" s="165"/>
      <c r="S523" s="165"/>
      <c r="T523" s="165"/>
      <c r="U523" s="165"/>
      <c r="V523" s="165"/>
      <c r="W523" s="165"/>
      <c r="X523" s="165"/>
      <c r="Y523" s="165"/>
      <c r="Z523" s="165"/>
      <c r="AA523" s="165"/>
      <c r="AB523" s="165"/>
      <c r="AC523" s="165"/>
    </row>
    <row r="524">
      <c r="A524" s="165"/>
      <c r="B524" s="165"/>
      <c r="C524" s="165"/>
      <c r="D524" s="165"/>
      <c r="E524" s="166"/>
      <c r="F524" s="165"/>
      <c r="G524" s="167"/>
      <c r="H524" s="166"/>
      <c r="I524" s="167"/>
      <c r="J524" s="168"/>
      <c r="K524" s="169"/>
      <c r="L524" s="165"/>
      <c r="M524" s="165"/>
      <c r="N524" s="165"/>
      <c r="O524" s="165"/>
      <c r="P524" s="165"/>
      <c r="Q524" s="165"/>
      <c r="R524" s="165"/>
      <c r="S524" s="165"/>
      <c r="T524" s="165"/>
      <c r="U524" s="165"/>
      <c r="V524" s="165"/>
      <c r="W524" s="165"/>
      <c r="X524" s="165"/>
      <c r="Y524" s="165"/>
      <c r="Z524" s="165"/>
      <c r="AA524" s="165"/>
      <c r="AB524" s="165"/>
      <c r="AC524" s="165"/>
    </row>
    <row r="525">
      <c r="A525" s="165"/>
      <c r="B525" s="165"/>
      <c r="C525" s="165"/>
      <c r="D525" s="165"/>
      <c r="E525" s="166"/>
      <c r="F525" s="165"/>
      <c r="G525" s="167"/>
      <c r="H525" s="166"/>
      <c r="I525" s="167"/>
      <c r="J525" s="168"/>
      <c r="K525" s="169"/>
      <c r="L525" s="165"/>
      <c r="M525" s="165"/>
      <c r="N525" s="165"/>
      <c r="O525" s="165"/>
      <c r="P525" s="165"/>
      <c r="Q525" s="165"/>
      <c r="R525" s="165"/>
      <c r="S525" s="165"/>
      <c r="T525" s="165"/>
      <c r="U525" s="165"/>
      <c r="V525" s="165"/>
      <c r="W525" s="165"/>
      <c r="X525" s="165"/>
      <c r="Y525" s="165"/>
      <c r="Z525" s="165"/>
      <c r="AA525" s="165"/>
      <c r="AB525" s="165"/>
      <c r="AC525" s="165"/>
    </row>
    <row r="526">
      <c r="A526" s="165"/>
      <c r="B526" s="165"/>
      <c r="C526" s="165"/>
      <c r="D526" s="165"/>
      <c r="E526" s="166"/>
      <c r="F526" s="165"/>
      <c r="G526" s="167"/>
      <c r="H526" s="166"/>
      <c r="I526" s="167"/>
      <c r="J526" s="168"/>
      <c r="K526" s="169"/>
      <c r="L526" s="165"/>
      <c r="M526" s="165"/>
      <c r="N526" s="165"/>
      <c r="O526" s="165"/>
      <c r="P526" s="165"/>
      <c r="Q526" s="165"/>
      <c r="R526" s="165"/>
      <c r="S526" s="165"/>
      <c r="T526" s="165"/>
      <c r="U526" s="165"/>
      <c r="V526" s="165"/>
      <c r="W526" s="165"/>
      <c r="X526" s="165"/>
      <c r="Y526" s="165"/>
      <c r="Z526" s="165"/>
      <c r="AA526" s="165"/>
      <c r="AB526" s="165"/>
      <c r="AC526" s="165"/>
    </row>
    <row r="527">
      <c r="A527" s="165"/>
      <c r="B527" s="165"/>
      <c r="C527" s="165"/>
      <c r="D527" s="165"/>
      <c r="E527" s="166"/>
      <c r="F527" s="165"/>
      <c r="G527" s="167"/>
      <c r="H527" s="166"/>
      <c r="I527" s="167"/>
      <c r="J527" s="168"/>
      <c r="K527" s="169"/>
      <c r="L527" s="165"/>
      <c r="M527" s="165"/>
      <c r="N527" s="165"/>
      <c r="O527" s="165"/>
      <c r="P527" s="165"/>
      <c r="Q527" s="165"/>
      <c r="R527" s="165"/>
      <c r="S527" s="165"/>
      <c r="T527" s="165"/>
      <c r="U527" s="165"/>
      <c r="V527" s="165"/>
      <c r="W527" s="165"/>
      <c r="X527" s="165"/>
      <c r="Y527" s="165"/>
      <c r="Z527" s="165"/>
      <c r="AA527" s="165"/>
      <c r="AB527" s="165"/>
      <c r="AC527" s="165"/>
    </row>
    <row r="528">
      <c r="A528" s="165"/>
      <c r="B528" s="165"/>
      <c r="C528" s="165"/>
      <c r="D528" s="165"/>
      <c r="E528" s="166"/>
      <c r="F528" s="165"/>
      <c r="G528" s="167"/>
      <c r="H528" s="166"/>
      <c r="I528" s="167"/>
      <c r="J528" s="168"/>
      <c r="K528" s="169"/>
      <c r="L528" s="165"/>
      <c r="M528" s="165"/>
      <c r="N528" s="165"/>
      <c r="O528" s="165"/>
      <c r="P528" s="165"/>
      <c r="Q528" s="165"/>
      <c r="R528" s="165"/>
      <c r="S528" s="165"/>
      <c r="T528" s="165"/>
      <c r="U528" s="165"/>
      <c r="V528" s="165"/>
      <c r="W528" s="165"/>
      <c r="X528" s="165"/>
      <c r="Y528" s="165"/>
      <c r="Z528" s="165"/>
      <c r="AA528" s="165"/>
      <c r="AB528" s="165"/>
      <c r="AC528" s="165"/>
    </row>
    <row r="529">
      <c r="A529" s="165"/>
      <c r="B529" s="165"/>
      <c r="C529" s="165"/>
      <c r="D529" s="165"/>
      <c r="E529" s="166"/>
      <c r="F529" s="165"/>
      <c r="G529" s="167"/>
      <c r="H529" s="166"/>
      <c r="I529" s="167"/>
      <c r="J529" s="168"/>
      <c r="K529" s="169"/>
      <c r="L529" s="165"/>
      <c r="M529" s="165"/>
      <c r="N529" s="165"/>
      <c r="O529" s="165"/>
      <c r="P529" s="165"/>
      <c r="Q529" s="165"/>
      <c r="R529" s="165"/>
      <c r="S529" s="165"/>
      <c r="T529" s="165"/>
      <c r="U529" s="165"/>
      <c r="V529" s="165"/>
      <c r="W529" s="165"/>
      <c r="X529" s="165"/>
      <c r="Y529" s="165"/>
      <c r="Z529" s="165"/>
      <c r="AA529" s="165"/>
      <c r="AB529" s="165"/>
      <c r="AC529" s="165"/>
    </row>
    <row r="530">
      <c r="A530" s="165"/>
      <c r="B530" s="165"/>
      <c r="C530" s="165"/>
      <c r="D530" s="165"/>
      <c r="E530" s="166"/>
      <c r="F530" s="165"/>
      <c r="G530" s="167"/>
      <c r="H530" s="166"/>
      <c r="I530" s="167"/>
      <c r="J530" s="168"/>
      <c r="K530" s="169"/>
      <c r="L530" s="165"/>
      <c r="M530" s="165"/>
      <c r="N530" s="165"/>
      <c r="O530" s="165"/>
      <c r="P530" s="165"/>
      <c r="Q530" s="165"/>
      <c r="R530" s="165"/>
      <c r="S530" s="165"/>
      <c r="T530" s="165"/>
      <c r="U530" s="165"/>
      <c r="V530" s="165"/>
      <c r="W530" s="165"/>
      <c r="X530" s="165"/>
      <c r="Y530" s="165"/>
      <c r="Z530" s="165"/>
      <c r="AA530" s="165"/>
      <c r="AB530" s="165"/>
      <c r="AC530" s="165"/>
    </row>
    <row r="531">
      <c r="A531" s="165"/>
      <c r="B531" s="165"/>
      <c r="C531" s="165"/>
      <c r="D531" s="165"/>
      <c r="E531" s="166"/>
      <c r="F531" s="165"/>
      <c r="G531" s="167"/>
      <c r="H531" s="166"/>
      <c r="I531" s="167"/>
      <c r="J531" s="168"/>
      <c r="K531" s="169"/>
      <c r="L531" s="165"/>
      <c r="M531" s="165"/>
      <c r="N531" s="165"/>
      <c r="O531" s="165"/>
      <c r="P531" s="165"/>
      <c r="Q531" s="165"/>
      <c r="R531" s="165"/>
      <c r="S531" s="165"/>
      <c r="T531" s="165"/>
      <c r="U531" s="165"/>
      <c r="V531" s="165"/>
      <c r="W531" s="165"/>
      <c r="X531" s="165"/>
      <c r="Y531" s="165"/>
      <c r="Z531" s="165"/>
      <c r="AA531" s="165"/>
      <c r="AB531" s="165"/>
      <c r="AC531" s="165"/>
    </row>
    <row r="532">
      <c r="A532" s="165"/>
      <c r="B532" s="165"/>
      <c r="C532" s="165"/>
      <c r="D532" s="165"/>
      <c r="E532" s="166"/>
      <c r="F532" s="165"/>
      <c r="G532" s="167"/>
      <c r="H532" s="166"/>
      <c r="I532" s="167"/>
      <c r="J532" s="168"/>
      <c r="K532" s="169"/>
      <c r="L532" s="165"/>
      <c r="M532" s="165"/>
      <c r="N532" s="165"/>
      <c r="O532" s="165"/>
      <c r="P532" s="165"/>
      <c r="Q532" s="165"/>
      <c r="R532" s="165"/>
      <c r="S532" s="165"/>
      <c r="T532" s="165"/>
      <c r="U532" s="165"/>
      <c r="V532" s="165"/>
      <c r="W532" s="165"/>
      <c r="X532" s="165"/>
      <c r="Y532" s="165"/>
      <c r="Z532" s="165"/>
      <c r="AA532" s="165"/>
      <c r="AB532" s="165"/>
      <c r="AC532" s="165"/>
    </row>
    <row r="533">
      <c r="A533" s="165"/>
      <c r="B533" s="165"/>
      <c r="C533" s="165"/>
      <c r="D533" s="165"/>
      <c r="E533" s="166"/>
      <c r="F533" s="165"/>
      <c r="G533" s="167"/>
      <c r="H533" s="166"/>
      <c r="I533" s="167"/>
      <c r="J533" s="168"/>
      <c r="K533" s="169"/>
      <c r="L533" s="165"/>
      <c r="M533" s="165"/>
      <c r="N533" s="165"/>
      <c r="O533" s="165"/>
      <c r="P533" s="165"/>
      <c r="Q533" s="165"/>
      <c r="R533" s="165"/>
      <c r="S533" s="165"/>
      <c r="T533" s="165"/>
      <c r="U533" s="165"/>
      <c r="V533" s="165"/>
      <c r="W533" s="165"/>
      <c r="X533" s="165"/>
      <c r="Y533" s="165"/>
      <c r="Z533" s="165"/>
      <c r="AA533" s="165"/>
      <c r="AB533" s="165"/>
      <c r="AC533" s="165"/>
    </row>
    <row r="534">
      <c r="A534" s="165"/>
      <c r="B534" s="165"/>
      <c r="C534" s="165"/>
      <c r="D534" s="165"/>
      <c r="E534" s="166"/>
      <c r="F534" s="165"/>
      <c r="G534" s="167"/>
      <c r="H534" s="166"/>
      <c r="I534" s="167"/>
      <c r="J534" s="168"/>
      <c r="K534" s="169"/>
      <c r="L534" s="165"/>
      <c r="M534" s="165"/>
      <c r="N534" s="165"/>
      <c r="O534" s="165"/>
      <c r="P534" s="165"/>
      <c r="Q534" s="165"/>
      <c r="R534" s="165"/>
      <c r="S534" s="165"/>
      <c r="T534" s="165"/>
      <c r="U534" s="165"/>
      <c r="V534" s="165"/>
      <c r="W534" s="165"/>
      <c r="X534" s="165"/>
      <c r="Y534" s="165"/>
      <c r="Z534" s="165"/>
      <c r="AA534" s="165"/>
      <c r="AB534" s="165"/>
      <c r="AC534" s="165"/>
    </row>
    <row r="535">
      <c r="A535" s="165"/>
      <c r="B535" s="165"/>
      <c r="C535" s="165"/>
      <c r="D535" s="165"/>
      <c r="E535" s="166"/>
      <c r="F535" s="165"/>
      <c r="G535" s="167"/>
      <c r="H535" s="166"/>
      <c r="I535" s="167"/>
      <c r="J535" s="168"/>
      <c r="K535" s="169"/>
      <c r="L535" s="165"/>
      <c r="M535" s="165"/>
      <c r="N535" s="165"/>
      <c r="O535" s="165"/>
      <c r="P535" s="165"/>
      <c r="Q535" s="165"/>
      <c r="R535" s="165"/>
      <c r="S535" s="165"/>
      <c r="T535" s="165"/>
      <c r="U535" s="165"/>
      <c r="V535" s="165"/>
      <c r="W535" s="165"/>
      <c r="X535" s="165"/>
      <c r="Y535" s="165"/>
      <c r="Z535" s="165"/>
      <c r="AA535" s="165"/>
      <c r="AB535" s="165"/>
      <c r="AC535" s="165"/>
    </row>
    <row r="536">
      <c r="A536" s="165"/>
      <c r="B536" s="165"/>
      <c r="C536" s="165"/>
      <c r="D536" s="165"/>
      <c r="E536" s="166"/>
      <c r="F536" s="165"/>
      <c r="G536" s="167"/>
      <c r="H536" s="166"/>
      <c r="I536" s="167"/>
      <c r="J536" s="168"/>
      <c r="K536" s="169"/>
      <c r="L536" s="165"/>
      <c r="M536" s="165"/>
      <c r="N536" s="165"/>
      <c r="O536" s="165"/>
      <c r="P536" s="165"/>
      <c r="Q536" s="165"/>
      <c r="R536" s="165"/>
      <c r="S536" s="165"/>
      <c r="T536" s="165"/>
      <c r="U536" s="165"/>
      <c r="V536" s="165"/>
      <c r="W536" s="165"/>
      <c r="X536" s="165"/>
      <c r="Y536" s="165"/>
      <c r="Z536" s="165"/>
      <c r="AA536" s="165"/>
      <c r="AB536" s="165"/>
      <c r="AC536" s="165"/>
    </row>
    <row r="537">
      <c r="A537" s="165"/>
      <c r="B537" s="165"/>
      <c r="C537" s="165"/>
      <c r="D537" s="165"/>
      <c r="E537" s="166"/>
      <c r="F537" s="165"/>
      <c r="G537" s="167"/>
      <c r="H537" s="166"/>
      <c r="I537" s="167"/>
      <c r="J537" s="168"/>
      <c r="K537" s="169"/>
      <c r="L537" s="165"/>
      <c r="M537" s="165"/>
      <c r="N537" s="165"/>
      <c r="O537" s="165"/>
      <c r="P537" s="165"/>
      <c r="Q537" s="165"/>
      <c r="R537" s="165"/>
      <c r="S537" s="165"/>
      <c r="T537" s="165"/>
      <c r="U537" s="165"/>
      <c r="V537" s="165"/>
      <c r="W537" s="165"/>
      <c r="X537" s="165"/>
      <c r="Y537" s="165"/>
      <c r="Z537" s="165"/>
      <c r="AA537" s="165"/>
      <c r="AB537" s="165"/>
      <c r="AC537" s="165"/>
    </row>
    <row r="538">
      <c r="A538" s="165"/>
      <c r="B538" s="165"/>
      <c r="C538" s="165"/>
      <c r="D538" s="165"/>
      <c r="E538" s="166"/>
      <c r="F538" s="165"/>
      <c r="G538" s="167"/>
      <c r="H538" s="166"/>
      <c r="I538" s="167"/>
      <c r="J538" s="168"/>
      <c r="K538" s="169"/>
      <c r="L538" s="165"/>
      <c r="M538" s="165"/>
      <c r="N538" s="165"/>
      <c r="O538" s="165"/>
      <c r="P538" s="165"/>
      <c r="Q538" s="165"/>
      <c r="R538" s="165"/>
      <c r="S538" s="165"/>
      <c r="T538" s="165"/>
      <c r="U538" s="165"/>
      <c r="V538" s="165"/>
      <c r="W538" s="165"/>
      <c r="X538" s="165"/>
      <c r="Y538" s="165"/>
      <c r="Z538" s="165"/>
      <c r="AA538" s="165"/>
      <c r="AB538" s="165"/>
      <c r="AC538" s="165"/>
    </row>
    <row r="539">
      <c r="A539" s="165"/>
      <c r="B539" s="165"/>
      <c r="C539" s="165"/>
      <c r="D539" s="165"/>
      <c r="E539" s="166"/>
      <c r="F539" s="165"/>
      <c r="G539" s="167"/>
      <c r="H539" s="166"/>
      <c r="I539" s="167"/>
      <c r="J539" s="168"/>
      <c r="K539" s="169"/>
      <c r="L539" s="165"/>
      <c r="M539" s="165"/>
      <c r="N539" s="165"/>
      <c r="O539" s="165"/>
      <c r="P539" s="165"/>
      <c r="Q539" s="165"/>
      <c r="R539" s="165"/>
      <c r="S539" s="165"/>
      <c r="T539" s="165"/>
      <c r="U539" s="165"/>
      <c r="V539" s="165"/>
      <c r="W539" s="165"/>
      <c r="X539" s="165"/>
      <c r="Y539" s="165"/>
      <c r="Z539" s="165"/>
      <c r="AA539" s="165"/>
      <c r="AB539" s="165"/>
      <c r="AC539" s="165"/>
    </row>
    <row r="540">
      <c r="A540" s="165"/>
      <c r="B540" s="165"/>
      <c r="C540" s="165"/>
      <c r="D540" s="165"/>
      <c r="E540" s="166"/>
      <c r="F540" s="165"/>
      <c r="G540" s="167"/>
      <c r="H540" s="166"/>
      <c r="I540" s="167"/>
      <c r="J540" s="168"/>
      <c r="K540" s="169"/>
      <c r="L540" s="165"/>
      <c r="M540" s="165"/>
      <c r="N540" s="165"/>
      <c r="O540" s="165"/>
      <c r="P540" s="165"/>
      <c r="Q540" s="165"/>
      <c r="R540" s="165"/>
      <c r="S540" s="165"/>
      <c r="T540" s="165"/>
      <c r="U540" s="165"/>
      <c r="V540" s="165"/>
      <c r="W540" s="165"/>
      <c r="X540" s="165"/>
      <c r="Y540" s="165"/>
      <c r="Z540" s="165"/>
      <c r="AA540" s="165"/>
      <c r="AB540" s="165"/>
      <c r="AC540" s="165"/>
    </row>
    <row r="541">
      <c r="A541" s="165"/>
      <c r="B541" s="165"/>
      <c r="C541" s="165"/>
      <c r="D541" s="165"/>
      <c r="E541" s="166"/>
      <c r="F541" s="165"/>
      <c r="G541" s="167"/>
      <c r="H541" s="166"/>
      <c r="I541" s="167"/>
      <c r="J541" s="168"/>
      <c r="K541" s="169"/>
      <c r="L541" s="165"/>
      <c r="M541" s="165"/>
      <c r="N541" s="165"/>
      <c r="O541" s="165"/>
      <c r="P541" s="165"/>
      <c r="Q541" s="165"/>
      <c r="R541" s="165"/>
      <c r="S541" s="165"/>
      <c r="T541" s="165"/>
      <c r="U541" s="165"/>
      <c r="V541" s="165"/>
      <c r="W541" s="165"/>
      <c r="X541" s="165"/>
      <c r="Y541" s="165"/>
      <c r="Z541" s="165"/>
      <c r="AA541" s="165"/>
      <c r="AB541" s="165"/>
      <c r="AC541" s="165"/>
    </row>
    <row r="542">
      <c r="A542" s="165"/>
      <c r="B542" s="165"/>
      <c r="C542" s="165"/>
      <c r="D542" s="165"/>
      <c r="E542" s="166"/>
      <c r="F542" s="165"/>
      <c r="G542" s="167"/>
      <c r="H542" s="166"/>
      <c r="I542" s="167"/>
      <c r="J542" s="168"/>
      <c r="K542" s="169"/>
      <c r="L542" s="165"/>
      <c r="M542" s="165"/>
      <c r="N542" s="165"/>
      <c r="O542" s="165"/>
      <c r="P542" s="165"/>
      <c r="Q542" s="165"/>
      <c r="R542" s="165"/>
      <c r="S542" s="165"/>
      <c r="T542" s="165"/>
      <c r="U542" s="165"/>
      <c r="V542" s="165"/>
      <c r="W542" s="165"/>
      <c r="X542" s="165"/>
      <c r="Y542" s="165"/>
      <c r="Z542" s="165"/>
      <c r="AA542" s="165"/>
      <c r="AB542" s="165"/>
      <c r="AC542" s="165"/>
    </row>
    <row r="543">
      <c r="A543" s="165"/>
      <c r="B543" s="165"/>
      <c r="C543" s="165"/>
      <c r="D543" s="165"/>
      <c r="E543" s="166"/>
      <c r="F543" s="165"/>
      <c r="G543" s="167"/>
      <c r="H543" s="166"/>
      <c r="I543" s="167"/>
      <c r="J543" s="168"/>
      <c r="K543" s="169"/>
      <c r="L543" s="165"/>
      <c r="M543" s="165"/>
      <c r="N543" s="165"/>
      <c r="O543" s="165"/>
      <c r="P543" s="165"/>
      <c r="Q543" s="165"/>
      <c r="R543" s="165"/>
      <c r="S543" s="165"/>
      <c r="T543" s="165"/>
      <c r="U543" s="165"/>
      <c r="V543" s="165"/>
      <c r="W543" s="165"/>
      <c r="X543" s="165"/>
      <c r="Y543" s="165"/>
      <c r="Z543" s="165"/>
      <c r="AA543" s="165"/>
      <c r="AB543" s="165"/>
      <c r="AC543" s="165"/>
    </row>
    <row r="544">
      <c r="A544" s="165"/>
      <c r="B544" s="165"/>
      <c r="C544" s="165"/>
      <c r="D544" s="165"/>
      <c r="E544" s="166"/>
      <c r="F544" s="165"/>
      <c r="G544" s="167"/>
      <c r="H544" s="166"/>
      <c r="I544" s="167"/>
      <c r="J544" s="168"/>
      <c r="K544" s="169"/>
      <c r="L544" s="165"/>
      <c r="M544" s="165"/>
      <c r="N544" s="165"/>
      <c r="O544" s="165"/>
      <c r="P544" s="165"/>
      <c r="Q544" s="165"/>
      <c r="R544" s="165"/>
      <c r="S544" s="165"/>
      <c r="T544" s="165"/>
      <c r="U544" s="165"/>
      <c r="V544" s="165"/>
      <c r="W544" s="165"/>
      <c r="X544" s="165"/>
      <c r="Y544" s="165"/>
      <c r="Z544" s="165"/>
      <c r="AA544" s="165"/>
      <c r="AB544" s="165"/>
      <c r="AC544" s="165"/>
    </row>
  </sheetData>
  <conditionalFormatting sqref="E3:E59 I3:I59">
    <cfRule type="expression" dxfId="0" priority="1">
      <formula>AND($E3&lt;&gt;"",(($E3-$H3)/365*12)&lt;1)</formula>
    </cfRule>
  </conditionalFormatting>
  <conditionalFormatting sqref="J3:J59">
    <cfRule type="cellIs" dxfId="2" priority="2" operator="between">
      <formula>75</formula>
      <formula>90</formula>
    </cfRule>
  </conditionalFormatting>
  <conditionalFormatting sqref="J3:J59">
    <cfRule type="cellIs" dxfId="1" priority="3" operator="between">
      <formula>50</formula>
      <formula>75</formula>
    </cfRule>
  </conditionalFormatting>
  <conditionalFormatting sqref="J3:J59">
    <cfRule type="cellIs" dxfId="4" priority="4" operator="between">
      <formula>1</formula>
      <formula>50</formula>
    </cfRule>
  </conditionalFormatting>
  <conditionalFormatting sqref="I3:I59">
    <cfRule type="colorScale" priority="5">
      <colorScale>
        <cfvo type="min"/>
        <cfvo type="percentile" val="50"/>
        <cfvo type="max"/>
        <color rgb="FFB6D7A8"/>
        <color rgb="FFFFE599"/>
        <color rgb="FFEA9999"/>
      </colorScale>
    </cfRule>
  </conditionalFormatting>
  <conditionalFormatting sqref="J3:J59">
    <cfRule type="cellIs" dxfId="9" priority="6" operator="between">
      <formula>90</formula>
      <formula>100</formula>
    </cfRule>
  </conditionalFormatting>
  <conditionalFormatting sqref="G3:G59">
    <cfRule type="expression" dxfId="10" priority="7">
      <formula>MATCH(A3,INDIRECT("'Xbox Game Studios'!A:A"),0)</formula>
    </cfRule>
  </conditionalFormatting>
  <conditionalFormatting sqref="G3:G59">
    <cfRule type="expression" dxfId="10" priority="8">
      <formula>MATCH(A3,INDIRECT("'EA Play'!A:A"),0)</formula>
    </cfRule>
  </conditionalFormatting>
  <conditionalFormatting sqref="G3:G59">
    <cfRule type="expression" dxfId="5" priority="9">
      <formula>AND(D3="Active",OR(AND(G3&gt;10.5,G3&lt;13),AND(G3&gt;22.5,G3&lt;25),AND(G3&gt;34.5,G3&lt;37),AND(G3&gt;46.5,G3&lt;49),AND(G3&gt;58.5,G3&lt;61)),)</formula>
    </cfRule>
  </conditionalFormatting>
  <conditionalFormatting sqref="B1">
    <cfRule type="cellIs" dxfId="0" priority="10" operator="equal">
      <formula>"Xbox"</formula>
    </cfRule>
  </conditionalFormatting>
  <conditionalFormatting sqref="J2:K59 L2 O2">
    <cfRule type="containsBlanks" dxfId="11" priority="11">
      <formula>LEN(TRIM(J2))=0</formula>
    </cfRule>
  </conditionalFormatting>
  <conditionalFormatting sqref="O2">
    <cfRule type="containsText" dxfId="11" priority="12" operator="containsText" text="RP">
      <formula>NOT(ISERROR(SEARCH(("RP"),(O2))))</formula>
    </cfRule>
  </conditionalFormatting>
  <conditionalFormatting sqref="O2">
    <cfRule type="containsText" dxfId="12" priority="13" operator="containsText" text="NR">
      <formula>NOT(ISERROR(SEARCH(("NR"),(O2))))</formula>
    </cfRule>
  </conditionalFormatting>
  <conditionalFormatting sqref="A1:A2 D1:D59">
    <cfRule type="expression" dxfId="3" priority="14">
      <formula>$D1="Coming Soon"</formula>
    </cfRule>
  </conditionalFormatting>
  <conditionalFormatting sqref="A1:A2 D1:D59">
    <cfRule type="expression" dxfId="4" priority="15">
      <formula>$D1="Removed"</formula>
    </cfRule>
  </conditionalFormatting>
  <conditionalFormatting sqref="A1:A2 D1:D59">
    <cfRule type="expression" dxfId="5" priority="16">
      <formula>$D1="Leaving Soon"</formula>
    </cfRule>
  </conditionalFormatting>
  <conditionalFormatting sqref="J1:J544">
    <cfRule type="cellIs" dxfId="2" priority="17" operator="between">
      <formula>75</formula>
      <formula>100</formula>
    </cfRule>
  </conditionalFormatting>
  <conditionalFormatting sqref="J1:J544">
    <cfRule type="cellIs" dxfId="1" priority="18" operator="between">
      <formula>50</formula>
      <formula>74</formula>
    </cfRule>
  </conditionalFormatting>
  <conditionalFormatting sqref="J1:J544">
    <cfRule type="cellIs" dxfId="4" priority="19" operator="between">
      <formula>1</formula>
      <formula>49</formula>
    </cfRule>
  </conditionalFormatting>
  <conditionalFormatting sqref="A1:A2 C1:C2">
    <cfRule type="expression" dxfId="4" priority="20">
      <formula>$C1="Removed"</formula>
    </cfRule>
  </conditionalFormatting>
  <conditionalFormatting sqref="A1:A2">
    <cfRule type="expression" dxfId="1" priority="21">
      <formula>MATCH(A1,INDIRECT("'Xbox Game Studios'!A:A"),0)</formula>
    </cfRule>
  </conditionalFormatting>
  <conditionalFormatting sqref="A1:A2 C1:C2">
    <cfRule type="expression" dxfId="5" priority="22">
      <formula>$C1="Leaving Soon"</formula>
    </cfRule>
  </conditionalFormatting>
  <hyperlinks>
    <hyperlink r:id="rId1" ref="C1"/>
  </hyperlinks>
  <drawing r:id="rId2"/>
  <tableParts count="2">
    <tablePart r:id="rId5"/>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8B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5"/>
    <col customWidth="1" min="2" max="2" width="35.13"/>
    <col customWidth="1" min="3" max="3" width="8.5"/>
    <col customWidth="1" min="4" max="4" width="8.13"/>
    <col customWidth="1" min="5" max="5" width="28.63"/>
    <col customWidth="1" min="6" max="6" width="33.25"/>
    <col customWidth="1" min="7" max="7" width="4.75"/>
    <col customWidth="1" min="8" max="12" width="6.38"/>
  </cols>
  <sheetData>
    <row r="1">
      <c r="A1" s="170" t="s">
        <v>2849</v>
      </c>
      <c r="B1" s="171" t="s">
        <v>2850</v>
      </c>
      <c r="C1" s="172" t="s">
        <v>2851</v>
      </c>
      <c r="D1" s="172" t="s">
        <v>12</v>
      </c>
      <c r="E1" s="172" t="s">
        <v>2852</v>
      </c>
      <c r="F1" s="172" t="s">
        <v>2850</v>
      </c>
      <c r="G1" s="172" t="s">
        <v>2853</v>
      </c>
      <c r="H1" s="172" t="s">
        <v>2854</v>
      </c>
      <c r="I1" s="172"/>
      <c r="J1" s="172"/>
      <c r="K1" s="172"/>
      <c r="L1" s="172"/>
    </row>
    <row r="2">
      <c r="A2" s="173" t="s">
        <v>26</v>
      </c>
      <c r="B2" s="174" t="s">
        <v>2855</v>
      </c>
      <c r="C2" s="175" t="str">
        <f>VLOOKUP(A2,'Master List'!A:E,2,)</f>
        <v>Xbox / PC</v>
      </c>
      <c r="D2" s="176">
        <f>VLOOKUP(A2,'Master List'!A:E,5,)</f>
        <v>45959</v>
      </c>
      <c r="F2" s="177" t="s">
        <v>2856</v>
      </c>
      <c r="G2" s="177">
        <v>2000.0</v>
      </c>
      <c r="H2" s="178"/>
      <c r="I2" s="178"/>
      <c r="J2" s="178"/>
      <c r="K2" s="178"/>
      <c r="L2" s="178"/>
    </row>
    <row r="3">
      <c r="A3" s="173" t="s">
        <v>36</v>
      </c>
      <c r="B3" s="179" t="s">
        <v>2857</v>
      </c>
      <c r="C3" s="175" t="str">
        <f>VLOOKUP(A3,'Master List'!A:E,2,)</f>
        <v>Xbox / PC</v>
      </c>
      <c r="D3" s="176">
        <f>VLOOKUP(A3,'Master List'!A:E,5,)</f>
        <v>45951</v>
      </c>
      <c r="E3" s="177"/>
      <c r="F3" s="177" t="s">
        <v>2858</v>
      </c>
      <c r="G3" s="177">
        <v>2001.0</v>
      </c>
      <c r="H3" s="177"/>
      <c r="I3" s="177"/>
      <c r="J3" s="177"/>
      <c r="K3" s="177"/>
      <c r="L3" s="177"/>
    </row>
    <row r="4">
      <c r="A4" s="180" t="s">
        <v>139</v>
      </c>
      <c r="B4" s="180" t="s">
        <v>2859</v>
      </c>
      <c r="C4" s="175" t="str">
        <f>VLOOKUP(A4,'Master List'!A:E,2,)</f>
        <v>Xbox / PC</v>
      </c>
      <c r="D4" s="176">
        <f>VLOOKUP(A4,'Master List'!A:E,5,)</f>
        <v>45895</v>
      </c>
      <c r="E4" s="181"/>
      <c r="F4" s="177" t="s">
        <v>2860</v>
      </c>
      <c r="G4" s="177">
        <v>2002.0</v>
      </c>
      <c r="H4" s="177"/>
      <c r="I4" s="177"/>
      <c r="J4" s="177"/>
      <c r="K4" s="177"/>
      <c r="L4" s="177"/>
    </row>
    <row r="5">
      <c r="A5" s="180" t="s">
        <v>150</v>
      </c>
      <c r="B5" s="182" t="str">
        <f>VLOOKUP(A5,'Master List'!A:N,14,)</f>
        <v>Retro Classics: Windows 9x</v>
      </c>
      <c r="C5" s="175" t="str">
        <f>VLOOKUP(A5,'Master List'!A:E,2,)</f>
        <v>Xbox / PC</v>
      </c>
      <c r="D5" s="176">
        <f>VLOOKUP(A5,'Master List'!A:E,5,)</f>
        <v>45883</v>
      </c>
      <c r="E5" s="181"/>
      <c r="F5" s="177" t="s">
        <v>2861</v>
      </c>
      <c r="G5" s="177">
        <v>2007.0</v>
      </c>
      <c r="H5" s="177"/>
      <c r="I5" s="177"/>
      <c r="J5" s="177"/>
      <c r="K5" s="177"/>
      <c r="L5" s="177"/>
    </row>
    <row r="6">
      <c r="A6" s="180" t="s">
        <v>152</v>
      </c>
      <c r="B6" s="182" t="str">
        <f>VLOOKUP(A6,'Master List'!A:N,14,)</f>
        <v>Retro Classics: Atari 2600</v>
      </c>
      <c r="C6" s="175" t="str">
        <f>VLOOKUP(A6,'Master List'!A:E,2,)</f>
        <v>Xbox / PC</v>
      </c>
      <c r="D6" s="176">
        <f>VLOOKUP(A6,'Master List'!A:E,5,)</f>
        <v>45883</v>
      </c>
      <c r="E6" s="181"/>
      <c r="F6" s="177" t="s">
        <v>2859</v>
      </c>
      <c r="G6" s="177">
        <v>2007.0</v>
      </c>
      <c r="H6" s="177"/>
      <c r="I6" s="177"/>
      <c r="J6" s="177"/>
      <c r="K6" s="177"/>
      <c r="L6" s="177"/>
    </row>
    <row r="7">
      <c r="A7" s="180" t="s">
        <v>154</v>
      </c>
      <c r="B7" s="182" t="str">
        <f>VLOOKUP(A7,'Master List'!A:N,14,)</f>
        <v>Retro Classics: Amiga</v>
      </c>
      <c r="C7" s="175" t="str">
        <f>VLOOKUP(A7,'Master List'!A:E,2,)</f>
        <v>Xbox / PC</v>
      </c>
      <c r="D7" s="176">
        <f>VLOOKUP(A7,'Master List'!A:E,5,)</f>
        <v>45883</v>
      </c>
      <c r="E7" s="177"/>
      <c r="F7" s="177" t="s">
        <v>2862</v>
      </c>
      <c r="G7" s="177">
        <v>2014.0</v>
      </c>
      <c r="H7" s="177"/>
      <c r="I7" s="177"/>
      <c r="J7" s="177"/>
      <c r="K7" s="177"/>
      <c r="L7" s="177"/>
    </row>
    <row r="8">
      <c r="A8" s="180" t="s">
        <v>156</v>
      </c>
      <c r="B8" s="182" t="str">
        <f>VLOOKUP(A8,'Master List'!A:N,14,)</f>
        <v>Retro Classics: Atari 2600</v>
      </c>
      <c r="C8" s="175" t="str">
        <f>VLOOKUP(A8,'Master List'!A:E,2,)</f>
        <v>Xbox / PC</v>
      </c>
      <c r="D8" s="176">
        <f>VLOOKUP(A8,'Master List'!A:E,5,)</f>
        <v>45883</v>
      </c>
      <c r="E8" s="177"/>
      <c r="F8" s="177" t="s">
        <v>2863</v>
      </c>
      <c r="G8" s="177">
        <v>2018.0</v>
      </c>
      <c r="H8" s="177"/>
      <c r="I8" s="177"/>
      <c r="J8" s="177"/>
      <c r="K8" s="177"/>
      <c r="L8" s="177"/>
    </row>
    <row r="9">
      <c r="A9" s="180" t="s">
        <v>157</v>
      </c>
      <c r="B9" s="182" t="str">
        <f>VLOOKUP(A9,'Master List'!A:N,14,)</f>
        <v>Retro Classics: Atari 2600</v>
      </c>
      <c r="C9" s="175" t="str">
        <f>VLOOKUP(A9,'Master List'!A:E,2,)</f>
        <v>Xbox / PC</v>
      </c>
      <c r="D9" s="176">
        <f>VLOOKUP(A9,'Master List'!A:E,5,)</f>
        <v>45883</v>
      </c>
      <c r="E9" s="181"/>
      <c r="F9" s="177" t="s">
        <v>2864</v>
      </c>
      <c r="G9" s="177">
        <v>2018.0</v>
      </c>
      <c r="H9" s="177"/>
      <c r="I9" s="177"/>
      <c r="J9" s="177"/>
      <c r="K9" s="177"/>
      <c r="L9" s="177"/>
    </row>
    <row r="10">
      <c r="A10" s="180" t="s">
        <v>158</v>
      </c>
      <c r="B10" s="182" t="str">
        <f>VLOOKUP(A10,'Master List'!A:N,14,)</f>
        <v>Retro Classics: Atari 2600</v>
      </c>
      <c r="C10" s="175" t="str">
        <f>VLOOKUP(A10,'Master List'!A:E,2,)</f>
        <v>Xbox / PC</v>
      </c>
      <c r="D10" s="176">
        <f>VLOOKUP(A10,'Master List'!A:E,5,)</f>
        <v>45883</v>
      </c>
      <c r="E10" s="177"/>
      <c r="F10" s="177" t="s">
        <v>2865</v>
      </c>
      <c r="G10" s="177">
        <v>2018.0</v>
      </c>
      <c r="H10" s="177"/>
      <c r="I10" s="177"/>
      <c r="J10" s="177"/>
      <c r="K10" s="177"/>
      <c r="L10" s="177"/>
    </row>
    <row r="11">
      <c r="A11" s="180" t="s">
        <v>159</v>
      </c>
      <c r="B11" s="182" t="str">
        <f>VLOOKUP(A11,'Master List'!A:N,14,)</f>
        <v>Retro Classics: Atari 2600</v>
      </c>
      <c r="C11" s="175" t="str">
        <f>VLOOKUP(A11,'Master List'!A:E,2,)</f>
        <v>Xbox / PC</v>
      </c>
      <c r="D11" s="176">
        <f>VLOOKUP(A11,'Master List'!A:E,5,)</f>
        <v>45883</v>
      </c>
      <c r="E11" s="177"/>
      <c r="F11" s="177" t="s">
        <v>2866</v>
      </c>
      <c r="G11" s="177">
        <v>2018.0</v>
      </c>
      <c r="H11" s="177"/>
      <c r="I11" s="177"/>
      <c r="J11" s="177"/>
      <c r="K11" s="177"/>
      <c r="L11" s="177"/>
    </row>
    <row r="12">
      <c r="A12" s="180" t="s">
        <v>162</v>
      </c>
      <c r="B12" s="180" t="s">
        <v>2867</v>
      </c>
      <c r="C12" s="175" t="str">
        <f>VLOOKUP(A12,'Master List'!A:E,2,)</f>
        <v>Xbox / PC</v>
      </c>
      <c r="D12" s="176">
        <f>VLOOKUP(A12,'Master List'!A:E,5,)</f>
        <v>45876</v>
      </c>
      <c r="E12" s="177"/>
      <c r="F12" s="177" t="s">
        <v>2855</v>
      </c>
      <c r="G12" s="177">
        <v>2018.0</v>
      </c>
      <c r="H12" s="177"/>
      <c r="I12" s="177"/>
      <c r="J12" s="177"/>
      <c r="K12" s="177"/>
      <c r="L12" s="177"/>
    </row>
    <row r="13">
      <c r="A13" s="180" t="s">
        <v>166</v>
      </c>
      <c r="B13" s="174" t="s">
        <v>2855</v>
      </c>
      <c r="C13" s="175" t="str">
        <f>VLOOKUP(A13,'Master List'!A:E,2,)</f>
        <v>Xbox / PC</v>
      </c>
      <c r="D13" s="176">
        <f>VLOOKUP(A13,'Master List'!A:E,5,)</f>
        <v>45867</v>
      </c>
      <c r="E13" s="177"/>
      <c r="F13" s="177" t="s">
        <v>2868</v>
      </c>
      <c r="G13" s="177">
        <v>2018.0</v>
      </c>
      <c r="H13" s="177"/>
      <c r="I13" s="177"/>
      <c r="J13" s="177"/>
      <c r="K13" s="177"/>
      <c r="L13" s="177"/>
    </row>
    <row r="14">
      <c r="A14" s="180" t="s">
        <v>171</v>
      </c>
      <c r="B14" s="182" t="str">
        <f>VLOOKUP(A14,'Master List'!A:N,14,)</f>
        <v>Retro Classics: Amiga</v>
      </c>
      <c r="C14" s="175" t="str">
        <f>VLOOKUP(A14,'Master List'!A:E,2,)</f>
        <v>Xbox / PC</v>
      </c>
      <c r="D14" s="176">
        <f>VLOOKUP(A14,'Master List'!A:E,5,)</f>
        <v>45859</v>
      </c>
      <c r="E14" s="177"/>
      <c r="F14" s="177" t="s">
        <v>2869</v>
      </c>
      <c r="G14" s="177">
        <v>2018.0</v>
      </c>
      <c r="H14" s="177"/>
      <c r="I14" s="177"/>
      <c r="J14" s="177"/>
      <c r="K14" s="177"/>
      <c r="L14" s="177"/>
    </row>
    <row r="15">
      <c r="A15" s="180" t="s">
        <v>172</v>
      </c>
      <c r="B15" s="182" t="str">
        <f>VLOOKUP(A15,'Master List'!A:N,14,)</f>
        <v>Retro Classics: Amiga</v>
      </c>
      <c r="C15" s="175" t="str">
        <f>VLOOKUP(A15,'Master List'!A:E,2,)</f>
        <v>Xbox / PC</v>
      </c>
      <c r="D15" s="176">
        <f>VLOOKUP(A15,'Master List'!A:E,5,)</f>
        <v>45859</v>
      </c>
      <c r="E15" s="177"/>
      <c r="F15" s="177" t="s">
        <v>2870</v>
      </c>
      <c r="G15" s="177">
        <v>2019.0</v>
      </c>
      <c r="H15" s="177"/>
      <c r="I15" s="177"/>
      <c r="J15" s="177"/>
      <c r="K15" s="177"/>
      <c r="L15" s="177"/>
    </row>
    <row r="16">
      <c r="A16" s="180" t="s">
        <v>173</v>
      </c>
      <c r="B16" s="182" t="str">
        <f>VLOOKUP(A16,'Master List'!A:N,14,)</f>
        <v>Retro Classics: DOS</v>
      </c>
      <c r="C16" s="175" t="str">
        <f>VLOOKUP(A16,'Master List'!A:E,2,)</f>
        <v>Xbox / PC</v>
      </c>
      <c r="D16" s="176">
        <f>VLOOKUP(A16,'Master List'!A:E,5,)</f>
        <v>45859</v>
      </c>
      <c r="E16" s="177"/>
      <c r="F16" s="177" t="s">
        <v>2871</v>
      </c>
      <c r="G16" s="177">
        <v>2019.0</v>
      </c>
      <c r="H16" s="177"/>
      <c r="I16" s="177"/>
      <c r="J16" s="177"/>
      <c r="K16" s="177"/>
      <c r="L16" s="177"/>
    </row>
    <row r="17">
      <c r="A17" s="180" t="s">
        <v>175</v>
      </c>
      <c r="B17" s="182" t="str">
        <f>VLOOKUP(A17,'Master List'!A:N,14,)</f>
        <v>Retro Classics: Atari 2600</v>
      </c>
      <c r="C17" s="175" t="str">
        <f>VLOOKUP(A17,'Master List'!A:E,2,)</f>
        <v>Xbox / PC</v>
      </c>
      <c r="D17" s="176">
        <f>VLOOKUP(A17,'Master List'!A:E,5,)</f>
        <v>45859</v>
      </c>
      <c r="E17" s="177" t="s">
        <v>2872</v>
      </c>
      <c r="F17" s="177" t="s">
        <v>2873</v>
      </c>
      <c r="G17" s="177">
        <v>2021.0</v>
      </c>
      <c r="H17" s="177"/>
      <c r="I17" s="177"/>
      <c r="J17" s="177"/>
      <c r="K17" s="177"/>
      <c r="L17" s="177"/>
    </row>
    <row r="18">
      <c r="A18" s="180" t="s">
        <v>176</v>
      </c>
      <c r="B18" s="182" t="str">
        <f>VLOOKUP(A18,'Master List'!A:N,14,)</f>
        <v>Retro Classics: Atari 2600</v>
      </c>
      <c r="C18" s="175" t="str">
        <f>VLOOKUP(A18,'Master List'!A:E,2,)</f>
        <v>Xbox / PC</v>
      </c>
      <c r="D18" s="176">
        <f>VLOOKUP(A18,'Master List'!A:E,5,)</f>
        <v>45859</v>
      </c>
      <c r="E18" s="177" t="s">
        <v>2872</v>
      </c>
      <c r="F18" s="177" t="s">
        <v>2874</v>
      </c>
      <c r="G18" s="177">
        <v>2021.0</v>
      </c>
      <c r="H18" s="177"/>
      <c r="I18" s="177"/>
      <c r="J18" s="177"/>
      <c r="K18" s="177"/>
      <c r="L18" s="177"/>
    </row>
    <row r="19">
      <c r="A19" s="180" t="s">
        <v>177</v>
      </c>
      <c r="B19" s="182" t="str">
        <f>VLOOKUP(A19,'Master List'!A:N,14,)</f>
        <v>Retro Classics: Atari 2600</v>
      </c>
      <c r="C19" s="175" t="str">
        <f>VLOOKUP(A19,'Master List'!A:E,2,)</f>
        <v>Xbox / PC</v>
      </c>
      <c r="D19" s="176">
        <f>VLOOKUP(A19,'Master List'!A:E,5,)</f>
        <v>45859</v>
      </c>
      <c r="E19" s="177" t="s">
        <v>2872</v>
      </c>
      <c r="F19" s="177" t="s">
        <v>2875</v>
      </c>
      <c r="G19" s="177">
        <v>2021.0</v>
      </c>
      <c r="H19" s="177"/>
      <c r="I19" s="177"/>
      <c r="J19" s="177"/>
      <c r="K19" s="177"/>
      <c r="L19" s="177"/>
    </row>
    <row r="20">
      <c r="A20" s="180" t="s">
        <v>178</v>
      </c>
      <c r="B20" s="182" t="str">
        <f>VLOOKUP(A20,'Master List'!A:N,14,)</f>
        <v>Retro Classics: Atari 2600</v>
      </c>
      <c r="C20" s="175" t="str">
        <f>VLOOKUP(A20,'Master List'!A:E,2,)</f>
        <v>Xbox / PC</v>
      </c>
      <c r="D20" s="176">
        <f>VLOOKUP(A20,'Master List'!A:E,5,)</f>
        <v>45859</v>
      </c>
      <c r="E20" s="177" t="s">
        <v>2872</v>
      </c>
      <c r="F20" s="177" t="s">
        <v>2876</v>
      </c>
      <c r="G20" s="177">
        <v>2021.0</v>
      </c>
      <c r="H20" s="177"/>
      <c r="I20" s="177"/>
      <c r="J20" s="177"/>
      <c r="K20" s="177"/>
      <c r="L20" s="177"/>
    </row>
    <row r="21">
      <c r="A21" s="180" t="s">
        <v>194</v>
      </c>
      <c r="B21" s="182" t="str">
        <f>VLOOKUP(A21,'Master List'!A:N,14,)</f>
        <v>Retro Classics: Atari 2600</v>
      </c>
      <c r="C21" s="175" t="str">
        <f>VLOOKUP(A21,'Master List'!A:E,2,)</f>
        <v>Xbox / PC</v>
      </c>
      <c r="D21" s="176">
        <f>VLOOKUP(A21,'Master List'!A:E,5,)</f>
        <v>45839</v>
      </c>
      <c r="E21" s="177" t="s">
        <v>2872</v>
      </c>
      <c r="F21" s="177" t="s">
        <v>2872</v>
      </c>
      <c r="G21" s="177" t="s">
        <v>2877</v>
      </c>
      <c r="H21" s="177">
        <v>2021.0</v>
      </c>
      <c r="I21" s="177"/>
      <c r="J21" s="177"/>
      <c r="K21" s="177"/>
      <c r="L21" s="177"/>
    </row>
    <row r="22">
      <c r="A22" s="180" t="s">
        <v>195</v>
      </c>
      <c r="B22" s="182" t="str">
        <f>VLOOKUP(A22,'Master List'!A:N,14,)</f>
        <v>Retro Classics: DOS</v>
      </c>
      <c r="C22" s="175" t="str">
        <f>VLOOKUP(A22,'Master List'!A:E,2,)</f>
        <v>Xbox / PC</v>
      </c>
      <c r="D22" s="176">
        <f>VLOOKUP(A22,'Master List'!A:E,5,)</f>
        <v>45839</v>
      </c>
      <c r="E22" s="177" t="s">
        <v>2872</v>
      </c>
      <c r="F22" s="177" t="s">
        <v>2878</v>
      </c>
      <c r="G22" s="177">
        <v>2021.0</v>
      </c>
      <c r="H22" s="177">
        <v>2024.0</v>
      </c>
      <c r="I22" s="177"/>
      <c r="J22" s="177"/>
      <c r="K22" s="177"/>
      <c r="L22" s="177"/>
    </row>
    <row r="23">
      <c r="A23" s="180" t="s">
        <v>196</v>
      </c>
      <c r="B23" s="182" t="str">
        <f>VLOOKUP(A23,'Master List'!A:N,14,)</f>
        <v>Retro Classics: Atari 2600</v>
      </c>
      <c r="C23" s="175" t="str">
        <f>VLOOKUP(A23,'Master List'!A:E,2,)</f>
        <v>Xbox / PC</v>
      </c>
      <c r="D23" s="176">
        <f>VLOOKUP(A23,'Master List'!A:E,5,)</f>
        <v>45839</v>
      </c>
      <c r="E23" s="177" t="s">
        <v>2872</v>
      </c>
      <c r="F23" s="177" t="s">
        <v>2879</v>
      </c>
      <c r="G23" s="177">
        <v>2021.0</v>
      </c>
      <c r="H23" s="177">
        <v>2024.0</v>
      </c>
      <c r="I23" s="177"/>
      <c r="J23" s="177"/>
      <c r="K23" s="177"/>
      <c r="L23" s="177"/>
    </row>
    <row r="24">
      <c r="A24" s="180" t="s">
        <v>197</v>
      </c>
      <c r="B24" s="182" t="str">
        <f>VLOOKUP(A24,'Master List'!A:N,14,)</f>
        <v>Retro Classics: Atari 2600</v>
      </c>
      <c r="C24" s="175" t="str">
        <f>VLOOKUP(A24,'Master List'!A:E,2,)</f>
        <v>Xbox / PC</v>
      </c>
      <c r="D24" s="176">
        <f>VLOOKUP(A24,'Master List'!A:E,5,)</f>
        <v>45839</v>
      </c>
      <c r="E24" s="177" t="s">
        <v>2872</v>
      </c>
      <c r="F24" s="177" t="s">
        <v>2880</v>
      </c>
      <c r="G24" s="177">
        <v>2021.0</v>
      </c>
      <c r="H24" s="177">
        <v>2024.0</v>
      </c>
      <c r="I24" s="177"/>
      <c r="J24" s="177"/>
      <c r="K24" s="177"/>
      <c r="L24" s="177"/>
    </row>
    <row r="25">
      <c r="A25" s="180" t="s">
        <v>198</v>
      </c>
      <c r="B25" s="182" t="str">
        <f>VLOOKUP(A25,'Master List'!A:N,14,)</f>
        <v>Retro Classics: Atari 2600</v>
      </c>
      <c r="C25" s="175" t="str">
        <f>VLOOKUP(A25,'Master List'!A:E,2,)</f>
        <v>Xbox / PC</v>
      </c>
      <c r="D25" s="176">
        <f>VLOOKUP(A25,'Master List'!A:E,5,)</f>
        <v>45839</v>
      </c>
      <c r="E25" s="177" t="s">
        <v>2881</v>
      </c>
      <c r="F25" s="177" t="s">
        <v>2882</v>
      </c>
      <c r="G25" s="177">
        <v>2023.0</v>
      </c>
      <c r="H25" s="177"/>
      <c r="I25" s="177"/>
      <c r="J25" s="177"/>
      <c r="K25" s="177"/>
      <c r="L25" s="177"/>
    </row>
    <row r="26">
      <c r="A26" s="173" t="s">
        <v>203</v>
      </c>
      <c r="B26" s="180" t="s">
        <v>2883</v>
      </c>
      <c r="C26" s="175" t="str">
        <f>VLOOKUP(A26,'Master List'!A:E,2,)</f>
        <v>Xbox / PC</v>
      </c>
      <c r="D26" s="176">
        <f>VLOOKUP(A26,'Master List'!A:E,5,)</f>
        <v>45838</v>
      </c>
      <c r="E26" s="177" t="s">
        <v>2881</v>
      </c>
      <c r="F26" s="177" t="s">
        <v>2884</v>
      </c>
      <c r="G26" s="177">
        <v>2023.0</v>
      </c>
      <c r="H26" s="177"/>
      <c r="I26" s="177"/>
      <c r="J26" s="177"/>
      <c r="K26" s="177"/>
      <c r="L26" s="177"/>
    </row>
    <row r="27">
      <c r="A27" s="173" t="s">
        <v>204</v>
      </c>
      <c r="B27" s="180" t="s">
        <v>2885</v>
      </c>
      <c r="C27" s="175" t="str">
        <f>VLOOKUP(A27,'Master List'!A:E,2,)</f>
        <v>PC</v>
      </c>
      <c r="D27" s="176">
        <f>VLOOKUP(A27,'Master List'!A:E,5,)</f>
        <v>45834</v>
      </c>
      <c r="E27" s="177" t="s">
        <v>2881</v>
      </c>
      <c r="F27" s="177" t="s">
        <v>2886</v>
      </c>
      <c r="G27" s="177">
        <v>2023.0</v>
      </c>
      <c r="H27" s="177"/>
      <c r="I27" s="177"/>
      <c r="J27" s="177"/>
      <c r="K27" s="177"/>
      <c r="L27" s="177"/>
    </row>
    <row r="28">
      <c r="A28" s="173" t="s">
        <v>205</v>
      </c>
      <c r="B28" s="180" t="s">
        <v>2885</v>
      </c>
      <c r="C28" s="175" t="str">
        <f>VLOOKUP(A28,'Master List'!A:E,2,)</f>
        <v>PC</v>
      </c>
      <c r="D28" s="176">
        <f>VLOOKUP(A28,'Master List'!A:E,5,)</f>
        <v>45834</v>
      </c>
      <c r="E28" s="177" t="s">
        <v>2881</v>
      </c>
      <c r="F28" s="177" t="s">
        <v>2887</v>
      </c>
      <c r="G28" s="177">
        <v>2023.0</v>
      </c>
      <c r="H28" s="177"/>
      <c r="I28" s="177"/>
      <c r="J28" s="177"/>
      <c r="K28" s="177"/>
      <c r="L28" s="177"/>
    </row>
    <row r="29">
      <c r="A29" s="173" t="s">
        <v>206</v>
      </c>
      <c r="B29" s="180" t="s">
        <v>2885</v>
      </c>
      <c r="C29" s="175" t="str">
        <f>VLOOKUP(A29,'Master List'!A:E,2,)</f>
        <v>PC</v>
      </c>
      <c r="D29" s="176">
        <f>VLOOKUP(A29,'Master List'!A:E,5,)</f>
        <v>45834</v>
      </c>
      <c r="E29" s="177" t="s">
        <v>2881</v>
      </c>
      <c r="F29" s="177" t="s">
        <v>2888</v>
      </c>
      <c r="G29" s="177">
        <v>2023.0</v>
      </c>
      <c r="H29" s="177"/>
      <c r="I29" s="177"/>
      <c r="J29" s="177"/>
      <c r="K29" s="177"/>
      <c r="L29" s="177"/>
    </row>
    <row r="30">
      <c r="A30" s="180" t="s">
        <v>187</v>
      </c>
      <c r="B30" s="180" t="s">
        <v>2889</v>
      </c>
      <c r="C30" s="175" t="s">
        <v>27</v>
      </c>
      <c r="D30" s="176">
        <v>45792.0</v>
      </c>
      <c r="E30" s="177" t="s">
        <v>2881</v>
      </c>
      <c r="F30" s="177" t="s">
        <v>2890</v>
      </c>
      <c r="G30" s="177">
        <v>2023.0</v>
      </c>
      <c r="H30" s="177"/>
      <c r="I30" s="177"/>
      <c r="J30" s="177"/>
      <c r="K30" s="177"/>
      <c r="L30" s="177"/>
    </row>
    <row r="31">
      <c r="A31" s="180" t="s">
        <v>210</v>
      </c>
      <c r="B31" s="180" t="s">
        <v>2891</v>
      </c>
      <c r="C31" s="175" t="s">
        <v>27</v>
      </c>
      <c r="D31" s="176">
        <v>45792.0</v>
      </c>
      <c r="E31" s="177" t="s">
        <v>2881</v>
      </c>
      <c r="F31" s="177" t="s">
        <v>2892</v>
      </c>
      <c r="G31" s="177">
        <v>2023.0</v>
      </c>
      <c r="H31" s="177"/>
      <c r="I31" s="177"/>
      <c r="J31" s="177"/>
      <c r="K31" s="177"/>
      <c r="L31" s="177"/>
    </row>
    <row r="32">
      <c r="A32" s="180" t="s">
        <v>227</v>
      </c>
      <c r="B32" s="182" t="str">
        <f>VLOOKUP(A32,'Master List'!A:N,14,)</f>
        <v>Retro Classics: Atari 2600, Publisher</v>
      </c>
      <c r="C32" s="175" t="s">
        <v>27</v>
      </c>
      <c r="D32" s="176">
        <v>45792.0</v>
      </c>
      <c r="E32" s="177" t="s">
        <v>2881</v>
      </c>
      <c r="F32" s="177" t="s">
        <v>2893</v>
      </c>
      <c r="G32" s="177">
        <v>2023.0</v>
      </c>
      <c r="H32" s="177"/>
      <c r="I32" s="177"/>
      <c r="J32" s="177"/>
      <c r="K32" s="177"/>
      <c r="L32" s="177"/>
    </row>
    <row r="33">
      <c r="A33" s="180" t="s">
        <v>229</v>
      </c>
      <c r="B33" s="182" t="str">
        <f>VLOOKUP(A33,'Master List'!A:N,14,)</f>
        <v>Retro Classics: Atari 2600</v>
      </c>
      <c r="C33" s="175" t="s">
        <v>27</v>
      </c>
      <c r="D33" s="176">
        <v>45792.0</v>
      </c>
      <c r="E33" s="177" t="s">
        <v>2881</v>
      </c>
      <c r="F33" s="177" t="s">
        <v>2894</v>
      </c>
      <c r="G33" s="177">
        <v>2023.0</v>
      </c>
      <c r="H33" s="177"/>
      <c r="I33" s="177"/>
      <c r="J33" s="177"/>
      <c r="K33" s="177"/>
      <c r="L33" s="177"/>
    </row>
    <row r="34">
      <c r="A34" s="180" t="s">
        <v>230</v>
      </c>
      <c r="B34" s="182" t="str">
        <f>VLOOKUP(A34,'Master List'!A:N,14,)</f>
        <v>Retro Classics: Atari 2600</v>
      </c>
      <c r="C34" s="175" t="s">
        <v>27</v>
      </c>
      <c r="D34" s="176">
        <v>45792.0</v>
      </c>
      <c r="E34" s="177" t="s">
        <v>2881</v>
      </c>
      <c r="F34" s="177" t="s">
        <v>2885</v>
      </c>
      <c r="G34" s="177">
        <v>2023.0</v>
      </c>
      <c r="H34" s="177"/>
      <c r="I34" s="177"/>
      <c r="J34" s="177"/>
      <c r="K34" s="177"/>
      <c r="L34" s="177"/>
    </row>
    <row r="35">
      <c r="A35" s="180" t="s">
        <v>231</v>
      </c>
      <c r="B35" s="182" t="str">
        <f>VLOOKUP(A35,'Master List'!A:N,14,)</f>
        <v>Retro Classics: Atari 2600</v>
      </c>
      <c r="C35" s="175" t="s">
        <v>27</v>
      </c>
      <c r="D35" s="176">
        <v>45792.0</v>
      </c>
      <c r="E35" s="177" t="s">
        <v>2881</v>
      </c>
      <c r="F35" s="177" t="s">
        <v>2895</v>
      </c>
      <c r="G35" s="177">
        <v>2023.0</v>
      </c>
      <c r="H35" s="177"/>
      <c r="I35" s="177"/>
      <c r="J35" s="177"/>
      <c r="K35" s="177"/>
      <c r="L35" s="177"/>
    </row>
    <row r="36">
      <c r="A36" s="180" t="s">
        <v>232</v>
      </c>
      <c r="B36" s="182" t="str">
        <f>VLOOKUP(A36,'Master List'!A:N,14,)</f>
        <v>Retro Classics: Atari 2600</v>
      </c>
      <c r="C36" s="175" t="s">
        <v>27</v>
      </c>
      <c r="D36" s="176">
        <v>45792.0</v>
      </c>
      <c r="E36" s="183" t="s">
        <v>2896</v>
      </c>
      <c r="F36" s="184"/>
      <c r="G36" s="184"/>
      <c r="H36" s="184"/>
    </row>
    <row r="37">
      <c r="A37" s="180" t="s">
        <v>233</v>
      </c>
      <c r="B37" s="182" t="str">
        <f>VLOOKUP(A37,'Master List'!A:N,14,)</f>
        <v>Retro Classics: Atari 2600</v>
      </c>
      <c r="C37" s="175" t="s">
        <v>27</v>
      </c>
      <c r="D37" s="176">
        <v>45792.0</v>
      </c>
      <c r="E37" s="177"/>
      <c r="F37" s="177"/>
      <c r="G37" s="177"/>
      <c r="H37" s="177"/>
      <c r="I37" s="177"/>
      <c r="J37" s="177"/>
      <c r="K37" s="177"/>
      <c r="L37" s="177"/>
    </row>
    <row r="38">
      <c r="A38" s="180" t="s">
        <v>234</v>
      </c>
      <c r="B38" s="182" t="str">
        <f>VLOOKUP(A38,'Master List'!A:N,14,)</f>
        <v>Retro Classics: Atari 2600</v>
      </c>
      <c r="C38" s="175" t="s">
        <v>27</v>
      </c>
      <c r="D38" s="176">
        <v>45792.0</v>
      </c>
      <c r="E38" s="185" t="s">
        <v>2897</v>
      </c>
      <c r="F38" s="181"/>
      <c r="G38" s="181"/>
      <c r="H38" s="181"/>
      <c r="I38" s="181"/>
      <c r="J38" s="181"/>
      <c r="K38" s="181"/>
      <c r="L38" s="181"/>
    </row>
    <row r="39">
      <c r="A39" s="180" t="s">
        <v>235</v>
      </c>
      <c r="B39" s="182" t="str">
        <f>VLOOKUP(A39,'Master List'!A:N,14,)</f>
        <v>Retro Classics: Atari 2600</v>
      </c>
      <c r="C39" s="175" t="s">
        <v>27</v>
      </c>
      <c r="D39" s="176">
        <v>45792.0</v>
      </c>
      <c r="E39" s="185" t="s">
        <v>2898</v>
      </c>
      <c r="F39" s="181"/>
      <c r="G39" s="181"/>
      <c r="H39" s="181"/>
      <c r="I39" s="181"/>
      <c r="J39" s="181"/>
      <c r="K39" s="181"/>
      <c r="L39" s="181"/>
    </row>
    <row r="40">
      <c r="A40" s="180" t="s">
        <v>236</v>
      </c>
      <c r="B40" s="182" t="str">
        <f>VLOOKUP(A40,'Master List'!A:N,14,)</f>
        <v>Retro Classics: Atari 2600</v>
      </c>
      <c r="C40" s="175" t="s">
        <v>27</v>
      </c>
      <c r="D40" s="176">
        <v>45792.0</v>
      </c>
      <c r="E40" s="186" t="s">
        <v>2899</v>
      </c>
      <c r="F40" s="181"/>
      <c r="G40" s="181"/>
      <c r="H40" s="181"/>
      <c r="I40" s="181"/>
      <c r="J40" s="181"/>
      <c r="K40" s="181"/>
      <c r="L40" s="181"/>
    </row>
    <row r="41">
      <c r="A41" s="180" t="s">
        <v>237</v>
      </c>
      <c r="B41" s="182" t="str">
        <f>VLOOKUP(A41,'Master List'!A:N,14,)</f>
        <v>Retro Classics: DOS, Sierra Entertainment (defunct) publisher</v>
      </c>
      <c r="C41" s="175" t="s">
        <v>27</v>
      </c>
      <c r="D41" s="176">
        <v>45792.0</v>
      </c>
      <c r="E41" s="186" t="s">
        <v>2900</v>
      </c>
      <c r="F41" s="181"/>
      <c r="G41" s="181"/>
      <c r="H41" s="181"/>
      <c r="I41" s="181"/>
      <c r="J41" s="181"/>
      <c r="K41" s="181"/>
      <c r="L41" s="181"/>
    </row>
    <row r="42">
      <c r="A42" s="180" t="s">
        <v>239</v>
      </c>
      <c r="B42" s="182" t="str">
        <f>VLOOKUP(A42,'Master List'!A:N,14,)</f>
        <v>Retro Classics: Atari 2600</v>
      </c>
      <c r="C42" s="175" t="s">
        <v>27</v>
      </c>
      <c r="D42" s="176">
        <v>45792.0</v>
      </c>
      <c r="E42" s="187" t="s">
        <v>2901</v>
      </c>
      <c r="F42" s="177"/>
      <c r="G42" s="177"/>
      <c r="H42" s="177"/>
      <c r="I42" s="177"/>
      <c r="J42" s="177"/>
      <c r="K42" s="177"/>
      <c r="L42" s="177"/>
    </row>
    <row r="43">
      <c r="A43" s="180" t="s">
        <v>240</v>
      </c>
      <c r="B43" s="182" t="str">
        <f>VLOOKUP(A43,'Master List'!A:N,14,)</f>
        <v>Retro Classics: Atari 2600</v>
      </c>
      <c r="C43" s="175" t="s">
        <v>27</v>
      </c>
      <c r="D43" s="176">
        <v>45792.0</v>
      </c>
      <c r="E43" s="187" t="s">
        <v>2902</v>
      </c>
      <c r="F43" s="177"/>
      <c r="G43" s="177"/>
      <c r="H43" s="177"/>
      <c r="I43" s="177"/>
      <c r="J43" s="177"/>
      <c r="K43" s="177"/>
      <c r="L43" s="177"/>
    </row>
    <row r="44">
      <c r="A44" s="180" t="s">
        <v>241</v>
      </c>
      <c r="B44" s="182" t="str">
        <f>VLOOKUP(A44,'Master List'!A:N,14,)</f>
        <v>Retro Classics: Atari 2600</v>
      </c>
      <c r="C44" s="175" t="s">
        <v>27</v>
      </c>
      <c r="D44" s="176">
        <v>45792.0</v>
      </c>
      <c r="E44" s="187" t="s">
        <v>2903</v>
      </c>
      <c r="F44" s="181"/>
      <c r="G44" s="181"/>
      <c r="H44" s="181"/>
      <c r="I44" s="181"/>
      <c r="J44" s="181"/>
      <c r="K44" s="181"/>
      <c r="L44" s="181"/>
    </row>
    <row r="45">
      <c r="A45" s="180" t="s">
        <v>242</v>
      </c>
      <c r="B45" s="182" t="str">
        <f>VLOOKUP(A45,'Master List'!A:N,14,)</f>
        <v>Retro Classics: DOS, Sierra Entertainment (defunct) publisher</v>
      </c>
      <c r="C45" s="175" t="s">
        <v>27</v>
      </c>
      <c r="D45" s="176">
        <v>45792.0</v>
      </c>
      <c r="E45" s="177" t="s">
        <v>2904</v>
      </c>
      <c r="F45" s="181"/>
      <c r="G45" s="181"/>
      <c r="H45" s="181"/>
      <c r="I45" s="181"/>
      <c r="J45" s="181"/>
      <c r="K45" s="181"/>
      <c r="L45" s="181"/>
    </row>
    <row r="46">
      <c r="A46" s="180" t="s">
        <v>243</v>
      </c>
      <c r="B46" s="182" t="str">
        <f>VLOOKUP(A46,'Master List'!A:N,14,)</f>
        <v>Retro Classics: Atari 2600</v>
      </c>
      <c r="C46" s="175" t="s">
        <v>27</v>
      </c>
      <c r="D46" s="176">
        <v>45792.0</v>
      </c>
      <c r="E46" s="186" t="s">
        <v>2905</v>
      </c>
      <c r="F46" s="177"/>
      <c r="G46" s="177"/>
      <c r="H46" s="177"/>
      <c r="I46" s="177"/>
      <c r="J46" s="177"/>
      <c r="K46" s="177"/>
      <c r="L46" s="177"/>
    </row>
    <row r="47">
      <c r="A47" s="180" t="s">
        <v>244</v>
      </c>
      <c r="B47" s="182" t="str">
        <f>VLOOKUP(A47,'Master List'!A:N,14,)</f>
        <v>Retro Classics: Atari 2600</v>
      </c>
      <c r="C47" s="175" t="s">
        <v>27</v>
      </c>
      <c r="D47" s="176">
        <v>45792.0</v>
      </c>
      <c r="E47" s="186" t="s">
        <v>2906</v>
      </c>
      <c r="F47" s="181"/>
      <c r="G47" s="181"/>
      <c r="H47" s="181"/>
      <c r="I47" s="181"/>
      <c r="J47" s="181"/>
      <c r="K47" s="181"/>
      <c r="L47" s="181"/>
    </row>
    <row r="48">
      <c r="A48" s="180" t="s">
        <v>245</v>
      </c>
      <c r="B48" s="182" t="str">
        <f>VLOOKUP(A48,'Master List'!A:N,14,)</f>
        <v>Retro Classics: Atari 2600</v>
      </c>
      <c r="C48" s="175" t="s">
        <v>27</v>
      </c>
      <c r="D48" s="176">
        <v>45792.0</v>
      </c>
      <c r="E48" s="177" t="s">
        <v>2907</v>
      </c>
      <c r="F48" s="181"/>
      <c r="G48" s="181"/>
      <c r="H48" s="181"/>
      <c r="I48" s="181"/>
      <c r="J48" s="181"/>
      <c r="K48" s="181"/>
      <c r="L48" s="181"/>
    </row>
    <row r="49">
      <c r="A49" s="180" t="s">
        <v>246</v>
      </c>
      <c r="B49" s="182" t="str">
        <f>VLOOKUP(A49,'Master List'!A:N,14,)</f>
        <v>Retro Classics: Atari 2600</v>
      </c>
      <c r="C49" s="175" t="s">
        <v>27</v>
      </c>
      <c r="D49" s="176">
        <v>45792.0</v>
      </c>
      <c r="E49" s="186" t="s">
        <v>2908</v>
      </c>
      <c r="F49" s="181"/>
      <c r="G49" s="181"/>
      <c r="H49" s="181"/>
      <c r="I49" s="181"/>
      <c r="J49" s="181"/>
      <c r="K49" s="181"/>
      <c r="L49" s="181"/>
    </row>
    <row r="50">
      <c r="A50" s="180" t="s">
        <v>247</v>
      </c>
      <c r="B50" s="182" t="str">
        <f>VLOOKUP(A50,'Master List'!A:N,14,)</f>
        <v>Retro Classics: Atari 2600</v>
      </c>
      <c r="C50" s="175" t="s">
        <v>27</v>
      </c>
      <c r="D50" s="176">
        <v>45792.0</v>
      </c>
      <c r="E50" s="186" t="s">
        <v>2909</v>
      </c>
      <c r="F50" s="181"/>
      <c r="G50" s="181"/>
      <c r="H50" s="181"/>
      <c r="I50" s="181"/>
      <c r="J50" s="181"/>
      <c r="K50" s="181"/>
      <c r="L50" s="181"/>
    </row>
    <row r="51">
      <c r="A51" s="180" t="s">
        <v>248</v>
      </c>
      <c r="B51" s="182" t="str">
        <f>VLOOKUP(A51,'Master List'!A:N,14,)</f>
        <v>Retro Classics: Atari 2600</v>
      </c>
      <c r="C51" s="175" t="s">
        <v>27</v>
      </c>
      <c r="D51" s="176">
        <v>45792.0</v>
      </c>
      <c r="E51" s="186" t="s">
        <v>2910</v>
      </c>
      <c r="F51" s="181"/>
      <c r="G51" s="181"/>
      <c r="H51" s="181"/>
      <c r="I51" s="181"/>
      <c r="J51" s="181"/>
      <c r="K51" s="181"/>
      <c r="L51" s="181"/>
    </row>
    <row r="52">
      <c r="A52" s="180" t="s">
        <v>249</v>
      </c>
      <c r="B52" s="182" t="str">
        <f>VLOOKUP(A52,'Master List'!A:N,14,)</f>
        <v>Retro Classics: Atari 2600</v>
      </c>
      <c r="C52" s="175" t="s">
        <v>27</v>
      </c>
      <c r="D52" s="176">
        <v>45792.0</v>
      </c>
      <c r="E52" s="186" t="s">
        <v>2911</v>
      </c>
      <c r="F52" s="177"/>
      <c r="G52" s="177"/>
      <c r="H52" s="177"/>
      <c r="I52" s="177"/>
      <c r="J52" s="177"/>
      <c r="K52" s="177"/>
      <c r="L52" s="177"/>
    </row>
    <row r="53">
      <c r="A53" s="180" t="s">
        <v>250</v>
      </c>
      <c r="B53" s="182" t="str">
        <f>VLOOKUP(A53,'Master List'!A:N,14,)</f>
        <v>Retro Classics: Atari 2600</v>
      </c>
      <c r="C53" s="175" t="s">
        <v>27</v>
      </c>
      <c r="D53" s="176">
        <v>45792.0</v>
      </c>
      <c r="E53" s="186" t="s">
        <v>2912</v>
      </c>
      <c r="F53" s="177"/>
      <c r="G53" s="177"/>
      <c r="H53" s="177"/>
      <c r="I53" s="177"/>
      <c r="J53" s="177"/>
      <c r="K53" s="177"/>
      <c r="L53" s="177"/>
    </row>
    <row r="54">
      <c r="A54" s="180" t="s">
        <v>251</v>
      </c>
      <c r="B54" s="182" t="str">
        <f>VLOOKUP(A54,'Master List'!A:N,14,)</f>
        <v>Retro Classics: Atari 2600</v>
      </c>
      <c r="C54" s="175" t="s">
        <v>27</v>
      </c>
      <c r="D54" s="176">
        <v>45792.0</v>
      </c>
      <c r="E54" s="186" t="s">
        <v>2913</v>
      </c>
      <c r="F54" s="177"/>
      <c r="G54" s="177"/>
      <c r="H54" s="177"/>
      <c r="I54" s="177"/>
      <c r="J54" s="177"/>
      <c r="K54" s="177"/>
      <c r="L54" s="177"/>
    </row>
    <row r="55">
      <c r="A55" s="180" t="s">
        <v>252</v>
      </c>
      <c r="B55" s="182" t="str">
        <f>VLOOKUP(A55,'Master List'!A:N,14,)</f>
        <v>Retro Classics: Atari 2600</v>
      </c>
      <c r="C55" s="175" t="s">
        <v>27</v>
      </c>
      <c r="D55" s="176">
        <v>45792.0</v>
      </c>
      <c r="E55" s="186" t="s">
        <v>2914</v>
      </c>
      <c r="F55" s="177"/>
      <c r="G55" s="177"/>
      <c r="H55" s="177"/>
      <c r="I55" s="177"/>
      <c r="J55" s="177"/>
      <c r="K55" s="177"/>
      <c r="L55" s="177"/>
    </row>
    <row r="56">
      <c r="A56" s="180" t="s">
        <v>253</v>
      </c>
      <c r="B56" s="182" t="str">
        <f>VLOOKUP(A56,'Master List'!A:N,14,)</f>
        <v>Retro Classics: DOS, Sierra Entertainment (defunct) publisher</v>
      </c>
      <c r="C56" s="175" t="s">
        <v>27</v>
      </c>
      <c r="D56" s="176">
        <v>45792.0</v>
      </c>
      <c r="E56" s="177" t="s">
        <v>2915</v>
      </c>
      <c r="F56" s="177"/>
      <c r="G56" s="177"/>
      <c r="H56" s="177"/>
      <c r="I56" s="177"/>
      <c r="J56" s="177"/>
      <c r="K56" s="177"/>
      <c r="L56" s="177"/>
    </row>
    <row r="57">
      <c r="A57" s="180" t="s">
        <v>254</v>
      </c>
      <c r="B57" s="182" t="str">
        <f>VLOOKUP(A57,'Master List'!A:N,14,)</f>
        <v>Retro Classics: Atari 2600</v>
      </c>
      <c r="C57" s="175" t="s">
        <v>27</v>
      </c>
      <c r="D57" s="176">
        <v>45792.0</v>
      </c>
      <c r="E57" s="186" t="s">
        <v>2916</v>
      </c>
      <c r="F57" s="177"/>
      <c r="G57" s="177"/>
      <c r="H57" s="177"/>
      <c r="I57" s="177"/>
      <c r="J57" s="177"/>
      <c r="K57" s="177"/>
      <c r="L57" s="177"/>
    </row>
    <row r="58">
      <c r="A58" s="180" t="s">
        <v>255</v>
      </c>
      <c r="B58" s="182" t="str">
        <f>VLOOKUP(A58,'Master List'!A:N,14,)</f>
        <v>Retro Classics: Atari 2600</v>
      </c>
      <c r="C58" s="175" t="s">
        <v>27</v>
      </c>
      <c r="D58" s="176">
        <v>45792.0</v>
      </c>
      <c r="E58" s="186" t="s">
        <v>2917</v>
      </c>
      <c r="F58" s="181"/>
      <c r="G58" s="181"/>
      <c r="H58" s="181"/>
      <c r="I58" s="181"/>
      <c r="J58" s="181"/>
      <c r="K58" s="181"/>
      <c r="L58" s="181"/>
    </row>
    <row r="59">
      <c r="A59" s="180" t="s">
        <v>256</v>
      </c>
      <c r="B59" s="182" t="str">
        <f>VLOOKUP(A59,'Master List'!A:N,14,)</f>
        <v>Retro Classics: Atari 2600</v>
      </c>
      <c r="C59" s="175" t="s">
        <v>27</v>
      </c>
      <c r="D59" s="176">
        <v>45792.0</v>
      </c>
      <c r="E59" s="186" t="s">
        <v>2918</v>
      </c>
      <c r="F59" s="177"/>
      <c r="G59" s="177"/>
      <c r="H59" s="177"/>
      <c r="I59" s="177"/>
      <c r="J59" s="177"/>
      <c r="K59" s="177"/>
      <c r="L59" s="177"/>
    </row>
    <row r="60">
      <c r="A60" s="180" t="s">
        <v>257</v>
      </c>
      <c r="B60" s="182" t="str">
        <f>VLOOKUP(A60,'Master List'!A:N,14,)</f>
        <v>Retro Classics: Atari 2600</v>
      </c>
      <c r="C60" s="175" t="s">
        <v>27</v>
      </c>
      <c r="D60" s="176">
        <v>45792.0</v>
      </c>
      <c r="E60" s="177" t="s">
        <v>2919</v>
      </c>
      <c r="F60" s="177"/>
      <c r="G60" s="177"/>
      <c r="H60" s="177"/>
      <c r="I60" s="177"/>
      <c r="J60" s="177"/>
      <c r="K60" s="177"/>
      <c r="L60" s="177"/>
    </row>
    <row r="61">
      <c r="A61" s="180" t="s">
        <v>258</v>
      </c>
      <c r="B61" s="182" t="str">
        <f>VLOOKUP(A61,'Master List'!A:N,14,)</f>
        <v>Retro Classics: Atari 2600</v>
      </c>
      <c r="C61" s="175" t="s">
        <v>27</v>
      </c>
      <c r="D61" s="176">
        <v>45792.0</v>
      </c>
    </row>
    <row r="62">
      <c r="A62" s="180" t="s">
        <v>259</v>
      </c>
      <c r="B62" s="182" t="str">
        <f>VLOOKUP(A62,'Master List'!A:N,14,)</f>
        <v>Retro Classics: Atari 2600</v>
      </c>
      <c r="C62" s="175" t="s">
        <v>27</v>
      </c>
      <c r="D62" s="176">
        <v>45792.0</v>
      </c>
      <c r="E62" s="177"/>
      <c r="F62" s="177"/>
      <c r="G62" s="177"/>
      <c r="H62" s="177"/>
      <c r="I62" s="177"/>
      <c r="J62" s="177"/>
      <c r="K62" s="177"/>
      <c r="L62" s="177"/>
    </row>
    <row r="63">
      <c r="A63" s="180" t="s">
        <v>260</v>
      </c>
      <c r="B63" s="182" t="str">
        <f>VLOOKUP(A63,'Master List'!A:N,14,)</f>
        <v>Retro Classics: SNES</v>
      </c>
      <c r="C63" s="175" t="s">
        <v>27</v>
      </c>
      <c r="D63" s="176">
        <v>45792.0</v>
      </c>
      <c r="E63" s="177"/>
      <c r="F63" s="177"/>
      <c r="G63" s="177"/>
      <c r="H63" s="177"/>
      <c r="I63" s="177"/>
      <c r="J63" s="177"/>
      <c r="K63" s="177"/>
      <c r="L63" s="177"/>
    </row>
    <row r="64">
      <c r="A64" s="180" t="s">
        <v>262</v>
      </c>
      <c r="B64" s="182" t="str">
        <f>VLOOKUP(A64,'Master List'!A:N,14,)</f>
        <v>Retro Classics: PSX</v>
      </c>
      <c r="C64" s="175" t="s">
        <v>27</v>
      </c>
      <c r="D64" s="176">
        <v>45792.0</v>
      </c>
      <c r="E64" s="177"/>
      <c r="F64" s="177"/>
      <c r="G64" s="177"/>
      <c r="H64" s="177"/>
      <c r="I64" s="177"/>
      <c r="J64" s="177"/>
      <c r="K64" s="177"/>
      <c r="L64" s="177"/>
    </row>
    <row r="65">
      <c r="A65" s="180" t="s">
        <v>264</v>
      </c>
      <c r="B65" s="182" t="str">
        <f>VLOOKUP(A65,'Master List'!A:N,14,)</f>
        <v>Retro Classics: Atari 2600</v>
      </c>
      <c r="C65" s="175" t="s">
        <v>27</v>
      </c>
      <c r="D65" s="176">
        <v>45792.0</v>
      </c>
      <c r="E65" s="177"/>
      <c r="F65" s="177"/>
      <c r="G65" s="177"/>
      <c r="H65" s="177"/>
      <c r="I65" s="177"/>
      <c r="J65" s="177"/>
      <c r="K65" s="177"/>
      <c r="L65" s="177"/>
    </row>
    <row r="66">
      <c r="A66" s="180" t="s">
        <v>265</v>
      </c>
      <c r="B66" s="182" t="str">
        <f>VLOOKUP(A66,'Master List'!A:N,14,)</f>
        <v>Retro Classics: Atari 2600</v>
      </c>
      <c r="C66" s="175" t="s">
        <v>27</v>
      </c>
      <c r="D66" s="176">
        <v>45792.0</v>
      </c>
      <c r="E66" s="177"/>
      <c r="F66" s="177"/>
      <c r="G66" s="177"/>
      <c r="H66" s="177"/>
      <c r="I66" s="177"/>
      <c r="J66" s="177"/>
      <c r="K66" s="177"/>
      <c r="L66" s="177"/>
    </row>
    <row r="67">
      <c r="A67" s="180" t="s">
        <v>266</v>
      </c>
      <c r="B67" s="182" t="str">
        <f>VLOOKUP(A67,'Master List'!A:N,14,)</f>
        <v>Retro Classics: Atari 2600</v>
      </c>
      <c r="C67" s="175" t="s">
        <v>27</v>
      </c>
      <c r="D67" s="176">
        <v>45792.0</v>
      </c>
      <c r="E67" s="181"/>
      <c r="F67" s="181"/>
      <c r="G67" s="181"/>
      <c r="H67" s="181"/>
      <c r="I67" s="181"/>
      <c r="J67" s="181"/>
      <c r="K67" s="181"/>
      <c r="L67" s="181"/>
    </row>
    <row r="68">
      <c r="A68" s="180" t="s">
        <v>267</v>
      </c>
      <c r="B68" s="182" t="str">
        <f>VLOOKUP(A68,'Master List'!A:N,14,)</f>
        <v>Retro Classics: Amiga, Sierra Entertainment (defunct) publisher</v>
      </c>
      <c r="C68" s="175" t="s">
        <v>27</v>
      </c>
      <c r="D68" s="176">
        <v>45792.0</v>
      </c>
      <c r="E68" s="181"/>
      <c r="F68" s="181"/>
      <c r="G68" s="181"/>
      <c r="H68" s="181"/>
      <c r="I68" s="181"/>
      <c r="J68" s="181"/>
      <c r="K68" s="181"/>
      <c r="L68" s="181"/>
    </row>
    <row r="69">
      <c r="A69" s="180" t="s">
        <v>269</v>
      </c>
      <c r="B69" s="182" t="str">
        <f>VLOOKUP(A69,'Master List'!A:N,14,)</f>
        <v>Retro Classics: Atari 2600</v>
      </c>
      <c r="C69" s="175" t="s">
        <v>27</v>
      </c>
      <c r="D69" s="176">
        <v>45792.0</v>
      </c>
      <c r="E69" s="177"/>
      <c r="F69" s="177"/>
      <c r="G69" s="177"/>
      <c r="H69" s="177"/>
      <c r="I69" s="177"/>
      <c r="J69" s="177"/>
      <c r="K69" s="177"/>
      <c r="L69" s="177"/>
    </row>
    <row r="70">
      <c r="A70" s="180" t="s">
        <v>270</v>
      </c>
      <c r="B70" s="182" t="str">
        <f>VLOOKUP(A70,'Master List'!A:N,14,)</f>
        <v>Retro Classics: DOS, Sierra Entertainment (defunct) publisher</v>
      </c>
      <c r="C70" s="175" t="s">
        <v>27</v>
      </c>
      <c r="D70" s="176">
        <v>45792.0</v>
      </c>
      <c r="E70" s="177"/>
      <c r="F70" s="177"/>
      <c r="G70" s="177"/>
      <c r="H70" s="177"/>
      <c r="I70" s="177"/>
      <c r="J70" s="177"/>
      <c r="K70" s="177"/>
      <c r="L70" s="177"/>
    </row>
    <row r="71">
      <c r="A71" s="180" t="s">
        <v>271</v>
      </c>
      <c r="B71" s="182" t="str">
        <f>VLOOKUP(A71,'Master List'!A:N,14,)</f>
        <v>Retro Classics: Atari 2600</v>
      </c>
      <c r="C71" s="175" t="s">
        <v>27</v>
      </c>
      <c r="D71" s="176">
        <v>45792.0</v>
      </c>
      <c r="E71" s="177"/>
      <c r="F71" s="177"/>
      <c r="G71" s="177"/>
      <c r="H71" s="177"/>
      <c r="I71" s="177"/>
      <c r="J71" s="177"/>
      <c r="K71" s="177"/>
      <c r="L71" s="177"/>
    </row>
    <row r="72">
      <c r="A72" s="180" t="s">
        <v>272</v>
      </c>
      <c r="B72" s="182" t="str">
        <f>VLOOKUP(A72,'Master List'!A:N,14,)</f>
        <v>Retro Classics: Atari 2600</v>
      </c>
      <c r="C72" s="175" t="s">
        <v>27</v>
      </c>
      <c r="D72" s="176">
        <v>45792.0</v>
      </c>
      <c r="E72" s="181"/>
      <c r="F72" s="181"/>
      <c r="G72" s="181"/>
      <c r="H72" s="181"/>
      <c r="I72" s="181"/>
      <c r="J72" s="181"/>
      <c r="K72" s="181"/>
      <c r="L72" s="181"/>
    </row>
    <row r="73">
      <c r="A73" s="180" t="s">
        <v>273</v>
      </c>
      <c r="B73" s="182" t="str">
        <f>VLOOKUP(A73,'Master List'!A:N,14,)</f>
        <v>Retro Classics: Atari 2600</v>
      </c>
      <c r="C73" s="175" t="s">
        <v>27</v>
      </c>
      <c r="D73" s="176">
        <v>45792.0</v>
      </c>
      <c r="E73" s="177"/>
      <c r="F73" s="177"/>
      <c r="G73" s="177"/>
      <c r="H73" s="177"/>
      <c r="I73" s="177"/>
      <c r="J73" s="177"/>
      <c r="K73" s="177"/>
      <c r="L73" s="177"/>
    </row>
    <row r="74">
      <c r="A74" s="180" t="s">
        <v>274</v>
      </c>
      <c r="B74" s="182" t="str">
        <f>VLOOKUP(A74,'Master List'!A:N,14,)</f>
        <v>Retro Classics: Atari 2600</v>
      </c>
      <c r="C74" s="175" t="s">
        <v>27</v>
      </c>
      <c r="D74" s="176">
        <v>45792.0</v>
      </c>
      <c r="E74" s="177"/>
      <c r="F74" s="177"/>
      <c r="G74" s="177"/>
      <c r="H74" s="177"/>
      <c r="I74" s="177"/>
      <c r="J74" s="177"/>
      <c r="K74" s="177"/>
      <c r="L74" s="177"/>
    </row>
    <row r="75">
      <c r="A75" s="180" t="s">
        <v>275</v>
      </c>
      <c r="B75" s="182" t="str">
        <f>VLOOKUP(A75,'Master List'!A:N,14,)</f>
        <v>Retro Classics: Atari 2600</v>
      </c>
      <c r="C75" s="175" t="s">
        <v>27</v>
      </c>
      <c r="D75" s="176">
        <v>45792.0</v>
      </c>
      <c r="E75" s="177"/>
      <c r="F75" s="177"/>
      <c r="G75" s="177"/>
      <c r="H75" s="177"/>
      <c r="I75" s="177"/>
      <c r="J75" s="177"/>
      <c r="K75" s="177"/>
      <c r="L75" s="177"/>
    </row>
    <row r="76">
      <c r="A76" s="180" t="s">
        <v>276</v>
      </c>
      <c r="B76" s="182" t="str">
        <f>VLOOKUP(A76,'Master List'!A:N,14,)</f>
        <v>Retro Classics: Amiga, Sierra Entertainment (defunct) publisher</v>
      </c>
      <c r="C76" s="175" t="s">
        <v>27</v>
      </c>
      <c r="D76" s="176">
        <v>45792.0</v>
      </c>
      <c r="E76" s="177"/>
      <c r="F76" s="177"/>
      <c r="G76" s="177"/>
      <c r="H76" s="177"/>
      <c r="I76" s="177"/>
      <c r="J76" s="177"/>
      <c r="K76" s="177"/>
      <c r="L76" s="177"/>
    </row>
    <row r="77">
      <c r="A77" s="180" t="s">
        <v>277</v>
      </c>
      <c r="B77" s="182" t="str">
        <f>VLOOKUP(A77,'Master List'!A:N,14,)</f>
        <v>Retro Classics: DOS, Sierra Entertainment (defunct) publisher</v>
      </c>
      <c r="C77" s="175" t="s">
        <v>27</v>
      </c>
      <c r="D77" s="176">
        <v>45792.0</v>
      </c>
      <c r="E77" s="177"/>
      <c r="F77" s="177"/>
      <c r="G77" s="177"/>
      <c r="H77" s="177"/>
      <c r="I77" s="177"/>
      <c r="J77" s="177"/>
      <c r="K77" s="177"/>
      <c r="L77" s="177"/>
    </row>
    <row r="78">
      <c r="A78" s="180" t="s">
        <v>278</v>
      </c>
      <c r="B78" s="182" t="str">
        <f>VLOOKUP(A78,'Master List'!A:N,14,)</f>
        <v>Retro Classics: Atari 2600</v>
      </c>
      <c r="C78" s="175" t="s">
        <v>27</v>
      </c>
      <c r="D78" s="176">
        <v>45792.0</v>
      </c>
      <c r="E78" s="177"/>
      <c r="F78" s="177"/>
      <c r="G78" s="177"/>
      <c r="H78" s="177"/>
      <c r="I78" s="177"/>
      <c r="J78" s="177"/>
      <c r="K78" s="177"/>
      <c r="L78" s="177"/>
    </row>
    <row r="79">
      <c r="A79" s="180" t="s">
        <v>279</v>
      </c>
      <c r="B79" s="182" t="str">
        <f>VLOOKUP(A79,'Master List'!A:N,14,)</f>
        <v>Retro Classics: Atari 2600</v>
      </c>
      <c r="C79" s="175" t="s">
        <v>27</v>
      </c>
      <c r="D79" s="176">
        <v>45792.0</v>
      </c>
      <c r="E79" s="177"/>
      <c r="F79" s="177"/>
      <c r="G79" s="177"/>
      <c r="H79" s="177"/>
      <c r="I79" s="177"/>
      <c r="J79" s="177"/>
      <c r="K79" s="177"/>
      <c r="L79" s="177"/>
    </row>
    <row r="80">
      <c r="A80" s="180" t="s">
        <v>280</v>
      </c>
      <c r="B80" s="182" t="str">
        <f>VLOOKUP(A80,'Master List'!A:N,14,)</f>
        <v>Retro Classics: Atari 2600</v>
      </c>
      <c r="C80" s="175" t="s">
        <v>27</v>
      </c>
      <c r="D80" s="176">
        <v>45792.0</v>
      </c>
      <c r="E80" s="177"/>
      <c r="F80" s="177"/>
      <c r="G80" s="177"/>
      <c r="H80" s="177"/>
      <c r="I80" s="177"/>
      <c r="J80" s="177"/>
      <c r="K80" s="177"/>
      <c r="L80" s="177"/>
    </row>
    <row r="81">
      <c r="A81" s="180" t="s">
        <v>281</v>
      </c>
      <c r="B81" s="182" t="str">
        <f>VLOOKUP(A81,'Master List'!A:N,14,)</f>
        <v>Retro Classics: Atari 2600</v>
      </c>
      <c r="C81" s="175" t="s">
        <v>27</v>
      </c>
      <c r="D81" s="176">
        <v>45792.0</v>
      </c>
      <c r="E81" s="177"/>
      <c r="F81" s="177"/>
      <c r="G81" s="177"/>
      <c r="H81" s="177"/>
      <c r="I81" s="177"/>
      <c r="J81" s="177"/>
      <c r="K81" s="177"/>
      <c r="L81" s="177"/>
    </row>
    <row r="82">
      <c r="A82" s="180" t="s">
        <v>282</v>
      </c>
      <c r="B82" s="182" t="str">
        <f>VLOOKUP(A82,'Master List'!A:N,14,)</f>
        <v>Retro Classics: Amiga, Sierra Entertainment (defunct) publisher</v>
      </c>
      <c r="C82" s="175" t="s">
        <v>27</v>
      </c>
      <c r="D82" s="176">
        <v>45792.0</v>
      </c>
      <c r="E82" s="177"/>
      <c r="F82" s="177"/>
      <c r="G82" s="177"/>
      <c r="H82" s="177"/>
      <c r="I82" s="177"/>
      <c r="J82" s="177"/>
      <c r="K82" s="177"/>
      <c r="L82" s="177"/>
    </row>
    <row r="83">
      <c r="A83" s="180" t="s">
        <v>283</v>
      </c>
      <c r="B83" s="182" t="str">
        <f>VLOOKUP(A83,'Master List'!A:N,14,)</f>
        <v>Retro Classics: DOS, Sierra Entertainment (defunct) publisher</v>
      </c>
      <c r="C83" s="175" t="s">
        <v>27</v>
      </c>
      <c r="D83" s="176">
        <v>45792.0</v>
      </c>
      <c r="E83" s="177"/>
      <c r="F83" s="177"/>
      <c r="G83" s="177"/>
      <c r="H83" s="177"/>
      <c r="I83" s="177"/>
      <c r="J83" s="177"/>
      <c r="K83" s="177"/>
      <c r="L83" s="177"/>
    </row>
    <row r="84">
      <c r="A84" s="180" t="s">
        <v>284</v>
      </c>
      <c r="B84" s="182" t="str">
        <f>VLOOKUP(A84,'Master List'!A:N,14,)</f>
        <v>Retro Classics: Atari 2600</v>
      </c>
      <c r="C84" s="175" t="s">
        <v>27</v>
      </c>
      <c r="D84" s="176">
        <v>45792.0</v>
      </c>
      <c r="E84" s="177"/>
      <c r="F84" s="177"/>
      <c r="G84" s="177"/>
      <c r="H84" s="177"/>
      <c r="I84" s="177"/>
      <c r="J84" s="177"/>
      <c r="K84" s="177"/>
      <c r="L84" s="177"/>
    </row>
    <row r="85">
      <c r="A85" s="180" t="s">
        <v>285</v>
      </c>
      <c r="B85" s="182" t="str">
        <f>VLOOKUP(A85,'Master List'!A:N,14,)</f>
        <v>Retro Classics: Atari 2600</v>
      </c>
      <c r="C85" s="175" t="s">
        <v>27</v>
      </c>
      <c r="D85" s="176">
        <v>45792.0</v>
      </c>
      <c r="E85" s="177"/>
      <c r="F85" s="177"/>
      <c r="G85" s="177"/>
      <c r="H85" s="177"/>
      <c r="I85" s="177"/>
      <c r="J85" s="177"/>
      <c r="K85" s="177"/>
      <c r="L85" s="177"/>
    </row>
    <row r="86">
      <c r="A86" s="180" t="s">
        <v>286</v>
      </c>
      <c r="B86" s="182" t="str">
        <f>VLOOKUP(A86,'Master List'!A:N,14,)</f>
        <v>Retro Classics: DOS, Sierra Entertainment (defunct) publisher</v>
      </c>
      <c r="C86" s="175" t="s">
        <v>27</v>
      </c>
      <c r="D86" s="176">
        <v>45792.0</v>
      </c>
      <c r="E86" s="177"/>
      <c r="F86" s="177"/>
      <c r="G86" s="177"/>
      <c r="H86" s="177"/>
      <c r="I86" s="177"/>
      <c r="J86" s="177"/>
      <c r="K86" s="177"/>
      <c r="L86" s="177"/>
    </row>
    <row r="87">
      <c r="A87" s="180" t="s">
        <v>287</v>
      </c>
      <c r="B87" s="182" t="str">
        <f>VLOOKUP(A87,'Master List'!A:N,14,)</f>
        <v>Retro Classics: Atari 2600</v>
      </c>
      <c r="C87" s="175" t="s">
        <v>27</v>
      </c>
      <c r="D87" s="176">
        <v>45792.0</v>
      </c>
      <c r="E87" s="177"/>
      <c r="F87" s="177"/>
      <c r="G87" s="177"/>
      <c r="H87" s="177"/>
      <c r="I87" s="177"/>
      <c r="J87" s="177"/>
      <c r="K87" s="177"/>
      <c r="L87" s="177"/>
    </row>
    <row r="88">
      <c r="A88" s="180" t="s">
        <v>288</v>
      </c>
      <c r="B88" s="182" t="str">
        <f>VLOOKUP(A88,'Master List'!A:N,14,)</f>
        <v>Retro Classics: Atari 2600</v>
      </c>
      <c r="C88" s="175" t="s">
        <v>27</v>
      </c>
      <c r="D88" s="176">
        <v>45792.0</v>
      </c>
      <c r="E88" s="177"/>
      <c r="F88" s="177"/>
      <c r="G88" s="177"/>
      <c r="H88" s="177"/>
      <c r="I88" s="177"/>
      <c r="J88" s="177"/>
      <c r="K88" s="177"/>
      <c r="L88" s="177"/>
    </row>
    <row r="89">
      <c r="A89" s="180" t="s">
        <v>289</v>
      </c>
      <c r="B89" s="182" t="str">
        <f>VLOOKUP(A89,'Master List'!A:N,14,)</f>
        <v>Retro Classics: Atari 2600</v>
      </c>
      <c r="C89" s="175" t="s">
        <v>27</v>
      </c>
      <c r="D89" s="176">
        <v>45792.0</v>
      </c>
      <c r="E89" s="177"/>
      <c r="F89" s="177"/>
      <c r="G89" s="177"/>
      <c r="H89" s="177"/>
      <c r="I89" s="177"/>
      <c r="J89" s="177"/>
      <c r="K89" s="177"/>
      <c r="L89" s="177"/>
    </row>
    <row r="90">
      <c r="A90" s="180" t="s">
        <v>290</v>
      </c>
      <c r="B90" s="182" t="str">
        <f>VLOOKUP(A90,'Master List'!A:N,14,)</f>
        <v>Retro Classics: DOS</v>
      </c>
      <c r="C90" s="175" t="s">
        <v>27</v>
      </c>
      <c r="D90" s="176">
        <v>45792.0</v>
      </c>
      <c r="E90" s="177"/>
      <c r="F90" s="177"/>
      <c r="G90" s="177"/>
      <c r="H90" s="177"/>
      <c r="I90" s="177"/>
      <c r="J90" s="177"/>
      <c r="K90" s="177"/>
      <c r="L90" s="177"/>
    </row>
    <row r="91">
      <c r="A91" s="180" t="s">
        <v>292</v>
      </c>
      <c r="B91" s="182" t="str">
        <f>VLOOKUP(A91,'Master List'!A:N,14,)</f>
        <v>Retro Classics: DOS</v>
      </c>
      <c r="C91" s="175" t="s">
        <v>27</v>
      </c>
      <c r="D91" s="176">
        <v>45792.0</v>
      </c>
      <c r="E91" s="177"/>
      <c r="F91" s="177"/>
      <c r="G91" s="177"/>
      <c r="H91" s="177"/>
      <c r="I91" s="177"/>
      <c r="J91" s="177"/>
      <c r="K91" s="177"/>
      <c r="L91" s="177"/>
    </row>
    <row r="92">
      <c r="A92" s="180" t="s">
        <v>294</v>
      </c>
      <c r="B92" s="174" t="s">
        <v>2920</v>
      </c>
      <c r="C92" s="175" t="s">
        <v>27</v>
      </c>
      <c r="D92" s="176">
        <v>45792.0</v>
      </c>
      <c r="E92" s="177"/>
      <c r="F92" s="177"/>
      <c r="G92" s="177"/>
      <c r="H92" s="177"/>
      <c r="I92" s="177"/>
      <c r="J92" s="177"/>
      <c r="K92" s="177"/>
      <c r="L92" s="177"/>
    </row>
    <row r="93">
      <c r="A93" s="180" t="s">
        <v>306</v>
      </c>
      <c r="B93" s="180" t="s">
        <v>2921</v>
      </c>
      <c r="C93" s="175" t="str">
        <f>VLOOKUP(A93,'Master List'!A:E,2,)</f>
        <v>Xbox / PC</v>
      </c>
      <c r="D93" s="176">
        <f>VLOOKUP(A93,'Master List'!A:E,5,)</f>
        <v>45778</v>
      </c>
      <c r="E93" s="177"/>
      <c r="F93" s="177"/>
      <c r="G93" s="177"/>
      <c r="H93" s="177"/>
      <c r="I93" s="177"/>
      <c r="J93" s="177"/>
      <c r="K93" s="177"/>
      <c r="L93" s="177"/>
    </row>
    <row r="94">
      <c r="A94" s="180" t="s">
        <v>311</v>
      </c>
      <c r="B94" s="180" t="s">
        <v>2873</v>
      </c>
      <c r="C94" s="175" t="str">
        <f>VLOOKUP(A94,'Master List'!A:E,2,)</f>
        <v>Xbox / PC</v>
      </c>
      <c r="D94" s="176">
        <f>VLOOKUP(A94,'Master List'!A:E,5,)</f>
        <v>45769</v>
      </c>
      <c r="E94" s="177"/>
      <c r="F94" s="177"/>
      <c r="G94" s="177"/>
      <c r="H94" s="177"/>
      <c r="I94" s="177"/>
      <c r="J94" s="177"/>
      <c r="K94" s="177"/>
      <c r="L94" s="177"/>
    </row>
    <row r="95">
      <c r="A95" s="180" t="s">
        <v>323</v>
      </c>
      <c r="B95" s="180" t="s">
        <v>2885</v>
      </c>
      <c r="C95" s="175" t="str">
        <f>VLOOKUP(A95,'Master List'!A:E,2,)</f>
        <v>Xbox / PC</v>
      </c>
      <c r="D95" s="176">
        <f>VLOOKUP(A95,'Master List'!A:E,5,)</f>
        <v>45755</v>
      </c>
      <c r="E95" s="177"/>
      <c r="F95" s="177"/>
      <c r="G95" s="177"/>
      <c r="H95" s="177"/>
      <c r="I95" s="177"/>
      <c r="J95" s="177"/>
      <c r="K95" s="177"/>
      <c r="L95" s="177"/>
    </row>
    <row r="96">
      <c r="A96" s="180" t="s">
        <v>324</v>
      </c>
      <c r="B96" s="180" t="s">
        <v>2863</v>
      </c>
      <c r="C96" s="175" t="str">
        <f>VLOOKUP(A96,'Master List'!A:E,2,)</f>
        <v>Xbox / PC</v>
      </c>
      <c r="D96" s="176">
        <f>VLOOKUP(A96,'Master List'!A:E,5,)</f>
        <v>45755</v>
      </c>
      <c r="E96" s="177"/>
      <c r="F96" s="177"/>
      <c r="G96" s="177"/>
      <c r="H96" s="177"/>
      <c r="I96" s="177"/>
      <c r="J96" s="177"/>
      <c r="K96" s="177"/>
      <c r="L96" s="177"/>
    </row>
    <row r="97">
      <c r="A97" s="180" t="s">
        <v>327</v>
      </c>
      <c r="B97" s="180" t="s">
        <v>2885</v>
      </c>
      <c r="C97" s="175" t="str">
        <f>VLOOKUP(A97,'Master List'!A:E,2,)</f>
        <v>Xbox / PC</v>
      </c>
      <c r="D97" s="176">
        <f>VLOOKUP(A97,'Master List'!A:E,5,)</f>
        <v>45741</v>
      </c>
      <c r="E97" s="177"/>
      <c r="F97" s="177"/>
      <c r="G97" s="177"/>
      <c r="H97" s="177"/>
      <c r="I97" s="177"/>
      <c r="J97" s="177"/>
      <c r="K97" s="177"/>
      <c r="L97" s="177"/>
    </row>
    <row r="98">
      <c r="A98" s="180" t="s">
        <v>345</v>
      </c>
      <c r="B98" s="174" t="s">
        <v>2855</v>
      </c>
      <c r="C98" s="175" t="str">
        <f>VLOOKUP(A98,'Master List'!A:E,2,)</f>
        <v>Xbox / PC</v>
      </c>
      <c r="D98" s="176">
        <f>VLOOKUP(A98,'Master List'!A:E,5,)</f>
        <v>45706</v>
      </c>
      <c r="E98" s="177"/>
      <c r="F98" s="177"/>
      <c r="G98" s="177"/>
      <c r="H98" s="177"/>
      <c r="I98" s="177"/>
      <c r="J98" s="177"/>
      <c r="K98" s="177"/>
      <c r="L98" s="177"/>
    </row>
    <row r="99">
      <c r="A99" s="180" t="s">
        <v>359</v>
      </c>
      <c r="B99" s="180" t="s">
        <v>2885</v>
      </c>
      <c r="C99" s="175" t="str">
        <f>VLOOKUP(A99,'Master List'!A:E,2,)</f>
        <v>PC</v>
      </c>
      <c r="D99" s="176">
        <f>VLOOKUP(A99,'Master List'!A:E,5,)</f>
        <v>45671</v>
      </c>
      <c r="E99" s="177"/>
      <c r="F99" s="177"/>
      <c r="G99" s="177"/>
      <c r="H99" s="177"/>
      <c r="I99" s="177"/>
      <c r="J99" s="177"/>
      <c r="K99" s="177"/>
      <c r="L99" s="177"/>
    </row>
    <row r="100">
      <c r="A100" s="180" t="s">
        <v>373</v>
      </c>
      <c r="B100" s="180" t="s">
        <v>2922</v>
      </c>
      <c r="C100" s="175" t="str">
        <f>VLOOKUP(A100,'Master List'!A:E,2,)</f>
        <v>Xbox / PC</v>
      </c>
      <c r="D100" s="176">
        <f>VLOOKUP(A100,'Master List'!A:E,5,)</f>
        <v>45635</v>
      </c>
      <c r="E100" s="177"/>
      <c r="F100" s="177"/>
      <c r="G100" s="177"/>
      <c r="H100" s="177"/>
      <c r="I100" s="177"/>
      <c r="J100" s="177"/>
      <c r="K100" s="177"/>
      <c r="L100" s="177"/>
    </row>
    <row r="101">
      <c r="A101" s="180" t="s">
        <v>377</v>
      </c>
      <c r="B101" s="180" t="s">
        <v>2923</v>
      </c>
      <c r="C101" s="175" t="str">
        <f>VLOOKUP(A101,'Master List'!A:E,2,)</f>
        <v>Xbox</v>
      </c>
      <c r="D101" s="176">
        <f>VLOOKUP(A101,'Master List'!A:E,5,)</f>
        <v>45630</v>
      </c>
      <c r="E101" s="177"/>
      <c r="F101" s="177"/>
      <c r="G101" s="177"/>
      <c r="H101" s="177"/>
      <c r="I101" s="177"/>
      <c r="J101" s="177"/>
      <c r="K101" s="177"/>
      <c r="L101" s="177"/>
    </row>
    <row r="102">
      <c r="A102" s="180" t="s">
        <v>383</v>
      </c>
      <c r="B102" s="180" t="s">
        <v>2924</v>
      </c>
      <c r="C102" s="175" t="str">
        <f>VLOOKUP(A102,'Master List'!A:E,2,)</f>
        <v>Xbox / PC</v>
      </c>
      <c r="D102" s="176">
        <f>VLOOKUP(A102,'Master List'!A:E,5,)</f>
        <v>45615</v>
      </c>
      <c r="E102" s="177"/>
      <c r="F102" s="177"/>
      <c r="G102" s="177"/>
      <c r="H102" s="177"/>
      <c r="I102" s="177"/>
      <c r="J102" s="177"/>
      <c r="K102" s="177"/>
      <c r="L102" s="177"/>
    </row>
    <row r="103">
      <c r="A103" s="180" t="s">
        <v>384</v>
      </c>
      <c r="B103" s="179" t="s">
        <v>2925</v>
      </c>
      <c r="C103" s="175" t="str">
        <f>VLOOKUP(A103,'Master List'!A:E,2,)</f>
        <v>Xbox / PC</v>
      </c>
      <c r="D103" s="176">
        <f>VLOOKUP(A103,'Master List'!A:E,5,)</f>
        <v>45608</v>
      </c>
      <c r="E103" s="177"/>
      <c r="F103" s="177"/>
      <c r="G103" s="177"/>
      <c r="H103" s="177"/>
      <c r="I103" s="177"/>
      <c r="J103" s="177"/>
      <c r="K103" s="177"/>
      <c r="L103" s="177"/>
    </row>
    <row r="104">
      <c r="A104" s="180" t="s">
        <v>387</v>
      </c>
      <c r="B104" s="180" t="s">
        <v>2926</v>
      </c>
      <c r="C104" s="175" t="str">
        <f>VLOOKUP(A104,'Master List'!A:E,2,)</f>
        <v>PC</v>
      </c>
      <c r="D104" s="188">
        <f>VLOOKUP(A104,'Master List'!A:E,5,)</f>
        <v>45601</v>
      </c>
      <c r="E104" s="177"/>
      <c r="F104" s="177"/>
      <c r="G104" s="177"/>
      <c r="H104" s="177"/>
      <c r="I104" s="177"/>
      <c r="J104" s="177"/>
      <c r="K104" s="177"/>
      <c r="L104" s="177"/>
    </row>
    <row r="105">
      <c r="A105" s="180" t="s">
        <v>388</v>
      </c>
      <c r="B105" s="180" t="s">
        <v>2926</v>
      </c>
      <c r="C105" s="175" t="str">
        <f>VLOOKUP(A105,'Master List'!A:E,2,)</f>
        <v>PC</v>
      </c>
      <c r="D105" s="188">
        <f>VLOOKUP(A105,'Master List'!A:E,5,)</f>
        <v>45601</v>
      </c>
      <c r="E105" s="177"/>
      <c r="F105" s="177"/>
      <c r="G105" s="177"/>
      <c r="H105" s="177"/>
      <c r="I105" s="177"/>
      <c r="J105" s="177"/>
      <c r="K105" s="177"/>
      <c r="L105" s="177"/>
    </row>
    <row r="106">
      <c r="A106" s="180" t="s">
        <v>389</v>
      </c>
      <c r="B106" s="180" t="s">
        <v>2927</v>
      </c>
      <c r="C106" s="175" t="str">
        <f>VLOOKUP(A106,'Master List'!A:E,2,)</f>
        <v>Xbox / PC</v>
      </c>
      <c r="D106" s="188">
        <f>VLOOKUP(A106,'Master List'!A:E,5,)</f>
        <v>45590</v>
      </c>
      <c r="E106" s="177"/>
      <c r="F106" s="177"/>
      <c r="G106" s="177"/>
      <c r="H106" s="177"/>
      <c r="I106" s="177"/>
      <c r="J106" s="177"/>
      <c r="K106" s="177"/>
      <c r="L106" s="177"/>
    </row>
    <row r="107">
      <c r="A107" s="180" t="s">
        <v>408</v>
      </c>
      <c r="B107" s="180" t="s">
        <v>2926</v>
      </c>
      <c r="C107" s="175" t="str">
        <f>VLOOKUP(A107,'Master List'!A:E,2,)</f>
        <v>Xbox / PC</v>
      </c>
      <c r="D107" s="176">
        <f>VLOOKUP(A107,'Master List'!A:E,5,)</f>
        <v>45552</v>
      </c>
      <c r="E107" s="177"/>
      <c r="F107" s="177"/>
      <c r="G107" s="177"/>
      <c r="H107" s="177"/>
      <c r="I107" s="177"/>
      <c r="J107" s="177"/>
      <c r="K107" s="177"/>
      <c r="L107" s="177"/>
    </row>
    <row r="108">
      <c r="A108" s="180" t="s">
        <v>412</v>
      </c>
      <c r="B108" s="180" t="s">
        <v>2871</v>
      </c>
      <c r="C108" s="175" t="str">
        <f>VLOOKUP(A108,'Master List'!A:E,2,)</f>
        <v>Xbox / PC</v>
      </c>
      <c r="D108" s="176">
        <f>VLOOKUP(A108,'Master List'!A:E,5,)</f>
        <v>45539</v>
      </c>
      <c r="E108" s="177"/>
      <c r="F108" s="177"/>
      <c r="G108" s="177"/>
      <c r="H108" s="177"/>
      <c r="I108" s="177"/>
      <c r="J108" s="177"/>
      <c r="K108" s="177"/>
      <c r="L108" s="177"/>
    </row>
    <row r="109">
      <c r="A109" s="180" t="s">
        <v>414</v>
      </c>
      <c r="B109" s="180" t="s">
        <v>2920</v>
      </c>
      <c r="C109" s="175" t="str">
        <f>VLOOKUP(A109,'Master List'!A:E,2,)</f>
        <v>Xbox / PC</v>
      </c>
      <c r="D109" s="176">
        <f>VLOOKUP(A109,'Master List'!A:E,5,)</f>
        <v>45512</v>
      </c>
      <c r="E109" s="177"/>
      <c r="F109" s="177"/>
      <c r="G109" s="177"/>
      <c r="H109" s="177"/>
      <c r="I109" s="177"/>
      <c r="J109" s="177"/>
      <c r="K109" s="177"/>
      <c r="L109" s="177"/>
    </row>
    <row r="110">
      <c r="A110" s="180" t="s">
        <v>417</v>
      </c>
      <c r="B110" s="180" t="s">
        <v>2928</v>
      </c>
      <c r="C110" s="175" t="str">
        <f>VLOOKUP(A110,'Master List'!A:E,2,)</f>
        <v>Xbox / PC</v>
      </c>
      <c r="D110" s="176">
        <f>VLOOKUP(A110,'Master List'!A:E,5,)</f>
        <v>45512</v>
      </c>
      <c r="E110" s="177"/>
      <c r="F110" s="177"/>
      <c r="G110" s="177"/>
      <c r="H110" s="177"/>
      <c r="I110" s="177"/>
      <c r="J110" s="177"/>
      <c r="K110" s="177"/>
      <c r="L110" s="177"/>
    </row>
    <row r="111">
      <c r="A111" s="180" t="s">
        <v>419</v>
      </c>
      <c r="B111" s="180" t="s">
        <v>2883</v>
      </c>
      <c r="C111" s="175" t="str">
        <f>VLOOKUP(A111,'Master List'!A:E,2,)</f>
        <v>Xbox / PC</v>
      </c>
      <c r="D111" s="188">
        <f>VLOOKUP(A111,'Master List'!A:E,5,)</f>
        <v>45497</v>
      </c>
      <c r="E111" s="177"/>
      <c r="F111" s="177"/>
      <c r="G111" s="177"/>
      <c r="H111" s="177"/>
      <c r="I111" s="177"/>
      <c r="J111" s="177"/>
      <c r="K111" s="177"/>
      <c r="L111" s="177"/>
    </row>
    <row r="112">
      <c r="A112" s="180" t="s">
        <v>443</v>
      </c>
      <c r="B112" s="174" t="s">
        <v>2866</v>
      </c>
      <c r="C112" s="175" t="str">
        <f>VLOOKUP(A112,'Master List'!A:E,2,)</f>
        <v>Xbox / PC</v>
      </c>
      <c r="D112" s="176">
        <f>VLOOKUP(A112,'Master List'!A:E,5,)</f>
        <v>45433</v>
      </c>
      <c r="E112" s="177"/>
      <c r="F112" s="177"/>
      <c r="G112" s="177"/>
      <c r="H112" s="177"/>
      <c r="I112" s="177"/>
      <c r="J112" s="177"/>
      <c r="K112" s="177"/>
      <c r="L112" s="177"/>
    </row>
    <row r="113">
      <c r="A113" s="180" t="s">
        <v>536</v>
      </c>
      <c r="B113" s="180" t="s">
        <v>2868</v>
      </c>
      <c r="C113" s="175" t="str">
        <f>VLOOKUP(A113,'Master List'!A:E,2,)</f>
        <v>Xbox / PC</v>
      </c>
      <c r="D113" s="176">
        <f>VLOOKUP(A113,'Master List'!A:E,5,)</f>
        <v>45209</v>
      </c>
      <c r="E113" s="177"/>
      <c r="F113" s="177"/>
      <c r="G113" s="177"/>
      <c r="H113" s="177"/>
      <c r="I113" s="177"/>
      <c r="J113" s="177"/>
      <c r="K113" s="177"/>
      <c r="L113" s="177"/>
    </row>
    <row r="114">
      <c r="A114" s="180" t="s">
        <v>540</v>
      </c>
      <c r="B114" s="180" t="s">
        <v>2873</v>
      </c>
      <c r="C114" s="175" t="str">
        <f>VLOOKUP(A114,'Master List'!A:E,2,)</f>
        <v>Xbox / PC</v>
      </c>
      <c r="D114" s="176">
        <f>VLOOKUP(A114,'Master List'!A:E,5,)</f>
        <v>45175</v>
      </c>
      <c r="E114" s="177"/>
      <c r="F114" s="177"/>
      <c r="G114" s="177"/>
      <c r="H114" s="177"/>
      <c r="I114" s="177"/>
      <c r="J114" s="177"/>
      <c r="K114" s="177"/>
      <c r="L114" s="177"/>
    </row>
    <row r="115">
      <c r="A115" s="180" t="s">
        <v>556</v>
      </c>
      <c r="B115" s="180" t="s">
        <v>2870</v>
      </c>
      <c r="C115" s="175" t="str">
        <f>VLOOKUP(A115,'Master List'!A:E,2,)</f>
        <v>Xbox</v>
      </c>
      <c r="D115" s="176">
        <f>VLOOKUP(A115,'Master List'!A:E,5,)</f>
        <v>45125</v>
      </c>
      <c r="E115" s="177"/>
      <c r="F115" s="177"/>
      <c r="G115" s="177"/>
      <c r="H115" s="177"/>
      <c r="I115" s="177"/>
      <c r="J115" s="177"/>
      <c r="K115" s="177"/>
      <c r="L115" s="177"/>
    </row>
    <row r="116">
      <c r="A116" s="180" t="s">
        <v>561</v>
      </c>
      <c r="B116" s="180" t="s">
        <v>2870</v>
      </c>
      <c r="C116" s="175" t="str">
        <f>VLOOKUP(A116,'Master List'!A:E,2,)</f>
        <v>Xbox</v>
      </c>
      <c r="D116" s="188">
        <f>VLOOKUP(A116,'Master List'!A:E,5,)</f>
        <v>45085</v>
      </c>
      <c r="E116" s="177"/>
      <c r="F116" s="177"/>
      <c r="G116" s="177"/>
      <c r="H116" s="177"/>
      <c r="I116" s="177"/>
      <c r="J116" s="177"/>
      <c r="K116" s="177"/>
      <c r="L116" s="177"/>
    </row>
    <row r="117">
      <c r="A117" s="180" t="s">
        <v>566</v>
      </c>
      <c r="B117" s="180" t="s">
        <v>2870</v>
      </c>
      <c r="C117" s="175" t="str">
        <f>VLOOKUP(A117,'Master List'!A:E,2,)</f>
        <v>Xbox</v>
      </c>
      <c r="D117" s="188">
        <f>VLOOKUP(A117,'Master List'!A:E,5,)</f>
        <v>45071</v>
      </c>
      <c r="E117" s="177"/>
      <c r="F117" s="177"/>
      <c r="G117" s="177"/>
      <c r="H117" s="177"/>
      <c r="I117" s="177"/>
      <c r="J117" s="177"/>
      <c r="K117" s="177"/>
      <c r="L117" s="177"/>
    </row>
    <row r="118">
      <c r="A118" s="180" t="s">
        <v>571</v>
      </c>
      <c r="B118" s="180" t="s">
        <v>2929</v>
      </c>
      <c r="C118" s="175" t="str">
        <f>VLOOKUP(A118,'Master List'!A:E,2,)</f>
        <v>Xbox / PC</v>
      </c>
      <c r="D118" s="176">
        <f>VLOOKUP(A118,'Master List'!A:E,5,)</f>
        <v>45048</v>
      </c>
      <c r="E118" s="177"/>
      <c r="F118" s="177"/>
      <c r="G118" s="177"/>
      <c r="H118" s="177"/>
      <c r="I118" s="177"/>
      <c r="J118" s="177"/>
      <c r="K118" s="177"/>
      <c r="L118" s="177"/>
    </row>
    <row r="119">
      <c r="A119" s="180" t="s">
        <v>575</v>
      </c>
      <c r="B119" s="174" t="s">
        <v>2930</v>
      </c>
      <c r="C119" s="175" t="str">
        <f>VLOOKUP(A119,'Master List'!A:E,2,)</f>
        <v>Xbox / PC</v>
      </c>
      <c r="D119" s="176">
        <f>VLOOKUP(A119,'Master List'!A:E,5,)</f>
        <v>45034</v>
      </c>
      <c r="E119" s="177"/>
      <c r="F119" s="177"/>
      <c r="G119" s="177"/>
      <c r="H119" s="177"/>
      <c r="I119" s="177"/>
      <c r="J119" s="177"/>
      <c r="K119" s="177"/>
      <c r="L119" s="177"/>
    </row>
    <row r="120">
      <c r="A120" s="180" t="s">
        <v>578</v>
      </c>
      <c r="B120" s="180" t="s">
        <v>2931</v>
      </c>
      <c r="C120" s="175" t="str">
        <f>VLOOKUP(A120,'Master List'!A:E,2,)</f>
        <v>Xbox / PC</v>
      </c>
      <c r="D120" s="176">
        <f>VLOOKUP(A120,'Master List'!A:E,5,)</f>
        <v>45028</v>
      </c>
      <c r="E120" s="177"/>
      <c r="F120" s="177"/>
      <c r="G120" s="177"/>
      <c r="H120" s="177"/>
      <c r="I120" s="177"/>
      <c r="J120" s="177"/>
      <c r="K120" s="177"/>
      <c r="L120" s="177"/>
    </row>
    <row r="121">
      <c r="A121" s="180" t="s">
        <v>590</v>
      </c>
      <c r="B121" s="180" t="s">
        <v>2860</v>
      </c>
      <c r="C121" s="175" t="str">
        <f>VLOOKUP(A121,'Master List'!A:E,2,)</f>
        <v>Xbox</v>
      </c>
      <c r="D121" s="176">
        <f>VLOOKUP(A121,'Master List'!A:E,5,)</f>
        <v>44953</v>
      </c>
      <c r="E121" s="177"/>
      <c r="F121" s="177"/>
      <c r="G121" s="177"/>
      <c r="H121" s="177"/>
      <c r="I121" s="177"/>
      <c r="J121" s="177"/>
      <c r="K121" s="177"/>
      <c r="L121" s="177"/>
    </row>
    <row r="122">
      <c r="A122" s="180" t="s">
        <v>591</v>
      </c>
      <c r="B122" s="180" t="s">
        <v>2929</v>
      </c>
      <c r="C122" s="175" t="str">
        <f>VLOOKUP(A122,'Master List'!A:E,2,)</f>
        <v>Xbox / PC</v>
      </c>
      <c r="D122" s="176">
        <f>VLOOKUP(A122,'Master List'!A:E,5,)</f>
        <v>44951</v>
      </c>
      <c r="E122" s="177"/>
      <c r="F122" s="177"/>
      <c r="G122" s="177"/>
      <c r="H122" s="177"/>
      <c r="I122" s="177"/>
      <c r="J122" s="177"/>
      <c r="K122" s="177"/>
      <c r="L122" s="177"/>
    </row>
    <row r="123">
      <c r="A123" s="180" t="s">
        <v>622</v>
      </c>
      <c r="B123" s="174" t="s">
        <v>2855</v>
      </c>
      <c r="C123" s="175" t="str">
        <f>VLOOKUP(A123,'Master List'!A:E,2,)</f>
        <v>Xbox / PC</v>
      </c>
      <c r="D123" s="176">
        <f>VLOOKUP(A123,'Master List'!A:E,5,)</f>
        <v>44880</v>
      </c>
      <c r="E123" s="177"/>
      <c r="F123" s="177"/>
      <c r="G123" s="177"/>
      <c r="H123" s="177"/>
      <c r="I123" s="177"/>
      <c r="J123" s="177"/>
      <c r="K123" s="177"/>
      <c r="L123" s="177"/>
    </row>
    <row r="124">
      <c r="A124" s="180" t="s">
        <v>629</v>
      </c>
      <c r="B124" s="180" t="s">
        <v>2870</v>
      </c>
      <c r="C124" s="175" t="str">
        <f>VLOOKUP(A124,'Master List'!A:E,2,)</f>
        <v>Xbox</v>
      </c>
      <c r="D124" s="176">
        <f>VLOOKUP(A124,'Master List'!A:E,5,)</f>
        <v>44845</v>
      </c>
      <c r="E124" s="177"/>
      <c r="F124" s="177"/>
      <c r="G124" s="177"/>
      <c r="H124" s="177"/>
      <c r="I124" s="177"/>
      <c r="J124" s="177"/>
      <c r="K124" s="177"/>
      <c r="L124" s="177"/>
    </row>
    <row r="125">
      <c r="A125" s="180" t="s">
        <v>634</v>
      </c>
      <c r="B125" s="180" t="s">
        <v>2929</v>
      </c>
      <c r="C125" s="175" t="str">
        <f>VLOOKUP(A125,'Master List'!A:E,2,)</f>
        <v>Xbox / PC</v>
      </c>
      <c r="D125" s="176">
        <f>VLOOKUP(A125,'Master List'!A:E,5,)</f>
        <v>44824</v>
      </c>
      <c r="E125" s="177"/>
      <c r="F125" s="177"/>
      <c r="G125" s="177"/>
      <c r="H125" s="177"/>
      <c r="I125" s="177"/>
      <c r="J125" s="177"/>
      <c r="K125" s="177"/>
      <c r="L125" s="177"/>
    </row>
    <row r="126">
      <c r="A126" s="180" t="s">
        <v>647</v>
      </c>
      <c r="B126" s="180" t="s">
        <v>2873</v>
      </c>
      <c r="C126" s="175" t="str">
        <f>VLOOKUP(A126,'Master List'!A:E,2,)</f>
        <v>PC</v>
      </c>
      <c r="D126" s="176">
        <f>VLOOKUP(A126,'Master List'!A:E,5,)</f>
        <v>44791</v>
      </c>
      <c r="E126" s="177"/>
      <c r="F126" s="177"/>
      <c r="G126" s="177"/>
      <c r="H126" s="177"/>
      <c r="I126" s="177"/>
      <c r="J126" s="177"/>
      <c r="K126" s="177"/>
      <c r="L126" s="177"/>
    </row>
    <row r="127">
      <c r="A127" s="180" t="s">
        <v>478</v>
      </c>
      <c r="B127" s="180" t="s">
        <v>2885</v>
      </c>
      <c r="C127" s="175" t="str">
        <f>VLOOKUP(A127,'Master List'!A:E,2,)</f>
        <v>Xbox / PC</v>
      </c>
      <c r="D127" s="188">
        <f>VLOOKUP(A127,'Master List'!A:E,5,)</f>
        <v>45379</v>
      </c>
      <c r="E127" s="177"/>
      <c r="F127" s="177"/>
      <c r="G127" s="177"/>
      <c r="H127" s="177"/>
      <c r="I127" s="177"/>
      <c r="J127" s="177"/>
      <c r="K127" s="177"/>
      <c r="L127" s="177"/>
    </row>
    <row r="128">
      <c r="A128" s="180" t="s">
        <v>482</v>
      </c>
      <c r="B128" s="174" t="s">
        <v>2930</v>
      </c>
      <c r="C128" s="175" t="str">
        <f>VLOOKUP(A128,'Master List'!A:E,2,)</f>
        <v>Xbox / PC</v>
      </c>
      <c r="D128" s="188">
        <f>VLOOKUP(A128,'Master List'!A:E,5,)</f>
        <v>45368</v>
      </c>
      <c r="E128" s="177"/>
      <c r="F128" s="177"/>
      <c r="G128" s="177"/>
      <c r="H128" s="177"/>
      <c r="I128" s="177"/>
      <c r="J128" s="177"/>
      <c r="K128" s="177"/>
      <c r="L128" s="177"/>
    </row>
    <row r="129">
      <c r="A129" s="180" t="s">
        <v>651</v>
      </c>
      <c r="B129" s="180" t="s">
        <v>2920</v>
      </c>
      <c r="C129" s="175" t="str">
        <f>VLOOKUP(A129,'Master List'!A:E,2,)</f>
        <v>PC</v>
      </c>
      <c r="D129" s="176">
        <f>VLOOKUP(A129,'Master List'!A:E,5,)</f>
        <v>44791</v>
      </c>
      <c r="E129" s="177"/>
      <c r="F129" s="177"/>
      <c r="G129" s="177"/>
      <c r="H129" s="177"/>
      <c r="I129" s="177"/>
      <c r="J129" s="177"/>
      <c r="K129" s="177"/>
      <c r="L129" s="177"/>
    </row>
    <row r="130">
      <c r="A130" s="180" t="s">
        <v>652</v>
      </c>
      <c r="B130" s="180" t="s">
        <v>2920</v>
      </c>
      <c r="C130" s="175" t="str">
        <f>VLOOKUP(A130,'Master List'!A:E,2,)</f>
        <v>PC</v>
      </c>
      <c r="D130" s="176">
        <f>VLOOKUP(A130,'Master List'!A:E,5,)</f>
        <v>44791</v>
      </c>
      <c r="E130" s="177"/>
      <c r="F130" s="177"/>
      <c r="G130" s="177"/>
      <c r="H130" s="177"/>
      <c r="I130" s="177"/>
      <c r="J130" s="177"/>
      <c r="K130" s="177"/>
      <c r="L130" s="177"/>
    </row>
    <row r="131">
      <c r="A131" s="180" t="s">
        <v>653</v>
      </c>
      <c r="B131" s="180" t="s">
        <v>2920</v>
      </c>
      <c r="C131" s="175" t="str">
        <f>VLOOKUP(A131,'Master List'!A:E,2,)</f>
        <v>PC</v>
      </c>
      <c r="D131" s="176">
        <f>VLOOKUP(A131,'Master List'!A:E,5,)</f>
        <v>44791</v>
      </c>
      <c r="E131" s="177"/>
      <c r="F131" s="177"/>
      <c r="G131" s="177"/>
      <c r="H131" s="177"/>
      <c r="I131" s="177"/>
      <c r="J131" s="177"/>
      <c r="K131" s="177"/>
      <c r="L131" s="177"/>
    </row>
    <row r="132">
      <c r="A132" s="180" t="s">
        <v>659</v>
      </c>
      <c r="B132" s="179" t="s">
        <v>2857</v>
      </c>
      <c r="C132" s="175" t="str">
        <f>VLOOKUP(A132,'Master List'!A:E,2,)</f>
        <v>Xbox / PC</v>
      </c>
      <c r="D132" s="176">
        <f>VLOOKUP(A132,'Master List'!A:E,5,)</f>
        <v>44761</v>
      </c>
      <c r="E132" s="177"/>
      <c r="F132" s="177"/>
      <c r="G132" s="177"/>
      <c r="H132" s="177"/>
      <c r="I132" s="177"/>
      <c r="J132" s="177"/>
      <c r="K132" s="177"/>
      <c r="L132" s="177"/>
    </row>
    <row r="133">
      <c r="A133" s="180" t="s">
        <v>697</v>
      </c>
      <c r="B133" s="180" t="s">
        <v>2863</v>
      </c>
      <c r="C133" s="175" t="str">
        <f>VLOOKUP(A133,'Master List'!A:E,2,)</f>
        <v>Xbox</v>
      </c>
      <c r="D133" s="176">
        <f>VLOOKUP(A133,'Master List'!A:E,5,)</f>
        <v>44595</v>
      </c>
      <c r="E133" s="177"/>
      <c r="F133" s="177"/>
      <c r="G133" s="177"/>
      <c r="H133" s="177"/>
      <c r="I133" s="177"/>
      <c r="J133" s="177"/>
      <c r="K133" s="177"/>
      <c r="L133" s="177"/>
    </row>
    <row r="134">
      <c r="A134" s="180" t="s">
        <v>706</v>
      </c>
      <c r="B134" s="180" t="s">
        <v>2870</v>
      </c>
      <c r="C134" s="175" t="str">
        <f>VLOOKUP(A134,'Master List'!A:E,2,)</f>
        <v>Xbox / PC</v>
      </c>
      <c r="D134" s="176">
        <f>VLOOKUP(A134,'Master List'!A:E,5,)</f>
        <v>44546</v>
      </c>
      <c r="E134" s="177"/>
      <c r="F134" s="177"/>
      <c r="G134" s="177"/>
      <c r="H134" s="177"/>
      <c r="I134" s="177"/>
      <c r="J134" s="177"/>
      <c r="K134" s="177"/>
      <c r="L134" s="177"/>
    </row>
    <row r="135">
      <c r="A135" s="180" t="s">
        <v>713</v>
      </c>
      <c r="B135" s="180" t="s">
        <v>2861</v>
      </c>
      <c r="C135" s="175" t="str">
        <f>VLOOKUP(A135,'Master List'!A:E,2,)</f>
        <v>Xbox / PC</v>
      </c>
      <c r="D135" s="176">
        <f>VLOOKUP(A135,'Master List'!A:E,5,)</f>
        <v>44538</v>
      </c>
      <c r="E135" s="177"/>
      <c r="F135" s="177"/>
      <c r="G135" s="177"/>
      <c r="H135" s="177"/>
      <c r="I135" s="177"/>
      <c r="J135" s="177"/>
      <c r="K135" s="177"/>
      <c r="L135" s="177"/>
    </row>
    <row r="136">
      <c r="A136" s="180" t="s">
        <v>719</v>
      </c>
      <c r="B136" s="180" t="s">
        <v>2868</v>
      </c>
      <c r="C136" s="175" t="str">
        <f>VLOOKUP(A136,'Master List'!A:E,2,)</f>
        <v>Xbox / PC</v>
      </c>
      <c r="D136" s="176">
        <f>VLOOKUP(A136,'Master List'!A:E,5,)</f>
        <v>44509</v>
      </c>
      <c r="E136" s="177"/>
      <c r="F136" s="177"/>
      <c r="G136" s="177"/>
      <c r="H136" s="177"/>
      <c r="I136" s="177"/>
      <c r="J136" s="177"/>
      <c r="K136" s="177"/>
      <c r="L136" s="177"/>
    </row>
    <row r="137">
      <c r="A137" s="180" t="s">
        <v>725</v>
      </c>
      <c r="B137" s="177" t="s">
        <v>2871</v>
      </c>
      <c r="C137" s="175" t="str">
        <f>VLOOKUP(A137,'Master List'!A:E,2,)</f>
        <v>Xbox / PC</v>
      </c>
      <c r="D137" s="176">
        <f>VLOOKUP(A137,'Master List'!A:E,5,)</f>
        <v>44497</v>
      </c>
      <c r="E137" s="177"/>
      <c r="F137" s="177"/>
      <c r="G137" s="177"/>
      <c r="H137" s="177"/>
      <c r="I137" s="177"/>
      <c r="J137" s="177"/>
      <c r="K137" s="177"/>
      <c r="L137" s="177"/>
    </row>
    <row r="138">
      <c r="A138" s="180" t="s">
        <v>733</v>
      </c>
      <c r="B138" s="180" t="s">
        <v>2870</v>
      </c>
      <c r="C138" s="175" t="str">
        <f>VLOOKUP(A138,'Master List'!A:E,2,)</f>
        <v>Xbox / PC</v>
      </c>
      <c r="D138" s="176">
        <f>VLOOKUP(A138,'Master List'!A:E,5,)</f>
        <v>44433</v>
      </c>
      <c r="E138" s="177"/>
      <c r="F138" s="177"/>
      <c r="G138" s="177"/>
      <c r="H138" s="177"/>
      <c r="I138" s="177"/>
      <c r="J138" s="177"/>
      <c r="K138" s="177"/>
      <c r="L138" s="177"/>
    </row>
    <row r="139">
      <c r="A139" s="180" t="s">
        <v>735</v>
      </c>
      <c r="B139" s="180" t="s">
        <v>2920</v>
      </c>
      <c r="C139" s="175" t="str">
        <f>VLOOKUP(A139,'Master List'!A:E,2,)</f>
        <v>Xbox / PC</v>
      </c>
      <c r="D139" s="176">
        <f>VLOOKUP(A139,'Master List'!A:E,5,)</f>
        <v>44427</v>
      </c>
      <c r="E139" s="177"/>
      <c r="F139" s="177"/>
      <c r="G139" s="177"/>
      <c r="H139" s="177"/>
      <c r="I139" s="177"/>
      <c r="J139" s="177"/>
      <c r="K139" s="177"/>
      <c r="L139" s="177"/>
    </row>
    <row r="140">
      <c r="A140" s="180" t="s">
        <v>736</v>
      </c>
      <c r="B140" s="180" t="s">
        <v>2920</v>
      </c>
      <c r="C140" s="175" t="str">
        <f>VLOOKUP(A140,'Master List'!A:E,2,)</f>
        <v>Xbox / PC</v>
      </c>
      <c r="D140" s="176">
        <f>VLOOKUP(A140,'Master List'!A:E,5,)</f>
        <v>44427</v>
      </c>
      <c r="E140" s="177"/>
      <c r="F140" s="177"/>
      <c r="G140" s="177"/>
      <c r="H140" s="177"/>
      <c r="I140" s="177"/>
      <c r="J140" s="177"/>
      <c r="K140" s="177"/>
      <c r="L140" s="177"/>
    </row>
    <row r="141">
      <c r="A141" s="180" t="s">
        <v>739</v>
      </c>
      <c r="B141" s="180" t="s">
        <v>2920</v>
      </c>
      <c r="C141" s="175" t="str">
        <f>VLOOKUP(A141,'Master List'!A:E,2,)</f>
        <v>PC</v>
      </c>
      <c r="D141" s="176">
        <f>VLOOKUP(A141,'Master List'!A:E,5,)</f>
        <v>44427</v>
      </c>
      <c r="E141" s="177"/>
      <c r="F141" s="177"/>
      <c r="G141" s="177"/>
      <c r="H141" s="177"/>
      <c r="I141" s="177"/>
      <c r="J141" s="177"/>
      <c r="K141" s="177"/>
      <c r="L141" s="177"/>
    </row>
    <row r="142">
      <c r="A142" s="180" t="s">
        <v>746</v>
      </c>
      <c r="B142" s="179" t="s">
        <v>2857</v>
      </c>
      <c r="C142" s="175" t="str">
        <f>VLOOKUP(A142,'Master List'!A:E,2,)</f>
        <v>PC</v>
      </c>
      <c r="D142" s="176">
        <f>VLOOKUP(A142,'Master List'!A:E,5,)</f>
        <v>44425</v>
      </c>
    </row>
    <row r="143">
      <c r="A143" s="180" t="s">
        <v>753</v>
      </c>
      <c r="B143" s="179" t="s">
        <v>2857</v>
      </c>
      <c r="C143" s="175" t="str">
        <f>VLOOKUP(A143,'Master List'!A:E,2,)</f>
        <v>Xbox</v>
      </c>
      <c r="D143" s="176">
        <f>VLOOKUP(A143,'Master List'!A:E,5,)</f>
        <v>44403</v>
      </c>
    </row>
    <row r="144">
      <c r="A144" s="180" t="s">
        <v>757</v>
      </c>
      <c r="B144" s="179" t="s">
        <v>2857</v>
      </c>
      <c r="C144" s="175" t="str">
        <f>VLOOKUP(A144,'Master List'!A:E,2,)</f>
        <v>Xbox</v>
      </c>
      <c r="D144" s="176">
        <f>VLOOKUP(A144,'Master List'!A:E,5,)</f>
        <v>44399</v>
      </c>
    </row>
    <row r="145">
      <c r="A145" s="180" t="s">
        <v>769</v>
      </c>
      <c r="B145" s="180" t="s">
        <v>2929</v>
      </c>
      <c r="C145" s="175" t="str">
        <f>VLOOKUP(A145,'Master List'!A:E,2,)</f>
        <v>PC</v>
      </c>
      <c r="D145" s="176">
        <f>VLOOKUP(A145,'Master List'!A:E,5,)</f>
        <v>44360</v>
      </c>
    </row>
    <row r="146">
      <c r="A146" s="180" t="s">
        <v>773</v>
      </c>
      <c r="B146" s="180" t="s">
        <v>2929</v>
      </c>
      <c r="C146" s="175" t="str">
        <f>VLOOKUP(A146,'Master List'!A:E,2,)</f>
        <v>Xbox / PC</v>
      </c>
      <c r="D146" s="176">
        <f>VLOOKUP(A146,'Master List'!A:E,5,)</f>
        <v>44360</v>
      </c>
    </row>
    <row r="147">
      <c r="A147" s="180" t="s">
        <v>774</v>
      </c>
      <c r="B147" s="180" t="s">
        <v>2932</v>
      </c>
      <c r="C147" s="175" t="str">
        <f>VLOOKUP(A147,'Master List'!A:E,2,)</f>
        <v>PC</v>
      </c>
      <c r="D147" s="176">
        <f>VLOOKUP(A147,'Master List'!A:E,5,)</f>
        <v>44360</v>
      </c>
    </row>
    <row r="148">
      <c r="A148" s="180" t="s">
        <v>776</v>
      </c>
      <c r="B148" s="180" t="s">
        <v>2932</v>
      </c>
      <c r="C148" s="175" t="str">
        <f>VLOOKUP(A148,'Master List'!A:E,2,)</f>
        <v>PC</v>
      </c>
      <c r="D148" s="176">
        <f>VLOOKUP(A148,'Master List'!A:E,5,)</f>
        <v>44360</v>
      </c>
    </row>
    <row r="149">
      <c r="A149" s="180" t="s">
        <v>778</v>
      </c>
      <c r="B149" s="177" t="s">
        <v>2933</v>
      </c>
      <c r="C149" s="175" t="str">
        <f>VLOOKUP(A149,'Master List'!A:E,2,)</f>
        <v>PC</v>
      </c>
      <c r="D149" s="176">
        <f>VLOOKUP(A149,'Master List'!A:E,5,)</f>
        <v>44360</v>
      </c>
    </row>
    <row r="150">
      <c r="A150" s="180" t="s">
        <v>780</v>
      </c>
      <c r="B150" s="180" t="s">
        <v>2931</v>
      </c>
      <c r="C150" s="175" t="str">
        <f>VLOOKUP(A150,'Master List'!A:E,2,)</f>
        <v>Xbox / PC</v>
      </c>
      <c r="D150" s="176">
        <f>VLOOKUP(A150,'Master List'!A:E,5,)</f>
        <v>44360</v>
      </c>
    </row>
    <row r="151">
      <c r="A151" s="180" t="s">
        <v>788</v>
      </c>
      <c r="B151" s="177" t="s">
        <v>2934</v>
      </c>
      <c r="C151" s="175" t="str">
        <f>VLOOKUP(A151,'Master List'!A:E,2,)</f>
        <v>Xbox / PC</v>
      </c>
      <c r="D151" s="176">
        <f>VLOOKUP(A151,'Master List'!A:E,5,)</f>
        <v>44329</v>
      </c>
    </row>
    <row r="152">
      <c r="A152" s="180" t="s">
        <v>828</v>
      </c>
      <c r="B152" s="180" t="s">
        <v>2929</v>
      </c>
      <c r="C152" s="175" t="str">
        <f>VLOOKUP(A152,'Master List'!A:E,2,)</f>
        <v>Xbox / PC</v>
      </c>
      <c r="D152" s="176">
        <f>VLOOKUP(A152,'Master List'!A:E,5,)</f>
        <v>44267</v>
      </c>
    </row>
    <row r="153">
      <c r="A153" s="180" t="s">
        <v>1433</v>
      </c>
      <c r="B153" s="180" t="s">
        <v>2920</v>
      </c>
      <c r="C153" s="175" t="str">
        <f>VLOOKUP(A153,'Master List'!A:E,2,)</f>
        <v>Xbox / PC</v>
      </c>
      <c r="D153" s="176">
        <f>VLOOKUP(A153,'Master List'!A:E,5,)</f>
        <v>44267</v>
      </c>
    </row>
    <row r="154">
      <c r="A154" s="173" t="s">
        <v>830</v>
      </c>
      <c r="B154" s="180" t="s">
        <v>2920</v>
      </c>
      <c r="C154" s="175" t="str">
        <f>VLOOKUP(A154,'Master List'!A:E,2,)</f>
        <v>Xbox / PC</v>
      </c>
      <c r="D154" s="176">
        <f>VLOOKUP(A154,'Master List'!A:E,5,)</f>
        <v>44267</v>
      </c>
    </row>
    <row r="155">
      <c r="A155" s="173" t="s">
        <v>831</v>
      </c>
      <c r="B155" s="180" t="s">
        <v>2920</v>
      </c>
      <c r="C155" s="175" t="str">
        <f>VLOOKUP(A155,'Master List'!A:E,2,)</f>
        <v>Xbox / PC</v>
      </c>
      <c r="D155" s="176">
        <f>VLOOKUP(A155,'Master List'!A:E,5,)</f>
        <v>44267</v>
      </c>
    </row>
    <row r="156">
      <c r="A156" s="173" t="s">
        <v>1434</v>
      </c>
      <c r="B156" s="180" t="s">
        <v>2920</v>
      </c>
      <c r="C156" s="175" t="str">
        <f>VLOOKUP(A156,'Master List'!A:E,2,)</f>
        <v>Xbox / PC</v>
      </c>
      <c r="D156" s="176">
        <f>VLOOKUP(A156,'Master List'!A:E,5,)</f>
        <v>44267</v>
      </c>
    </row>
    <row r="157">
      <c r="A157" s="189" t="s">
        <v>835</v>
      </c>
      <c r="B157" s="180" t="s">
        <v>2931</v>
      </c>
      <c r="C157" s="175" t="str">
        <f>VLOOKUP(A157,'Master List'!A:E,2,)</f>
        <v>Xbox / PC</v>
      </c>
      <c r="D157" s="176">
        <f>VLOOKUP(A157,'Master List'!A:E,5,)</f>
        <v>44267</v>
      </c>
    </row>
    <row r="158">
      <c r="A158" s="189" t="s">
        <v>836</v>
      </c>
      <c r="B158" s="180" t="s">
        <v>2873</v>
      </c>
      <c r="C158" s="175" t="str">
        <f>VLOOKUP(A158,'Master List'!A:E,2,)</f>
        <v>Xbox / PC</v>
      </c>
      <c r="D158" s="176">
        <f>VLOOKUP(A158,'Master List'!A:E,5,)</f>
        <v>44267</v>
      </c>
    </row>
    <row r="159">
      <c r="A159" s="180" t="s">
        <v>837</v>
      </c>
      <c r="B159" s="180" t="s">
        <v>2922</v>
      </c>
      <c r="C159" s="175" t="str">
        <f>VLOOKUP(A159,'Master List'!A:E,2,)</f>
        <v>Xbox / PC</v>
      </c>
      <c r="D159" s="176">
        <f>VLOOKUP(A159,'Master List'!A:E,5,)</f>
        <v>44267</v>
      </c>
    </row>
    <row r="160">
      <c r="A160" s="180" t="s">
        <v>840</v>
      </c>
      <c r="B160" s="174" t="s">
        <v>2855</v>
      </c>
      <c r="C160" s="175" t="str">
        <f>VLOOKUP(A160,'Master List'!A:E,2,)</f>
        <v>Xbox / PC</v>
      </c>
      <c r="D160" s="176">
        <f>VLOOKUP(A160,'Master List'!A:E,5,)</f>
        <v>44245</v>
      </c>
    </row>
    <row r="161">
      <c r="A161" s="180" t="s">
        <v>848</v>
      </c>
      <c r="B161" s="180" t="s">
        <v>2873</v>
      </c>
      <c r="C161" s="175" t="str">
        <f>VLOOKUP(A161,'Master List'!A:E,2,)</f>
        <v>Xbox / PC</v>
      </c>
      <c r="D161" s="176">
        <f>VLOOKUP(A161,'Master List'!A:E,5,)</f>
        <v>44180</v>
      </c>
    </row>
    <row r="162">
      <c r="A162" s="180" t="s">
        <v>857</v>
      </c>
      <c r="B162" s="180" t="s">
        <v>2861</v>
      </c>
      <c r="C162" s="175" t="str">
        <f>VLOOKUP(A162,'Master List'!A:E,2,)</f>
        <v>Xbox / PC</v>
      </c>
      <c r="D162" s="176">
        <f>VLOOKUP(A162,'Master List'!A:E,5,)</f>
        <v>44152</v>
      </c>
    </row>
    <row r="163">
      <c r="A163" s="189" t="s">
        <v>2109</v>
      </c>
      <c r="B163" s="180" t="s">
        <v>2870</v>
      </c>
      <c r="C163" s="175" t="str">
        <f>VLOOKUP(A163,'Master List'!A:E,2,)</f>
        <v>Xbox / PC</v>
      </c>
      <c r="D163" s="176">
        <f>VLOOKUP(A163,'Master List'!A:E,5,)</f>
        <v>44140</v>
      </c>
    </row>
    <row r="164">
      <c r="A164" s="174" t="s">
        <v>958</v>
      </c>
      <c r="B164" s="180" t="s">
        <v>2870</v>
      </c>
      <c r="C164" s="175" t="str">
        <f>VLOOKUP(A164,'Master List'!A:E,2,)</f>
        <v>Xbox / PC</v>
      </c>
      <c r="D164" s="176">
        <f>VLOOKUP(A164,'Master List'!A:E,5,)</f>
        <v>44133</v>
      </c>
    </row>
    <row r="165">
      <c r="A165" s="174" t="s">
        <v>959</v>
      </c>
      <c r="B165" s="180" t="s">
        <v>2870</v>
      </c>
      <c r="C165" s="175" t="str">
        <f>VLOOKUP(A165,'Master List'!A:E,2,)</f>
        <v>Xbox / PC</v>
      </c>
      <c r="D165" s="176">
        <f>VLOOKUP(A165,'Master List'!A:E,5,)</f>
        <v>44133</v>
      </c>
    </row>
    <row r="166">
      <c r="A166" s="180" t="s">
        <v>961</v>
      </c>
      <c r="B166" s="180" t="s">
        <v>2870</v>
      </c>
      <c r="C166" s="175" t="str">
        <f>VLOOKUP(A166,'Master List'!A:E,2,)</f>
        <v>Xbox / PC</v>
      </c>
      <c r="D166" s="176">
        <f>VLOOKUP(A166,'Master List'!A:E,5,)</f>
        <v>44133</v>
      </c>
    </row>
    <row r="167">
      <c r="A167" s="180" t="s">
        <v>965</v>
      </c>
      <c r="B167" s="180" t="s">
        <v>2935</v>
      </c>
      <c r="C167" s="175" t="str">
        <f>VLOOKUP(A167,'Master List'!A:E,2,)</f>
        <v>PC</v>
      </c>
      <c r="D167" s="176">
        <f>VLOOKUP(A167,'Master List'!A:E,5,)</f>
        <v>44119</v>
      </c>
    </row>
    <row r="168">
      <c r="A168" s="189" t="s">
        <v>967</v>
      </c>
      <c r="B168" s="180" t="s">
        <v>2870</v>
      </c>
      <c r="C168" s="175" t="str">
        <f>VLOOKUP(A168,'Master List'!A:E,2,)</f>
        <v>Xbox</v>
      </c>
      <c r="D168" s="176">
        <f>VLOOKUP(A168,'Master List'!A:E,5,)</f>
        <v>44112</v>
      </c>
    </row>
    <row r="169">
      <c r="A169" s="180" t="s">
        <v>2134</v>
      </c>
      <c r="B169" s="180" t="s">
        <v>2858</v>
      </c>
      <c r="C169" s="175" t="str">
        <f>VLOOKUP(A169,'Master List'!A:E,2,)</f>
        <v>Xbox / PC</v>
      </c>
      <c r="D169" s="176">
        <f>VLOOKUP(A169,'Master List'!A:E,5,)</f>
        <v>44112</v>
      </c>
    </row>
    <row r="170">
      <c r="A170" s="180" t="s">
        <v>970</v>
      </c>
      <c r="B170" s="180" t="s">
        <v>2920</v>
      </c>
      <c r="C170" s="175" t="str">
        <f>VLOOKUP(A170,'Master List'!A:E,2,)</f>
        <v>Xbox / PC</v>
      </c>
      <c r="D170" s="176">
        <f>VLOOKUP(A170,'Master List'!A:E,5,)</f>
        <v>44105</v>
      </c>
    </row>
    <row r="171">
      <c r="A171" s="189" t="s">
        <v>971</v>
      </c>
      <c r="B171" s="180" t="s">
        <v>2861</v>
      </c>
      <c r="C171" s="175" t="str">
        <f>VLOOKUP(A171,'Master List'!A:E,2,)</f>
        <v>Xbox / PC</v>
      </c>
      <c r="D171" s="176">
        <f>VLOOKUP(A171,'Master List'!A:E,5,)</f>
        <v>44096</v>
      </c>
    </row>
    <row r="172">
      <c r="A172" s="180" t="s">
        <v>981</v>
      </c>
      <c r="B172" s="180" t="s">
        <v>2936</v>
      </c>
      <c r="C172" s="175" t="str">
        <f>VLOOKUP(A172,'Master List'!A:E,2,)</f>
        <v>Xbox / PC</v>
      </c>
      <c r="D172" s="188">
        <f>VLOOKUP(A172,'Master List'!A:E,5,)</f>
        <v>44063</v>
      </c>
    </row>
    <row r="173">
      <c r="A173" s="174" t="s">
        <v>975</v>
      </c>
      <c r="B173" s="180" t="s">
        <v>2865</v>
      </c>
      <c r="C173" s="175" t="str">
        <f>VLOOKUP(A173,'Master List'!A:E,2,)</f>
        <v>Xbox / PC</v>
      </c>
      <c r="D173" s="188">
        <f>VLOOKUP(A173,'Master List'!A:E,5,)</f>
        <v>44071</v>
      </c>
    </row>
    <row r="174">
      <c r="A174" s="180" t="s">
        <v>977</v>
      </c>
      <c r="B174" s="180" t="s">
        <v>2937</v>
      </c>
      <c r="C174" s="175" t="str">
        <f>VLOOKUP(A174,'Master List'!A:E,2,)</f>
        <v>Xbox / PC</v>
      </c>
      <c r="D174" s="188">
        <f>VLOOKUP(A174,'Master List'!A:E,5,)</f>
        <v>44070</v>
      </c>
    </row>
    <row r="175">
      <c r="A175" s="180" t="s">
        <v>979</v>
      </c>
      <c r="B175" s="180" t="s">
        <v>2938</v>
      </c>
      <c r="C175" s="175" t="str">
        <f>VLOOKUP(A175,'Master List'!A:E,2,)</f>
        <v>Xbox / PC</v>
      </c>
      <c r="D175" s="188">
        <f>VLOOKUP(A175,'Master List'!A:E,5,)</f>
        <v>44063</v>
      </c>
    </row>
    <row r="176">
      <c r="A176" s="180" t="s">
        <v>982</v>
      </c>
      <c r="B176" s="180" t="s">
        <v>2924</v>
      </c>
      <c r="C176" s="175" t="str">
        <f>VLOOKUP(A176,'Master List'!A:E,2,)</f>
        <v>Xbox / PC</v>
      </c>
      <c r="D176" s="188">
        <f>VLOOKUP(A176,'Master List'!A:E,5,)</f>
        <v>44061</v>
      </c>
    </row>
    <row r="177">
      <c r="A177" s="180" t="s">
        <v>987</v>
      </c>
      <c r="B177" s="174" t="s">
        <v>2855</v>
      </c>
      <c r="C177" s="175" t="str">
        <f>VLOOKUP(A177,'Master List'!A:E,2,)</f>
        <v>Xbox / PC</v>
      </c>
      <c r="D177" s="188">
        <f>VLOOKUP(A177,'Master List'!A:E,5,)</f>
        <v>44040</v>
      </c>
    </row>
    <row r="178">
      <c r="A178" s="180" t="s">
        <v>990</v>
      </c>
      <c r="B178" s="180" t="s">
        <v>2861</v>
      </c>
      <c r="C178" s="175" t="str">
        <f>VLOOKUP(A178,'Master List'!A:E,2,)</f>
        <v>Xbox / PC</v>
      </c>
      <c r="D178" s="188">
        <f>VLOOKUP(A178,'Master List'!A:E,5,)</f>
        <v>44026</v>
      </c>
    </row>
    <row r="179">
      <c r="A179" s="180" t="s">
        <v>993</v>
      </c>
      <c r="B179" s="180" t="s">
        <v>2873</v>
      </c>
      <c r="C179" s="175" t="str">
        <f>VLOOKUP(A179,'Master List'!A:E,2,)</f>
        <v>Xbox / PC</v>
      </c>
      <c r="D179" s="188">
        <f>VLOOKUP(A179,'Master List'!A:E,5,)</f>
        <v>44021</v>
      </c>
    </row>
    <row r="180">
      <c r="A180" s="180" t="s">
        <v>997</v>
      </c>
      <c r="B180" s="180" t="s">
        <v>2865</v>
      </c>
      <c r="C180" s="175" t="str">
        <f>VLOOKUP(A180,'Master List'!A:E,2,)</f>
        <v>Xbox / PC</v>
      </c>
      <c r="D180" s="188">
        <f>VLOOKUP(A180,'Master List'!A:E,5,)</f>
        <v>44000</v>
      </c>
    </row>
    <row r="181">
      <c r="A181" s="180" t="s">
        <v>1004</v>
      </c>
      <c r="B181" s="174" t="s">
        <v>2930</v>
      </c>
      <c r="C181" s="175" t="str">
        <f>VLOOKUP(A181,'Master List'!A:E,2,)</f>
        <v>Xbox / PC</v>
      </c>
      <c r="D181" s="188">
        <f>VLOOKUP(A181,'Master List'!A:E,5,)</f>
        <v>43977</v>
      </c>
    </row>
    <row r="182">
      <c r="A182" s="180" t="s">
        <v>1008</v>
      </c>
      <c r="B182" s="180" t="s">
        <v>2861</v>
      </c>
      <c r="C182" s="175" t="str">
        <f>VLOOKUP(A182,'Master List'!A:E,2,)</f>
        <v>Xbox / PC</v>
      </c>
      <c r="D182" s="188">
        <f>VLOOKUP(A182,'Master List'!A:E,5,)</f>
        <v>43963</v>
      </c>
    </row>
    <row r="183">
      <c r="A183" s="174" t="s">
        <v>1014</v>
      </c>
      <c r="B183" s="180" t="s">
        <v>2859</v>
      </c>
      <c r="C183" s="175" t="str">
        <f>VLOOKUP(A183,'Master List'!A:E,2,)</f>
        <v>Xbox / PC</v>
      </c>
      <c r="D183" s="188">
        <f>VLOOKUP(A183,'Master List'!A:E,5,)</f>
        <v>43949</v>
      </c>
    </row>
    <row r="184">
      <c r="A184" s="174" t="s">
        <v>1019</v>
      </c>
      <c r="B184" s="174" t="s">
        <v>2866</v>
      </c>
      <c r="C184" s="175" t="str">
        <f>VLOOKUP(A184,'Master List'!A:E,2,)</f>
        <v>Xbox / PC</v>
      </c>
      <c r="D184" s="188">
        <f>VLOOKUP(A184,'Master List'!A:E,5,)</f>
        <v>43914</v>
      </c>
    </row>
    <row r="185">
      <c r="A185" s="174" t="s">
        <v>1020</v>
      </c>
      <c r="B185" s="174" t="s">
        <v>2939</v>
      </c>
      <c r="C185" s="175" t="str">
        <f>VLOOKUP(A185,'Master List'!A:E,2,)</f>
        <v>Xbox / PC</v>
      </c>
      <c r="D185" s="188">
        <f>VLOOKUP(A185,'Master List'!A:E,5,)</f>
        <v>43901</v>
      </c>
    </row>
    <row r="186">
      <c r="A186" s="180" t="s">
        <v>1021</v>
      </c>
      <c r="B186" s="180" t="s">
        <v>2861</v>
      </c>
      <c r="C186" s="175" t="str">
        <f>VLOOKUP(A186,'Master List'!A:E,2,)</f>
        <v>Xbox / PC</v>
      </c>
      <c r="D186" s="188">
        <f>VLOOKUP(A186,'Master List'!A:E,5,)</f>
        <v>43893</v>
      </c>
    </row>
    <row r="187">
      <c r="A187" s="174" t="s">
        <v>1022</v>
      </c>
      <c r="B187" s="180" t="s">
        <v>2865</v>
      </c>
      <c r="C187" s="175" t="str">
        <f>VLOOKUP(A187,'Master List'!A:E,2,)</f>
        <v>Xbox / PC</v>
      </c>
      <c r="D187" s="188">
        <f>VLOOKUP(A187,'Master List'!A:E,5,)</f>
        <v>43886</v>
      </c>
    </row>
    <row r="188">
      <c r="A188" s="174" t="s">
        <v>1024</v>
      </c>
      <c r="B188" s="180" t="s">
        <v>2922</v>
      </c>
      <c r="C188" s="175" t="str">
        <f>VLOOKUP(A188,'Master List'!A:E,2,)</f>
        <v>Xbox / PC</v>
      </c>
      <c r="D188" s="188">
        <f>VLOOKUP(A188,'Master List'!A:E,5,)</f>
        <v>43867</v>
      </c>
    </row>
    <row r="189">
      <c r="A189" s="180" t="s">
        <v>1030</v>
      </c>
      <c r="B189" s="174" t="s">
        <v>2855</v>
      </c>
      <c r="C189" s="175" t="str">
        <f>VLOOKUP(A189,'Master List'!A:E,2,)</f>
        <v>Xbox / PC</v>
      </c>
      <c r="D189" s="188">
        <f>VLOOKUP(A189,'Master List'!A:E,5,)</f>
        <v>43818</v>
      </c>
    </row>
    <row r="190">
      <c r="A190" s="180" t="s">
        <v>1034</v>
      </c>
      <c r="B190" s="180" t="s">
        <v>2861</v>
      </c>
      <c r="C190" s="175" t="str">
        <f>VLOOKUP(A190,'Master List'!A:E,2,)</f>
        <v>Xbox / PC</v>
      </c>
      <c r="D190" s="188">
        <f>VLOOKUP(A190,'Master List'!A:E,5,)</f>
        <v>43802</v>
      </c>
    </row>
    <row r="191">
      <c r="A191" s="174" t="s">
        <v>1036</v>
      </c>
      <c r="B191" s="180" t="s">
        <v>2935</v>
      </c>
      <c r="C191" s="175" t="str">
        <f>VLOOKUP(A191,'Master List'!A:E,2,)</f>
        <v>Xbox / PC</v>
      </c>
      <c r="D191" s="188">
        <f>VLOOKUP(A191,'Master List'!A:E,5,)</f>
        <v>43783</v>
      </c>
    </row>
    <row r="192">
      <c r="A192" s="180" t="s">
        <v>1039</v>
      </c>
      <c r="B192" s="180" t="s">
        <v>2920</v>
      </c>
      <c r="C192" s="175" t="str">
        <f>VLOOKUP(A192,'Master List'!A:E,2,)</f>
        <v>Xbox / PC</v>
      </c>
      <c r="D192" s="188">
        <f>VLOOKUP(A192,'Master List'!A:E,5,)</f>
        <v>43783</v>
      </c>
    </row>
    <row r="193">
      <c r="A193" s="174" t="s">
        <v>1041</v>
      </c>
      <c r="B193" s="174" t="s">
        <v>2855</v>
      </c>
      <c r="C193" s="175" t="str">
        <f>VLOOKUP(A193,'Master List'!A:E,2,)</f>
        <v>Xbox / PC</v>
      </c>
      <c r="D193" s="188">
        <f>VLOOKUP(A193,'Master List'!A:E,5,)</f>
        <v>43763</v>
      </c>
    </row>
    <row r="194">
      <c r="A194" s="180" t="s">
        <v>1043</v>
      </c>
      <c r="B194" s="180" t="s">
        <v>2855</v>
      </c>
      <c r="C194" s="175" t="str">
        <f>VLOOKUP(A194,'Master List'!A:E,2,)</f>
        <v>Xbox / PC</v>
      </c>
      <c r="D194" s="188">
        <f>VLOOKUP(A194,'Master List'!A:E,5,)</f>
        <v>43755</v>
      </c>
    </row>
    <row r="195">
      <c r="A195" s="180" t="s">
        <v>1046</v>
      </c>
      <c r="B195" s="180" t="s">
        <v>2929</v>
      </c>
      <c r="C195" s="175" t="str">
        <f>VLOOKUP(A195,'Master List'!A:E,2,)</f>
        <v>Xbox / PC</v>
      </c>
      <c r="D195" s="188">
        <f>VLOOKUP(A195,'Master List'!A:E,5,)</f>
        <v>43741</v>
      </c>
    </row>
    <row r="196">
      <c r="A196" s="190" t="s">
        <v>1047</v>
      </c>
      <c r="B196" s="180" t="s">
        <v>2859</v>
      </c>
      <c r="C196" s="175" t="str">
        <f>VLOOKUP(A196,'Master List'!A:E,2,)</f>
        <v>Xbox / PC</v>
      </c>
      <c r="D196" s="188">
        <f>VLOOKUP(A196,'Master List'!A:E,5,)</f>
        <v>43718</v>
      </c>
    </row>
    <row r="197">
      <c r="A197" s="180" t="s">
        <v>1050</v>
      </c>
      <c r="B197" s="180" t="s">
        <v>2865</v>
      </c>
      <c r="C197" s="175" t="str">
        <f>VLOOKUP(A197,'Master List'!A:E,2,)</f>
        <v>Xbox / PC</v>
      </c>
      <c r="D197" s="188">
        <f>VLOOKUP(A197,'Master List'!A:E,5,)</f>
        <v>43704</v>
      </c>
    </row>
    <row r="198">
      <c r="A198" s="180" t="s">
        <v>1052</v>
      </c>
      <c r="B198" s="180" t="s">
        <v>2935</v>
      </c>
      <c r="C198" s="175" t="str">
        <f>VLOOKUP(A198,'Master List'!A:E,2,)</f>
        <v>PC</v>
      </c>
      <c r="D198" s="188">
        <f>VLOOKUP(A198,'Master List'!A:E,5,)</f>
        <v>43696</v>
      </c>
    </row>
    <row r="199">
      <c r="A199" s="180" t="s">
        <v>1058</v>
      </c>
      <c r="B199" s="180" t="s">
        <v>2865</v>
      </c>
      <c r="C199" s="175" t="str">
        <f>VLOOKUP(A199,'Master List'!A:E,2,)</f>
        <v>Xbox / PC</v>
      </c>
      <c r="D199" s="188">
        <f>VLOOKUP(A199,'Master List'!A:E,5,)</f>
        <v>43690</v>
      </c>
    </row>
    <row r="200">
      <c r="A200" s="174" t="s">
        <v>1060</v>
      </c>
      <c r="B200" s="174" t="s">
        <v>2860</v>
      </c>
      <c r="C200" s="175" t="str">
        <f>VLOOKUP(A200,'Master List'!A:E,2,)</f>
        <v>Xbox</v>
      </c>
      <c r="D200" s="188">
        <f>VLOOKUP(A200,'Master List'!A:E,5,)</f>
        <v>43671</v>
      </c>
    </row>
    <row r="201">
      <c r="A201" s="174" t="s">
        <v>1062</v>
      </c>
      <c r="B201" s="174" t="s">
        <v>2860</v>
      </c>
      <c r="C201" s="175" t="str">
        <f>VLOOKUP(A201,'Master List'!A:E,2,)</f>
        <v>Xbox</v>
      </c>
      <c r="D201" s="188">
        <f>VLOOKUP(A201,'Master List'!A:E,5,)</f>
        <v>43671</v>
      </c>
    </row>
    <row r="202">
      <c r="A202" s="180" t="s">
        <v>1064</v>
      </c>
      <c r="B202" s="174" t="s">
        <v>2860</v>
      </c>
      <c r="C202" s="175" t="str">
        <f>VLOOKUP(A202,'Master List'!A:E,2,)</f>
        <v>Xbox / PC</v>
      </c>
      <c r="D202" s="188">
        <f>VLOOKUP(A202,'Master List'!A:E,5,)</f>
        <v>43671</v>
      </c>
    </row>
    <row r="203">
      <c r="A203" s="174" t="s">
        <v>1071</v>
      </c>
      <c r="B203" s="174" t="s">
        <v>2860</v>
      </c>
      <c r="C203" s="175" t="str">
        <f>VLOOKUP(A203,'Master List'!A:E,2,)</f>
        <v>Xbox</v>
      </c>
      <c r="D203" s="188">
        <f>VLOOKUP(A203,'Master List'!A:E,5,)</f>
        <v>43636</v>
      </c>
    </row>
    <row r="204">
      <c r="A204" s="174" t="s">
        <v>1072</v>
      </c>
      <c r="B204" s="180" t="s">
        <v>2860</v>
      </c>
      <c r="C204" s="175" t="str">
        <f>VLOOKUP(A204,'Master List'!A:E,2,)</f>
        <v>Xbox</v>
      </c>
      <c r="D204" s="188">
        <f>VLOOKUP(A204,'Master List'!A:E,5,)</f>
        <v>43636</v>
      </c>
    </row>
    <row r="205">
      <c r="A205" s="174" t="s">
        <v>1077</v>
      </c>
      <c r="B205" s="180" t="s">
        <v>2861</v>
      </c>
      <c r="C205" s="175" t="str">
        <f>VLOOKUP(A205,'Master List'!A:E,2,)</f>
        <v>PC</v>
      </c>
      <c r="D205" s="188">
        <f>VLOOKUP(A205,'Master List'!A:E,5,)</f>
        <v>43625</v>
      </c>
    </row>
    <row r="206">
      <c r="A206" s="174" t="s">
        <v>1082</v>
      </c>
      <c r="B206" s="180" t="s">
        <v>2940</v>
      </c>
      <c r="C206" s="175" t="str">
        <f>VLOOKUP(A206,'Master List'!A:E,2,)</f>
        <v>PC</v>
      </c>
      <c r="D206" s="188">
        <f>VLOOKUP(A206,'Master List'!A:E,5,)</f>
        <v>43625</v>
      </c>
    </row>
    <row r="207">
      <c r="A207" s="173" t="s">
        <v>1087</v>
      </c>
      <c r="B207" s="180" t="s">
        <v>2922</v>
      </c>
      <c r="C207" s="175" t="str">
        <f>VLOOKUP(A207,'Master List'!A:E,2,)</f>
        <v>Xbox / PC</v>
      </c>
      <c r="D207" s="188">
        <f>VLOOKUP(A207,'Master List'!A:E,5,)</f>
        <v>43587</v>
      </c>
    </row>
    <row r="208">
      <c r="A208" s="180" t="s">
        <v>1092</v>
      </c>
      <c r="B208" s="180" t="s">
        <v>2929</v>
      </c>
      <c r="C208" s="175" t="str">
        <f>VLOOKUP(A208,'Master List'!A:E,2,)</f>
        <v>Xbox / PC</v>
      </c>
      <c r="D208" s="188">
        <f>VLOOKUP(A208,'Master List'!A:E,5,)</f>
        <v>43566</v>
      </c>
    </row>
    <row r="209">
      <c r="A209" s="174" t="s">
        <v>1093</v>
      </c>
      <c r="B209" s="174" t="s">
        <v>2930</v>
      </c>
      <c r="C209" s="175" t="str">
        <f>VLOOKUP(A209,'Master List'!A:E,2,)</f>
        <v>Xbox / PC</v>
      </c>
      <c r="D209" s="188">
        <f>VLOOKUP(A209,'Master List'!A:E,5,)</f>
        <v>43559</v>
      </c>
    </row>
    <row r="210">
      <c r="A210" s="174" t="s">
        <v>1144</v>
      </c>
      <c r="B210" s="174" t="s">
        <v>2860</v>
      </c>
      <c r="C210" s="175" t="str">
        <f>VLOOKUP(A210,'Master List'!A:E,2,)</f>
        <v>Xbox / PC</v>
      </c>
      <c r="D210" s="188">
        <f>VLOOKUP(A210,'Master List'!A:E,5,)</f>
        <v>43179</v>
      </c>
    </row>
    <row r="211">
      <c r="A211" s="180" t="s">
        <v>1095</v>
      </c>
      <c r="B211" s="180" t="s">
        <v>2873</v>
      </c>
      <c r="C211" s="175" t="str">
        <f>VLOOKUP(A211,'Master List'!A:E,2,)</f>
        <v>Xbox / PC</v>
      </c>
      <c r="D211" s="188">
        <f>VLOOKUP(A211,'Master List'!A:E,5,)</f>
        <v>43538</v>
      </c>
    </row>
    <row r="212">
      <c r="A212" s="174" t="s">
        <v>1099</v>
      </c>
      <c r="B212" s="180" t="s">
        <v>2941</v>
      </c>
      <c r="C212" s="175" t="str">
        <f>VLOOKUP(A212,'Master List'!A:E,2,)</f>
        <v>Xbox / PC</v>
      </c>
      <c r="D212" s="188">
        <f>VLOOKUP(A212,'Master List'!A:E,5,)</f>
        <v>43511</v>
      </c>
    </row>
    <row r="213">
      <c r="A213" s="174" t="s">
        <v>504</v>
      </c>
      <c r="B213" s="174" t="s">
        <v>2863</v>
      </c>
      <c r="C213" s="175" t="str">
        <f>VLOOKUP(A213,'Master List'!A:E,2,)</f>
        <v>Xbox / PC</v>
      </c>
      <c r="D213" s="188">
        <f>VLOOKUP(A213,'Master List'!A:E,5,)</f>
        <v>45302</v>
      </c>
    </row>
    <row r="214">
      <c r="A214" s="174" t="s">
        <v>1108</v>
      </c>
      <c r="B214" s="174" t="s">
        <v>2939</v>
      </c>
      <c r="C214" s="175" t="str">
        <f>VLOOKUP(A214,'Master List'!A:E,2,)</f>
        <v>Xbox / PC</v>
      </c>
      <c r="D214" s="188">
        <f>VLOOKUP(A214,'Master List'!A:E,5,)</f>
        <v>43454</v>
      </c>
    </row>
    <row r="215">
      <c r="A215" s="180" t="s">
        <v>1109</v>
      </c>
      <c r="B215" s="174" t="s">
        <v>2866</v>
      </c>
      <c r="C215" s="175" t="str">
        <f>VLOOKUP(A215,'Master List'!A:E,2,)</f>
        <v>Xbox / PC</v>
      </c>
      <c r="D215" s="188">
        <f>VLOOKUP(A215,'Master List'!A:E,5,)</f>
        <v>43451</v>
      </c>
    </row>
    <row r="216">
      <c r="A216" s="174" t="s">
        <v>1371</v>
      </c>
      <c r="B216" s="180" t="s">
        <v>2868</v>
      </c>
      <c r="C216" s="175" t="str">
        <f>VLOOKUP(A216,'Master List'!A:E,2,)</f>
        <v>Xbox / PC</v>
      </c>
      <c r="D216" s="188">
        <f>VLOOKUP(A216,'Master List'!A:E,5,)</f>
        <v>43375</v>
      </c>
    </row>
    <row r="217">
      <c r="A217" s="180" t="s">
        <v>1110</v>
      </c>
      <c r="B217" s="180" t="s">
        <v>2922</v>
      </c>
      <c r="C217" s="175" t="str">
        <f>VLOOKUP(A217,'Master List'!A:E,2,)</f>
        <v>Xbox / PC</v>
      </c>
      <c r="D217" s="188">
        <f>VLOOKUP(A217,'Master List'!A:E,5,)</f>
        <v>43374</v>
      </c>
    </row>
    <row r="218">
      <c r="A218" s="174" t="s">
        <v>1112</v>
      </c>
      <c r="B218" s="180" t="s">
        <v>2861</v>
      </c>
      <c r="C218" s="175" t="str">
        <f>VLOOKUP(A218,'Master List'!A:E,2,)</f>
        <v>Xbox / PC</v>
      </c>
      <c r="D218" s="188">
        <f>VLOOKUP(A218,'Master List'!A:E,5,)</f>
        <v>43344</v>
      </c>
    </row>
    <row r="219">
      <c r="A219" s="174" t="s">
        <v>1114</v>
      </c>
      <c r="B219" s="180" t="s">
        <v>2942</v>
      </c>
      <c r="C219" s="175" t="str">
        <f>VLOOKUP(A219,'Master List'!A:E,2,)</f>
        <v>Xbox / PC</v>
      </c>
      <c r="D219" s="188">
        <f>VLOOKUP(A219,'Master List'!A:E,5,)</f>
        <v>43344</v>
      </c>
    </row>
    <row r="220">
      <c r="A220" s="180" t="s">
        <v>1116</v>
      </c>
      <c r="B220" s="180" t="s">
        <v>2920</v>
      </c>
      <c r="C220" s="175" t="str">
        <f>VLOOKUP(A220,'Master List'!A:E,2,)</f>
        <v>Xbox</v>
      </c>
      <c r="D220" s="188">
        <f>VLOOKUP(A220,'Master List'!A:E,5,)</f>
        <v>43322</v>
      </c>
    </row>
    <row r="221">
      <c r="A221" s="180" t="s">
        <v>1117</v>
      </c>
      <c r="B221" s="180" t="s">
        <v>2920</v>
      </c>
      <c r="C221" s="175" t="str">
        <f>VLOOKUP(A221,'Master List'!A:E,2,)</f>
        <v>Xbox</v>
      </c>
      <c r="D221" s="188">
        <f>VLOOKUP(A221,'Master List'!A:E,5,)</f>
        <v>43313</v>
      </c>
    </row>
    <row r="222">
      <c r="A222" s="174" t="s">
        <v>1120</v>
      </c>
      <c r="B222" s="180" t="s">
        <v>2943</v>
      </c>
      <c r="C222" s="175" t="str">
        <f>VLOOKUP(A222,'Master List'!A:E,2,)</f>
        <v>Xbox</v>
      </c>
      <c r="D222" s="188">
        <f>VLOOKUP(A222,'Master List'!A:E,5,)</f>
        <v>43313</v>
      </c>
    </row>
    <row r="223">
      <c r="A223" s="180" t="s">
        <v>1124</v>
      </c>
      <c r="B223" s="180" t="s">
        <v>2944</v>
      </c>
      <c r="C223" s="175" t="str">
        <f>VLOOKUP(A223,'Master List'!A:E,2,)</f>
        <v>Xbox / PC</v>
      </c>
      <c r="D223" s="188">
        <f>VLOOKUP(A223,'Master List'!A:E,5,)</f>
        <v>43282</v>
      </c>
    </row>
    <row r="224">
      <c r="A224" s="180" t="s">
        <v>1127</v>
      </c>
      <c r="B224" s="180" t="s">
        <v>2873</v>
      </c>
      <c r="C224" s="175" t="str">
        <f>VLOOKUP(A224,'Master List'!A:E,2,)</f>
        <v>Xbox / PC</v>
      </c>
      <c r="D224" s="188">
        <f>VLOOKUP(A224,'Master List'!A:E,5,)</f>
        <v>43282</v>
      </c>
    </row>
    <row r="225">
      <c r="A225" s="180" t="s">
        <v>1129</v>
      </c>
      <c r="B225" s="180" t="s">
        <v>2945</v>
      </c>
      <c r="C225" s="175" t="str">
        <f>VLOOKUP(A225,'Master List'!A:E,2,)</f>
        <v>Xbox</v>
      </c>
      <c r="D225" s="188">
        <f>VLOOKUP(A225,'Master List'!A:E,5,)</f>
        <v>43261</v>
      </c>
    </row>
    <row r="226">
      <c r="A226" s="174" t="s">
        <v>1133</v>
      </c>
      <c r="B226" s="180" t="s">
        <v>2946</v>
      </c>
      <c r="C226" s="175" t="str">
        <f>VLOOKUP(A226,'Master List'!A:E,2,)</f>
        <v>Xbox / PC</v>
      </c>
      <c r="D226" s="188">
        <f>VLOOKUP(A226,'Master List'!A:E,5,)</f>
        <v>43252</v>
      </c>
    </row>
    <row r="227">
      <c r="A227" s="180" t="s">
        <v>1979</v>
      </c>
      <c r="B227" s="180" t="s">
        <v>2947</v>
      </c>
      <c r="C227" s="175" t="str">
        <f>VLOOKUP(A227,'Master List'!A:E,2,)</f>
        <v>XB360/OG Xbox</v>
      </c>
      <c r="D227" s="188">
        <f>VLOOKUP(A227,'Master List'!A:E,5,)</f>
        <v>44682</v>
      </c>
    </row>
    <row r="228">
      <c r="A228" s="180" t="s">
        <v>1135</v>
      </c>
      <c r="B228" s="180" t="s">
        <v>2865</v>
      </c>
      <c r="C228" s="175" t="str">
        <f>VLOOKUP(A228,'Master List'!A:E,2,)</f>
        <v>Xbox / PC</v>
      </c>
      <c r="D228" s="188">
        <f>VLOOKUP(A228,'Master List'!A:E,5,)</f>
        <v>43252</v>
      </c>
    </row>
    <row r="229">
      <c r="A229" s="174" t="s">
        <v>1137</v>
      </c>
      <c r="B229" s="180" t="s">
        <v>2869</v>
      </c>
      <c r="C229" s="175" t="str">
        <f>VLOOKUP(A229,'Master List'!A:E,2,)</f>
        <v>Xbox / PC</v>
      </c>
      <c r="D229" s="188">
        <f>VLOOKUP(A229,'Master List'!A:E,5,)</f>
        <v>43242</v>
      </c>
    </row>
    <row r="230">
      <c r="A230" s="180" t="s">
        <v>1146</v>
      </c>
      <c r="B230" s="180" t="s">
        <v>2936</v>
      </c>
      <c r="C230" s="175" t="str">
        <f>VLOOKUP(A230,'Master List'!A:E,2,)</f>
        <v>Xbox / PC</v>
      </c>
      <c r="D230" s="188">
        <f>VLOOKUP(A230,'Master List'!A:E,5,)</f>
        <v>43160</v>
      </c>
    </row>
    <row r="231">
      <c r="A231" s="174" t="s">
        <v>1147</v>
      </c>
      <c r="B231" s="180" t="s">
        <v>2948</v>
      </c>
      <c r="C231" s="175" t="str">
        <f>VLOOKUP(A231,'Master List'!A:E,2,)</f>
        <v>Xbox</v>
      </c>
      <c r="D231" s="188">
        <f>VLOOKUP(A231,'Master List'!A:E,5,)</f>
        <v>43132</v>
      </c>
    </row>
    <row r="232">
      <c r="A232" s="174" t="s">
        <v>1149</v>
      </c>
      <c r="B232" s="180" t="s">
        <v>2861</v>
      </c>
      <c r="C232" s="175" t="str">
        <f>VLOOKUP(A232,'Master List'!A:E,2,)</f>
        <v>Xbox / PC</v>
      </c>
      <c r="D232" s="188">
        <f>VLOOKUP(A232,'Master List'!A:E,5,)</f>
        <v>43132</v>
      </c>
    </row>
    <row r="233">
      <c r="A233" s="174" t="s">
        <v>1150</v>
      </c>
      <c r="B233" s="180" t="s">
        <v>2949</v>
      </c>
      <c r="C233" s="175" t="str">
        <f>VLOOKUP(A233,'Master List'!A:E,2,)</f>
        <v>Xbox / PC</v>
      </c>
      <c r="D233" s="188">
        <f>VLOOKUP(A233,'Master List'!A:E,5,)</f>
        <v>43101</v>
      </c>
    </row>
    <row r="234">
      <c r="A234" s="174" t="s">
        <v>1151</v>
      </c>
      <c r="B234" s="180" t="s">
        <v>2859</v>
      </c>
      <c r="C234" s="175" t="str">
        <f>VLOOKUP(A234,'Master List'!A:E,2,)</f>
        <v>Xbox / PC</v>
      </c>
      <c r="D234" s="188">
        <f>VLOOKUP(A234,'Master List'!A:E,5,)</f>
        <v>43070</v>
      </c>
    </row>
    <row r="235">
      <c r="A235" s="174" t="s">
        <v>1154</v>
      </c>
      <c r="B235" s="180" t="s">
        <v>2861</v>
      </c>
      <c r="C235" s="175" t="str">
        <f>VLOOKUP(A235,'Master List'!A:E,2,)</f>
        <v>Xbox / PC</v>
      </c>
      <c r="D235" s="188">
        <f>VLOOKUP(A235,'Master List'!A:E,5,)</f>
        <v>43040</v>
      </c>
    </row>
    <row r="236">
      <c r="A236" s="180" t="s">
        <v>1156</v>
      </c>
      <c r="B236" s="180" t="s">
        <v>2870</v>
      </c>
      <c r="C236" s="175" t="str">
        <f>VLOOKUP(A236,'Master List'!A:E,2,)</f>
        <v>Xbox</v>
      </c>
      <c r="D236" s="188">
        <f>VLOOKUP(A236,'Master List'!A:E,5,)</f>
        <v>43009</v>
      </c>
    </row>
    <row r="237">
      <c r="A237" s="174" t="s">
        <v>1157</v>
      </c>
      <c r="B237" s="180" t="s">
        <v>2869</v>
      </c>
      <c r="C237" s="175" t="str">
        <f>VLOOKUP(A237,'Master List'!A:E,2,)</f>
        <v>Xbox</v>
      </c>
      <c r="D237" s="188">
        <f>VLOOKUP(A237,'Master List'!A:E,5,)</f>
        <v>43009</v>
      </c>
    </row>
    <row r="238">
      <c r="A238" s="174" t="s">
        <v>1159</v>
      </c>
      <c r="B238" s="180" t="s">
        <v>2948</v>
      </c>
      <c r="C238" s="175" t="str">
        <f>VLOOKUP(A238,'Master List'!A:E,2,)</f>
        <v>Xbox</v>
      </c>
      <c r="D238" s="188">
        <f>VLOOKUP(A238,'Master List'!A:E,5,)</f>
        <v>42979</v>
      </c>
    </row>
    <row r="239">
      <c r="A239" s="180" t="s">
        <v>1161</v>
      </c>
      <c r="B239" s="180" t="s">
        <v>2950</v>
      </c>
      <c r="C239" s="175" t="str">
        <f>VLOOKUP(A239,'Master List'!A:E,2,)</f>
        <v>Xbox / PC</v>
      </c>
      <c r="D239" s="188">
        <f>VLOOKUP(A239,'Master List'!A:E,5,)</f>
        <v>42976</v>
      </c>
    </row>
    <row r="240">
      <c r="A240" s="174" t="s">
        <v>1162</v>
      </c>
      <c r="B240" s="174" t="s">
        <v>2860</v>
      </c>
      <c r="C240" s="175" t="str">
        <f>VLOOKUP(A240,'Master List'!A:E,2,)</f>
        <v>Xbox</v>
      </c>
      <c r="D240" s="188">
        <f>VLOOKUP(A240,'Master List'!A:E,5,)</f>
        <v>42887</v>
      </c>
    </row>
    <row r="241">
      <c r="A241" s="174" t="s">
        <v>1163</v>
      </c>
      <c r="B241" s="174" t="s">
        <v>2860</v>
      </c>
      <c r="C241" s="175" t="str">
        <f>VLOOKUP(A241,'Master List'!A:E,2,)</f>
        <v>Xbox</v>
      </c>
      <c r="D241" s="188">
        <f>VLOOKUP(A241,'Master List'!A:E,5,)</f>
        <v>42887</v>
      </c>
    </row>
    <row r="242">
      <c r="A242" s="174" t="s">
        <v>1165</v>
      </c>
      <c r="B242" s="174" t="s">
        <v>2860</v>
      </c>
      <c r="C242" s="175" t="str">
        <f>VLOOKUP(A242,'Master List'!A:E,2,)</f>
        <v>Xbox</v>
      </c>
      <c r="D242" s="188">
        <f>VLOOKUP(A242,'Master List'!A:E,5,)</f>
        <v>42887</v>
      </c>
    </row>
    <row r="243">
      <c r="A243" s="174" t="s">
        <v>1166</v>
      </c>
      <c r="B243" s="180" t="s">
        <v>2948</v>
      </c>
      <c r="C243" s="175" t="str">
        <f>VLOOKUP(A243,'Master List'!A:E,2,)</f>
        <v>Xbox</v>
      </c>
      <c r="D243" s="188">
        <f>VLOOKUP(A243,'Master List'!A:E,5,)</f>
        <v>42887</v>
      </c>
    </row>
    <row r="244">
      <c r="A244" s="174" t="s">
        <v>1168</v>
      </c>
      <c r="B244" s="174" t="s">
        <v>2866</v>
      </c>
      <c r="C244" s="175" t="str">
        <f>VLOOKUP(A244,'Master List'!A:E,2,)</f>
        <v>Xbox</v>
      </c>
      <c r="D244" s="188">
        <f>VLOOKUP(A244,'Master List'!A:E,5,)</f>
        <v>42887</v>
      </c>
    </row>
    <row r="245">
      <c r="A245" s="174" t="s">
        <v>1170</v>
      </c>
      <c r="B245" s="180" t="s">
        <v>2859</v>
      </c>
      <c r="C245" s="175" t="str">
        <f>VLOOKUP(A245,'Master List'!A:E,2,)</f>
        <v>Xbox</v>
      </c>
      <c r="D245" s="188">
        <f>VLOOKUP(A245,'Master List'!A:E,5,)</f>
        <v>42887</v>
      </c>
    </row>
    <row r="246">
      <c r="A246" s="174" t="s">
        <v>1171</v>
      </c>
      <c r="B246" s="180" t="s">
        <v>2859</v>
      </c>
      <c r="C246" s="175" t="str">
        <f>VLOOKUP(A246,'Master List'!A:E,2,)</f>
        <v>Xbox</v>
      </c>
      <c r="D246" s="188">
        <f>VLOOKUP(A246,'Master List'!A:E,5,)</f>
        <v>42887</v>
      </c>
    </row>
    <row r="247">
      <c r="A247" s="174" t="s">
        <v>1172</v>
      </c>
      <c r="B247" s="180" t="s">
        <v>2859</v>
      </c>
      <c r="C247" s="175" t="str">
        <f>VLOOKUP(A247,'Master List'!A:E,2,)</f>
        <v>Xbox</v>
      </c>
      <c r="D247" s="188">
        <f>VLOOKUP(A247,'Master List'!A:E,5,)</f>
        <v>42887</v>
      </c>
    </row>
    <row r="248">
      <c r="A248" s="174" t="s">
        <v>1173</v>
      </c>
      <c r="B248" s="180" t="s">
        <v>2859</v>
      </c>
      <c r="C248" s="175" t="str">
        <f>VLOOKUP(A248,'Master List'!A:E,2,)</f>
        <v>Xbox</v>
      </c>
      <c r="D248" s="188">
        <f>VLOOKUP(A248,'Master List'!A:E,5,)</f>
        <v>42887</v>
      </c>
    </row>
    <row r="249">
      <c r="A249" s="174" t="s">
        <v>1174</v>
      </c>
      <c r="B249" s="180" t="s">
        <v>2859</v>
      </c>
      <c r="C249" s="175" t="str">
        <f>VLOOKUP(A249,'Master List'!A:E,2,)</f>
        <v>Xbox / PC</v>
      </c>
      <c r="D249" s="188">
        <f>VLOOKUP(A249,'Master List'!A:E,5,)</f>
        <v>42887</v>
      </c>
    </row>
    <row r="250">
      <c r="A250" s="174" t="s">
        <v>1175</v>
      </c>
      <c r="B250" s="180" t="s">
        <v>2861</v>
      </c>
      <c r="C250" s="175" t="str">
        <f>VLOOKUP(A250,'Master List'!A:E,2,)</f>
        <v>Xbox</v>
      </c>
      <c r="D250" s="188">
        <f>VLOOKUP(A250,'Master List'!A:E,5,)</f>
        <v>42887</v>
      </c>
    </row>
    <row r="251">
      <c r="A251" s="174" t="s">
        <v>1177</v>
      </c>
      <c r="B251" s="180" t="s">
        <v>2861</v>
      </c>
      <c r="C251" s="175" t="str">
        <f>VLOOKUP(A251,'Master List'!A:E,2,)</f>
        <v>Xbox / PC</v>
      </c>
      <c r="D251" s="188">
        <f>VLOOKUP(A251,'Master List'!A:E,5,)</f>
        <v>42887</v>
      </c>
    </row>
    <row r="252">
      <c r="A252" s="189" t="s">
        <v>1178</v>
      </c>
      <c r="B252" s="180" t="s">
        <v>2860</v>
      </c>
      <c r="C252" s="175" t="str">
        <f>VLOOKUP(A252,'Master List'!A:E,2,)</f>
        <v>Xbox</v>
      </c>
      <c r="D252" s="188">
        <f>VLOOKUP(A252,'Master List'!A:E,5,)</f>
        <v>42887</v>
      </c>
    </row>
    <row r="253">
      <c r="A253" s="174" t="s">
        <v>1179</v>
      </c>
      <c r="B253" s="179" t="s">
        <v>2951</v>
      </c>
      <c r="C253" s="175" t="str">
        <f>VLOOKUP(A253,'Master List'!A:E,2,)</f>
        <v>Xbox</v>
      </c>
      <c r="D253" s="188">
        <f>VLOOKUP(A253,'Master List'!A:E,5,)</f>
        <v>42887</v>
      </c>
    </row>
    <row r="254">
      <c r="A254" s="174" t="s">
        <v>1180</v>
      </c>
      <c r="B254" s="180" t="s">
        <v>2860</v>
      </c>
      <c r="C254" s="175" t="str">
        <f>VLOOKUP(A254,'Master List'!A:E,2,)</f>
        <v>Xbox</v>
      </c>
      <c r="D254" s="188">
        <f>VLOOKUP(A254,'Master List'!A:E,5,)</f>
        <v>42887</v>
      </c>
    </row>
    <row r="255">
      <c r="A255" s="174" t="s">
        <v>1181</v>
      </c>
      <c r="B255" s="180" t="s">
        <v>2952</v>
      </c>
      <c r="C255" s="175" t="str">
        <f>VLOOKUP(A255,'Master List'!A:E,2,)</f>
        <v>Xbox</v>
      </c>
      <c r="D255" s="188">
        <f>VLOOKUP(A255,'Master List'!A:E,5,)</f>
        <v>42887</v>
      </c>
    </row>
    <row r="256">
      <c r="A256" s="174" t="s">
        <v>1185</v>
      </c>
      <c r="B256" s="174" t="s">
        <v>2860</v>
      </c>
      <c r="C256" s="175" t="str">
        <f>VLOOKUP(A256,'Master List'!A:E,2,)</f>
        <v>Xbox</v>
      </c>
      <c r="D256" s="188">
        <f>VLOOKUP(A256,'Master List'!A:E,5,)</f>
        <v>42887</v>
      </c>
    </row>
    <row r="257">
      <c r="A257" s="174" t="s">
        <v>1186</v>
      </c>
      <c r="B257" s="180" t="s">
        <v>2946</v>
      </c>
      <c r="C257" s="175" t="str">
        <f>VLOOKUP(A257,'Master List'!A:E,2,)</f>
        <v>Xbox</v>
      </c>
      <c r="D257" s="188">
        <f>VLOOKUP(A257,'Master List'!A:E,5,)</f>
        <v>42887</v>
      </c>
    </row>
    <row r="258">
      <c r="A258" s="180" t="s">
        <v>1187</v>
      </c>
      <c r="B258" s="180" t="s">
        <v>2953</v>
      </c>
      <c r="C258" s="175" t="str">
        <f>VLOOKUP(A258,'Master List'!A:E,2,)</f>
        <v>Xbox / PC</v>
      </c>
      <c r="D258" s="188">
        <f>VLOOKUP(A258,'Master List'!A:E,5,)</f>
        <v>42887</v>
      </c>
    </row>
    <row r="259">
      <c r="A259" s="174" t="s">
        <v>1191</v>
      </c>
      <c r="B259" s="174" t="s">
        <v>2860</v>
      </c>
      <c r="C259" s="175" t="str">
        <f>VLOOKUP(A259,'Master List'!A:E,2,)</f>
        <v>Xbox</v>
      </c>
      <c r="D259" s="188">
        <f>VLOOKUP(A259,'Master List'!A:E,5,)</f>
        <v>42887</v>
      </c>
    </row>
    <row r="260">
      <c r="A260" s="174" t="s">
        <v>1193</v>
      </c>
      <c r="B260" s="174" t="s">
        <v>2860</v>
      </c>
      <c r="C260" s="175" t="str">
        <f>VLOOKUP(A260,'Master List'!A:E,2,)</f>
        <v>Xbox</v>
      </c>
      <c r="D260" s="188">
        <f>VLOOKUP(A260,'Master List'!A:E,5,)</f>
        <v>42887</v>
      </c>
    </row>
  </sheetData>
  <conditionalFormatting sqref="A1:L1">
    <cfRule type="expression" dxfId="4" priority="1">
      <formula>$M1="Removed"</formula>
    </cfRule>
  </conditionalFormatting>
  <hyperlinks>
    <hyperlink r:id="rId1" ref="E40"/>
    <hyperlink r:id="rId2" ref="E41"/>
    <hyperlink r:id="rId3" ref="E42"/>
    <hyperlink r:id="rId4" ref="E43"/>
    <hyperlink r:id="rId5" ref="E44"/>
    <hyperlink r:id="rId6" ref="E46"/>
    <hyperlink r:id="rId7" ref="E47"/>
    <hyperlink r:id="rId8" ref="E49"/>
    <hyperlink r:id="rId9" ref="E50"/>
    <hyperlink r:id="rId10" ref="E51"/>
    <hyperlink r:id="rId11" ref="E52"/>
    <hyperlink r:id="rId12" location="Windows_version" ref="E53"/>
    <hyperlink r:id="rId13" ref="E54"/>
    <hyperlink r:id="rId14" ref="E55"/>
    <hyperlink r:id="rId15" ref="E57"/>
    <hyperlink r:id="rId16" ref="E58"/>
    <hyperlink r:id="rId17" ref="E59"/>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75"/>
    <col customWidth="1" min="2" max="2" width="9.38"/>
    <col customWidth="1" min="3" max="3" width="12.13"/>
    <col customWidth="1" min="4" max="4" width="11.25"/>
    <col customWidth="1" min="5" max="5" width="11.5"/>
    <col customWidth="1" min="6" max="6" width="17.38"/>
    <col customWidth="1" min="7" max="7" width="9.63"/>
    <col customWidth="1" min="8" max="8" width="11.5"/>
    <col customWidth="1" min="9" max="9" width="7.75"/>
    <col customWidth="1" min="10" max="10" width="11.88"/>
    <col customWidth="1" min="11" max="11" width="12.63"/>
    <col customWidth="1" min="12" max="12" width="42.25"/>
  </cols>
  <sheetData>
    <row r="1">
      <c r="A1" s="191" t="s">
        <v>2954</v>
      </c>
      <c r="B1" s="192">
        <f>COUNTA(A3:A975)</f>
        <v>613</v>
      </c>
      <c r="C1" s="191"/>
      <c r="D1" s="191"/>
      <c r="E1" s="191"/>
      <c r="F1" s="191"/>
      <c r="G1" s="191"/>
      <c r="H1" s="191"/>
      <c r="I1" s="191"/>
      <c r="J1" s="191"/>
      <c r="K1" s="191"/>
      <c r="L1" s="191"/>
    </row>
    <row r="2">
      <c r="A2" s="193" t="s">
        <v>8</v>
      </c>
      <c r="B2" s="171" t="s">
        <v>9</v>
      </c>
      <c r="C2" s="170" t="s">
        <v>10</v>
      </c>
      <c r="D2" s="171" t="s">
        <v>11</v>
      </c>
      <c r="E2" s="171" t="s">
        <v>12</v>
      </c>
      <c r="F2" s="170" t="s">
        <v>13</v>
      </c>
      <c r="G2" s="194" t="s">
        <v>14</v>
      </c>
      <c r="H2" s="172" t="s">
        <v>15</v>
      </c>
      <c r="I2" s="172" t="s">
        <v>16</v>
      </c>
      <c r="J2" s="172" t="s">
        <v>17</v>
      </c>
      <c r="K2" s="172" t="s">
        <v>18</v>
      </c>
      <c r="L2" s="172" t="s">
        <v>2847</v>
      </c>
    </row>
    <row r="3">
      <c r="A3" s="190" t="str">
        <f>IFERROR(__xludf.DUMMYFUNCTION("SORT(FILTER('Master List'!A2:L975, REGEXMATCH('Master List'!B2:B975, ""PC""), NOT(REGEXMATCH('Master List'!D2:D975, ""Removed"")) ), 10, false)"),"Grand Theft Auto V")</f>
        <v>Grand Theft Auto V</v>
      </c>
      <c r="B3" s="195" t="str">
        <f>IFERROR(__xludf.DUMMYFUNCTION("""COMPUTED_VALUE"""),"Xbox / PC")</f>
        <v>Xbox / PC</v>
      </c>
      <c r="C3" s="196" t="str">
        <f>IFERROR(__xludf.DUMMYFUNCTION("""COMPUTED_VALUE"""),"Yes")</f>
        <v>Yes</v>
      </c>
      <c r="D3" s="196" t="str">
        <f>IFERROR(__xludf.DUMMYFUNCTION("""COMPUTED_VALUE"""),"Active")</f>
        <v>Active</v>
      </c>
      <c r="E3" s="197">
        <f>IFERROR(__xludf.DUMMYFUNCTION("""COMPUTED_VALUE"""),45762.0)</f>
        <v>45762</v>
      </c>
      <c r="F3" s="198"/>
      <c r="G3" s="199">
        <f>IFERROR(__xludf.DUMMYFUNCTION("""COMPUTED_VALUE"""),6.0)</f>
        <v>6</v>
      </c>
      <c r="H3" s="197">
        <f>IFERROR(__xludf.DUMMYFUNCTION("""COMPUTED_VALUE"""),41534.0)</f>
        <v>41534</v>
      </c>
      <c r="I3" s="199">
        <f>IFERROR(__xludf.DUMMYFUNCTION("""COMPUTED_VALUE"""),11.577777777777778)</f>
        <v>11.57777778</v>
      </c>
      <c r="J3" s="200">
        <f>IFERROR(__xludf.DUMMYFUNCTION("""COMPUTED_VALUE"""),97.0)</f>
        <v>97</v>
      </c>
      <c r="K3" s="200">
        <f>IFERROR(__xludf.DUMMYFUNCTION("""COMPUTED_VALUE"""),31.5)</f>
        <v>31.5</v>
      </c>
      <c r="L3" s="201" t="str">
        <f>IFERROR(__xludf.DUMMYFUNCTION("""COMPUTED_VALUE"""),"Driving/Racing / Action-Adventure")</f>
        <v>Driving/Racing / Action-Adventure</v>
      </c>
    </row>
    <row r="4">
      <c r="A4" s="190" t="str">
        <f>IFERROR(__xludf.DUMMYFUNCTION("""COMPUTED_VALUE"""),"Mass Effect 2: Digital Deluxe Edition")</f>
        <v>Mass Effect 2: Digital Deluxe Edition</v>
      </c>
      <c r="B4" s="195" t="str">
        <f>IFERROR(__xludf.DUMMYFUNCTION("""COMPUTED_VALUE"""),"Xbox / PC")</f>
        <v>Xbox / PC</v>
      </c>
      <c r="C4" s="196"/>
      <c r="D4" s="196" t="str">
        <f>IFERROR(__xludf.DUMMYFUNCTION("""COMPUTED_VALUE"""),"Active")</f>
        <v>Active</v>
      </c>
      <c r="E4" s="197">
        <f>IFERROR(__xludf.DUMMYFUNCTION("""COMPUTED_VALUE"""),44145.0)</f>
        <v>44145</v>
      </c>
      <c r="F4" s="198"/>
      <c r="G4" s="199">
        <f>IFERROR(__xludf.DUMMYFUNCTION("""COMPUTED_VALUE"""),59.166666666666664)</f>
        <v>59.16666667</v>
      </c>
      <c r="H4" s="197">
        <f>IFERROR(__xludf.DUMMYFUNCTION("""COMPUTED_VALUE"""),40204.0)</f>
        <v>40204</v>
      </c>
      <c r="I4" s="199">
        <f>IFERROR(__xludf.DUMMYFUNCTION("""COMPUTED_VALUE"""),10.78888888888889)</f>
        <v>10.78888889</v>
      </c>
      <c r="J4" s="200">
        <f>IFERROR(__xludf.DUMMYFUNCTION("""COMPUTED_VALUE"""),96.0)</f>
        <v>96</v>
      </c>
      <c r="K4" s="200">
        <f>IFERROR(__xludf.DUMMYFUNCTION("""COMPUTED_VALUE"""),24.5)</f>
        <v>24.5</v>
      </c>
      <c r="L4" s="201" t="str">
        <f>IFERROR(__xludf.DUMMYFUNCTION("""COMPUTED_VALUE"""),"RPG / Action-Adventure")</f>
        <v>RPG / Action-Adventure</v>
      </c>
    </row>
    <row r="5">
      <c r="A5" s="190" t="str">
        <f>IFERROR(__xludf.DUMMYFUNCTION("""COMPUTED_VALUE"""),"Metaphor: ReFantazio")</f>
        <v>Metaphor: ReFantazio</v>
      </c>
      <c r="B5" s="195" t="str">
        <f>IFERROR(__xludf.DUMMYFUNCTION("""COMPUTED_VALUE"""),"Xbox / PC")</f>
        <v>Xbox / PC</v>
      </c>
      <c r="C5" s="196" t="str">
        <f>IFERROR(__xludf.DUMMYFUNCTION("""COMPUTED_VALUE"""),"Yes")</f>
        <v>Yes</v>
      </c>
      <c r="D5" s="196" t="str">
        <f>IFERROR(__xludf.DUMMYFUNCTION("""COMPUTED_VALUE"""),"Active")</f>
        <v>Active</v>
      </c>
      <c r="E5" s="197">
        <f>IFERROR(__xludf.DUMMYFUNCTION("""COMPUTED_VALUE"""),45806.0)</f>
        <v>45806</v>
      </c>
      <c r="F5" s="198"/>
      <c r="G5" s="199">
        <f>IFERROR(__xludf.DUMMYFUNCTION("""COMPUTED_VALUE"""),4.533333333333333)</f>
        <v>4.533333333</v>
      </c>
      <c r="H5" s="197">
        <f>IFERROR(__xludf.DUMMYFUNCTION("""COMPUTED_VALUE"""),45576.0)</f>
        <v>45576</v>
      </c>
      <c r="I5" s="199">
        <f>IFERROR(__xludf.DUMMYFUNCTION("""COMPUTED_VALUE"""),0.6333333333333333)</f>
        <v>0.6333333333</v>
      </c>
      <c r="J5" s="200">
        <f>IFERROR(__xludf.DUMMYFUNCTION("""COMPUTED_VALUE"""),94.0)</f>
        <v>94</v>
      </c>
      <c r="K5" s="200">
        <f>IFERROR(__xludf.DUMMYFUNCTION("""COMPUTED_VALUE"""),66.0)</f>
        <v>66</v>
      </c>
      <c r="L5" s="201" t="str">
        <f>IFERROR(__xludf.DUMMYFUNCTION("""COMPUTED_VALUE"""),"RPG")</f>
        <v>RPG</v>
      </c>
    </row>
    <row r="6">
      <c r="A6" s="190" t="str">
        <f>IFERROR(__xludf.DUMMYFUNCTION("""COMPUTED_VALUE"""),"Diablo")</f>
        <v>Diablo</v>
      </c>
      <c r="B6" s="195" t="str">
        <f>IFERROR(__xludf.DUMMYFUNCTION("""COMPUTED_VALUE"""),"PC")</f>
        <v>PC</v>
      </c>
      <c r="C6" s="196"/>
      <c r="D6" s="196" t="str">
        <f>IFERROR(__xludf.DUMMYFUNCTION("""COMPUTED_VALUE"""),"Active")</f>
        <v>Active</v>
      </c>
      <c r="E6" s="197">
        <f>IFERROR(__xludf.DUMMYFUNCTION("""COMPUTED_VALUE"""),45671.0)</f>
        <v>45671</v>
      </c>
      <c r="F6" s="198"/>
      <c r="G6" s="199">
        <f>IFERROR(__xludf.DUMMYFUNCTION("""COMPUTED_VALUE"""),9.033333333333333)</f>
        <v>9.033333333</v>
      </c>
      <c r="H6" s="197">
        <f>IFERROR(__xludf.DUMMYFUNCTION("""COMPUTED_VALUE"""),35430.0)</f>
        <v>35430</v>
      </c>
      <c r="I6" s="199">
        <f>IFERROR(__xludf.DUMMYFUNCTION("""COMPUTED_VALUE"""),28.038888888888888)</f>
        <v>28.03888889</v>
      </c>
      <c r="J6" s="200">
        <f>IFERROR(__xludf.DUMMYFUNCTION("""COMPUTED_VALUE"""),94.0)</f>
        <v>94</v>
      </c>
      <c r="K6" s="200">
        <f>IFERROR(__xludf.DUMMYFUNCTION("""COMPUTED_VALUE"""),7.0)</f>
        <v>7</v>
      </c>
      <c r="L6" s="201" t="str">
        <f>IFERROR(__xludf.DUMMYFUNCTION("""COMPUTED_VALUE"""),"RPG")</f>
        <v>RPG</v>
      </c>
    </row>
    <row r="7">
      <c r="A7" s="190" t="str">
        <f>IFERROR(__xludf.DUMMYFUNCTION("""COMPUTED_VALUE"""),"Quake")</f>
        <v>Quake</v>
      </c>
      <c r="B7" s="195" t="str">
        <f>IFERROR(__xludf.DUMMYFUNCTION("""COMPUTED_VALUE"""),"Xbox / PC")</f>
        <v>Xbox / PC</v>
      </c>
      <c r="C7" s="196" t="str">
        <f>IFERROR(__xludf.DUMMYFUNCTION("""COMPUTED_VALUE"""),"M+KB")</f>
        <v>M+KB</v>
      </c>
      <c r="D7" s="196" t="str">
        <f>IFERROR(__xludf.DUMMYFUNCTION("""COMPUTED_VALUE"""),"Active")</f>
        <v>Active</v>
      </c>
      <c r="E7" s="197">
        <f>IFERROR(__xludf.DUMMYFUNCTION("""COMPUTED_VALUE"""),44427.0)</f>
        <v>44427</v>
      </c>
      <c r="F7" s="198"/>
      <c r="G7" s="199">
        <f>IFERROR(__xludf.DUMMYFUNCTION("""COMPUTED_VALUE"""),49.866666666666674)</f>
        <v>49.86666667</v>
      </c>
      <c r="H7" s="197">
        <f>IFERROR(__xludf.DUMMYFUNCTION("""COMPUTED_VALUE"""),35269.0)</f>
        <v>35269</v>
      </c>
      <c r="I7" s="199">
        <f>IFERROR(__xludf.DUMMYFUNCTION("""COMPUTED_VALUE"""),25.072222222222223)</f>
        <v>25.07222222</v>
      </c>
      <c r="J7" s="200">
        <f>IFERROR(__xludf.DUMMYFUNCTION("""COMPUTED_VALUE"""),94.0)</f>
        <v>94</v>
      </c>
      <c r="K7" s="200">
        <f>IFERROR(__xludf.DUMMYFUNCTION("""COMPUTED_VALUE"""),5.5)</f>
        <v>5.5</v>
      </c>
      <c r="L7" s="201" t="str">
        <f>IFERROR(__xludf.DUMMYFUNCTION("""COMPUTED_VALUE"""),"First-Person Shooter")</f>
        <v>First-Person Shooter</v>
      </c>
    </row>
    <row r="8">
      <c r="A8" s="190" t="str">
        <f>IFERROR(__xludf.DUMMYFUNCTION("""COMPUTED_VALUE"""),"Ultima Underworld 1")</f>
        <v>Ultima Underworld 1</v>
      </c>
      <c r="B8" s="195" t="str">
        <f>IFERROR(__xludf.DUMMYFUNCTION("""COMPUTED_VALUE"""),"PC")</f>
        <v>PC</v>
      </c>
      <c r="C8" s="196"/>
      <c r="D8" s="196" t="str">
        <f>IFERROR(__xludf.DUMMYFUNCTION("""COMPUTED_VALUE"""),"Active")</f>
        <v>Active</v>
      </c>
      <c r="E8" s="197">
        <f>IFERROR(__xludf.DUMMYFUNCTION("""COMPUTED_VALUE"""),44425.0)</f>
        <v>44425</v>
      </c>
      <c r="F8" s="198"/>
      <c r="G8" s="199">
        <f>IFERROR(__xludf.DUMMYFUNCTION("""COMPUTED_VALUE"""),49.93333333333334)</f>
        <v>49.93333333</v>
      </c>
      <c r="H8" s="197">
        <f>IFERROR(__xludf.DUMMYFUNCTION("""COMPUTED_VALUE"""),33690.0)</f>
        <v>33690</v>
      </c>
      <c r="I8" s="199">
        <f>IFERROR(__xludf.DUMMYFUNCTION("""COMPUTED_VALUE"""),29.38888888888889)</f>
        <v>29.38888889</v>
      </c>
      <c r="J8" s="200">
        <f>IFERROR(__xludf.DUMMYFUNCTION("""COMPUTED_VALUE"""),94.0)</f>
        <v>94</v>
      </c>
      <c r="K8" s="200">
        <f>IFERROR(__xludf.DUMMYFUNCTION("""COMPUTED_VALUE"""),19.5)</f>
        <v>19.5</v>
      </c>
      <c r="L8" s="201" t="str">
        <f>IFERROR(__xludf.DUMMYFUNCTION("""COMPUTED_VALUE"""),"Action / RPG")</f>
        <v>Action / RPG</v>
      </c>
    </row>
    <row r="9">
      <c r="A9" s="190" t="str">
        <f>IFERROR(__xludf.DUMMYFUNCTION("""COMPUTED_VALUE"""),"The Elder Scrolls IV: Oblivion")</f>
        <v>The Elder Scrolls IV: Oblivion</v>
      </c>
      <c r="B9" s="195" t="str">
        <f>IFERROR(__xludf.DUMMYFUNCTION("""COMPUTED_VALUE"""),"Xbox / PC")</f>
        <v>Xbox / PC</v>
      </c>
      <c r="C9" s="196" t="str">
        <f>IFERROR(__xludf.DUMMYFUNCTION("""COMPUTED_VALUE"""),"Yes")</f>
        <v>Yes</v>
      </c>
      <c r="D9" s="196" t="str">
        <f>IFERROR(__xludf.DUMMYFUNCTION("""COMPUTED_VALUE"""),"Active")</f>
        <v>Active</v>
      </c>
      <c r="E9" s="197">
        <f>IFERROR(__xludf.DUMMYFUNCTION("""COMPUTED_VALUE"""),43282.0)</f>
        <v>43282</v>
      </c>
      <c r="F9" s="198"/>
      <c r="G9" s="199">
        <f>IFERROR(__xludf.DUMMYFUNCTION("""COMPUTED_VALUE"""),87.46666666666667)</f>
        <v>87.46666667</v>
      </c>
      <c r="H9" s="197">
        <f>IFERROR(__xludf.DUMMYFUNCTION("""COMPUTED_VALUE"""),38796.0)</f>
        <v>38796</v>
      </c>
      <c r="I9" s="199">
        <f>IFERROR(__xludf.DUMMYFUNCTION("""COMPUTED_VALUE"""),12.280555555555555)</f>
        <v>12.28055556</v>
      </c>
      <c r="J9" s="200">
        <f>IFERROR(__xludf.DUMMYFUNCTION("""COMPUTED_VALUE"""),94.0)</f>
        <v>94</v>
      </c>
      <c r="K9" s="200">
        <f>IFERROR(__xludf.DUMMYFUNCTION("""COMPUTED_VALUE"""),27.5)</f>
        <v>27.5</v>
      </c>
      <c r="L9" s="201" t="str">
        <f>IFERROR(__xludf.DUMMYFUNCTION("""COMPUTED_VALUE"""),"Action / RPG")</f>
        <v>Action / RPG</v>
      </c>
    </row>
    <row r="10">
      <c r="A10" s="190" t="str">
        <f>IFERROR(__xludf.DUMMYFUNCTION("""COMPUTED_VALUE"""),"Hades")</f>
        <v>Hades</v>
      </c>
      <c r="B10" s="195" t="str">
        <f>IFERROR(__xludf.DUMMYFUNCTION("""COMPUTED_VALUE"""),"Xbox / PC")</f>
        <v>Xbox / PC</v>
      </c>
      <c r="C10" s="196" t="str">
        <f>IFERROR(__xludf.DUMMYFUNCTION("""COMPUTED_VALUE"""),"Touch Controls")</f>
        <v>Touch Controls</v>
      </c>
      <c r="D10" s="196" t="str">
        <f>IFERROR(__xludf.DUMMYFUNCTION("""COMPUTED_VALUE"""),"Active")</f>
        <v>Active</v>
      </c>
      <c r="E10" s="197">
        <f>IFERROR(__xludf.DUMMYFUNCTION("""COMPUTED_VALUE"""),45919.0)</f>
        <v>45919</v>
      </c>
      <c r="F10" s="198"/>
      <c r="G10" s="199">
        <f>IFERROR(__xludf.DUMMYFUNCTION("""COMPUTED_VALUE"""),0.8666666666666666)</f>
        <v>0.8666666667</v>
      </c>
      <c r="H10" s="197">
        <f>IFERROR(__xludf.DUMMYFUNCTION("""COMPUTED_VALUE"""),43441.0)</f>
        <v>43441</v>
      </c>
      <c r="I10" s="199">
        <f>IFERROR(__xludf.DUMMYFUNCTION("""COMPUTED_VALUE"""),6.783333333333333)</f>
        <v>6.783333333</v>
      </c>
      <c r="J10" s="200">
        <f>IFERROR(__xludf.DUMMYFUNCTION("""COMPUTED_VALUE"""),93.5)</f>
        <v>93.5</v>
      </c>
      <c r="K10" s="200">
        <f>IFERROR(__xludf.DUMMYFUNCTION("""COMPUTED_VALUE"""),21.0)</f>
        <v>21</v>
      </c>
      <c r="L10" s="201" t="str">
        <f>IFERROR(__xludf.DUMMYFUNCTION("""COMPUTED_VALUE"""),"Action / RPG")</f>
        <v>Action / RPG</v>
      </c>
    </row>
    <row r="11">
      <c r="A11" s="190" t="str">
        <f>IFERROR(__xludf.DUMMYFUNCTION("""COMPUTED_VALUE"""),"Blue Prince")</f>
        <v>Blue Prince</v>
      </c>
      <c r="B11" s="195" t="str">
        <f>IFERROR(__xludf.DUMMYFUNCTION("""COMPUTED_VALUE"""),"Xbox / PC")</f>
        <v>Xbox / PC</v>
      </c>
      <c r="C11" s="196" t="str">
        <f>IFERROR(__xludf.DUMMYFUNCTION("""COMPUTED_VALUE"""),"Yes")</f>
        <v>Yes</v>
      </c>
      <c r="D11" s="196" t="str">
        <f>IFERROR(__xludf.DUMMYFUNCTION("""COMPUTED_VALUE"""),"Active")</f>
        <v>Active</v>
      </c>
      <c r="E11" s="197">
        <f>IFERROR(__xludf.DUMMYFUNCTION("""COMPUTED_VALUE"""),45757.0)</f>
        <v>45757</v>
      </c>
      <c r="F11" s="198"/>
      <c r="G11" s="199">
        <f>IFERROR(__xludf.DUMMYFUNCTION("""COMPUTED_VALUE"""),6.166666666666666)</f>
        <v>6.166666667</v>
      </c>
      <c r="H11" s="197">
        <f>IFERROR(__xludf.DUMMYFUNCTION("""COMPUTED_VALUE"""),45757.0)</f>
        <v>45757</v>
      </c>
      <c r="I11" s="199">
        <f>IFERROR(__xludf.DUMMYFUNCTION("""COMPUTED_VALUE"""),0.0)</f>
        <v>0</v>
      </c>
      <c r="J11" s="200">
        <f>IFERROR(__xludf.DUMMYFUNCTION("""COMPUTED_VALUE"""),93.0)</f>
        <v>93</v>
      </c>
      <c r="K11" s="200">
        <f>IFERROR(__xludf.DUMMYFUNCTION("""COMPUTED_VALUE"""),14.0)</f>
        <v>14</v>
      </c>
      <c r="L11" s="201" t="str">
        <f>IFERROR(__xludf.DUMMYFUNCTION("""COMPUTED_VALUE"""),"Action-Adventure")</f>
        <v>Action-Adventure</v>
      </c>
    </row>
    <row r="12">
      <c r="A12" s="190" t="str">
        <f>IFERROR(__xludf.DUMMYFUNCTION("""COMPUTED_VALUE"""),"Inside")</f>
        <v>Inside</v>
      </c>
      <c r="B12" s="195" t="str">
        <f>IFERROR(__xludf.DUMMYFUNCTION("""COMPUTED_VALUE"""),"Xbox / PC")</f>
        <v>Xbox / PC</v>
      </c>
      <c r="C12" s="196" t="str">
        <f>IFERROR(__xludf.DUMMYFUNCTION("""COMPUTED_VALUE"""),"Yes")</f>
        <v>Yes</v>
      </c>
      <c r="D12" s="196" t="str">
        <f>IFERROR(__xludf.DUMMYFUNCTION("""COMPUTED_VALUE"""),"Active")</f>
        <v>Active</v>
      </c>
      <c r="E12" s="197">
        <f>IFERROR(__xludf.DUMMYFUNCTION("""COMPUTED_VALUE"""),44763.0)</f>
        <v>44763</v>
      </c>
      <c r="F12" s="198"/>
      <c r="G12" s="199">
        <f>IFERROR(__xludf.DUMMYFUNCTION("""COMPUTED_VALUE"""),38.8)</f>
        <v>38.8</v>
      </c>
      <c r="H12" s="197">
        <f>IFERROR(__xludf.DUMMYFUNCTION("""COMPUTED_VALUE"""),42550.0)</f>
        <v>42550</v>
      </c>
      <c r="I12" s="199">
        <f>IFERROR(__xludf.DUMMYFUNCTION("""COMPUTED_VALUE"""),6.061111111111111)</f>
        <v>6.061111111</v>
      </c>
      <c r="J12" s="200">
        <f>IFERROR(__xludf.DUMMYFUNCTION("""COMPUTED_VALUE"""),93.0)</f>
        <v>93</v>
      </c>
      <c r="K12" s="200">
        <f>IFERROR(__xludf.DUMMYFUNCTION("""COMPUTED_VALUE"""),3.5)</f>
        <v>3.5</v>
      </c>
      <c r="L12" s="201" t="str">
        <f>IFERROR(__xludf.DUMMYFUNCTION("""COMPUTED_VALUE"""),"Puzzle / Platformer")</f>
        <v>Puzzle / Platformer</v>
      </c>
    </row>
    <row r="13">
      <c r="A13" s="190" t="str">
        <f>IFERROR(__xludf.DUMMYFUNCTION("""COMPUTED_VALUE"""),"Mass Effect 3: N7 Digital Deluxe Edition")</f>
        <v>Mass Effect 3: N7 Digital Deluxe Edition</v>
      </c>
      <c r="B13" s="195" t="str">
        <f>IFERROR(__xludf.DUMMYFUNCTION("""COMPUTED_VALUE"""),"Xbox / PC")</f>
        <v>Xbox / PC</v>
      </c>
      <c r="C13" s="196"/>
      <c r="D13" s="196" t="str">
        <f>IFERROR(__xludf.DUMMYFUNCTION("""COMPUTED_VALUE"""),"Active")</f>
        <v>Active</v>
      </c>
      <c r="E13" s="197">
        <f>IFERROR(__xludf.DUMMYFUNCTION("""COMPUTED_VALUE"""),44145.0)</f>
        <v>44145</v>
      </c>
      <c r="F13" s="198"/>
      <c r="G13" s="199">
        <f>IFERROR(__xludf.DUMMYFUNCTION("""COMPUTED_VALUE"""),59.166666666666664)</f>
        <v>59.16666667</v>
      </c>
      <c r="H13" s="197">
        <f>IFERROR(__xludf.DUMMYFUNCTION("""COMPUTED_VALUE"""),40974.0)</f>
        <v>40974</v>
      </c>
      <c r="I13" s="199">
        <f>IFERROR(__xludf.DUMMYFUNCTION("""COMPUTED_VALUE"""),8.677777777777777)</f>
        <v>8.677777778</v>
      </c>
      <c r="J13" s="200">
        <f>IFERROR(__xludf.DUMMYFUNCTION("""COMPUTED_VALUE"""),93.0)</f>
        <v>93</v>
      </c>
      <c r="K13" s="200">
        <f>IFERROR(__xludf.DUMMYFUNCTION("""COMPUTED_VALUE"""),24.0)</f>
        <v>24</v>
      </c>
      <c r="L13" s="201" t="str">
        <f>IFERROR(__xludf.DUMMYFUNCTION("""COMPUTED_VALUE"""),"RPG / Shooter / Action-Adventure")</f>
        <v>RPG / Shooter / Action-Adventure</v>
      </c>
    </row>
    <row r="14">
      <c r="A14" s="190" t="str">
        <f>IFERROR(__xludf.DUMMYFUNCTION("""COMPUTED_VALUE"""),"Fallout 3: Game of the Year Edition")</f>
        <v>Fallout 3: Game of the Year Edition</v>
      </c>
      <c r="B14" s="195" t="str">
        <f>IFERROR(__xludf.DUMMYFUNCTION("""COMPUTED_VALUE"""),"Xbox / PC")</f>
        <v>Xbox / PC</v>
      </c>
      <c r="C14" s="196" t="str">
        <f>IFERROR(__xludf.DUMMYFUNCTION("""COMPUTED_VALUE"""),"Yes")</f>
        <v>Yes</v>
      </c>
      <c r="D14" s="196" t="str">
        <f>IFERROR(__xludf.DUMMYFUNCTION("""COMPUTED_VALUE"""),"Active")</f>
        <v>Active</v>
      </c>
      <c r="E14" s="197">
        <f>IFERROR(__xludf.DUMMYFUNCTION("""COMPUTED_VALUE"""),43282.0)</f>
        <v>43282</v>
      </c>
      <c r="F14" s="198"/>
      <c r="G14" s="199">
        <f>IFERROR(__xludf.DUMMYFUNCTION("""COMPUTED_VALUE"""),87.46666666666667)</f>
        <v>87.46666667</v>
      </c>
      <c r="H14" s="197">
        <f>IFERROR(__xludf.DUMMYFUNCTION("""COMPUTED_VALUE"""),39749.0)</f>
        <v>39749</v>
      </c>
      <c r="I14" s="199">
        <f>IFERROR(__xludf.DUMMYFUNCTION("""COMPUTED_VALUE"""),9.675)</f>
        <v>9.675</v>
      </c>
      <c r="J14" s="200">
        <f>IFERROR(__xludf.DUMMYFUNCTION("""COMPUTED_VALUE"""),93.0)</f>
        <v>93</v>
      </c>
      <c r="K14" s="200">
        <f>IFERROR(__xludf.DUMMYFUNCTION("""COMPUTED_VALUE"""),22.5)</f>
        <v>22.5</v>
      </c>
      <c r="L14" s="201" t="str">
        <f>IFERROR(__xludf.DUMMYFUNCTION("""COMPUTED_VALUE"""),"RPG / First-Person Shooter")</f>
        <v>RPG / First-Person Shooter</v>
      </c>
    </row>
    <row r="15">
      <c r="A15" s="190" t="str">
        <f>IFERROR(__xludf.DUMMYFUNCTION("""COMPUTED_VALUE"""),"Rayman Legends")</f>
        <v>Rayman Legends</v>
      </c>
      <c r="B15" s="195" t="str">
        <f>IFERROR(__xludf.DUMMYFUNCTION("""COMPUTED_VALUE"""),"Xbox / PC")</f>
        <v>Xbox / PC</v>
      </c>
      <c r="C15" s="196" t="str">
        <f>IFERROR(__xludf.DUMMYFUNCTION("""COMPUTED_VALUE"""),"Yes")</f>
        <v>Yes</v>
      </c>
      <c r="D15" s="196" t="str">
        <f>IFERROR(__xludf.DUMMYFUNCTION("""COMPUTED_VALUE"""),"Active")</f>
        <v>Active</v>
      </c>
      <c r="E15" s="197">
        <f>IFERROR(__xludf.DUMMYFUNCTION("""COMPUTED_VALUE"""),45931.0)</f>
        <v>45931</v>
      </c>
      <c r="F15" s="198"/>
      <c r="G15" s="199">
        <f>IFERROR(__xludf.DUMMYFUNCTION("""COMPUTED_VALUE"""),0.4666666666666667)</f>
        <v>0.4666666667</v>
      </c>
      <c r="H15" s="197">
        <f>IFERROR(__xludf.DUMMYFUNCTION("""COMPUTED_VALUE"""),41520.0)</f>
        <v>41520</v>
      </c>
      <c r="I15" s="199">
        <f>IFERROR(__xludf.DUMMYFUNCTION("""COMPUTED_VALUE"""),12.077777777777778)</f>
        <v>12.07777778</v>
      </c>
      <c r="J15" s="200">
        <f>IFERROR(__xludf.DUMMYFUNCTION("""COMPUTED_VALUE"""),92.0)</f>
        <v>92</v>
      </c>
      <c r="K15" s="200">
        <f>IFERROR(__xludf.DUMMYFUNCTION("""COMPUTED_VALUE"""),10.0)</f>
        <v>10</v>
      </c>
      <c r="L15" s="201" t="str">
        <f>IFERROR(__xludf.DUMMYFUNCTION("""COMPUTED_VALUE"""),"Platformer")</f>
        <v>Platformer</v>
      </c>
    </row>
    <row r="16">
      <c r="A16" s="190" t="str">
        <f>IFERROR(__xludf.DUMMYFUNCTION("""COMPUTED_VALUE"""),"Clair Obscur: Expedition 33")</f>
        <v>Clair Obscur: Expedition 33</v>
      </c>
      <c r="B16" s="195" t="str">
        <f>IFERROR(__xludf.DUMMYFUNCTION("""COMPUTED_VALUE"""),"Xbox / PC")</f>
        <v>Xbox / PC</v>
      </c>
      <c r="C16" s="196" t="str">
        <f>IFERROR(__xludf.DUMMYFUNCTION("""COMPUTED_VALUE"""),"Yes")</f>
        <v>Yes</v>
      </c>
      <c r="D16" s="196" t="str">
        <f>IFERROR(__xludf.DUMMYFUNCTION("""COMPUTED_VALUE"""),"Active")</f>
        <v>Active</v>
      </c>
      <c r="E16" s="197">
        <f>IFERROR(__xludf.DUMMYFUNCTION("""COMPUTED_VALUE"""),45771.0)</f>
        <v>45771</v>
      </c>
      <c r="F16" s="198"/>
      <c r="G16" s="199">
        <f>IFERROR(__xludf.DUMMYFUNCTION("""COMPUTED_VALUE"""),5.699999999999999)</f>
        <v>5.7</v>
      </c>
      <c r="H16" s="197">
        <f>IFERROR(__xludf.DUMMYFUNCTION("""COMPUTED_VALUE"""),45771.0)</f>
        <v>45771</v>
      </c>
      <c r="I16" s="199">
        <f>IFERROR(__xludf.DUMMYFUNCTION("""COMPUTED_VALUE"""),0.0)</f>
        <v>0</v>
      </c>
      <c r="J16" s="200">
        <f>IFERROR(__xludf.DUMMYFUNCTION("""COMPUTED_VALUE"""),92.0)</f>
        <v>92</v>
      </c>
      <c r="K16" s="200">
        <f>IFERROR(__xludf.DUMMYFUNCTION("""COMPUTED_VALUE"""),26.0)</f>
        <v>26</v>
      </c>
      <c r="L16" s="201" t="str">
        <f>IFERROR(__xludf.DUMMYFUNCTION("""COMPUTED_VALUE"""),"RPG")</f>
        <v>RPG</v>
      </c>
    </row>
    <row r="17">
      <c r="A17" s="190" t="str">
        <f>IFERROR(__xludf.DUMMYFUNCTION("""COMPUTED_VALUE"""),"Sid Meier's Alpha Centauri")</f>
        <v>Sid Meier's Alpha Centauri</v>
      </c>
      <c r="B17" s="195" t="str">
        <f>IFERROR(__xludf.DUMMYFUNCTION("""COMPUTED_VALUE"""),"PC")</f>
        <v>PC</v>
      </c>
      <c r="C17" s="196"/>
      <c r="D17" s="196" t="str">
        <f>IFERROR(__xludf.DUMMYFUNCTION("""COMPUTED_VALUE"""),"Active")</f>
        <v>Active</v>
      </c>
      <c r="E17" s="197">
        <f>IFERROR(__xludf.DUMMYFUNCTION("""COMPUTED_VALUE"""),45398.0)</f>
        <v>45398</v>
      </c>
      <c r="F17" s="198"/>
      <c r="G17" s="199">
        <f>IFERROR(__xludf.DUMMYFUNCTION("""COMPUTED_VALUE"""),17.96666666666667)</f>
        <v>17.96666667</v>
      </c>
      <c r="H17" s="197">
        <f>IFERROR(__xludf.DUMMYFUNCTION("""COMPUTED_VALUE"""),36203.0)</f>
        <v>36203</v>
      </c>
      <c r="I17" s="199">
        <f>IFERROR(__xludf.DUMMYFUNCTION("""COMPUTED_VALUE"""),25.177777777777777)</f>
        <v>25.17777778</v>
      </c>
      <c r="J17" s="200">
        <f>IFERROR(__xludf.DUMMYFUNCTION("""COMPUTED_VALUE"""),92.0)</f>
        <v>92</v>
      </c>
      <c r="K17" s="200">
        <f>IFERROR(__xludf.DUMMYFUNCTION("""COMPUTED_VALUE"""),25.0)</f>
        <v>25</v>
      </c>
      <c r="L17" s="201" t="str">
        <f>IFERROR(__xludf.DUMMYFUNCTION("""COMPUTED_VALUE"""),"Strategy")</f>
        <v>Strategy</v>
      </c>
    </row>
    <row r="18">
      <c r="A18" s="190" t="str">
        <f>IFERROR(__xludf.DUMMYFUNCTION("""COMPUTED_VALUE"""),"Microsoft Flight Simulator (2020): Game of the Year Edition")</f>
        <v>Microsoft Flight Simulator (2020): Game of the Year Edition</v>
      </c>
      <c r="B18" s="195" t="str">
        <f>IFERROR(__xludf.DUMMYFUNCTION("""COMPUTED_VALUE"""),"Xbox / PC")</f>
        <v>Xbox / PC</v>
      </c>
      <c r="C18" s="196" t="str">
        <f>IFERROR(__xludf.DUMMYFUNCTION("""COMPUTED_VALUE"""),"Yes")</f>
        <v>Yes</v>
      </c>
      <c r="D18" s="196" t="str">
        <f>IFERROR(__xludf.DUMMYFUNCTION("""COMPUTED_VALUE"""),"Active")</f>
        <v>Active</v>
      </c>
      <c r="E18" s="197">
        <f>IFERROR(__xludf.DUMMYFUNCTION("""COMPUTED_VALUE"""),44061.0)</f>
        <v>44061</v>
      </c>
      <c r="F18" s="198"/>
      <c r="G18" s="199">
        <f>IFERROR(__xludf.DUMMYFUNCTION("""COMPUTED_VALUE"""),61.9)</f>
        <v>61.9</v>
      </c>
      <c r="H18" s="197">
        <f>IFERROR(__xludf.DUMMYFUNCTION("""COMPUTED_VALUE"""),44061.0)</f>
        <v>44061</v>
      </c>
      <c r="I18" s="199">
        <f>IFERROR(__xludf.DUMMYFUNCTION("""COMPUTED_VALUE"""),0.0)</f>
        <v>0</v>
      </c>
      <c r="J18" s="200">
        <f>IFERROR(__xludf.DUMMYFUNCTION("""COMPUTED_VALUE"""),92.0)</f>
        <v>92</v>
      </c>
      <c r="K18" s="200">
        <f>IFERROR(__xludf.DUMMYFUNCTION("""COMPUTED_VALUE"""),41.5)</f>
        <v>41.5</v>
      </c>
      <c r="L18" s="201" t="str">
        <f>IFERROR(__xludf.DUMMYFUNCTION("""COMPUTED_VALUE"""),"Simulation / Flight Simulator")</f>
        <v>Simulation / Flight Simulator</v>
      </c>
    </row>
    <row r="19">
      <c r="A19" s="190" t="str">
        <f>IFERROR(__xludf.DUMMYFUNCTION("""COMPUTED_VALUE"""),"Forza Horizon 5")</f>
        <v>Forza Horizon 5</v>
      </c>
      <c r="B19" s="195" t="str">
        <f>IFERROR(__xludf.DUMMYFUNCTION("""COMPUTED_VALUE"""),"Xbox / PC")</f>
        <v>Xbox / PC</v>
      </c>
      <c r="C19" s="196" t="str">
        <f>IFERROR(__xludf.DUMMYFUNCTION("""COMPUTED_VALUE"""),"Yes")</f>
        <v>Yes</v>
      </c>
      <c r="D19" s="196" t="str">
        <f>IFERROR(__xludf.DUMMYFUNCTION("""COMPUTED_VALUE"""),"Active")</f>
        <v>Active</v>
      </c>
      <c r="E19" s="197">
        <f>IFERROR(__xludf.DUMMYFUNCTION("""COMPUTED_VALUE"""),44509.0)</f>
        <v>44509</v>
      </c>
      <c r="F19" s="198"/>
      <c r="G19" s="199">
        <f>IFERROR(__xludf.DUMMYFUNCTION("""COMPUTED_VALUE"""),47.199999999999996)</f>
        <v>47.2</v>
      </c>
      <c r="H19" s="197">
        <f>IFERROR(__xludf.DUMMYFUNCTION("""COMPUTED_VALUE"""),44509.0)</f>
        <v>44509</v>
      </c>
      <c r="I19" s="199">
        <f>IFERROR(__xludf.DUMMYFUNCTION("""COMPUTED_VALUE"""),0.0)</f>
        <v>0</v>
      </c>
      <c r="J19" s="200">
        <f>IFERROR(__xludf.DUMMYFUNCTION("""COMPUTED_VALUE"""),91.5)</f>
        <v>91.5</v>
      </c>
      <c r="K19" s="200">
        <f>IFERROR(__xludf.DUMMYFUNCTION("""COMPUTED_VALUE"""),17.0)</f>
        <v>17</v>
      </c>
      <c r="L19" s="201" t="str">
        <f>IFERROR(__xludf.DUMMYFUNCTION("""COMPUTED_VALUE"""),"Driving/Racing")</f>
        <v>Driving/Racing</v>
      </c>
    </row>
    <row r="20">
      <c r="A20" s="190" t="str">
        <f>IFERROR(__xludf.DUMMYFUNCTION("""COMPUTED_VALUE"""),"Resident Evil 2 (2019)")</f>
        <v>Resident Evil 2 (2019)</v>
      </c>
      <c r="B20" s="195" t="str">
        <f>IFERROR(__xludf.DUMMYFUNCTION("""COMPUTED_VALUE"""),"Xbox / PC")</f>
        <v>Xbox / PC</v>
      </c>
      <c r="C20" s="196" t="str">
        <f>IFERROR(__xludf.DUMMYFUNCTION("""COMPUTED_VALUE"""),"Yes")</f>
        <v>Yes</v>
      </c>
      <c r="D20" s="196" t="str">
        <f>IFERROR(__xludf.DUMMYFUNCTION("""COMPUTED_VALUE"""),"Active")</f>
        <v>Active</v>
      </c>
      <c r="E20" s="197">
        <f>IFERROR(__xludf.DUMMYFUNCTION("""COMPUTED_VALUE"""),45307.0)</f>
        <v>45307</v>
      </c>
      <c r="F20" s="198"/>
      <c r="G20" s="199">
        <f>IFERROR(__xludf.DUMMYFUNCTION("""COMPUTED_VALUE"""),20.96666666666667)</f>
        <v>20.96666667</v>
      </c>
      <c r="H20" s="197">
        <f>IFERROR(__xludf.DUMMYFUNCTION("""COMPUTED_VALUE"""),43480.0)</f>
        <v>43480</v>
      </c>
      <c r="I20" s="199">
        <f>IFERROR(__xludf.DUMMYFUNCTION("""COMPUTED_VALUE"""),5.002777777777778)</f>
        <v>5.002777778</v>
      </c>
      <c r="J20" s="200">
        <f>IFERROR(__xludf.DUMMYFUNCTION("""COMPUTED_VALUE"""),91.0)</f>
        <v>91</v>
      </c>
      <c r="K20" s="200">
        <f>IFERROR(__xludf.DUMMYFUNCTION("""COMPUTED_VALUE"""),9.0)</f>
        <v>9</v>
      </c>
      <c r="L20" s="201" t="str">
        <f>IFERROR(__xludf.DUMMYFUNCTION("""COMPUTED_VALUE"""),"Shooter / Action-Adventure")</f>
        <v>Shooter / Action-Adventure</v>
      </c>
    </row>
    <row r="21">
      <c r="A21" s="190" t="str">
        <f>IFERROR(__xludf.DUMMYFUNCTION("""COMPUTED_VALUE"""),"Celeste")</f>
        <v>Celeste</v>
      </c>
      <c r="B21" s="195" t="str">
        <f>IFERROR(__xludf.DUMMYFUNCTION("""COMPUTED_VALUE"""),"Xbox / PC")</f>
        <v>Xbox / PC</v>
      </c>
      <c r="C21" s="196" t="str">
        <f>IFERROR(__xludf.DUMMYFUNCTION("""COMPUTED_VALUE"""),"Touch Controls")</f>
        <v>Touch Controls</v>
      </c>
      <c r="D21" s="196" t="str">
        <f>IFERROR(__xludf.DUMMYFUNCTION("""COMPUTED_VALUE"""),"Active")</f>
        <v>Active</v>
      </c>
      <c r="E21" s="197">
        <f>IFERROR(__xludf.DUMMYFUNCTION("""COMPUTED_VALUE"""),45139.0)</f>
        <v>45139</v>
      </c>
      <c r="F21" s="198"/>
      <c r="G21" s="199">
        <f>IFERROR(__xludf.DUMMYFUNCTION("""COMPUTED_VALUE"""),26.46666666666667)</f>
        <v>26.46666667</v>
      </c>
      <c r="H21" s="197">
        <f>IFERROR(__xludf.DUMMYFUNCTION("""COMPUTED_VALUE"""),43125.0)</f>
        <v>43125</v>
      </c>
      <c r="I21" s="199">
        <f>IFERROR(__xludf.DUMMYFUNCTION("""COMPUTED_VALUE"""),5.516666666666667)</f>
        <v>5.516666667</v>
      </c>
      <c r="J21" s="200">
        <f>IFERROR(__xludf.DUMMYFUNCTION("""COMPUTED_VALUE"""),91.0)</f>
        <v>91</v>
      </c>
      <c r="K21" s="200">
        <f>IFERROR(__xludf.DUMMYFUNCTION("""COMPUTED_VALUE"""),8.0)</f>
        <v>8</v>
      </c>
      <c r="L21" s="201" t="str">
        <f>IFERROR(__xludf.DUMMYFUNCTION("""COMPUTED_VALUE"""),"Platformer")</f>
        <v>Platformer</v>
      </c>
    </row>
    <row r="22">
      <c r="A22" s="190" t="str">
        <f>IFERROR(__xludf.DUMMYFUNCTION("""COMPUTED_VALUE"""),"Medal of Honor: Allied Assault - War Chest")</f>
        <v>Medal of Honor: Allied Assault - War Chest</v>
      </c>
      <c r="B22" s="195" t="str">
        <f>IFERROR(__xludf.DUMMYFUNCTION("""COMPUTED_VALUE"""),"PC")</f>
        <v>PC</v>
      </c>
      <c r="C22" s="196"/>
      <c r="D22" s="196" t="str">
        <f>IFERROR(__xludf.DUMMYFUNCTION("""COMPUTED_VALUE"""),"Active")</f>
        <v>Active</v>
      </c>
      <c r="E22" s="197">
        <f>IFERROR(__xludf.DUMMYFUNCTION("""COMPUTED_VALUE"""),44273.0)</f>
        <v>44273</v>
      </c>
      <c r="F22" s="198"/>
      <c r="G22" s="199">
        <f>IFERROR(__xludf.DUMMYFUNCTION("""COMPUTED_VALUE"""),54.900000000000006)</f>
        <v>54.9</v>
      </c>
      <c r="H22" s="197">
        <f>IFERROR(__xludf.DUMMYFUNCTION("""COMPUTED_VALUE"""),37276.0)</f>
        <v>37276</v>
      </c>
      <c r="I22" s="199">
        <f>IFERROR(__xludf.DUMMYFUNCTION("""COMPUTED_VALUE"""),19.16111111111111)</f>
        <v>19.16111111</v>
      </c>
      <c r="J22" s="200">
        <f>IFERROR(__xludf.DUMMYFUNCTION("""COMPUTED_VALUE"""),91.0)</f>
        <v>91</v>
      </c>
      <c r="K22" s="200">
        <f>IFERROR(__xludf.DUMMYFUNCTION("""COMPUTED_VALUE"""),27.0)</f>
        <v>27</v>
      </c>
      <c r="L22" s="201" t="str">
        <f>IFERROR(__xludf.DUMMYFUNCTION("""COMPUTED_VALUE"""),"First-Person Shooter")</f>
        <v>First-Person Shooter</v>
      </c>
    </row>
    <row r="23">
      <c r="A23" s="190" t="str">
        <f>IFERROR(__xludf.DUMMYFUNCTION("""COMPUTED_VALUE"""),"Crusader Kings III")</f>
        <v>Crusader Kings III</v>
      </c>
      <c r="B23" s="195" t="str">
        <f>IFERROR(__xludf.DUMMYFUNCTION("""COMPUTED_VALUE"""),"Xbox / PC")</f>
        <v>Xbox / PC</v>
      </c>
      <c r="C23" s="196" t="str">
        <f>IFERROR(__xludf.DUMMYFUNCTION("""COMPUTED_VALUE"""),"Yes")</f>
        <v>Yes</v>
      </c>
      <c r="D23" s="196" t="str">
        <f>IFERROR(__xludf.DUMMYFUNCTION("""COMPUTED_VALUE"""),"Active")</f>
        <v>Active</v>
      </c>
      <c r="E23" s="197">
        <f>IFERROR(__xludf.DUMMYFUNCTION("""COMPUTED_VALUE"""),44075.0)</f>
        <v>44075</v>
      </c>
      <c r="F23" s="198"/>
      <c r="G23" s="199">
        <f>IFERROR(__xludf.DUMMYFUNCTION("""COMPUTED_VALUE"""),61.46666666666666)</f>
        <v>61.46666667</v>
      </c>
      <c r="H23" s="197">
        <f>IFERROR(__xludf.DUMMYFUNCTION("""COMPUTED_VALUE"""),44075.0)</f>
        <v>44075</v>
      </c>
      <c r="I23" s="199">
        <f>IFERROR(__xludf.DUMMYFUNCTION("""COMPUTED_VALUE"""),0.0)</f>
        <v>0</v>
      </c>
      <c r="J23" s="200">
        <f>IFERROR(__xludf.DUMMYFUNCTION("""COMPUTED_VALUE"""),91.0)</f>
        <v>91</v>
      </c>
      <c r="K23" s="200">
        <f>IFERROR(__xludf.DUMMYFUNCTION("""COMPUTED_VALUE"""),12.5)</f>
        <v>12.5</v>
      </c>
      <c r="L23" s="201" t="str">
        <f>IFERROR(__xludf.DUMMYFUNCTION("""COMPUTED_VALUE"""),"Strategy")</f>
        <v>Strategy</v>
      </c>
    </row>
    <row r="24">
      <c r="A24" s="190" t="str">
        <f>IFERROR(__xludf.DUMMYFUNCTION("""COMPUTED_VALUE"""),"Halo: Reach")</f>
        <v>Halo: Reach</v>
      </c>
      <c r="B24" s="195" t="str">
        <f>IFERROR(__xludf.DUMMYFUNCTION("""COMPUTED_VALUE"""),"Xbox / PC")</f>
        <v>Xbox / PC</v>
      </c>
      <c r="C24" s="196"/>
      <c r="D24" s="196" t="str">
        <f>IFERROR(__xludf.DUMMYFUNCTION("""COMPUTED_VALUE"""),"Active")</f>
        <v>Active</v>
      </c>
      <c r="E24" s="197">
        <f>IFERROR(__xludf.DUMMYFUNCTION("""COMPUTED_VALUE"""),43802.0)</f>
        <v>43802</v>
      </c>
      <c r="F24" s="198"/>
      <c r="G24" s="199">
        <f>IFERROR(__xludf.DUMMYFUNCTION("""COMPUTED_VALUE"""),70.39999999999999)</f>
        <v>70.4</v>
      </c>
      <c r="H24" s="197">
        <f>IFERROR(__xludf.DUMMYFUNCTION("""COMPUTED_VALUE"""),40435.0)</f>
        <v>40435</v>
      </c>
      <c r="I24" s="199">
        <f>IFERROR(__xludf.DUMMYFUNCTION("""COMPUTED_VALUE"""),9.219444444444445)</f>
        <v>9.219444444</v>
      </c>
      <c r="J24" s="200">
        <f>IFERROR(__xludf.DUMMYFUNCTION("""COMPUTED_VALUE"""),91.0)</f>
        <v>91</v>
      </c>
      <c r="K24" s="200">
        <f>IFERROR(__xludf.DUMMYFUNCTION("""COMPUTED_VALUE"""),8.0)</f>
        <v>8</v>
      </c>
      <c r="L24" s="201" t="str">
        <f>IFERROR(__xludf.DUMMYFUNCTION("""COMPUTED_VALUE"""),"Action / Shooter / First-Person Shooter")</f>
        <v>Action / Shooter / First-Person Shooter</v>
      </c>
    </row>
    <row r="25">
      <c r="A25" s="190" t="str">
        <f>IFERROR(__xludf.DUMMYFUNCTION("""COMPUTED_VALUE"""),"Dead Cells")</f>
        <v>Dead Cells</v>
      </c>
      <c r="B25" s="195" t="str">
        <f>IFERROR(__xludf.DUMMYFUNCTION("""COMPUTED_VALUE"""),"Xbox / PC")</f>
        <v>Xbox / PC</v>
      </c>
      <c r="C25" s="196" t="str">
        <f>IFERROR(__xludf.DUMMYFUNCTION("""COMPUTED_VALUE"""),"Touch Controls")</f>
        <v>Touch Controls</v>
      </c>
      <c r="D25" s="196" t="str">
        <f>IFERROR(__xludf.DUMMYFUNCTION("""COMPUTED_VALUE"""),"Active")</f>
        <v>Active</v>
      </c>
      <c r="E25" s="197">
        <f>IFERROR(__xludf.DUMMYFUNCTION("""COMPUTED_VALUE"""),43713.0)</f>
        <v>43713</v>
      </c>
      <c r="F25" s="198"/>
      <c r="G25" s="199">
        <f>IFERROR(__xludf.DUMMYFUNCTION("""COMPUTED_VALUE"""),73.33333333333333)</f>
        <v>73.33333333</v>
      </c>
      <c r="H25" s="197">
        <f>IFERROR(__xludf.DUMMYFUNCTION("""COMPUTED_VALUE"""),42865.0)</f>
        <v>42865</v>
      </c>
      <c r="I25" s="199">
        <f>IFERROR(__xludf.DUMMYFUNCTION("""COMPUTED_VALUE"""),2.3194444444444446)</f>
        <v>2.319444444</v>
      </c>
      <c r="J25" s="200">
        <f>IFERROR(__xludf.DUMMYFUNCTION("""COMPUTED_VALUE"""),91.0)</f>
        <v>91</v>
      </c>
      <c r="K25" s="200">
        <f>IFERROR(__xludf.DUMMYFUNCTION("""COMPUTED_VALUE"""),13.0)</f>
        <v>13</v>
      </c>
      <c r="L25" s="201" t="str">
        <f>IFERROR(__xludf.DUMMYFUNCTION("""COMPUTED_VALUE"""),"Platformer / Action-Adventure")</f>
        <v>Platformer / Action-Adventure</v>
      </c>
    </row>
    <row r="26">
      <c r="A26" s="190" t="str">
        <f>IFERROR(__xludf.DUMMYFUNCTION("""COMPUTED_VALUE"""),"Assassin's Creed II")</f>
        <v>Assassin's Creed II</v>
      </c>
      <c r="B26" s="195" t="str">
        <f>IFERROR(__xludf.DUMMYFUNCTION("""COMPUTED_VALUE"""),"PC")</f>
        <v>PC</v>
      </c>
      <c r="C26" s="196"/>
      <c r="D26" s="196" t="str">
        <f>IFERROR(__xludf.DUMMYFUNCTION("""COMPUTED_VALUE"""),"Active")</f>
        <v>Active</v>
      </c>
      <c r="E26" s="197">
        <f>IFERROR(__xludf.DUMMYFUNCTION("""COMPUTED_VALUE"""),45931.0)</f>
        <v>45931</v>
      </c>
      <c r="F26" s="198"/>
      <c r="G26" s="199">
        <f>IFERROR(__xludf.DUMMYFUNCTION("""COMPUTED_VALUE"""),0.4666666666666667)</f>
        <v>0.4666666667</v>
      </c>
      <c r="H26" s="197">
        <f>IFERROR(__xludf.DUMMYFUNCTION("""COMPUTED_VALUE"""),40134.0)</f>
        <v>40134</v>
      </c>
      <c r="I26" s="199">
        <f>IFERROR(__xludf.DUMMYFUNCTION("""COMPUTED_VALUE"""),15.872222222222222)</f>
        <v>15.87222222</v>
      </c>
      <c r="J26" s="200">
        <f>IFERROR(__xludf.DUMMYFUNCTION("""COMPUTED_VALUE"""),90.0)</f>
        <v>90</v>
      </c>
      <c r="K26" s="200">
        <f>IFERROR(__xludf.DUMMYFUNCTION("""COMPUTED_VALUE"""),19.0)</f>
        <v>19</v>
      </c>
      <c r="L26" s="201" t="str">
        <f>IFERROR(__xludf.DUMMYFUNCTION("""COMPUTED_VALUE"""),"Action-Adventure")</f>
        <v>Action-Adventure</v>
      </c>
    </row>
    <row r="27">
      <c r="A27" s="190" t="str">
        <f>IFERROR(__xludf.DUMMYFUNCTION("""COMPUTED_VALUE"""),"Persona 4: Golden")</f>
        <v>Persona 4: Golden</v>
      </c>
      <c r="B27" s="195" t="str">
        <f>IFERROR(__xludf.DUMMYFUNCTION("""COMPUTED_VALUE"""),"Xbox / PC")</f>
        <v>Xbox / PC</v>
      </c>
      <c r="C27" s="196" t="str">
        <f>IFERROR(__xludf.DUMMYFUNCTION("""COMPUTED_VALUE"""),"Yes")</f>
        <v>Yes</v>
      </c>
      <c r="D27" s="196" t="str">
        <f>IFERROR(__xludf.DUMMYFUNCTION("""COMPUTED_VALUE"""),"Active")</f>
        <v>Active</v>
      </c>
      <c r="E27" s="197">
        <f>IFERROR(__xludf.DUMMYFUNCTION("""COMPUTED_VALUE"""),45889.0)</f>
        <v>45889</v>
      </c>
      <c r="F27" s="198"/>
      <c r="G27" s="199">
        <f>IFERROR(__xludf.DUMMYFUNCTION("""COMPUTED_VALUE"""),1.8333333333333335)</f>
        <v>1.833333333</v>
      </c>
      <c r="H27" s="197">
        <f>IFERROR(__xludf.DUMMYFUNCTION("""COMPUTED_VALUE"""),41074.0)</f>
        <v>41074</v>
      </c>
      <c r="I27" s="199">
        <f>IFERROR(__xludf.DUMMYFUNCTION("""COMPUTED_VALUE"""),13.183333333333334)</f>
        <v>13.18333333</v>
      </c>
      <c r="J27" s="200">
        <f>IFERROR(__xludf.DUMMYFUNCTION("""COMPUTED_VALUE"""),90.0)</f>
        <v>90</v>
      </c>
      <c r="K27" s="200">
        <f>IFERROR(__xludf.DUMMYFUNCTION("""COMPUTED_VALUE"""),68.5)</f>
        <v>68.5</v>
      </c>
      <c r="L27" s="201" t="str">
        <f>IFERROR(__xludf.DUMMYFUNCTION("""COMPUTED_VALUE"""),"RPG")</f>
        <v>RPG</v>
      </c>
    </row>
    <row r="28">
      <c r="A28" s="190" t="str">
        <f>IFERROR(__xludf.DUMMYFUNCTION("""COMPUTED_VALUE"""),"Monster Train 2")</f>
        <v>Monster Train 2</v>
      </c>
      <c r="B28" s="195" t="str">
        <f>IFERROR(__xludf.DUMMYFUNCTION("""COMPUTED_VALUE"""),"Xbox / PC")</f>
        <v>Xbox / PC</v>
      </c>
      <c r="C28" s="196" t="str">
        <f>IFERROR(__xludf.DUMMYFUNCTION("""COMPUTED_VALUE"""),"Yes")</f>
        <v>Yes</v>
      </c>
      <c r="D28" s="196" t="str">
        <f>IFERROR(__xludf.DUMMYFUNCTION("""COMPUTED_VALUE"""),"Active")</f>
        <v>Active</v>
      </c>
      <c r="E28" s="197">
        <f>IFERROR(__xludf.DUMMYFUNCTION("""COMPUTED_VALUE"""),45798.0)</f>
        <v>45798</v>
      </c>
      <c r="F28" s="198"/>
      <c r="G28" s="199">
        <f>IFERROR(__xludf.DUMMYFUNCTION("""COMPUTED_VALUE"""),4.800000000000001)</f>
        <v>4.8</v>
      </c>
      <c r="H28" s="197">
        <f>IFERROR(__xludf.DUMMYFUNCTION("""COMPUTED_VALUE"""),45798.0)</f>
        <v>45798</v>
      </c>
      <c r="I28" s="199">
        <f>IFERROR(__xludf.DUMMYFUNCTION("""COMPUTED_VALUE"""),0.0)</f>
        <v>0</v>
      </c>
      <c r="J28" s="200">
        <f>IFERROR(__xludf.DUMMYFUNCTION("""COMPUTED_VALUE"""),90.0)</f>
        <v>90</v>
      </c>
      <c r="K28" s="200">
        <f>IFERROR(__xludf.DUMMYFUNCTION("""COMPUTED_VALUE"""),6.0)</f>
        <v>6</v>
      </c>
      <c r="L28" s="201" t="str">
        <f>IFERROR(__xludf.DUMMYFUNCTION("""COMPUTED_VALUE"""),"Card Battle")</f>
        <v>Card Battle</v>
      </c>
    </row>
    <row r="29">
      <c r="A29" s="190" t="str">
        <f>IFERROR(__xludf.DUMMYFUNCTION("""COMPUTED_VALUE"""),"Diablo III: Reaper of Souls - Ultimate Evil Edition")</f>
        <v>Diablo III: Reaper of Souls - Ultimate Evil Edition</v>
      </c>
      <c r="B29" s="195" t="str">
        <f>IFERROR(__xludf.DUMMYFUNCTION("""COMPUTED_VALUE"""),"Xbox / PC")</f>
        <v>Xbox / PC</v>
      </c>
      <c r="C29" s="196"/>
      <c r="D29" s="196" t="str">
        <f>IFERROR(__xludf.DUMMYFUNCTION("""COMPUTED_VALUE"""),"Active")</f>
        <v>Active</v>
      </c>
      <c r="E29" s="197">
        <f>IFERROR(__xludf.DUMMYFUNCTION("""COMPUTED_VALUE"""),45755.0)</f>
        <v>45755</v>
      </c>
      <c r="F29" s="198"/>
      <c r="G29" s="199">
        <f>IFERROR(__xludf.DUMMYFUNCTION("""COMPUTED_VALUE"""),6.233333333333334)</f>
        <v>6.233333333</v>
      </c>
      <c r="H29" s="197">
        <f>IFERROR(__xludf.DUMMYFUNCTION("""COMPUTED_VALUE"""),41870.0)</f>
        <v>41870</v>
      </c>
      <c r="I29" s="199">
        <f>IFERROR(__xludf.DUMMYFUNCTION("""COMPUTED_VALUE"""),10.636111111111111)</f>
        <v>10.63611111</v>
      </c>
      <c r="J29" s="200">
        <f>IFERROR(__xludf.DUMMYFUNCTION("""COMPUTED_VALUE"""),90.0)</f>
        <v>90</v>
      </c>
      <c r="K29" s="200">
        <f>IFERROR(__xludf.DUMMYFUNCTION("""COMPUTED_VALUE"""),19.0)</f>
        <v>19</v>
      </c>
      <c r="L29" s="201" t="str">
        <f>IFERROR(__xludf.DUMMYFUNCTION("""COMPUTED_VALUE"""),"RPG")</f>
        <v>RPG</v>
      </c>
    </row>
    <row r="30">
      <c r="A30" s="190" t="str">
        <f>IFERROR(__xludf.DUMMYFUNCTION("""COMPUTED_VALUE"""),"Balatro")</f>
        <v>Balatro</v>
      </c>
      <c r="B30" s="195" t="str">
        <f>IFERROR(__xludf.DUMMYFUNCTION("""COMPUTED_VALUE"""),"Xbox / PC")</f>
        <v>Xbox / PC</v>
      </c>
      <c r="C30" s="196" t="str">
        <f>IFERROR(__xludf.DUMMYFUNCTION("""COMPUTED_VALUE"""),"Yes")</f>
        <v>Yes</v>
      </c>
      <c r="D30" s="196" t="str">
        <f>IFERROR(__xludf.DUMMYFUNCTION("""COMPUTED_VALUE"""),"Active")</f>
        <v>Active</v>
      </c>
      <c r="E30" s="197">
        <f>IFERROR(__xludf.DUMMYFUNCTION("""COMPUTED_VALUE"""),45712.0)</f>
        <v>45712</v>
      </c>
      <c r="F30" s="198"/>
      <c r="G30" s="199">
        <f>IFERROR(__xludf.DUMMYFUNCTION("""COMPUTED_VALUE"""),7.700000000000001)</f>
        <v>7.7</v>
      </c>
      <c r="H30" s="197">
        <f>IFERROR(__xludf.DUMMYFUNCTION("""COMPUTED_VALUE"""),45616.0)</f>
        <v>45616</v>
      </c>
      <c r="I30" s="199">
        <f>IFERROR(__xludf.DUMMYFUNCTION("""COMPUTED_VALUE"""),0.2611111111111111)</f>
        <v>0.2611111111</v>
      </c>
      <c r="J30" s="200">
        <f>IFERROR(__xludf.DUMMYFUNCTION("""COMPUTED_VALUE"""),90.0)</f>
        <v>90</v>
      </c>
      <c r="K30" s="200">
        <f>IFERROR(__xludf.DUMMYFUNCTION("""COMPUTED_VALUE"""),7.0)</f>
        <v>7</v>
      </c>
      <c r="L30" s="201" t="str">
        <f>IFERROR(__xludf.DUMMYFUNCTION("""COMPUTED_VALUE"""),"Card Battle")</f>
        <v>Card Battle</v>
      </c>
    </row>
    <row r="31">
      <c r="A31" s="190" t="str">
        <f>IFERROR(__xludf.DUMMYFUNCTION("""COMPUTED_VALUE"""),"Against the Storm")</f>
        <v>Against the Storm</v>
      </c>
      <c r="B31" s="195" t="str">
        <f>IFERROR(__xludf.DUMMYFUNCTION("""COMPUTED_VALUE"""),"Xbox / PC")</f>
        <v>Xbox / PC</v>
      </c>
      <c r="C31" s="196"/>
      <c r="D31" s="196" t="str">
        <f>IFERROR(__xludf.DUMMYFUNCTION("""COMPUTED_VALUE"""),"Active")</f>
        <v>Active</v>
      </c>
      <c r="E31" s="197">
        <f>IFERROR(__xludf.DUMMYFUNCTION("""COMPUTED_VALUE"""),45268.0)</f>
        <v>45268</v>
      </c>
      <c r="F31" s="198"/>
      <c r="G31" s="199">
        <f>IFERROR(__xludf.DUMMYFUNCTION("""COMPUTED_VALUE"""),22.233333333333334)</f>
        <v>22.23333333</v>
      </c>
      <c r="H31" s="197">
        <f>IFERROR(__xludf.DUMMYFUNCTION("""COMPUTED_VALUE"""),44487.0)</f>
        <v>44487</v>
      </c>
      <c r="I31" s="199">
        <f>IFERROR(__xludf.DUMMYFUNCTION("""COMPUTED_VALUE"""),2.138888888888889)</f>
        <v>2.138888889</v>
      </c>
      <c r="J31" s="200">
        <f>IFERROR(__xludf.DUMMYFUNCTION("""COMPUTED_VALUE"""),90.0)</f>
        <v>90</v>
      </c>
      <c r="K31" s="200">
        <f>IFERROR(__xludf.DUMMYFUNCTION("""COMPUTED_VALUE"""),93.0)</f>
        <v>93</v>
      </c>
      <c r="L31" s="201" t="str">
        <f>IFERROR(__xludf.DUMMYFUNCTION("""COMPUTED_VALUE"""),"Strategy")</f>
        <v>Strategy</v>
      </c>
    </row>
    <row r="32">
      <c r="A32" s="190" t="str">
        <f>IFERROR(__xludf.DUMMYFUNCTION("""COMPUTED_VALUE"""),"Quake III: Arena")</f>
        <v>Quake III: Arena</v>
      </c>
      <c r="B32" s="195" t="str">
        <f>IFERROR(__xludf.DUMMYFUNCTION("""COMPUTED_VALUE"""),"PC")</f>
        <v>PC</v>
      </c>
      <c r="C32" s="196"/>
      <c r="D32" s="196" t="str">
        <f>IFERROR(__xludf.DUMMYFUNCTION("""COMPUTED_VALUE"""),"Active")</f>
        <v>Active</v>
      </c>
      <c r="E32" s="197">
        <f>IFERROR(__xludf.DUMMYFUNCTION("""COMPUTED_VALUE"""),44427.0)</f>
        <v>44427</v>
      </c>
      <c r="F32" s="198"/>
      <c r="G32" s="199">
        <f>IFERROR(__xludf.DUMMYFUNCTION("""COMPUTED_VALUE"""),49.866666666666674)</f>
        <v>49.86666667</v>
      </c>
      <c r="H32" s="197">
        <f>IFERROR(__xludf.DUMMYFUNCTION("""COMPUTED_VALUE"""),36496.0)</f>
        <v>36496</v>
      </c>
      <c r="I32" s="199">
        <f>IFERROR(__xludf.DUMMYFUNCTION("""COMPUTED_VALUE"""),21.71388888888889)</f>
        <v>21.71388889</v>
      </c>
      <c r="J32" s="200">
        <f>IFERROR(__xludf.DUMMYFUNCTION("""COMPUTED_VALUE"""),90.0)</f>
        <v>90</v>
      </c>
      <c r="K32" s="200">
        <f>IFERROR(__xludf.DUMMYFUNCTION("""COMPUTED_VALUE"""),5.5)</f>
        <v>5.5</v>
      </c>
      <c r="L32" s="201" t="str">
        <f>IFERROR(__xludf.DUMMYFUNCTION("""COMPUTED_VALUE"""),"First-Person Shooter")</f>
        <v>First-Person Shooter</v>
      </c>
    </row>
    <row r="33">
      <c r="A33" s="190" t="str">
        <f>IFERROR(__xludf.DUMMYFUNCTION("""COMPUTED_VALUE"""),"Ultima Underworld 2")</f>
        <v>Ultima Underworld 2</v>
      </c>
      <c r="B33" s="195" t="str">
        <f>IFERROR(__xludf.DUMMYFUNCTION("""COMPUTED_VALUE"""),"PC")</f>
        <v>PC</v>
      </c>
      <c r="C33" s="196"/>
      <c r="D33" s="196" t="str">
        <f>IFERROR(__xludf.DUMMYFUNCTION("""COMPUTED_VALUE"""),"Active")</f>
        <v>Active</v>
      </c>
      <c r="E33" s="197">
        <f>IFERROR(__xludf.DUMMYFUNCTION("""COMPUTED_VALUE"""),44425.0)</f>
        <v>44425</v>
      </c>
      <c r="F33" s="198"/>
      <c r="G33" s="199">
        <f>IFERROR(__xludf.DUMMYFUNCTION("""COMPUTED_VALUE"""),49.93333333333334)</f>
        <v>49.93333333</v>
      </c>
      <c r="H33" s="197">
        <f>IFERROR(__xludf.DUMMYFUNCTION("""COMPUTED_VALUE"""),33970.0)</f>
        <v>33970</v>
      </c>
      <c r="I33" s="199">
        <f>IFERROR(__xludf.DUMMYFUNCTION("""COMPUTED_VALUE"""),28.627777777777776)</f>
        <v>28.62777778</v>
      </c>
      <c r="J33" s="200">
        <f>IFERROR(__xludf.DUMMYFUNCTION("""COMPUTED_VALUE"""),90.0)</f>
        <v>90</v>
      </c>
      <c r="K33" s="200">
        <f>IFERROR(__xludf.DUMMYFUNCTION("""COMPUTED_VALUE"""),17.0)</f>
        <v>17</v>
      </c>
      <c r="L33" s="201" t="str">
        <f>IFERROR(__xludf.DUMMYFUNCTION("""COMPUTED_VALUE"""),"Action / RPG")</f>
        <v>Action / RPG</v>
      </c>
    </row>
    <row r="34">
      <c r="A34" s="190" t="str">
        <f>IFERROR(__xludf.DUMMYFUNCTION("""COMPUTED_VALUE"""),"Dead Space 2")</f>
        <v>Dead Space 2</v>
      </c>
      <c r="B34" s="195" t="str">
        <f>IFERROR(__xludf.DUMMYFUNCTION("""COMPUTED_VALUE"""),"Xbox / PC")</f>
        <v>Xbox / PC</v>
      </c>
      <c r="C34" s="196" t="str">
        <f>IFERROR(__xludf.DUMMYFUNCTION("""COMPUTED_VALUE"""),"Yes")</f>
        <v>Yes</v>
      </c>
      <c r="D34" s="196" t="str">
        <f>IFERROR(__xludf.DUMMYFUNCTION("""COMPUTED_VALUE"""),"Active")</f>
        <v>Active</v>
      </c>
      <c r="E34" s="197">
        <f>IFERROR(__xludf.DUMMYFUNCTION("""COMPUTED_VALUE"""),44145.0)</f>
        <v>44145</v>
      </c>
      <c r="F34" s="198"/>
      <c r="G34" s="199">
        <f>IFERROR(__xludf.DUMMYFUNCTION("""COMPUTED_VALUE"""),59.166666666666664)</f>
        <v>59.16666667</v>
      </c>
      <c r="H34" s="197">
        <f>IFERROR(__xludf.DUMMYFUNCTION("""COMPUTED_VALUE"""),40568.0)</f>
        <v>40568</v>
      </c>
      <c r="I34" s="199">
        <f>IFERROR(__xludf.DUMMYFUNCTION("""COMPUTED_VALUE"""),9.791666666666666)</f>
        <v>9.791666667</v>
      </c>
      <c r="J34" s="200">
        <f>IFERROR(__xludf.DUMMYFUNCTION("""COMPUTED_VALUE"""),90.0)</f>
        <v>90</v>
      </c>
      <c r="K34" s="200">
        <f>IFERROR(__xludf.DUMMYFUNCTION("""COMPUTED_VALUE"""),9.0)</f>
        <v>9</v>
      </c>
      <c r="L34" s="201" t="str">
        <f>IFERROR(__xludf.DUMMYFUNCTION("""COMPUTED_VALUE"""),"Action / Shooter")</f>
        <v>Action / Shooter</v>
      </c>
    </row>
    <row r="35">
      <c r="A35" s="190" t="str">
        <f>IFERROR(__xludf.DUMMYFUNCTION("""COMPUTED_VALUE"""),"The Bard's Tale ARPG: Remastered and Resnarkled")</f>
        <v>The Bard's Tale ARPG: Remastered and Resnarkled</v>
      </c>
      <c r="B35" s="195" t="str">
        <f>IFERROR(__xludf.DUMMYFUNCTION("""COMPUTED_VALUE"""),"Xbox / PC")</f>
        <v>Xbox / PC</v>
      </c>
      <c r="C35" s="196" t="str">
        <f>IFERROR(__xludf.DUMMYFUNCTION("""COMPUTED_VALUE"""),"Touch Controls")</f>
        <v>Touch Controls</v>
      </c>
      <c r="D35" s="196" t="str">
        <f>IFERROR(__xludf.DUMMYFUNCTION("""COMPUTED_VALUE"""),"Active")</f>
        <v>Active</v>
      </c>
      <c r="E35" s="197">
        <f>IFERROR(__xludf.DUMMYFUNCTION("""COMPUTED_VALUE"""),44000.0)</f>
        <v>44000</v>
      </c>
      <c r="F35" s="198"/>
      <c r="G35" s="199">
        <f>IFERROR(__xludf.DUMMYFUNCTION("""COMPUTED_VALUE"""),63.900000000000006)</f>
        <v>63.9</v>
      </c>
      <c r="H35" s="197">
        <f>IFERROR(__xludf.DUMMYFUNCTION("""COMPUTED_VALUE"""),44000.0)</f>
        <v>44000</v>
      </c>
      <c r="I35" s="199">
        <f>IFERROR(__xludf.DUMMYFUNCTION("""COMPUTED_VALUE"""),0.0)</f>
        <v>0</v>
      </c>
      <c r="J35" s="200">
        <f>IFERROR(__xludf.DUMMYFUNCTION("""COMPUTED_VALUE"""),90.0)</f>
        <v>90</v>
      </c>
      <c r="K35" s="200">
        <f>IFERROR(__xludf.DUMMYFUNCTION("""COMPUTED_VALUE"""),14.0)</f>
        <v>14</v>
      </c>
      <c r="L35" s="201" t="str">
        <f>IFERROR(__xludf.DUMMYFUNCTION("""COMPUTED_VALUE"""),"RPG")</f>
        <v>RPG</v>
      </c>
    </row>
    <row r="36">
      <c r="A36" s="190" t="str">
        <f>IFERROR(__xludf.DUMMYFUNCTION("""COMPUTED_VALUE"""),"Ori and the Will of the Wisps")</f>
        <v>Ori and the Will of the Wisps</v>
      </c>
      <c r="B36" s="195" t="str">
        <f>IFERROR(__xludf.DUMMYFUNCTION("""COMPUTED_VALUE"""),"Xbox / PC")</f>
        <v>Xbox / PC</v>
      </c>
      <c r="C36" s="196" t="str">
        <f>IFERROR(__xludf.DUMMYFUNCTION("""COMPUTED_VALUE"""),"Yes")</f>
        <v>Yes</v>
      </c>
      <c r="D36" s="196" t="str">
        <f>IFERROR(__xludf.DUMMYFUNCTION("""COMPUTED_VALUE"""),"Active")</f>
        <v>Active</v>
      </c>
      <c r="E36" s="197">
        <f>IFERROR(__xludf.DUMMYFUNCTION("""COMPUTED_VALUE"""),43901.0)</f>
        <v>43901</v>
      </c>
      <c r="F36" s="198"/>
      <c r="G36" s="199">
        <f>IFERROR(__xludf.DUMMYFUNCTION("""COMPUTED_VALUE"""),67.13333333333333)</f>
        <v>67.13333333</v>
      </c>
      <c r="H36" s="197">
        <f>IFERROR(__xludf.DUMMYFUNCTION("""COMPUTED_VALUE"""),43901.0)</f>
        <v>43901</v>
      </c>
      <c r="I36" s="199">
        <f>IFERROR(__xludf.DUMMYFUNCTION("""COMPUTED_VALUE"""),0.0)</f>
        <v>0</v>
      </c>
      <c r="J36" s="200">
        <f>IFERROR(__xludf.DUMMYFUNCTION("""COMPUTED_VALUE"""),90.0)</f>
        <v>90</v>
      </c>
      <c r="K36" s="200">
        <f>IFERROR(__xludf.DUMMYFUNCTION("""COMPUTED_VALUE"""),11.0)</f>
        <v>11</v>
      </c>
      <c r="L36" s="201" t="str">
        <f>IFERROR(__xludf.DUMMYFUNCTION("""COMPUTED_VALUE"""),"Action / Platformer")</f>
        <v>Action / Platformer</v>
      </c>
    </row>
    <row r="37">
      <c r="A37" s="190" t="str">
        <f>IFERROR(__xludf.DUMMYFUNCTION("""COMPUTED_VALUE"""),"Hollow Knight: Voidheart Edition")</f>
        <v>Hollow Knight: Voidheart Edition</v>
      </c>
      <c r="B37" s="195" t="str">
        <f>IFERROR(__xludf.DUMMYFUNCTION("""COMPUTED_VALUE"""),"Xbox / PC")</f>
        <v>Xbox / PC</v>
      </c>
      <c r="C37" s="196" t="str">
        <f>IFERROR(__xludf.DUMMYFUNCTION("""COMPUTED_VALUE"""),"Yes")</f>
        <v>Yes</v>
      </c>
      <c r="D37" s="196" t="str">
        <f>IFERROR(__xludf.DUMMYFUNCTION("""COMPUTED_VALUE"""),"Active")</f>
        <v>Active</v>
      </c>
      <c r="E37" s="197">
        <f>IFERROR(__xludf.DUMMYFUNCTION("""COMPUTED_VALUE"""),43625.0)</f>
        <v>43625</v>
      </c>
      <c r="F37" s="198"/>
      <c r="G37" s="199">
        <f>IFERROR(__xludf.DUMMYFUNCTION("""COMPUTED_VALUE"""),76.19999999999999)</f>
        <v>76.2</v>
      </c>
      <c r="H37" s="197">
        <f>IFERROR(__xludf.DUMMYFUNCTION("""COMPUTED_VALUE"""),42790.0)</f>
        <v>42790</v>
      </c>
      <c r="I37" s="199">
        <f>IFERROR(__xludf.DUMMYFUNCTION("""COMPUTED_VALUE"""),2.2916666666666665)</f>
        <v>2.291666667</v>
      </c>
      <c r="J37" s="200">
        <f>IFERROR(__xludf.DUMMYFUNCTION("""COMPUTED_VALUE"""),90.0)</f>
        <v>90</v>
      </c>
      <c r="K37" s="200">
        <f>IFERROR(__xludf.DUMMYFUNCTION("""COMPUTED_VALUE"""),25.0)</f>
        <v>25</v>
      </c>
      <c r="L37" s="201" t="str">
        <f>IFERROR(__xludf.DUMMYFUNCTION("""COMPUTED_VALUE"""),"Platformer / Action-Adventure")</f>
        <v>Platformer / Action-Adventure</v>
      </c>
    </row>
    <row r="38">
      <c r="A38" s="190" t="str">
        <f>IFERROR(__xludf.DUMMYFUNCTION("""COMPUTED_VALUE"""),"Mass Effect")</f>
        <v>Mass Effect</v>
      </c>
      <c r="B38" s="195" t="str">
        <f>IFERROR(__xludf.DUMMYFUNCTION("""COMPUTED_VALUE"""),"Xbox / PC")</f>
        <v>Xbox / PC</v>
      </c>
      <c r="C38" s="196"/>
      <c r="D38" s="196" t="str">
        <f>IFERROR(__xludf.DUMMYFUNCTION("""COMPUTED_VALUE"""),"Active")</f>
        <v>Active</v>
      </c>
      <c r="E38" s="197">
        <f>IFERROR(__xludf.DUMMYFUNCTION("""COMPUTED_VALUE"""),43070.0)</f>
        <v>43070</v>
      </c>
      <c r="F38" s="198"/>
      <c r="G38" s="199">
        <f>IFERROR(__xludf.DUMMYFUNCTION("""COMPUTED_VALUE"""),94.46666666666667)</f>
        <v>94.46666667</v>
      </c>
      <c r="H38" s="197">
        <f>IFERROR(__xludf.DUMMYFUNCTION("""COMPUTED_VALUE"""),39406.0)</f>
        <v>39406</v>
      </c>
      <c r="I38" s="199">
        <f>IFERROR(__xludf.DUMMYFUNCTION("""COMPUTED_VALUE"""),10.030555555555555)</f>
        <v>10.03055556</v>
      </c>
      <c r="J38" s="200">
        <f>IFERROR(__xludf.DUMMYFUNCTION("""COMPUTED_VALUE"""),90.0)</f>
        <v>90</v>
      </c>
      <c r="K38" s="200">
        <f>IFERROR(__xludf.DUMMYFUNCTION("""COMPUTED_VALUE"""),17.0)</f>
        <v>17</v>
      </c>
      <c r="L38" s="201" t="str">
        <f>IFERROR(__xludf.DUMMYFUNCTION("""COMPUTED_VALUE"""),"RPG / Shooter")</f>
        <v>RPG / Shooter</v>
      </c>
    </row>
    <row r="39">
      <c r="A39" s="190" t="str">
        <f>IFERROR(__xludf.DUMMYFUNCTION("""COMPUTED_VALUE"""),"Assassin's Creed Brotherhood")</f>
        <v>Assassin's Creed Brotherhood</v>
      </c>
      <c r="B39" s="195" t="str">
        <f>IFERROR(__xludf.DUMMYFUNCTION("""COMPUTED_VALUE"""),"PC")</f>
        <v>PC</v>
      </c>
      <c r="C39" s="196"/>
      <c r="D39" s="196" t="str">
        <f>IFERROR(__xludf.DUMMYFUNCTION("""COMPUTED_VALUE"""),"Active")</f>
        <v>Active</v>
      </c>
      <c r="E39" s="197">
        <f>IFERROR(__xludf.DUMMYFUNCTION("""COMPUTED_VALUE"""),45931.0)</f>
        <v>45931</v>
      </c>
      <c r="F39" s="198"/>
      <c r="G39" s="199">
        <f>IFERROR(__xludf.DUMMYFUNCTION("""COMPUTED_VALUE"""),0.4666666666666667)</f>
        <v>0.4666666667</v>
      </c>
      <c r="H39" s="197">
        <f>IFERROR(__xludf.DUMMYFUNCTION("""COMPUTED_VALUE"""),40498.0)</f>
        <v>40498</v>
      </c>
      <c r="I39" s="199">
        <f>IFERROR(__xludf.DUMMYFUNCTION("""COMPUTED_VALUE"""),14.875)</f>
        <v>14.875</v>
      </c>
      <c r="J39" s="200">
        <f>IFERROR(__xludf.DUMMYFUNCTION("""COMPUTED_VALUE"""),89.0)</f>
        <v>89</v>
      </c>
      <c r="K39" s="200">
        <f>IFERROR(__xludf.DUMMYFUNCTION("""COMPUTED_VALUE"""),15.0)</f>
        <v>15</v>
      </c>
      <c r="L39" s="201" t="str">
        <f>IFERROR(__xludf.DUMMYFUNCTION("""COMPUTED_VALUE"""),"Action-Adventure")</f>
        <v>Action-Adventure</v>
      </c>
    </row>
    <row r="40">
      <c r="A40" s="190" t="str">
        <f>IFERROR(__xludf.DUMMYFUNCTION("""COMPUTED_VALUE"""),"Neon White")</f>
        <v>Neon White</v>
      </c>
      <c r="B40" s="195" t="str">
        <f>IFERROR(__xludf.DUMMYFUNCTION("""COMPUTED_VALUE"""),"Xbox / PC")</f>
        <v>Xbox / PC</v>
      </c>
      <c r="C40" s="196" t="str">
        <f>IFERROR(__xludf.DUMMYFUNCTION("""COMPUTED_VALUE"""),"Yes")</f>
        <v>Yes</v>
      </c>
      <c r="D40" s="196" t="str">
        <f>IFERROR(__xludf.DUMMYFUNCTION("""COMPUTED_VALUE"""),"Active")</f>
        <v>Active</v>
      </c>
      <c r="E40" s="197">
        <f>IFERROR(__xludf.DUMMYFUNCTION("""COMPUTED_VALUE"""),45484.0)</f>
        <v>45484</v>
      </c>
      <c r="F40" s="198"/>
      <c r="G40" s="199">
        <f>IFERROR(__xludf.DUMMYFUNCTION("""COMPUTED_VALUE"""),15.133333333333333)</f>
        <v>15.13333333</v>
      </c>
      <c r="H40" s="197">
        <f>IFERROR(__xludf.DUMMYFUNCTION("""COMPUTED_VALUE"""),44728.0)</f>
        <v>44728</v>
      </c>
      <c r="I40" s="199">
        <f>IFERROR(__xludf.DUMMYFUNCTION("""COMPUTED_VALUE"""),2.0694444444444446)</f>
        <v>2.069444444</v>
      </c>
      <c r="J40" s="200">
        <f>IFERROR(__xludf.DUMMYFUNCTION("""COMPUTED_VALUE"""),89.0)</f>
        <v>89</v>
      </c>
      <c r="K40" s="200">
        <f>IFERROR(__xludf.DUMMYFUNCTION("""COMPUTED_VALUE"""),11.0)</f>
        <v>11</v>
      </c>
      <c r="L40" s="201" t="str">
        <f>IFERROR(__xludf.DUMMYFUNCTION("""COMPUTED_VALUE"""),"First-Person Shooter")</f>
        <v>First-Person Shooter</v>
      </c>
    </row>
    <row r="41">
      <c r="A41" s="190" t="str">
        <f>IFERROR(__xludf.DUMMYFUNCTION("""COMPUTED_VALUE"""),"Hi-Fi RUSH")</f>
        <v>Hi-Fi RUSH</v>
      </c>
      <c r="B41" s="195" t="str">
        <f>IFERROR(__xludf.DUMMYFUNCTION("""COMPUTED_VALUE"""),"Xbox / PC")</f>
        <v>Xbox / PC</v>
      </c>
      <c r="C41" s="196" t="str">
        <f>IFERROR(__xludf.DUMMYFUNCTION("""COMPUTED_VALUE"""),"Yes")</f>
        <v>Yes</v>
      </c>
      <c r="D41" s="196" t="str">
        <f>IFERROR(__xludf.DUMMYFUNCTION("""COMPUTED_VALUE"""),"Active")</f>
        <v>Active</v>
      </c>
      <c r="E41" s="197">
        <f>IFERROR(__xludf.DUMMYFUNCTION("""COMPUTED_VALUE"""),44951.0)</f>
        <v>44951</v>
      </c>
      <c r="F41" s="198"/>
      <c r="G41" s="199">
        <f>IFERROR(__xludf.DUMMYFUNCTION("""COMPUTED_VALUE"""),32.66666666666667)</f>
        <v>32.66666667</v>
      </c>
      <c r="H41" s="197">
        <f>IFERROR(__xludf.DUMMYFUNCTION("""COMPUTED_VALUE"""),44951.0)</f>
        <v>44951</v>
      </c>
      <c r="I41" s="199">
        <f>IFERROR(__xludf.DUMMYFUNCTION("""COMPUTED_VALUE"""),0.0)</f>
        <v>0</v>
      </c>
      <c r="J41" s="200">
        <f>IFERROR(__xludf.DUMMYFUNCTION("""COMPUTED_VALUE"""),89.0)</f>
        <v>89</v>
      </c>
      <c r="K41" s="200">
        <f>IFERROR(__xludf.DUMMYFUNCTION("""COMPUTED_VALUE"""),10.0)</f>
        <v>10</v>
      </c>
      <c r="L41" s="201" t="str">
        <f>IFERROR(__xludf.DUMMYFUNCTION("""COMPUTED_VALUE"""),"Action / Music/Rhythm")</f>
        <v>Action / Music/Rhythm</v>
      </c>
    </row>
    <row r="42">
      <c r="A42" s="190" t="str">
        <f>IFERROR(__xludf.DUMMYFUNCTION("""COMPUTED_VALUE"""),"DEATHLOOP")</f>
        <v>DEATHLOOP</v>
      </c>
      <c r="B42" s="195" t="str">
        <f>IFERROR(__xludf.DUMMYFUNCTION("""COMPUTED_VALUE"""),"Xbox / PC")</f>
        <v>Xbox / PC</v>
      </c>
      <c r="C42" s="196" t="str">
        <f>IFERROR(__xludf.DUMMYFUNCTION("""COMPUTED_VALUE"""),"Yes")</f>
        <v>Yes</v>
      </c>
      <c r="D42" s="196" t="str">
        <f>IFERROR(__xludf.DUMMYFUNCTION("""COMPUTED_VALUE"""),"Active")</f>
        <v>Active</v>
      </c>
      <c r="E42" s="197">
        <f>IFERROR(__xludf.DUMMYFUNCTION("""COMPUTED_VALUE"""),44824.0)</f>
        <v>44824</v>
      </c>
      <c r="F42" s="198"/>
      <c r="G42" s="199">
        <f>IFERROR(__xludf.DUMMYFUNCTION("""COMPUTED_VALUE"""),36.833333333333336)</f>
        <v>36.83333333</v>
      </c>
      <c r="H42" s="197">
        <f>IFERROR(__xludf.DUMMYFUNCTION("""COMPUTED_VALUE"""),44453.0)</f>
        <v>44453</v>
      </c>
      <c r="I42" s="199">
        <f>IFERROR(__xludf.DUMMYFUNCTION("""COMPUTED_VALUE"""),1.0166666666666666)</f>
        <v>1.016666667</v>
      </c>
      <c r="J42" s="200">
        <f>IFERROR(__xludf.DUMMYFUNCTION("""COMPUTED_VALUE"""),89.0)</f>
        <v>89</v>
      </c>
      <c r="K42" s="200">
        <f>IFERROR(__xludf.DUMMYFUNCTION("""COMPUTED_VALUE"""),16.0)</f>
        <v>16</v>
      </c>
      <c r="L42" s="201" t="str">
        <f>IFERROR(__xludf.DUMMYFUNCTION("""COMPUTED_VALUE"""),"Action / Strategy")</f>
        <v>Action / Strategy</v>
      </c>
    </row>
    <row r="43">
      <c r="A43" s="190" t="str">
        <f>IFERROR(__xludf.DUMMYFUNCTION("""COMPUTED_VALUE"""),"Stardew Valley")</f>
        <v>Stardew Valley</v>
      </c>
      <c r="B43" s="195" t="str">
        <f>IFERROR(__xludf.DUMMYFUNCTION("""COMPUTED_VALUE"""),"Xbox / PC")</f>
        <v>Xbox / PC</v>
      </c>
      <c r="C43" s="196" t="str">
        <f>IFERROR(__xludf.DUMMYFUNCTION("""COMPUTED_VALUE"""),"Touch Controls")</f>
        <v>Touch Controls</v>
      </c>
      <c r="D43" s="196" t="str">
        <f>IFERROR(__xludf.DUMMYFUNCTION("""COMPUTED_VALUE"""),"Active")</f>
        <v>Active</v>
      </c>
      <c r="E43" s="197">
        <f>IFERROR(__xludf.DUMMYFUNCTION("""COMPUTED_VALUE"""),44532.0)</f>
        <v>44532</v>
      </c>
      <c r="F43" s="198"/>
      <c r="G43" s="199">
        <f>IFERROR(__xludf.DUMMYFUNCTION("""COMPUTED_VALUE"""),46.43333333333334)</f>
        <v>46.43333333</v>
      </c>
      <c r="H43" s="197">
        <f>IFERROR(__xludf.DUMMYFUNCTION("""COMPUTED_VALUE"""),42426.0)</f>
        <v>42426</v>
      </c>
      <c r="I43" s="199">
        <f>IFERROR(__xludf.DUMMYFUNCTION("""COMPUTED_VALUE"""),5.766666666666667)</f>
        <v>5.766666667</v>
      </c>
      <c r="J43" s="200">
        <f>IFERROR(__xludf.DUMMYFUNCTION("""COMPUTED_VALUE"""),89.0)</f>
        <v>89</v>
      </c>
      <c r="K43" s="200">
        <f>IFERROR(__xludf.DUMMYFUNCTION("""COMPUTED_VALUE"""),52.5)</f>
        <v>52.5</v>
      </c>
      <c r="L43" s="201" t="str">
        <f>IFERROR(__xludf.DUMMYFUNCTION("""COMPUTED_VALUE"""),"RPG / Simulation / Fishing / Action-Adventure")</f>
        <v>RPG / Simulation / Fishing / Action-Adventure</v>
      </c>
    </row>
    <row r="44">
      <c r="A44" s="190" t="str">
        <f>IFERROR(__xludf.DUMMYFUNCTION("""COMPUTED_VALUE"""),"Psychonauts 2")</f>
        <v>Psychonauts 2</v>
      </c>
      <c r="B44" s="195" t="str">
        <f>IFERROR(__xludf.DUMMYFUNCTION("""COMPUTED_VALUE"""),"Xbox / PC")</f>
        <v>Xbox / PC</v>
      </c>
      <c r="C44" s="196" t="str">
        <f>IFERROR(__xludf.DUMMYFUNCTION("""COMPUTED_VALUE"""),"Touch Controls")</f>
        <v>Touch Controls</v>
      </c>
      <c r="D44" s="196" t="str">
        <f>IFERROR(__xludf.DUMMYFUNCTION("""COMPUTED_VALUE"""),"Active")</f>
        <v>Active</v>
      </c>
      <c r="E44" s="197">
        <f>IFERROR(__xludf.DUMMYFUNCTION("""COMPUTED_VALUE"""),44433.0)</f>
        <v>44433</v>
      </c>
      <c r="F44" s="198"/>
      <c r="G44" s="199">
        <f>IFERROR(__xludf.DUMMYFUNCTION("""COMPUTED_VALUE"""),49.66666666666667)</f>
        <v>49.66666667</v>
      </c>
      <c r="H44" s="197">
        <f>IFERROR(__xludf.DUMMYFUNCTION("""COMPUTED_VALUE"""),44433.0)</f>
        <v>44433</v>
      </c>
      <c r="I44" s="199">
        <f>IFERROR(__xludf.DUMMYFUNCTION("""COMPUTED_VALUE"""),0.0)</f>
        <v>0</v>
      </c>
      <c r="J44" s="200">
        <f>IFERROR(__xludf.DUMMYFUNCTION("""COMPUTED_VALUE"""),89.0)</f>
        <v>89</v>
      </c>
      <c r="K44" s="200">
        <f>IFERROR(__xludf.DUMMYFUNCTION("""COMPUTED_VALUE"""),14.0)</f>
        <v>14</v>
      </c>
      <c r="L44" s="201" t="str">
        <f>IFERROR(__xludf.DUMMYFUNCTION("""COMPUTED_VALUE"""),"Platformer / Action-Adventure")</f>
        <v>Platformer / Action-Adventure</v>
      </c>
    </row>
    <row r="45">
      <c r="A45" s="190" t="str">
        <f>IFERROR(__xludf.DUMMYFUNCTION("""COMPUTED_VALUE"""),"Quake II")</f>
        <v>Quake II</v>
      </c>
      <c r="B45" s="195" t="str">
        <f>IFERROR(__xludf.DUMMYFUNCTION("""COMPUTED_VALUE"""),"Xbox / PC")</f>
        <v>Xbox / PC</v>
      </c>
      <c r="C45" s="196" t="str">
        <f>IFERROR(__xludf.DUMMYFUNCTION("""COMPUTED_VALUE"""),"M+KB")</f>
        <v>M+KB</v>
      </c>
      <c r="D45" s="196" t="str">
        <f>IFERROR(__xludf.DUMMYFUNCTION("""COMPUTED_VALUE"""),"Active")</f>
        <v>Active</v>
      </c>
      <c r="E45" s="197">
        <f>IFERROR(__xludf.DUMMYFUNCTION("""COMPUTED_VALUE"""),44427.0)</f>
        <v>44427</v>
      </c>
      <c r="F45" s="198"/>
      <c r="G45" s="199">
        <f>IFERROR(__xludf.DUMMYFUNCTION("""COMPUTED_VALUE"""),49.866666666666674)</f>
        <v>49.86666667</v>
      </c>
      <c r="H45" s="197">
        <f>IFERROR(__xludf.DUMMYFUNCTION("""COMPUTED_VALUE"""),35773.0)</f>
        <v>35773</v>
      </c>
      <c r="I45" s="199">
        <f>IFERROR(__xludf.DUMMYFUNCTION("""COMPUTED_VALUE"""),23.694444444444443)</f>
        <v>23.69444444</v>
      </c>
      <c r="J45" s="200">
        <f>IFERROR(__xludf.DUMMYFUNCTION("""COMPUTED_VALUE"""),89.0)</f>
        <v>89</v>
      </c>
      <c r="K45" s="200">
        <f>IFERROR(__xludf.DUMMYFUNCTION("""COMPUTED_VALUE"""),8.0)</f>
        <v>8</v>
      </c>
      <c r="L45" s="201" t="str">
        <f>IFERROR(__xludf.DUMMYFUNCTION("""COMPUTED_VALUE"""),"Action / First-Person Shooter")</f>
        <v>Action / First-Person Shooter</v>
      </c>
    </row>
    <row r="46">
      <c r="A46" s="190" t="str">
        <f>IFERROR(__xludf.DUMMYFUNCTION("""COMPUTED_VALUE"""),"Fallout")</f>
        <v>Fallout</v>
      </c>
      <c r="B46" s="195" t="str">
        <f>IFERROR(__xludf.DUMMYFUNCTION("""COMPUTED_VALUE"""),"PC")</f>
        <v>PC</v>
      </c>
      <c r="C46" s="196"/>
      <c r="D46" s="196" t="str">
        <f>IFERROR(__xludf.DUMMYFUNCTION("""COMPUTED_VALUE"""),"Active")</f>
        <v>Active</v>
      </c>
      <c r="E46" s="197">
        <f>IFERROR(__xludf.DUMMYFUNCTION("""COMPUTED_VALUE"""),44360.0)</f>
        <v>44360</v>
      </c>
      <c r="F46" s="198"/>
      <c r="G46" s="199">
        <f>IFERROR(__xludf.DUMMYFUNCTION("""COMPUTED_VALUE"""),52.06666666666666)</f>
        <v>52.06666667</v>
      </c>
      <c r="H46" s="197">
        <f>IFERROR(__xludf.DUMMYFUNCTION("""COMPUTED_VALUE"""),35703.0)</f>
        <v>35703</v>
      </c>
      <c r="I46" s="199">
        <f>IFERROR(__xludf.DUMMYFUNCTION("""COMPUTED_VALUE"""),23.70277777777778)</f>
        <v>23.70277778</v>
      </c>
      <c r="J46" s="200">
        <f>IFERROR(__xludf.DUMMYFUNCTION("""COMPUTED_VALUE"""),89.0)</f>
        <v>89</v>
      </c>
      <c r="K46" s="200">
        <f>IFERROR(__xludf.DUMMYFUNCTION("""COMPUTED_VALUE"""),16.0)</f>
        <v>16</v>
      </c>
      <c r="L46" s="201" t="str">
        <f>IFERROR(__xludf.DUMMYFUNCTION("""COMPUTED_VALUE"""),"RPG")</f>
        <v>RPG</v>
      </c>
    </row>
    <row r="47">
      <c r="A47" s="190" t="str">
        <f>IFERROR(__xludf.DUMMYFUNCTION("""COMPUTED_VALUE"""),"Populous")</f>
        <v>Populous</v>
      </c>
      <c r="B47" s="195" t="str">
        <f>IFERROR(__xludf.DUMMYFUNCTION("""COMPUTED_VALUE"""),"PC")</f>
        <v>PC</v>
      </c>
      <c r="C47" s="196"/>
      <c r="D47" s="196" t="str">
        <f>IFERROR(__xludf.DUMMYFUNCTION("""COMPUTED_VALUE"""),"Active")</f>
        <v>Active</v>
      </c>
      <c r="E47" s="197">
        <f>IFERROR(__xludf.DUMMYFUNCTION("""COMPUTED_VALUE"""),44273.0)</f>
        <v>44273</v>
      </c>
      <c r="F47" s="198"/>
      <c r="G47" s="199">
        <f>IFERROR(__xludf.DUMMYFUNCTION("""COMPUTED_VALUE"""),54.900000000000006)</f>
        <v>54.9</v>
      </c>
      <c r="H47" s="197">
        <f>IFERROR(__xludf.DUMMYFUNCTION("""COMPUTED_VALUE"""),32509.0)</f>
        <v>32509</v>
      </c>
      <c r="I47" s="199">
        <f>IFERROR(__xludf.DUMMYFUNCTION("""COMPUTED_VALUE"""),32.21388888888889)</f>
        <v>32.21388889</v>
      </c>
      <c r="J47" s="200">
        <f>IFERROR(__xludf.DUMMYFUNCTION("""COMPUTED_VALUE"""),89.0)</f>
        <v>89</v>
      </c>
      <c r="K47" s="200">
        <f>IFERROR(__xludf.DUMMYFUNCTION("""COMPUTED_VALUE"""),13.0)</f>
        <v>13</v>
      </c>
      <c r="L47" s="201" t="str">
        <f>IFERROR(__xludf.DUMMYFUNCTION("""COMPUTED_VALUE"""),"Strategy")</f>
        <v>Strategy</v>
      </c>
    </row>
    <row r="48">
      <c r="A48" s="190" t="str">
        <f>IFERROR(__xludf.DUMMYFUNCTION("""COMPUTED_VALUE"""),"Dead Space")</f>
        <v>Dead Space</v>
      </c>
      <c r="B48" s="195" t="str">
        <f>IFERROR(__xludf.DUMMYFUNCTION("""COMPUTED_VALUE"""),"Xbox / PC")</f>
        <v>Xbox / PC</v>
      </c>
      <c r="C48" s="196" t="str">
        <f>IFERROR(__xludf.DUMMYFUNCTION("""COMPUTED_VALUE"""),"Yes")</f>
        <v>Yes</v>
      </c>
      <c r="D48" s="196" t="str">
        <f>IFERROR(__xludf.DUMMYFUNCTION("""COMPUTED_VALUE"""),"Active")</f>
        <v>Active</v>
      </c>
      <c r="E48" s="197">
        <f>IFERROR(__xludf.DUMMYFUNCTION("""COMPUTED_VALUE"""),44145.0)</f>
        <v>44145</v>
      </c>
      <c r="F48" s="198"/>
      <c r="G48" s="199">
        <f>IFERROR(__xludf.DUMMYFUNCTION("""COMPUTED_VALUE"""),59.166666666666664)</f>
        <v>59.16666667</v>
      </c>
      <c r="H48" s="197">
        <f>IFERROR(__xludf.DUMMYFUNCTION("""COMPUTED_VALUE"""),39735.0)</f>
        <v>39735</v>
      </c>
      <c r="I48" s="199">
        <f>IFERROR(__xludf.DUMMYFUNCTION("""COMPUTED_VALUE"""),12.072222222222223)</f>
        <v>12.07222222</v>
      </c>
      <c r="J48" s="200">
        <f>IFERROR(__xludf.DUMMYFUNCTION("""COMPUTED_VALUE"""),89.0)</f>
        <v>89</v>
      </c>
      <c r="K48" s="200">
        <f>IFERROR(__xludf.DUMMYFUNCTION("""COMPUTED_VALUE"""),11.0)</f>
        <v>11</v>
      </c>
      <c r="L48" s="201" t="str">
        <f>IFERROR(__xludf.DUMMYFUNCTION("""COMPUTED_VALUE"""),"Action")</f>
        <v>Action</v>
      </c>
    </row>
    <row r="49">
      <c r="A49" s="190" t="str">
        <f>IFERROR(__xludf.DUMMYFUNCTION("""COMPUTED_VALUE"""),"Peggle")</f>
        <v>Peggle</v>
      </c>
      <c r="B49" s="195" t="str">
        <f>IFERROR(__xludf.DUMMYFUNCTION("""COMPUTED_VALUE"""),"Xbox / PC")</f>
        <v>Xbox / PC</v>
      </c>
      <c r="C49" s="196"/>
      <c r="D49" s="196" t="str">
        <f>IFERROR(__xludf.DUMMYFUNCTION("""COMPUTED_VALUE"""),"Active")</f>
        <v>Active</v>
      </c>
      <c r="E49" s="197">
        <f>IFERROR(__xludf.DUMMYFUNCTION("""COMPUTED_VALUE"""),44145.0)</f>
        <v>44145</v>
      </c>
      <c r="F49" s="198"/>
      <c r="G49" s="199">
        <f>IFERROR(__xludf.DUMMYFUNCTION("""COMPUTED_VALUE"""),59.166666666666664)</f>
        <v>59.16666667</v>
      </c>
      <c r="H49" s="197">
        <f>IFERROR(__xludf.DUMMYFUNCTION("""COMPUTED_VALUE"""),39183.0)</f>
        <v>39183</v>
      </c>
      <c r="I49" s="199">
        <f>IFERROR(__xludf.DUMMYFUNCTION("""COMPUTED_VALUE"""),13.580555555555556)</f>
        <v>13.58055556</v>
      </c>
      <c r="J49" s="200">
        <f>IFERROR(__xludf.DUMMYFUNCTION("""COMPUTED_VALUE"""),89.0)</f>
        <v>89</v>
      </c>
      <c r="K49" s="200">
        <f>IFERROR(__xludf.DUMMYFUNCTION("""COMPUTED_VALUE"""),4.0)</f>
        <v>4</v>
      </c>
      <c r="L49" s="201" t="str">
        <f>IFERROR(__xludf.DUMMYFUNCTION("""COMPUTED_VALUE"""),"Puzzle / Block-Breaking")</f>
        <v>Puzzle / Block-Breaking</v>
      </c>
    </row>
    <row r="50">
      <c r="A50" s="190" t="str">
        <f>IFERROR(__xludf.DUMMYFUNCTION("""COMPUTED_VALUE"""),"Plants vs. Zombies: Game of the Year Edition")</f>
        <v>Plants vs. Zombies: Game of the Year Edition</v>
      </c>
      <c r="B50" s="195" t="str">
        <f>IFERROR(__xludf.DUMMYFUNCTION("""COMPUTED_VALUE"""),"Xbox / PC")</f>
        <v>Xbox / PC</v>
      </c>
      <c r="C50" s="196"/>
      <c r="D50" s="196" t="str">
        <f>IFERROR(__xludf.DUMMYFUNCTION("""COMPUTED_VALUE"""),"Active")</f>
        <v>Active</v>
      </c>
      <c r="E50" s="197">
        <f>IFERROR(__xludf.DUMMYFUNCTION("""COMPUTED_VALUE"""),44145.0)</f>
        <v>44145</v>
      </c>
      <c r="F50" s="198"/>
      <c r="G50" s="199">
        <f>IFERROR(__xludf.DUMMYFUNCTION("""COMPUTED_VALUE"""),59.166666666666664)</f>
        <v>59.16666667</v>
      </c>
      <c r="H50" s="197">
        <f>IFERROR(__xludf.DUMMYFUNCTION("""COMPUTED_VALUE"""),39938.0)</f>
        <v>39938</v>
      </c>
      <c r="I50" s="199">
        <f>IFERROR(__xludf.DUMMYFUNCTION("""COMPUTED_VALUE"""),11.51388888888889)</f>
        <v>11.51388889</v>
      </c>
      <c r="J50" s="200">
        <f>IFERROR(__xludf.DUMMYFUNCTION("""COMPUTED_VALUE"""),89.0)</f>
        <v>89</v>
      </c>
      <c r="K50" s="200">
        <f>IFERROR(__xludf.DUMMYFUNCTION("""COMPUTED_VALUE"""),8.0)</f>
        <v>8</v>
      </c>
      <c r="L50" s="201" t="str">
        <f>IFERROR(__xludf.DUMMYFUNCTION("""COMPUTED_VALUE"""),"Strategy / Puzzle")</f>
        <v>Strategy / Puzzle</v>
      </c>
    </row>
    <row r="51">
      <c r="A51" s="190" t="str">
        <f>IFERROR(__xludf.DUMMYFUNCTION("""COMPUTED_VALUE"""),"Rise of Nations: Extended Edition")</f>
        <v>Rise of Nations: Extended Edition</v>
      </c>
      <c r="B51" s="195" t="str">
        <f>IFERROR(__xludf.DUMMYFUNCTION("""COMPUTED_VALUE"""),"PC")</f>
        <v>PC</v>
      </c>
      <c r="C51" s="196"/>
      <c r="D51" s="196" t="str">
        <f>IFERROR(__xludf.DUMMYFUNCTION("""COMPUTED_VALUE"""),"Active")</f>
        <v>Active</v>
      </c>
      <c r="E51" s="197">
        <f>IFERROR(__xludf.DUMMYFUNCTION("""COMPUTED_VALUE"""),43625.0)</f>
        <v>43625</v>
      </c>
      <c r="F51" s="198"/>
      <c r="G51" s="199">
        <f>IFERROR(__xludf.DUMMYFUNCTION("""COMPUTED_VALUE"""),76.19999999999999)</f>
        <v>76.2</v>
      </c>
      <c r="H51" s="197">
        <f>IFERROR(__xludf.DUMMYFUNCTION("""COMPUTED_VALUE"""),37761.0)</f>
        <v>37761</v>
      </c>
      <c r="I51" s="199">
        <f>IFERROR(__xludf.DUMMYFUNCTION("""COMPUTED_VALUE"""),16.052777777777777)</f>
        <v>16.05277778</v>
      </c>
      <c r="J51" s="200">
        <f>IFERROR(__xludf.DUMMYFUNCTION("""COMPUTED_VALUE"""),89.0)</f>
        <v>89</v>
      </c>
      <c r="K51" s="200">
        <f>IFERROR(__xludf.DUMMYFUNCTION("""COMPUTED_VALUE"""),18.0)</f>
        <v>18</v>
      </c>
      <c r="L51" s="201" t="str">
        <f>IFERROR(__xludf.DUMMYFUNCTION("""COMPUTED_VALUE"""),"Strategy / Real-Time Strategy / Trivia/Board Game")</f>
        <v>Strategy / Real-Time Strategy / Trivia/Board Game</v>
      </c>
    </row>
    <row r="52">
      <c r="A52" s="190" t="str">
        <f>IFERROR(__xludf.DUMMYFUNCTION("""COMPUTED_VALUE"""),"The Walking Dead: The Complete First Season")</f>
        <v>The Walking Dead: The Complete First Season</v>
      </c>
      <c r="B52" s="195" t="str">
        <f>IFERROR(__xludf.DUMMYFUNCTION("""COMPUTED_VALUE"""),"Xbox / PC")</f>
        <v>Xbox / PC</v>
      </c>
      <c r="C52" s="196" t="str">
        <f>IFERROR(__xludf.DUMMYFUNCTION("""COMPUTED_VALUE"""),"Touch Controls")</f>
        <v>Touch Controls</v>
      </c>
      <c r="D52" s="196" t="str">
        <f>IFERROR(__xludf.DUMMYFUNCTION("""COMPUTED_VALUE"""),"Active")</f>
        <v>Active</v>
      </c>
      <c r="E52" s="197">
        <f>IFERROR(__xludf.DUMMYFUNCTION("""COMPUTED_VALUE"""),43503.0)</f>
        <v>43503</v>
      </c>
      <c r="F52" s="198"/>
      <c r="G52" s="199">
        <f>IFERROR(__xludf.DUMMYFUNCTION("""COMPUTED_VALUE"""),80.26666666666667)</f>
        <v>80.26666667</v>
      </c>
      <c r="H52" s="197">
        <f>IFERROR(__xludf.DUMMYFUNCTION("""COMPUTED_VALUE"""),43074.0)</f>
        <v>43074</v>
      </c>
      <c r="I52" s="199">
        <f>IFERROR(__xludf.DUMMYFUNCTION("""COMPUTED_VALUE"""),1.1722222222222223)</f>
        <v>1.172222222</v>
      </c>
      <c r="J52" s="200">
        <f>IFERROR(__xludf.DUMMYFUNCTION("""COMPUTED_VALUE"""),89.0)</f>
        <v>89</v>
      </c>
      <c r="K52" s="200">
        <f>IFERROR(__xludf.DUMMYFUNCTION("""COMPUTED_VALUE"""),13.0)</f>
        <v>13</v>
      </c>
      <c r="L52" s="201" t="str">
        <f>IFERROR(__xludf.DUMMYFUNCTION("""COMPUTED_VALUE"""),"Light-Gun Shooter")</f>
        <v>Light-Gun Shooter</v>
      </c>
    </row>
    <row r="53">
      <c r="A53" s="190" t="str">
        <f>IFERROR(__xludf.DUMMYFUNCTION("""COMPUTED_VALUE"""),"It Takes Two")</f>
        <v>It Takes Two</v>
      </c>
      <c r="B53" s="195" t="str">
        <f>IFERROR(__xludf.DUMMYFUNCTION("""COMPUTED_VALUE"""),"Xbox / PC")</f>
        <v>Xbox / PC</v>
      </c>
      <c r="C53" s="196" t="str">
        <f>IFERROR(__xludf.DUMMYFUNCTION("""COMPUTED_VALUE"""),"Yes")</f>
        <v>Yes</v>
      </c>
      <c r="D53" s="196" t="str">
        <f>IFERROR(__xludf.DUMMYFUNCTION("""COMPUTED_VALUE"""),"Active")</f>
        <v>Active</v>
      </c>
      <c r="E53" s="197">
        <f>IFERROR(__xludf.DUMMYFUNCTION("""COMPUTED_VALUE"""),44504.0)</f>
        <v>44504</v>
      </c>
      <c r="F53" s="198"/>
      <c r="G53" s="199">
        <f>IFERROR(__xludf.DUMMYFUNCTION("""COMPUTED_VALUE"""),47.36666666666667)</f>
        <v>47.36666667</v>
      </c>
      <c r="H53" s="197">
        <f>IFERROR(__xludf.DUMMYFUNCTION("""COMPUTED_VALUE"""),44281.0)</f>
        <v>44281</v>
      </c>
      <c r="I53" s="199">
        <f>IFERROR(__xludf.DUMMYFUNCTION("""COMPUTED_VALUE"""),0.6055555555555555)</f>
        <v>0.6055555556</v>
      </c>
      <c r="J53" s="200">
        <f>IFERROR(__xludf.DUMMYFUNCTION("""COMPUTED_VALUE"""),88.5)</f>
        <v>88.5</v>
      </c>
      <c r="K53" s="200">
        <f>IFERROR(__xludf.DUMMYFUNCTION("""COMPUTED_VALUE"""),12.0)</f>
        <v>12</v>
      </c>
      <c r="L53" s="201" t="str">
        <f>IFERROR(__xludf.DUMMYFUNCTION("""COMPUTED_VALUE"""),"Platformer / Action-Adventure")</f>
        <v>Platformer / Action-Adventure</v>
      </c>
    </row>
    <row r="54">
      <c r="A54" s="190" t="str">
        <f>IFERROR(__xludf.DUMMYFUNCTION("""COMPUTED_VALUE"""),"Assassin's Creed IV Black Flag")</f>
        <v>Assassin's Creed IV Black Flag</v>
      </c>
      <c r="B54" s="195" t="str">
        <f>IFERROR(__xludf.DUMMYFUNCTION("""COMPUTED_VALUE"""),"Xbox / PC")</f>
        <v>Xbox / PC</v>
      </c>
      <c r="C54" s="196" t="str">
        <f>IFERROR(__xludf.DUMMYFUNCTION("""COMPUTED_VALUE"""),"Yes")</f>
        <v>Yes</v>
      </c>
      <c r="D54" s="196" t="str">
        <f>IFERROR(__xludf.DUMMYFUNCTION("""COMPUTED_VALUE"""),"Active")</f>
        <v>Active</v>
      </c>
      <c r="E54" s="197">
        <f>IFERROR(__xludf.DUMMYFUNCTION("""COMPUTED_VALUE"""),45931.0)</f>
        <v>45931</v>
      </c>
      <c r="F54" s="198"/>
      <c r="G54" s="199">
        <f>IFERROR(__xludf.DUMMYFUNCTION("""COMPUTED_VALUE"""),0.4666666666666667)</f>
        <v>0.4666666667</v>
      </c>
      <c r="H54" s="197">
        <f>IFERROR(__xludf.DUMMYFUNCTION("""COMPUTED_VALUE"""),41576.0)</f>
        <v>41576</v>
      </c>
      <c r="I54" s="199">
        <f>IFERROR(__xludf.DUMMYFUNCTION("""COMPUTED_VALUE"""),11.922222222222222)</f>
        <v>11.92222222</v>
      </c>
      <c r="J54" s="200">
        <f>IFERROR(__xludf.DUMMYFUNCTION("""COMPUTED_VALUE"""),88.0)</f>
        <v>88</v>
      </c>
      <c r="K54" s="200">
        <f>IFERROR(__xludf.DUMMYFUNCTION("""COMPUTED_VALUE"""),24.0)</f>
        <v>24</v>
      </c>
      <c r="L54" s="201" t="str">
        <f>IFERROR(__xludf.DUMMYFUNCTION("""COMPUTED_VALUE"""),"Action-Adventure")</f>
        <v>Action-Adventure</v>
      </c>
    </row>
    <row r="55">
      <c r="A55" s="190" t="str">
        <f>IFERROR(__xludf.DUMMYFUNCTION("""COMPUTED_VALUE"""),"Far Cry 3")</f>
        <v>Far Cry 3</v>
      </c>
      <c r="B55" s="195" t="str">
        <f>IFERROR(__xludf.DUMMYFUNCTION("""COMPUTED_VALUE"""),"Xbox / PC")</f>
        <v>Xbox / PC</v>
      </c>
      <c r="C55" s="196" t="str">
        <f>IFERROR(__xludf.DUMMYFUNCTION("""COMPUTED_VALUE"""),"Yes")</f>
        <v>Yes</v>
      </c>
      <c r="D55" s="196" t="str">
        <f>IFERROR(__xludf.DUMMYFUNCTION("""COMPUTED_VALUE"""),"Active")</f>
        <v>Active</v>
      </c>
      <c r="E55" s="197">
        <f>IFERROR(__xludf.DUMMYFUNCTION("""COMPUTED_VALUE"""),45931.0)</f>
        <v>45931</v>
      </c>
      <c r="F55" s="198"/>
      <c r="G55" s="199">
        <f>IFERROR(__xludf.DUMMYFUNCTION("""COMPUTED_VALUE"""),0.4666666666666667)</f>
        <v>0.4666666667</v>
      </c>
      <c r="H55" s="197">
        <f>IFERROR(__xludf.DUMMYFUNCTION("""COMPUTED_VALUE"""),41247.0)</f>
        <v>41247</v>
      </c>
      <c r="I55" s="199">
        <f>IFERROR(__xludf.DUMMYFUNCTION("""COMPUTED_VALUE"""),12.825)</f>
        <v>12.825</v>
      </c>
      <c r="J55" s="200">
        <f>IFERROR(__xludf.DUMMYFUNCTION("""COMPUTED_VALUE"""),88.0)</f>
        <v>88</v>
      </c>
      <c r="K55" s="200">
        <f>IFERROR(__xludf.DUMMYFUNCTION("""COMPUTED_VALUE"""),16.0)</f>
        <v>16</v>
      </c>
      <c r="L55" s="201" t="str">
        <f>IFERROR(__xludf.DUMMYFUNCTION("""COMPUTED_VALUE"""),"Action-Adventure")</f>
        <v>Action-Adventure</v>
      </c>
    </row>
    <row r="56">
      <c r="A56" s="190" t="str">
        <f>IFERROR(__xludf.DUMMYFUNCTION("""COMPUTED_VALUE"""),"Abiotic Factor")</f>
        <v>Abiotic Factor</v>
      </c>
      <c r="B56" s="195" t="str">
        <f>IFERROR(__xludf.DUMMYFUNCTION("""COMPUTED_VALUE"""),"Xbox / PC")</f>
        <v>Xbox / PC</v>
      </c>
      <c r="C56" s="196" t="str">
        <f>IFERROR(__xludf.DUMMYFUNCTION("""COMPUTED_VALUE"""),"Yes")</f>
        <v>Yes</v>
      </c>
      <c r="D56" s="196" t="str">
        <f>IFERROR(__xludf.DUMMYFUNCTION("""COMPUTED_VALUE"""),"Active")</f>
        <v>Active</v>
      </c>
      <c r="E56" s="197">
        <f>IFERROR(__xludf.DUMMYFUNCTION("""COMPUTED_VALUE"""),45860.0)</f>
        <v>45860</v>
      </c>
      <c r="F56" s="198"/>
      <c r="G56" s="199">
        <f>IFERROR(__xludf.DUMMYFUNCTION("""COMPUTED_VALUE"""),2.7666666666666666)</f>
        <v>2.766666667</v>
      </c>
      <c r="H56" s="197">
        <f>IFERROR(__xludf.DUMMYFUNCTION("""COMPUTED_VALUE"""),45860.0)</f>
        <v>45860</v>
      </c>
      <c r="I56" s="199">
        <f>IFERROR(__xludf.DUMMYFUNCTION("""COMPUTED_VALUE"""),0.0)</f>
        <v>0</v>
      </c>
      <c r="J56" s="200">
        <f>IFERROR(__xludf.DUMMYFUNCTION("""COMPUTED_VALUE"""),88.0)</f>
        <v>88</v>
      </c>
      <c r="K56" s="200">
        <f>IFERROR(__xludf.DUMMYFUNCTION("""COMPUTED_VALUE"""),33.0)</f>
        <v>33</v>
      </c>
      <c r="L56" s="201" t="str">
        <f>IFERROR(__xludf.DUMMYFUNCTION("""COMPUTED_VALUE"""),"Survival")</f>
        <v>Survival</v>
      </c>
    </row>
    <row r="57">
      <c r="A57" s="190" t="str">
        <f>IFERROR(__xludf.DUMMYFUNCTION("""COMPUTED_VALUE"""),"Mullet Madjack")</f>
        <v>Mullet Madjack</v>
      </c>
      <c r="B57" s="195" t="str">
        <f>IFERROR(__xludf.DUMMYFUNCTION("""COMPUTED_VALUE"""),"Xbox / PC")</f>
        <v>Xbox / PC</v>
      </c>
      <c r="C57" s="196" t="str">
        <f>IFERROR(__xludf.DUMMYFUNCTION("""COMPUTED_VALUE"""),"Yes")</f>
        <v>Yes</v>
      </c>
      <c r="D57" s="196" t="str">
        <f>IFERROR(__xludf.DUMMYFUNCTION("""COMPUTED_VALUE"""),"Active")</f>
        <v>Active</v>
      </c>
      <c r="E57" s="197">
        <f>IFERROR(__xludf.DUMMYFUNCTION("""COMPUTED_VALUE"""),45729.0)</f>
        <v>45729</v>
      </c>
      <c r="F57" s="198"/>
      <c r="G57" s="199">
        <f>IFERROR(__xludf.DUMMYFUNCTION("""COMPUTED_VALUE"""),7.066666666666666)</f>
        <v>7.066666667</v>
      </c>
      <c r="H57" s="197">
        <f>IFERROR(__xludf.DUMMYFUNCTION("""COMPUTED_VALUE"""),45427.0)</f>
        <v>45427</v>
      </c>
      <c r="I57" s="199">
        <f>IFERROR(__xludf.DUMMYFUNCTION("""COMPUTED_VALUE"""),0.8277777777777777)</f>
        <v>0.8277777778</v>
      </c>
      <c r="J57" s="200">
        <f>IFERROR(__xludf.DUMMYFUNCTION("""COMPUTED_VALUE"""),88.0)</f>
        <v>88</v>
      </c>
      <c r="K57" s="200">
        <f>IFERROR(__xludf.DUMMYFUNCTION("""COMPUTED_VALUE"""),4.0)</f>
        <v>4</v>
      </c>
      <c r="L57" s="201" t="str">
        <f>IFERROR(__xludf.DUMMYFUNCTION("""COMPUTED_VALUE"""),"Shooter")</f>
        <v>Shooter</v>
      </c>
    </row>
    <row r="58">
      <c r="A58" s="190" t="str">
        <f>IFERROR(__xludf.DUMMYFUNCTION("""COMPUTED_VALUE"""),"Populous: The Beginning")</f>
        <v>Populous: The Beginning</v>
      </c>
      <c r="B58" s="195" t="str">
        <f>IFERROR(__xludf.DUMMYFUNCTION("""COMPUTED_VALUE"""),"PC")</f>
        <v>PC</v>
      </c>
      <c r="C58" s="196"/>
      <c r="D58" s="196" t="str">
        <f>IFERROR(__xludf.DUMMYFUNCTION("""COMPUTED_VALUE"""),"Active")</f>
        <v>Active</v>
      </c>
      <c r="E58" s="197">
        <f>IFERROR(__xludf.DUMMYFUNCTION("""COMPUTED_VALUE"""),45398.0)</f>
        <v>45398</v>
      </c>
      <c r="F58" s="198"/>
      <c r="G58" s="199">
        <f>IFERROR(__xludf.DUMMYFUNCTION("""COMPUTED_VALUE"""),17.96666666666667)</f>
        <v>17.96666667</v>
      </c>
      <c r="H58" s="197">
        <f>IFERROR(__xludf.DUMMYFUNCTION("""COMPUTED_VALUE"""),36129.0)</f>
        <v>36129</v>
      </c>
      <c r="I58" s="199">
        <f>IFERROR(__xludf.DUMMYFUNCTION("""COMPUTED_VALUE"""),25.377777777777776)</f>
        <v>25.37777778</v>
      </c>
      <c r="J58" s="200">
        <f>IFERROR(__xludf.DUMMYFUNCTION("""COMPUTED_VALUE"""),88.0)</f>
        <v>88</v>
      </c>
      <c r="K58" s="200">
        <f>IFERROR(__xludf.DUMMYFUNCTION("""COMPUTED_VALUE"""),23.0)</f>
        <v>23</v>
      </c>
      <c r="L58" s="201" t="str">
        <f>IFERROR(__xludf.DUMMYFUNCTION("""COMPUTED_VALUE"""),"Strategy")</f>
        <v>Strategy</v>
      </c>
    </row>
    <row r="59">
      <c r="A59" s="190" t="str">
        <f>IFERROR(__xludf.DUMMYFUNCTION("""COMPUTED_VALUE"""),"Minecraft: Preview")</f>
        <v>Minecraft: Preview</v>
      </c>
      <c r="B59" s="195" t="str">
        <f>IFERROR(__xludf.DUMMYFUNCTION("""COMPUTED_VALUE"""),"Xbox / PC")</f>
        <v>Xbox / PC</v>
      </c>
      <c r="C59" s="196"/>
      <c r="D59" s="196" t="str">
        <f>IFERROR(__xludf.DUMMYFUNCTION("""COMPUTED_VALUE"""),"Active")</f>
        <v>Active</v>
      </c>
      <c r="E59" s="197">
        <f>IFERROR(__xludf.DUMMYFUNCTION("""COMPUTED_VALUE"""),45368.0)</f>
        <v>45368</v>
      </c>
      <c r="F59" s="198"/>
      <c r="G59" s="199">
        <f>IFERROR(__xludf.DUMMYFUNCTION("""COMPUTED_VALUE"""),18.933333333333334)</f>
        <v>18.93333333</v>
      </c>
      <c r="H59" s="197">
        <f>IFERROR(__xludf.DUMMYFUNCTION("""COMPUTED_VALUE"""),40865.0)</f>
        <v>40865</v>
      </c>
      <c r="I59" s="199">
        <f>IFERROR(__xludf.DUMMYFUNCTION("""COMPUTED_VALUE"""),12.330555555555556)</f>
        <v>12.33055556</v>
      </c>
      <c r="J59" s="200">
        <f>IFERROR(__xludf.DUMMYFUNCTION("""COMPUTED_VALUE"""),88.0)</f>
        <v>88</v>
      </c>
      <c r="K59" s="200">
        <f>IFERROR(__xludf.DUMMYFUNCTION("""COMPUTED_VALUE"""),116.0)</f>
        <v>116</v>
      </c>
      <c r="L59" s="201" t="str">
        <f>IFERROR(__xludf.DUMMYFUNCTION("""COMPUTED_VALUE"""),"Action-Adventure")</f>
        <v>Action-Adventure</v>
      </c>
    </row>
    <row r="60">
      <c r="A60" s="190" t="str">
        <f>IFERROR(__xludf.DUMMYFUNCTION("""COMPUTED_VALUE"""),"Dead Space (2023)")</f>
        <v>Dead Space (2023)</v>
      </c>
      <c r="B60" s="195" t="str">
        <f>IFERROR(__xludf.DUMMYFUNCTION("""COMPUTED_VALUE"""),"Xbox / PC")</f>
        <v>Xbox / PC</v>
      </c>
      <c r="C60" s="196" t="str">
        <f>IFERROR(__xludf.DUMMYFUNCTION("""COMPUTED_VALUE"""),"Yes")</f>
        <v>Yes</v>
      </c>
      <c r="D60" s="196" t="str">
        <f>IFERROR(__xludf.DUMMYFUNCTION("""COMPUTED_VALUE"""),"Active")</f>
        <v>Active</v>
      </c>
      <c r="E60" s="197">
        <f>IFERROR(__xludf.DUMMYFUNCTION("""COMPUTED_VALUE"""),45225.0)</f>
        <v>45225</v>
      </c>
      <c r="F60" s="198"/>
      <c r="G60" s="199">
        <f>IFERROR(__xludf.DUMMYFUNCTION("""COMPUTED_VALUE"""),23.633333333333333)</f>
        <v>23.63333333</v>
      </c>
      <c r="H60" s="197">
        <f>IFERROR(__xludf.DUMMYFUNCTION("""COMPUTED_VALUE"""),44953.0)</f>
        <v>44953</v>
      </c>
      <c r="I60" s="199">
        <f>IFERROR(__xludf.DUMMYFUNCTION("""COMPUTED_VALUE"""),0.7472222222222222)</f>
        <v>0.7472222222</v>
      </c>
      <c r="J60" s="200">
        <f>IFERROR(__xludf.DUMMYFUNCTION("""COMPUTED_VALUE"""),88.0)</f>
        <v>88</v>
      </c>
      <c r="K60" s="200">
        <f>IFERROR(__xludf.DUMMYFUNCTION("""COMPUTED_VALUE"""),12.0)</f>
        <v>12</v>
      </c>
      <c r="L60" s="201" t="str">
        <f>IFERROR(__xludf.DUMMYFUNCTION("""COMPUTED_VALUE"""),"Shooter / Action-Adventure")</f>
        <v>Shooter / Action-Adventure</v>
      </c>
    </row>
    <row r="61">
      <c r="A61" s="190" t="str">
        <f>IFERROR(__xludf.DUMMYFUNCTION("""COMPUTED_VALUE"""),"Return to Castle Wolfenstein")</f>
        <v>Return to Castle Wolfenstein</v>
      </c>
      <c r="B61" s="195" t="str">
        <f>IFERROR(__xludf.DUMMYFUNCTION("""COMPUTED_VALUE"""),"PC")</f>
        <v>PC</v>
      </c>
      <c r="C61" s="196"/>
      <c r="D61" s="196" t="str">
        <f>IFERROR(__xludf.DUMMYFUNCTION("""COMPUTED_VALUE"""),"Active")</f>
        <v>Active</v>
      </c>
      <c r="E61" s="197">
        <f>IFERROR(__xludf.DUMMYFUNCTION("""COMPUTED_VALUE"""),44791.0)</f>
        <v>44791</v>
      </c>
      <c r="F61" s="198"/>
      <c r="G61" s="199">
        <f>IFERROR(__xludf.DUMMYFUNCTION("""COMPUTED_VALUE"""),37.9)</f>
        <v>37.9</v>
      </c>
      <c r="H61" s="197">
        <f>IFERROR(__xludf.DUMMYFUNCTION("""COMPUTED_VALUE"""),37214.0)</f>
        <v>37214</v>
      </c>
      <c r="I61" s="199">
        <f>IFERROR(__xludf.DUMMYFUNCTION("""COMPUTED_VALUE"""),20.747222222222224)</f>
        <v>20.74722222</v>
      </c>
      <c r="J61" s="200">
        <f>IFERROR(__xludf.DUMMYFUNCTION("""COMPUTED_VALUE"""),88.0)</f>
        <v>88</v>
      </c>
      <c r="K61" s="200">
        <f>IFERROR(__xludf.DUMMYFUNCTION("""COMPUTED_VALUE"""),8.0)</f>
        <v>8</v>
      </c>
      <c r="L61" s="201" t="str">
        <f>IFERROR(__xludf.DUMMYFUNCTION("""COMPUTED_VALUE"""),"First-Person Shooter")</f>
        <v>First-Person Shooter</v>
      </c>
    </row>
    <row r="62">
      <c r="A62" s="190" t="str">
        <f>IFERROR(__xludf.DUMMYFUNCTION("""COMPUTED_VALUE"""),"Mass Effect: Legendary Edition")</f>
        <v>Mass Effect: Legendary Edition</v>
      </c>
      <c r="B62" s="195" t="str">
        <f>IFERROR(__xludf.DUMMYFUNCTION("""COMPUTED_VALUE"""),"Xbox / PC")</f>
        <v>Xbox / PC</v>
      </c>
      <c r="C62" s="196" t="str">
        <f>IFERROR(__xludf.DUMMYFUNCTION("""COMPUTED_VALUE"""),"Yes")</f>
        <v>Yes</v>
      </c>
      <c r="D62" s="196" t="str">
        <f>IFERROR(__xludf.DUMMYFUNCTION("""COMPUTED_VALUE"""),"Active")</f>
        <v>Active</v>
      </c>
      <c r="E62" s="197">
        <f>IFERROR(__xludf.DUMMYFUNCTION("""COMPUTED_VALUE"""),44567.0)</f>
        <v>44567</v>
      </c>
      <c r="F62" s="198"/>
      <c r="G62" s="199">
        <f>IFERROR(__xludf.DUMMYFUNCTION("""COMPUTED_VALUE"""),45.3)</f>
        <v>45.3</v>
      </c>
      <c r="H62" s="197">
        <f>IFERROR(__xludf.DUMMYFUNCTION("""COMPUTED_VALUE"""),44330.0)</f>
        <v>44330</v>
      </c>
      <c r="I62" s="199">
        <f>IFERROR(__xludf.DUMMYFUNCTION("""COMPUTED_VALUE"""),0.6444444444444445)</f>
        <v>0.6444444444</v>
      </c>
      <c r="J62" s="200">
        <f>IFERROR(__xludf.DUMMYFUNCTION("""COMPUTED_VALUE"""),88.0)</f>
        <v>88</v>
      </c>
      <c r="K62" s="200">
        <f>IFERROR(__xludf.DUMMYFUNCTION("""COMPUTED_VALUE"""),106.0)</f>
        <v>106</v>
      </c>
      <c r="L62" s="201" t="str">
        <f>IFERROR(__xludf.DUMMYFUNCTION("""COMPUTED_VALUE"""),"RPG / Shooter / Compilation")</f>
        <v>RPG / Shooter / Compilation</v>
      </c>
    </row>
    <row r="63">
      <c r="A63" s="190" t="str">
        <f>IFERROR(__xludf.DUMMYFUNCTION("""COMPUTED_VALUE"""),"Dungeon Keeper")</f>
        <v>Dungeon Keeper</v>
      </c>
      <c r="B63" s="195" t="str">
        <f>IFERROR(__xludf.DUMMYFUNCTION("""COMPUTED_VALUE"""),"PC")</f>
        <v>PC</v>
      </c>
      <c r="C63" s="196"/>
      <c r="D63" s="196" t="str">
        <f>IFERROR(__xludf.DUMMYFUNCTION("""COMPUTED_VALUE"""),"Active")</f>
        <v>Active</v>
      </c>
      <c r="E63" s="197">
        <f>IFERROR(__xludf.DUMMYFUNCTION("""COMPUTED_VALUE"""),44273.0)</f>
        <v>44273</v>
      </c>
      <c r="F63" s="198"/>
      <c r="G63" s="199">
        <f>IFERROR(__xludf.DUMMYFUNCTION("""COMPUTED_VALUE"""),54.900000000000006)</f>
        <v>54.9</v>
      </c>
      <c r="H63" s="197">
        <f>IFERROR(__xludf.DUMMYFUNCTION("""COMPUTED_VALUE"""),35607.0)</f>
        <v>35607</v>
      </c>
      <c r="I63" s="199">
        <f>IFERROR(__xludf.DUMMYFUNCTION("""COMPUTED_VALUE"""),23.727777777777778)</f>
        <v>23.72777778</v>
      </c>
      <c r="J63" s="200">
        <f>IFERROR(__xludf.DUMMYFUNCTION("""COMPUTED_VALUE"""),88.0)</f>
        <v>88</v>
      </c>
      <c r="K63" s="200">
        <f>IFERROR(__xludf.DUMMYFUNCTION("""COMPUTED_VALUE"""),15.0)</f>
        <v>15</v>
      </c>
      <c r="L63" s="201" t="str">
        <f>IFERROR(__xludf.DUMMYFUNCTION("""COMPUTED_VALUE"""),"Strategy / RPG")</f>
        <v>Strategy / RPG</v>
      </c>
    </row>
    <row r="64">
      <c r="A64" s="190" t="str">
        <f>IFERROR(__xludf.DUMMYFUNCTION("""COMPUTED_VALUE"""),"Dungeon Keeper 2")</f>
        <v>Dungeon Keeper 2</v>
      </c>
      <c r="B64" s="195" t="str">
        <f>IFERROR(__xludf.DUMMYFUNCTION("""COMPUTED_VALUE"""),"PC")</f>
        <v>PC</v>
      </c>
      <c r="C64" s="196"/>
      <c r="D64" s="196" t="str">
        <f>IFERROR(__xludf.DUMMYFUNCTION("""COMPUTED_VALUE"""),"Active")</f>
        <v>Active</v>
      </c>
      <c r="E64" s="197">
        <f>IFERROR(__xludf.DUMMYFUNCTION("""COMPUTED_VALUE"""),44273.0)</f>
        <v>44273</v>
      </c>
      <c r="F64" s="198"/>
      <c r="G64" s="199">
        <f>IFERROR(__xludf.DUMMYFUNCTION("""COMPUTED_VALUE"""),54.900000000000006)</f>
        <v>54.9</v>
      </c>
      <c r="H64" s="197">
        <f>IFERROR(__xludf.DUMMYFUNCTION("""COMPUTED_VALUE"""),36341.0)</f>
        <v>36341</v>
      </c>
      <c r="I64" s="199">
        <f>IFERROR(__xludf.DUMMYFUNCTION("""COMPUTED_VALUE"""),21.716666666666665)</f>
        <v>21.71666667</v>
      </c>
      <c r="J64" s="200">
        <f>IFERROR(__xludf.DUMMYFUNCTION("""COMPUTED_VALUE"""),88.0)</f>
        <v>88</v>
      </c>
      <c r="K64" s="200">
        <f>IFERROR(__xludf.DUMMYFUNCTION("""COMPUTED_VALUE"""),17.5)</f>
        <v>17.5</v>
      </c>
      <c r="L64" s="201" t="str">
        <f>IFERROR(__xludf.DUMMYFUNCTION("""COMPUTED_VALUE"""),"Action / Real-Time Strategy")</f>
        <v>Action / Real-Time Strategy</v>
      </c>
    </row>
    <row r="65">
      <c r="A65" s="190" t="str">
        <f>IFERROR(__xludf.DUMMYFUNCTION("""COMPUTED_VALUE"""),"DOOM 3")</f>
        <v>DOOM 3</v>
      </c>
      <c r="B65" s="195" t="str">
        <f>IFERROR(__xludf.DUMMYFUNCTION("""COMPUTED_VALUE"""),"Xbox / PC")</f>
        <v>Xbox / PC</v>
      </c>
      <c r="C65" s="196" t="str">
        <f>IFERROR(__xludf.DUMMYFUNCTION("""COMPUTED_VALUE"""),"Yes")</f>
        <v>Yes</v>
      </c>
      <c r="D65" s="196" t="str">
        <f>IFERROR(__xludf.DUMMYFUNCTION("""COMPUTED_VALUE"""),"Active")</f>
        <v>Active</v>
      </c>
      <c r="E65" s="197">
        <f>IFERROR(__xludf.DUMMYFUNCTION("""COMPUTED_VALUE"""),44267.0)</f>
        <v>44267</v>
      </c>
      <c r="F65" s="198"/>
      <c r="G65" s="199">
        <f>IFERROR(__xludf.DUMMYFUNCTION("""COMPUTED_VALUE"""),55.1)</f>
        <v>55.1</v>
      </c>
      <c r="H65" s="197">
        <f>IFERROR(__xludf.DUMMYFUNCTION("""COMPUTED_VALUE"""),38202.0)</f>
        <v>38202</v>
      </c>
      <c r="I65" s="199">
        <f>IFERROR(__xludf.DUMMYFUNCTION("""COMPUTED_VALUE"""),16.608333333333334)</f>
        <v>16.60833333</v>
      </c>
      <c r="J65" s="200">
        <f>IFERROR(__xludf.DUMMYFUNCTION("""COMPUTED_VALUE"""),88.0)</f>
        <v>88</v>
      </c>
      <c r="K65" s="200">
        <f>IFERROR(__xludf.DUMMYFUNCTION("""COMPUTED_VALUE"""),11.0)</f>
        <v>11</v>
      </c>
      <c r="L65" s="201" t="str">
        <f>IFERROR(__xludf.DUMMYFUNCTION("""COMPUTED_VALUE"""),"First-Person Shooter")</f>
        <v>First-Person Shooter</v>
      </c>
    </row>
    <row r="66">
      <c r="A66" s="190" t="str">
        <f>IFERROR(__xludf.DUMMYFUNCTION("""COMPUTED_VALUE"""),"The Elder Scrolls III: Morrowind")</f>
        <v>The Elder Scrolls III: Morrowind</v>
      </c>
      <c r="B66" s="195" t="str">
        <f>IFERROR(__xludf.DUMMYFUNCTION("""COMPUTED_VALUE"""),"Xbox / PC")</f>
        <v>Xbox / PC</v>
      </c>
      <c r="C66" s="196" t="str">
        <f>IFERROR(__xludf.DUMMYFUNCTION("""COMPUTED_VALUE"""),"Yes")</f>
        <v>Yes</v>
      </c>
      <c r="D66" s="196" t="str">
        <f>IFERROR(__xludf.DUMMYFUNCTION("""COMPUTED_VALUE"""),"Active")</f>
        <v>Active</v>
      </c>
      <c r="E66" s="197">
        <f>IFERROR(__xludf.DUMMYFUNCTION("""COMPUTED_VALUE"""),44267.0)</f>
        <v>44267</v>
      </c>
      <c r="F66" s="198"/>
      <c r="G66" s="199">
        <f>IFERROR(__xludf.DUMMYFUNCTION("""COMPUTED_VALUE"""),55.1)</f>
        <v>55.1</v>
      </c>
      <c r="H66" s="197">
        <f>IFERROR(__xludf.DUMMYFUNCTION("""COMPUTED_VALUE"""),37377.0)</f>
        <v>37377</v>
      </c>
      <c r="I66" s="199">
        <f>IFERROR(__xludf.DUMMYFUNCTION("""COMPUTED_VALUE"""),18.863888888888887)</f>
        <v>18.86388889</v>
      </c>
      <c r="J66" s="200">
        <f>IFERROR(__xludf.DUMMYFUNCTION("""COMPUTED_VALUE"""),88.0)</f>
        <v>88</v>
      </c>
      <c r="K66" s="200">
        <f>IFERROR(__xludf.DUMMYFUNCTION("""COMPUTED_VALUE"""),44.5)</f>
        <v>44.5</v>
      </c>
      <c r="L66" s="201" t="str">
        <f>IFERROR(__xludf.DUMMYFUNCTION("""COMPUTED_VALUE"""),"RPG")</f>
        <v>RPG</v>
      </c>
    </row>
    <row r="67">
      <c r="A67" s="190" t="str">
        <f>IFERROR(__xludf.DUMMYFUNCTION("""COMPUTED_VALUE"""),"Pillars of Eternity II: Deadfire - Ultimate Edition")</f>
        <v>Pillars of Eternity II: Deadfire - Ultimate Edition</v>
      </c>
      <c r="B67" s="195" t="str">
        <f>IFERROR(__xludf.DUMMYFUNCTION("""COMPUTED_VALUE"""),"Xbox / PC")</f>
        <v>Xbox / PC</v>
      </c>
      <c r="C67" s="196" t="str">
        <f>IFERROR(__xludf.DUMMYFUNCTION("""COMPUTED_VALUE"""),"Touch Controls")</f>
        <v>Touch Controls</v>
      </c>
      <c r="D67" s="196" t="str">
        <f>IFERROR(__xludf.DUMMYFUNCTION("""COMPUTED_VALUE"""),"Active")</f>
        <v>Active</v>
      </c>
      <c r="E67" s="197">
        <f>IFERROR(__xludf.DUMMYFUNCTION("""COMPUTED_VALUE"""),44245.0)</f>
        <v>44245</v>
      </c>
      <c r="F67" s="198"/>
      <c r="G67" s="199">
        <f>IFERROR(__xludf.DUMMYFUNCTION("""COMPUTED_VALUE"""),55.9)</f>
        <v>55.9</v>
      </c>
      <c r="H67" s="197">
        <f>IFERROR(__xludf.DUMMYFUNCTION("""COMPUTED_VALUE"""),43228.0)</f>
        <v>43228</v>
      </c>
      <c r="I67" s="199">
        <f>IFERROR(__xludf.DUMMYFUNCTION("""COMPUTED_VALUE"""),2.7777777777777777)</f>
        <v>2.777777778</v>
      </c>
      <c r="J67" s="200">
        <f>IFERROR(__xludf.DUMMYFUNCTION("""COMPUTED_VALUE"""),88.0)</f>
        <v>88</v>
      </c>
      <c r="K67" s="200">
        <f>IFERROR(__xludf.DUMMYFUNCTION("""COMPUTED_VALUE"""),42.0)</f>
        <v>42</v>
      </c>
      <c r="L67" s="201" t="str">
        <f>IFERROR(__xludf.DUMMYFUNCTION("""COMPUTED_VALUE"""),"RPG")</f>
        <v>RPG</v>
      </c>
    </row>
    <row r="68">
      <c r="A68" s="190" t="str">
        <f>IFERROR(__xludf.DUMMYFUNCTION("""COMPUTED_VALUE"""),"DOOM Eternal")</f>
        <v>DOOM Eternal</v>
      </c>
      <c r="B68" s="195" t="str">
        <f>IFERROR(__xludf.DUMMYFUNCTION("""COMPUTED_VALUE"""),"Xbox / PC")</f>
        <v>Xbox / PC</v>
      </c>
      <c r="C68" s="196" t="str">
        <f>IFERROR(__xludf.DUMMYFUNCTION("""COMPUTED_VALUE"""),"Yes")</f>
        <v>Yes</v>
      </c>
      <c r="D68" s="196" t="str">
        <f>IFERROR(__xludf.DUMMYFUNCTION("""COMPUTED_VALUE"""),"Active")</f>
        <v>Active</v>
      </c>
      <c r="E68" s="197">
        <f>IFERROR(__xludf.DUMMYFUNCTION("""COMPUTED_VALUE"""),44105.0)</f>
        <v>44105</v>
      </c>
      <c r="F68" s="198"/>
      <c r="G68" s="199">
        <f>IFERROR(__xludf.DUMMYFUNCTION("""COMPUTED_VALUE"""),60.46666666666667)</f>
        <v>60.46666667</v>
      </c>
      <c r="H68" s="197">
        <f>IFERROR(__xludf.DUMMYFUNCTION("""COMPUTED_VALUE"""),43910.0)</f>
        <v>43910</v>
      </c>
      <c r="I68" s="199">
        <f>IFERROR(__xludf.DUMMYFUNCTION("""COMPUTED_VALUE"""),0.5305555555555556)</f>
        <v>0.5305555556</v>
      </c>
      <c r="J68" s="200">
        <f>IFERROR(__xludf.DUMMYFUNCTION("""COMPUTED_VALUE"""),88.0)</f>
        <v>88</v>
      </c>
      <c r="K68" s="200">
        <f>IFERROR(__xludf.DUMMYFUNCTION("""COMPUTED_VALUE"""),13.5)</f>
        <v>13.5</v>
      </c>
      <c r="L68" s="201" t="str">
        <f>IFERROR(__xludf.DUMMYFUNCTION("""COMPUTED_VALUE"""),"First-Person Shooter")</f>
        <v>First-Person Shooter</v>
      </c>
    </row>
    <row r="69">
      <c r="A69" s="190" t="str">
        <f>IFERROR(__xludf.DUMMYFUNCTION("""COMPUTED_VALUE"""),"Halo 3")</f>
        <v>Halo 3</v>
      </c>
      <c r="B69" s="195" t="str">
        <f>IFERROR(__xludf.DUMMYFUNCTION("""COMPUTED_VALUE"""),"Xbox / PC")</f>
        <v>Xbox / PC</v>
      </c>
      <c r="C69" s="196"/>
      <c r="D69" s="196" t="str">
        <f>IFERROR(__xludf.DUMMYFUNCTION("""COMPUTED_VALUE"""),"Active")</f>
        <v>Active</v>
      </c>
      <c r="E69" s="197">
        <f>IFERROR(__xludf.DUMMYFUNCTION("""COMPUTED_VALUE"""),44026.0)</f>
        <v>44026</v>
      </c>
      <c r="F69" s="198"/>
      <c r="G69" s="199">
        <f>IFERROR(__xludf.DUMMYFUNCTION("""COMPUTED_VALUE"""),63.03333333333334)</f>
        <v>63.03333333</v>
      </c>
      <c r="H69" s="197">
        <f>IFERROR(__xludf.DUMMYFUNCTION("""COMPUTED_VALUE"""),39350.0)</f>
        <v>39350</v>
      </c>
      <c r="I69" s="199">
        <f>IFERROR(__xludf.DUMMYFUNCTION("""COMPUTED_VALUE"""),12.802777777777777)</f>
        <v>12.80277778</v>
      </c>
      <c r="J69" s="200">
        <f>IFERROR(__xludf.DUMMYFUNCTION("""COMPUTED_VALUE"""),88.0)</f>
        <v>88</v>
      </c>
      <c r="K69" s="200">
        <f>IFERROR(__xludf.DUMMYFUNCTION("""COMPUTED_VALUE"""),9.0)</f>
        <v>9</v>
      </c>
      <c r="L69" s="201" t="str">
        <f>IFERROR(__xludf.DUMMYFUNCTION("""COMPUTED_VALUE"""),"First-Person Shooter")</f>
        <v>First-Person Shooter</v>
      </c>
    </row>
    <row r="70">
      <c r="A70" s="190" t="str">
        <f>IFERROR(__xludf.DUMMYFUNCTION("""COMPUTED_VALUE"""),"Dishonored 2")</f>
        <v>Dishonored 2</v>
      </c>
      <c r="B70" s="195" t="str">
        <f>IFERROR(__xludf.DUMMYFUNCTION("""COMPUTED_VALUE"""),"Xbox / PC")</f>
        <v>Xbox / PC</v>
      </c>
      <c r="C70" s="196" t="str">
        <f>IFERROR(__xludf.DUMMYFUNCTION("""COMPUTED_VALUE"""),"Yes")</f>
        <v>Yes</v>
      </c>
      <c r="D70" s="196" t="str">
        <f>IFERROR(__xludf.DUMMYFUNCTION("""COMPUTED_VALUE"""),"Active")</f>
        <v>Active</v>
      </c>
      <c r="E70" s="197">
        <f>IFERROR(__xludf.DUMMYFUNCTION("""COMPUTED_VALUE"""),43741.0)</f>
        <v>43741</v>
      </c>
      <c r="F70" s="198"/>
      <c r="G70" s="199">
        <f>IFERROR(__xludf.DUMMYFUNCTION("""COMPUTED_VALUE"""),72.4)</f>
        <v>72.4</v>
      </c>
      <c r="H70" s="197">
        <f>IFERROR(__xludf.DUMMYFUNCTION("""COMPUTED_VALUE"""),42685.0)</f>
        <v>42685</v>
      </c>
      <c r="I70" s="199">
        <f>IFERROR(__xludf.DUMMYFUNCTION("""COMPUTED_VALUE"""),2.8944444444444444)</f>
        <v>2.894444444</v>
      </c>
      <c r="J70" s="200">
        <f>IFERROR(__xludf.DUMMYFUNCTION("""COMPUTED_VALUE"""),88.0)</f>
        <v>88</v>
      </c>
      <c r="K70" s="200">
        <f>IFERROR(__xludf.DUMMYFUNCTION("""COMPUTED_VALUE"""),12.5)</f>
        <v>12.5</v>
      </c>
      <c r="L70" s="201" t="str">
        <f>IFERROR(__xludf.DUMMYFUNCTION("""COMPUTED_VALUE"""),"Action-Adventure")</f>
        <v>Action-Adventure</v>
      </c>
    </row>
    <row r="71">
      <c r="A71" s="190" t="str">
        <f>IFERROR(__xludf.DUMMYFUNCTION("""COMPUTED_VALUE"""),"Slay the Spire")</f>
        <v>Slay the Spire</v>
      </c>
      <c r="B71" s="195" t="str">
        <f>IFERROR(__xludf.DUMMYFUNCTION("""COMPUTED_VALUE"""),"Xbox / PC")</f>
        <v>Xbox / PC</v>
      </c>
      <c r="C71" s="196" t="str">
        <f>IFERROR(__xludf.DUMMYFUNCTION("""COMPUTED_VALUE"""),"Touch Controls")</f>
        <v>Touch Controls</v>
      </c>
      <c r="D71" s="196" t="str">
        <f>IFERROR(__xludf.DUMMYFUNCTION("""COMPUTED_VALUE"""),"Active")</f>
        <v>Active</v>
      </c>
      <c r="E71" s="197">
        <f>IFERROR(__xludf.DUMMYFUNCTION("""COMPUTED_VALUE"""),43691.0)</f>
        <v>43691</v>
      </c>
      <c r="F71" s="198"/>
      <c r="G71" s="199">
        <f>IFERROR(__xludf.DUMMYFUNCTION("""COMPUTED_VALUE"""),74.03333333333333)</f>
        <v>74.03333333</v>
      </c>
      <c r="H71" s="197">
        <f>IFERROR(__xludf.DUMMYFUNCTION("""COMPUTED_VALUE"""),43054.0)</f>
        <v>43054</v>
      </c>
      <c r="I71" s="199">
        <f>IFERROR(__xludf.DUMMYFUNCTION("""COMPUTED_VALUE"""),1.7472222222222222)</f>
        <v>1.747222222</v>
      </c>
      <c r="J71" s="200">
        <f>IFERROR(__xludf.DUMMYFUNCTION("""COMPUTED_VALUE"""),88.0)</f>
        <v>88</v>
      </c>
      <c r="K71" s="200">
        <f>IFERROR(__xludf.DUMMYFUNCTION("""COMPUTED_VALUE"""),10.5)</f>
        <v>10.5</v>
      </c>
      <c r="L71" s="201" t="str">
        <f>IFERROR(__xludf.DUMMYFUNCTION("""COMPUTED_VALUE"""),"Strategy / Card Game")</f>
        <v>Strategy / Card Game</v>
      </c>
    </row>
    <row r="72">
      <c r="A72" s="190" t="str">
        <f>IFERROR(__xludf.DUMMYFUNCTION("""COMPUTED_VALUE"""),"Wolfenstein II: The New Colossus")</f>
        <v>Wolfenstein II: The New Colossus</v>
      </c>
      <c r="B72" s="195" t="str">
        <f>IFERROR(__xludf.DUMMYFUNCTION("""COMPUTED_VALUE"""),"Xbox / PC")</f>
        <v>Xbox / PC</v>
      </c>
      <c r="C72" s="196" t="str">
        <f>IFERROR(__xludf.DUMMYFUNCTION("""COMPUTED_VALUE"""),"Yes")</f>
        <v>Yes</v>
      </c>
      <c r="D72" s="196" t="str">
        <f>IFERROR(__xludf.DUMMYFUNCTION("""COMPUTED_VALUE"""),"Active")</f>
        <v>Active</v>
      </c>
      <c r="E72" s="197">
        <f>IFERROR(__xludf.DUMMYFUNCTION("""COMPUTED_VALUE"""),43587.0)</f>
        <v>43587</v>
      </c>
      <c r="F72" s="198"/>
      <c r="G72" s="199">
        <f>IFERROR(__xludf.DUMMYFUNCTION("""COMPUTED_VALUE"""),77.43333333333334)</f>
        <v>77.43333333</v>
      </c>
      <c r="H72" s="197">
        <f>IFERROR(__xludf.DUMMYFUNCTION("""COMPUTED_VALUE"""),43035.0)</f>
        <v>43035</v>
      </c>
      <c r="I72" s="199">
        <f>IFERROR(__xludf.DUMMYFUNCTION("""COMPUTED_VALUE"""),1.5138888888888888)</f>
        <v>1.513888889</v>
      </c>
      <c r="J72" s="200">
        <f>IFERROR(__xludf.DUMMYFUNCTION("""COMPUTED_VALUE"""),88.0)</f>
        <v>88</v>
      </c>
      <c r="K72" s="200">
        <f>IFERROR(__xludf.DUMMYFUNCTION("""COMPUTED_VALUE"""),10.5)</f>
        <v>10.5</v>
      </c>
      <c r="L72" s="201" t="str">
        <f>IFERROR(__xludf.DUMMYFUNCTION("""COMPUTED_VALUE"""),"First-Person Shooter")</f>
        <v>First-Person Shooter</v>
      </c>
    </row>
    <row r="73">
      <c r="A73" s="190" t="str">
        <f>IFERROR(__xludf.DUMMYFUNCTION("""COMPUTED_VALUE"""),"Minecraft")</f>
        <v>Minecraft</v>
      </c>
      <c r="B73" s="195" t="str">
        <f>IFERROR(__xludf.DUMMYFUNCTION("""COMPUTED_VALUE"""),"Xbox / PC")</f>
        <v>Xbox / PC</v>
      </c>
      <c r="C73" s="196"/>
      <c r="D73" s="196" t="str">
        <f>IFERROR(__xludf.DUMMYFUNCTION("""COMPUTED_VALUE"""),"Active")</f>
        <v>Active</v>
      </c>
      <c r="E73" s="197">
        <f>IFERROR(__xludf.DUMMYFUNCTION("""COMPUTED_VALUE"""),43559.0)</f>
        <v>43559</v>
      </c>
      <c r="F73" s="198"/>
      <c r="G73" s="199">
        <f>IFERROR(__xludf.DUMMYFUNCTION("""COMPUTED_VALUE"""),78.36666666666667)</f>
        <v>78.36666667</v>
      </c>
      <c r="H73" s="197">
        <f>IFERROR(__xludf.DUMMYFUNCTION("""COMPUTED_VALUE"""),40865.0)</f>
        <v>40865</v>
      </c>
      <c r="I73" s="199">
        <f>IFERROR(__xludf.DUMMYFUNCTION("""COMPUTED_VALUE"""),7.377777777777778)</f>
        <v>7.377777778</v>
      </c>
      <c r="J73" s="200">
        <f>IFERROR(__xludf.DUMMYFUNCTION("""COMPUTED_VALUE"""),88.0)</f>
        <v>88</v>
      </c>
      <c r="K73" s="200">
        <f>IFERROR(__xludf.DUMMYFUNCTION("""COMPUTED_VALUE"""),116.0)</f>
        <v>116</v>
      </c>
      <c r="L73" s="201" t="str">
        <f>IFERROR(__xludf.DUMMYFUNCTION("""COMPUTED_VALUE"""),"Action-Adventure")</f>
        <v>Action-Adventure</v>
      </c>
    </row>
    <row r="74">
      <c r="A74" s="190" t="str">
        <f>IFERROR(__xludf.DUMMYFUNCTION("""COMPUTED_VALUE"""),"Fallout 4")</f>
        <v>Fallout 4</v>
      </c>
      <c r="B74" s="195" t="str">
        <f>IFERROR(__xludf.DUMMYFUNCTION("""COMPUTED_VALUE"""),"Xbox / PC")</f>
        <v>Xbox / PC</v>
      </c>
      <c r="C74" s="196" t="str">
        <f>IFERROR(__xludf.DUMMYFUNCTION("""COMPUTED_VALUE"""),"Yes")</f>
        <v>Yes</v>
      </c>
      <c r="D74" s="196" t="str">
        <f>IFERROR(__xludf.DUMMYFUNCTION("""COMPUTED_VALUE"""),"Active")</f>
        <v>Active</v>
      </c>
      <c r="E74" s="197">
        <f>IFERROR(__xludf.DUMMYFUNCTION("""COMPUTED_VALUE"""),43538.0)</f>
        <v>43538</v>
      </c>
      <c r="F74" s="198"/>
      <c r="G74" s="199">
        <f>IFERROR(__xludf.DUMMYFUNCTION("""COMPUTED_VALUE"""),79.03333333333333)</f>
        <v>79.03333333</v>
      </c>
      <c r="H74" s="197">
        <f>IFERROR(__xludf.DUMMYFUNCTION("""COMPUTED_VALUE"""),42318.0)</f>
        <v>42318</v>
      </c>
      <c r="I74" s="199">
        <f>IFERROR(__xludf.DUMMYFUNCTION("""COMPUTED_VALUE"""),3.3444444444444446)</f>
        <v>3.344444444</v>
      </c>
      <c r="J74" s="200">
        <f>IFERROR(__xludf.DUMMYFUNCTION("""COMPUTED_VALUE"""),88.0)</f>
        <v>88</v>
      </c>
      <c r="K74" s="200">
        <f>IFERROR(__xludf.DUMMYFUNCTION("""COMPUTED_VALUE"""),26.5)</f>
        <v>26.5</v>
      </c>
      <c r="L74" s="201" t="str">
        <f>IFERROR(__xludf.DUMMYFUNCTION("""COMPUTED_VALUE"""),"RPG / Shooter")</f>
        <v>RPG / Shooter</v>
      </c>
    </row>
    <row r="75">
      <c r="A75" s="190" t="str">
        <f>IFERROR(__xludf.DUMMYFUNCTION("""COMPUTED_VALUE"""),"Ori and the Blind Forest: Definitive Edition")</f>
        <v>Ori and the Blind Forest: Definitive Edition</v>
      </c>
      <c r="B75" s="195" t="str">
        <f>IFERROR(__xludf.DUMMYFUNCTION("""COMPUTED_VALUE"""),"Xbox / PC")</f>
        <v>Xbox / PC</v>
      </c>
      <c r="C75" s="196" t="str">
        <f>IFERROR(__xludf.DUMMYFUNCTION("""COMPUTED_VALUE"""),"Yes")</f>
        <v>Yes</v>
      </c>
      <c r="D75" s="196" t="str">
        <f>IFERROR(__xludf.DUMMYFUNCTION("""COMPUTED_VALUE"""),"Active")</f>
        <v>Active</v>
      </c>
      <c r="E75" s="197">
        <f>IFERROR(__xludf.DUMMYFUNCTION("""COMPUTED_VALUE"""),43454.0)</f>
        <v>43454</v>
      </c>
      <c r="F75" s="198"/>
      <c r="G75" s="199">
        <f>IFERROR(__xludf.DUMMYFUNCTION("""COMPUTED_VALUE"""),81.83333333333334)</f>
        <v>81.83333333</v>
      </c>
      <c r="H75" s="197">
        <f>IFERROR(__xludf.DUMMYFUNCTION("""COMPUTED_VALUE"""),42074.0)</f>
        <v>42074</v>
      </c>
      <c r="I75" s="199">
        <f>IFERROR(__xludf.DUMMYFUNCTION("""COMPUTED_VALUE"""),3.775)</f>
        <v>3.775</v>
      </c>
      <c r="J75" s="200">
        <f>IFERROR(__xludf.DUMMYFUNCTION("""COMPUTED_VALUE"""),88.0)</f>
        <v>88</v>
      </c>
      <c r="K75" s="200">
        <f>IFERROR(__xludf.DUMMYFUNCTION("""COMPUTED_VALUE"""),8.5)</f>
        <v>8.5</v>
      </c>
      <c r="L75" s="201" t="str">
        <f>IFERROR(__xludf.DUMMYFUNCTION("""COMPUTED_VALUE"""),"Puzzle / Platformer / Action-Adventure")</f>
        <v>Puzzle / Platformer / Action-Adventure</v>
      </c>
    </row>
    <row r="76">
      <c r="A76" s="190" t="str">
        <f>IFERROR(__xludf.DUMMYFUNCTION("""COMPUTED_VALUE"""),"Hellblade: Senua's Sacrifice")</f>
        <v>Hellblade: Senua's Sacrifice</v>
      </c>
      <c r="B76" s="195" t="str">
        <f>IFERROR(__xludf.DUMMYFUNCTION("""COMPUTED_VALUE"""),"Xbox / PC")</f>
        <v>Xbox / PC</v>
      </c>
      <c r="C76" s="196" t="str">
        <f>IFERROR(__xludf.DUMMYFUNCTION("""COMPUTED_VALUE"""),"Touch Controls")</f>
        <v>Touch Controls</v>
      </c>
      <c r="D76" s="196" t="str">
        <f>IFERROR(__xludf.DUMMYFUNCTION("""COMPUTED_VALUE"""),"Active")</f>
        <v>Active</v>
      </c>
      <c r="E76" s="197">
        <f>IFERROR(__xludf.DUMMYFUNCTION("""COMPUTED_VALUE"""),43451.0)</f>
        <v>43451</v>
      </c>
      <c r="F76" s="198"/>
      <c r="G76" s="199">
        <f>IFERROR(__xludf.DUMMYFUNCTION("""COMPUTED_VALUE"""),81.93333333333334)</f>
        <v>81.93333333</v>
      </c>
      <c r="H76" s="197">
        <f>IFERROR(__xludf.DUMMYFUNCTION("""COMPUTED_VALUE"""),42955.0)</f>
        <v>42955</v>
      </c>
      <c r="I76" s="199">
        <f>IFERROR(__xludf.DUMMYFUNCTION("""COMPUTED_VALUE"""),1.3583333333333334)</f>
        <v>1.358333333</v>
      </c>
      <c r="J76" s="200">
        <f>IFERROR(__xludf.DUMMYFUNCTION("""COMPUTED_VALUE"""),88.0)</f>
        <v>88</v>
      </c>
      <c r="K76" s="200">
        <f>IFERROR(__xludf.DUMMYFUNCTION("""COMPUTED_VALUE"""),7.5)</f>
        <v>7.5</v>
      </c>
      <c r="L76" s="201" t="str">
        <f>IFERROR(__xludf.DUMMYFUNCTION("""COMPUTED_VALUE"""),"Action / Action-Adventure")</f>
        <v>Action / Action-Adventure</v>
      </c>
    </row>
    <row r="77">
      <c r="A77" s="190" t="str">
        <f>IFERROR(__xludf.DUMMYFUNCTION("""COMPUTED_VALUE"""),"Psychonauts")</f>
        <v>Psychonauts</v>
      </c>
      <c r="B77" s="195" t="str">
        <f>IFERROR(__xludf.DUMMYFUNCTION("""COMPUTED_VALUE"""),"Xbox / PC")</f>
        <v>Xbox / PC</v>
      </c>
      <c r="C77" s="196" t="str">
        <f>IFERROR(__xludf.DUMMYFUNCTION("""COMPUTED_VALUE"""),"Touch Controls")</f>
        <v>Touch Controls</v>
      </c>
      <c r="D77" s="196" t="str">
        <f>IFERROR(__xludf.DUMMYFUNCTION("""COMPUTED_VALUE"""),"Active")</f>
        <v>Active</v>
      </c>
      <c r="E77" s="197">
        <f>IFERROR(__xludf.DUMMYFUNCTION("""COMPUTED_VALUE"""),44329.0)</f>
        <v>44329</v>
      </c>
      <c r="F77" s="198"/>
      <c r="G77" s="199">
        <f>IFERROR(__xludf.DUMMYFUNCTION("""COMPUTED_VALUE"""),53.06666666666667)</f>
        <v>53.06666667</v>
      </c>
      <c r="H77" s="197">
        <f>IFERROR(__xludf.DUMMYFUNCTION("""COMPUTED_VALUE"""),38461.0)</f>
        <v>38461</v>
      </c>
      <c r="I77" s="199">
        <f>IFERROR(__xludf.DUMMYFUNCTION("""COMPUTED_VALUE"""),16.066666666666666)</f>
        <v>16.06666667</v>
      </c>
      <c r="J77" s="200">
        <f>IFERROR(__xludf.DUMMYFUNCTION("""COMPUTED_VALUE"""),87.5)</f>
        <v>87.5</v>
      </c>
      <c r="K77" s="200">
        <f>IFERROR(__xludf.DUMMYFUNCTION("""COMPUTED_VALUE"""),12.5)</f>
        <v>12.5</v>
      </c>
      <c r="L77" s="201" t="str">
        <f>IFERROR(__xludf.DUMMYFUNCTION("""COMPUTED_VALUE"""),"Platformer / Action-Adventure")</f>
        <v>Platformer / Action-Adventure</v>
      </c>
    </row>
    <row r="78">
      <c r="A78" s="190" t="str">
        <f>IFERROR(__xludf.DUMMYFUNCTION("""COMPUTED_VALUE"""),"Injustice 2")</f>
        <v>Injustice 2</v>
      </c>
      <c r="B78" s="195" t="str">
        <f>IFERROR(__xludf.DUMMYFUNCTION("""COMPUTED_VALUE"""),"Xbox / PC")</f>
        <v>Xbox / PC</v>
      </c>
      <c r="C78" s="196" t="str">
        <f>IFERROR(__xludf.DUMMYFUNCTION("""COMPUTED_VALUE"""),"Yes")</f>
        <v>Yes</v>
      </c>
      <c r="D78" s="196" t="str">
        <f>IFERROR(__xludf.DUMMYFUNCTION("""COMPUTED_VALUE"""),"Active")</f>
        <v>Active</v>
      </c>
      <c r="E78" s="197">
        <f>IFERROR(__xludf.DUMMYFUNCTION("""COMPUTED_VALUE"""),44203.0)</f>
        <v>44203</v>
      </c>
      <c r="F78" s="198"/>
      <c r="G78" s="199">
        <f>IFERROR(__xludf.DUMMYFUNCTION("""COMPUTED_VALUE"""),57.266666666666666)</f>
        <v>57.26666667</v>
      </c>
      <c r="H78" s="197">
        <f>IFERROR(__xludf.DUMMYFUNCTION("""COMPUTED_VALUE"""),42871.0)</f>
        <v>42871</v>
      </c>
      <c r="I78" s="199">
        <f>IFERROR(__xludf.DUMMYFUNCTION("""COMPUTED_VALUE"""),3.6416666666666666)</f>
        <v>3.641666667</v>
      </c>
      <c r="J78" s="200">
        <f>IFERROR(__xludf.DUMMYFUNCTION("""COMPUTED_VALUE"""),87.5)</f>
        <v>87.5</v>
      </c>
      <c r="K78" s="200">
        <f>IFERROR(__xludf.DUMMYFUNCTION("""COMPUTED_VALUE"""),5.5)</f>
        <v>5.5</v>
      </c>
      <c r="L78" s="201" t="str">
        <f>IFERROR(__xludf.DUMMYFUNCTION("""COMPUTED_VALUE"""),"Fighting")</f>
        <v>Fighting</v>
      </c>
    </row>
    <row r="79">
      <c r="A79" s="190" t="str">
        <f>IFERROR(__xludf.DUMMYFUNCTION("""COMPUTED_VALUE"""),"Legends of Runeterra")</f>
        <v>Legends of Runeterra</v>
      </c>
      <c r="B79" s="195" t="str">
        <f>IFERROR(__xludf.DUMMYFUNCTION("""COMPUTED_VALUE"""),"PC")</f>
        <v>PC</v>
      </c>
      <c r="C79" s="196"/>
      <c r="D79" s="196" t="str">
        <f>IFERROR(__xludf.DUMMYFUNCTION("""COMPUTED_VALUE"""),"Active")</f>
        <v>Active</v>
      </c>
      <c r="E79" s="197">
        <f>IFERROR(__xludf.DUMMYFUNCTION("""COMPUTED_VALUE"""),44907.0)</f>
        <v>44907</v>
      </c>
      <c r="F79" s="198"/>
      <c r="G79" s="199">
        <f>IFERROR(__xludf.DUMMYFUNCTION("""COMPUTED_VALUE"""),34.1)</f>
        <v>34.1</v>
      </c>
      <c r="H79" s="197">
        <f>IFERROR(__xludf.DUMMYFUNCTION("""COMPUTED_VALUE"""),43951.0)</f>
        <v>43951</v>
      </c>
      <c r="I79" s="199">
        <f>IFERROR(__xludf.DUMMYFUNCTION("""COMPUTED_VALUE"""),2.6166666666666667)</f>
        <v>2.616666667</v>
      </c>
      <c r="J79" s="200">
        <f>IFERROR(__xludf.DUMMYFUNCTION("""COMPUTED_VALUE"""),87.0)</f>
        <v>87</v>
      </c>
      <c r="K79" s="200">
        <f>IFERROR(__xludf.DUMMYFUNCTION("""COMPUTED_VALUE"""),44.0)</f>
        <v>44</v>
      </c>
      <c r="L79" s="201" t="str">
        <f>IFERROR(__xludf.DUMMYFUNCTION("""COMPUTED_VALUE"""),"Card Game")</f>
        <v>Card Game</v>
      </c>
    </row>
    <row r="80">
      <c r="A80" s="190" t="str">
        <f>IFERROR(__xludf.DUMMYFUNCTION("""COMPUTED_VALUE"""),"Pentiment")</f>
        <v>Pentiment</v>
      </c>
      <c r="B80" s="195" t="str">
        <f>IFERROR(__xludf.DUMMYFUNCTION("""COMPUTED_VALUE"""),"Xbox / PC")</f>
        <v>Xbox / PC</v>
      </c>
      <c r="C80" s="196" t="str">
        <f>IFERROR(__xludf.DUMMYFUNCTION("""COMPUTED_VALUE"""),"Touch Controls, M+KB")</f>
        <v>Touch Controls, M+KB</v>
      </c>
      <c r="D80" s="196" t="str">
        <f>IFERROR(__xludf.DUMMYFUNCTION("""COMPUTED_VALUE"""),"Active")</f>
        <v>Active</v>
      </c>
      <c r="E80" s="197">
        <f>IFERROR(__xludf.DUMMYFUNCTION("""COMPUTED_VALUE"""),44880.0)</f>
        <v>44880</v>
      </c>
      <c r="F80" s="198"/>
      <c r="G80" s="199">
        <f>IFERROR(__xludf.DUMMYFUNCTION("""COMPUTED_VALUE"""),35.0)</f>
        <v>35</v>
      </c>
      <c r="H80" s="197">
        <f>IFERROR(__xludf.DUMMYFUNCTION("""COMPUTED_VALUE"""),44880.0)</f>
        <v>44880</v>
      </c>
      <c r="I80" s="199">
        <f>IFERROR(__xludf.DUMMYFUNCTION("""COMPUTED_VALUE"""),0.0)</f>
        <v>0</v>
      </c>
      <c r="J80" s="200">
        <f>IFERROR(__xludf.DUMMYFUNCTION("""COMPUTED_VALUE"""),87.0)</f>
        <v>87</v>
      </c>
      <c r="K80" s="200">
        <f>IFERROR(__xludf.DUMMYFUNCTION("""COMPUTED_VALUE"""),18.5)</f>
        <v>18.5</v>
      </c>
      <c r="L80" s="201" t="str">
        <f>IFERROR(__xludf.DUMMYFUNCTION("""COMPUTED_VALUE"""),"Adventure")</f>
        <v>Adventure</v>
      </c>
    </row>
    <row r="81">
      <c r="A81" s="190" t="str">
        <f>IFERROR(__xludf.DUMMYFUNCTION("""COMPUTED_VALUE"""),"Return to Monkey Island")</f>
        <v>Return to Monkey Island</v>
      </c>
      <c r="B81" s="195" t="str">
        <f>IFERROR(__xludf.DUMMYFUNCTION("""COMPUTED_VALUE"""),"Xbox / PC")</f>
        <v>Xbox / PC</v>
      </c>
      <c r="C81" s="196" t="str">
        <f>IFERROR(__xludf.DUMMYFUNCTION("""COMPUTED_VALUE"""),"Yes")</f>
        <v>Yes</v>
      </c>
      <c r="D81" s="196" t="str">
        <f>IFERROR(__xludf.DUMMYFUNCTION("""COMPUTED_VALUE"""),"Active")</f>
        <v>Active</v>
      </c>
      <c r="E81" s="197">
        <f>IFERROR(__xludf.DUMMYFUNCTION("""COMPUTED_VALUE"""),44873.0)</f>
        <v>44873</v>
      </c>
      <c r="F81" s="198"/>
      <c r="G81" s="199">
        <f>IFERROR(__xludf.DUMMYFUNCTION("""COMPUTED_VALUE"""),35.233333333333334)</f>
        <v>35.23333333</v>
      </c>
      <c r="H81" s="197">
        <f>IFERROR(__xludf.DUMMYFUNCTION("""COMPUTED_VALUE"""),44823.0)</f>
        <v>44823</v>
      </c>
      <c r="I81" s="199">
        <f>IFERROR(__xludf.DUMMYFUNCTION("""COMPUTED_VALUE"""),0.1361111111111111)</f>
        <v>0.1361111111</v>
      </c>
      <c r="J81" s="200">
        <f>IFERROR(__xludf.DUMMYFUNCTION("""COMPUTED_VALUE"""),87.0)</f>
        <v>87</v>
      </c>
      <c r="K81" s="200">
        <f>IFERROR(__xludf.DUMMYFUNCTION("""COMPUTED_VALUE"""),10.5)</f>
        <v>10.5</v>
      </c>
      <c r="L81" s="201" t="str">
        <f>IFERROR(__xludf.DUMMYFUNCTION("""COMPUTED_VALUE"""),"Adventure")</f>
        <v>Adventure</v>
      </c>
    </row>
    <row r="82">
      <c r="A82" s="190" t="str">
        <f>IFERROR(__xludf.DUMMYFUNCTION("""COMPUTED_VALUE"""),"Assassin's Creed Odyssey")</f>
        <v>Assassin's Creed Odyssey</v>
      </c>
      <c r="B82" s="195" t="str">
        <f>IFERROR(__xludf.DUMMYFUNCTION("""COMPUTED_VALUE"""),"Xbox / PC")</f>
        <v>Xbox / PC</v>
      </c>
      <c r="C82" s="196" t="str">
        <f>IFERROR(__xludf.DUMMYFUNCTION("""COMPUTED_VALUE"""),"Touch Controls")</f>
        <v>Touch Controls</v>
      </c>
      <c r="D82" s="196" t="str">
        <f>IFERROR(__xludf.DUMMYFUNCTION("""COMPUTED_VALUE"""),"Active")</f>
        <v>Active</v>
      </c>
      <c r="E82" s="197">
        <f>IFERROR(__xludf.DUMMYFUNCTION("""COMPUTED_VALUE"""),44819.0)</f>
        <v>44819</v>
      </c>
      <c r="F82" s="198"/>
      <c r="G82" s="199">
        <f>IFERROR(__xludf.DUMMYFUNCTION("""COMPUTED_VALUE"""),37.0)</f>
        <v>37</v>
      </c>
      <c r="H82" s="197">
        <f>IFERROR(__xludf.DUMMYFUNCTION("""COMPUTED_VALUE"""),43375.0)</f>
        <v>43375</v>
      </c>
      <c r="I82" s="199">
        <f>IFERROR(__xludf.DUMMYFUNCTION("""COMPUTED_VALUE"""),3.952777777777778)</f>
        <v>3.952777778</v>
      </c>
      <c r="J82" s="200">
        <f>IFERROR(__xludf.DUMMYFUNCTION("""COMPUTED_VALUE"""),87.0)</f>
        <v>87</v>
      </c>
      <c r="K82" s="200">
        <f>IFERROR(__xludf.DUMMYFUNCTION("""COMPUTED_VALUE"""),44.5)</f>
        <v>44.5</v>
      </c>
      <c r="L82" s="201" t="str">
        <f>IFERROR(__xludf.DUMMYFUNCTION("""COMPUTED_VALUE"""),"RPG / Action-Adventure")</f>
        <v>RPG / Action-Adventure</v>
      </c>
    </row>
    <row r="83">
      <c r="A83" s="190" t="str">
        <f>IFERROR(__xludf.DUMMYFUNCTION("""COMPUTED_VALUE"""),"Vampire Survivors")</f>
        <v>Vampire Survivors</v>
      </c>
      <c r="B83" s="195" t="str">
        <f>IFERROR(__xludf.DUMMYFUNCTION("""COMPUTED_VALUE"""),"Xbox / PC")</f>
        <v>Xbox / PC</v>
      </c>
      <c r="C83" s="196" t="str">
        <f>IFERROR(__xludf.DUMMYFUNCTION("""COMPUTED_VALUE"""),"Yes")</f>
        <v>Yes</v>
      </c>
      <c r="D83" s="196" t="str">
        <f>IFERROR(__xludf.DUMMYFUNCTION("""COMPUTED_VALUE"""),"Active")</f>
        <v>Active</v>
      </c>
      <c r="E83" s="197">
        <f>IFERROR(__xludf.DUMMYFUNCTION("""COMPUTED_VALUE"""),44700.0)</f>
        <v>44700</v>
      </c>
      <c r="F83" s="198"/>
      <c r="G83" s="199">
        <f>IFERROR(__xludf.DUMMYFUNCTION("""COMPUTED_VALUE"""),40.86666666666667)</f>
        <v>40.86666667</v>
      </c>
      <c r="H83" s="197">
        <f>IFERROR(__xludf.DUMMYFUNCTION("""COMPUTED_VALUE"""),44547.0)</f>
        <v>44547</v>
      </c>
      <c r="I83" s="199">
        <f>IFERROR(__xludf.DUMMYFUNCTION("""COMPUTED_VALUE"""),0.4222222222222222)</f>
        <v>0.4222222222</v>
      </c>
      <c r="J83" s="200">
        <f>IFERROR(__xludf.DUMMYFUNCTION("""COMPUTED_VALUE"""),87.0)</f>
        <v>87</v>
      </c>
      <c r="K83" s="200">
        <f>IFERROR(__xludf.DUMMYFUNCTION("""COMPUTED_VALUE"""),4.5)</f>
        <v>4.5</v>
      </c>
      <c r="L83" s="201" t="str">
        <f>IFERROR(__xludf.DUMMYFUNCTION("""COMPUTED_VALUE"""),"Action")</f>
        <v>Action</v>
      </c>
    </row>
    <row r="84">
      <c r="A84" s="190" t="str">
        <f>IFERROR(__xludf.DUMMYFUNCTION("""COMPUTED_VALUE"""),"Halo 4")</f>
        <v>Halo 4</v>
      </c>
      <c r="B84" s="195" t="str">
        <f>IFERROR(__xludf.DUMMYFUNCTION("""COMPUTED_VALUE"""),"Xbox / PC")</f>
        <v>Xbox / PC</v>
      </c>
      <c r="C84" s="196"/>
      <c r="D84" s="196" t="str">
        <f>IFERROR(__xludf.DUMMYFUNCTION("""COMPUTED_VALUE"""),"Active")</f>
        <v>Active</v>
      </c>
      <c r="E84" s="197">
        <f>IFERROR(__xludf.DUMMYFUNCTION("""COMPUTED_VALUE"""),44152.0)</f>
        <v>44152</v>
      </c>
      <c r="F84" s="198"/>
      <c r="G84" s="199">
        <f>IFERROR(__xludf.DUMMYFUNCTION("""COMPUTED_VALUE"""),58.93333333333334)</f>
        <v>58.93333333</v>
      </c>
      <c r="H84" s="197">
        <f>IFERROR(__xludf.DUMMYFUNCTION("""COMPUTED_VALUE"""),41218.0)</f>
        <v>41218</v>
      </c>
      <c r="I84" s="199">
        <f>IFERROR(__xludf.DUMMYFUNCTION("""COMPUTED_VALUE"""),8.033333333333333)</f>
        <v>8.033333333</v>
      </c>
      <c r="J84" s="200">
        <f>IFERROR(__xludf.DUMMYFUNCTION("""COMPUTED_VALUE"""),87.0)</f>
        <v>87</v>
      </c>
      <c r="K84" s="200">
        <f>IFERROR(__xludf.DUMMYFUNCTION("""COMPUTED_VALUE"""),8.0)</f>
        <v>8</v>
      </c>
      <c r="L84" s="201" t="str">
        <f>IFERROR(__xludf.DUMMYFUNCTION("""COMPUTED_VALUE"""),"Action / First-Person Shooter")</f>
        <v>Action / First-Person Shooter</v>
      </c>
    </row>
    <row r="85">
      <c r="A85" s="190" t="str">
        <f>IFERROR(__xludf.DUMMYFUNCTION("""COMPUTED_VALUE"""),"Battlefield 1: Revolution")</f>
        <v>Battlefield 1: Revolution</v>
      </c>
      <c r="B85" s="195" t="str">
        <f>IFERROR(__xludf.DUMMYFUNCTION("""COMPUTED_VALUE"""),"Xbox / PC")</f>
        <v>Xbox / PC</v>
      </c>
      <c r="C85" s="196" t="str">
        <f>IFERROR(__xludf.DUMMYFUNCTION("""COMPUTED_VALUE"""),"Yes")</f>
        <v>Yes</v>
      </c>
      <c r="D85" s="196" t="str">
        <f>IFERROR(__xludf.DUMMYFUNCTION("""COMPUTED_VALUE"""),"Active")</f>
        <v>Active</v>
      </c>
      <c r="E85" s="197">
        <f>IFERROR(__xludf.DUMMYFUNCTION("""COMPUTED_VALUE"""),44145.0)</f>
        <v>44145</v>
      </c>
      <c r="F85" s="198"/>
      <c r="G85" s="199">
        <f>IFERROR(__xludf.DUMMYFUNCTION("""COMPUTED_VALUE"""),59.166666666666664)</f>
        <v>59.16666667</v>
      </c>
      <c r="H85" s="197">
        <f>IFERROR(__xludf.DUMMYFUNCTION("""COMPUTED_VALUE"""),42664.0)</f>
        <v>42664</v>
      </c>
      <c r="I85" s="199">
        <f>IFERROR(__xludf.DUMMYFUNCTION("""COMPUTED_VALUE"""),4.052777777777778)</f>
        <v>4.052777778</v>
      </c>
      <c r="J85" s="200">
        <f>IFERROR(__xludf.DUMMYFUNCTION("""COMPUTED_VALUE"""),87.0)</f>
        <v>87</v>
      </c>
      <c r="K85" s="200">
        <f>IFERROR(__xludf.DUMMYFUNCTION("""COMPUTED_VALUE"""),6.5)</f>
        <v>6.5</v>
      </c>
      <c r="L85" s="201" t="str">
        <f>IFERROR(__xludf.DUMMYFUNCTION("""COMPUTED_VALUE"""),"First-Person Shooter")</f>
        <v>First-Person Shooter</v>
      </c>
    </row>
    <row r="86">
      <c r="A86" s="190" t="str">
        <f>IFERROR(__xludf.DUMMYFUNCTION("""COMPUTED_VALUE"""),"Titanfall 2: Ultimate Edition")</f>
        <v>Titanfall 2: Ultimate Edition</v>
      </c>
      <c r="B86" s="195" t="str">
        <f>IFERROR(__xludf.DUMMYFUNCTION("""COMPUTED_VALUE"""),"Xbox / PC")</f>
        <v>Xbox / PC</v>
      </c>
      <c r="C86" s="196"/>
      <c r="D86" s="196" t="str">
        <f>IFERROR(__xludf.DUMMYFUNCTION("""COMPUTED_VALUE"""),"Active")</f>
        <v>Active</v>
      </c>
      <c r="E86" s="197">
        <f>IFERROR(__xludf.DUMMYFUNCTION("""COMPUTED_VALUE"""),44145.0)</f>
        <v>44145</v>
      </c>
      <c r="F86" s="198"/>
      <c r="G86" s="199">
        <f>IFERROR(__xludf.DUMMYFUNCTION("""COMPUTED_VALUE"""),59.166666666666664)</f>
        <v>59.16666667</v>
      </c>
      <c r="H86" s="197">
        <f>IFERROR(__xludf.DUMMYFUNCTION("""COMPUTED_VALUE"""),42671.0)</f>
        <v>42671</v>
      </c>
      <c r="I86" s="199">
        <f>IFERROR(__xludf.DUMMYFUNCTION("""COMPUTED_VALUE"""),4.033333333333333)</f>
        <v>4.033333333</v>
      </c>
      <c r="J86" s="200">
        <f>IFERROR(__xludf.DUMMYFUNCTION("""COMPUTED_VALUE"""),87.0)</f>
        <v>87</v>
      </c>
      <c r="K86" s="200">
        <f>IFERROR(__xludf.DUMMYFUNCTION("""COMPUTED_VALUE"""),6.0)</f>
        <v>6</v>
      </c>
      <c r="L86" s="201" t="str">
        <f>IFERROR(__xludf.DUMMYFUNCTION("""COMPUTED_VALUE"""),"First-Person Shooter")</f>
        <v>First-Person Shooter</v>
      </c>
    </row>
    <row r="87">
      <c r="A87" s="190" t="str">
        <f>IFERROR(__xludf.DUMMYFUNCTION("""COMPUTED_VALUE"""),"Prince of Persia: The Lost Crown")</f>
        <v>Prince of Persia: The Lost Crown</v>
      </c>
      <c r="B87" s="195" t="str">
        <f>IFERROR(__xludf.DUMMYFUNCTION("""COMPUTED_VALUE"""),"Xbox / PC")</f>
        <v>Xbox / PC</v>
      </c>
      <c r="C87" s="196" t="str">
        <f>IFERROR(__xludf.DUMMYFUNCTION("""COMPUTED_VALUE"""),"Yes")</f>
        <v>Yes</v>
      </c>
      <c r="D87" s="196" t="str">
        <f>IFERROR(__xludf.DUMMYFUNCTION("""COMPUTED_VALUE"""),"Active")</f>
        <v>Active</v>
      </c>
      <c r="E87" s="197">
        <f>IFERROR(__xludf.DUMMYFUNCTION("""COMPUTED_VALUE"""),45931.0)</f>
        <v>45931</v>
      </c>
      <c r="F87" s="198"/>
      <c r="G87" s="199">
        <f>IFERROR(__xludf.DUMMYFUNCTION("""COMPUTED_VALUE"""),0.4666666666666667)</f>
        <v>0.4666666667</v>
      </c>
      <c r="H87" s="197">
        <f>IFERROR(__xludf.DUMMYFUNCTION("""COMPUTED_VALUE"""),45309.0)</f>
        <v>45309</v>
      </c>
      <c r="I87" s="199">
        <f>IFERROR(__xludf.DUMMYFUNCTION("""COMPUTED_VALUE"""),1.7027777777777777)</f>
        <v>1.702777778</v>
      </c>
      <c r="J87" s="200">
        <f>IFERROR(__xludf.DUMMYFUNCTION("""COMPUTED_VALUE"""),86.0)</f>
        <v>86</v>
      </c>
      <c r="K87" s="200">
        <f>IFERROR(__xludf.DUMMYFUNCTION("""COMPUTED_VALUE"""),17.0)</f>
        <v>17</v>
      </c>
      <c r="L87" s="201" t="str">
        <f>IFERROR(__xludf.DUMMYFUNCTION("""COMPUTED_VALUE"""),"Metroidvania")</f>
        <v>Metroidvania</v>
      </c>
    </row>
    <row r="88">
      <c r="A88" s="190" t="str">
        <f>IFERROR(__xludf.DUMMYFUNCTION("""COMPUTED_VALUE"""),"Rise of the Tomb Raider")</f>
        <v>Rise of the Tomb Raider</v>
      </c>
      <c r="B88" s="195" t="str">
        <f>IFERROR(__xludf.DUMMYFUNCTION("""COMPUTED_VALUE"""),"Xbox / PC")</f>
        <v>Xbox / PC</v>
      </c>
      <c r="C88" s="196" t="str">
        <f>IFERROR(__xludf.DUMMYFUNCTION("""COMPUTED_VALUE"""),"Yes")</f>
        <v>Yes</v>
      </c>
      <c r="D88" s="196" t="str">
        <f>IFERROR(__xludf.DUMMYFUNCTION("""COMPUTED_VALUE"""),"Active")</f>
        <v>Active</v>
      </c>
      <c r="E88" s="197">
        <f>IFERROR(__xludf.DUMMYFUNCTION("""COMPUTED_VALUE"""),45839.0)</f>
        <v>45839</v>
      </c>
      <c r="F88" s="198"/>
      <c r="G88" s="199">
        <f>IFERROR(__xludf.DUMMYFUNCTION("""COMPUTED_VALUE"""),3.4666666666666663)</f>
        <v>3.466666667</v>
      </c>
      <c r="H88" s="197">
        <f>IFERROR(__xludf.DUMMYFUNCTION("""COMPUTED_VALUE"""),42318.0)</f>
        <v>42318</v>
      </c>
      <c r="I88" s="199">
        <f>IFERROR(__xludf.DUMMYFUNCTION("""COMPUTED_VALUE"""),9.641666666666667)</f>
        <v>9.641666667</v>
      </c>
      <c r="J88" s="200">
        <f>IFERROR(__xludf.DUMMYFUNCTION("""COMPUTED_VALUE"""),86.0)</f>
        <v>86</v>
      </c>
      <c r="K88" s="200">
        <f>IFERROR(__xludf.DUMMYFUNCTION("""COMPUTED_VALUE"""),13.5)</f>
        <v>13.5</v>
      </c>
      <c r="L88" s="201" t="str">
        <f>IFERROR(__xludf.DUMMYFUNCTION("""COMPUTED_VALUE"""),"Shooter / Action-Adventure")</f>
        <v>Shooter / Action-Adventure</v>
      </c>
    </row>
    <row r="89">
      <c r="A89" s="190" t="str">
        <f>IFERROR(__xludf.DUMMYFUNCTION("""COMPUTED_VALUE"""),"Warhammer 40,000: Rogue Trader")</f>
        <v>Warhammer 40,000: Rogue Trader</v>
      </c>
      <c r="B89" s="195" t="str">
        <f>IFERROR(__xludf.DUMMYFUNCTION("""COMPUTED_VALUE"""),"Xbox / PC")</f>
        <v>Xbox / PC</v>
      </c>
      <c r="C89" s="196" t="str">
        <f>IFERROR(__xludf.DUMMYFUNCTION("""COMPUTED_VALUE"""),"Yes")</f>
        <v>Yes</v>
      </c>
      <c r="D89" s="196" t="str">
        <f>IFERROR(__xludf.DUMMYFUNCTION("""COMPUTED_VALUE"""),"Active")</f>
        <v>Active</v>
      </c>
      <c r="E89" s="197">
        <f>IFERROR(__xludf.DUMMYFUNCTION("""COMPUTED_VALUE"""),45708.0)</f>
        <v>45708</v>
      </c>
      <c r="F89" s="198"/>
      <c r="G89" s="199">
        <f>IFERROR(__xludf.DUMMYFUNCTION("""COMPUTED_VALUE"""),7.833333333333334)</f>
        <v>7.833333333</v>
      </c>
      <c r="H89" s="197">
        <f>IFERROR(__xludf.DUMMYFUNCTION("""COMPUTED_VALUE"""),45559.0)</f>
        <v>45559</v>
      </c>
      <c r="I89" s="199">
        <f>IFERROR(__xludf.DUMMYFUNCTION("""COMPUTED_VALUE"""),0.40555555555555556)</f>
        <v>0.4055555556</v>
      </c>
      <c r="J89" s="200">
        <f>IFERROR(__xludf.DUMMYFUNCTION("""COMPUTED_VALUE"""),86.0)</f>
        <v>86</v>
      </c>
      <c r="K89" s="200">
        <f>IFERROR(__xludf.DUMMYFUNCTION("""COMPUTED_VALUE"""),65.0)</f>
        <v>65</v>
      </c>
      <c r="L89" s="201" t="str">
        <f>IFERROR(__xludf.DUMMYFUNCTION("""COMPUTED_VALUE"""),"RPG")</f>
        <v>RPG</v>
      </c>
    </row>
    <row r="90">
      <c r="A90" s="190" t="str">
        <f>IFERROR(__xludf.DUMMYFUNCTION("""COMPUTED_VALUE"""),"Indiana Jones and the Great Circle")</f>
        <v>Indiana Jones and the Great Circle</v>
      </c>
      <c r="B90" s="195" t="str">
        <f>IFERROR(__xludf.DUMMYFUNCTION("""COMPUTED_VALUE"""),"Xbox / PC")</f>
        <v>Xbox / PC</v>
      </c>
      <c r="C90" s="196" t="str">
        <f>IFERROR(__xludf.DUMMYFUNCTION("""COMPUTED_VALUE"""),"Yes")</f>
        <v>Yes</v>
      </c>
      <c r="D90" s="196" t="str">
        <f>IFERROR(__xludf.DUMMYFUNCTION("""COMPUTED_VALUE"""),"Active")</f>
        <v>Active</v>
      </c>
      <c r="E90" s="197">
        <f>IFERROR(__xludf.DUMMYFUNCTION("""COMPUTED_VALUE"""),45635.0)</f>
        <v>45635</v>
      </c>
      <c r="F90" s="198"/>
      <c r="G90" s="199">
        <f>IFERROR(__xludf.DUMMYFUNCTION("""COMPUTED_VALUE"""),10.2)</f>
        <v>10.2</v>
      </c>
      <c r="H90" s="197">
        <f>IFERROR(__xludf.DUMMYFUNCTION("""COMPUTED_VALUE"""),45635.0)</f>
        <v>45635</v>
      </c>
      <c r="I90" s="199">
        <f>IFERROR(__xludf.DUMMYFUNCTION("""COMPUTED_VALUE"""),0.0)</f>
        <v>0</v>
      </c>
      <c r="J90" s="200">
        <f>IFERROR(__xludf.DUMMYFUNCTION("""COMPUTED_VALUE"""),86.0)</f>
        <v>86</v>
      </c>
      <c r="K90" s="200">
        <f>IFERROR(__xludf.DUMMYFUNCTION("""COMPUTED_VALUE"""),15.0)</f>
        <v>15</v>
      </c>
      <c r="L90" s="201" t="str">
        <f>IFERROR(__xludf.DUMMYFUNCTION("""COMPUTED_VALUE"""),"Action-Adventure")</f>
        <v>Action-Adventure</v>
      </c>
    </row>
    <row r="91">
      <c r="A91" s="190" t="str">
        <f>IFERROR(__xludf.DUMMYFUNCTION("""COMPUTED_VALUE"""),"Frostpunk 2")</f>
        <v>Frostpunk 2</v>
      </c>
      <c r="B91" s="195" t="str">
        <f>IFERROR(__xludf.DUMMYFUNCTION("""COMPUTED_VALUE"""),"Xbox / PC")</f>
        <v>Xbox / PC</v>
      </c>
      <c r="C91" s="196" t="str">
        <f>IFERROR(__xludf.DUMMYFUNCTION("""COMPUTED_VALUE"""),"Yes")</f>
        <v>Yes</v>
      </c>
      <c r="D91" s="196" t="str">
        <f>IFERROR(__xludf.DUMMYFUNCTION("""COMPUTED_VALUE"""),"Active")</f>
        <v>Active</v>
      </c>
      <c r="E91" s="197">
        <f>IFERROR(__xludf.DUMMYFUNCTION("""COMPUTED_VALUE"""),45555.0)</f>
        <v>45555</v>
      </c>
      <c r="F91" s="198"/>
      <c r="G91" s="199">
        <f>IFERROR(__xludf.DUMMYFUNCTION("""COMPUTED_VALUE"""),12.833333333333332)</f>
        <v>12.83333333</v>
      </c>
      <c r="H91" s="197">
        <f>IFERROR(__xludf.DUMMYFUNCTION("""COMPUTED_VALUE"""),45555.0)</f>
        <v>45555</v>
      </c>
      <c r="I91" s="199">
        <f>IFERROR(__xludf.DUMMYFUNCTION("""COMPUTED_VALUE"""),0.0)</f>
        <v>0</v>
      </c>
      <c r="J91" s="200">
        <f>IFERROR(__xludf.DUMMYFUNCTION("""COMPUTED_VALUE"""),86.0)</f>
        <v>86</v>
      </c>
      <c r="K91" s="200">
        <f>IFERROR(__xludf.DUMMYFUNCTION("""COMPUTED_VALUE"""),11.0)</f>
        <v>11</v>
      </c>
      <c r="L91" s="201" t="str">
        <f>IFERROR(__xludf.DUMMYFUNCTION("""COMPUTED_VALUE"""),"Simulation")</f>
        <v>Simulation</v>
      </c>
    </row>
    <row r="92">
      <c r="A92" s="190" t="str">
        <f>IFERROR(__xludf.DUMMYFUNCTION("""COMPUTED_VALUE"""),"Tomb Raider: Definitive Edition")</f>
        <v>Tomb Raider: Definitive Edition</v>
      </c>
      <c r="B92" s="195" t="str">
        <f>IFERROR(__xludf.DUMMYFUNCTION("""COMPUTED_VALUE"""),"Xbox / PC")</f>
        <v>Xbox / PC</v>
      </c>
      <c r="C92" s="196" t="str">
        <f>IFERROR(__xludf.DUMMYFUNCTION("""COMPUTED_VALUE"""),"Yes")</f>
        <v>Yes</v>
      </c>
      <c r="D92" s="196" t="str">
        <f>IFERROR(__xludf.DUMMYFUNCTION("""COMPUTED_VALUE"""),"Active")</f>
        <v>Active</v>
      </c>
      <c r="E92" s="197">
        <f>IFERROR(__xludf.DUMMYFUNCTION("""COMPUTED_VALUE"""),45414.0)</f>
        <v>45414</v>
      </c>
      <c r="F92" s="198"/>
      <c r="G92" s="199">
        <f>IFERROR(__xludf.DUMMYFUNCTION("""COMPUTED_VALUE"""),17.433333333333334)</f>
        <v>17.43333333</v>
      </c>
      <c r="H92" s="197">
        <f>IFERROR(__xludf.DUMMYFUNCTION("""COMPUTED_VALUE"""),41338.0)</f>
        <v>41338</v>
      </c>
      <c r="I92" s="199">
        <f>IFERROR(__xludf.DUMMYFUNCTION("""COMPUTED_VALUE"""),11.158333333333333)</f>
        <v>11.15833333</v>
      </c>
      <c r="J92" s="200">
        <f>IFERROR(__xludf.DUMMYFUNCTION("""COMPUTED_VALUE"""),86.0)</f>
        <v>86</v>
      </c>
      <c r="K92" s="200">
        <f>IFERROR(__xludf.DUMMYFUNCTION("""COMPUTED_VALUE"""),11.5)</f>
        <v>11.5</v>
      </c>
      <c r="L92" s="201" t="str">
        <f>IFERROR(__xludf.DUMMYFUNCTION("""COMPUTED_VALUE"""),"Shooter / Platformer / Action-Adventure")</f>
        <v>Shooter / Platformer / Action-Adventure</v>
      </c>
    </row>
    <row r="93">
      <c r="A93" s="190" t="str">
        <f>IFERROR(__xludf.DUMMYFUNCTION("""COMPUTED_VALUE"""),"Diablo IV")</f>
        <v>Diablo IV</v>
      </c>
      <c r="B93" s="195" t="str">
        <f>IFERROR(__xludf.DUMMYFUNCTION("""COMPUTED_VALUE"""),"Xbox / PC")</f>
        <v>Xbox / PC</v>
      </c>
      <c r="C93" s="196"/>
      <c r="D93" s="196" t="str">
        <f>IFERROR(__xludf.DUMMYFUNCTION("""COMPUTED_VALUE"""),"Active")</f>
        <v>Active</v>
      </c>
      <c r="E93" s="197">
        <f>IFERROR(__xludf.DUMMYFUNCTION("""COMPUTED_VALUE"""),45379.0)</f>
        <v>45379</v>
      </c>
      <c r="F93" s="198"/>
      <c r="G93" s="199">
        <f>IFERROR(__xludf.DUMMYFUNCTION("""COMPUTED_VALUE"""),18.566666666666666)</f>
        <v>18.56666667</v>
      </c>
      <c r="H93" s="197">
        <f>IFERROR(__xludf.DUMMYFUNCTION("""COMPUTED_VALUE"""),45078.0)</f>
        <v>45078</v>
      </c>
      <c r="I93" s="199">
        <f>IFERROR(__xludf.DUMMYFUNCTION("""COMPUTED_VALUE"""),0.825)</f>
        <v>0.825</v>
      </c>
      <c r="J93" s="200">
        <f>IFERROR(__xludf.DUMMYFUNCTION("""COMPUTED_VALUE"""),86.0)</f>
        <v>86</v>
      </c>
      <c r="K93" s="200">
        <f>IFERROR(__xludf.DUMMYFUNCTION("""COMPUTED_VALUE"""),27.0)</f>
        <v>27</v>
      </c>
      <c r="L93" s="201" t="str">
        <f>IFERROR(__xludf.DUMMYFUNCTION("""COMPUTED_VALUE"""),"RPG")</f>
        <v>RPG</v>
      </c>
    </row>
    <row r="94">
      <c r="A94" s="190" t="str">
        <f>IFERROR(__xludf.DUMMYFUNCTION("""COMPUTED_VALUE"""),"Spiritfarer")</f>
        <v>Spiritfarer</v>
      </c>
      <c r="B94" s="195" t="str">
        <f>IFERROR(__xludf.DUMMYFUNCTION("""COMPUTED_VALUE"""),"Xbox / PC")</f>
        <v>Xbox / PC</v>
      </c>
      <c r="C94" s="196" t="str">
        <f>IFERROR(__xludf.DUMMYFUNCTION("""COMPUTED_VALUE"""),"Touch Controls")</f>
        <v>Touch Controls</v>
      </c>
      <c r="D94" s="196" t="str">
        <f>IFERROR(__xludf.DUMMYFUNCTION("""COMPUTED_VALUE"""),"Active")</f>
        <v>Active</v>
      </c>
      <c r="E94" s="197">
        <f>IFERROR(__xludf.DUMMYFUNCTION("""COMPUTED_VALUE"""),45182.0)</f>
        <v>45182</v>
      </c>
      <c r="F94" s="198"/>
      <c r="G94" s="199">
        <f>IFERROR(__xludf.DUMMYFUNCTION("""COMPUTED_VALUE"""),25.06666666666667)</f>
        <v>25.06666667</v>
      </c>
      <c r="H94" s="197">
        <f>IFERROR(__xludf.DUMMYFUNCTION("""COMPUTED_VALUE"""),44061.0)</f>
        <v>44061</v>
      </c>
      <c r="I94" s="199">
        <f>IFERROR(__xludf.DUMMYFUNCTION("""COMPUTED_VALUE"""),3.0694444444444446)</f>
        <v>3.069444444</v>
      </c>
      <c r="J94" s="200">
        <f>IFERROR(__xludf.DUMMYFUNCTION("""COMPUTED_VALUE"""),86.0)</f>
        <v>86</v>
      </c>
      <c r="K94" s="200">
        <f>IFERROR(__xludf.DUMMYFUNCTION("""COMPUTED_VALUE"""),21.0)</f>
        <v>21</v>
      </c>
      <c r="L94" s="201" t="str">
        <f>IFERROR(__xludf.DUMMYFUNCTION("""COMPUTED_VALUE"""),"Adventure")</f>
        <v>Adventure</v>
      </c>
    </row>
    <row r="95">
      <c r="A95" s="190" t="str">
        <f>IFERROR(__xludf.DUMMYFUNCTION("""COMPUTED_VALUE"""),"Teenage Mutant Ninja Turtles: Shredder's Revenge")</f>
        <v>Teenage Mutant Ninja Turtles: Shredder's Revenge</v>
      </c>
      <c r="B95" s="195" t="str">
        <f>IFERROR(__xludf.DUMMYFUNCTION("""COMPUTED_VALUE"""),"Xbox / PC")</f>
        <v>Xbox / PC</v>
      </c>
      <c r="C95" s="196" t="str">
        <f>IFERROR(__xludf.DUMMYFUNCTION("""COMPUTED_VALUE"""),"Touch Controls")</f>
        <v>Touch Controls</v>
      </c>
      <c r="D95" s="196" t="str">
        <f>IFERROR(__xludf.DUMMYFUNCTION("""COMPUTED_VALUE"""),"Active")</f>
        <v>Active</v>
      </c>
      <c r="E95" s="197">
        <f>IFERROR(__xludf.DUMMYFUNCTION("""COMPUTED_VALUE"""),44728.0)</f>
        <v>44728</v>
      </c>
      <c r="F95" s="198"/>
      <c r="G95" s="199">
        <f>IFERROR(__xludf.DUMMYFUNCTION("""COMPUTED_VALUE"""),39.96666666666667)</f>
        <v>39.96666667</v>
      </c>
      <c r="H95" s="197">
        <f>IFERROR(__xludf.DUMMYFUNCTION("""COMPUTED_VALUE"""),44728.0)</f>
        <v>44728</v>
      </c>
      <c r="I95" s="199">
        <f>IFERROR(__xludf.DUMMYFUNCTION("""COMPUTED_VALUE"""),0.0)</f>
        <v>0</v>
      </c>
      <c r="J95" s="200">
        <f>IFERROR(__xludf.DUMMYFUNCTION("""COMPUTED_VALUE"""),86.0)</f>
        <v>86</v>
      </c>
      <c r="K95" s="200">
        <f>IFERROR(__xludf.DUMMYFUNCTION("""COMPUTED_VALUE"""),2.5)</f>
        <v>2.5</v>
      </c>
      <c r="L95" s="201" t="str">
        <f>IFERROR(__xludf.DUMMYFUNCTION("""COMPUTED_VALUE"""),"Brawler")</f>
        <v>Brawler</v>
      </c>
    </row>
    <row r="96">
      <c r="A96" s="190" t="str">
        <f>IFERROR(__xludf.DUMMYFUNCTION("""COMPUTED_VALUE"""),"Fallout 2")</f>
        <v>Fallout 2</v>
      </c>
      <c r="B96" s="195" t="str">
        <f>IFERROR(__xludf.DUMMYFUNCTION("""COMPUTED_VALUE"""),"PC")</f>
        <v>PC</v>
      </c>
      <c r="C96" s="196"/>
      <c r="D96" s="196" t="str">
        <f>IFERROR(__xludf.DUMMYFUNCTION("""COMPUTED_VALUE"""),"Active")</f>
        <v>Active</v>
      </c>
      <c r="E96" s="197">
        <f>IFERROR(__xludf.DUMMYFUNCTION("""COMPUTED_VALUE"""),44360.0)</f>
        <v>44360</v>
      </c>
      <c r="F96" s="198"/>
      <c r="G96" s="199">
        <f>IFERROR(__xludf.DUMMYFUNCTION("""COMPUTED_VALUE"""),52.06666666666666)</f>
        <v>52.06666667</v>
      </c>
      <c r="H96" s="197">
        <f>IFERROR(__xludf.DUMMYFUNCTION("""COMPUTED_VALUE"""),36068.0)</f>
        <v>36068</v>
      </c>
      <c r="I96" s="199">
        <f>IFERROR(__xludf.DUMMYFUNCTION("""COMPUTED_VALUE"""),22.70277777777778)</f>
        <v>22.70277778</v>
      </c>
      <c r="J96" s="200">
        <f>IFERROR(__xludf.DUMMYFUNCTION("""COMPUTED_VALUE"""),86.0)</f>
        <v>86</v>
      </c>
      <c r="K96" s="200">
        <f>IFERROR(__xludf.DUMMYFUNCTION("""COMPUTED_VALUE"""),30.5)</f>
        <v>30.5</v>
      </c>
      <c r="L96" s="201" t="str">
        <f>IFERROR(__xludf.DUMMYFUNCTION("""COMPUTED_VALUE"""),"RPG")</f>
        <v>RPG</v>
      </c>
    </row>
    <row r="97">
      <c r="A97" s="190" t="str">
        <f>IFERROR(__xludf.DUMMYFUNCTION("""COMPUTED_VALUE"""),"The Sims 3")</f>
        <v>The Sims 3</v>
      </c>
      <c r="B97" s="195" t="str">
        <f>IFERROR(__xludf.DUMMYFUNCTION("""COMPUTED_VALUE"""),"PC")</f>
        <v>PC</v>
      </c>
      <c r="C97" s="196"/>
      <c r="D97" s="196" t="str">
        <f>IFERROR(__xludf.DUMMYFUNCTION("""COMPUTED_VALUE"""),"Active")</f>
        <v>Active</v>
      </c>
      <c r="E97" s="197">
        <f>IFERROR(__xludf.DUMMYFUNCTION("""COMPUTED_VALUE"""),44273.0)</f>
        <v>44273</v>
      </c>
      <c r="F97" s="198"/>
      <c r="G97" s="199">
        <f>IFERROR(__xludf.DUMMYFUNCTION("""COMPUTED_VALUE"""),54.900000000000006)</f>
        <v>54.9</v>
      </c>
      <c r="H97" s="197">
        <f>IFERROR(__xludf.DUMMYFUNCTION("""COMPUTED_VALUE"""),39966.0)</f>
        <v>39966</v>
      </c>
      <c r="I97" s="199">
        <f>IFERROR(__xludf.DUMMYFUNCTION("""COMPUTED_VALUE"""),11.794444444444444)</f>
        <v>11.79444444</v>
      </c>
      <c r="J97" s="200">
        <f>IFERROR(__xludf.DUMMYFUNCTION("""COMPUTED_VALUE"""),86.0)</f>
        <v>86</v>
      </c>
      <c r="K97" s="200">
        <f>IFERROR(__xludf.DUMMYFUNCTION("""COMPUTED_VALUE"""),68.5)</f>
        <v>68.5</v>
      </c>
      <c r="L97" s="201" t="str">
        <f>IFERROR(__xludf.DUMMYFUNCTION("""COMPUTED_VALUE"""),"Simulation")</f>
        <v>Simulation</v>
      </c>
    </row>
    <row r="98">
      <c r="A98" s="190" t="str">
        <f>IFERROR(__xludf.DUMMYFUNCTION("""COMPUTED_VALUE"""),"Dragon Age: Inquisition - Game of the Year Edition")</f>
        <v>Dragon Age: Inquisition - Game of the Year Edition</v>
      </c>
      <c r="B98" s="195" t="str">
        <f>IFERROR(__xludf.DUMMYFUNCTION("""COMPUTED_VALUE"""),"Xbox / PC")</f>
        <v>Xbox / PC</v>
      </c>
      <c r="C98" s="196" t="str">
        <f>IFERROR(__xludf.DUMMYFUNCTION("""COMPUTED_VALUE"""),"Yes")</f>
        <v>Yes</v>
      </c>
      <c r="D98" s="196" t="str">
        <f>IFERROR(__xludf.DUMMYFUNCTION("""COMPUTED_VALUE"""),"Active")</f>
        <v>Active</v>
      </c>
      <c r="E98" s="197">
        <f>IFERROR(__xludf.DUMMYFUNCTION("""COMPUTED_VALUE"""),44145.0)</f>
        <v>44145</v>
      </c>
      <c r="F98" s="198"/>
      <c r="G98" s="199">
        <f>IFERROR(__xludf.DUMMYFUNCTION("""COMPUTED_VALUE"""),59.166666666666664)</f>
        <v>59.16666667</v>
      </c>
      <c r="H98" s="197">
        <f>IFERROR(__xludf.DUMMYFUNCTION("""COMPUTED_VALUE"""),41961.0)</f>
        <v>41961</v>
      </c>
      <c r="I98" s="199">
        <f>IFERROR(__xludf.DUMMYFUNCTION("""COMPUTED_VALUE"""),5.977777777777778)</f>
        <v>5.977777778</v>
      </c>
      <c r="J98" s="200">
        <f>IFERROR(__xludf.DUMMYFUNCTION("""COMPUTED_VALUE"""),86.0)</f>
        <v>86</v>
      </c>
      <c r="K98" s="200">
        <f>IFERROR(__xludf.DUMMYFUNCTION("""COMPUTED_VALUE"""),46.5)</f>
        <v>46.5</v>
      </c>
      <c r="L98" s="201" t="str">
        <f>IFERROR(__xludf.DUMMYFUNCTION("""COMPUTED_VALUE"""),"Action / RPG")</f>
        <v>Action / RPG</v>
      </c>
    </row>
    <row r="99">
      <c r="A99" s="190" t="str">
        <f>IFERROR(__xludf.DUMMYFUNCTION("""COMPUTED_VALUE"""),"Dragon Age: Origins - Ultimate Edition")</f>
        <v>Dragon Age: Origins - Ultimate Edition</v>
      </c>
      <c r="B99" s="195" t="str">
        <f>IFERROR(__xludf.DUMMYFUNCTION("""COMPUTED_VALUE"""),"Xbox / PC")</f>
        <v>Xbox / PC</v>
      </c>
      <c r="C99" s="196" t="str">
        <f>IFERROR(__xludf.DUMMYFUNCTION("""COMPUTED_VALUE"""),"Touch Controls")</f>
        <v>Touch Controls</v>
      </c>
      <c r="D99" s="196" t="str">
        <f>IFERROR(__xludf.DUMMYFUNCTION("""COMPUTED_VALUE"""),"Active")</f>
        <v>Active</v>
      </c>
      <c r="E99" s="197">
        <f>IFERROR(__xludf.DUMMYFUNCTION("""COMPUTED_VALUE"""),44145.0)</f>
        <v>44145</v>
      </c>
      <c r="F99" s="198"/>
      <c r="G99" s="199">
        <f>IFERROR(__xludf.DUMMYFUNCTION("""COMPUTED_VALUE"""),59.166666666666664)</f>
        <v>59.16666667</v>
      </c>
      <c r="H99" s="197">
        <f>IFERROR(__xludf.DUMMYFUNCTION("""COMPUTED_VALUE"""),40120.0)</f>
        <v>40120</v>
      </c>
      <c r="I99" s="199">
        <f>IFERROR(__xludf.DUMMYFUNCTION("""COMPUTED_VALUE"""),11.019444444444444)</f>
        <v>11.01944444</v>
      </c>
      <c r="J99" s="200">
        <f>IFERROR(__xludf.DUMMYFUNCTION("""COMPUTED_VALUE"""),86.0)</f>
        <v>86</v>
      </c>
      <c r="K99" s="200">
        <f>IFERROR(__xludf.DUMMYFUNCTION("""COMPUTED_VALUE"""),40.5)</f>
        <v>40.5</v>
      </c>
      <c r="L99" s="201" t="str">
        <f>IFERROR(__xludf.DUMMYFUNCTION("""COMPUTED_VALUE"""),"RPG")</f>
        <v>RPG</v>
      </c>
    </row>
    <row r="100">
      <c r="A100" s="190" t="str">
        <f>IFERROR(__xludf.DUMMYFUNCTION("""COMPUTED_VALUE"""),"Wasteland 3")</f>
        <v>Wasteland 3</v>
      </c>
      <c r="B100" s="195" t="str">
        <f>IFERROR(__xludf.DUMMYFUNCTION("""COMPUTED_VALUE"""),"Xbox / PC")</f>
        <v>Xbox / PC</v>
      </c>
      <c r="C100" s="196" t="str">
        <f>IFERROR(__xludf.DUMMYFUNCTION("""COMPUTED_VALUE"""),"Touch Controls")</f>
        <v>Touch Controls</v>
      </c>
      <c r="D100" s="196" t="str">
        <f>IFERROR(__xludf.DUMMYFUNCTION("""COMPUTED_VALUE"""),"Active")</f>
        <v>Active</v>
      </c>
      <c r="E100" s="197">
        <f>IFERROR(__xludf.DUMMYFUNCTION("""COMPUTED_VALUE"""),44071.0)</f>
        <v>44071</v>
      </c>
      <c r="F100" s="198"/>
      <c r="G100" s="199">
        <f>IFERROR(__xludf.DUMMYFUNCTION("""COMPUTED_VALUE"""),61.56666666666666)</f>
        <v>61.56666667</v>
      </c>
      <c r="H100" s="197">
        <f>IFERROR(__xludf.DUMMYFUNCTION("""COMPUTED_VALUE"""),44071.0)</f>
        <v>44071</v>
      </c>
      <c r="I100" s="199">
        <f>IFERROR(__xludf.DUMMYFUNCTION("""COMPUTED_VALUE"""),0.0)</f>
        <v>0</v>
      </c>
      <c r="J100" s="200">
        <f>IFERROR(__xludf.DUMMYFUNCTION("""COMPUTED_VALUE"""),86.0)</f>
        <v>86</v>
      </c>
      <c r="K100" s="200">
        <f>IFERROR(__xludf.DUMMYFUNCTION("""COMPUTED_VALUE"""),36.5)</f>
        <v>36.5</v>
      </c>
      <c r="L100" s="201" t="str">
        <f>IFERROR(__xludf.DUMMYFUNCTION("""COMPUTED_VALUE"""),"RPG")</f>
        <v>RPG</v>
      </c>
    </row>
    <row r="101">
      <c r="A101" s="190" t="str">
        <f>IFERROR(__xludf.DUMMYFUNCTION("""COMPUTED_VALUE"""),"Pillars of Eternity: Definitive Edition")</f>
        <v>Pillars of Eternity: Definitive Edition</v>
      </c>
      <c r="B101" s="195" t="str">
        <f>IFERROR(__xludf.DUMMYFUNCTION("""COMPUTED_VALUE"""),"Xbox / PC")</f>
        <v>Xbox / PC</v>
      </c>
      <c r="C101" s="196" t="str">
        <f>IFERROR(__xludf.DUMMYFUNCTION("""COMPUTED_VALUE"""),"Touch Controls")</f>
        <v>Touch Controls</v>
      </c>
      <c r="D101" s="196" t="str">
        <f>IFERROR(__xludf.DUMMYFUNCTION("""COMPUTED_VALUE"""),"Active")</f>
        <v>Active</v>
      </c>
      <c r="E101" s="197">
        <f>IFERROR(__xludf.DUMMYFUNCTION("""COMPUTED_VALUE"""),43818.0)</f>
        <v>43818</v>
      </c>
      <c r="F101" s="198"/>
      <c r="G101" s="199">
        <f>IFERROR(__xludf.DUMMYFUNCTION("""COMPUTED_VALUE"""),69.86666666666666)</f>
        <v>69.86666667</v>
      </c>
      <c r="H101" s="197">
        <f>IFERROR(__xludf.DUMMYFUNCTION("""COMPUTED_VALUE"""),42089.0)</f>
        <v>42089</v>
      </c>
      <c r="I101" s="199">
        <f>IFERROR(__xludf.DUMMYFUNCTION("""COMPUTED_VALUE"""),4.730555555555555)</f>
        <v>4.730555556</v>
      </c>
      <c r="J101" s="200">
        <f>IFERROR(__xludf.DUMMYFUNCTION("""COMPUTED_VALUE"""),86.0)</f>
        <v>86</v>
      </c>
      <c r="K101" s="200">
        <f>IFERROR(__xludf.DUMMYFUNCTION("""COMPUTED_VALUE"""),35.5)</f>
        <v>35.5</v>
      </c>
      <c r="L101" s="201" t="str">
        <f>IFERROR(__xludf.DUMMYFUNCTION("""COMPUTED_VALUE"""),"RPG")</f>
        <v>RPG</v>
      </c>
    </row>
    <row r="102">
      <c r="A102" s="190" t="str">
        <f>IFERROR(__xludf.DUMMYFUNCTION("""COMPUTED_VALUE"""),"Killer Instinct (2013): Anniversary Edition")</f>
        <v>Killer Instinct (2013): Anniversary Edition</v>
      </c>
      <c r="B102" s="195" t="str">
        <f>IFERROR(__xludf.DUMMYFUNCTION("""COMPUTED_VALUE"""),"Xbox / PC")</f>
        <v>Xbox / PC</v>
      </c>
      <c r="C102" s="196" t="str">
        <f>IFERROR(__xludf.DUMMYFUNCTION("""COMPUTED_VALUE"""),"Touch Controls")</f>
        <v>Touch Controls</v>
      </c>
      <c r="D102" s="196" t="str">
        <f>IFERROR(__xludf.DUMMYFUNCTION("""COMPUTED_VALUE"""),"Active")</f>
        <v>Active</v>
      </c>
      <c r="E102" s="197">
        <f>IFERROR(__xludf.DUMMYFUNCTION("""COMPUTED_VALUE"""),43671.0)</f>
        <v>43671</v>
      </c>
      <c r="F102" s="198"/>
      <c r="G102" s="199">
        <f>IFERROR(__xludf.DUMMYFUNCTION("""COMPUTED_VALUE"""),74.66666666666667)</f>
        <v>74.66666667</v>
      </c>
      <c r="H102" s="197">
        <f>IFERROR(__xludf.DUMMYFUNCTION("""COMPUTED_VALUE"""),41600.0)</f>
        <v>41600</v>
      </c>
      <c r="I102" s="199">
        <f>IFERROR(__xludf.DUMMYFUNCTION("""COMPUTED_VALUE"""),5.675)</f>
        <v>5.675</v>
      </c>
      <c r="J102" s="200">
        <f>IFERROR(__xludf.DUMMYFUNCTION("""COMPUTED_VALUE"""),86.0)</f>
        <v>86</v>
      </c>
      <c r="K102" s="200">
        <f>IFERROR(__xludf.DUMMYFUNCTION("""COMPUTED_VALUE"""),2.0)</f>
        <v>2</v>
      </c>
      <c r="L102" s="201" t="str">
        <f>IFERROR(__xludf.DUMMYFUNCTION("""COMPUTED_VALUE"""),"Fighting")</f>
        <v>Fighting</v>
      </c>
    </row>
    <row r="103">
      <c r="A103" s="190" t="str">
        <f>IFERROR(__xludf.DUMMYFUNCTION("""COMPUTED_VALUE"""),"South Park: The Stick of Truth")</f>
        <v>South Park: The Stick of Truth</v>
      </c>
      <c r="B103" s="195" t="str">
        <f>IFERROR(__xludf.DUMMYFUNCTION("""COMPUTED_VALUE"""),"Xbox / PC")</f>
        <v>Xbox / PC</v>
      </c>
      <c r="C103" s="196" t="str">
        <f>IFERROR(__xludf.DUMMYFUNCTION("""COMPUTED_VALUE"""),"Yes")</f>
        <v>Yes</v>
      </c>
      <c r="D103" s="196" t="str">
        <f>IFERROR(__xludf.DUMMYFUNCTION("""COMPUTED_VALUE"""),"Active")</f>
        <v>Active</v>
      </c>
      <c r="E103" s="197">
        <f>IFERROR(__xludf.DUMMYFUNCTION("""COMPUTED_VALUE"""),45931.0)</f>
        <v>45931</v>
      </c>
      <c r="F103" s="198"/>
      <c r="G103" s="199">
        <f>IFERROR(__xludf.DUMMYFUNCTION("""COMPUTED_VALUE"""),0.4666666666666667)</f>
        <v>0.4666666667</v>
      </c>
      <c r="H103" s="197">
        <f>IFERROR(__xludf.DUMMYFUNCTION("""COMPUTED_VALUE"""),41702.0)</f>
        <v>41702</v>
      </c>
      <c r="I103" s="199">
        <f>IFERROR(__xludf.DUMMYFUNCTION("""COMPUTED_VALUE"""),11.575)</f>
        <v>11.575</v>
      </c>
      <c r="J103" s="200">
        <f>IFERROR(__xludf.DUMMYFUNCTION("""COMPUTED_VALUE"""),85.0)</f>
        <v>85</v>
      </c>
      <c r="K103" s="200">
        <f>IFERROR(__xludf.DUMMYFUNCTION("""COMPUTED_VALUE"""),12.0)</f>
        <v>12</v>
      </c>
      <c r="L103" s="201" t="str">
        <f>IFERROR(__xludf.DUMMYFUNCTION("""COMPUTED_VALUE"""),"RPG")</f>
        <v>RPG</v>
      </c>
    </row>
    <row r="104">
      <c r="A104" s="190" t="str">
        <f>IFERROR(__xludf.DUMMYFUNCTION("""COMPUTED_VALUE"""),"Frostpunk 2")</f>
        <v>Frostpunk 2</v>
      </c>
      <c r="B104" s="195" t="str">
        <f>IFERROR(__xludf.DUMMYFUNCTION("""COMPUTED_VALUE"""),"Xbox / PC")</f>
        <v>Xbox / PC</v>
      </c>
      <c r="C104" s="196"/>
      <c r="D104" s="196" t="str">
        <f>IFERROR(__xludf.DUMMYFUNCTION("""COMPUTED_VALUE"""),"Active")</f>
        <v>Active</v>
      </c>
      <c r="E104" s="197">
        <f>IFERROR(__xludf.DUMMYFUNCTION("""COMPUTED_VALUE"""),45918.0)</f>
        <v>45918</v>
      </c>
      <c r="F104" s="198"/>
      <c r="G104" s="199">
        <f>IFERROR(__xludf.DUMMYFUNCTION("""COMPUTED_VALUE"""),0.8999999999999999)</f>
        <v>0.9</v>
      </c>
      <c r="H104" s="197">
        <f>IFERROR(__xludf.DUMMYFUNCTION("""COMPUTED_VALUE"""),45552.0)</f>
        <v>45552</v>
      </c>
      <c r="I104" s="199">
        <f>IFERROR(__xludf.DUMMYFUNCTION("""COMPUTED_VALUE"""),1.0027777777777778)</f>
        <v>1.002777778</v>
      </c>
      <c r="J104" s="200">
        <f>IFERROR(__xludf.DUMMYFUNCTION("""COMPUTED_VALUE"""),85.0)</f>
        <v>85</v>
      </c>
      <c r="K104" s="200">
        <f>IFERROR(__xludf.DUMMYFUNCTION("""COMPUTED_VALUE"""),12.0)</f>
        <v>12</v>
      </c>
      <c r="L104" s="201" t="str">
        <f>IFERROR(__xludf.DUMMYFUNCTION("""COMPUTED_VALUE"""),"Management")</f>
        <v>Management</v>
      </c>
    </row>
    <row r="105">
      <c r="A105" s="190" t="str">
        <f>IFERROR(__xludf.DUMMYFUNCTION("""COMPUTED_VALUE"""),"Crash Bandicoot 4: It's About Time")</f>
        <v>Crash Bandicoot 4: It's About Time</v>
      </c>
      <c r="B105" s="195" t="str">
        <f>IFERROR(__xludf.DUMMYFUNCTION("""COMPUTED_VALUE"""),"Xbox / PC")</f>
        <v>Xbox / PC</v>
      </c>
      <c r="C105" s="196"/>
      <c r="D105" s="196" t="str">
        <f>IFERROR(__xludf.DUMMYFUNCTION("""COMPUTED_VALUE"""),"Active")</f>
        <v>Active</v>
      </c>
      <c r="E105" s="197">
        <f>IFERROR(__xludf.DUMMYFUNCTION("""COMPUTED_VALUE"""),45825.0)</f>
        <v>45825</v>
      </c>
      <c r="F105" s="198"/>
      <c r="G105" s="199">
        <f>IFERROR(__xludf.DUMMYFUNCTION("""COMPUTED_VALUE"""),3.9333333333333336)</f>
        <v>3.933333333</v>
      </c>
      <c r="H105" s="197">
        <f>IFERROR(__xludf.DUMMYFUNCTION("""COMPUTED_VALUE"""),44106.0)</f>
        <v>44106</v>
      </c>
      <c r="I105" s="199">
        <f>IFERROR(__xludf.DUMMYFUNCTION("""COMPUTED_VALUE"""),4.708333333333333)</f>
        <v>4.708333333</v>
      </c>
      <c r="J105" s="200">
        <f>IFERROR(__xludf.DUMMYFUNCTION("""COMPUTED_VALUE"""),85.0)</f>
        <v>85</v>
      </c>
      <c r="K105" s="200">
        <f>IFERROR(__xludf.DUMMYFUNCTION("""COMPUTED_VALUE"""),10.0)</f>
        <v>10</v>
      </c>
      <c r="L105" s="201" t="str">
        <f>IFERROR(__xludf.DUMMYFUNCTION("""COMPUTED_VALUE"""),"Plaformer")</f>
        <v>Plaformer</v>
      </c>
    </row>
    <row r="106">
      <c r="A106" s="190" t="str">
        <f>IFERROR(__xludf.DUMMYFUNCTION("""COMPUTED_VALUE"""),"Symphonia (2024)")</f>
        <v>Symphonia (2024)</v>
      </c>
      <c r="B106" s="195" t="str">
        <f>IFERROR(__xludf.DUMMYFUNCTION("""COMPUTED_VALUE"""),"Xbox / PC")</f>
        <v>Xbox / PC</v>
      </c>
      <c r="C106" s="196" t="str">
        <f>IFERROR(__xludf.DUMMYFUNCTION("""COMPUTED_VALUE"""),"Yes")</f>
        <v>Yes</v>
      </c>
      <c r="D106" s="196" t="str">
        <f>IFERROR(__xludf.DUMMYFUNCTION("""COMPUTED_VALUE"""),"Active")</f>
        <v>Active</v>
      </c>
      <c r="E106" s="197">
        <f>IFERROR(__xludf.DUMMYFUNCTION("""COMPUTED_VALUE"""),45811.0)</f>
        <v>45811</v>
      </c>
      <c r="F106" s="198"/>
      <c r="G106" s="199">
        <f>IFERROR(__xludf.DUMMYFUNCTION("""COMPUTED_VALUE"""),4.3999999999999995)</f>
        <v>4.4</v>
      </c>
      <c r="H106" s="197">
        <f>IFERROR(__xludf.DUMMYFUNCTION("""COMPUTED_VALUE"""),45631.0)</f>
        <v>45631</v>
      </c>
      <c r="I106" s="199">
        <f>IFERROR(__xludf.DUMMYFUNCTION("""COMPUTED_VALUE"""),0.49444444444444446)</f>
        <v>0.4944444444</v>
      </c>
      <c r="J106" s="200">
        <f>IFERROR(__xludf.DUMMYFUNCTION("""COMPUTED_VALUE"""),85.0)</f>
        <v>85</v>
      </c>
      <c r="K106" s="200">
        <f>IFERROR(__xludf.DUMMYFUNCTION("""COMPUTED_VALUE"""),5.0)</f>
        <v>5</v>
      </c>
      <c r="L106" s="201" t="str">
        <f>IFERROR(__xludf.DUMMYFUNCTION("""COMPUTED_VALUE"""),"Platformer")</f>
        <v>Platformer</v>
      </c>
    </row>
    <row r="107">
      <c r="A107" s="190" t="str">
        <f>IFERROR(__xludf.DUMMYFUNCTION("""COMPUTED_VALUE"""),"DOOM: The Dark Ages")</f>
        <v>DOOM: The Dark Ages</v>
      </c>
      <c r="B107" s="195" t="str">
        <f>IFERROR(__xludf.DUMMYFUNCTION("""COMPUTED_VALUE"""),"Xbox / PC")</f>
        <v>Xbox / PC</v>
      </c>
      <c r="C107" s="196" t="str">
        <f>IFERROR(__xludf.DUMMYFUNCTION("""COMPUTED_VALUE"""),"Yes")</f>
        <v>Yes</v>
      </c>
      <c r="D107" s="196" t="str">
        <f>IFERROR(__xludf.DUMMYFUNCTION("""COMPUTED_VALUE"""),"Active")</f>
        <v>Active</v>
      </c>
      <c r="E107" s="197">
        <f>IFERROR(__xludf.DUMMYFUNCTION("""COMPUTED_VALUE"""),45792.0)</f>
        <v>45792</v>
      </c>
      <c r="F107" s="198"/>
      <c r="G107" s="199">
        <f>IFERROR(__xludf.DUMMYFUNCTION("""COMPUTED_VALUE"""),5.0)</f>
        <v>5</v>
      </c>
      <c r="H107" s="197">
        <f>IFERROR(__xludf.DUMMYFUNCTION("""COMPUTED_VALUE"""),45792.0)</f>
        <v>45792</v>
      </c>
      <c r="I107" s="199">
        <f>IFERROR(__xludf.DUMMYFUNCTION("""COMPUTED_VALUE"""),0.0)</f>
        <v>0</v>
      </c>
      <c r="J107" s="200">
        <f>IFERROR(__xludf.DUMMYFUNCTION("""COMPUTED_VALUE"""),85.0)</f>
        <v>85</v>
      </c>
      <c r="K107" s="200">
        <f>IFERROR(__xludf.DUMMYFUNCTION("""COMPUTED_VALUE"""),13.0)</f>
        <v>13</v>
      </c>
      <c r="L107" s="201" t="str">
        <f>IFERROR(__xludf.DUMMYFUNCTION("""COMPUTED_VALUE"""),"Shooter")</f>
        <v>Shooter</v>
      </c>
    </row>
    <row r="108">
      <c r="A108" s="190" t="str">
        <f>IFERROR(__xludf.DUMMYFUNCTION("""COMPUTED_VALUE"""),"Far Cry 4")</f>
        <v>Far Cry 4</v>
      </c>
      <c r="B108" s="195" t="str">
        <f>IFERROR(__xludf.DUMMYFUNCTION("""COMPUTED_VALUE"""),"Xbox / PC")</f>
        <v>Xbox / PC</v>
      </c>
      <c r="C108" s="196" t="str">
        <f>IFERROR(__xludf.DUMMYFUNCTION("""COMPUTED_VALUE"""),"Yes")</f>
        <v>Yes</v>
      </c>
      <c r="D108" s="196" t="str">
        <f>IFERROR(__xludf.DUMMYFUNCTION("""COMPUTED_VALUE"""),"Active")</f>
        <v>Active</v>
      </c>
      <c r="E108" s="197">
        <f>IFERROR(__xludf.DUMMYFUNCTION("""COMPUTED_VALUE"""),45777.0)</f>
        <v>45777</v>
      </c>
      <c r="F108" s="198"/>
      <c r="G108" s="199">
        <f>IFERROR(__xludf.DUMMYFUNCTION("""COMPUTED_VALUE"""),5.5)</f>
        <v>5.5</v>
      </c>
      <c r="H108" s="197">
        <f>IFERROR(__xludf.DUMMYFUNCTION("""COMPUTED_VALUE"""),41961.0)</f>
        <v>41961</v>
      </c>
      <c r="I108" s="199">
        <f>IFERROR(__xludf.DUMMYFUNCTION("""COMPUTED_VALUE"""),10.45)</f>
        <v>10.45</v>
      </c>
      <c r="J108" s="200">
        <f>IFERROR(__xludf.DUMMYFUNCTION("""COMPUTED_VALUE"""),85.0)</f>
        <v>85</v>
      </c>
      <c r="K108" s="200">
        <f>IFERROR(__xludf.DUMMYFUNCTION("""COMPUTED_VALUE"""),18.0)</f>
        <v>18</v>
      </c>
      <c r="L108" s="201" t="str">
        <f>IFERROR(__xludf.DUMMYFUNCTION("""COMPUTED_VALUE"""),"Shooter")</f>
        <v>Shooter</v>
      </c>
    </row>
    <row r="109">
      <c r="A109" s="190" t="str">
        <f>IFERROR(__xludf.DUMMYFUNCTION("""COMPUTED_VALUE"""),"Enter the Gungeon")</f>
        <v>Enter the Gungeon</v>
      </c>
      <c r="B109" s="195" t="str">
        <f>IFERROR(__xludf.DUMMYFUNCTION("""COMPUTED_VALUE"""),"Xbox / PC")</f>
        <v>Xbox / PC</v>
      </c>
      <c r="C109" s="196" t="str">
        <f>IFERROR(__xludf.DUMMYFUNCTION("""COMPUTED_VALUE"""),"Touch Controls")</f>
        <v>Touch Controls</v>
      </c>
      <c r="D109" s="196" t="str">
        <f>IFERROR(__xludf.DUMMYFUNCTION("""COMPUTED_VALUE"""),"Active")</f>
        <v>Active</v>
      </c>
      <c r="E109" s="197">
        <f>IFERROR(__xludf.DUMMYFUNCTION("""COMPUTED_VALUE"""),45727.0)</f>
        <v>45727</v>
      </c>
      <c r="F109" s="198"/>
      <c r="G109" s="199">
        <f>IFERROR(__xludf.DUMMYFUNCTION("""COMPUTED_VALUE"""),7.133333333333333)</f>
        <v>7.133333333</v>
      </c>
      <c r="H109" s="197">
        <f>IFERROR(__xludf.DUMMYFUNCTION("""COMPUTED_VALUE"""),42465.0)</f>
        <v>42465</v>
      </c>
      <c r="I109" s="199">
        <f>IFERROR(__xludf.DUMMYFUNCTION("""COMPUTED_VALUE"""),8.933333333333334)</f>
        <v>8.933333333</v>
      </c>
      <c r="J109" s="200">
        <f>IFERROR(__xludf.DUMMYFUNCTION("""COMPUTED_VALUE"""),85.0)</f>
        <v>85</v>
      </c>
      <c r="K109" s="200">
        <f>IFERROR(__xludf.DUMMYFUNCTION("""COMPUTED_VALUE"""),18.5)</f>
        <v>18.5</v>
      </c>
      <c r="L109" s="201" t="str">
        <f>IFERROR(__xludf.DUMMYFUNCTION("""COMPUTED_VALUE"""),"Action-Adventure")</f>
        <v>Action-Adventure</v>
      </c>
    </row>
    <row r="110">
      <c r="A110" s="190" t="str">
        <f>IFERROR(__xludf.DUMMYFUNCTION("""COMPUTED_VALUE"""),"Monster Train")</f>
        <v>Monster Train</v>
      </c>
      <c r="B110" s="195" t="str">
        <f>IFERROR(__xludf.DUMMYFUNCTION("""COMPUTED_VALUE"""),"Xbox / PC")</f>
        <v>Xbox / PC</v>
      </c>
      <c r="C110" s="196" t="str">
        <f>IFERROR(__xludf.DUMMYFUNCTION("""COMPUTED_VALUE"""),"Touch Controls")</f>
        <v>Touch Controls</v>
      </c>
      <c r="D110" s="196" t="str">
        <f>IFERROR(__xludf.DUMMYFUNCTION("""COMPUTED_VALUE"""),"Active")</f>
        <v>Active</v>
      </c>
      <c r="E110" s="197">
        <f>IFERROR(__xludf.DUMMYFUNCTION("""COMPUTED_VALUE"""),45720.0)</f>
        <v>45720</v>
      </c>
      <c r="F110" s="198"/>
      <c r="G110" s="199">
        <f>IFERROR(__xludf.DUMMYFUNCTION("""COMPUTED_VALUE"""),7.366666666666667)</f>
        <v>7.366666667</v>
      </c>
      <c r="H110" s="197">
        <f>IFERROR(__xludf.DUMMYFUNCTION("""COMPUTED_VALUE"""),43972.0)</f>
        <v>43972</v>
      </c>
      <c r="I110" s="199">
        <f>IFERROR(__xludf.DUMMYFUNCTION("""COMPUTED_VALUE"""),4.786111111111111)</f>
        <v>4.786111111</v>
      </c>
      <c r="J110" s="200">
        <f>IFERROR(__xludf.DUMMYFUNCTION("""COMPUTED_VALUE"""),85.0)</f>
        <v>85</v>
      </c>
      <c r="K110" s="200">
        <f>IFERROR(__xludf.DUMMYFUNCTION("""COMPUTED_VALUE"""),1.5)</f>
        <v>1.5</v>
      </c>
      <c r="L110" s="201" t="str">
        <f>IFERROR(__xludf.DUMMYFUNCTION("""COMPUTED_VALUE"""),"Strategy")</f>
        <v>Strategy</v>
      </c>
    </row>
    <row r="111">
      <c r="A111" s="190" t="str">
        <f>IFERROR(__xludf.DUMMYFUNCTION("""COMPUTED_VALUE"""),"Citizen Sleeper 2: Starward Vector")</f>
        <v>Citizen Sleeper 2: Starward Vector</v>
      </c>
      <c r="B111" s="195" t="str">
        <f>IFERROR(__xludf.DUMMYFUNCTION("""COMPUTED_VALUE"""),"Xbox / PC")</f>
        <v>Xbox / PC</v>
      </c>
      <c r="C111" s="196" t="str">
        <f>IFERROR(__xludf.DUMMYFUNCTION("""COMPUTED_VALUE"""),"Yes")</f>
        <v>Yes</v>
      </c>
      <c r="D111" s="196" t="str">
        <f>IFERROR(__xludf.DUMMYFUNCTION("""COMPUTED_VALUE"""),"Active")</f>
        <v>Active</v>
      </c>
      <c r="E111" s="197">
        <f>IFERROR(__xludf.DUMMYFUNCTION("""COMPUTED_VALUE"""),45688.0)</f>
        <v>45688</v>
      </c>
      <c r="F111" s="198"/>
      <c r="G111" s="199">
        <f>IFERROR(__xludf.DUMMYFUNCTION("""COMPUTED_VALUE"""),8.5)</f>
        <v>8.5</v>
      </c>
      <c r="H111" s="197">
        <f>IFERROR(__xludf.DUMMYFUNCTION("""COMPUTED_VALUE"""),45688.0)</f>
        <v>45688</v>
      </c>
      <c r="I111" s="199">
        <f>IFERROR(__xludf.DUMMYFUNCTION("""COMPUTED_VALUE"""),0.0)</f>
        <v>0</v>
      </c>
      <c r="J111" s="200">
        <f>IFERROR(__xludf.DUMMYFUNCTION("""COMPUTED_VALUE"""),85.0)</f>
        <v>85</v>
      </c>
      <c r="K111" s="200">
        <f>IFERROR(__xludf.DUMMYFUNCTION("""COMPUTED_VALUE"""),10.0)</f>
        <v>10</v>
      </c>
      <c r="L111" s="201" t="str">
        <f>IFERROR(__xludf.DUMMYFUNCTION("""COMPUTED_VALUE"""),"RPG")</f>
        <v>RPG</v>
      </c>
    </row>
    <row r="112">
      <c r="A112" s="190" t="str">
        <f>IFERROR(__xludf.DUMMYFUNCTION("""COMPUTED_VALUE"""),"Starcraft: Remastered")</f>
        <v>Starcraft: Remastered</v>
      </c>
      <c r="B112" s="195" t="str">
        <f>IFERROR(__xludf.DUMMYFUNCTION("""COMPUTED_VALUE"""),"PC")</f>
        <v>PC</v>
      </c>
      <c r="C112" s="196"/>
      <c r="D112" s="196" t="str">
        <f>IFERROR(__xludf.DUMMYFUNCTION("""COMPUTED_VALUE"""),"Active")</f>
        <v>Active</v>
      </c>
      <c r="E112" s="197">
        <f>IFERROR(__xludf.DUMMYFUNCTION("""COMPUTED_VALUE"""),45601.0)</f>
        <v>45601</v>
      </c>
      <c r="F112" s="198"/>
      <c r="G112" s="199">
        <f>IFERROR(__xludf.DUMMYFUNCTION("""COMPUTED_VALUE"""),11.333333333333332)</f>
        <v>11.33333333</v>
      </c>
      <c r="H112" s="197">
        <f>IFERROR(__xludf.DUMMYFUNCTION("""COMPUTED_VALUE"""),42961.0)</f>
        <v>42961</v>
      </c>
      <c r="I112" s="199">
        <f>IFERROR(__xludf.DUMMYFUNCTION("""COMPUTED_VALUE"""),7.225)</f>
        <v>7.225</v>
      </c>
      <c r="J112" s="200">
        <f>IFERROR(__xludf.DUMMYFUNCTION("""COMPUTED_VALUE"""),85.0)</f>
        <v>85</v>
      </c>
      <c r="K112" s="200">
        <f>IFERROR(__xludf.DUMMYFUNCTION("""COMPUTED_VALUE"""),25.0)</f>
        <v>25</v>
      </c>
      <c r="L112" s="201" t="str">
        <f>IFERROR(__xludf.DUMMYFUNCTION("""COMPUTED_VALUE"""),"Strategy")</f>
        <v>Strategy</v>
      </c>
    </row>
    <row r="113">
      <c r="A113" s="190" t="str">
        <f>IFERROR(__xludf.DUMMYFUNCTION("""COMPUTED_VALUE"""),"Starcraft II: Campaign Collection")</f>
        <v>Starcraft II: Campaign Collection</v>
      </c>
      <c r="B113" s="195" t="str">
        <f>IFERROR(__xludf.DUMMYFUNCTION("""COMPUTED_VALUE"""),"PC")</f>
        <v>PC</v>
      </c>
      <c r="C113" s="196"/>
      <c r="D113" s="196" t="str">
        <f>IFERROR(__xludf.DUMMYFUNCTION("""COMPUTED_VALUE"""),"Active")</f>
        <v>Active</v>
      </c>
      <c r="E113" s="197">
        <f>IFERROR(__xludf.DUMMYFUNCTION("""COMPUTED_VALUE"""),45601.0)</f>
        <v>45601</v>
      </c>
      <c r="F113" s="198"/>
      <c r="G113" s="199">
        <f>IFERROR(__xludf.DUMMYFUNCTION("""COMPUTED_VALUE"""),11.333333333333332)</f>
        <v>11.33333333</v>
      </c>
      <c r="H113" s="197">
        <f>IFERROR(__xludf.DUMMYFUNCTION("""COMPUTED_VALUE"""),45601.0)</f>
        <v>45601</v>
      </c>
      <c r="I113" s="199">
        <f>IFERROR(__xludf.DUMMYFUNCTION("""COMPUTED_VALUE"""),0.0)</f>
        <v>0</v>
      </c>
      <c r="J113" s="200">
        <f>IFERROR(__xludf.DUMMYFUNCTION("""COMPUTED_VALUE"""),85.0)</f>
        <v>85</v>
      </c>
      <c r="K113" s="200">
        <f>IFERROR(__xludf.DUMMYFUNCTION("""COMPUTED_VALUE"""),55.0)</f>
        <v>55</v>
      </c>
      <c r="L113" s="201" t="str">
        <f>IFERROR(__xludf.DUMMYFUNCTION("""COMPUTED_VALUE"""),"Strategy")</f>
        <v>Strategy</v>
      </c>
    </row>
    <row r="114">
      <c r="A114" s="190" t="str">
        <f>IFERROR(__xludf.DUMMYFUNCTION("""COMPUTED_VALUE"""),"Inscryption")</f>
        <v>Inscryption</v>
      </c>
      <c r="B114" s="195" t="str">
        <f>IFERROR(__xludf.DUMMYFUNCTION("""COMPUTED_VALUE"""),"Xbox / PC")</f>
        <v>Xbox / PC</v>
      </c>
      <c r="C114" s="196" t="str">
        <f>IFERROR(__xludf.DUMMYFUNCTION("""COMPUTED_VALUE"""),"Yes")</f>
        <v>Yes</v>
      </c>
      <c r="D114" s="196" t="str">
        <f>IFERROR(__xludf.DUMMYFUNCTION("""COMPUTED_VALUE"""),"Active")</f>
        <v>Active</v>
      </c>
      <c r="E114" s="197">
        <f>IFERROR(__xludf.DUMMYFUNCTION("""COMPUTED_VALUE"""),45575.0)</f>
        <v>45575</v>
      </c>
      <c r="F114" s="198"/>
      <c r="G114" s="199">
        <f>IFERROR(__xludf.DUMMYFUNCTION("""COMPUTED_VALUE"""),12.166666666666666)</f>
        <v>12.16666667</v>
      </c>
      <c r="H114" s="197">
        <f>IFERROR(__xludf.DUMMYFUNCTION("""COMPUTED_VALUE"""),44488.0)</f>
        <v>44488</v>
      </c>
      <c r="I114" s="199">
        <f>IFERROR(__xludf.DUMMYFUNCTION("""COMPUTED_VALUE"""),2.975)</f>
        <v>2.975</v>
      </c>
      <c r="J114" s="200">
        <f>IFERROR(__xludf.DUMMYFUNCTION("""COMPUTED_VALUE"""),85.0)</f>
        <v>85</v>
      </c>
      <c r="K114" s="200">
        <f>IFERROR(__xludf.DUMMYFUNCTION("""COMPUTED_VALUE"""),13.0)</f>
        <v>13</v>
      </c>
      <c r="L114" s="201" t="str">
        <f>IFERROR(__xludf.DUMMYFUNCTION("""COMPUTED_VALUE"""),"Card Battle")</f>
        <v>Card Battle</v>
      </c>
    </row>
    <row r="115">
      <c r="A115" s="190" t="str">
        <f>IFERROR(__xludf.DUMMYFUNCTION("""COMPUTED_VALUE"""),"Octopath Traveler II")</f>
        <v>Octopath Traveler II</v>
      </c>
      <c r="B115" s="195" t="str">
        <f>IFERROR(__xludf.DUMMYFUNCTION("""COMPUTED_VALUE"""),"Xbox / PC")</f>
        <v>Xbox / PC</v>
      </c>
      <c r="C115" s="196" t="str">
        <f>IFERROR(__xludf.DUMMYFUNCTION("""COMPUTED_VALUE"""),"Yes")</f>
        <v>Yes</v>
      </c>
      <c r="D115" s="196" t="str">
        <f>IFERROR(__xludf.DUMMYFUNCTION("""COMPUTED_VALUE"""),"Active")</f>
        <v>Active</v>
      </c>
      <c r="E115" s="197">
        <f>IFERROR(__xludf.DUMMYFUNCTION("""COMPUTED_VALUE"""),45449.0)</f>
        <v>45449</v>
      </c>
      <c r="F115" s="198"/>
      <c r="G115" s="199">
        <f>IFERROR(__xludf.DUMMYFUNCTION("""COMPUTED_VALUE"""),16.3)</f>
        <v>16.3</v>
      </c>
      <c r="H115" s="197">
        <f>IFERROR(__xludf.DUMMYFUNCTION("""COMPUTED_VALUE"""),44981.0)</f>
        <v>44981</v>
      </c>
      <c r="I115" s="199">
        <f>IFERROR(__xludf.DUMMYFUNCTION("""COMPUTED_VALUE"""),1.2833333333333334)</f>
        <v>1.283333333</v>
      </c>
      <c r="J115" s="200">
        <f>IFERROR(__xludf.DUMMYFUNCTION("""COMPUTED_VALUE"""),85.0)</f>
        <v>85</v>
      </c>
      <c r="K115" s="200">
        <f>IFERROR(__xludf.DUMMYFUNCTION("""COMPUTED_VALUE"""),61.0)</f>
        <v>61</v>
      </c>
      <c r="L115" s="201" t="str">
        <f>IFERROR(__xludf.DUMMYFUNCTION("""COMPUTED_VALUE"""),"RPG")</f>
        <v>RPG</v>
      </c>
    </row>
    <row r="116">
      <c r="A116" s="190" t="str">
        <f>IFERROR(__xludf.DUMMYFUNCTION("""COMPUTED_VALUE"""),"Star Wars Jedi: Survivor")</f>
        <v>Star Wars Jedi: Survivor</v>
      </c>
      <c r="B116" s="195" t="str">
        <f>IFERROR(__xludf.DUMMYFUNCTION("""COMPUTED_VALUE"""),"Xbox / PC")</f>
        <v>Xbox / PC</v>
      </c>
      <c r="C116" s="196"/>
      <c r="D116" s="196" t="str">
        <f>IFERROR(__xludf.DUMMYFUNCTION("""COMPUTED_VALUE"""),"Active")</f>
        <v>Active</v>
      </c>
      <c r="E116" s="197">
        <f>IFERROR(__xludf.DUMMYFUNCTION("""COMPUTED_VALUE"""),45407.0)</f>
        <v>45407</v>
      </c>
      <c r="F116" s="198"/>
      <c r="G116" s="199">
        <f>IFERROR(__xludf.DUMMYFUNCTION("""COMPUTED_VALUE"""),17.666666666666668)</f>
        <v>17.66666667</v>
      </c>
      <c r="H116" s="197">
        <f>IFERROR(__xludf.DUMMYFUNCTION("""COMPUTED_VALUE"""),45044.0)</f>
        <v>45044</v>
      </c>
      <c r="I116" s="199">
        <f>IFERROR(__xludf.DUMMYFUNCTION("""COMPUTED_VALUE"""),0.9916666666666667)</f>
        <v>0.9916666667</v>
      </c>
      <c r="J116" s="200">
        <f>IFERROR(__xludf.DUMMYFUNCTION("""COMPUTED_VALUE"""),85.0)</f>
        <v>85</v>
      </c>
      <c r="K116" s="200">
        <f>IFERROR(__xludf.DUMMYFUNCTION("""COMPUTED_VALUE"""),20.0)</f>
        <v>20</v>
      </c>
      <c r="L116" s="201" t="str">
        <f>IFERROR(__xludf.DUMMYFUNCTION("""COMPUTED_VALUE"""),"Action-Adventure")</f>
        <v>Action-Adventure</v>
      </c>
    </row>
    <row r="117">
      <c r="A117" s="190" t="str">
        <f>IFERROR(__xludf.DUMMYFUNCTION("""COMPUTED_VALUE"""),"Control: Ultimate Edition")</f>
        <v>Control: Ultimate Edition</v>
      </c>
      <c r="B117" s="195" t="str">
        <f>IFERROR(__xludf.DUMMYFUNCTION("""COMPUTED_VALUE"""),"Xbox / PC")</f>
        <v>Xbox / PC</v>
      </c>
      <c r="C117" s="196" t="str">
        <f>IFERROR(__xludf.DUMMYFUNCTION("""COMPUTED_VALUE"""),"Yes")</f>
        <v>Yes</v>
      </c>
      <c r="D117" s="196" t="str">
        <f>IFERROR(__xludf.DUMMYFUNCTION("""COMPUTED_VALUE"""),"Active")</f>
        <v>Active</v>
      </c>
      <c r="E117" s="197">
        <f>IFERROR(__xludf.DUMMYFUNCTION("""COMPUTED_VALUE"""),45364.0)</f>
        <v>45364</v>
      </c>
      <c r="F117" s="198"/>
      <c r="G117" s="199">
        <f>IFERROR(__xludf.DUMMYFUNCTION("""COMPUTED_VALUE"""),19.066666666666666)</f>
        <v>19.06666667</v>
      </c>
      <c r="H117" s="197">
        <f>IFERROR(__xludf.DUMMYFUNCTION("""COMPUTED_VALUE"""),44229.0)</f>
        <v>44229</v>
      </c>
      <c r="I117" s="199">
        <f>IFERROR(__xludf.DUMMYFUNCTION("""COMPUTED_VALUE"""),3.113888888888889)</f>
        <v>3.113888889</v>
      </c>
      <c r="J117" s="200">
        <f>IFERROR(__xludf.DUMMYFUNCTION("""COMPUTED_VALUE"""),85.0)</f>
        <v>85</v>
      </c>
      <c r="K117" s="200">
        <f>IFERROR(__xludf.DUMMYFUNCTION("""COMPUTED_VALUE"""),13.0)</f>
        <v>13</v>
      </c>
      <c r="L117" s="201" t="str">
        <f>IFERROR(__xludf.DUMMYFUNCTION("""COMPUTED_VALUE"""),"Action")</f>
        <v>Action</v>
      </c>
    </row>
    <row r="118">
      <c r="A118" s="190" t="str">
        <f>IFERROR(__xludf.DUMMYFUNCTION("""COMPUTED_VALUE"""),"Forza Motorsport (2023)")</f>
        <v>Forza Motorsport (2023)</v>
      </c>
      <c r="B118" s="195" t="str">
        <f>IFERROR(__xludf.DUMMYFUNCTION("""COMPUTED_VALUE"""),"Xbox / PC")</f>
        <v>Xbox / PC</v>
      </c>
      <c r="C118" s="196" t="str">
        <f>IFERROR(__xludf.DUMMYFUNCTION("""COMPUTED_VALUE"""),"Yes")</f>
        <v>Yes</v>
      </c>
      <c r="D118" s="196" t="str">
        <f>IFERROR(__xludf.DUMMYFUNCTION("""COMPUTED_VALUE"""),"Active")</f>
        <v>Active</v>
      </c>
      <c r="E118" s="197">
        <f>IFERROR(__xludf.DUMMYFUNCTION("""COMPUTED_VALUE"""),45209.0)</f>
        <v>45209</v>
      </c>
      <c r="F118" s="198"/>
      <c r="G118" s="199">
        <f>IFERROR(__xludf.DUMMYFUNCTION("""COMPUTED_VALUE"""),24.166666666666664)</f>
        <v>24.16666667</v>
      </c>
      <c r="H118" s="197">
        <f>IFERROR(__xludf.DUMMYFUNCTION("""COMPUTED_VALUE"""),45209.0)</f>
        <v>45209</v>
      </c>
      <c r="I118" s="199">
        <f>IFERROR(__xludf.DUMMYFUNCTION("""COMPUTED_VALUE"""),0.0)</f>
        <v>0</v>
      </c>
      <c r="J118" s="200">
        <f>IFERROR(__xludf.DUMMYFUNCTION("""COMPUTED_VALUE"""),85.0)</f>
        <v>85</v>
      </c>
      <c r="K118" s="200">
        <f>IFERROR(__xludf.DUMMYFUNCTION("""COMPUTED_VALUE"""),8.0)</f>
        <v>8</v>
      </c>
      <c r="L118" s="201" t="str">
        <f>IFERROR(__xludf.DUMMYFUNCTION("""COMPUTED_VALUE"""),"Driving/Racing")</f>
        <v>Driving/Racing</v>
      </c>
    </row>
    <row r="119">
      <c r="A119" s="190" t="str">
        <f>IFERROR(__xludf.DUMMYFUNCTION("""COMPUTED_VALUE"""),"Limbo")</f>
        <v>Limbo</v>
      </c>
      <c r="B119" s="195" t="str">
        <f>IFERROR(__xludf.DUMMYFUNCTION("""COMPUTED_VALUE"""),"Xbox / PC")</f>
        <v>Xbox / PC</v>
      </c>
      <c r="C119" s="196" t="str">
        <f>IFERROR(__xludf.DUMMYFUNCTION("""COMPUTED_VALUE"""),"Yes")</f>
        <v>Yes</v>
      </c>
      <c r="D119" s="196" t="str">
        <f>IFERROR(__xludf.DUMMYFUNCTION("""COMPUTED_VALUE"""),"Active")</f>
        <v>Active</v>
      </c>
      <c r="E119" s="197">
        <f>IFERROR(__xludf.DUMMYFUNCTION("""COMPUTED_VALUE"""),45147.0)</f>
        <v>45147</v>
      </c>
      <c r="F119" s="198"/>
      <c r="G119" s="199">
        <f>IFERROR(__xludf.DUMMYFUNCTION("""COMPUTED_VALUE"""),26.199999999999996)</f>
        <v>26.2</v>
      </c>
      <c r="H119" s="197">
        <f>IFERROR(__xludf.DUMMYFUNCTION("""COMPUTED_VALUE"""),40380.0)</f>
        <v>40380</v>
      </c>
      <c r="I119" s="199">
        <f>IFERROR(__xludf.DUMMYFUNCTION("""COMPUTED_VALUE"""),13.05)</f>
        <v>13.05</v>
      </c>
      <c r="J119" s="200">
        <f>IFERROR(__xludf.DUMMYFUNCTION("""COMPUTED_VALUE"""),85.0)</f>
        <v>85</v>
      </c>
      <c r="K119" s="200">
        <f>IFERROR(__xludf.DUMMYFUNCTION("""COMPUTED_VALUE"""),3.5)</f>
        <v>3.5</v>
      </c>
      <c r="L119" s="201" t="str">
        <f>IFERROR(__xludf.DUMMYFUNCTION("""COMPUTED_VALUE"""),"Puzzle / Platformer")</f>
        <v>Puzzle / Platformer</v>
      </c>
    </row>
    <row r="120">
      <c r="A120" s="190" t="str">
        <f>IFERROR(__xludf.DUMMYFUNCTION("""COMPUTED_VALUE"""),"A Plague Tale: Requiem")</f>
        <v>A Plague Tale: Requiem</v>
      </c>
      <c r="B120" s="195" t="str">
        <f>IFERROR(__xludf.DUMMYFUNCTION("""COMPUTED_VALUE"""),"Xbox / PC")</f>
        <v>Xbox / PC</v>
      </c>
      <c r="C120" s="196" t="str">
        <f>IFERROR(__xludf.DUMMYFUNCTION("""COMPUTED_VALUE"""),"Yes")</f>
        <v>Yes</v>
      </c>
      <c r="D120" s="196" t="str">
        <f>IFERROR(__xludf.DUMMYFUNCTION("""COMPUTED_VALUE"""),"Active")</f>
        <v>Active</v>
      </c>
      <c r="E120" s="197">
        <f>IFERROR(__xludf.DUMMYFUNCTION("""COMPUTED_VALUE"""),44852.0)</f>
        <v>44852</v>
      </c>
      <c r="F120" s="198"/>
      <c r="G120" s="199">
        <f>IFERROR(__xludf.DUMMYFUNCTION("""COMPUTED_VALUE"""),35.9)</f>
        <v>35.9</v>
      </c>
      <c r="H120" s="197">
        <f>IFERROR(__xludf.DUMMYFUNCTION("""COMPUTED_VALUE"""),44852.0)</f>
        <v>44852</v>
      </c>
      <c r="I120" s="199">
        <f>IFERROR(__xludf.DUMMYFUNCTION("""COMPUTED_VALUE"""),0.0)</f>
        <v>0</v>
      </c>
      <c r="J120" s="200">
        <f>IFERROR(__xludf.DUMMYFUNCTION("""COMPUTED_VALUE"""),85.0)</f>
        <v>85</v>
      </c>
      <c r="K120" s="200">
        <f>IFERROR(__xludf.DUMMYFUNCTION("""COMPUTED_VALUE"""),15.0)</f>
        <v>15</v>
      </c>
      <c r="L120" s="201" t="str">
        <f>IFERROR(__xludf.DUMMYFUNCTION("""COMPUTED_VALUE"""),"Action-Adventure")</f>
        <v>Action-Adventure</v>
      </c>
    </row>
    <row r="121">
      <c r="A121" s="190" t="str">
        <f>IFERROR(__xludf.DUMMYFUNCTION("""COMPUTED_VALUE"""),"Wolfenstein 3D")</f>
        <v>Wolfenstein 3D</v>
      </c>
      <c r="B121" s="195" t="str">
        <f>IFERROR(__xludf.DUMMYFUNCTION("""COMPUTED_VALUE"""),"PC")</f>
        <v>PC</v>
      </c>
      <c r="C121" s="196"/>
      <c r="D121" s="196" t="str">
        <f>IFERROR(__xludf.DUMMYFUNCTION("""COMPUTED_VALUE"""),"Active")</f>
        <v>Active</v>
      </c>
      <c r="E121" s="197">
        <f>IFERROR(__xludf.DUMMYFUNCTION("""COMPUTED_VALUE"""),44791.0)</f>
        <v>44791</v>
      </c>
      <c r="F121" s="198"/>
      <c r="G121" s="199">
        <f>IFERROR(__xludf.DUMMYFUNCTION("""COMPUTED_VALUE"""),37.9)</f>
        <v>37.9</v>
      </c>
      <c r="H121" s="197">
        <f>IFERROR(__xludf.DUMMYFUNCTION("""COMPUTED_VALUE"""),33729.0)</f>
        <v>33729</v>
      </c>
      <c r="I121" s="199">
        <f>IFERROR(__xludf.DUMMYFUNCTION("""COMPUTED_VALUE"""),30.28611111111111)</f>
        <v>30.28611111</v>
      </c>
      <c r="J121" s="200">
        <f>IFERROR(__xludf.DUMMYFUNCTION("""COMPUTED_VALUE"""),85.0)</f>
        <v>85</v>
      </c>
      <c r="K121" s="200">
        <f>IFERROR(__xludf.DUMMYFUNCTION("""COMPUTED_VALUE"""),6.5)</f>
        <v>6.5</v>
      </c>
      <c r="L121" s="201" t="str">
        <f>IFERROR(__xludf.DUMMYFUNCTION("""COMPUTED_VALUE"""),"Action / First-Person Shooter")</f>
        <v>Action / First-Person Shooter</v>
      </c>
    </row>
    <row r="122">
      <c r="A122" s="190" t="str">
        <f>IFERROR(__xludf.DUMMYFUNCTION("""COMPUTED_VALUE"""),"Among Us")</f>
        <v>Among Us</v>
      </c>
      <c r="B122" s="195" t="str">
        <f>IFERROR(__xludf.DUMMYFUNCTION("""COMPUTED_VALUE"""),"Xbox / PC")</f>
        <v>Xbox / PC</v>
      </c>
      <c r="C122" s="196" t="str">
        <f>IFERROR(__xludf.DUMMYFUNCTION("""COMPUTED_VALUE"""),"Touch Controls")</f>
        <v>Touch Controls</v>
      </c>
      <c r="D122" s="196" t="str">
        <f>IFERROR(__xludf.DUMMYFUNCTION("""COMPUTED_VALUE"""),"Active")</f>
        <v>Active</v>
      </c>
      <c r="E122" s="197">
        <f>IFERROR(__xludf.DUMMYFUNCTION("""COMPUTED_VALUE"""),44182.0)</f>
        <v>44182</v>
      </c>
      <c r="F122" s="198"/>
      <c r="G122" s="199">
        <f>IFERROR(__xludf.DUMMYFUNCTION("""COMPUTED_VALUE"""),57.93333333333333)</f>
        <v>57.93333333</v>
      </c>
      <c r="H122" s="197">
        <f>IFERROR(__xludf.DUMMYFUNCTION("""COMPUTED_VALUE"""),43267.0)</f>
        <v>43267</v>
      </c>
      <c r="I122" s="199">
        <f>IFERROR(__xludf.DUMMYFUNCTION("""COMPUTED_VALUE"""),2.5027777777777778)</f>
        <v>2.502777778</v>
      </c>
      <c r="J122" s="200">
        <f>IFERROR(__xludf.DUMMYFUNCTION("""COMPUTED_VALUE"""),85.0)</f>
        <v>85</v>
      </c>
      <c r="K122" s="200">
        <f>IFERROR(__xludf.DUMMYFUNCTION("""COMPUTED_VALUE"""),14.0)</f>
        <v>14</v>
      </c>
      <c r="L122" s="201" t="str">
        <f>IFERROR(__xludf.DUMMYFUNCTION("""COMPUTED_VALUE"""),"Strategy")</f>
        <v>Strategy</v>
      </c>
    </row>
    <row r="123">
      <c r="A123" s="190" t="str">
        <f>IFERROR(__xludf.DUMMYFUNCTION("""COMPUTED_VALUE"""),"The Outer Worlds")</f>
        <v>The Outer Worlds</v>
      </c>
      <c r="B123" s="195" t="str">
        <f>IFERROR(__xludf.DUMMYFUNCTION("""COMPUTED_VALUE"""),"Xbox / PC")</f>
        <v>Xbox / PC</v>
      </c>
      <c r="C123" s="196" t="str">
        <f>IFERROR(__xludf.DUMMYFUNCTION("""COMPUTED_VALUE"""),"Yes")</f>
        <v>Yes</v>
      </c>
      <c r="D123" s="196" t="str">
        <f>IFERROR(__xludf.DUMMYFUNCTION("""COMPUTED_VALUE"""),"Active")</f>
        <v>Active</v>
      </c>
      <c r="E123" s="197">
        <f>IFERROR(__xludf.DUMMYFUNCTION("""COMPUTED_VALUE"""),43763.0)</f>
        <v>43763</v>
      </c>
      <c r="F123" s="198"/>
      <c r="G123" s="199">
        <f>IFERROR(__xludf.DUMMYFUNCTION("""COMPUTED_VALUE"""),71.66666666666667)</f>
        <v>71.66666667</v>
      </c>
      <c r="H123" s="197">
        <f>IFERROR(__xludf.DUMMYFUNCTION("""COMPUTED_VALUE"""),43763.0)</f>
        <v>43763</v>
      </c>
      <c r="I123" s="199">
        <f>IFERROR(__xludf.DUMMYFUNCTION("""COMPUTED_VALUE"""),0.0)</f>
        <v>0</v>
      </c>
      <c r="J123" s="200">
        <f>IFERROR(__xludf.DUMMYFUNCTION("""COMPUTED_VALUE"""),85.0)</f>
        <v>85</v>
      </c>
      <c r="K123" s="200">
        <f>IFERROR(__xludf.DUMMYFUNCTION("""COMPUTED_VALUE"""),12.0)</f>
        <v>12</v>
      </c>
      <c r="L123" s="201" t="str">
        <f>IFERROR(__xludf.DUMMYFUNCTION("""COMPUTED_VALUE"""),"RPG / First-Person Shooter")</f>
        <v>RPG / First-Person Shooter</v>
      </c>
    </row>
    <row r="124">
      <c r="A124" s="190" t="str">
        <f>IFERROR(__xludf.DUMMYFUNCTION("""COMPUTED_VALUE"""),"Halo: The Master Chief Collection")</f>
        <v>Halo: The Master Chief Collection</v>
      </c>
      <c r="B124" s="195" t="str">
        <f>IFERROR(__xludf.DUMMYFUNCTION("""COMPUTED_VALUE"""),"Xbox / PC")</f>
        <v>Xbox / PC</v>
      </c>
      <c r="C124" s="196" t="str">
        <f>IFERROR(__xludf.DUMMYFUNCTION("""COMPUTED_VALUE"""),"Yes")</f>
        <v>Yes</v>
      </c>
      <c r="D124" s="196" t="str">
        <f>IFERROR(__xludf.DUMMYFUNCTION("""COMPUTED_VALUE"""),"Active")</f>
        <v>Active</v>
      </c>
      <c r="E124" s="197">
        <f>IFERROR(__xludf.DUMMYFUNCTION("""COMPUTED_VALUE"""),43344.0)</f>
        <v>43344</v>
      </c>
      <c r="F124" s="198"/>
      <c r="G124" s="199">
        <f>IFERROR(__xludf.DUMMYFUNCTION("""COMPUTED_VALUE"""),85.46666666666667)</f>
        <v>85.46666667</v>
      </c>
      <c r="H124" s="197">
        <f>IFERROR(__xludf.DUMMYFUNCTION("""COMPUTED_VALUE"""),41954.0)</f>
        <v>41954</v>
      </c>
      <c r="I124" s="199">
        <f>IFERROR(__xludf.DUMMYFUNCTION("""COMPUTED_VALUE"""),3.8055555555555554)</f>
        <v>3.805555556</v>
      </c>
      <c r="J124" s="200">
        <f>IFERROR(__xludf.DUMMYFUNCTION("""COMPUTED_VALUE"""),85.0)</f>
        <v>85</v>
      </c>
      <c r="K124" s="200">
        <f>IFERROR(__xludf.DUMMYFUNCTION("""COMPUTED_VALUE"""),52.5)</f>
        <v>52.5</v>
      </c>
      <c r="L124" s="201" t="str">
        <f>IFERROR(__xludf.DUMMYFUNCTION("""COMPUTED_VALUE"""),"Compilation / First-Person Shooter")</f>
        <v>Compilation / First-Person Shooter</v>
      </c>
    </row>
    <row r="125">
      <c r="A125" s="190" t="str">
        <f>IFERROR(__xludf.DUMMYFUNCTION("""COMPUTED_VALUE"""),"Assassin's Creed Origins")</f>
        <v>Assassin's Creed Origins</v>
      </c>
      <c r="B125" s="195" t="str">
        <f>IFERROR(__xludf.DUMMYFUNCTION("""COMPUTED_VALUE"""),"Xbox / PC")</f>
        <v>Xbox / PC</v>
      </c>
      <c r="C125" s="196" t="str">
        <f>IFERROR(__xludf.DUMMYFUNCTION("""COMPUTED_VALUE"""),"Touch Controls")</f>
        <v>Touch Controls</v>
      </c>
      <c r="D125" s="196" t="str">
        <f>IFERROR(__xludf.DUMMYFUNCTION("""COMPUTED_VALUE"""),"Active")</f>
        <v>Active</v>
      </c>
      <c r="E125" s="197">
        <f>IFERROR(__xludf.DUMMYFUNCTION("""COMPUTED_VALUE"""),44719.0)</f>
        <v>44719</v>
      </c>
      <c r="F125" s="198"/>
      <c r="G125" s="199">
        <f>IFERROR(__xludf.DUMMYFUNCTION("""COMPUTED_VALUE"""),40.266666666666666)</f>
        <v>40.26666667</v>
      </c>
      <c r="H125" s="197">
        <f>IFERROR(__xludf.DUMMYFUNCTION("""COMPUTED_VALUE"""),43035.0)</f>
        <v>43035</v>
      </c>
      <c r="I125" s="199">
        <f>IFERROR(__xludf.DUMMYFUNCTION("""COMPUTED_VALUE"""),4.611111111111111)</f>
        <v>4.611111111</v>
      </c>
      <c r="J125" s="200">
        <f>IFERROR(__xludf.DUMMYFUNCTION("""COMPUTED_VALUE"""),84.5)</f>
        <v>84.5</v>
      </c>
      <c r="K125" s="200">
        <f>IFERROR(__xludf.DUMMYFUNCTION("""COMPUTED_VALUE"""),30.0)</f>
        <v>30</v>
      </c>
      <c r="L125" s="201" t="str">
        <f>IFERROR(__xludf.DUMMYFUNCTION("""COMPUTED_VALUE"""),"RPG / Action-Adventure")</f>
        <v>RPG / Action-Adventure</v>
      </c>
    </row>
    <row r="126">
      <c r="A126" s="190" t="str">
        <f>IFERROR(__xludf.DUMMYFUNCTION("""COMPUTED_VALUE"""),"Hogwarts Legacy")</f>
        <v>Hogwarts Legacy</v>
      </c>
      <c r="B126" s="195" t="str">
        <f>IFERROR(__xludf.DUMMYFUNCTION("""COMPUTED_VALUE"""),"Xbox / PC")</f>
        <v>Xbox / PC</v>
      </c>
      <c r="C126" s="196" t="str">
        <f>IFERROR(__xludf.DUMMYFUNCTION("""COMPUTED_VALUE"""),"Yes")</f>
        <v>Yes</v>
      </c>
      <c r="D126" s="196" t="str">
        <f>IFERROR(__xludf.DUMMYFUNCTION("""COMPUTED_VALUE"""),"Active")</f>
        <v>Active</v>
      </c>
      <c r="E126" s="197">
        <f>IFERROR(__xludf.DUMMYFUNCTION("""COMPUTED_VALUE"""),45931.0)</f>
        <v>45931</v>
      </c>
      <c r="F126" s="198"/>
      <c r="G126" s="199">
        <f>IFERROR(__xludf.DUMMYFUNCTION("""COMPUTED_VALUE"""),0.4666666666666667)</f>
        <v>0.4666666667</v>
      </c>
      <c r="H126" s="197">
        <f>IFERROR(__xludf.DUMMYFUNCTION("""COMPUTED_VALUE"""),44964.0)</f>
        <v>44964</v>
      </c>
      <c r="I126" s="199">
        <f>IFERROR(__xludf.DUMMYFUNCTION("""COMPUTED_VALUE"""),2.65)</f>
        <v>2.65</v>
      </c>
      <c r="J126" s="200">
        <f>IFERROR(__xludf.DUMMYFUNCTION("""COMPUTED_VALUE"""),84.0)</f>
        <v>84</v>
      </c>
      <c r="K126" s="200">
        <f>IFERROR(__xludf.DUMMYFUNCTION("""COMPUTED_VALUE"""),27.0)</f>
        <v>27</v>
      </c>
      <c r="L126" s="201" t="str">
        <f>IFERROR(__xludf.DUMMYFUNCTION("""COMPUTED_VALUE"""),"Action-Adventure")</f>
        <v>Action-Adventure</v>
      </c>
    </row>
    <row r="127">
      <c r="A127" s="190" t="str">
        <f>IFERROR(__xludf.DUMMYFUNCTION("""COMPUTED_VALUE"""),"Lara Croft and the Guardian of Light")</f>
        <v>Lara Croft and the Guardian of Light</v>
      </c>
      <c r="B127" s="195" t="str">
        <f>IFERROR(__xludf.DUMMYFUNCTION("""COMPUTED_VALUE"""),"Xbox / PC")</f>
        <v>Xbox / PC</v>
      </c>
      <c r="C127" s="196" t="str">
        <f>IFERROR(__xludf.DUMMYFUNCTION("""COMPUTED_VALUE"""),"Yes")</f>
        <v>Yes</v>
      </c>
      <c r="D127" s="196" t="str">
        <f>IFERROR(__xludf.DUMMYFUNCTION("""COMPUTED_VALUE"""),"Active")</f>
        <v>Active</v>
      </c>
      <c r="E127" s="197">
        <f>IFERROR(__xludf.DUMMYFUNCTION("""COMPUTED_VALUE"""),45930.0)</f>
        <v>45930</v>
      </c>
      <c r="F127" s="198"/>
      <c r="G127" s="199">
        <f>IFERROR(__xludf.DUMMYFUNCTION("""COMPUTED_VALUE"""),0.5)</f>
        <v>0.5</v>
      </c>
      <c r="H127" s="197">
        <f>IFERROR(__xludf.DUMMYFUNCTION("""COMPUTED_VALUE"""),42062.0)</f>
        <v>42062</v>
      </c>
      <c r="I127" s="199">
        <f>IFERROR(__xludf.DUMMYFUNCTION("""COMPUTED_VALUE"""),10.591666666666667)</f>
        <v>10.59166667</v>
      </c>
      <c r="J127" s="200">
        <f>IFERROR(__xludf.DUMMYFUNCTION("""COMPUTED_VALUE"""),84.0)</f>
        <v>84</v>
      </c>
      <c r="K127" s="200">
        <f>IFERROR(__xludf.DUMMYFUNCTION("""COMPUTED_VALUE"""),7.0)</f>
        <v>7</v>
      </c>
      <c r="L127" s="201" t="str">
        <f>IFERROR(__xludf.DUMMYFUNCTION("""COMPUTED_VALUE"""),"Action-Adventure")</f>
        <v>Action-Adventure</v>
      </c>
    </row>
    <row r="128">
      <c r="A128" s="190" t="str">
        <f>IFERROR(__xludf.DUMMYFUNCTION("""COMPUTED_VALUE"""),"The Alters")</f>
        <v>The Alters</v>
      </c>
      <c r="B128" s="195" t="str">
        <f>IFERROR(__xludf.DUMMYFUNCTION("""COMPUTED_VALUE"""),"Xbox / PC")</f>
        <v>Xbox / PC</v>
      </c>
      <c r="C128" s="196" t="str">
        <f>IFERROR(__xludf.DUMMYFUNCTION("""COMPUTED_VALUE"""),"Yes")</f>
        <v>Yes</v>
      </c>
      <c r="D128" s="196" t="str">
        <f>IFERROR(__xludf.DUMMYFUNCTION("""COMPUTED_VALUE"""),"Active")</f>
        <v>Active</v>
      </c>
      <c r="E128" s="197">
        <f>IFERROR(__xludf.DUMMYFUNCTION("""COMPUTED_VALUE"""),45821.0)</f>
        <v>45821</v>
      </c>
      <c r="F128" s="198"/>
      <c r="G128" s="199">
        <f>IFERROR(__xludf.DUMMYFUNCTION("""COMPUTED_VALUE"""),4.066666666666666)</f>
        <v>4.066666667</v>
      </c>
      <c r="H128" s="197">
        <f>IFERROR(__xludf.DUMMYFUNCTION("""COMPUTED_VALUE"""),45821.0)</f>
        <v>45821</v>
      </c>
      <c r="I128" s="199">
        <f>IFERROR(__xludf.DUMMYFUNCTION("""COMPUTED_VALUE"""),0.0)</f>
        <v>0</v>
      </c>
      <c r="J128" s="200">
        <f>IFERROR(__xludf.DUMMYFUNCTION("""COMPUTED_VALUE"""),84.0)</f>
        <v>84</v>
      </c>
      <c r="K128" s="200">
        <f>IFERROR(__xludf.DUMMYFUNCTION("""COMPUTED_VALUE"""),19.0)</f>
        <v>19</v>
      </c>
      <c r="L128" s="201" t="str">
        <f>IFERROR(__xludf.DUMMYFUNCTION("""COMPUTED_VALUE"""),"Survival")</f>
        <v>Survival</v>
      </c>
    </row>
    <row r="129">
      <c r="A129" s="190" t="str">
        <f>IFERROR(__xludf.DUMMYFUNCTION("""COMPUTED_VALUE"""),"Kingdom: Two Crowns")</f>
        <v>Kingdom: Two Crowns</v>
      </c>
      <c r="B129" s="195" t="str">
        <f>IFERROR(__xludf.DUMMYFUNCTION("""COMPUTED_VALUE"""),"Xbox / PC")</f>
        <v>Xbox / PC</v>
      </c>
      <c r="C129" s="196" t="str">
        <f>IFERROR(__xludf.DUMMYFUNCTION("""COMPUTED_VALUE"""),"Yes")</f>
        <v>Yes</v>
      </c>
      <c r="D129" s="196" t="str">
        <f>IFERROR(__xludf.DUMMYFUNCTION("""COMPUTED_VALUE"""),"Active")</f>
        <v>Active</v>
      </c>
      <c r="E129" s="197">
        <f>IFERROR(__xludf.DUMMYFUNCTION("""COMPUTED_VALUE"""),45701.0)</f>
        <v>45701</v>
      </c>
      <c r="F129" s="198"/>
      <c r="G129" s="199">
        <f>IFERROR(__xludf.DUMMYFUNCTION("""COMPUTED_VALUE"""),8.066666666666666)</f>
        <v>8.066666667</v>
      </c>
      <c r="H129" s="197">
        <f>IFERROR(__xludf.DUMMYFUNCTION("""COMPUTED_VALUE"""),43445.0)</f>
        <v>43445</v>
      </c>
      <c r="I129" s="199">
        <f>IFERROR(__xludf.DUMMYFUNCTION("""COMPUTED_VALUE"""),6.1722222222222225)</f>
        <v>6.172222222</v>
      </c>
      <c r="J129" s="200">
        <f>IFERROR(__xludf.DUMMYFUNCTION("""COMPUTED_VALUE"""),84.0)</f>
        <v>84</v>
      </c>
      <c r="K129" s="200">
        <f>IFERROR(__xludf.DUMMYFUNCTION("""COMPUTED_VALUE"""),28.5)</f>
        <v>28.5</v>
      </c>
      <c r="L129" s="201" t="str">
        <f>IFERROR(__xludf.DUMMYFUNCTION("""COMPUTED_VALUE"""),"Strategy")</f>
        <v>Strategy</v>
      </c>
    </row>
    <row r="130">
      <c r="A130" s="190" t="str">
        <f>IFERROR(__xludf.DUMMYFUNCTION("""COMPUTED_VALUE"""),"Lonely Mountain: Snow Riders")</f>
        <v>Lonely Mountain: Snow Riders</v>
      </c>
      <c r="B130" s="195" t="str">
        <f>IFERROR(__xludf.DUMMYFUNCTION("""COMPUTED_VALUE"""),"Xbox / PC")</f>
        <v>Xbox / PC</v>
      </c>
      <c r="C130" s="196" t="str">
        <f>IFERROR(__xludf.DUMMYFUNCTION("""COMPUTED_VALUE"""),"Yes")</f>
        <v>Yes</v>
      </c>
      <c r="D130" s="196" t="str">
        <f>IFERROR(__xludf.DUMMYFUNCTION("""COMPUTED_VALUE"""),"Active")</f>
        <v>Active</v>
      </c>
      <c r="E130" s="197">
        <f>IFERROR(__xludf.DUMMYFUNCTION("""COMPUTED_VALUE"""),45678.0)</f>
        <v>45678</v>
      </c>
      <c r="F130" s="198"/>
      <c r="G130" s="199">
        <f>IFERROR(__xludf.DUMMYFUNCTION("""COMPUTED_VALUE"""),8.799999999999999)</f>
        <v>8.8</v>
      </c>
      <c r="H130" s="197">
        <f>IFERROR(__xludf.DUMMYFUNCTION("""COMPUTED_VALUE"""),43958.0)</f>
        <v>43958</v>
      </c>
      <c r="I130" s="199">
        <f>IFERROR(__xludf.DUMMYFUNCTION("""COMPUTED_VALUE"""),4.705555555555556)</f>
        <v>4.705555556</v>
      </c>
      <c r="J130" s="200">
        <f>IFERROR(__xludf.DUMMYFUNCTION("""COMPUTED_VALUE"""),84.0)</f>
        <v>84</v>
      </c>
      <c r="K130" s="200">
        <f>IFERROR(__xludf.DUMMYFUNCTION("""COMPUTED_VALUE"""),3.0)</f>
        <v>3</v>
      </c>
      <c r="L130" s="201" t="str">
        <f>IFERROR(__xludf.DUMMYFUNCTION("""COMPUTED_VALUE"""),"Biking")</f>
        <v>Biking</v>
      </c>
    </row>
    <row r="131">
      <c r="A131" s="190" t="str">
        <f>IFERROR(__xludf.DUMMYFUNCTION("""COMPUTED_VALUE"""),"Age of Mythology: Retold")</f>
        <v>Age of Mythology: Retold</v>
      </c>
      <c r="B131" s="195" t="str">
        <f>IFERROR(__xludf.DUMMYFUNCTION("""COMPUTED_VALUE"""),"Xbox / PC")</f>
        <v>Xbox / PC</v>
      </c>
      <c r="C131" s="196" t="str">
        <f>IFERROR(__xludf.DUMMYFUNCTION("""COMPUTED_VALUE"""),"Yes")</f>
        <v>Yes</v>
      </c>
      <c r="D131" s="196" t="str">
        <f>IFERROR(__xludf.DUMMYFUNCTION("""COMPUTED_VALUE"""),"Active")</f>
        <v>Active</v>
      </c>
      <c r="E131" s="197">
        <f>IFERROR(__xludf.DUMMYFUNCTION("""COMPUTED_VALUE"""),45539.0)</f>
        <v>45539</v>
      </c>
      <c r="F131" s="198"/>
      <c r="G131" s="199">
        <f>IFERROR(__xludf.DUMMYFUNCTION("""COMPUTED_VALUE"""),13.366666666666667)</f>
        <v>13.36666667</v>
      </c>
      <c r="H131" s="197">
        <f>IFERROR(__xludf.DUMMYFUNCTION("""COMPUTED_VALUE"""),45539.0)</f>
        <v>45539</v>
      </c>
      <c r="I131" s="199">
        <f>IFERROR(__xludf.DUMMYFUNCTION("""COMPUTED_VALUE"""),0.0)</f>
        <v>0</v>
      </c>
      <c r="J131" s="200">
        <f>IFERROR(__xludf.DUMMYFUNCTION("""COMPUTED_VALUE"""),84.0)</f>
        <v>84</v>
      </c>
      <c r="K131" s="200">
        <f>IFERROR(__xludf.DUMMYFUNCTION("""COMPUTED_VALUE"""),21.0)</f>
        <v>21</v>
      </c>
      <c r="L131" s="201" t="str">
        <f>IFERROR(__xludf.DUMMYFUNCTION("""COMPUTED_VALUE"""),"Strategy")</f>
        <v>Strategy</v>
      </c>
    </row>
    <row r="132">
      <c r="A132" s="190" t="str">
        <f>IFERROR(__xludf.DUMMYFUNCTION("""COMPUTED_VALUE"""),"Football Manager 2024")</f>
        <v>Football Manager 2024</v>
      </c>
      <c r="B132" s="195" t="str">
        <f>IFERROR(__xludf.DUMMYFUNCTION("""COMPUTED_VALUE"""),"Xbox / PC")</f>
        <v>Xbox / PC</v>
      </c>
      <c r="C132" s="196" t="str">
        <f>IFERROR(__xludf.DUMMYFUNCTION("""COMPUTED_VALUE"""),"Yes")</f>
        <v>Yes</v>
      </c>
      <c r="D132" s="196" t="str">
        <f>IFERROR(__xludf.DUMMYFUNCTION("""COMPUTED_VALUE"""),"Active")</f>
        <v>Active</v>
      </c>
      <c r="E132" s="197">
        <f>IFERROR(__xludf.DUMMYFUNCTION("""COMPUTED_VALUE"""),45236.0)</f>
        <v>45236</v>
      </c>
      <c r="F132" s="198"/>
      <c r="G132" s="199">
        <f>IFERROR(__xludf.DUMMYFUNCTION("""COMPUTED_VALUE"""),23.3)</f>
        <v>23.3</v>
      </c>
      <c r="H132" s="197">
        <f>IFERROR(__xludf.DUMMYFUNCTION("""COMPUTED_VALUE"""),45236.0)</f>
        <v>45236</v>
      </c>
      <c r="I132" s="199">
        <f>IFERROR(__xludf.DUMMYFUNCTION("""COMPUTED_VALUE"""),0.0)</f>
        <v>0</v>
      </c>
      <c r="J132" s="200">
        <f>IFERROR(__xludf.DUMMYFUNCTION("""COMPUTED_VALUE"""),84.0)</f>
        <v>84</v>
      </c>
      <c r="K132" s="200">
        <f>IFERROR(__xludf.DUMMYFUNCTION("""COMPUTED_VALUE"""),11.0)</f>
        <v>11</v>
      </c>
      <c r="L132" s="201" t="str">
        <f>IFERROR(__xludf.DUMMYFUNCTION("""COMPUTED_VALUE"""),"Simulation / Soccer")</f>
        <v>Simulation / Soccer</v>
      </c>
    </row>
    <row r="133">
      <c r="A133" s="190" t="str">
        <f>IFERROR(__xludf.DUMMYFUNCTION("""COMPUTED_VALUE"""),"Starfield")</f>
        <v>Starfield</v>
      </c>
      <c r="B133" s="195" t="str">
        <f>IFERROR(__xludf.DUMMYFUNCTION("""COMPUTED_VALUE"""),"Xbox / PC")</f>
        <v>Xbox / PC</v>
      </c>
      <c r="C133" s="196" t="str">
        <f>IFERROR(__xludf.DUMMYFUNCTION("""COMPUTED_VALUE"""),"Yes")</f>
        <v>Yes</v>
      </c>
      <c r="D133" s="196" t="str">
        <f>IFERROR(__xludf.DUMMYFUNCTION("""COMPUTED_VALUE"""),"Active")</f>
        <v>Active</v>
      </c>
      <c r="E133" s="197">
        <f>IFERROR(__xludf.DUMMYFUNCTION("""COMPUTED_VALUE"""),45175.0)</f>
        <v>45175</v>
      </c>
      <c r="F133" s="198"/>
      <c r="G133" s="199">
        <f>IFERROR(__xludf.DUMMYFUNCTION("""COMPUTED_VALUE"""),25.3)</f>
        <v>25.3</v>
      </c>
      <c r="H133" s="197">
        <f>IFERROR(__xludf.DUMMYFUNCTION("""COMPUTED_VALUE"""),45175.0)</f>
        <v>45175</v>
      </c>
      <c r="I133" s="199">
        <f>IFERROR(__xludf.DUMMYFUNCTION("""COMPUTED_VALUE"""),0.0)</f>
        <v>0</v>
      </c>
      <c r="J133" s="200">
        <f>IFERROR(__xludf.DUMMYFUNCTION("""COMPUTED_VALUE"""),84.0)</f>
        <v>84</v>
      </c>
      <c r="K133" s="200">
        <f>IFERROR(__xludf.DUMMYFUNCTION("""COMPUTED_VALUE"""),20.0)</f>
        <v>20</v>
      </c>
      <c r="L133" s="201" t="str">
        <f>IFERROR(__xludf.DUMMYFUNCTION("""COMPUTED_VALUE"""),"RPG / Action-Adventure")</f>
        <v>RPG / Action-Adventure</v>
      </c>
    </row>
    <row r="134">
      <c r="A134" s="190" t="str">
        <f>IFERROR(__xludf.DUMMYFUNCTION("""COMPUTED_VALUE"""),"Mortal Kombat 11")</f>
        <v>Mortal Kombat 11</v>
      </c>
      <c r="B134" s="195" t="str">
        <f>IFERROR(__xludf.DUMMYFUNCTION("""COMPUTED_VALUE"""),"Xbox / PC")</f>
        <v>Xbox / PC</v>
      </c>
      <c r="C134" s="196" t="str">
        <f>IFERROR(__xludf.DUMMYFUNCTION("""COMPUTED_VALUE"""),"Yes")</f>
        <v>Yes</v>
      </c>
      <c r="D134" s="196" t="str">
        <f>IFERROR(__xludf.DUMMYFUNCTION("""COMPUTED_VALUE"""),"Active")</f>
        <v>Active</v>
      </c>
      <c r="E134" s="197">
        <f>IFERROR(__xludf.DUMMYFUNCTION("""COMPUTED_VALUE"""),44546.0)</f>
        <v>44546</v>
      </c>
      <c r="F134" s="198"/>
      <c r="G134" s="199">
        <f>IFERROR(__xludf.DUMMYFUNCTION("""COMPUTED_VALUE"""),45.96666666666667)</f>
        <v>45.96666667</v>
      </c>
      <c r="H134" s="197">
        <f>IFERROR(__xludf.DUMMYFUNCTION("""COMPUTED_VALUE"""),43578.0)</f>
        <v>43578</v>
      </c>
      <c r="I134" s="199">
        <f>IFERROR(__xludf.DUMMYFUNCTION("""COMPUTED_VALUE"""),2.647222222222222)</f>
        <v>2.647222222</v>
      </c>
      <c r="J134" s="200">
        <f>IFERROR(__xludf.DUMMYFUNCTION("""COMPUTED_VALUE"""),84.0)</f>
        <v>84</v>
      </c>
      <c r="K134" s="200">
        <f>IFERROR(__xludf.DUMMYFUNCTION("""COMPUTED_VALUE"""),6.0)</f>
        <v>6</v>
      </c>
      <c r="L134" s="201" t="str">
        <f>IFERROR(__xludf.DUMMYFUNCTION("""COMPUTED_VALUE"""),"Fighting")</f>
        <v>Fighting</v>
      </c>
    </row>
    <row r="135">
      <c r="A135" s="190" t="str">
        <f>IFERROR(__xludf.DUMMYFUNCTION("""COMPUTED_VALUE"""),"Syndicate (1993)")</f>
        <v>Syndicate (1993)</v>
      </c>
      <c r="B135" s="195" t="str">
        <f>IFERROR(__xludf.DUMMYFUNCTION("""COMPUTED_VALUE"""),"PC")</f>
        <v>PC</v>
      </c>
      <c r="C135" s="196"/>
      <c r="D135" s="196" t="str">
        <f>IFERROR(__xludf.DUMMYFUNCTION("""COMPUTED_VALUE"""),"Active")</f>
        <v>Active</v>
      </c>
      <c r="E135" s="197">
        <f>IFERROR(__xludf.DUMMYFUNCTION("""COMPUTED_VALUE"""),44425.0)</f>
        <v>44425</v>
      </c>
      <c r="F135" s="198"/>
      <c r="G135" s="199">
        <f>IFERROR(__xludf.DUMMYFUNCTION("""COMPUTED_VALUE"""),49.93333333333334)</f>
        <v>49.93333333</v>
      </c>
      <c r="H135" s="197">
        <f>IFERROR(__xludf.DUMMYFUNCTION("""COMPUTED_VALUE"""),34129.0)</f>
        <v>34129</v>
      </c>
      <c r="I135" s="199">
        <f>IFERROR(__xludf.DUMMYFUNCTION("""COMPUTED_VALUE"""),28.18888888888889)</f>
        <v>28.18888889</v>
      </c>
      <c r="J135" s="200">
        <f>IFERROR(__xludf.DUMMYFUNCTION("""COMPUTED_VALUE"""),84.00000000000001)</f>
        <v>84</v>
      </c>
      <c r="K135" s="200">
        <f>IFERROR(__xludf.DUMMYFUNCTION("""COMPUTED_VALUE"""),12.0)</f>
        <v>12</v>
      </c>
      <c r="L135" s="201" t="str">
        <f>IFERROR(__xludf.DUMMYFUNCTION("""COMPUTED_VALUE"""),"Action / Strategy / RPG")</f>
        <v>Action / Strategy / RPG</v>
      </c>
    </row>
    <row r="136">
      <c r="A136" s="190" t="str">
        <f>IFERROR(__xludf.DUMMYFUNCTION("""COMPUTED_VALUE"""),"SimCity 4: Deluxe Party Edition")</f>
        <v>SimCity 4: Deluxe Party Edition</v>
      </c>
      <c r="B136" s="195" t="str">
        <f>IFERROR(__xludf.DUMMYFUNCTION("""COMPUTED_VALUE"""),"PC")</f>
        <v>PC</v>
      </c>
      <c r="C136" s="196"/>
      <c r="D136" s="196" t="str">
        <f>IFERROR(__xludf.DUMMYFUNCTION("""COMPUTED_VALUE"""),"Active")</f>
        <v>Active</v>
      </c>
      <c r="E136" s="197">
        <f>IFERROR(__xludf.DUMMYFUNCTION("""COMPUTED_VALUE"""),44273.0)</f>
        <v>44273</v>
      </c>
      <c r="F136" s="198"/>
      <c r="G136" s="199">
        <f>IFERROR(__xludf.DUMMYFUNCTION("""COMPUTED_VALUE"""),54.900000000000006)</f>
        <v>54.9</v>
      </c>
      <c r="H136" s="197">
        <f>IFERROR(__xludf.DUMMYFUNCTION("""COMPUTED_VALUE"""),37633.0)</f>
        <v>37633</v>
      </c>
      <c r="I136" s="199">
        <f>IFERROR(__xludf.DUMMYFUNCTION("""COMPUTED_VALUE"""),18.183333333333334)</f>
        <v>18.18333333</v>
      </c>
      <c r="J136" s="200">
        <f>IFERROR(__xludf.DUMMYFUNCTION("""COMPUTED_VALUE"""),84.0)</f>
        <v>84</v>
      </c>
      <c r="K136" s="200">
        <f>IFERROR(__xludf.DUMMYFUNCTION("""COMPUTED_VALUE"""),12.0)</f>
        <v>12</v>
      </c>
      <c r="L136" s="201" t="str">
        <f>IFERROR(__xludf.DUMMYFUNCTION("""COMPUTED_VALUE"""),"Simulation")</f>
        <v>Simulation</v>
      </c>
    </row>
    <row r="137">
      <c r="A137" s="190" t="str">
        <f>IFERROR(__xludf.DUMMYFUNCTION("""COMPUTED_VALUE"""),"SPORE")</f>
        <v>SPORE</v>
      </c>
      <c r="B137" s="195" t="str">
        <f>IFERROR(__xludf.DUMMYFUNCTION("""COMPUTED_VALUE"""),"PC")</f>
        <v>PC</v>
      </c>
      <c r="C137" s="196"/>
      <c r="D137" s="196" t="str">
        <f>IFERROR(__xludf.DUMMYFUNCTION("""COMPUTED_VALUE"""),"Active")</f>
        <v>Active</v>
      </c>
      <c r="E137" s="197">
        <f>IFERROR(__xludf.DUMMYFUNCTION("""COMPUTED_VALUE"""),44273.0)</f>
        <v>44273</v>
      </c>
      <c r="F137" s="198"/>
      <c r="G137" s="199">
        <f>IFERROR(__xludf.DUMMYFUNCTION("""COMPUTED_VALUE"""),54.900000000000006)</f>
        <v>54.9</v>
      </c>
      <c r="H137" s="197">
        <f>IFERROR(__xludf.DUMMYFUNCTION("""COMPUTED_VALUE"""),39698.0)</f>
        <v>39698</v>
      </c>
      <c r="I137" s="199">
        <f>IFERROR(__xludf.DUMMYFUNCTION("""COMPUTED_VALUE"""),12.530555555555555)</f>
        <v>12.53055556</v>
      </c>
      <c r="J137" s="200">
        <f>IFERROR(__xludf.DUMMYFUNCTION("""COMPUTED_VALUE"""),84.0)</f>
        <v>84</v>
      </c>
      <c r="K137" s="200">
        <f>IFERROR(__xludf.DUMMYFUNCTION("""COMPUTED_VALUE"""),12.5)</f>
        <v>12.5</v>
      </c>
      <c r="L137" s="201" t="str">
        <f>IFERROR(__xludf.DUMMYFUNCTION("""COMPUTED_VALUE"""),"Strategy / Adventure / Simulation")</f>
        <v>Strategy / Adventure / Simulation</v>
      </c>
    </row>
    <row r="138">
      <c r="A138" s="190" t="str">
        <f>IFERROR(__xludf.DUMMYFUNCTION("""COMPUTED_VALUE"""),"Battlefield 3: Premium Edition")</f>
        <v>Battlefield 3: Premium Edition</v>
      </c>
      <c r="B138" s="195" t="str">
        <f>IFERROR(__xludf.DUMMYFUNCTION("""COMPUTED_VALUE"""),"Xbox / PC")</f>
        <v>Xbox / PC</v>
      </c>
      <c r="C138" s="196"/>
      <c r="D138" s="196" t="str">
        <f>IFERROR(__xludf.DUMMYFUNCTION("""COMPUTED_VALUE"""),"Active")</f>
        <v>Active</v>
      </c>
      <c r="E138" s="197">
        <f>IFERROR(__xludf.DUMMYFUNCTION("""COMPUTED_VALUE"""),44145.0)</f>
        <v>44145</v>
      </c>
      <c r="F138" s="198"/>
      <c r="G138" s="199">
        <f>IFERROR(__xludf.DUMMYFUNCTION("""COMPUTED_VALUE"""),59.166666666666664)</f>
        <v>59.16666667</v>
      </c>
      <c r="H138" s="197">
        <f>IFERROR(__xludf.DUMMYFUNCTION("""COMPUTED_VALUE"""),40841.0)</f>
        <v>40841</v>
      </c>
      <c r="I138" s="199">
        <f>IFERROR(__xludf.DUMMYFUNCTION("""COMPUTED_VALUE"""),9.041666666666666)</f>
        <v>9.041666667</v>
      </c>
      <c r="J138" s="200">
        <f>IFERROR(__xludf.DUMMYFUNCTION("""COMPUTED_VALUE"""),84.0)</f>
        <v>84</v>
      </c>
      <c r="K138" s="200">
        <f>IFERROR(__xludf.DUMMYFUNCTION("""COMPUTED_VALUE"""),6.0)</f>
        <v>6</v>
      </c>
      <c r="L138" s="201" t="str">
        <f>IFERROR(__xludf.DUMMYFUNCTION("""COMPUTED_VALUE"""),"First-Person Shooter / Vehicular Combat")</f>
        <v>First-Person Shooter / Vehicular Combat</v>
      </c>
    </row>
    <row r="139">
      <c r="A139" s="190" t="str">
        <f>IFERROR(__xludf.DUMMYFUNCTION("""COMPUTED_VALUE"""),"Crysis 2: Maximum Edition")</f>
        <v>Crysis 2: Maximum Edition</v>
      </c>
      <c r="B139" s="195" t="str">
        <f>IFERROR(__xludf.DUMMYFUNCTION("""COMPUTED_VALUE"""),"Xbox / PC")</f>
        <v>Xbox / PC</v>
      </c>
      <c r="C139" s="196"/>
      <c r="D139" s="196" t="str">
        <f>IFERROR(__xludf.DUMMYFUNCTION("""COMPUTED_VALUE"""),"Active")</f>
        <v>Active</v>
      </c>
      <c r="E139" s="197">
        <f>IFERROR(__xludf.DUMMYFUNCTION("""COMPUTED_VALUE"""),44145.0)</f>
        <v>44145</v>
      </c>
      <c r="F139" s="198"/>
      <c r="G139" s="199">
        <f>IFERROR(__xludf.DUMMYFUNCTION("""COMPUTED_VALUE"""),59.166666666666664)</f>
        <v>59.16666667</v>
      </c>
      <c r="H139" s="197">
        <f>IFERROR(__xludf.DUMMYFUNCTION("""COMPUTED_VALUE"""),40624.0)</f>
        <v>40624</v>
      </c>
      <c r="I139" s="199">
        <f>IFERROR(__xludf.DUMMYFUNCTION("""COMPUTED_VALUE"""),9.633333333333333)</f>
        <v>9.633333333</v>
      </c>
      <c r="J139" s="200">
        <f>IFERROR(__xludf.DUMMYFUNCTION("""COMPUTED_VALUE"""),84.0)</f>
        <v>84</v>
      </c>
      <c r="K139" s="200">
        <f>IFERROR(__xludf.DUMMYFUNCTION("""COMPUTED_VALUE"""),9.0)</f>
        <v>9</v>
      </c>
      <c r="L139" s="201" t="str">
        <f>IFERROR(__xludf.DUMMYFUNCTION("""COMPUTED_VALUE"""),"First-Person Shooter")</f>
        <v>First-Person Shooter</v>
      </c>
    </row>
    <row r="140">
      <c r="A140" s="190" t="str">
        <f>IFERROR(__xludf.DUMMYFUNCTION("""COMPUTED_VALUE"""),"Deep Rock Galactic")</f>
        <v>Deep Rock Galactic</v>
      </c>
      <c r="B140" s="195" t="str">
        <f>IFERROR(__xludf.DUMMYFUNCTION("""COMPUTED_VALUE"""),"Xbox / PC")</f>
        <v>Xbox / PC</v>
      </c>
      <c r="C140" s="196" t="str">
        <f>IFERROR(__xludf.DUMMYFUNCTION("""COMPUTED_VALUE"""),"M+KB")</f>
        <v>M+KB</v>
      </c>
      <c r="D140" s="196" t="str">
        <f>IFERROR(__xludf.DUMMYFUNCTION("""COMPUTED_VALUE"""),"Active")</f>
        <v>Active</v>
      </c>
      <c r="E140" s="197">
        <f>IFERROR(__xludf.DUMMYFUNCTION("""COMPUTED_VALUE"""),44140.0)</f>
        <v>44140</v>
      </c>
      <c r="F140" s="198"/>
      <c r="G140" s="199">
        <f>IFERROR(__xludf.DUMMYFUNCTION("""COMPUTED_VALUE"""),59.333333333333336)</f>
        <v>59.33333333</v>
      </c>
      <c r="H140" s="197">
        <f>IFERROR(__xludf.DUMMYFUNCTION("""COMPUTED_VALUE"""),43964.0)</f>
        <v>43964</v>
      </c>
      <c r="I140" s="199">
        <f>IFERROR(__xludf.DUMMYFUNCTION("""COMPUTED_VALUE"""),0.4777777777777778)</f>
        <v>0.4777777778</v>
      </c>
      <c r="J140" s="200">
        <f>IFERROR(__xludf.DUMMYFUNCTION("""COMPUTED_VALUE"""),84.0)</f>
        <v>84</v>
      </c>
      <c r="K140" s="200">
        <f>IFERROR(__xludf.DUMMYFUNCTION("""COMPUTED_VALUE"""),119.0)</f>
        <v>119</v>
      </c>
      <c r="L140" s="201" t="str">
        <f>IFERROR(__xludf.DUMMYFUNCTION("""COMPUTED_VALUE"""),"First-Person Shooter")</f>
        <v>First-Person Shooter</v>
      </c>
    </row>
    <row r="141">
      <c r="A141" s="190" t="str">
        <f>IFERROR(__xludf.DUMMYFUNCTION("""COMPUTED_VALUE"""),"Day of the Tentacle Remastered")</f>
        <v>Day of the Tentacle Remastered</v>
      </c>
      <c r="B141" s="195" t="str">
        <f>IFERROR(__xludf.DUMMYFUNCTION("""COMPUTED_VALUE"""),"Xbox / PC")</f>
        <v>Xbox / PC</v>
      </c>
      <c r="C141" s="196"/>
      <c r="D141" s="196" t="str">
        <f>IFERROR(__xludf.DUMMYFUNCTION("""COMPUTED_VALUE"""),"Active")</f>
        <v>Active</v>
      </c>
      <c r="E141" s="197">
        <f>IFERROR(__xludf.DUMMYFUNCTION("""COMPUTED_VALUE"""),44133.0)</f>
        <v>44133</v>
      </c>
      <c r="F141" s="198"/>
      <c r="G141" s="199">
        <f>IFERROR(__xludf.DUMMYFUNCTION("""COMPUTED_VALUE"""),59.53333333333333)</f>
        <v>59.53333333</v>
      </c>
      <c r="H141" s="197">
        <f>IFERROR(__xludf.DUMMYFUNCTION("""COMPUTED_VALUE"""),42451.0)</f>
        <v>42451</v>
      </c>
      <c r="I141" s="199">
        <f>IFERROR(__xludf.DUMMYFUNCTION("""COMPUTED_VALUE"""),4.602777777777778)</f>
        <v>4.602777778</v>
      </c>
      <c r="J141" s="200">
        <f>IFERROR(__xludf.DUMMYFUNCTION("""COMPUTED_VALUE"""),84.0)</f>
        <v>84</v>
      </c>
      <c r="K141" s="200">
        <f>IFERROR(__xludf.DUMMYFUNCTION("""COMPUTED_VALUE"""),4.5)</f>
        <v>4.5</v>
      </c>
      <c r="L141" s="201" t="str">
        <f>IFERROR(__xludf.DUMMYFUNCTION("""COMPUTED_VALUE"""),"Adventure")</f>
        <v>Adventure</v>
      </c>
    </row>
    <row r="142">
      <c r="A142" s="190" t="str">
        <f>IFERROR(__xludf.DUMMYFUNCTION("""COMPUTED_VALUE"""),"Frostpunk")</f>
        <v>Frostpunk</v>
      </c>
      <c r="B142" s="195" t="str">
        <f>IFERROR(__xludf.DUMMYFUNCTION("""COMPUTED_VALUE"""),"Xbox / PC")</f>
        <v>Xbox / PC</v>
      </c>
      <c r="C142" s="196" t="str">
        <f>IFERROR(__xludf.DUMMYFUNCTION("""COMPUTED_VALUE"""),"Touch Controls")</f>
        <v>Touch Controls</v>
      </c>
      <c r="D142" s="196" t="str">
        <f>IFERROR(__xludf.DUMMYFUNCTION("""COMPUTED_VALUE"""),"Active")</f>
        <v>Active</v>
      </c>
      <c r="E142" s="197">
        <f>IFERROR(__xludf.DUMMYFUNCTION("""COMPUTED_VALUE"""),43839.0)</f>
        <v>43839</v>
      </c>
      <c r="F142" s="198"/>
      <c r="G142" s="199">
        <f>IFERROR(__xludf.DUMMYFUNCTION("""COMPUTED_VALUE"""),69.2)</f>
        <v>69.2</v>
      </c>
      <c r="H142" s="197">
        <f>IFERROR(__xludf.DUMMYFUNCTION("""COMPUTED_VALUE"""),43214.0)</f>
        <v>43214</v>
      </c>
      <c r="I142" s="199">
        <f>IFERROR(__xludf.DUMMYFUNCTION("""COMPUTED_VALUE"""),1.7083333333333333)</f>
        <v>1.708333333</v>
      </c>
      <c r="J142" s="200">
        <f>IFERROR(__xludf.DUMMYFUNCTION("""COMPUTED_VALUE"""),84.0)</f>
        <v>84</v>
      </c>
      <c r="K142" s="200">
        <f>IFERROR(__xludf.DUMMYFUNCTION("""COMPUTED_VALUE"""),10.0)</f>
        <v>10</v>
      </c>
      <c r="L142" s="201" t="str">
        <f>IFERROR(__xludf.DUMMYFUNCTION("""COMPUTED_VALUE"""),"Simulation")</f>
        <v>Simulation</v>
      </c>
    </row>
    <row r="143">
      <c r="A143" s="190" t="str">
        <f>IFERROR(__xludf.DUMMYFUNCTION("""COMPUTED_VALUE"""),"Age of Empires II: Definitive Edition")</f>
        <v>Age of Empires II: Definitive Edition</v>
      </c>
      <c r="B143" s="195" t="str">
        <f>IFERROR(__xludf.DUMMYFUNCTION("""COMPUTED_VALUE"""),"Xbox / PC")</f>
        <v>Xbox / PC</v>
      </c>
      <c r="C143" s="196"/>
      <c r="D143" s="196" t="str">
        <f>IFERROR(__xludf.DUMMYFUNCTION("""COMPUTED_VALUE"""),"Active")</f>
        <v>Active</v>
      </c>
      <c r="E143" s="197">
        <f>IFERROR(__xludf.DUMMYFUNCTION("""COMPUTED_VALUE"""),43783.0)</f>
        <v>43783</v>
      </c>
      <c r="F143" s="198"/>
      <c r="G143" s="199">
        <f>IFERROR(__xludf.DUMMYFUNCTION("""COMPUTED_VALUE"""),71.03333333333333)</f>
        <v>71.03333333</v>
      </c>
      <c r="H143" s="197">
        <f>IFERROR(__xludf.DUMMYFUNCTION("""COMPUTED_VALUE"""),43783.0)</f>
        <v>43783</v>
      </c>
      <c r="I143" s="199">
        <f>IFERROR(__xludf.DUMMYFUNCTION("""COMPUTED_VALUE"""),0.0)</f>
        <v>0</v>
      </c>
      <c r="J143" s="200">
        <f>IFERROR(__xludf.DUMMYFUNCTION("""COMPUTED_VALUE"""),84.0)</f>
        <v>84</v>
      </c>
      <c r="K143" s="200">
        <f>IFERROR(__xludf.DUMMYFUNCTION("""COMPUTED_VALUE"""),35.5)</f>
        <v>35.5</v>
      </c>
      <c r="L143" s="201" t="str">
        <f>IFERROR(__xludf.DUMMYFUNCTION("""COMPUTED_VALUE"""),"Strategy")</f>
        <v>Strategy</v>
      </c>
    </row>
    <row r="144">
      <c r="A144" s="190" t="str">
        <f>IFERROR(__xludf.DUMMYFUNCTION("""COMPUTED_VALUE"""),"Fallout: New Vegas - Ultimate Edition")</f>
        <v>Fallout: New Vegas - Ultimate Edition</v>
      </c>
      <c r="B144" s="195" t="str">
        <f>IFERROR(__xludf.DUMMYFUNCTION("""COMPUTED_VALUE"""),"Xbox / PC")</f>
        <v>Xbox / PC</v>
      </c>
      <c r="C144" s="196" t="str">
        <f>IFERROR(__xludf.DUMMYFUNCTION("""COMPUTED_VALUE"""),"Yes")</f>
        <v>Yes</v>
      </c>
      <c r="D144" s="196" t="str">
        <f>IFERROR(__xludf.DUMMYFUNCTION("""COMPUTED_VALUE"""),"Active")</f>
        <v>Active</v>
      </c>
      <c r="E144" s="197">
        <f>IFERROR(__xludf.DUMMYFUNCTION("""COMPUTED_VALUE"""),43755.0)</f>
        <v>43755</v>
      </c>
      <c r="F144" s="198"/>
      <c r="G144" s="199">
        <f>IFERROR(__xludf.DUMMYFUNCTION("""COMPUTED_VALUE"""),71.93333333333334)</f>
        <v>71.93333333</v>
      </c>
      <c r="H144" s="197">
        <f>IFERROR(__xludf.DUMMYFUNCTION("""COMPUTED_VALUE"""),40470.0)</f>
        <v>40470</v>
      </c>
      <c r="I144" s="199">
        <f>IFERROR(__xludf.DUMMYFUNCTION("""COMPUTED_VALUE"""),8.994444444444444)</f>
        <v>8.994444444</v>
      </c>
      <c r="J144" s="200">
        <f>IFERROR(__xludf.DUMMYFUNCTION("""COMPUTED_VALUE"""),84.0)</f>
        <v>84</v>
      </c>
      <c r="K144" s="200">
        <f>IFERROR(__xludf.DUMMYFUNCTION("""COMPUTED_VALUE"""),27.5)</f>
        <v>27.5</v>
      </c>
      <c r="L144" s="201" t="str">
        <f>IFERROR(__xludf.DUMMYFUNCTION("""COMPUTED_VALUE"""),"RPG / First-Person Shooter")</f>
        <v>RPG / First-Person Shooter</v>
      </c>
    </row>
    <row r="145">
      <c r="A145" s="190" t="str">
        <f>IFERROR(__xludf.DUMMYFUNCTION("""COMPUTED_VALUE"""),"Moonlighter")</f>
        <v>Moonlighter</v>
      </c>
      <c r="B145" s="195" t="str">
        <f>IFERROR(__xludf.DUMMYFUNCTION("""COMPUTED_VALUE"""),"Xbox / PC")</f>
        <v>Xbox / PC</v>
      </c>
      <c r="C145" s="196" t="str">
        <f>IFERROR(__xludf.DUMMYFUNCTION("""COMPUTED_VALUE"""),"Yes")</f>
        <v>Yes</v>
      </c>
      <c r="D145" s="196" t="str">
        <f>IFERROR(__xludf.DUMMYFUNCTION("""COMPUTED_VALUE"""),"Active")</f>
        <v>Active</v>
      </c>
      <c r="E145" s="197">
        <f>IFERROR(__xludf.DUMMYFUNCTION("""COMPUTED_VALUE"""),43625.0)</f>
        <v>43625</v>
      </c>
      <c r="F145" s="198"/>
      <c r="G145" s="199">
        <f>IFERROR(__xludf.DUMMYFUNCTION("""COMPUTED_VALUE"""),76.19999999999999)</f>
        <v>76.2</v>
      </c>
      <c r="H145" s="197">
        <f>IFERROR(__xludf.DUMMYFUNCTION("""COMPUTED_VALUE"""),43249.0)</f>
        <v>43249</v>
      </c>
      <c r="I145" s="199">
        <f>IFERROR(__xludf.DUMMYFUNCTION("""COMPUTED_VALUE"""),1.0277777777777777)</f>
        <v>1.027777778</v>
      </c>
      <c r="J145" s="200">
        <f>IFERROR(__xludf.DUMMYFUNCTION("""COMPUTED_VALUE"""),84.0)</f>
        <v>84</v>
      </c>
      <c r="K145" s="200">
        <f>IFERROR(__xludf.DUMMYFUNCTION("""COMPUTED_VALUE"""),14.0)</f>
        <v>14</v>
      </c>
      <c r="L145" s="201" t="str">
        <f>IFERROR(__xludf.DUMMYFUNCTION("""COMPUTED_VALUE"""),"Action / RPG")</f>
        <v>Action / RPG</v>
      </c>
    </row>
    <row r="146">
      <c r="A146" s="190" t="str">
        <f>IFERROR(__xludf.DUMMYFUNCTION("""COMPUTED_VALUE"""),"Gears of War 4")</f>
        <v>Gears of War 4</v>
      </c>
      <c r="B146" s="195" t="str">
        <f>IFERROR(__xludf.DUMMYFUNCTION("""COMPUTED_VALUE"""),"Xbox / PC")</f>
        <v>Xbox / PC</v>
      </c>
      <c r="C146" s="196" t="str">
        <f>IFERROR(__xludf.DUMMYFUNCTION("""COMPUTED_VALUE"""),"Yes")</f>
        <v>Yes</v>
      </c>
      <c r="D146" s="196" t="str">
        <f>IFERROR(__xludf.DUMMYFUNCTION("""COMPUTED_VALUE"""),"Active")</f>
        <v>Active</v>
      </c>
      <c r="E146" s="197">
        <f>IFERROR(__xludf.DUMMYFUNCTION("""COMPUTED_VALUE"""),43070.0)</f>
        <v>43070</v>
      </c>
      <c r="F146" s="198"/>
      <c r="G146" s="199">
        <f>IFERROR(__xludf.DUMMYFUNCTION("""COMPUTED_VALUE"""),94.46666666666667)</f>
        <v>94.46666667</v>
      </c>
      <c r="H146" s="197">
        <f>IFERROR(__xludf.DUMMYFUNCTION("""COMPUTED_VALUE"""),42650.0)</f>
        <v>42650</v>
      </c>
      <c r="I146" s="199">
        <f>IFERROR(__xludf.DUMMYFUNCTION("""COMPUTED_VALUE"""),1.15)</f>
        <v>1.15</v>
      </c>
      <c r="J146" s="200">
        <f>IFERROR(__xludf.DUMMYFUNCTION("""COMPUTED_VALUE"""),84.0)</f>
        <v>84</v>
      </c>
      <c r="K146" s="200">
        <f>IFERROR(__xludf.DUMMYFUNCTION("""COMPUTED_VALUE"""),9.0)</f>
        <v>9</v>
      </c>
      <c r="L146" s="201" t="str">
        <f>IFERROR(__xludf.DUMMYFUNCTION("""COMPUTED_VALUE"""),"Shooter")</f>
        <v>Shooter</v>
      </c>
    </row>
    <row r="147">
      <c r="A147" s="190" t="str">
        <f>IFERROR(__xludf.DUMMYFUNCTION("""COMPUTED_VALUE"""),"Tunic")</f>
        <v>Tunic</v>
      </c>
      <c r="B147" s="195" t="str">
        <f>IFERROR(__xludf.DUMMYFUNCTION("""COMPUTED_VALUE"""),"Xbox / PC")</f>
        <v>Xbox / PC</v>
      </c>
      <c r="C147" s="196" t="str">
        <f>IFERROR(__xludf.DUMMYFUNCTION("""COMPUTED_VALUE"""),"Yes")</f>
        <v>Yes</v>
      </c>
      <c r="D147" s="196" t="str">
        <f>IFERROR(__xludf.DUMMYFUNCTION("""COMPUTED_VALUE"""),"Active")</f>
        <v>Active</v>
      </c>
      <c r="E147" s="197">
        <f>IFERROR(__xludf.DUMMYFUNCTION("""COMPUTED_VALUE"""),44636.0)</f>
        <v>44636</v>
      </c>
      <c r="F147" s="198"/>
      <c r="G147" s="199">
        <f>IFERROR(__xludf.DUMMYFUNCTION("""COMPUTED_VALUE"""),42.96666666666667)</f>
        <v>42.96666667</v>
      </c>
      <c r="H147" s="197">
        <f>IFERROR(__xludf.DUMMYFUNCTION("""COMPUTED_VALUE"""),44636.0)</f>
        <v>44636</v>
      </c>
      <c r="I147" s="199">
        <f>IFERROR(__xludf.DUMMYFUNCTION("""COMPUTED_VALUE"""),0.0)</f>
        <v>0</v>
      </c>
      <c r="J147" s="200">
        <f>IFERROR(__xludf.DUMMYFUNCTION("""COMPUTED_VALUE"""),83.5)</f>
        <v>83.5</v>
      </c>
      <c r="K147" s="200">
        <f>IFERROR(__xludf.DUMMYFUNCTION("""COMPUTED_VALUE"""),12.0)</f>
        <v>12</v>
      </c>
      <c r="L147" s="201" t="str">
        <f>IFERROR(__xludf.DUMMYFUNCTION("""COMPUTED_VALUE"""),"Action-Adventure")</f>
        <v>Action-Adventure</v>
      </c>
    </row>
    <row r="148">
      <c r="A148" s="190" t="str">
        <f>IFERROR(__xludf.DUMMYFUNCTION("""COMPUTED_VALUE"""),"Halo: Infinite")</f>
        <v>Halo: Infinite</v>
      </c>
      <c r="B148" s="195" t="str">
        <f>IFERROR(__xludf.DUMMYFUNCTION("""COMPUTED_VALUE"""),"Xbox / PC")</f>
        <v>Xbox / PC</v>
      </c>
      <c r="C148" s="196" t="str">
        <f>IFERROR(__xludf.DUMMYFUNCTION("""COMPUTED_VALUE"""),"M+KB")</f>
        <v>M+KB</v>
      </c>
      <c r="D148" s="196" t="str">
        <f>IFERROR(__xludf.DUMMYFUNCTION("""COMPUTED_VALUE"""),"Active")</f>
        <v>Active</v>
      </c>
      <c r="E148" s="197">
        <f>IFERROR(__xludf.DUMMYFUNCTION("""COMPUTED_VALUE"""),44538.0)</f>
        <v>44538</v>
      </c>
      <c r="F148" s="198"/>
      <c r="G148" s="199">
        <f>IFERROR(__xludf.DUMMYFUNCTION("""COMPUTED_VALUE"""),46.233333333333334)</f>
        <v>46.23333333</v>
      </c>
      <c r="H148" s="197">
        <f>IFERROR(__xludf.DUMMYFUNCTION("""COMPUTED_VALUE"""),44538.0)</f>
        <v>44538</v>
      </c>
      <c r="I148" s="199">
        <f>IFERROR(__xludf.DUMMYFUNCTION("""COMPUTED_VALUE"""),0.0)</f>
        <v>0</v>
      </c>
      <c r="J148" s="200">
        <f>IFERROR(__xludf.DUMMYFUNCTION("""COMPUTED_VALUE"""),83.5)</f>
        <v>83.5</v>
      </c>
      <c r="K148" s="200">
        <f>IFERROR(__xludf.DUMMYFUNCTION("""COMPUTED_VALUE"""),10.0)</f>
        <v>10</v>
      </c>
      <c r="L148" s="201" t="str">
        <f>IFERROR(__xludf.DUMMYFUNCTION("""COMPUTED_VALUE"""),"First-Person Shooter")</f>
        <v>First-Person Shooter</v>
      </c>
    </row>
    <row r="149">
      <c r="A149" s="190" t="str">
        <f>IFERROR(__xludf.DUMMYFUNCTION("""COMPUTED_VALUE"""),"Little Rocket Lab")</f>
        <v>Little Rocket Lab</v>
      </c>
      <c r="B149" s="195" t="str">
        <f>IFERROR(__xludf.DUMMYFUNCTION("""COMPUTED_VALUE"""),"Xbox / PC")</f>
        <v>Xbox / PC</v>
      </c>
      <c r="C149" s="196" t="str">
        <f>IFERROR(__xludf.DUMMYFUNCTION("""COMPUTED_VALUE"""),"Yes")</f>
        <v>Yes</v>
      </c>
      <c r="D149" s="196" t="str">
        <f>IFERROR(__xludf.DUMMYFUNCTION("""COMPUTED_VALUE"""),"Active")</f>
        <v>Active</v>
      </c>
      <c r="E149" s="197">
        <f>IFERROR(__xludf.DUMMYFUNCTION("""COMPUTED_VALUE"""),45938.0)</f>
        <v>45938</v>
      </c>
      <c r="F149" s="198"/>
      <c r="G149" s="199">
        <f>IFERROR(__xludf.DUMMYFUNCTION("""COMPUTED_VALUE"""),0.23333333333333334)</f>
        <v>0.2333333333</v>
      </c>
      <c r="H149" s="197">
        <f>IFERROR(__xludf.DUMMYFUNCTION("""COMPUTED_VALUE"""),45937.0)</f>
        <v>45937</v>
      </c>
      <c r="I149" s="199">
        <f>IFERROR(__xludf.DUMMYFUNCTION("""COMPUTED_VALUE"""),0.002777777777777778)</f>
        <v>0.002777777778</v>
      </c>
      <c r="J149" s="200">
        <f>IFERROR(__xludf.DUMMYFUNCTION("""COMPUTED_VALUE"""),83.0)</f>
        <v>83</v>
      </c>
      <c r="K149" s="200"/>
      <c r="L149" s="201" t="str">
        <f>IFERROR(__xludf.DUMMYFUNCTION("""COMPUTED_VALUE"""),"Sandbox")</f>
        <v>Sandbox</v>
      </c>
    </row>
    <row r="150">
      <c r="A150" s="190" t="str">
        <f>IFERROR(__xludf.DUMMYFUNCTION("""COMPUTED_VALUE"""),"Nine Sols")</f>
        <v>Nine Sols</v>
      </c>
      <c r="B150" s="195" t="str">
        <f>IFERROR(__xludf.DUMMYFUNCTION("""COMPUTED_VALUE"""),"Xbox / PC")</f>
        <v>Xbox / PC</v>
      </c>
      <c r="C150" s="196" t="str">
        <f>IFERROR(__xludf.DUMMYFUNCTION("""COMPUTED_VALUE"""),"Yes")</f>
        <v>Yes</v>
      </c>
      <c r="D150" s="196" t="str">
        <f>IFERROR(__xludf.DUMMYFUNCTION("""COMPUTED_VALUE"""),"Active")</f>
        <v>Active</v>
      </c>
      <c r="E150" s="197">
        <f>IFERROR(__xludf.DUMMYFUNCTION("""COMPUTED_VALUE"""),45622.0)</f>
        <v>45622</v>
      </c>
      <c r="F150" s="198"/>
      <c r="G150" s="199">
        <f>IFERROR(__xludf.DUMMYFUNCTION("""COMPUTED_VALUE"""),10.633333333333333)</f>
        <v>10.63333333</v>
      </c>
      <c r="H150" s="197">
        <f>IFERROR(__xludf.DUMMYFUNCTION("""COMPUTED_VALUE"""),45440.0)</f>
        <v>45440</v>
      </c>
      <c r="I150" s="199">
        <f>IFERROR(__xludf.DUMMYFUNCTION("""COMPUTED_VALUE"""),0.49444444444444446)</f>
        <v>0.4944444444</v>
      </c>
      <c r="J150" s="200">
        <f>IFERROR(__xludf.DUMMYFUNCTION("""COMPUTED_VALUE"""),83.0)</f>
        <v>83</v>
      </c>
      <c r="K150" s="200">
        <f>IFERROR(__xludf.DUMMYFUNCTION("""COMPUTED_VALUE"""),21.0)</f>
        <v>21</v>
      </c>
      <c r="L150" s="201" t="str">
        <f>IFERROR(__xludf.DUMMYFUNCTION("""COMPUTED_VALUE"""),"Platformer")</f>
        <v>Platformer</v>
      </c>
    </row>
    <row r="151">
      <c r="A151" s="190" t="str">
        <f>IFERROR(__xludf.DUMMYFUNCTION("""COMPUTED_VALUE"""),"Call of Duty: Black Ops 6")</f>
        <v>Call of Duty: Black Ops 6</v>
      </c>
      <c r="B151" s="195" t="str">
        <f>IFERROR(__xludf.DUMMYFUNCTION("""COMPUTED_VALUE"""),"Xbox / PC")</f>
        <v>Xbox / PC</v>
      </c>
      <c r="C151" s="196" t="str">
        <f>IFERROR(__xludf.DUMMYFUNCTION("""COMPUTED_VALUE"""),"Yes")</f>
        <v>Yes</v>
      </c>
      <c r="D151" s="196" t="str">
        <f>IFERROR(__xludf.DUMMYFUNCTION("""COMPUTED_VALUE"""),"Active")</f>
        <v>Active</v>
      </c>
      <c r="E151" s="197">
        <f>IFERROR(__xludf.DUMMYFUNCTION("""COMPUTED_VALUE"""),45590.0)</f>
        <v>45590</v>
      </c>
      <c r="F151" s="198"/>
      <c r="G151" s="199">
        <f>IFERROR(__xludf.DUMMYFUNCTION("""COMPUTED_VALUE"""),11.666666666666666)</f>
        <v>11.66666667</v>
      </c>
      <c r="H151" s="197">
        <f>IFERROR(__xludf.DUMMYFUNCTION("""COMPUTED_VALUE"""),45590.0)</f>
        <v>45590</v>
      </c>
      <c r="I151" s="199">
        <f>IFERROR(__xludf.DUMMYFUNCTION("""COMPUTED_VALUE"""),0.0)</f>
        <v>0</v>
      </c>
      <c r="J151" s="200">
        <f>IFERROR(__xludf.DUMMYFUNCTION("""COMPUTED_VALUE"""),83.0)</f>
        <v>83</v>
      </c>
      <c r="K151" s="200">
        <f>IFERROR(__xludf.DUMMYFUNCTION("""COMPUTED_VALUE"""),9.0)</f>
        <v>9</v>
      </c>
      <c r="L151" s="201" t="str">
        <f>IFERROR(__xludf.DUMMYFUNCTION("""COMPUTED_VALUE"""),"Shooter")</f>
        <v>Shooter</v>
      </c>
    </row>
    <row r="152">
      <c r="A152" s="190" t="str">
        <f>IFERROR(__xludf.DUMMYFUNCTION("""COMPUTED_VALUE"""),"Octopath Traveler")</f>
        <v>Octopath Traveler</v>
      </c>
      <c r="B152" s="195" t="str">
        <f>IFERROR(__xludf.DUMMYFUNCTION("""COMPUTED_VALUE"""),"Xbox / PC")</f>
        <v>Xbox / PC</v>
      </c>
      <c r="C152" s="196" t="str">
        <f>IFERROR(__xludf.DUMMYFUNCTION("""COMPUTED_VALUE"""),"Touch Controls")</f>
        <v>Touch Controls</v>
      </c>
      <c r="D152" s="196" t="str">
        <f>IFERROR(__xludf.DUMMYFUNCTION("""COMPUTED_VALUE"""),"Active")</f>
        <v>Active</v>
      </c>
      <c r="E152" s="197">
        <f>IFERROR(__xludf.DUMMYFUNCTION("""COMPUTED_VALUE"""),45449.0)</f>
        <v>45449</v>
      </c>
      <c r="F152" s="198"/>
      <c r="G152" s="199">
        <f>IFERROR(__xludf.DUMMYFUNCTION("""COMPUTED_VALUE"""),16.3)</f>
        <v>16.3</v>
      </c>
      <c r="H152" s="197">
        <f>IFERROR(__xludf.DUMMYFUNCTION("""COMPUTED_VALUE"""),43293.0)</f>
        <v>43293</v>
      </c>
      <c r="I152" s="199">
        <f>IFERROR(__xludf.DUMMYFUNCTION("""COMPUTED_VALUE"""),5.9)</f>
        <v>5.9</v>
      </c>
      <c r="J152" s="200">
        <f>IFERROR(__xludf.DUMMYFUNCTION("""COMPUTED_VALUE"""),83.0)</f>
        <v>83</v>
      </c>
      <c r="K152" s="200">
        <f>IFERROR(__xludf.DUMMYFUNCTION("""COMPUTED_VALUE"""),61.0)</f>
        <v>61</v>
      </c>
      <c r="L152" s="201" t="str">
        <f>IFERROR(__xludf.DUMMYFUNCTION("""COMPUTED_VALUE"""),"RPG")</f>
        <v>RPG</v>
      </c>
    </row>
    <row r="153">
      <c r="A153" s="190" t="str">
        <f>IFERROR(__xludf.DUMMYFUNCTION("""COMPUTED_VALUE"""),"Jusant")</f>
        <v>Jusant</v>
      </c>
      <c r="B153" s="195" t="str">
        <f>IFERROR(__xludf.DUMMYFUNCTION("""COMPUTED_VALUE"""),"Xbox / PC")</f>
        <v>Xbox / PC</v>
      </c>
      <c r="C153" s="196" t="str">
        <f>IFERROR(__xludf.DUMMYFUNCTION("""COMPUTED_VALUE"""),"Yes")</f>
        <v>Yes</v>
      </c>
      <c r="D153" s="196" t="str">
        <f>IFERROR(__xludf.DUMMYFUNCTION("""COMPUTED_VALUE"""),"Active")</f>
        <v>Active</v>
      </c>
      <c r="E153" s="197">
        <f>IFERROR(__xludf.DUMMYFUNCTION("""COMPUTED_VALUE"""),45230.0)</f>
        <v>45230</v>
      </c>
      <c r="F153" s="198"/>
      <c r="G153" s="199">
        <f>IFERROR(__xludf.DUMMYFUNCTION("""COMPUTED_VALUE"""),23.5)</f>
        <v>23.5</v>
      </c>
      <c r="H153" s="197">
        <f>IFERROR(__xludf.DUMMYFUNCTION("""COMPUTED_VALUE"""),45230.0)</f>
        <v>45230</v>
      </c>
      <c r="I153" s="199">
        <f>IFERROR(__xludf.DUMMYFUNCTION("""COMPUTED_VALUE"""),0.0)</f>
        <v>0</v>
      </c>
      <c r="J153" s="200">
        <f>IFERROR(__xludf.DUMMYFUNCTION("""COMPUTED_VALUE"""),83.0)</f>
        <v>83</v>
      </c>
      <c r="K153" s="200">
        <f>IFERROR(__xludf.DUMMYFUNCTION("""COMPUTED_VALUE"""),4.0)</f>
        <v>4</v>
      </c>
      <c r="L153" s="201" t="str">
        <f>IFERROR(__xludf.DUMMYFUNCTION("""COMPUTED_VALUE"""),"Adventure")</f>
        <v>Adventure</v>
      </c>
    </row>
    <row r="154">
      <c r="A154" s="190" t="str">
        <f>IFERROR(__xludf.DUMMYFUNCTION("""COMPUTED_VALUE"""),"Firewatch")</f>
        <v>Firewatch</v>
      </c>
      <c r="B154" s="195" t="str">
        <f>IFERROR(__xludf.DUMMYFUNCTION("""COMPUTED_VALUE"""),"Xbox / PC")</f>
        <v>Xbox / PC</v>
      </c>
      <c r="C154" s="196" t="str">
        <f>IFERROR(__xludf.DUMMYFUNCTION("""COMPUTED_VALUE"""),"Touch Controls")</f>
        <v>Touch Controls</v>
      </c>
      <c r="D154" s="196" t="str">
        <f>IFERROR(__xludf.DUMMYFUNCTION("""COMPUTED_VALUE"""),"Active")</f>
        <v>Active</v>
      </c>
      <c r="E154" s="197">
        <f>IFERROR(__xludf.DUMMYFUNCTION("""COMPUTED_VALUE"""),45155.0)</f>
        <v>45155</v>
      </c>
      <c r="F154" s="198"/>
      <c r="G154" s="199">
        <f>IFERROR(__xludf.DUMMYFUNCTION("""COMPUTED_VALUE"""),25.93333333333333)</f>
        <v>25.93333333</v>
      </c>
      <c r="H154" s="197">
        <f>IFERROR(__xludf.DUMMYFUNCTION("""COMPUTED_VALUE"""),42409.0)</f>
        <v>42409</v>
      </c>
      <c r="I154" s="199">
        <f>IFERROR(__xludf.DUMMYFUNCTION("""COMPUTED_VALUE"""),7.522222222222222)</f>
        <v>7.522222222</v>
      </c>
      <c r="J154" s="200">
        <f>IFERROR(__xludf.DUMMYFUNCTION("""COMPUTED_VALUE"""),83.0)</f>
        <v>83</v>
      </c>
      <c r="K154" s="200">
        <f>IFERROR(__xludf.DUMMYFUNCTION("""COMPUTED_VALUE"""),4.0)</f>
        <v>4</v>
      </c>
      <c r="L154" s="201" t="str">
        <f>IFERROR(__xludf.DUMMYFUNCTION("""COMPUTED_VALUE"""),"Adventure")</f>
        <v>Adventure</v>
      </c>
    </row>
    <row r="155">
      <c r="A155" s="190" t="str">
        <f>IFERROR(__xludf.DUMMYFUNCTION("""COMPUTED_VALUE"""),"Halo 3: ODST")</f>
        <v>Halo 3: ODST</v>
      </c>
      <c r="B155" s="195" t="str">
        <f>IFERROR(__xludf.DUMMYFUNCTION("""COMPUTED_VALUE"""),"Xbox / PC")</f>
        <v>Xbox / PC</v>
      </c>
      <c r="C155" s="196" t="str">
        <f>IFERROR(__xludf.DUMMYFUNCTION("""COMPUTED_VALUE"""),"Yes")</f>
        <v>Yes</v>
      </c>
      <c r="D155" s="196" t="str">
        <f>IFERROR(__xludf.DUMMYFUNCTION("""COMPUTED_VALUE"""),"Active")</f>
        <v>Active</v>
      </c>
      <c r="E155" s="197">
        <f>IFERROR(__xludf.DUMMYFUNCTION("""COMPUTED_VALUE"""),44096.0)</f>
        <v>44096</v>
      </c>
      <c r="F155" s="198"/>
      <c r="G155" s="199">
        <f>IFERROR(__xludf.DUMMYFUNCTION("""COMPUTED_VALUE"""),60.766666666666666)</f>
        <v>60.76666667</v>
      </c>
      <c r="H155" s="197">
        <f>IFERROR(__xludf.DUMMYFUNCTION("""COMPUTED_VALUE"""),40078.0)</f>
        <v>40078</v>
      </c>
      <c r="I155" s="199">
        <f>IFERROR(__xludf.DUMMYFUNCTION("""COMPUTED_VALUE"""),11.0)</f>
        <v>11</v>
      </c>
      <c r="J155" s="200">
        <f>IFERROR(__xludf.DUMMYFUNCTION("""COMPUTED_VALUE"""),83.0)</f>
        <v>83</v>
      </c>
      <c r="K155" s="200">
        <f>IFERROR(__xludf.DUMMYFUNCTION("""COMPUTED_VALUE"""),7.0)</f>
        <v>7</v>
      </c>
      <c r="L155" s="201" t="str">
        <f>IFERROR(__xludf.DUMMYFUNCTION("""COMPUTED_VALUE"""),"Action / First-Person Shooter")</f>
        <v>Action / First-Person Shooter</v>
      </c>
    </row>
    <row r="156">
      <c r="A156" s="190" t="str">
        <f>IFERROR(__xludf.DUMMYFUNCTION("""COMPUTED_VALUE"""),"Overcooked! 2")</f>
        <v>Overcooked! 2</v>
      </c>
      <c r="B156" s="195" t="str">
        <f>IFERROR(__xludf.DUMMYFUNCTION("""COMPUTED_VALUE"""),"Xbox / PC")</f>
        <v>Xbox / PC</v>
      </c>
      <c r="C156" s="196" t="str">
        <f>IFERROR(__xludf.DUMMYFUNCTION("""COMPUTED_VALUE"""),"Touch Controls")</f>
        <v>Touch Controls</v>
      </c>
      <c r="D156" s="196" t="str">
        <f>IFERROR(__xludf.DUMMYFUNCTION("""COMPUTED_VALUE"""),"Active")</f>
        <v>Active</v>
      </c>
      <c r="E156" s="197">
        <f>IFERROR(__xludf.DUMMYFUNCTION("""COMPUTED_VALUE"""),43811.0)</f>
        <v>43811</v>
      </c>
      <c r="F156" s="198"/>
      <c r="G156" s="199">
        <f>IFERROR(__xludf.DUMMYFUNCTION("""COMPUTED_VALUE"""),70.1)</f>
        <v>70.1</v>
      </c>
      <c r="H156" s="197">
        <f>IFERROR(__xludf.DUMMYFUNCTION("""COMPUTED_VALUE"""),43319.0)</f>
        <v>43319</v>
      </c>
      <c r="I156" s="199">
        <f>IFERROR(__xludf.DUMMYFUNCTION("""COMPUTED_VALUE"""),1.3472222222222223)</f>
        <v>1.347222222</v>
      </c>
      <c r="J156" s="200">
        <f>IFERROR(__xludf.DUMMYFUNCTION("""COMPUTED_VALUE"""),83.0)</f>
        <v>83</v>
      </c>
      <c r="K156" s="200">
        <f>IFERROR(__xludf.DUMMYFUNCTION("""COMPUTED_VALUE"""),6.5)</f>
        <v>6.5</v>
      </c>
      <c r="L156" s="201" t="str">
        <f>IFERROR(__xludf.DUMMYFUNCTION("""COMPUTED_VALUE"""),"Simulation")</f>
        <v>Simulation</v>
      </c>
    </row>
    <row r="157">
      <c r="A157" s="190" t="str">
        <f>IFERROR(__xludf.DUMMYFUNCTION("""COMPUTED_VALUE"""),"Gears 5: Game of the Year Edition")</f>
        <v>Gears 5: Game of the Year Edition</v>
      </c>
      <c r="B157" s="195" t="str">
        <f>IFERROR(__xludf.DUMMYFUNCTION("""COMPUTED_VALUE"""),"Xbox / PC")</f>
        <v>Xbox / PC</v>
      </c>
      <c r="C157" s="196" t="str">
        <f>IFERROR(__xludf.DUMMYFUNCTION("""COMPUTED_VALUE"""),"Touch Controls")</f>
        <v>Touch Controls</v>
      </c>
      <c r="D157" s="196" t="str">
        <f>IFERROR(__xludf.DUMMYFUNCTION("""COMPUTED_VALUE"""),"Active")</f>
        <v>Active</v>
      </c>
      <c r="E157" s="197">
        <f>IFERROR(__xludf.DUMMYFUNCTION("""COMPUTED_VALUE"""),43718.0)</f>
        <v>43718</v>
      </c>
      <c r="F157" s="198"/>
      <c r="G157" s="199">
        <f>IFERROR(__xludf.DUMMYFUNCTION("""COMPUTED_VALUE"""),73.16666666666667)</f>
        <v>73.16666667</v>
      </c>
      <c r="H157" s="197">
        <f>IFERROR(__xludf.DUMMYFUNCTION("""COMPUTED_VALUE"""),43718.0)</f>
        <v>43718</v>
      </c>
      <c r="I157" s="199">
        <f>IFERROR(__xludf.DUMMYFUNCTION("""COMPUTED_VALUE"""),0.0)</f>
        <v>0</v>
      </c>
      <c r="J157" s="200">
        <f>IFERROR(__xludf.DUMMYFUNCTION("""COMPUTED_VALUE"""),83.0)</f>
        <v>83</v>
      </c>
      <c r="K157" s="200">
        <f>IFERROR(__xludf.DUMMYFUNCTION("""COMPUTED_VALUE"""),10.5)</f>
        <v>10.5</v>
      </c>
      <c r="L157" s="201" t="str">
        <f>IFERROR(__xludf.DUMMYFUNCTION("""COMPUTED_VALUE"""),"Action")</f>
        <v>Action</v>
      </c>
    </row>
    <row r="158">
      <c r="A158" s="190" t="str">
        <f>IFERROR(__xludf.DUMMYFUNCTION("""COMPUTED_VALUE"""),"Age of Empires: Definitive Edition")</f>
        <v>Age of Empires: Definitive Edition</v>
      </c>
      <c r="B158" s="195" t="str">
        <f>IFERROR(__xludf.DUMMYFUNCTION("""COMPUTED_VALUE"""),"PC")</f>
        <v>PC</v>
      </c>
      <c r="C158" s="196"/>
      <c r="D158" s="196" t="str">
        <f>IFERROR(__xludf.DUMMYFUNCTION("""COMPUTED_VALUE"""),"Active")</f>
        <v>Active</v>
      </c>
      <c r="E158" s="197">
        <f>IFERROR(__xludf.DUMMYFUNCTION("""COMPUTED_VALUE"""),43696.0)</f>
        <v>43696</v>
      </c>
      <c r="F158" s="198"/>
      <c r="G158" s="199">
        <f>IFERROR(__xludf.DUMMYFUNCTION("""COMPUTED_VALUE"""),73.86666666666667)</f>
        <v>73.86666667</v>
      </c>
      <c r="H158" s="197">
        <f>IFERROR(__xludf.DUMMYFUNCTION("""COMPUTED_VALUE"""),43150.0)</f>
        <v>43150</v>
      </c>
      <c r="I158" s="199">
        <f>IFERROR(__xludf.DUMMYFUNCTION("""COMPUTED_VALUE"""),1.5)</f>
        <v>1.5</v>
      </c>
      <c r="J158" s="200">
        <f>IFERROR(__xludf.DUMMYFUNCTION("""COMPUTED_VALUE"""),83.0)</f>
        <v>83</v>
      </c>
      <c r="K158" s="200">
        <f>IFERROR(__xludf.DUMMYFUNCTION("""COMPUTED_VALUE"""),39.5)</f>
        <v>39.5</v>
      </c>
      <c r="L158" s="201" t="str">
        <f>IFERROR(__xludf.DUMMYFUNCTION("""COMPUTED_VALUE"""),"Strategy")</f>
        <v>Strategy</v>
      </c>
    </row>
    <row r="159">
      <c r="A159" s="190" t="str">
        <f>IFERROR(__xludf.DUMMYFUNCTION("""COMPUTED_VALUE"""),"Prey")</f>
        <v>Prey</v>
      </c>
      <c r="B159" s="195" t="str">
        <f>IFERROR(__xludf.DUMMYFUNCTION("""COMPUTED_VALUE"""),"Xbox / PC")</f>
        <v>Xbox / PC</v>
      </c>
      <c r="C159" s="196" t="str">
        <f>IFERROR(__xludf.DUMMYFUNCTION("""COMPUTED_VALUE"""),"Yes")</f>
        <v>Yes</v>
      </c>
      <c r="D159" s="196" t="str">
        <f>IFERROR(__xludf.DUMMYFUNCTION("""COMPUTED_VALUE"""),"Active")</f>
        <v>Active</v>
      </c>
      <c r="E159" s="197">
        <f>IFERROR(__xludf.DUMMYFUNCTION("""COMPUTED_VALUE"""),43566.0)</f>
        <v>43566</v>
      </c>
      <c r="F159" s="198"/>
      <c r="G159" s="199">
        <f>IFERROR(__xludf.DUMMYFUNCTION("""COMPUTED_VALUE"""),78.13333333333333)</f>
        <v>78.13333333</v>
      </c>
      <c r="H159" s="197">
        <f>IFERROR(__xludf.DUMMYFUNCTION("""COMPUTED_VALUE"""),42860.0)</f>
        <v>42860</v>
      </c>
      <c r="I159" s="199">
        <f>IFERROR(__xludf.DUMMYFUNCTION("""COMPUTED_VALUE"""),1.9333333333333333)</f>
        <v>1.933333333</v>
      </c>
      <c r="J159" s="200">
        <f>IFERROR(__xludf.DUMMYFUNCTION("""COMPUTED_VALUE"""),83.0)</f>
        <v>83</v>
      </c>
      <c r="K159" s="200">
        <f>IFERROR(__xludf.DUMMYFUNCTION("""COMPUTED_VALUE"""),16.0)</f>
        <v>16</v>
      </c>
      <c r="L159" s="201" t="str">
        <f>IFERROR(__xludf.DUMMYFUNCTION("""COMPUTED_VALUE"""),"First-Person Shooter / Action-Adventure")</f>
        <v>First-Person Shooter / Action-Adventure</v>
      </c>
    </row>
    <row r="160">
      <c r="A160" s="190" t="str">
        <f>IFERROR(__xludf.DUMMYFUNCTION("""COMPUTED_VALUE"""),"The Walking Dead: Season Two")</f>
        <v>The Walking Dead: Season Two</v>
      </c>
      <c r="B160" s="195" t="str">
        <f>IFERROR(__xludf.DUMMYFUNCTION("""COMPUTED_VALUE"""),"Xbox / PC")</f>
        <v>Xbox / PC</v>
      </c>
      <c r="C160" s="196" t="str">
        <f>IFERROR(__xludf.DUMMYFUNCTION("""COMPUTED_VALUE"""),"Touch Controls")</f>
        <v>Touch Controls</v>
      </c>
      <c r="D160" s="196" t="str">
        <f>IFERROR(__xludf.DUMMYFUNCTION("""COMPUTED_VALUE"""),"Active")</f>
        <v>Active</v>
      </c>
      <c r="E160" s="197">
        <f>IFERROR(__xludf.DUMMYFUNCTION("""COMPUTED_VALUE"""),43524.0)</f>
        <v>43524</v>
      </c>
      <c r="F160" s="198"/>
      <c r="G160" s="199">
        <f>IFERROR(__xludf.DUMMYFUNCTION("""COMPUTED_VALUE"""),79.56666666666666)</f>
        <v>79.56666667</v>
      </c>
      <c r="H160" s="197">
        <f>IFERROR(__xludf.DUMMYFUNCTION("""COMPUTED_VALUE"""),41625.0)</f>
        <v>41625</v>
      </c>
      <c r="I160" s="199">
        <f>IFERROR(__xludf.DUMMYFUNCTION("""COMPUTED_VALUE"""),5.197222222222222)</f>
        <v>5.197222222</v>
      </c>
      <c r="J160" s="200">
        <f>IFERROR(__xludf.DUMMYFUNCTION("""COMPUTED_VALUE"""),83.0)</f>
        <v>83</v>
      </c>
      <c r="K160" s="200">
        <f>IFERROR(__xludf.DUMMYFUNCTION("""COMPUTED_VALUE"""),9.5)</f>
        <v>9.5</v>
      </c>
      <c r="L160" s="201" t="str">
        <f>IFERROR(__xludf.DUMMYFUNCTION("""COMPUTED_VALUE"""),"Adventure")</f>
        <v>Adventure</v>
      </c>
    </row>
    <row r="161">
      <c r="A161" s="190" t="str">
        <f>IFERROR(__xludf.DUMMYFUNCTION("""COMPUTED_VALUE"""),"Cities: Skylines - Remastered")</f>
        <v>Cities: Skylines - Remastered</v>
      </c>
      <c r="B161" s="195" t="str">
        <f>IFERROR(__xludf.DUMMYFUNCTION("""COMPUTED_VALUE"""),"Xbox / PC")</f>
        <v>Xbox / PC</v>
      </c>
      <c r="C161" s="196" t="str">
        <f>IFERROR(__xludf.DUMMYFUNCTION("""COMPUTED_VALUE"""),"M+KB")</f>
        <v>M+KB</v>
      </c>
      <c r="D161" s="196" t="str">
        <f>IFERROR(__xludf.DUMMYFUNCTION("""COMPUTED_VALUE"""),"Active")</f>
        <v>Active</v>
      </c>
      <c r="E161" s="197">
        <f>IFERROR(__xludf.DUMMYFUNCTION("""COMPUTED_VALUE"""),43191.0)</f>
        <v>43191</v>
      </c>
      <c r="F161" s="198"/>
      <c r="G161" s="199">
        <f>IFERROR(__xludf.DUMMYFUNCTION("""COMPUTED_VALUE"""),90.46666666666667)</f>
        <v>90.46666667</v>
      </c>
      <c r="H161" s="197">
        <f>IFERROR(__xludf.DUMMYFUNCTION("""COMPUTED_VALUE"""),42073.0)</f>
        <v>42073</v>
      </c>
      <c r="I161" s="199">
        <f>IFERROR(__xludf.DUMMYFUNCTION("""COMPUTED_VALUE"""),3.058333333333333)</f>
        <v>3.058333333</v>
      </c>
      <c r="J161" s="200">
        <f>IFERROR(__xludf.DUMMYFUNCTION("""COMPUTED_VALUE"""),83.0)</f>
        <v>83</v>
      </c>
      <c r="K161" s="200">
        <f>IFERROR(__xludf.DUMMYFUNCTION("""COMPUTED_VALUE"""),25.5)</f>
        <v>25.5</v>
      </c>
      <c r="L161" s="201" t="str">
        <f>IFERROR(__xludf.DUMMYFUNCTION("""COMPUTED_VALUE"""),"Simulation")</f>
        <v>Simulation</v>
      </c>
    </row>
    <row r="162">
      <c r="A162" s="190" t="str">
        <f>IFERROR(__xludf.DUMMYFUNCTION("""COMPUTED_VALUE"""),"theHunter: Call of the Wild")</f>
        <v>theHunter: Call of the Wild</v>
      </c>
      <c r="B162" s="195" t="str">
        <f>IFERROR(__xludf.DUMMYFUNCTION("""COMPUTED_VALUE"""),"Xbox / PC")</f>
        <v>Xbox / PC</v>
      </c>
      <c r="C162" s="196" t="str">
        <f>IFERROR(__xludf.DUMMYFUNCTION("""COMPUTED_VALUE"""),"Yes")</f>
        <v>Yes</v>
      </c>
      <c r="D162" s="196" t="str">
        <f>IFERROR(__xludf.DUMMYFUNCTION("""COMPUTED_VALUE"""),"Active")</f>
        <v>Active</v>
      </c>
      <c r="E162" s="197">
        <f>IFERROR(__xludf.DUMMYFUNCTION("""COMPUTED_VALUE"""),43191.0)</f>
        <v>43191</v>
      </c>
      <c r="F162" s="198"/>
      <c r="G162" s="199">
        <f>IFERROR(__xludf.DUMMYFUNCTION("""COMPUTED_VALUE"""),90.46666666666667)</f>
        <v>90.46666667</v>
      </c>
      <c r="H162" s="197">
        <f>IFERROR(__xludf.DUMMYFUNCTION("""COMPUTED_VALUE"""),42781.0)</f>
        <v>42781</v>
      </c>
      <c r="I162" s="199">
        <f>IFERROR(__xludf.DUMMYFUNCTION("""COMPUTED_VALUE"""),1.1277777777777778)</f>
        <v>1.127777778</v>
      </c>
      <c r="J162" s="200">
        <f>IFERROR(__xludf.DUMMYFUNCTION("""COMPUTED_VALUE"""),83.0)</f>
        <v>83</v>
      </c>
      <c r="K162" s="200">
        <f>IFERROR(__xludf.DUMMYFUNCTION("""COMPUTED_VALUE"""),20.5)</f>
        <v>20.5</v>
      </c>
      <c r="L162" s="201" t="str">
        <f>IFERROR(__xludf.DUMMYFUNCTION("""COMPUTED_VALUE"""),"Simulation / First-Person Shooter")</f>
        <v>Simulation / First-Person Shooter</v>
      </c>
    </row>
    <row r="163">
      <c r="A163" s="190" t="str">
        <f>IFERROR(__xludf.DUMMYFUNCTION("""COMPUTED_VALUE"""),"Dishonored: Death of the Outsider")</f>
        <v>Dishonored: Death of the Outsider</v>
      </c>
      <c r="B163" s="195" t="str">
        <f>IFERROR(__xludf.DUMMYFUNCTION("""COMPUTED_VALUE"""),"Xbox / PC")</f>
        <v>Xbox / PC</v>
      </c>
      <c r="C163" s="196" t="str">
        <f>IFERROR(__xludf.DUMMYFUNCTION("""COMPUTED_VALUE"""),"Yes")</f>
        <v>Yes</v>
      </c>
      <c r="D163" s="196" t="str">
        <f>IFERROR(__xludf.DUMMYFUNCTION("""COMPUTED_VALUE"""),"Active")</f>
        <v>Active</v>
      </c>
      <c r="E163" s="197">
        <f>IFERROR(__xludf.DUMMYFUNCTION("""COMPUTED_VALUE"""),44360.0)</f>
        <v>44360</v>
      </c>
      <c r="F163" s="198"/>
      <c r="G163" s="199">
        <f>IFERROR(__xludf.DUMMYFUNCTION("""COMPUTED_VALUE"""),52.06666666666666)</f>
        <v>52.06666667</v>
      </c>
      <c r="H163" s="197">
        <f>IFERROR(__xludf.DUMMYFUNCTION("""COMPUTED_VALUE"""),42993.0)</f>
        <v>42993</v>
      </c>
      <c r="I163" s="199">
        <f>IFERROR(__xludf.DUMMYFUNCTION("""COMPUTED_VALUE"""),3.7444444444444445)</f>
        <v>3.744444444</v>
      </c>
      <c r="J163" s="200">
        <f>IFERROR(__xludf.DUMMYFUNCTION("""COMPUTED_VALUE"""),82.5)</f>
        <v>82.5</v>
      </c>
      <c r="K163" s="200">
        <f>IFERROR(__xludf.DUMMYFUNCTION("""COMPUTED_VALUE"""),6.5)</f>
        <v>6.5</v>
      </c>
      <c r="L163" s="201" t="str">
        <f>IFERROR(__xludf.DUMMYFUNCTION("""COMPUTED_VALUE"""),"Action-Adventure")</f>
        <v>Action-Adventure</v>
      </c>
    </row>
    <row r="164">
      <c r="A164" s="190" t="str">
        <f>IFERROR(__xludf.DUMMYFUNCTION("""COMPUTED_VALUE"""),"Child of Light")</f>
        <v>Child of Light</v>
      </c>
      <c r="B164" s="195" t="str">
        <f>IFERROR(__xludf.DUMMYFUNCTION("""COMPUTED_VALUE"""),"Xbox / PC")</f>
        <v>Xbox / PC</v>
      </c>
      <c r="C164" s="196" t="str">
        <f>IFERROR(__xludf.DUMMYFUNCTION("""COMPUTED_VALUE"""),"Yes")</f>
        <v>Yes</v>
      </c>
      <c r="D164" s="196" t="str">
        <f>IFERROR(__xludf.DUMMYFUNCTION("""COMPUTED_VALUE"""),"Active")</f>
        <v>Active</v>
      </c>
      <c r="E164" s="197">
        <f>IFERROR(__xludf.DUMMYFUNCTION("""COMPUTED_VALUE"""),45931.0)</f>
        <v>45931</v>
      </c>
      <c r="F164" s="198"/>
      <c r="G164" s="199">
        <f>IFERROR(__xludf.DUMMYFUNCTION("""COMPUTED_VALUE"""),0.4666666666666667)</f>
        <v>0.4666666667</v>
      </c>
      <c r="H164" s="197">
        <f>IFERROR(__xludf.DUMMYFUNCTION("""COMPUTED_VALUE"""),41758.0)</f>
        <v>41758</v>
      </c>
      <c r="I164" s="199">
        <f>IFERROR(__xludf.DUMMYFUNCTION("""COMPUTED_VALUE"""),11.422222222222222)</f>
        <v>11.42222222</v>
      </c>
      <c r="J164" s="200">
        <f>IFERROR(__xludf.DUMMYFUNCTION("""COMPUTED_VALUE"""),82.0)</f>
        <v>82</v>
      </c>
      <c r="K164" s="200">
        <f>IFERROR(__xludf.DUMMYFUNCTION("""COMPUTED_VALUE"""),11.0)</f>
        <v>11</v>
      </c>
      <c r="L164" s="201" t="str">
        <f>IFERROR(__xludf.DUMMYFUNCTION("""COMPUTED_VALUE"""),"RPG")</f>
        <v>RPG</v>
      </c>
    </row>
    <row r="165">
      <c r="A165" s="190" t="str">
        <f>IFERROR(__xludf.DUMMYFUNCTION("""COMPUTED_VALUE"""),"Cataclismo")</f>
        <v>Cataclismo</v>
      </c>
      <c r="B165" s="195" t="str">
        <f>IFERROR(__xludf.DUMMYFUNCTION("""COMPUTED_VALUE"""),"PC")</f>
        <v>PC</v>
      </c>
      <c r="C165" s="196"/>
      <c r="D165" s="196" t="str">
        <f>IFERROR(__xludf.DUMMYFUNCTION("""COMPUTED_VALUE"""),"Active")</f>
        <v>Active</v>
      </c>
      <c r="E165" s="197">
        <f>IFERROR(__xludf.DUMMYFUNCTION("""COMPUTED_VALUE"""),45904.0)</f>
        <v>45904</v>
      </c>
      <c r="F165" s="198"/>
      <c r="G165" s="199">
        <f>IFERROR(__xludf.DUMMYFUNCTION("""COMPUTED_VALUE"""),1.3666666666666667)</f>
        <v>1.366666667</v>
      </c>
      <c r="H165" s="197">
        <f>IFERROR(__xludf.DUMMYFUNCTION("""COMPUTED_VALUE"""),45736.0)</f>
        <v>45736</v>
      </c>
      <c r="I165" s="199">
        <f>IFERROR(__xludf.DUMMYFUNCTION("""COMPUTED_VALUE"""),0.45555555555555555)</f>
        <v>0.4555555556</v>
      </c>
      <c r="J165" s="200">
        <f>IFERROR(__xludf.DUMMYFUNCTION("""COMPUTED_VALUE"""),82.0)</f>
        <v>82</v>
      </c>
      <c r="K165" s="200">
        <f>IFERROR(__xludf.DUMMYFUNCTION("""COMPUTED_VALUE"""),16.0)</f>
        <v>16</v>
      </c>
      <c r="L165" s="201" t="str">
        <f>IFERROR(__xludf.DUMMYFUNCTION("""COMPUTED_VALUE"""),"Defense")</f>
        <v>Defense</v>
      </c>
    </row>
    <row r="166">
      <c r="A166" s="190" t="str">
        <f>IFERROR(__xludf.DUMMYFUNCTION("""COMPUTED_VALUE"""),"Dragon Age: The Veilguard")</f>
        <v>Dragon Age: The Veilguard</v>
      </c>
      <c r="B166" s="195" t="str">
        <f>IFERROR(__xludf.DUMMYFUNCTION("""COMPUTED_VALUE"""),"Xbox / PC")</f>
        <v>Xbox / PC</v>
      </c>
      <c r="C166" s="196" t="str">
        <f>IFERROR(__xludf.DUMMYFUNCTION("""COMPUTED_VALUE"""),"Yes")</f>
        <v>Yes</v>
      </c>
      <c r="D166" s="196" t="str">
        <f>IFERROR(__xludf.DUMMYFUNCTION("""COMPUTED_VALUE"""),"Active")</f>
        <v>Active</v>
      </c>
      <c r="E166" s="197">
        <f>IFERROR(__xludf.DUMMYFUNCTION("""COMPUTED_VALUE"""),45897.0)</f>
        <v>45897</v>
      </c>
      <c r="F166" s="198"/>
      <c r="G166" s="199">
        <f>IFERROR(__xludf.DUMMYFUNCTION("""COMPUTED_VALUE"""),1.5666666666666669)</f>
        <v>1.566666667</v>
      </c>
      <c r="H166" s="197">
        <f>IFERROR(__xludf.DUMMYFUNCTION("""COMPUTED_VALUE"""),45596.0)</f>
        <v>45596</v>
      </c>
      <c r="I166" s="199">
        <f>IFERROR(__xludf.DUMMYFUNCTION("""COMPUTED_VALUE"""),0.8277777777777777)</f>
        <v>0.8277777778</v>
      </c>
      <c r="J166" s="200">
        <f>IFERROR(__xludf.DUMMYFUNCTION("""COMPUTED_VALUE"""),82.0)</f>
        <v>82</v>
      </c>
      <c r="K166" s="200">
        <f>IFERROR(__xludf.DUMMYFUNCTION("""COMPUTED_VALUE"""),29.0)</f>
        <v>29</v>
      </c>
      <c r="L166" s="201" t="str">
        <f>IFERROR(__xludf.DUMMYFUNCTION("""COMPUTED_VALUE"""),"RPG")</f>
        <v>RPG</v>
      </c>
    </row>
    <row r="167">
      <c r="A167" s="190" t="str">
        <f>IFERROR(__xludf.DUMMYFUNCTION("""COMPUTED_VALUE"""),"Heretic + Hexen")</f>
        <v>Heretic + Hexen</v>
      </c>
      <c r="B167" s="195" t="str">
        <f>IFERROR(__xludf.DUMMYFUNCTION("""COMPUTED_VALUE"""),"Xbox / PC")</f>
        <v>Xbox / PC</v>
      </c>
      <c r="C167" s="196" t="str">
        <f>IFERROR(__xludf.DUMMYFUNCTION("""COMPUTED_VALUE"""),"Yes")</f>
        <v>Yes</v>
      </c>
      <c r="D167" s="196" t="str">
        <f>IFERROR(__xludf.DUMMYFUNCTION("""COMPUTED_VALUE"""),"Active")</f>
        <v>Active</v>
      </c>
      <c r="E167" s="197">
        <f>IFERROR(__xludf.DUMMYFUNCTION("""COMPUTED_VALUE"""),45876.0)</f>
        <v>45876</v>
      </c>
      <c r="F167" s="198"/>
      <c r="G167" s="199">
        <f>IFERROR(__xludf.DUMMYFUNCTION("""COMPUTED_VALUE"""),2.2666666666666666)</f>
        <v>2.266666667</v>
      </c>
      <c r="H167" s="197">
        <f>IFERROR(__xludf.DUMMYFUNCTION("""COMPUTED_VALUE"""),45876.0)</f>
        <v>45876</v>
      </c>
      <c r="I167" s="199">
        <f>IFERROR(__xludf.DUMMYFUNCTION("""COMPUTED_VALUE"""),0.0)</f>
        <v>0</v>
      </c>
      <c r="J167" s="200">
        <f>IFERROR(__xludf.DUMMYFUNCTION("""COMPUTED_VALUE"""),82.0)</f>
        <v>82</v>
      </c>
      <c r="K167" s="200">
        <f>IFERROR(__xludf.DUMMYFUNCTION("""COMPUTED_VALUE"""),27.0)</f>
        <v>27</v>
      </c>
      <c r="L167" s="201" t="str">
        <f>IFERROR(__xludf.DUMMYFUNCTION("""COMPUTED_VALUE"""),"Compilation")</f>
        <v>Compilation</v>
      </c>
    </row>
    <row r="168">
      <c r="A168" s="190" t="str">
        <f>IFERROR(__xludf.DUMMYFUNCTION("""COMPUTED_VALUE"""),"Tony Hawk's Pro Skater 3 + 4")</f>
        <v>Tony Hawk's Pro Skater 3 + 4</v>
      </c>
      <c r="B168" s="195" t="str">
        <f>IFERROR(__xludf.DUMMYFUNCTION("""COMPUTED_VALUE"""),"Xbox / PC")</f>
        <v>Xbox / PC</v>
      </c>
      <c r="C168" s="196" t="str">
        <f>IFERROR(__xludf.DUMMYFUNCTION("""COMPUTED_VALUE"""),"Yes")</f>
        <v>Yes</v>
      </c>
      <c r="D168" s="196" t="str">
        <f>IFERROR(__xludf.DUMMYFUNCTION("""COMPUTED_VALUE"""),"Active")</f>
        <v>Active</v>
      </c>
      <c r="E168" s="197">
        <f>IFERROR(__xludf.DUMMYFUNCTION("""COMPUTED_VALUE"""),45849.0)</f>
        <v>45849</v>
      </c>
      <c r="F168" s="198"/>
      <c r="G168" s="199">
        <f>IFERROR(__xludf.DUMMYFUNCTION("""COMPUTED_VALUE"""),3.1333333333333337)</f>
        <v>3.133333333</v>
      </c>
      <c r="H168" s="197">
        <f>IFERROR(__xludf.DUMMYFUNCTION("""COMPUTED_VALUE"""),45849.0)</f>
        <v>45849</v>
      </c>
      <c r="I168" s="199">
        <f>IFERROR(__xludf.DUMMYFUNCTION("""COMPUTED_VALUE"""),0.0)</f>
        <v>0</v>
      </c>
      <c r="J168" s="200">
        <f>IFERROR(__xludf.DUMMYFUNCTION("""COMPUTED_VALUE"""),82.0)</f>
        <v>82</v>
      </c>
      <c r="K168" s="200">
        <f>IFERROR(__xludf.DUMMYFUNCTION("""COMPUTED_VALUE"""),18.0)</f>
        <v>18</v>
      </c>
      <c r="L168" s="201" t="str">
        <f>IFERROR(__xludf.DUMMYFUNCTION("""COMPUTED_VALUE"""),"Skating")</f>
        <v>Skating</v>
      </c>
    </row>
    <row r="169">
      <c r="A169" s="190" t="str">
        <f>IFERROR(__xludf.DUMMYFUNCTION("""COMPUTED_VALUE"""),"Little Nightmares II")</f>
        <v>Little Nightmares II</v>
      </c>
      <c r="B169" s="195" t="str">
        <f>IFERROR(__xludf.DUMMYFUNCTION("""COMPUTED_VALUE"""),"Xbox / PC")</f>
        <v>Xbox / PC</v>
      </c>
      <c r="C169" s="196" t="str">
        <f>IFERROR(__xludf.DUMMYFUNCTION("""COMPUTED_VALUE"""),"Yes")</f>
        <v>Yes</v>
      </c>
      <c r="D169" s="196" t="str">
        <f>IFERROR(__xludf.DUMMYFUNCTION("""COMPUTED_VALUE"""),"Active")</f>
        <v>Active</v>
      </c>
      <c r="E169" s="197">
        <f>IFERROR(__xludf.DUMMYFUNCTION("""COMPUTED_VALUE"""),45839.0)</f>
        <v>45839</v>
      </c>
      <c r="F169" s="198"/>
      <c r="G169" s="199">
        <f>IFERROR(__xludf.DUMMYFUNCTION("""COMPUTED_VALUE"""),3.4666666666666663)</f>
        <v>3.466666667</v>
      </c>
      <c r="H169" s="197">
        <f>IFERROR(__xludf.DUMMYFUNCTION("""COMPUTED_VALUE"""),44238.0)</f>
        <v>44238</v>
      </c>
      <c r="I169" s="199">
        <f>IFERROR(__xludf.DUMMYFUNCTION("""COMPUTED_VALUE"""),4.388888888888889)</f>
        <v>4.388888889</v>
      </c>
      <c r="J169" s="200">
        <f>IFERROR(__xludf.DUMMYFUNCTION("""COMPUTED_VALUE"""),82.0)</f>
        <v>82</v>
      </c>
      <c r="K169" s="200">
        <f>IFERROR(__xludf.DUMMYFUNCTION("""COMPUTED_VALUE"""),6.0)</f>
        <v>6</v>
      </c>
      <c r="L169" s="201" t="str">
        <f>IFERROR(__xludf.DUMMYFUNCTION("""COMPUTED_VALUE"""),"Action-Adventure")</f>
        <v>Action-Adventure</v>
      </c>
    </row>
    <row r="170">
      <c r="A170" s="190" t="str">
        <f>IFERROR(__xludf.DUMMYFUNCTION("""COMPUTED_VALUE"""),"Crypt Custodian")</f>
        <v>Crypt Custodian</v>
      </c>
      <c r="B170" s="195" t="str">
        <f>IFERROR(__xludf.DUMMYFUNCTION("""COMPUTED_VALUE"""),"Xbox / PC")</f>
        <v>Xbox / PC</v>
      </c>
      <c r="C170" s="196" t="str">
        <f>IFERROR(__xludf.DUMMYFUNCTION("""COMPUTED_VALUE"""),"Yes")</f>
        <v>Yes</v>
      </c>
      <c r="D170" s="196" t="str">
        <f>IFERROR(__xludf.DUMMYFUNCTION("""COMPUTED_VALUE"""),"Active")</f>
        <v>Active</v>
      </c>
      <c r="E170" s="197">
        <f>IFERROR(__xludf.DUMMYFUNCTION("""COMPUTED_VALUE"""),45811.0)</f>
        <v>45811</v>
      </c>
      <c r="F170" s="198"/>
      <c r="G170" s="199">
        <f>IFERROR(__xludf.DUMMYFUNCTION("""COMPUTED_VALUE"""),4.3999999999999995)</f>
        <v>4.4</v>
      </c>
      <c r="H170" s="197">
        <f>IFERROR(__xludf.DUMMYFUNCTION("""COMPUTED_VALUE"""),45531.0)</f>
        <v>45531</v>
      </c>
      <c r="I170" s="199">
        <f>IFERROR(__xludf.DUMMYFUNCTION("""COMPUTED_VALUE"""),0.7666666666666667)</f>
        <v>0.7666666667</v>
      </c>
      <c r="J170" s="200">
        <f>IFERROR(__xludf.DUMMYFUNCTION("""COMPUTED_VALUE"""),82.0)</f>
        <v>82</v>
      </c>
      <c r="K170" s="200">
        <f>IFERROR(__xludf.DUMMYFUNCTION("""COMPUTED_VALUE"""),10.0)</f>
        <v>10</v>
      </c>
      <c r="L170" s="201" t="str">
        <f>IFERROR(__xludf.DUMMYFUNCTION("""COMPUTED_VALUE"""),"Action-Adventure")</f>
        <v>Action-Adventure</v>
      </c>
    </row>
    <row r="171">
      <c r="A171" s="190" t="str">
        <f>IFERROR(__xludf.DUMMYFUNCTION("""COMPUTED_VALUE"""),"Tom Clancy's The Division 2")</f>
        <v>Tom Clancy's The Division 2</v>
      </c>
      <c r="B171" s="195" t="str">
        <f>IFERROR(__xludf.DUMMYFUNCTION("""COMPUTED_VALUE"""),"Xbox / PC")</f>
        <v>Xbox / PC</v>
      </c>
      <c r="C171" s="196" t="str">
        <f>IFERROR(__xludf.DUMMYFUNCTION("""COMPUTED_VALUE"""),"Yes")</f>
        <v>Yes</v>
      </c>
      <c r="D171" s="196" t="str">
        <f>IFERROR(__xludf.DUMMYFUNCTION("""COMPUTED_VALUE"""),"Active")</f>
        <v>Active</v>
      </c>
      <c r="E171" s="197">
        <f>IFERROR(__xludf.DUMMYFUNCTION("""COMPUTED_VALUE"""),45804.0)</f>
        <v>45804</v>
      </c>
      <c r="F171" s="198"/>
      <c r="G171" s="199">
        <f>IFERROR(__xludf.DUMMYFUNCTION("""COMPUTED_VALUE"""),4.6000000000000005)</f>
        <v>4.6</v>
      </c>
      <c r="H171" s="197">
        <f>IFERROR(__xludf.DUMMYFUNCTION("""COMPUTED_VALUE"""),43536.0)</f>
        <v>43536</v>
      </c>
      <c r="I171" s="199">
        <f>IFERROR(__xludf.DUMMYFUNCTION("""COMPUTED_VALUE"""),6.208333333333333)</f>
        <v>6.208333333</v>
      </c>
      <c r="J171" s="200">
        <f>IFERROR(__xludf.DUMMYFUNCTION("""COMPUTED_VALUE"""),82.0)</f>
        <v>82</v>
      </c>
      <c r="K171" s="200">
        <f>IFERROR(__xludf.DUMMYFUNCTION("""COMPUTED_VALUE"""),26.0)</f>
        <v>26</v>
      </c>
      <c r="L171" s="201" t="str">
        <f>IFERROR(__xludf.DUMMYFUNCTION("""COMPUTED_VALUE"""),"Shooter")</f>
        <v>Shooter</v>
      </c>
    </row>
    <row r="172">
      <c r="A172" s="190" t="str">
        <f>IFERROR(__xludf.DUMMYFUNCTION("""COMPUTED_VALUE"""),"The Elder Scrolls IV: Oblivion - Remastered")</f>
        <v>The Elder Scrolls IV: Oblivion - Remastered</v>
      </c>
      <c r="B172" s="195" t="str">
        <f>IFERROR(__xludf.DUMMYFUNCTION("""COMPUTED_VALUE"""),"Xbox / PC")</f>
        <v>Xbox / PC</v>
      </c>
      <c r="C172" s="196" t="str">
        <f>IFERROR(__xludf.DUMMYFUNCTION("""COMPUTED_VALUE"""),"Yes")</f>
        <v>Yes</v>
      </c>
      <c r="D172" s="196" t="str">
        <f>IFERROR(__xludf.DUMMYFUNCTION("""COMPUTED_VALUE"""),"Active")</f>
        <v>Active</v>
      </c>
      <c r="E172" s="197">
        <f>IFERROR(__xludf.DUMMYFUNCTION("""COMPUTED_VALUE"""),45769.0)</f>
        <v>45769</v>
      </c>
      <c r="F172" s="198"/>
      <c r="G172" s="199">
        <f>IFERROR(__xludf.DUMMYFUNCTION("""COMPUTED_VALUE"""),5.766666666666667)</f>
        <v>5.766666667</v>
      </c>
      <c r="H172" s="197">
        <f>IFERROR(__xludf.DUMMYFUNCTION("""COMPUTED_VALUE"""),45769.0)</f>
        <v>45769</v>
      </c>
      <c r="I172" s="199">
        <f>IFERROR(__xludf.DUMMYFUNCTION("""COMPUTED_VALUE"""),0.0)</f>
        <v>0</v>
      </c>
      <c r="J172" s="200">
        <f>IFERROR(__xludf.DUMMYFUNCTION("""COMPUTED_VALUE"""),82.0)</f>
        <v>82</v>
      </c>
      <c r="K172" s="200">
        <f>IFERROR(__xludf.DUMMYFUNCTION("""COMPUTED_VALUE"""),14.0)</f>
        <v>14</v>
      </c>
      <c r="L172" s="201" t="str">
        <f>IFERROR(__xludf.DUMMYFUNCTION("""COMPUTED_VALUE"""),"RPG")</f>
        <v>RPG</v>
      </c>
    </row>
    <row r="173">
      <c r="A173" s="190" t="str">
        <f>IFERROR(__xludf.DUMMYFUNCTION("""COMPUTED_VALUE"""),"Spyro Reignited Trilogy")</f>
        <v>Spyro Reignited Trilogy</v>
      </c>
      <c r="B173" s="195" t="str">
        <f>IFERROR(__xludf.DUMMYFUNCTION("""COMPUTED_VALUE"""),"Xbox / PC")</f>
        <v>Xbox / PC</v>
      </c>
      <c r="C173" s="196"/>
      <c r="D173" s="196" t="str">
        <f>IFERROR(__xludf.DUMMYFUNCTION("""COMPUTED_VALUE"""),"Active")</f>
        <v>Active</v>
      </c>
      <c r="E173" s="197">
        <f>IFERROR(__xludf.DUMMYFUNCTION("""COMPUTED_VALUE"""),45608.0)</f>
        <v>45608</v>
      </c>
      <c r="F173" s="198"/>
      <c r="G173" s="199">
        <f>IFERROR(__xludf.DUMMYFUNCTION("""COMPUTED_VALUE"""),11.100000000000001)</f>
        <v>11.1</v>
      </c>
      <c r="H173" s="197">
        <f>IFERROR(__xludf.DUMMYFUNCTION("""COMPUTED_VALUE"""),43417.0)</f>
        <v>43417</v>
      </c>
      <c r="I173" s="199">
        <f>IFERROR(__xludf.DUMMYFUNCTION("""COMPUTED_VALUE"""),5.997222222222222)</f>
        <v>5.997222222</v>
      </c>
      <c r="J173" s="200">
        <f>IFERROR(__xludf.DUMMYFUNCTION("""COMPUTED_VALUE"""),82.0)</f>
        <v>82</v>
      </c>
      <c r="K173" s="200">
        <f>IFERROR(__xludf.DUMMYFUNCTION("""COMPUTED_VALUE"""),17.0)</f>
        <v>17</v>
      </c>
      <c r="L173" s="201" t="str">
        <f>IFERROR(__xludf.DUMMYFUNCTION("""COMPUTED_VALUE"""),"Platformer")</f>
        <v>Platformer</v>
      </c>
    </row>
    <row r="174">
      <c r="A174" s="190" t="str">
        <f>IFERROR(__xludf.DUMMYFUNCTION("""COMPUTED_VALUE"""),"Donut County")</f>
        <v>Donut County</v>
      </c>
      <c r="B174" s="195" t="str">
        <f>IFERROR(__xludf.DUMMYFUNCTION("""COMPUTED_VALUE"""),"Xbox / PC")</f>
        <v>Xbox / PC</v>
      </c>
      <c r="C174" s="196" t="str">
        <f>IFERROR(__xludf.DUMMYFUNCTION("""COMPUTED_VALUE"""),"Touch Controls")</f>
        <v>Touch Controls</v>
      </c>
      <c r="D174" s="196" t="str">
        <f>IFERROR(__xludf.DUMMYFUNCTION("""COMPUTED_VALUE"""),"Active")</f>
        <v>Active</v>
      </c>
      <c r="E174" s="197">
        <f>IFERROR(__xludf.DUMMYFUNCTION("""COMPUTED_VALUE"""),45582.0)</f>
        <v>45582</v>
      </c>
      <c r="F174" s="198"/>
      <c r="G174" s="199">
        <f>IFERROR(__xludf.DUMMYFUNCTION("""COMPUTED_VALUE"""),11.933333333333334)</f>
        <v>11.93333333</v>
      </c>
      <c r="H174" s="197">
        <f>IFERROR(__xludf.DUMMYFUNCTION("""COMPUTED_VALUE"""),43340.0)</f>
        <v>43340</v>
      </c>
      <c r="I174" s="199">
        <f>IFERROR(__xludf.DUMMYFUNCTION("""COMPUTED_VALUE"""),6.136111111111111)</f>
        <v>6.136111111</v>
      </c>
      <c r="J174" s="200">
        <f>IFERROR(__xludf.DUMMYFUNCTION("""COMPUTED_VALUE"""),82.0)</f>
        <v>82</v>
      </c>
      <c r="K174" s="200">
        <f>IFERROR(__xludf.DUMMYFUNCTION("""COMPUTED_VALUE"""),2.0)</f>
        <v>2</v>
      </c>
      <c r="L174" s="201" t="str">
        <f>IFERROR(__xludf.DUMMYFUNCTION("""COMPUTED_VALUE"""),"Action")</f>
        <v>Action</v>
      </c>
    </row>
    <row r="175">
      <c r="A175" s="190" t="str">
        <f>IFERROR(__xludf.DUMMYFUNCTION("""COMPUTED_VALUE"""),"DOOM + DOOM II: Enhanced")</f>
        <v>DOOM + DOOM II: Enhanced</v>
      </c>
      <c r="B175" s="195" t="str">
        <f>IFERROR(__xludf.DUMMYFUNCTION("""COMPUTED_VALUE"""),"Xbox / PC")</f>
        <v>Xbox / PC</v>
      </c>
      <c r="C175" s="196" t="str">
        <f>IFERROR(__xludf.DUMMYFUNCTION("""COMPUTED_VALUE"""),"Yes")</f>
        <v>Yes</v>
      </c>
      <c r="D175" s="196" t="str">
        <f>IFERROR(__xludf.DUMMYFUNCTION("""COMPUTED_VALUE"""),"Active")</f>
        <v>Active</v>
      </c>
      <c r="E175" s="197">
        <f>IFERROR(__xludf.DUMMYFUNCTION("""COMPUTED_VALUE"""),45512.0)</f>
        <v>45512</v>
      </c>
      <c r="F175" s="198"/>
      <c r="G175" s="199">
        <f>IFERROR(__xludf.DUMMYFUNCTION("""COMPUTED_VALUE"""),14.233333333333334)</f>
        <v>14.23333333</v>
      </c>
      <c r="H175" s="197">
        <f>IFERROR(__xludf.DUMMYFUNCTION("""COMPUTED_VALUE"""),45512.0)</f>
        <v>45512</v>
      </c>
      <c r="I175" s="199">
        <f>IFERROR(__xludf.DUMMYFUNCTION("""COMPUTED_VALUE"""),0.0)</f>
        <v>0</v>
      </c>
      <c r="J175" s="200">
        <f>IFERROR(__xludf.DUMMYFUNCTION("""COMPUTED_VALUE"""),82.0)</f>
        <v>82</v>
      </c>
      <c r="K175" s="200">
        <f>IFERROR(__xludf.DUMMYFUNCTION("""COMPUTED_VALUE"""),12.0)</f>
        <v>12</v>
      </c>
      <c r="L175" s="201" t="str">
        <f>IFERROR(__xludf.DUMMYFUNCTION("""COMPUTED_VALUE"""),"Shooter")</f>
        <v>Shooter</v>
      </c>
    </row>
    <row r="176">
      <c r="A176" s="190" t="str">
        <f>IFERROR(__xludf.DUMMYFUNCTION("""COMPUTED_VALUE"""),"Dungeons Of Hinterberg")</f>
        <v>Dungeons Of Hinterberg</v>
      </c>
      <c r="B176" s="195" t="str">
        <f>IFERROR(__xludf.DUMMYFUNCTION("""COMPUTED_VALUE"""),"Xbox / PC")</f>
        <v>Xbox / PC</v>
      </c>
      <c r="C176" s="196" t="str">
        <f>IFERROR(__xludf.DUMMYFUNCTION("""COMPUTED_VALUE"""),"Yes")</f>
        <v>Yes</v>
      </c>
      <c r="D176" s="196" t="str">
        <f>IFERROR(__xludf.DUMMYFUNCTION("""COMPUTED_VALUE"""),"Active")</f>
        <v>Active</v>
      </c>
      <c r="E176" s="197">
        <f>IFERROR(__xludf.DUMMYFUNCTION("""COMPUTED_VALUE"""),45491.0)</f>
        <v>45491</v>
      </c>
      <c r="F176" s="198"/>
      <c r="G176" s="199">
        <f>IFERROR(__xludf.DUMMYFUNCTION("""COMPUTED_VALUE"""),14.9)</f>
        <v>14.9</v>
      </c>
      <c r="H176" s="197">
        <f>IFERROR(__xludf.DUMMYFUNCTION("""COMPUTED_VALUE"""),45491.0)</f>
        <v>45491</v>
      </c>
      <c r="I176" s="199">
        <f>IFERROR(__xludf.DUMMYFUNCTION("""COMPUTED_VALUE"""),0.0)</f>
        <v>0</v>
      </c>
      <c r="J176" s="200">
        <f>IFERROR(__xludf.DUMMYFUNCTION("""COMPUTED_VALUE"""),82.0)</f>
        <v>82</v>
      </c>
      <c r="K176" s="200">
        <f>IFERROR(__xludf.DUMMYFUNCTION("""COMPUTED_VALUE"""),13.0)</f>
        <v>13</v>
      </c>
      <c r="L176" s="201" t="str">
        <f>IFERROR(__xludf.DUMMYFUNCTION("""COMPUTED_VALUE"""),"Action-Adventure")</f>
        <v>Action-Adventure</v>
      </c>
    </row>
    <row r="177">
      <c r="A177" s="190" t="str">
        <f>IFERROR(__xludf.DUMMYFUNCTION("""COMPUTED_VALUE"""),"Shadow of the Tomb Raider: Definitive Edition")</f>
        <v>Shadow of the Tomb Raider: Definitive Edition</v>
      </c>
      <c r="B177" s="195" t="str">
        <f>IFERROR(__xludf.DUMMYFUNCTION("""COMPUTED_VALUE"""),"Xbox / PC")</f>
        <v>Xbox / PC</v>
      </c>
      <c r="C177" s="196" t="str">
        <f>IFERROR(__xludf.DUMMYFUNCTION("""COMPUTED_VALUE"""),"Yes")</f>
        <v>Yes</v>
      </c>
      <c r="D177" s="196" t="str">
        <f>IFERROR(__xludf.DUMMYFUNCTION("""COMPUTED_VALUE"""),"Active")</f>
        <v>Active</v>
      </c>
      <c r="E177" s="197">
        <f>IFERROR(__xludf.DUMMYFUNCTION("""COMPUTED_VALUE"""),45393.0)</f>
        <v>45393</v>
      </c>
      <c r="F177" s="198"/>
      <c r="G177" s="199">
        <f>IFERROR(__xludf.DUMMYFUNCTION("""COMPUTED_VALUE"""),18.133333333333333)</f>
        <v>18.13333333</v>
      </c>
      <c r="H177" s="197">
        <f>IFERROR(__xludf.DUMMYFUNCTION("""COMPUTED_VALUE"""),43357.0)</f>
        <v>43357</v>
      </c>
      <c r="I177" s="199">
        <f>IFERROR(__xludf.DUMMYFUNCTION("""COMPUTED_VALUE"""),5.575)</f>
        <v>5.575</v>
      </c>
      <c r="J177" s="200">
        <f>IFERROR(__xludf.DUMMYFUNCTION("""COMPUTED_VALUE"""),82.0)</f>
        <v>82</v>
      </c>
      <c r="K177" s="200">
        <f>IFERROR(__xludf.DUMMYFUNCTION("""COMPUTED_VALUE"""),13.0)</f>
        <v>13</v>
      </c>
      <c r="L177" s="201" t="str">
        <f>IFERROR(__xludf.DUMMYFUNCTION("""COMPUTED_VALUE"""),"Action-Adventure")</f>
        <v>Action-Adventure</v>
      </c>
    </row>
    <row r="178">
      <c r="A178" s="190" t="str">
        <f>IFERROR(__xludf.DUMMYFUNCTION("""COMPUTED_VALUE"""),"Superhot: Mind Control Delete")</f>
        <v>Superhot: Mind Control Delete</v>
      </c>
      <c r="B178" s="195" t="str">
        <f>IFERROR(__xludf.DUMMYFUNCTION("""COMPUTED_VALUE"""),"Xbox / PC")</f>
        <v>Xbox / PC</v>
      </c>
      <c r="C178" s="196" t="str">
        <f>IFERROR(__xludf.DUMMYFUNCTION("""COMPUTED_VALUE"""),"Yes")</f>
        <v>Yes</v>
      </c>
      <c r="D178" s="196" t="str">
        <f>IFERROR(__xludf.DUMMYFUNCTION("""COMPUTED_VALUE"""),"Active")</f>
        <v>Active</v>
      </c>
      <c r="E178" s="197">
        <f>IFERROR(__xludf.DUMMYFUNCTION("""COMPUTED_VALUE"""),45384.0)</f>
        <v>45384</v>
      </c>
      <c r="F178" s="198"/>
      <c r="G178" s="199">
        <f>IFERROR(__xludf.DUMMYFUNCTION("""COMPUTED_VALUE"""),18.433333333333334)</f>
        <v>18.43333333</v>
      </c>
      <c r="H178" s="197">
        <f>IFERROR(__xludf.DUMMYFUNCTION("""COMPUTED_VALUE"""),44028.0)</f>
        <v>44028</v>
      </c>
      <c r="I178" s="199">
        <f>IFERROR(__xludf.DUMMYFUNCTION("""COMPUTED_VALUE"""),3.7111111111111112)</f>
        <v>3.711111111</v>
      </c>
      <c r="J178" s="200">
        <f>IFERROR(__xludf.DUMMYFUNCTION("""COMPUTED_VALUE"""),82.0)</f>
        <v>82</v>
      </c>
      <c r="K178" s="200">
        <f>IFERROR(__xludf.DUMMYFUNCTION("""COMPUTED_VALUE"""),5.5)</f>
        <v>5.5</v>
      </c>
      <c r="L178" s="201" t="str">
        <f>IFERROR(__xludf.DUMMYFUNCTION("""COMPUTED_VALUE"""),"First-Person Shooter")</f>
        <v>First-Person Shooter</v>
      </c>
    </row>
    <row r="179">
      <c r="A179" s="190" t="str">
        <f>IFERROR(__xludf.DUMMYFUNCTION("""COMPUTED_VALUE"""),"F1 23")</f>
        <v>F1 23</v>
      </c>
      <c r="B179" s="195" t="str">
        <f>IFERROR(__xludf.DUMMYFUNCTION("""COMPUTED_VALUE"""),"Xbox / PC")</f>
        <v>Xbox / PC</v>
      </c>
      <c r="C179" s="196" t="str">
        <f>IFERROR(__xludf.DUMMYFUNCTION("""COMPUTED_VALUE"""),"Yes")</f>
        <v>Yes</v>
      </c>
      <c r="D179" s="196" t="str">
        <f>IFERROR(__xludf.DUMMYFUNCTION("""COMPUTED_VALUE"""),"Active")</f>
        <v>Active</v>
      </c>
      <c r="E179" s="197">
        <f>IFERROR(__xludf.DUMMYFUNCTION("""COMPUTED_VALUE"""),45309.0)</f>
        <v>45309</v>
      </c>
      <c r="F179" s="198"/>
      <c r="G179" s="199">
        <f>IFERROR(__xludf.DUMMYFUNCTION("""COMPUTED_VALUE"""),20.9)</f>
        <v>20.9</v>
      </c>
      <c r="H179" s="197">
        <f>IFERROR(__xludf.DUMMYFUNCTION("""COMPUTED_VALUE"""),45093.0)</f>
        <v>45093</v>
      </c>
      <c r="I179" s="199">
        <f>IFERROR(__xludf.DUMMYFUNCTION("""COMPUTED_VALUE"""),0.5888888888888889)</f>
        <v>0.5888888889</v>
      </c>
      <c r="J179" s="200">
        <f>IFERROR(__xludf.DUMMYFUNCTION("""COMPUTED_VALUE"""),82.0)</f>
        <v>82</v>
      </c>
      <c r="K179" s="200">
        <f>IFERROR(__xludf.DUMMYFUNCTION("""COMPUTED_VALUE"""),8.0)</f>
        <v>8</v>
      </c>
      <c r="L179" s="201" t="str">
        <f>IFERROR(__xludf.DUMMYFUNCTION("""COMPUTED_VALUE"""),"Driving/Racing")</f>
        <v>Driving/Racing</v>
      </c>
    </row>
    <row r="180">
      <c r="A180" s="202" t="str">
        <f>IFERROR(__xludf.DUMMYFUNCTION("""COMPUTED_VALUE"""),"Clone Drone in the Danger Zone")</f>
        <v>Clone Drone in the Danger Zone</v>
      </c>
      <c r="B180" s="195" t="str">
        <f>IFERROR(__xludf.DUMMYFUNCTION("""COMPUTED_VALUE"""),"Xbox / PC")</f>
        <v>Xbox / PC</v>
      </c>
      <c r="C180" s="196" t="str">
        <f>IFERROR(__xludf.DUMMYFUNCTION("""COMPUTED_VALUE"""),"Yes")</f>
        <v>Yes</v>
      </c>
      <c r="D180" s="196" t="str">
        <f>IFERROR(__xludf.DUMMYFUNCTION("""COMPUTED_VALUE"""),"Active")</f>
        <v>Active</v>
      </c>
      <c r="E180" s="197">
        <f>IFERROR(__xludf.DUMMYFUNCTION("""COMPUTED_VALUE"""),45265.0)</f>
        <v>45265</v>
      </c>
      <c r="F180" s="198"/>
      <c r="G180" s="199">
        <f>IFERROR(__xludf.DUMMYFUNCTION("""COMPUTED_VALUE"""),22.333333333333336)</f>
        <v>22.33333333</v>
      </c>
      <c r="H180" s="197">
        <f>IFERROR(__xludf.DUMMYFUNCTION("""COMPUTED_VALUE"""),42702.0)</f>
        <v>42702</v>
      </c>
      <c r="I180" s="199">
        <f>IFERROR(__xludf.DUMMYFUNCTION("""COMPUTED_VALUE"""),7.019444444444445)</f>
        <v>7.019444444</v>
      </c>
      <c r="J180" s="200">
        <f>IFERROR(__xludf.DUMMYFUNCTION("""COMPUTED_VALUE"""),82.0)</f>
        <v>82</v>
      </c>
      <c r="K180" s="200">
        <f>IFERROR(__xludf.DUMMYFUNCTION("""COMPUTED_VALUE"""),2.0)</f>
        <v>2</v>
      </c>
      <c r="L180" s="201" t="str">
        <f>IFERROR(__xludf.DUMMYFUNCTION("""COMPUTED_VALUE"""),"Action / Simulation / Fighting / Brawler")</f>
        <v>Action / Simulation / Fighting / Brawler</v>
      </c>
    </row>
    <row r="181">
      <c r="A181" s="190" t="str">
        <f>IFERROR(__xludf.DUMMYFUNCTION("""COMPUTED_VALUE"""),"Chivalry II")</f>
        <v>Chivalry II</v>
      </c>
      <c r="B181" s="195" t="str">
        <f>IFERROR(__xludf.DUMMYFUNCTION("""COMPUTED_VALUE"""),"Xbox / PC")</f>
        <v>Xbox / PC</v>
      </c>
      <c r="C181" s="196" t="str">
        <f>IFERROR(__xludf.DUMMYFUNCTION("""COMPUTED_VALUE"""),"Yes")</f>
        <v>Yes</v>
      </c>
      <c r="D181" s="196" t="str">
        <f>IFERROR(__xludf.DUMMYFUNCTION("""COMPUTED_VALUE"""),"Active")</f>
        <v>Active</v>
      </c>
      <c r="E181" s="197">
        <f>IFERROR(__xludf.DUMMYFUNCTION("""COMPUTED_VALUE"""),44838.0)</f>
        <v>44838</v>
      </c>
      <c r="F181" s="198"/>
      <c r="G181" s="199">
        <f>IFERROR(__xludf.DUMMYFUNCTION("""COMPUTED_VALUE"""),36.36666666666667)</f>
        <v>36.36666667</v>
      </c>
      <c r="H181" s="197">
        <f>IFERROR(__xludf.DUMMYFUNCTION("""COMPUTED_VALUE"""),44355.0)</f>
        <v>44355</v>
      </c>
      <c r="I181" s="199">
        <f>IFERROR(__xludf.DUMMYFUNCTION("""COMPUTED_VALUE"""),1.3222222222222222)</f>
        <v>1.322222222</v>
      </c>
      <c r="J181" s="200">
        <f>IFERROR(__xludf.DUMMYFUNCTION("""COMPUTED_VALUE"""),82.0)</f>
        <v>82</v>
      </c>
      <c r="K181" s="200">
        <f>IFERROR(__xludf.DUMMYFUNCTION("""COMPUTED_VALUE"""),42.5)</f>
        <v>42.5</v>
      </c>
      <c r="L181" s="201" t="str">
        <f>IFERROR(__xludf.DUMMYFUNCTION("""COMPUTED_VALUE"""),"Action")</f>
        <v>Action</v>
      </c>
    </row>
    <row r="182">
      <c r="A182" s="190" t="str">
        <f>IFERROR(__xludf.DUMMYFUNCTION("""COMPUTED_VALUE"""),"Ni no Kuni: Wrath of the White Witch - Remastered")</f>
        <v>Ni no Kuni: Wrath of the White Witch - Remastered</v>
      </c>
      <c r="B182" s="195" t="str">
        <f>IFERROR(__xludf.DUMMYFUNCTION("""COMPUTED_VALUE"""),"Xbox / PC")</f>
        <v>Xbox / PC</v>
      </c>
      <c r="C182" s="196" t="str">
        <f>IFERROR(__xludf.DUMMYFUNCTION("""COMPUTED_VALUE"""),"Touch Controls")</f>
        <v>Touch Controls</v>
      </c>
      <c r="D182" s="196" t="str">
        <f>IFERROR(__xludf.DUMMYFUNCTION("""COMPUTED_VALUE"""),"Active")</f>
        <v>Active</v>
      </c>
      <c r="E182" s="197">
        <f>IFERROR(__xludf.DUMMYFUNCTION("""COMPUTED_VALUE"""),44819.0)</f>
        <v>44819</v>
      </c>
      <c r="F182" s="198"/>
      <c r="G182" s="199">
        <f>IFERROR(__xludf.DUMMYFUNCTION("""COMPUTED_VALUE"""),37.0)</f>
        <v>37</v>
      </c>
      <c r="H182" s="197">
        <f>IFERROR(__xludf.DUMMYFUNCTION("""COMPUTED_VALUE"""),43728.0)</f>
        <v>43728</v>
      </c>
      <c r="I182" s="199">
        <f>IFERROR(__xludf.DUMMYFUNCTION("""COMPUTED_VALUE"""),2.986111111111111)</f>
        <v>2.986111111</v>
      </c>
      <c r="J182" s="200">
        <f>IFERROR(__xludf.DUMMYFUNCTION("""COMPUTED_VALUE"""),82.0)</f>
        <v>82</v>
      </c>
      <c r="K182" s="200">
        <f>IFERROR(__xludf.DUMMYFUNCTION("""COMPUTED_VALUE"""),44.5)</f>
        <v>44.5</v>
      </c>
      <c r="L182" s="201" t="str">
        <f>IFERROR(__xludf.DUMMYFUNCTION("""COMPUTED_VALUE"""),"RPG / Action-Adventure")</f>
        <v>RPG / Action-Adventure</v>
      </c>
    </row>
    <row r="183">
      <c r="A183" s="190" t="str">
        <f>IFERROR(__xludf.DUMMYFUNCTION("""COMPUTED_VALUE"""),"Citizen Sleeper")</f>
        <v>Citizen Sleeper</v>
      </c>
      <c r="B183" s="195" t="str">
        <f>IFERROR(__xludf.DUMMYFUNCTION("""COMPUTED_VALUE"""),"Xbox / PC")</f>
        <v>Xbox / PC</v>
      </c>
      <c r="C183" s="196" t="str">
        <f>IFERROR(__xludf.DUMMYFUNCTION("""COMPUTED_VALUE"""),"Touch Controls")</f>
        <v>Touch Controls</v>
      </c>
      <c r="D183" s="196" t="str">
        <f>IFERROR(__xludf.DUMMYFUNCTION("""COMPUTED_VALUE"""),"Active")</f>
        <v>Active</v>
      </c>
      <c r="E183" s="197">
        <f>IFERROR(__xludf.DUMMYFUNCTION("""COMPUTED_VALUE"""),44686.0)</f>
        <v>44686</v>
      </c>
      <c r="F183" s="198"/>
      <c r="G183" s="199">
        <f>IFERROR(__xludf.DUMMYFUNCTION("""COMPUTED_VALUE"""),41.333333333333336)</f>
        <v>41.33333333</v>
      </c>
      <c r="H183" s="197">
        <f>IFERROR(__xludf.DUMMYFUNCTION("""COMPUTED_VALUE"""),44686.0)</f>
        <v>44686</v>
      </c>
      <c r="I183" s="199">
        <f>IFERROR(__xludf.DUMMYFUNCTION("""COMPUTED_VALUE"""),0.0)</f>
        <v>0</v>
      </c>
      <c r="J183" s="200">
        <f>IFERROR(__xludf.DUMMYFUNCTION("""COMPUTED_VALUE"""),82.0)</f>
        <v>82</v>
      </c>
      <c r="K183" s="200">
        <f>IFERROR(__xludf.DUMMYFUNCTION("""COMPUTED_VALUE"""),6.0)</f>
        <v>6</v>
      </c>
      <c r="L183" s="201" t="str">
        <f>IFERROR(__xludf.DUMMYFUNCTION("""COMPUTED_VALUE"""),"Adventure / RPG")</f>
        <v>Adventure / RPG</v>
      </c>
    </row>
    <row r="184">
      <c r="A184" s="190" t="str">
        <f>IFERROR(__xludf.DUMMYFUNCTION("""COMPUTED_VALUE"""),"Unpacking")</f>
        <v>Unpacking</v>
      </c>
      <c r="B184" s="195" t="str">
        <f>IFERROR(__xludf.DUMMYFUNCTION("""COMPUTED_VALUE"""),"Xbox / PC")</f>
        <v>Xbox / PC</v>
      </c>
      <c r="C184" s="196" t="str">
        <f>IFERROR(__xludf.DUMMYFUNCTION("""COMPUTED_VALUE"""),"Touch Controls")</f>
        <v>Touch Controls</v>
      </c>
      <c r="D184" s="196" t="str">
        <f>IFERROR(__xludf.DUMMYFUNCTION("""COMPUTED_VALUE"""),"Active")</f>
        <v>Active</v>
      </c>
      <c r="E184" s="197">
        <f>IFERROR(__xludf.DUMMYFUNCTION("""COMPUTED_VALUE"""),44502.0)</f>
        <v>44502</v>
      </c>
      <c r="F184" s="198"/>
      <c r="G184" s="199">
        <f>IFERROR(__xludf.DUMMYFUNCTION("""COMPUTED_VALUE"""),47.43333333333334)</f>
        <v>47.43333333</v>
      </c>
      <c r="H184" s="197">
        <f>IFERROR(__xludf.DUMMYFUNCTION("""COMPUTED_VALUE"""),44502.0)</f>
        <v>44502</v>
      </c>
      <c r="I184" s="199">
        <f>IFERROR(__xludf.DUMMYFUNCTION("""COMPUTED_VALUE"""),0.0)</f>
        <v>0</v>
      </c>
      <c r="J184" s="200">
        <f>IFERROR(__xludf.DUMMYFUNCTION("""COMPUTED_VALUE"""),82.0)</f>
        <v>82</v>
      </c>
      <c r="K184" s="200">
        <f>IFERROR(__xludf.DUMMYFUNCTION("""COMPUTED_VALUE"""),3.5)</f>
        <v>3.5</v>
      </c>
      <c r="L184" s="201" t="str">
        <f>IFERROR(__xludf.DUMMYFUNCTION("""COMPUTED_VALUE"""),"Simulation / Puzzle")</f>
        <v>Simulation / Puzzle</v>
      </c>
    </row>
    <row r="185">
      <c r="A185" s="190" t="str">
        <f>IFERROR(__xludf.DUMMYFUNCTION("""COMPUTED_VALUE"""),"Fallout Tactics: Brotherhood of Steel")</f>
        <v>Fallout Tactics: Brotherhood of Steel</v>
      </c>
      <c r="B185" s="195" t="str">
        <f>IFERROR(__xludf.DUMMYFUNCTION("""COMPUTED_VALUE"""),"PC")</f>
        <v>PC</v>
      </c>
      <c r="C185" s="196"/>
      <c r="D185" s="196" t="str">
        <f>IFERROR(__xludf.DUMMYFUNCTION("""COMPUTED_VALUE"""),"Active")</f>
        <v>Active</v>
      </c>
      <c r="E185" s="197">
        <f>IFERROR(__xludf.DUMMYFUNCTION("""COMPUTED_VALUE"""),44360.0)</f>
        <v>44360</v>
      </c>
      <c r="F185" s="198"/>
      <c r="G185" s="199">
        <f>IFERROR(__xludf.DUMMYFUNCTION("""COMPUTED_VALUE"""),52.06666666666666)</f>
        <v>52.06666667</v>
      </c>
      <c r="H185" s="197">
        <f>IFERROR(__xludf.DUMMYFUNCTION("""COMPUTED_VALUE"""),36964.0)</f>
        <v>36964</v>
      </c>
      <c r="I185" s="199">
        <f>IFERROR(__xludf.DUMMYFUNCTION("""COMPUTED_VALUE"""),20.247222222222224)</f>
        <v>20.24722222</v>
      </c>
      <c r="J185" s="200">
        <f>IFERROR(__xludf.DUMMYFUNCTION("""COMPUTED_VALUE"""),82.0)</f>
        <v>82</v>
      </c>
      <c r="K185" s="200">
        <f>IFERROR(__xludf.DUMMYFUNCTION("""COMPUTED_VALUE"""),31.0)</f>
        <v>31</v>
      </c>
      <c r="L185" s="201" t="str">
        <f>IFERROR(__xludf.DUMMYFUNCTION("""COMPUTED_VALUE"""),"Action / Strategy / RPG")</f>
        <v>Action / Strategy / RPG</v>
      </c>
    </row>
    <row r="186">
      <c r="A186" s="190" t="str">
        <f>IFERROR(__xludf.DUMMYFUNCTION("""COMPUTED_VALUE"""),"Command &amp; Conquer: Remastered Collection")</f>
        <v>Command &amp; Conquer: Remastered Collection</v>
      </c>
      <c r="B186" s="195" t="str">
        <f>IFERROR(__xludf.DUMMYFUNCTION("""COMPUTED_VALUE"""),"PC")</f>
        <v>PC</v>
      </c>
      <c r="C186" s="196"/>
      <c r="D186" s="196" t="str">
        <f>IFERROR(__xludf.DUMMYFUNCTION("""COMPUTED_VALUE"""),"Active")</f>
        <v>Active</v>
      </c>
      <c r="E186" s="197">
        <f>IFERROR(__xludf.DUMMYFUNCTION("""COMPUTED_VALUE"""),44273.0)</f>
        <v>44273</v>
      </c>
      <c r="F186" s="198"/>
      <c r="G186" s="199">
        <f>IFERROR(__xludf.DUMMYFUNCTION("""COMPUTED_VALUE"""),54.900000000000006)</f>
        <v>54.9</v>
      </c>
      <c r="H186" s="197">
        <f>IFERROR(__xludf.DUMMYFUNCTION("""COMPUTED_VALUE"""),43987.0)</f>
        <v>43987</v>
      </c>
      <c r="I186" s="199">
        <f>IFERROR(__xludf.DUMMYFUNCTION("""COMPUTED_VALUE"""),0.7861111111111111)</f>
        <v>0.7861111111</v>
      </c>
      <c r="J186" s="200">
        <f>IFERROR(__xludf.DUMMYFUNCTION("""COMPUTED_VALUE"""),82.0)</f>
        <v>82</v>
      </c>
      <c r="K186" s="200">
        <f>IFERROR(__xludf.DUMMYFUNCTION("""COMPUTED_VALUE"""),29.5)</f>
        <v>29.5</v>
      </c>
      <c r="L186" s="201" t="str">
        <f>IFERROR(__xludf.DUMMYFUNCTION("""COMPUTED_VALUE"""),"Action / Strategy / Shooter / Flight Simulator")</f>
        <v>Action / Strategy / Shooter / Flight Simulator</v>
      </c>
    </row>
    <row r="187">
      <c r="A187" s="190" t="str">
        <f>IFERROR(__xludf.DUMMYFUNCTION("""COMPUTED_VALUE"""),"Wreckfest")</f>
        <v>Wreckfest</v>
      </c>
      <c r="B187" s="195" t="str">
        <f>IFERROR(__xludf.DUMMYFUNCTION("""COMPUTED_VALUE"""),"Xbox / PC")</f>
        <v>Xbox / PC</v>
      </c>
      <c r="C187" s="196" t="str">
        <f>IFERROR(__xludf.DUMMYFUNCTION("""COMPUTED_VALUE"""),"Touch Controls")</f>
        <v>Touch Controls</v>
      </c>
      <c r="D187" s="196" t="str">
        <f>IFERROR(__xludf.DUMMYFUNCTION("""COMPUTED_VALUE"""),"Active")</f>
        <v>Active</v>
      </c>
      <c r="E187" s="197">
        <f>IFERROR(__xludf.DUMMYFUNCTION("""COMPUTED_VALUE"""),44245.0)</f>
        <v>44245</v>
      </c>
      <c r="F187" s="198"/>
      <c r="G187" s="199">
        <f>IFERROR(__xludf.DUMMYFUNCTION("""COMPUTED_VALUE"""),55.9)</f>
        <v>55.9</v>
      </c>
      <c r="H187" s="197">
        <f>IFERROR(__xludf.DUMMYFUNCTION("""COMPUTED_VALUE"""),43265.0)</f>
        <v>43265</v>
      </c>
      <c r="I187" s="199">
        <f>IFERROR(__xludf.DUMMYFUNCTION("""COMPUTED_VALUE"""),2.6777777777777776)</f>
        <v>2.677777778</v>
      </c>
      <c r="J187" s="200">
        <f>IFERROR(__xludf.DUMMYFUNCTION("""COMPUTED_VALUE"""),82.0)</f>
        <v>82</v>
      </c>
      <c r="K187" s="200">
        <f>IFERROR(__xludf.DUMMYFUNCTION("""COMPUTED_VALUE"""),19.5)</f>
        <v>19.5</v>
      </c>
      <c r="L187" s="201" t="str">
        <f>IFERROR(__xludf.DUMMYFUNCTION("""COMPUTED_VALUE"""),"Driving/Racing")</f>
        <v>Driving/Racing</v>
      </c>
    </row>
    <row r="188">
      <c r="A188" s="190" t="str">
        <f>IFERROR(__xludf.DUMMYFUNCTION("""COMPUTED_VALUE"""),"The Elder Scrolls V: Skyrim Special Edition")</f>
        <v>The Elder Scrolls V: Skyrim Special Edition</v>
      </c>
      <c r="B188" s="195" t="str">
        <f>IFERROR(__xludf.DUMMYFUNCTION("""COMPUTED_VALUE"""),"Xbox / PC")</f>
        <v>Xbox / PC</v>
      </c>
      <c r="C188" s="196" t="str">
        <f>IFERROR(__xludf.DUMMYFUNCTION("""COMPUTED_VALUE"""),"Yes")</f>
        <v>Yes</v>
      </c>
      <c r="D188" s="196" t="str">
        <f>IFERROR(__xludf.DUMMYFUNCTION("""COMPUTED_VALUE"""),"Active")</f>
        <v>Active</v>
      </c>
      <c r="E188" s="197">
        <f>IFERROR(__xludf.DUMMYFUNCTION("""COMPUTED_VALUE"""),44180.0)</f>
        <v>44180</v>
      </c>
      <c r="F188" s="198"/>
      <c r="G188" s="199">
        <f>IFERROR(__xludf.DUMMYFUNCTION("""COMPUTED_VALUE"""),58.0)</f>
        <v>58</v>
      </c>
      <c r="H188" s="197">
        <f>IFERROR(__xludf.DUMMYFUNCTION("""COMPUTED_VALUE"""),42671.0)</f>
        <v>42671</v>
      </c>
      <c r="I188" s="199">
        <f>IFERROR(__xludf.DUMMYFUNCTION("""COMPUTED_VALUE"""),4.1305555555555555)</f>
        <v>4.130555556</v>
      </c>
      <c r="J188" s="200">
        <f>IFERROR(__xludf.DUMMYFUNCTION("""COMPUTED_VALUE"""),82.0)</f>
        <v>82</v>
      </c>
      <c r="K188" s="200">
        <f>IFERROR(__xludf.DUMMYFUNCTION("""COMPUTED_VALUE"""),25.5)</f>
        <v>25.5</v>
      </c>
      <c r="L188" s="201" t="str">
        <f>IFERROR(__xludf.DUMMYFUNCTION("""COMPUTED_VALUE"""),"RPG")</f>
        <v>RPG</v>
      </c>
    </row>
    <row r="189">
      <c r="A189" s="190" t="str">
        <f>IFERROR(__xludf.DUMMYFUNCTION("""COMPUTED_VALUE"""),"Monster Sanctuary")</f>
        <v>Monster Sanctuary</v>
      </c>
      <c r="B189" s="195" t="str">
        <f>IFERROR(__xludf.DUMMYFUNCTION("""COMPUTED_VALUE"""),"Xbox / PC")</f>
        <v>Xbox / PC</v>
      </c>
      <c r="C189" s="196" t="str">
        <f>IFERROR(__xludf.DUMMYFUNCTION("""COMPUTED_VALUE"""),"Touch Controls")</f>
        <v>Touch Controls</v>
      </c>
      <c r="D189" s="196" t="str">
        <f>IFERROR(__xludf.DUMMYFUNCTION("""COMPUTED_VALUE"""),"Active")</f>
        <v>Active</v>
      </c>
      <c r="E189" s="197">
        <f>IFERROR(__xludf.DUMMYFUNCTION("""COMPUTED_VALUE"""),44173.0)</f>
        <v>44173</v>
      </c>
      <c r="F189" s="198"/>
      <c r="G189" s="199">
        <f>IFERROR(__xludf.DUMMYFUNCTION("""COMPUTED_VALUE"""),58.233333333333334)</f>
        <v>58.23333333</v>
      </c>
      <c r="H189" s="197">
        <f>IFERROR(__xludf.DUMMYFUNCTION("""COMPUTED_VALUE"""),43705.0)</f>
        <v>43705</v>
      </c>
      <c r="I189" s="199">
        <f>IFERROR(__xludf.DUMMYFUNCTION("""COMPUTED_VALUE"""),1.2777777777777777)</f>
        <v>1.277777778</v>
      </c>
      <c r="J189" s="200">
        <f>IFERROR(__xludf.DUMMYFUNCTION("""COMPUTED_VALUE"""),82.0)</f>
        <v>82</v>
      </c>
      <c r="K189" s="200">
        <f>IFERROR(__xludf.DUMMYFUNCTION("""COMPUTED_VALUE"""),27.0)</f>
        <v>27</v>
      </c>
      <c r="L189" s="201" t="str">
        <f>IFERROR(__xludf.DUMMYFUNCTION("""COMPUTED_VALUE"""),"Adventure / Platformer")</f>
        <v>Adventure / Platformer</v>
      </c>
    </row>
    <row r="190">
      <c r="A190" s="190" t="str">
        <f>IFERROR(__xludf.DUMMYFUNCTION("""COMPUTED_VALUE"""),"Gears of War: Ultimate Edition")</f>
        <v>Gears of War: Ultimate Edition</v>
      </c>
      <c r="B190" s="195" t="str">
        <f>IFERROR(__xludf.DUMMYFUNCTION("""COMPUTED_VALUE"""),"Xbox / PC")</f>
        <v>Xbox / PC</v>
      </c>
      <c r="C190" s="196" t="str">
        <f>IFERROR(__xludf.DUMMYFUNCTION("""COMPUTED_VALUE"""),"Yes")</f>
        <v>Yes</v>
      </c>
      <c r="D190" s="196" t="str">
        <f>IFERROR(__xludf.DUMMYFUNCTION("""COMPUTED_VALUE"""),"Active")</f>
        <v>Active</v>
      </c>
      <c r="E190" s="197">
        <f>IFERROR(__xludf.DUMMYFUNCTION("""COMPUTED_VALUE"""),42887.0)</f>
        <v>42887</v>
      </c>
      <c r="F190" s="198"/>
      <c r="G190" s="199">
        <f>IFERROR(__xludf.DUMMYFUNCTION("""COMPUTED_VALUE"""),100.46666666666667)</f>
        <v>100.4666667</v>
      </c>
      <c r="H190" s="197">
        <f>IFERROR(__xludf.DUMMYFUNCTION("""COMPUTED_VALUE"""),39028.0)</f>
        <v>39028</v>
      </c>
      <c r="I190" s="199">
        <f>IFERROR(__xludf.DUMMYFUNCTION("""COMPUTED_VALUE"""),10.566666666666666)</f>
        <v>10.56666667</v>
      </c>
      <c r="J190" s="200">
        <f>IFERROR(__xludf.DUMMYFUNCTION("""COMPUTED_VALUE"""),82.0)</f>
        <v>82</v>
      </c>
      <c r="K190" s="200">
        <f>IFERROR(__xludf.DUMMYFUNCTION("""COMPUTED_VALUE"""),9.0)</f>
        <v>9</v>
      </c>
      <c r="L190" s="201" t="str">
        <f>IFERROR(__xludf.DUMMYFUNCTION("""COMPUTED_VALUE"""),"Shooter")</f>
        <v>Shooter</v>
      </c>
    </row>
    <row r="191">
      <c r="A191" s="190" t="str">
        <f>IFERROR(__xludf.DUMMYFUNCTION("""COMPUTED_VALUE"""),"Super Mega Baseball 3")</f>
        <v>Super Mega Baseball 3</v>
      </c>
      <c r="B191" s="195" t="str">
        <f>IFERROR(__xludf.DUMMYFUNCTION("""COMPUTED_VALUE"""),"Xbox / PC")</f>
        <v>Xbox / PC</v>
      </c>
      <c r="C191" s="196" t="str">
        <f>IFERROR(__xludf.DUMMYFUNCTION("""COMPUTED_VALUE"""),"Touch Controls")</f>
        <v>Touch Controls</v>
      </c>
      <c r="D191" s="196" t="str">
        <f>IFERROR(__xludf.DUMMYFUNCTION("""COMPUTED_VALUE"""),"Active")</f>
        <v>Active</v>
      </c>
      <c r="E191" s="197">
        <f>IFERROR(__xludf.DUMMYFUNCTION("""COMPUTED_VALUE"""),44616.0)</f>
        <v>44616</v>
      </c>
      <c r="F191" s="198"/>
      <c r="G191" s="199">
        <f>IFERROR(__xludf.DUMMYFUNCTION("""COMPUTED_VALUE"""),43.7)</f>
        <v>43.7</v>
      </c>
      <c r="H191" s="197">
        <f>IFERROR(__xludf.DUMMYFUNCTION("""COMPUTED_VALUE"""),43964.0)</f>
        <v>43964</v>
      </c>
      <c r="I191" s="199">
        <f>IFERROR(__xludf.DUMMYFUNCTION("""COMPUTED_VALUE"""),1.7805555555555554)</f>
        <v>1.780555556</v>
      </c>
      <c r="J191" s="200">
        <f>IFERROR(__xludf.DUMMYFUNCTION("""COMPUTED_VALUE"""),81.5)</f>
        <v>81.5</v>
      </c>
      <c r="K191" s="200">
        <f>IFERROR(__xludf.DUMMYFUNCTION("""COMPUTED_VALUE"""),24.0)</f>
        <v>24</v>
      </c>
      <c r="L191" s="201" t="str">
        <f>IFERROR(__xludf.DUMMYFUNCTION("""COMPUTED_VALUE"""),"Sports / Baseball")</f>
        <v>Sports / Baseball</v>
      </c>
    </row>
    <row r="192">
      <c r="A192" s="190" t="str">
        <f>IFERROR(__xludf.DUMMYFUNCTION("""COMPUTED_VALUE"""),"Trackmania Turbo")</f>
        <v>Trackmania Turbo</v>
      </c>
      <c r="B192" s="195" t="str">
        <f>IFERROR(__xludf.DUMMYFUNCTION("""COMPUTED_VALUE"""),"Xbox / PC")</f>
        <v>Xbox / PC</v>
      </c>
      <c r="C192" s="196" t="str">
        <f>IFERROR(__xludf.DUMMYFUNCTION("""COMPUTED_VALUE"""),"Yes")</f>
        <v>Yes</v>
      </c>
      <c r="D192" s="196" t="str">
        <f>IFERROR(__xludf.DUMMYFUNCTION("""COMPUTED_VALUE"""),"Active")</f>
        <v>Active</v>
      </c>
      <c r="E192" s="197">
        <f>IFERROR(__xludf.DUMMYFUNCTION("""COMPUTED_VALUE"""),45931.0)</f>
        <v>45931</v>
      </c>
      <c r="F192" s="198"/>
      <c r="G192" s="199">
        <f>IFERROR(__xludf.DUMMYFUNCTION("""COMPUTED_VALUE"""),0.4666666666666667)</f>
        <v>0.4666666667</v>
      </c>
      <c r="H192" s="197">
        <f>IFERROR(__xludf.DUMMYFUNCTION("""COMPUTED_VALUE"""),42451.0)</f>
        <v>42451</v>
      </c>
      <c r="I192" s="199">
        <f>IFERROR(__xludf.DUMMYFUNCTION("""COMPUTED_VALUE"""),9.525)</f>
        <v>9.525</v>
      </c>
      <c r="J192" s="200">
        <f>IFERROR(__xludf.DUMMYFUNCTION("""COMPUTED_VALUE"""),81.0)</f>
        <v>81</v>
      </c>
      <c r="K192" s="200">
        <f>IFERROR(__xludf.DUMMYFUNCTION("""COMPUTED_VALUE"""),13.0)</f>
        <v>13</v>
      </c>
      <c r="L192" s="201" t="str">
        <f>IFERROR(__xludf.DUMMYFUNCTION("""COMPUTED_VALUE"""),"Racing")</f>
        <v>Racing</v>
      </c>
    </row>
    <row r="193">
      <c r="A193" s="190" t="str">
        <f>IFERROR(__xludf.DUMMYFUNCTION("""COMPUTED_VALUE"""),"Uno")</f>
        <v>Uno</v>
      </c>
      <c r="B193" s="195" t="str">
        <f>IFERROR(__xludf.DUMMYFUNCTION("""COMPUTED_VALUE"""),"Xbox / PC")</f>
        <v>Xbox / PC</v>
      </c>
      <c r="C193" s="196" t="str">
        <f>IFERROR(__xludf.DUMMYFUNCTION("""COMPUTED_VALUE"""),"Yes")</f>
        <v>Yes</v>
      </c>
      <c r="D193" s="196" t="str">
        <f>IFERROR(__xludf.DUMMYFUNCTION("""COMPUTED_VALUE"""),"Active")</f>
        <v>Active</v>
      </c>
      <c r="E193" s="197">
        <f>IFERROR(__xludf.DUMMYFUNCTION("""COMPUTED_VALUE"""),45931.0)</f>
        <v>45931</v>
      </c>
      <c r="F193" s="198"/>
      <c r="G193" s="199">
        <f>IFERROR(__xludf.DUMMYFUNCTION("""COMPUTED_VALUE"""),0.4666666666666667)</f>
        <v>0.4666666667</v>
      </c>
      <c r="H193" s="197">
        <f>IFERROR(__xludf.DUMMYFUNCTION("""COMPUTED_VALUE"""),38846.0)</f>
        <v>38846</v>
      </c>
      <c r="I193" s="199">
        <f>IFERROR(__xludf.DUMMYFUNCTION("""COMPUTED_VALUE"""),19.394444444444446)</f>
        <v>19.39444444</v>
      </c>
      <c r="J193" s="200">
        <f>IFERROR(__xludf.DUMMYFUNCTION("""COMPUTED_VALUE"""),81.0)</f>
        <v>81</v>
      </c>
      <c r="K193" s="200">
        <f>IFERROR(__xludf.DUMMYFUNCTION("""COMPUTED_VALUE"""),3.0)</f>
        <v>3</v>
      </c>
      <c r="L193" s="201" t="str">
        <f>IFERROR(__xludf.DUMMYFUNCTION("""COMPUTED_VALUE"""),"Board")</f>
        <v>Board</v>
      </c>
    </row>
    <row r="194">
      <c r="A194" s="190" t="str">
        <f>IFERROR(__xludf.DUMMYFUNCTION("""COMPUTED_VALUE"""),"The Rogue Prince of Persia")</f>
        <v>The Rogue Prince of Persia</v>
      </c>
      <c r="B194" s="195" t="str">
        <f>IFERROR(__xludf.DUMMYFUNCTION("""COMPUTED_VALUE"""),"Xbox / PC")</f>
        <v>Xbox / PC</v>
      </c>
      <c r="C194" s="196" t="str">
        <f>IFERROR(__xludf.DUMMYFUNCTION("""COMPUTED_VALUE"""),"Yes")</f>
        <v>Yes</v>
      </c>
      <c r="D194" s="196" t="str">
        <f>IFERROR(__xludf.DUMMYFUNCTION("""COMPUTED_VALUE"""),"Active")</f>
        <v>Active</v>
      </c>
      <c r="E194" s="197">
        <f>IFERROR(__xludf.DUMMYFUNCTION("""COMPUTED_VALUE"""),45889.0)</f>
        <v>45889</v>
      </c>
      <c r="F194" s="198"/>
      <c r="G194" s="199">
        <f>IFERROR(__xludf.DUMMYFUNCTION("""COMPUTED_VALUE"""),1.8333333333333335)</f>
        <v>1.833333333</v>
      </c>
      <c r="H194" s="197">
        <f>IFERROR(__xludf.DUMMYFUNCTION("""COMPUTED_VALUE"""),45889.0)</f>
        <v>45889</v>
      </c>
      <c r="I194" s="199">
        <f>IFERROR(__xludf.DUMMYFUNCTION("""COMPUTED_VALUE"""),0.0)</f>
        <v>0</v>
      </c>
      <c r="J194" s="200">
        <f>IFERROR(__xludf.DUMMYFUNCTION("""COMPUTED_VALUE"""),81.0)</f>
        <v>81</v>
      </c>
      <c r="K194" s="200">
        <f>IFERROR(__xludf.DUMMYFUNCTION("""COMPUTED_VALUE"""),8.0)</f>
        <v>8</v>
      </c>
      <c r="L194" s="201" t="str">
        <f>IFERROR(__xludf.DUMMYFUNCTION("""COMPUTED_VALUE"""),"Platformer")</f>
        <v>Platformer</v>
      </c>
    </row>
    <row r="195">
      <c r="A195" s="190" t="str">
        <f>IFERROR(__xludf.DUMMYFUNCTION("""COMPUTED_VALUE"""),"My Friendly Neighborhood")</f>
        <v>My Friendly Neighborhood</v>
      </c>
      <c r="B195" s="195" t="str">
        <f>IFERROR(__xludf.DUMMYFUNCTION("""COMPUTED_VALUE"""),"Xbox / PC")</f>
        <v>Xbox / PC</v>
      </c>
      <c r="C195" s="196" t="str">
        <f>IFERROR(__xludf.DUMMYFUNCTION("""COMPUTED_VALUE"""),"Yes")</f>
        <v>Yes</v>
      </c>
      <c r="D195" s="196" t="str">
        <f>IFERROR(__xludf.DUMMYFUNCTION("""COMPUTED_VALUE"""),"Active")</f>
        <v>Active</v>
      </c>
      <c r="E195" s="197">
        <f>IFERROR(__xludf.DUMMYFUNCTION("""COMPUTED_VALUE"""),45855.0)</f>
        <v>45855</v>
      </c>
      <c r="F195" s="198"/>
      <c r="G195" s="199">
        <f>IFERROR(__xludf.DUMMYFUNCTION("""COMPUTED_VALUE"""),2.933333333333333)</f>
        <v>2.933333333</v>
      </c>
      <c r="H195" s="197">
        <f>IFERROR(__xludf.DUMMYFUNCTION("""COMPUTED_VALUE"""),45125.0)</f>
        <v>45125</v>
      </c>
      <c r="I195" s="199">
        <f>IFERROR(__xludf.DUMMYFUNCTION("""COMPUTED_VALUE"""),1.9972222222222222)</f>
        <v>1.997222222</v>
      </c>
      <c r="J195" s="200">
        <f>IFERROR(__xludf.DUMMYFUNCTION("""COMPUTED_VALUE"""),81.0)</f>
        <v>81</v>
      </c>
      <c r="K195" s="200">
        <f>IFERROR(__xludf.DUMMYFUNCTION("""COMPUTED_VALUE"""),5.0)</f>
        <v>5</v>
      </c>
      <c r="L195" s="201" t="str">
        <f>IFERROR(__xludf.DUMMYFUNCTION("""COMPUTED_VALUE"""),"Survival")</f>
        <v>Survival</v>
      </c>
    </row>
    <row r="196">
      <c r="A196" s="190" t="str">
        <f>IFERROR(__xludf.DUMMYFUNCTION("""COMPUTED_VALUE"""),"Anno 1800")</f>
        <v>Anno 1800</v>
      </c>
      <c r="B196" s="195" t="str">
        <f>IFERROR(__xludf.DUMMYFUNCTION("""COMPUTED_VALUE"""),"Xbox / PC")</f>
        <v>Xbox / PC</v>
      </c>
      <c r="C196" s="196" t="str">
        <f>IFERROR(__xludf.DUMMYFUNCTION("""COMPUTED_VALUE"""),"Yes")</f>
        <v>Yes</v>
      </c>
      <c r="D196" s="196" t="str">
        <f>IFERROR(__xludf.DUMMYFUNCTION("""COMPUTED_VALUE"""),"Active")</f>
        <v>Active</v>
      </c>
      <c r="E196" s="197">
        <f>IFERROR(__xludf.DUMMYFUNCTION("""COMPUTED_VALUE"""),45778.0)</f>
        <v>45778</v>
      </c>
      <c r="F196" s="198"/>
      <c r="G196" s="199">
        <f>IFERROR(__xludf.DUMMYFUNCTION("""COMPUTED_VALUE"""),5.466666666666667)</f>
        <v>5.466666667</v>
      </c>
      <c r="H196" s="197">
        <f>IFERROR(__xludf.DUMMYFUNCTION("""COMPUTED_VALUE"""),43571.0)</f>
        <v>43571</v>
      </c>
      <c r="I196" s="199">
        <f>IFERROR(__xludf.DUMMYFUNCTION("""COMPUTED_VALUE"""),6.041666666666667)</f>
        <v>6.041666667</v>
      </c>
      <c r="J196" s="200">
        <f>IFERROR(__xludf.DUMMYFUNCTION("""COMPUTED_VALUE"""),81.0)</f>
        <v>81</v>
      </c>
      <c r="K196" s="200">
        <f>IFERROR(__xludf.DUMMYFUNCTION("""COMPUTED_VALUE"""),15.0)</f>
        <v>15</v>
      </c>
      <c r="L196" s="201" t="str">
        <f>IFERROR(__xludf.DUMMYFUNCTION("""COMPUTED_VALUE"""),"Management")</f>
        <v>Management</v>
      </c>
    </row>
    <row r="197">
      <c r="A197" s="190" t="str">
        <f>IFERROR(__xludf.DUMMYFUNCTION("""COMPUTED_VALUE"""),"Avowed")</f>
        <v>Avowed</v>
      </c>
      <c r="B197" s="195" t="str">
        <f>IFERROR(__xludf.DUMMYFUNCTION("""COMPUTED_VALUE"""),"Xbox / PC")</f>
        <v>Xbox / PC</v>
      </c>
      <c r="C197" s="196" t="str">
        <f>IFERROR(__xludf.DUMMYFUNCTION("""COMPUTED_VALUE"""),"Yes")</f>
        <v>Yes</v>
      </c>
      <c r="D197" s="196" t="str">
        <f>IFERROR(__xludf.DUMMYFUNCTION("""COMPUTED_VALUE"""),"Active")</f>
        <v>Active</v>
      </c>
      <c r="E197" s="197">
        <f>IFERROR(__xludf.DUMMYFUNCTION("""COMPUTED_VALUE"""),45706.0)</f>
        <v>45706</v>
      </c>
      <c r="F197" s="198"/>
      <c r="G197" s="199">
        <f>IFERROR(__xludf.DUMMYFUNCTION("""COMPUTED_VALUE"""),7.9)</f>
        <v>7.9</v>
      </c>
      <c r="H197" s="197">
        <f>IFERROR(__xludf.DUMMYFUNCTION("""COMPUTED_VALUE"""),45706.0)</f>
        <v>45706</v>
      </c>
      <c r="I197" s="199">
        <f>IFERROR(__xludf.DUMMYFUNCTION("""COMPUTED_VALUE"""),0.0)</f>
        <v>0</v>
      </c>
      <c r="J197" s="200">
        <f>IFERROR(__xludf.DUMMYFUNCTION("""COMPUTED_VALUE"""),81.0)</f>
        <v>81</v>
      </c>
      <c r="K197" s="200">
        <f>IFERROR(__xludf.DUMMYFUNCTION("""COMPUTED_VALUE"""),17.0)</f>
        <v>17</v>
      </c>
      <c r="L197" s="201" t="str">
        <f>IFERROR(__xludf.DUMMYFUNCTION("""COMPUTED_VALUE"""),"RPG")</f>
        <v>RPG</v>
      </c>
    </row>
    <row r="198">
      <c r="A198" s="190" t="str">
        <f>IFERROR(__xludf.DUMMYFUNCTION("""COMPUTED_VALUE"""),"SIFU")</f>
        <v>SIFU</v>
      </c>
      <c r="B198" s="195" t="str">
        <f>IFERROR(__xludf.DUMMYFUNCTION("""COMPUTED_VALUE"""),"Xbox / PC")</f>
        <v>Xbox / PC</v>
      </c>
      <c r="C198" s="196" t="str">
        <f>IFERROR(__xludf.DUMMYFUNCTION("""COMPUTED_VALUE"""),"Yes")</f>
        <v>Yes</v>
      </c>
      <c r="D198" s="196" t="str">
        <f>IFERROR(__xludf.DUMMYFUNCTION("""COMPUTED_VALUE"""),"Active")</f>
        <v>Active</v>
      </c>
      <c r="E198" s="197">
        <f>IFERROR(__xludf.DUMMYFUNCTION("""COMPUTED_VALUE"""),45567.0)</f>
        <v>45567</v>
      </c>
      <c r="F198" s="198"/>
      <c r="G198" s="199">
        <f>IFERROR(__xludf.DUMMYFUNCTION("""COMPUTED_VALUE"""),12.433333333333334)</f>
        <v>12.43333333</v>
      </c>
      <c r="H198" s="197">
        <f>IFERROR(__xludf.DUMMYFUNCTION("""COMPUTED_VALUE"""),44600.0)</f>
        <v>44600</v>
      </c>
      <c r="I198" s="199">
        <f>IFERROR(__xludf.DUMMYFUNCTION("""COMPUTED_VALUE"""),2.65)</f>
        <v>2.65</v>
      </c>
      <c r="J198" s="200">
        <f>IFERROR(__xludf.DUMMYFUNCTION("""COMPUTED_VALUE"""),81.0)</f>
        <v>81</v>
      </c>
      <c r="K198" s="200">
        <f>IFERROR(__xludf.DUMMYFUNCTION("""COMPUTED_VALUE"""),9.0)</f>
        <v>9</v>
      </c>
      <c r="L198" s="201" t="str">
        <f>IFERROR(__xludf.DUMMYFUNCTION("""COMPUTED_VALUE"""),"Xbox / PC")</f>
        <v>Xbox / PC</v>
      </c>
    </row>
    <row r="199">
      <c r="A199" s="190" t="str">
        <f>IFERROR(__xludf.DUMMYFUNCTION("""COMPUTED_VALUE"""),"Have A Nice Death")</f>
        <v>Have A Nice Death</v>
      </c>
      <c r="B199" s="195" t="str">
        <f>IFERROR(__xludf.DUMMYFUNCTION("""COMPUTED_VALUE"""),"Xbox / PC")</f>
        <v>Xbox / PC</v>
      </c>
      <c r="C199" s="196" t="str">
        <f>IFERROR(__xludf.DUMMYFUNCTION("""COMPUTED_VALUE"""),"Yes")</f>
        <v>Yes</v>
      </c>
      <c r="D199" s="196" t="str">
        <f>IFERROR(__xludf.DUMMYFUNCTION("""COMPUTED_VALUE"""),"Active")</f>
        <v>Active</v>
      </c>
      <c r="E199" s="197">
        <f>IFERROR(__xludf.DUMMYFUNCTION("""COMPUTED_VALUE"""),45412.0)</f>
        <v>45412</v>
      </c>
      <c r="F199" s="198"/>
      <c r="G199" s="199">
        <f>IFERROR(__xludf.DUMMYFUNCTION("""COMPUTED_VALUE"""),17.5)</f>
        <v>17.5</v>
      </c>
      <c r="H199" s="197">
        <f>IFERROR(__xludf.DUMMYFUNCTION("""COMPUTED_VALUE"""),45007.0)</f>
        <v>45007</v>
      </c>
      <c r="I199" s="199">
        <f>IFERROR(__xludf.DUMMYFUNCTION("""COMPUTED_VALUE"""),1.1055555555555556)</f>
        <v>1.105555556</v>
      </c>
      <c r="J199" s="200">
        <f>IFERROR(__xludf.DUMMYFUNCTION("""COMPUTED_VALUE"""),81.0)</f>
        <v>81</v>
      </c>
      <c r="K199" s="200">
        <f>IFERROR(__xludf.DUMMYFUNCTION("""COMPUTED_VALUE"""),9.0)</f>
        <v>9</v>
      </c>
      <c r="L199" s="201" t="str">
        <f>IFERROR(__xludf.DUMMYFUNCTION("""COMPUTED_VALUE"""),"Platformer")</f>
        <v>Platformer</v>
      </c>
    </row>
    <row r="200">
      <c r="A200" s="190" t="str">
        <f>IFERROR(__xludf.DUMMYFUNCTION("""COMPUTED_VALUE"""),"Ni no Kuni II: Revenant Kingdom - The Prince's Edition")</f>
        <v>Ni no Kuni II: Revenant Kingdom - The Prince's Edition</v>
      </c>
      <c r="B200" s="195" t="str">
        <f>IFERROR(__xludf.DUMMYFUNCTION("""COMPUTED_VALUE"""),"Xbox / PC")</f>
        <v>Xbox / PC</v>
      </c>
      <c r="C200" s="196"/>
      <c r="D200" s="196" t="str">
        <f>IFERROR(__xludf.DUMMYFUNCTION("""COMPUTED_VALUE"""),"Active")</f>
        <v>Active</v>
      </c>
      <c r="E200" s="197">
        <f>IFERROR(__xludf.DUMMYFUNCTION("""COMPUTED_VALUE"""),45006.0)</f>
        <v>45006</v>
      </c>
      <c r="F200" s="198"/>
      <c r="G200" s="199">
        <f>IFERROR(__xludf.DUMMYFUNCTION("""COMPUTED_VALUE"""),30.800000000000004)</f>
        <v>30.8</v>
      </c>
      <c r="H200" s="197">
        <f>IFERROR(__xludf.DUMMYFUNCTION("""COMPUTED_VALUE"""),43182.0)</f>
        <v>43182</v>
      </c>
      <c r="I200" s="199">
        <f>IFERROR(__xludf.DUMMYFUNCTION("""COMPUTED_VALUE"""),4.9944444444444445)</f>
        <v>4.994444444</v>
      </c>
      <c r="J200" s="200">
        <f>IFERROR(__xludf.DUMMYFUNCTION("""COMPUTED_VALUE"""),81.0)</f>
        <v>81</v>
      </c>
      <c r="K200" s="200">
        <f>IFERROR(__xludf.DUMMYFUNCTION("""COMPUTED_VALUE"""),39.0)</f>
        <v>39</v>
      </c>
      <c r="L200" s="201" t="str">
        <f>IFERROR(__xludf.DUMMYFUNCTION("""COMPUTED_VALUE"""),"Action / RPG")</f>
        <v>Action / RPG</v>
      </c>
    </row>
    <row r="201">
      <c r="A201" s="190" t="str">
        <f>IFERROR(__xludf.DUMMYFUNCTION("""COMPUTED_VALUE"""),"Immortals Fenyx Rising")</f>
        <v>Immortals Fenyx Rising</v>
      </c>
      <c r="B201" s="195" t="str">
        <f>IFERROR(__xludf.DUMMYFUNCTION("""COMPUTED_VALUE"""),"Xbox / PC")</f>
        <v>Xbox / PC</v>
      </c>
      <c r="C201" s="196" t="str">
        <f>IFERROR(__xludf.DUMMYFUNCTION("""COMPUTED_VALUE"""),"Touch Controls")</f>
        <v>Touch Controls</v>
      </c>
      <c r="D201" s="196" t="str">
        <f>IFERROR(__xludf.DUMMYFUNCTION("""COMPUTED_VALUE"""),"Active")</f>
        <v>Active</v>
      </c>
      <c r="E201" s="197">
        <f>IFERROR(__xludf.DUMMYFUNCTION("""COMPUTED_VALUE"""),44803.0)</f>
        <v>44803</v>
      </c>
      <c r="F201" s="198"/>
      <c r="G201" s="199">
        <f>IFERROR(__xludf.DUMMYFUNCTION("""COMPUTED_VALUE"""),37.5)</f>
        <v>37.5</v>
      </c>
      <c r="H201" s="197">
        <f>IFERROR(__xludf.DUMMYFUNCTION("""COMPUTED_VALUE"""),44168.0)</f>
        <v>44168</v>
      </c>
      <c r="I201" s="199">
        <f>IFERROR(__xludf.DUMMYFUNCTION("""COMPUTED_VALUE"""),1.7416666666666667)</f>
        <v>1.741666667</v>
      </c>
      <c r="J201" s="200">
        <f>IFERROR(__xludf.DUMMYFUNCTION("""COMPUTED_VALUE"""),81.0)</f>
        <v>81</v>
      </c>
      <c r="K201" s="200">
        <f>IFERROR(__xludf.DUMMYFUNCTION("""COMPUTED_VALUE"""),25.5)</f>
        <v>25.5</v>
      </c>
      <c r="L201" s="201" t="str">
        <f>IFERROR(__xludf.DUMMYFUNCTION("""COMPUTED_VALUE"""),"RPG / Action-Adventure")</f>
        <v>RPG / Action-Adventure</v>
      </c>
    </row>
    <row r="202">
      <c r="A202" s="190" t="str">
        <f>IFERROR(__xludf.DUMMYFUNCTION("""COMPUTED_VALUE"""),"Quake 4")</f>
        <v>Quake 4</v>
      </c>
      <c r="B202" s="195" t="str">
        <f>IFERROR(__xludf.DUMMYFUNCTION("""COMPUTED_VALUE"""),"PC")</f>
        <v>PC</v>
      </c>
      <c r="C202" s="196"/>
      <c r="D202" s="196" t="str">
        <f>IFERROR(__xludf.DUMMYFUNCTION("""COMPUTED_VALUE"""),"Active")</f>
        <v>Active</v>
      </c>
      <c r="E202" s="197">
        <f>IFERROR(__xludf.DUMMYFUNCTION("""COMPUTED_VALUE"""),44791.0)</f>
        <v>44791</v>
      </c>
      <c r="F202" s="198"/>
      <c r="G202" s="199">
        <f>IFERROR(__xludf.DUMMYFUNCTION("""COMPUTED_VALUE"""),37.9)</f>
        <v>37.9</v>
      </c>
      <c r="H202" s="197">
        <f>IFERROR(__xludf.DUMMYFUNCTION("""COMPUTED_VALUE"""),38643.0)</f>
        <v>38643</v>
      </c>
      <c r="I202" s="199">
        <f>IFERROR(__xludf.DUMMYFUNCTION("""COMPUTED_VALUE"""),16.833333333333332)</f>
        <v>16.83333333</v>
      </c>
      <c r="J202" s="200">
        <f>IFERROR(__xludf.DUMMYFUNCTION("""COMPUTED_VALUE"""),81.0)</f>
        <v>81</v>
      </c>
      <c r="K202" s="200">
        <f>IFERROR(__xludf.DUMMYFUNCTION("""COMPUTED_VALUE"""),8.0)</f>
        <v>8</v>
      </c>
      <c r="L202" s="201" t="str">
        <f>IFERROR(__xludf.DUMMYFUNCTION("""COMPUTED_VALUE"""),"First-Person Shooter")</f>
        <v>First-Person Shooter</v>
      </c>
    </row>
    <row r="203">
      <c r="A203" s="190" t="str">
        <f>IFERROR(__xludf.DUMMYFUNCTION("""COMPUTED_VALUE"""),"Age of Empires IV: Anniversary Edition")</f>
        <v>Age of Empires IV: Anniversary Edition</v>
      </c>
      <c r="B203" s="195" t="str">
        <f>IFERROR(__xludf.DUMMYFUNCTION("""COMPUTED_VALUE"""),"Xbox / PC")</f>
        <v>Xbox / PC</v>
      </c>
      <c r="C203" s="196" t="str">
        <f>IFERROR(__xludf.DUMMYFUNCTION("""COMPUTED_VALUE"""),"Yes")</f>
        <v>Yes</v>
      </c>
      <c r="D203" s="196" t="str">
        <f>IFERROR(__xludf.DUMMYFUNCTION("""COMPUTED_VALUE"""),"Active")</f>
        <v>Active</v>
      </c>
      <c r="E203" s="197">
        <f>IFERROR(__xludf.DUMMYFUNCTION("""COMPUTED_VALUE"""),44497.0)</f>
        <v>44497</v>
      </c>
      <c r="F203" s="198"/>
      <c r="G203" s="199">
        <f>IFERROR(__xludf.DUMMYFUNCTION("""COMPUTED_VALUE"""),47.56666666666667)</f>
        <v>47.56666667</v>
      </c>
      <c r="H203" s="197">
        <f>IFERROR(__xludf.DUMMYFUNCTION("""COMPUTED_VALUE"""),44497.0)</f>
        <v>44497</v>
      </c>
      <c r="I203" s="199">
        <f>IFERROR(__xludf.DUMMYFUNCTION("""COMPUTED_VALUE"""),0.0)</f>
        <v>0</v>
      </c>
      <c r="J203" s="200">
        <f>IFERROR(__xludf.DUMMYFUNCTION("""COMPUTED_VALUE"""),81.0)</f>
        <v>81</v>
      </c>
      <c r="K203" s="200">
        <f>IFERROR(__xludf.DUMMYFUNCTION("""COMPUTED_VALUE"""),24.5)</f>
        <v>24.5</v>
      </c>
      <c r="L203" s="201" t="str">
        <f>IFERROR(__xludf.DUMMYFUNCTION("""COMPUTED_VALUE"""),"Real-Time Strategy")</f>
        <v>Real-Time Strategy</v>
      </c>
    </row>
    <row r="204">
      <c r="A204" s="190" t="str">
        <f>IFERROR(__xludf.DUMMYFUNCTION("""COMPUTED_VALUE"""),"The Evil Within 2")</f>
        <v>The Evil Within 2</v>
      </c>
      <c r="B204" s="195" t="str">
        <f>IFERROR(__xludf.DUMMYFUNCTION("""COMPUTED_VALUE"""),"Xbox / PC")</f>
        <v>Xbox / PC</v>
      </c>
      <c r="C204" s="196" t="str">
        <f>IFERROR(__xludf.DUMMYFUNCTION("""COMPUTED_VALUE"""),"Yes")</f>
        <v>Yes</v>
      </c>
      <c r="D204" s="196" t="str">
        <f>IFERROR(__xludf.DUMMYFUNCTION("""COMPUTED_VALUE"""),"Active")</f>
        <v>Active</v>
      </c>
      <c r="E204" s="197">
        <f>IFERROR(__xludf.DUMMYFUNCTION("""COMPUTED_VALUE"""),44360.0)</f>
        <v>44360</v>
      </c>
      <c r="F204" s="198"/>
      <c r="G204" s="199">
        <f>IFERROR(__xludf.DUMMYFUNCTION("""COMPUTED_VALUE"""),52.06666666666666)</f>
        <v>52.06666667</v>
      </c>
      <c r="H204" s="197">
        <f>IFERROR(__xludf.DUMMYFUNCTION("""COMPUTED_VALUE"""),43021.0)</f>
        <v>43021</v>
      </c>
      <c r="I204" s="199">
        <f>IFERROR(__xludf.DUMMYFUNCTION("""COMPUTED_VALUE"""),3.6666666666666665)</f>
        <v>3.666666667</v>
      </c>
      <c r="J204" s="200">
        <f>IFERROR(__xludf.DUMMYFUNCTION("""COMPUTED_VALUE"""),81.0)</f>
        <v>81</v>
      </c>
      <c r="K204" s="200">
        <f>IFERROR(__xludf.DUMMYFUNCTION("""COMPUTED_VALUE"""),13.5)</f>
        <v>13.5</v>
      </c>
      <c r="L204" s="201" t="str">
        <f>IFERROR(__xludf.DUMMYFUNCTION("""COMPUTED_VALUE"""),"Shooter")</f>
        <v>Shooter</v>
      </c>
    </row>
    <row r="205">
      <c r="A205" s="190" t="str">
        <f>IFERROR(__xludf.DUMMYFUNCTION("""COMPUTED_VALUE"""),"SnowRunner")</f>
        <v>SnowRunner</v>
      </c>
      <c r="B205" s="195" t="str">
        <f>IFERROR(__xludf.DUMMYFUNCTION("""COMPUTED_VALUE"""),"Xbox / PC")</f>
        <v>Xbox / PC</v>
      </c>
      <c r="C205" s="196" t="str">
        <f>IFERROR(__xludf.DUMMYFUNCTION("""COMPUTED_VALUE"""),"Yes")</f>
        <v>Yes</v>
      </c>
      <c r="D205" s="196" t="str">
        <f>IFERROR(__xludf.DUMMYFUNCTION("""COMPUTED_VALUE"""),"Active")</f>
        <v>Active</v>
      </c>
      <c r="E205" s="197">
        <f>IFERROR(__xludf.DUMMYFUNCTION("""COMPUTED_VALUE"""),44334.0)</f>
        <v>44334</v>
      </c>
      <c r="F205" s="198"/>
      <c r="G205" s="199">
        <f>IFERROR(__xludf.DUMMYFUNCTION("""COMPUTED_VALUE"""),52.9)</f>
        <v>52.9</v>
      </c>
      <c r="H205" s="197">
        <f>IFERROR(__xludf.DUMMYFUNCTION("""COMPUTED_VALUE"""),43949.0)</f>
        <v>43949</v>
      </c>
      <c r="I205" s="199">
        <f>IFERROR(__xludf.DUMMYFUNCTION("""COMPUTED_VALUE"""),1.0555555555555556)</f>
        <v>1.055555556</v>
      </c>
      <c r="J205" s="200">
        <f>IFERROR(__xludf.DUMMYFUNCTION("""COMPUTED_VALUE"""),81.0)</f>
        <v>81</v>
      </c>
      <c r="K205" s="200">
        <f>IFERROR(__xludf.DUMMYFUNCTION("""COMPUTED_VALUE"""),90.0)</f>
        <v>90</v>
      </c>
      <c r="L205" s="201" t="str">
        <f>IFERROR(__xludf.DUMMYFUNCTION("""COMPUTED_VALUE"""),"Driving/Racing / Simulation")</f>
        <v>Driving/Racing / Simulation</v>
      </c>
    </row>
    <row r="206">
      <c r="A206" s="190" t="str">
        <f>IFERROR(__xludf.DUMMYFUNCTION("""COMPUTED_VALUE"""),"Jade Empire: Special Edition")</f>
        <v>Jade Empire: Special Edition</v>
      </c>
      <c r="B206" s="195" t="str">
        <f>IFERROR(__xludf.DUMMYFUNCTION("""COMPUTED_VALUE"""),"PC")</f>
        <v>PC</v>
      </c>
      <c r="C206" s="196"/>
      <c r="D206" s="196" t="str">
        <f>IFERROR(__xludf.DUMMYFUNCTION("""COMPUTED_VALUE"""),"Active")</f>
        <v>Active</v>
      </c>
      <c r="E206" s="197">
        <f>IFERROR(__xludf.DUMMYFUNCTION("""COMPUTED_VALUE"""),44273.0)</f>
        <v>44273</v>
      </c>
      <c r="F206" s="198"/>
      <c r="G206" s="199">
        <f>IFERROR(__xludf.DUMMYFUNCTION("""COMPUTED_VALUE"""),54.900000000000006)</f>
        <v>54.9</v>
      </c>
      <c r="H206" s="197">
        <f>IFERROR(__xludf.DUMMYFUNCTION("""COMPUTED_VALUE"""),38454.0)</f>
        <v>38454</v>
      </c>
      <c r="I206" s="199">
        <f>IFERROR(__xludf.DUMMYFUNCTION("""COMPUTED_VALUE"""),15.933333333333334)</f>
        <v>15.93333333</v>
      </c>
      <c r="J206" s="200">
        <f>IFERROR(__xludf.DUMMYFUNCTION("""COMPUTED_VALUE"""),81.0)</f>
        <v>81</v>
      </c>
      <c r="K206" s="200">
        <f>IFERROR(__xludf.DUMMYFUNCTION("""COMPUTED_VALUE"""),15.0)</f>
        <v>15</v>
      </c>
      <c r="L206" s="201" t="str">
        <f>IFERROR(__xludf.DUMMYFUNCTION("""COMPUTED_VALUE"""),"RPG / Action-Adventure")</f>
        <v>RPG / Action-Adventure</v>
      </c>
    </row>
    <row r="207">
      <c r="A207" s="190" t="str">
        <f>IFERROR(__xludf.DUMMYFUNCTION("""COMPUTED_VALUE"""),"Starbound")</f>
        <v>Starbound</v>
      </c>
      <c r="B207" s="195" t="str">
        <f>IFERROR(__xludf.DUMMYFUNCTION("""COMPUTED_VALUE"""),"Xbox / PC")</f>
        <v>Xbox / PC</v>
      </c>
      <c r="C207" s="196" t="str">
        <f>IFERROR(__xludf.DUMMYFUNCTION("""COMPUTED_VALUE"""),"Yes")</f>
        <v>Yes</v>
      </c>
      <c r="D207" s="196" t="str">
        <f>IFERROR(__xludf.DUMMYFUNCTION("""COMPUTED_VALUE"""),"Active")</f>
        <v>Active</v>
      </c>
      <c r="E207" s="197">
        <f>IFERROR(__xludf.DUMMYFUNCTION("""COMPUTED_VALUE"""),44173.0)</f>
        <v>44173</v>
      </c>
      <c r="F207" s="198"/>
      <c r="G207" s="199">
        <f>IFERROR(__xludf.DUMMYFUNCTION("""COMPUTED_VALUE"""),58.233333333333334)</f>
        <v>58.23333333</v>
      </c>
      <c r="H207" s="197">
        <f>IFERROR(__xludf.DUMMYFUNCTION("""COMPUTED_VALUE"""),42573.0)</f>
        <v>42573</v>
      </c>
      <c r="I207" s="199">
        <f>IFERROR(__xludf.DUMMYFUNCTION("""COMPUTED_VALUE"""),4.377777777777778)</f>
        <v>4.377777778</v>
      </c>
      <c r="J207" s="200">
        <f>IFERROR(__xludf.DUMMYFUNCTION("""COMPUTED_VALUE"""),81.0)</f>
        <v>81</v>
      </c>
      <c r="K207" s="200">
        <f>IFERROR(__xludf.DUMMYFUNCTION("""COMPUTED_VALUE"""),21.5)</f>
        <v>21.5</v>
      </c>
      <c r="L207" s="201" t="str">
        <f>IFERROR(__xludf.DUMMYFUNCTION("""COMPUTED_VALUE"""),"Platformer / Action-Adventure")</f>
        <v>Platformer / Action-Adventure</v>
      </c>
    </row>
    <row r="208">
      <c r="A208" s="190" t="str">
        <f>IFERROR(__xludf.DUMMYFUNCTION("""COMPUTED_VALUE"""),"Battlefield 4: Premium Edition")</f>
        <v>Battlefield 4: Premium Edition</v>
      </c>
      <c r="B208" s="195" t="str">
        <f>IFERROR(__xludf.DUMMYFUNCTION("""COMPUTED_VALUE"""),"Xbox / PC")</f>
        <v>Xbox / PC</v>
      </c>
      <c r="C208" s="196" t="str">
        <f>IFERROR(__xludf.DUMMYFUNCTION("""COMPUTED_VALUE"""),"Yes")</f>
        <v>Yes</v>
      </c>
      <c r="D208" s="196" t="str">
        <f>IFERROR(__xludf.DUMMYFUNCTION("""COMPUTED_VALUE"""),"Active")</f>
        <v>Active</v>
      </c>
      <c r="E208" s="197">
        <f>IFERROR(__xludf.DUMMYFUNCTION("""COMPUTED_VALUE"""),44145.0)</f>
        <v>44145</v>
      </c>
      <c r="F208" s="198"/>
      <c r="G208" s="199">
        <f>IFERROR(__xludf.DUMMYFUNCTION("""COMPUTED_VALUE"""),59.166666666666664)</f>
        <v>59.16666667</v>
      </c>
      <c r="H208" s="197">
        <f>IFERROR(__xludf.DUMMYFUNCTION("""COMPUTED_VALUE"""),41576.0)</f>
        <v>41576</v>
      </c>
      <c r="I208" s="199">
        <f>IFERROR(__xludf.DUMMYFUNCTION("""COMPUTED_VALUE"""),7.030555555555556)</f>
        <v>7.030555556</v>
      </c>
      <c r="J208" s="200">
        <f>IFERROR(__xludf.DUMMYFUNCTION("""COMPUTED_VALUE"""),81.0)</f>
        <v>81</v>
      </c>
      <c r="K208" s="200">
        <f>IFERROR(__xludf.DUMMYFUNCTION("""COMPUTED_VALUE"""),6.0)</f>
        <v>6</v>
      </c>
      <c r="L208" s="201" t="str">
        <f>IFERROR(__xludf.DUMMYFUNCTION("""COMPUTED_VALUE"""),"First-Person Shooter")</f>
        <v>First-Person Shooter</v>
      </c>
    </row>
    <row r="209">
      <c r="A209" s="190" t="str">
        <f>IFERROR(__xludf.DUMMYFUNCTION("""COMPUTED_VALUE"""),"Crysis")</f>
        <v>Crysis</v>
      </c>
      <c r="B209" s="195" t="str">
        <f>IFERROR(__xludf.DUMMYFUNCTION("""COMPUTED_VALUE"""),"Xbox / PC")</f>
        <v>Xbox / PC</v>
      </c>
      <c r="C209" s="196"/>
      <c r="D209" s="196" t="str">
        <f>IFERROR(__xludf.DUMMYFUNCTION("""COMPUTED_VALUE"""),"Active")</f>
        <v>Active</v>
      </c>
      <c r="E209" s="197">
        <f>IFERROR(__xludf.DUMMYFUNCTION("""COMPUTED_VALUE"""),44145.0)</f>
        <v>44145</v>
      </c>
      <c r="F209" s="198"/>
      <c r="G209" s="199">
        <f>IFERROR(__xludf.DUMMYFUNCTION("""COMPUTED_VALUE"""),59.166666666666664)</f>
        <v>59.16666667</v>
      </c>
      <c r="H209" s="197">
        <f>IFERROR(__xludf.DUMMYFUNCTION("""COMPUTED_VALUE"""),39399.0)</f>
        <v>39399</v>
      </c>
      <c r="I209" s="199">
        <f>IFERROR(__xludf.DUMMYFUNCTION("""COMPUTED_VALUE"""),12.991666666666667)</f>
        <v>12.99166667</v>
      </c>
      <c r="J209" s="200">
        <f>IFERROR(__xludf.DUMMYFUNCTION("""COMPUTED_VALUE"""),81.0)</f>
        <v>81</v>
      </c>
      <c r="K209" s="200">
        <f>IFERROR(__xludf.DUMMYFUNCTION("""COMPUTED_VALUE"""),10.0)</f>
        <v>10</v>
      </c>
      <c r="L209" s="201" t="str">
        <f>IFERROR(__xludf.DUMMYFUNCTION("""COMPUTED_VALUE"""),"Action / First-Person Shooter")</f>
        <v>Action / First-Person Shooter</v>
      </c>
    </row>
    <row r="210">
      <c r="A210" s="190" t="str">
        <f>IFERROR(__xludf.DUMMYFUNCTION("""COMPUTED_VALUE"""),"Star Wars Jedi: Fallen Order")</f>
        <v>Star Wars Jedi: Fallen Order</v>
      </c>
      <c r="B210" s="195" t="str">
        <f>IFERROR(__xludf.DUMMYFUNCTION("""COMPUTED_VALUE"""),"Xbox / PC")</f>
        <v>Xbox / PC</v>
      </c>
      <c r="C210" s="196" t="str">
        <f>IFERROR(__xludf.DUMMYFUNCTION("""COMPUTED_VALUE"""),"Yes")</f>
        <v>Yes</v>
      </c>
      <c r="D210" s="196" t="str">
        <f>IFERROR(__xludf.DUMMYFUNCTION("""COMPUTED_VALUE"""),"Active")</f>
        <v>Active</v>
      </c>
      <c r="E210" s="197">
        <f>IFERROR(__xludf.DUMMYFUNCTION("""COMPUTED_VALUE"""),44145.0)</f>
        <v>44145</v>
      </c>
      <c r="F210" s="198"/>
      <c r="G210" s="199">
        <f>IFERROR(__xludf.DUMMYFUNCTION("""COMPUTED_VALUE"""),59.166666666666664)</f>
        <v>59.16666667</v>
      </c>
      <c r="H210" s="197">
        <f>IFERROR(__xludf.DUMMYFUNCTION("""COMPUTED_VALUE"""),43784.0)</f>
        <v>43784</v>
      </c>
      <c r="I210" s="199">
        <f>IFERROR(__xludf.DUMMYFUNCTION("""COMPUTED_VALUE"""),0.9861111111111112)</f>
        <v>0.9861111111</v>
      </c>
      <c r="J210" s="200">
        <f>IFERROR(__xludf.DUMMYFUNCTION("""COMPUTED_VALUE"""),81.0)</f>
        <v>81</v>
      </c>
      <c r="K210" s="200">
        <f>IFERROR(__xludf.DUMMYFUNCTION("""COMPUTED_VALUE"""),24.0)</f>
        <v>24</v>
      </c>
      <c r="L210" s="201" t="str">
        <f>IFERROR(__xludf.DUMMYFUNCTION("""COMPUTED_VALUE"""),"Action-Adventure")</f>
        <v>Action-Adventure</v>
      </c>
    </row>
    <row r="211">
      <c r="A211" s="190" t="str">
        <f>IFERROR(__xludf.DUMMYFUNCTION("""COMPUTED_VALUE"""),"Unravel Two")</f>
        <v>Unravel Two</v>
      </c>
      <c r="B211" s="195" t="str">
        <f>IFERROR(__xludf.DUMMYFUNCTION("""COMPUTED_VALUE"""),"Xbox / PC")</f>
        <v>Xbox / PC</v>
      </c>
      <c r="C211" s="196" t="str">
        <f>IFERROR(__xludf.DUMMYFUNCTION("""COMPUTED_VALUE"""),"Yes")</f>
        <v>Yes</v>
      </c>
      <c r="D211" s="196" t="str">
        <f>IFERROR(__xludf.DUMMYFUNCTION("""COMPUTED_VALUE"""),"Active")</f>
        <v>Active</v>
      </c>
      <c r="E211" s="197">
        <f>IFERROR(__xludf.DUMMYFUNCTION("""COMPUTED_VALUE"""),44145.0)</f>
        <v>44145</v>
      </c>
      <c r="F211" s="198"/>
      <c r="G211" s="199">
        <f>IFERROR(__xludf.DUMMYFUNCTION("""COMPUTED_VALUE"""),59.166666666666664)</f>
        <v>59.16666667</v>
      </c>
      <c r="H211" s="197">
        <f>IFERROR(__xludf.DUMMYFUNCTION("""COMPUTED_VALUE"""),43260.0)</f>
        <v>43260</v>
      </c>
      <c r="I211" s="199">
        <f>IFERROR(__xludf.DUMMYFUNCTION("""COMPUTED_VALUE"""),2.4194444444444443)</f>
        <v>2.419444444</v>
      </c>
      <c r="J211" s="200">
        <f>IFERROR(__xludf.DUMMYFUNCTION("""COMPUTED_VALUE"""),81.0)</f>
        <v>81</v>
      </c>
      <c r="K211" s="200">
        <f>IFERROR(__xludf.DUMMYFUNCTION("""COMPUTED_VALUE"""),5.0)</f>
        <v>5</v>
      </c>
      <c r="L211" s="201" t="str">
        <f>IFERROR(__xludf.DUMMYFUNCTION("""COMPUTED_VALUE"""),"Puzzle / Platformer")</f>
        <v>Puzzle / Platformer</v>
      </c>
    </row>
    <row r="212">
      <c r="A212" s="190" t="str">
        <f>IFERROR(__xludf.DUMMYFUNCTION("""COMPUTED_VALUE"""),"Gears Tactics")</f>
        <v>Gears Tactics</v>
      </c>
      <c r="B212" s="195" t="str">
        <f>IFERROR(__xludf.DUMMYFUNCTION("""COMPUTED_VALUE"""),"Xbox / PC")</f>
        <v>Xbox / PC</v>
      </c>
      <c r="C212" s="196" t="str">
        <f>IFERROR(__xludf.DUMMYFUNCTION("""COMPUTED_VALUE"""),"M+KB")</f>
        <v>M+KB</v>
      </c>
      <c r="D212" s="196" t="str">
        <f>IFERROR(__xludf.DUMMYFUNCTION("""COMPUTED_VALUE"""),"Active")</f>
        <v>Active</v>
      </c>
      <c r="E212" s="197">
        <f>IFERROR(__xludf.DUMMYFUNCTION("""COMPUTED_VALUE"""),43949.0)</f>
        <v>43949</v>
      </c>
      <c r="F212" s="198"/>
      <c r="G212" s="199">
        <f>IFERROR(__xludf.DUMMYFUNCTION("""COMPUTED_VALUE"""),65.56666666666666)</f>
        <v>65.56666667</v>
      </c>
      <c r="H212" s="197">
        <f>IFERROR(__xludf.DUMMYFUNCTION("""COMPUTED_VALUE"""),43949.0)</f>
        <v>43949</v>
      </c>
      <c r="I212" s="199">
        <f>IFERROR(__xludf.DUMMYFUNCTION("""COMPUTED_VALUE"""),0.0)</f>
        <v>0</v>
      </c>
      <c r="J212" s="200">
        <f>IFERROR(__xludf.DUMMYFUNCTION("""COMPUTED_VALUE"""),81.0)</f>
        <v>81</v>
      </c>
      <c r="K212" s="200">
        <f>IFERROR(__xludf.DUMMYFUNCTION("""COMPUTED_VALUE"""),22.5)</f>
        <v>22.5</v>
      </c>
      <c r="L212" s="201" t="str">
        <f>IFERROR(__xludf.DUMMYFUNCTION("""COMPUTED_VALUE"""),"Strategy")</f>
        <v>Strategy</v>
      </c>
    </row>
    <row r="213">
      <c r="A213" s="190" t="str">
        <f>IFERROR(__xludf.DUMMYFUNCTION("""COMPUTED_VALUE"""),"Stellaris")</f>
        <v>Stellaris</v>
      </c>
      <c r="B213" s="195" t="str">
        <f>IFERROR(__xludf.DUMMYFUNCTION("""COMPUTED_VALUE"""),"Xbox / PC")</f>
        <v>Xbox / PC</v>
      </c>
      <c r="C213" s="196" t="str">
        <f>IFERROR(__xludf.DUMMYFUNCTION("""COMPUTED_VALUE"""),"Yes")</f>
        <v>Yes</v>
      </c>
      <c r="D213" s="196" t="str">
        <f>IFERROR(__xludf.DUMMYFUNCTION("""COMPUTED_VALUE"""),"Active")</f>
        <v>Active</v>
      </c>
      <c r="E213" s="197">
        <f>IFERROR(__xludf.DUMMYFUNCTION("""COMPUTED_VALUE"""),43696.0)</f>
        <v>43696</v>
      </c>
      <c r="F213" s="198"/>
      <c r="G213" s="199">
        <f>IFERROR(__xludf.DUMMYFUNCTION("""COMPUTED_VALUE"""),73.86666666666667)</f>
        <v>73.86666667</v>
      </c>
      <c r="H213" s="197">
        <f>IFERROR(__xludf.DUMMYFUNCTION("""COMPUTED_VALUE"""),42499.0)</f>
        <v>42499</v>
      </c>
      <c r="I213" s="199">
        <f>IFERROR(__xludf.DUMMYFUNCTION("""COMPUTED_VALUE"""),3.2777777777777777)</f>
        <v>3.277777778</v>
      </c>
      <c r="J213" s="200">
        <f>IFERROR(__xludf.DUMMYFUNCTION("""COMPUTED_VALUE"""),81.0)</f>
        <v>81</v>
      </c>
      <c r="K213" s="200">
        <f>IFERROR(__xludf.DUMMYFUNCTION("""COMPUTED_VALUE"""),21.0)</f>
        <v>21</v>
      </c>
      <c r="L213" s="201" t="str">
        <f>IFERROR(__xludf.DUMMYFUNCTION("""COMPUTED_VALUE"""),"Strategy")</f>
        <v>Strategy</v>
      </c>
    </row>
    <row r="214">
      <c r="A214" s="190" t="str">
        <f>IFERROR(__xludf.DUMMYFUNCTION("""COMPUTED_VALUE"""),"Middle-earth: Shadow of War")</f>
        <v>Middle-earth: Shadow of War</v>
      </c>
      <c r="B214" s="195" t="str">
        <f>IFERROR(__xludf.DUMMYFUNCTION("""COMPUTED_VALUE"""),"Xbox / PC")</f>
        <v>Xbox / PC</v>
      </c>
      <c r="C214" s="196" t="str">
        <f>IFERROR(__xludf.DUMMYFUNCTION("""COMPUTED_VALUE"""),"Yes")</f>
        <v>Yes</v>
      </c>
      <c r="D214" s="196" t="str">
        <f>IFERROR(__xludf.DUMMYFUNCTION("""COMPUTED_VALUE"""),"Active")</f>
        <v>Active</v>
      </c>
      <c r="E214" s="197">
        <f>IFERROR(__xludf.DUMMYFUNCTION("""COMPUTED_VALUE"""),43650.0)</f>
        <v>43650</v>
      </c>
      <c r="F214" s="198"/>
      <c r="G214" s="199">
        <f>IFERROR(__xludf.DUMMYFUNCTION("""COMPUTED_VALUE"""),75.36666666666667)</f>
        <v>75.36666667</v>
      </c>
      <c r="H214" s="197">
        <f>IFERROR(__xludf.DUMMYFUNCTION("""COMPUTED_VALUE"""),43018.0)</f>
        <v>43018</v>
      </c>
      <c r="I214" s="199">
        <f>IFERROR(__xludf.DUMMYFUNCTION("""COMPUTED_VALUE"""),1.7333333333333334)</f>
        <v>1.733333333</v>
      </c>
      <c r="J214" s="200">
        <f>IFERROR(__xludf.DUMMYFUNCTION("""COMPUTED_VALUE"""),81.0)</f>
        <v>81</v>
      </c>
      <c r="K214" s="200">
        <f>IFERROR(__xludf.DUMMYFUNCTION("""COMPUTED_VALUE"""),20.5)</f>
        <v>20.5</v>
      </c>
      <c r="L214" s="201" t="str">
        <f>IFERROR(__xludf.DUMMYFUNCTION("""COMPUTED_VALUE"""),"Action / RPG / Action-Adventure")</f>
        <v>Action / RPG / Action-Adventure</v>
      </c>
    </row>
    <row r="215">
      <c r="A215" s="190" t="str">
        <f>IFERROR(__xludf.DUMMYFUNCTION("""COMPUTED_VALUE"""),"Torment: Tides of Numenera")</f>
        <v>Torment: Tides of Numenera</v>
      </c>
      <c r="B215" s="195" t="str">
        <f>IFERROR(__xludf.DUMMYFUNCTION("""COMPUTED_VALUE"""),"Xbox / PC")</f>
        <v>Xbox / PC</v>
      </c>
      <c r="C215" s="196" t="str">
        <f>IFERROR(__xludf.DUMMYFUNCTION("""COMPUTED_VALUE"""),"Touch Controls")</f>
        <v>Touch Controls</v>
      </c>
      <c r="D215" s="196" t="str">
        <f>IFERROR(__xludf.DUMMYFUNCTION("""COMPUTED_VALUE"""),"Active")</f>
        <v>Active</v>
      </c>
      <c r="E215" s="197">
        <f>IFERROR(__xludf.DUMMYFUNCTION("""COMPUTED_VALUE"""),43643.0)</f>
        <v>43643</v>
      </c>
      <c r="F215" s="198"/>
      <c r="G215" s="199">
        <f>IFERROR(__xludf.DUMMYFUNCTION("""COMPUTED_VALUE"""),75.6)</f>
        <v>75.6</v>
      </c>
      <c r="H215" s="197">
        <f>IFERROR(__xludf.DUMMYFUNCTION("""COMPUTED_VALUE"""),42794.0)</f>
        <v>42794</v>
      </c>
      <c r="I215" s="199">
        <f>IFERROR(__xludf.DUMMYFUNCTION("""COMPUTED_VALUE"""),2.3305555555555557)</f>
        <v>2.330555556</v>
      </c>
      <c r="J215" s="200">
        <f>IFERROR(__xludf.DUMMYFUNCTION("""COMPUTED_VALUE"""),81.0)</f>
        <v>81</v>
      </c>
      <c r="K215" s="200">
        <f>IFERROR(__xludf.DUMMYFUNCTION("""COMPUTED_VALUE"""),26.0)</f>
        <v>26</v>
      </c>
      <c r="L215" s="201" t="str">
        <f>IFERROR(__xludf.DUMMYFUNCTION("""COMPUTED_VALUE"""),"RPG")</f>
        <v>RPG</v>
      </c>
    </row>
    <row r="216">
      <c r="A216" s="190" t="str">
        <f>IFERROR(__xludf.DUMMYFUNCTION("""COMPUTED_VALUE"""),"Halo Wars: Definitive Edition")</f>
        <v>Halo Wars: Definitive Edition</v>
      </c>
      <c r="B216" s="195" t="str">
        <f>IFERROR(__xludf.DUMMYFUNCTION("""COMPUTED_VALUE"""),"Xbox / PC")</f>
        <v>Xbox / PC</v>
      </c>
      <c r="C216" s="196" t="str">
        <f>IFERROR(__xludf.DUMMYFUNCTION("""COMPUTED_VALUE"""),"Touch Controls")</f>
        <v>Touch Controls</v>
      </c>
      <c r="D216" s="196" t="str">
        <f>IFERROR(__xludf.DUMMYFUNCTION("""COMPUTED_VALUE"""),"Active")</f>
        <v>Active</v>
      </c>
      <c r="E216" s="197">
        <f>IFERROR(__xludf.DUMMYFUNCTION("""COMPUTED_VALUE"""),43040.0)</f>
        <v>43040</v>
      </c>
      <c r="F216" s="198"/>
      <c r="G216" s="199">
        <f>IFERROR(__xludf.DUMMYFUNCTION("""COMPUTED_VALUE"""),95.46666666666667)</f>
        <v>95.46666667</v>
      </c>
      <c r="H216" s="197">
        <f>IFERROR(__xludf.DUMMYFUNCTION("""COMPUTED_VALUE"""),39870.0)</f>
        <v>39870</v>
      </c>
      <c r="I216" s="199">
        <f>IFERROR(__xludf.DUMMYFUNCTION("""COMPUTED_VALUE"""),8.680555555555555)</f>
        <v>8.680555556</v>
      </c>
      <c r="J216" s="200">
        <f>IFERROR(__xludf.DUMMYFUNCTION("""COMPUTED_VALUE"""),81.0)</f>
        <v>81</v>
      </c>
      <c r="K216" s="200">
        <f>IFERROR(__xludf.DUMMYFUNCTION("""COMPUTED_VALUE"""),9.0)</f>
        <v>9</v>
      </c>
      <c r="L216" s="201" t="str">
        <f>IFERROR(__xludf.DUMMYFUNCTION("""COMPUTED_VALUE"""),"Action / RPG")</f>
        <v>Action / RPG</v>
      </c>
    </row>
    <row r="217">
      <c r="A217" s="190" t="str">
        <f>IFERROR(__xludf.DUMMYFUNCTION("""COMPUTED_VALUE"""),"Sunset Overdrive")</f>
        <v>Sunset Overdrive</v>
      </c>
      <c r="B217" s="195" t="str">
        <f>IFERROR(__xludf.DUMMYFUNCTION("""COMPUTED_VALUE"""),"Xbox / PC")</f>
        <v>Xbox / PC</v>
      </c>
      <c r="C217" s="196"/>
      <c r="D217" s="196" t="str">
        <f>IFERROR(__xludf.DUMMYFUNCTION("""COMPUTED_VALUE"""),"Active")</f>
        <v>Active</v>
      </c>
      <c r="E217" s="197">
        <f>IFERROR(__xludf.DUMMYFUNCTION("""COMPUTED_VALUE"""),42887.0)</f>
        <v>42887</v>
      </c>
      <c r="F217" s="198"/>
      <c r="G217" s="199">
        <f>IFERROR(__xludf.DUMMYFUNCTION("""COMPUTED_VALUE"""),100.46666666666667)</f>
        <v>100.4666667</v>
      </c>
      <c r="H217" s="197">
        <f>IFERROR(__xludf.DUMMYFUNCTION("""COMPUTED_VALUE"""),41940.0)</f>
        <v>41940</v>
      </c>
      <c r="I217" s="199">
        <f>IFERROR(__xludf.DUMMYFUNCTION("""COMPUTED_VALUE"""),2.591666666666667)</f>
        <v>2.591666667</v>
      </c>
      <c r="J217" s="200">
        <f>IFERROR(__xludf.DUMMYFUNCTION("""COMPUTED_VALUE"""),81.0)</f>
        <v>81</v>
      </c>
      <c r="K217" s="200">
        <f>IFERROR(__xludf.DUMMYFUNCTION("""COMPUTED_VALUE"""),10.0)</f>
        <v>10</v>
      </c>
      <c r="L217" s="201" t="str">
        <f>IFERROR(__xludf.DUMMYFUNCTION("""COMPUTED_VALUE"""),"Shooter / Platformer / Action-Adventure")</f>
        <v>Shooter / Platformer / Action-Adventure</v>
      </c>
    </row>
    <row r="218">
      <c r="A218" s="190" t="str">
        <f>IFERROR(__xludf.DUMMYFUNCTION("""COMPUTED_VALUE"""),"Assassin's Creed Revelations")</f>
        <v>Assassin's Creed Revelations</v>
      </c>
      <c r="B218" s="195" t="str">
        <f>IFERROR(__xludf.DUMMYFUNCTION("""COMPUTED_VALUE"""),"PC")</f>
        <v>PC</v>
      </c>
      <c r="C218" s="196"/>
      <c r="D218" s="196" t="str">
        <f>IFERROR(__xludf.DUMMYFUNCTION("""COMPUTED_VALUE"""),"Active")</f>
        <v>Active</v>
      </c>
      <c r="E218" s="197">
        <f>IFERROR(__xludf.DUMMYFUNCTION("""COMPUTED_VALUE"""),45931.0)</f>
        <v>45931</v>
      </c>
      <c r="F218" s="198"/>
      <c r="G218" s="199">
        <f>IFERROR(__xludf.DUMMYFUNCTION("""COMPUTED_VALUE"""),0.4666666666666667)</f>
        <v>0.4666666667</v>
      </c>
      <c r="H218" s="197">
        <f>IFERROR(__xludf.DUMMYFUNCTION("""COMPUTED_VALUE"""),40862.0)</f>
        <v>40862</v>
      </c>
      <c r="I218" s="199">
        <f>IFERROR(__xludf.DUMMYFUNCTION("""COMPUTED_VALUE"""),13.877777777777778)</f>
        <v>13.87777778</v>
      </c>
      <c r="J218" s="200">
        <f>IFERROR(__xludf.DUMMYFUNCTION("""COMPUTED_VALUE"""),80.0)</f>
        <v>80</v>
      </c>
      <c r="K218" s="200">
        <f>IFERROR(__xludf.DUMMYFUNCTION("""COMPUTED_VALUE"""),13.0)</f>
        <v>13</v>
      </c>
      <c r="L218" s="201" t="str">
        <f>IFERROR(__xludf.DUMMYFUNCTION("""COMPUTED_VALUE"""),"Action-Adventure")</f>
        <v>Action-Adventure</v>
      </c>
    </row>
    <row r="219">
      <c r="A219" s="190" t="str">
        <f>IFERROR(__xludf.DUMMYFUNCTION("""COMPUTED_VALUE"""),"Far Cry 3: Blood Dragon")</f>
        <v>Far Cry 3: Blood Dragon</v>
      </c>
      <c r="B219" s="195" t="str">
        <f>IFERROR(__xludf.DUMMYFUNCTION("""COMPUTED_VALUE"""),"Xbox / PC")</f>
        <v>Xbox / PC</v>
      </c>
      <c r="C219" s="196" t="str">
        <f>IFERROR(__xludf.DUMMYFUNCTION("""COMPUTED_VALUE"""),"Yes")</f>
        <v>Yes</v>
      </c>
      <c r="D219" s="196" t="str">
        <f>IFERROR(__xludf.DUMMYFUNCTION("""COMPUTED_VALUE"""),"Active")</f>
        <v>Active</v>
      </c>
      <c r="E219" s="197">
        <f>IFERROR(__xludf.DUMMYFUNCTION("""COMPUTED_VALUE"""),45931.0)</f>
        <v>45931</v>
      </c>
      <c r="F219" s="198"/>
      <c r="G219" s="199">
        <f>IFERROR(__xludf.DUMMYFUNCTION("""COMPUTED_VALUE"""),0.4666666666666667)</f>
        <v>0.4666666667</v>
      </c>
      <c r="H219" s="197">
        <f>IFERROR(__xludf.DUMMYFUNCTION("""COMPUTED_VALUE"""),41395.0)</f>
        <v>41395</v>
      </c>
      <c r="I219" s="199">
        <f>IFERROR(__xludf.DUMMYFUNCTION("""COMPUTED_VALUE"""),12.416666666666666)</f>
        <v>12.41666667</v>
      </c>
      <c r="J219" s="200">
        <f>IFERROR(__xludf.DUMMYFUNCTION("""COMPUTED_VALUE"""),80.0)</f>
        <v>80</v>
      </c>
      <c r="K219" s="200">
        <f>IFERROR(__xludf.DUMMYFUNCTION("""COMPUTED_VALUE"""),5.0)</f>
        <v>5</v>
      </c>
      <c r="L219" s="201" t="str">
        <f>IFERROR(__xludf.DUMMYFUNCTION("""COMPUTED_VALUE"""),"Action-Adventure")</f>
        <v>Action-Adventure</v>
      </c>
    </row>
    <row r="220">
      <c r="A220" s="190" t="str">
        <f>IFERROR(__xludf.DUMMYFUNCTION("""COMPUTED_VALUE"""),"Tom Clancy's The Division")</f>
        <v>Tom Clancy's The Division</v>
      </c>
      <c r="B220" s="195" t="str">
        <f>IFERROR(__xludf.DUMMYFUNCTION("""COMPUTED_VALUE"""),"Xbox / PC")</f>
        <v>Xbox / PC</v>
      </c>
      <c r="C220" s="196" t="str">
        <f>IFERROR(__xludf.DUMMYFUNCTION("""COMPUTED_VALUE"""),"Yes")</f>
        <v>Yes</v>
      </c>
      <c r="D220" s="196" t="str">
        <f>IFERROR(__xludf.DUMMYFUNCTION("""COMPUTED_VALUE"""),"Active")</f>
        <v>Active</v>
      </c>
      <c r="E220" s="197">
        <f>IFERROR(__xludf.DUMMYFUNCTION("""COMPUTED_VALUE"""),45931.0)</f>
        <v>45931</v>
      </c>
      <c r="F220" s="198"/>
      <c r="G220" s="199">
        <f>IFERROR(__xludf.DUMMYFUNCTION("""COMPUTED_VALUE"""),0.4666666666666667)</f>
        <v>0.4666666667</v>
      </c>
      <c r="H220" s="197">
        <f>IFERROR(__xludf.DUMMYFUNCTION("""COMPUTED_VALUE"""),42437.0)</f>
        <v>42437</v>
      </c>
      <c r="I220" s="199">
        <f>IFERROR(__xludf.DUMMYFUNCTION("""COMPUTED_VALUE"""),9.563888888888888)</f>
        <v>9.563888889</v>
      </c>
      <c r="J220" s="200">
        <f>IFERROR(__xludf.DUMMYFUNCTION("""COMPUTED_VALUE"""),80.0)</f>
        <v>80</v>
      </c>
      <c r="K220" s="200">
        <f>IFERROR(__xludf.DUMMYFUNCTION("""COMPUTED_VALUE"""),24.0)</f>
        <v>24</v>
      </c>
      <c r="L220" s="201" t="str">
        <f>IFERROR(__xludf.DUMMYFUNCTION("""COMPUTED_VALUE"""),"Shooter")</f>
        <v>Shooter</v>
      </c>
    </row>
    <row r="221">
      <c r="A221" s="190" t="str">
        <f>IFERROR(__xludf.DUMMYFUNCTION("""COMPUTED_VALUE"""),"Watch_Dogs")</f>
        <v>Watch_Dogs</v>
      </c>
      <c r="B221" s="195" t="str">
        <f>IFERROR(__xludf.DUMMYFUNCTION("""COMPUTED_VALUE"""),"Xbox / PC")</f>
        <v>Xbox / PC</v>
      </c>
      <c r="C221" s="196" t="str">
        <f>IFERROR(__xludf.DUMMYFUNCTION("""COMPUTED_VALUE"""),"Yes")</f>
        <v>Yes</v>
      </c>
      <c r="D221" s="196" t="str">
        <f>IFERROR(__xludf.DUMMYFUNCTION("""COMPUTED_VALUE"""),"Active")</f>
        <v>Active</v>
      </c>
      <c r="E221" s="197">
        <f>IFERROR(__xludf.DUMMYFUNCTION("""COMPUTED_VALUE"""),45931.0)</f>
        <v>45931</v>
      </c>
      <c r="F221" s="198"/>
      <c r="G221" s="199">
        <f>IFERROR(__xludf.DUMMYFUNCTION("""COMPUTED_VALUE"""),0.4666666666666667)</f>
        <v>0.4666666667</v>
      </c>
      <c r="H221" s="197">
        <f>IFERROR(__xludf.DUMMYFUNCTION("""COMPUTED_VALUE"""),41786.0)</f>
        <v>41786</v>
      </c>
      <c r="I221" s="199">
        <f>IFERROR(__xludf.DUMMYFUNCTION("""COMPUTED_VALUE"""),11.344444444444445)</f>
        <v>11.34444444</v>
      </c>
      <c r="J221" s="200">
        <f>IFERROR(__xludf.DUMMYFUNCTION("""COMPUTED_VALUE"""),80.0)</f>
        <v>80</v>
      </c>
      <c r="K221" s="200">
        <f>IFERROR(__xludf.DUMMYFUNCTION("""COMPUTED_VALUE"""),20.0)</f>
        <v>20</v>
      </c>
      <c r="L221" s="201" t="str">
        <f>IFERROR(__xludf.DUMMYFUNCTION("""COMPUTED_VALUE"""),"Action-Adventure")</f>
        <v>Action-Adventure</v>
      </c>
    </row>
    <row r="222">
      <c r="A222" s="190" t="str">
        <f>IFERROR(__xludf.DUMMYFUNCTION("""COMPUTED_VALUE"""),"Wobbly Life")</f>
        <v>Wobbly Life</v>
      </c>
      <c r="B222" s="195" t="str">
        <f>IFERROR(__xludf.DUMMYFUNCTION("""COMPUTED_VALUE"""),"Xbox / PC")</f>
        <v>Xbox / PC</v>
      </c>
      <c r="C222" s="196" t="str">
        <f>IFERROR(__xludf.DUMMYFUNCTION("""COMPUTED_VALUE"""),"Yes")</f>
        <v>Yes</v>
      </c>
      <c r="D222" s="196" t="str">
        <f>IFERROR(__xludf.DUMMYFUNCTION("""COMPUTED_VALUE"""),"Active")</f>
        <v>Active</v>
      </c>
      <c r="E222" s="197">
        <f>IFERROR(__xludf.DUMMYFUNCTION("""COMPUTED_VALUE"""),45918.0)</f>
        <v>45918</v>
      </c>
      <c r="F222" s="198"/>
      <c r="G222" s="199">
        <f>IFERROR(__xludf.DUMMYFUNCTION("""COMPUTED_VALUE"""),0.8999999999999999)</f>
        <v>0.9</v>
      </c>
      <c r="H222" s="197">
        <f>IFERROR(__xludf.DUMMYFUNCTION("""COMPUTED_VALUE"""),45898.0)</f>
        <v>45898</v>
      </c>
      <c r="I222" s="199">
        <f>IFERROR(__xludf.DUMMYFUNCTION("""COMPUTED_VALUE"""),0.05277777777777778)</f>
        <v>0.05277777778</v>
      </c>
      <c r="J222" s="200">
        <f>IFERROR(__xludf.DUMMYFUNCTION("""COMPUTED_VALUE"""),80.0)</f>
        <v>80</v>
      </c>
      <c r="K222" s="200">
        <f>IFERROR(__xludf.DUMMYFUNCTION("""COMPUTED_VALUE"""),3.0)</f>
        <v>3</v>
      </c>
      <c r="L222" s="201" t="str">
        <f>IFERROR(__xludf.DUMMYFUNCTION("""COMPUTED_VALUE"""),"Action-Adventure")</f>
        <v>Action-Adventure</v>
      </c>
    </row>
    <row r="223">
      <c r="A223" s="190" t="str">
        <f>IFERROR(__xludf.DUMMYFUNCTION("""COMPUTED_VALUE"""),"Ultimate Chicken Horse")</f>
        <v>Ultimate Chicken Horse</v>
      </c>
      <c r="B223" s="195" t="str">
        <f>IFERROR(__xludf.DUMMYFUNCTION("""COMPUTED_VALUE"""),"Xbox / PC")</f>
        <v>Xbox / PC</v>
      </c>
      <c r="C223" s="196" t="str">
        <f>IFERROR(__xludf.DUMMYFUNCTION("""COMPUTED_VALUE"""),"Yes")</f>
        <v>Yes</v>
      </c>
      <c r="D223" s="196" t="str">
        <f>IFERROR(__xludf.DUMMYFUNCTION("""COMPUTED_VALUE"""),"Active")</f>
        <v>Active</v>
      </c>
      <c r="E223" s="197">
        <f>IFERROR(__xludf.DUMMYFUNCTION("""COMPUTED_VALUE"""),45841.0)</f>
        <v>45841</v>
      </c>
      <c r="F223" s="198"/>
      <c r="G223" s="199">
        <f>IFERROR(__xludf.DUMMYFUNCTION("""COMPUTED_VALUE"""),3.4)</f>
        <v>3.4</v>
      </c>
      <c r="H223" s="197">
        <f>IFERROR(__xludf.DUMMYFUNCTION("""COMPUTED_VALUE"""),43368.0)</f>
        <v>43368</v>
      </c>
      <c r="I223" s="199">
        <f>IFERROR(__xludf.DUMMYFUNCTION("""COMPUTED_VALUE"""),6.772222222222222)</f>
        <v>6.772222222</v>
      </c>
      <c r="J223" s="200">
        <f>IFERROR(__xludf.DUMMYFUNCTION("""COMPUTED_VALUE"""),80.0)</f>
        <v>80</v>
      </c>
      <c r="K223" s="200">
        <f>IFERROR(__xludf.DUMMYFUNCTION("""COMPUTED_VALUE"""),7.0)</f>
        <v>7</v>
      </c>
      <c r="L223" s="201" t="str">
        <f>IFERROR(__xludf.DUMMYFUNCTION("""COMPUTED_VALUE"""),"Platformer")</f>
        <v>Platformer</v>
      </c>
    </row>
    <row r="224">
      <c r="A224" s="190" t="str">
        <f>IFERROR(__xludf.DUMMYFUNCTION("""COMPUTED_VALUE"""),"Volcano Princess")</f>
        <v>Volcano Princess</v>
      </c>
      <c r="B224" s="195" t="str">
        <f>IFERROR(__xludf.DUMMYFUNCTION("""COMPUTED_VALUE"""),"Xbox / PC")</f>
        <v>Xbox / PC</v>
      </c>
      <c r="C224" s="196" t="str">
        <f>IFERROR(__xludf.DUMMYFUNCTION("""COMPUTED_VALUE"""),"Yes")</f>
        <v>Yes</v>
      </c>
      <c r="D224" s="196" t="str">
        <f>IFERROR(__xludf.DUMMYFUNCTION("""COMPUTED_VALUE"""),"Active")</f>
        <v>Active</v>
      </c>
      <c r="E224" s="197">
        <f>IFERROR(__xludf.DUMMYFUNCTION("""COMPUTED_VALUE"""),45832.0)</f>
        <v>45832</v>
      </c>
      <c r="F224" s="198"/>
      <c r="G224" s="199">
        <f>IFERROR(__xludf.DUMMYFUNCTION("""COMPUTED_VALUE"""),3.7)</f>
        <v>3.7</v>
      </c>
      <c r="H224" s="197">
        <f>IFERROR(__xludf.DUMMYFUNCTION("""COMPUTED_VALUE"""),45036.0)</f>
        <v>45036</v>
      </c>
      <c r="I224" s="199">
        <f>IFERROR(__xludf.DUMMYFUNCTION("""COMPUTED_VALUE"""),2.1777777777777776)</f>
        <v>2.177777778</v>
      </c>
      <c r="J224" s="200">
        <f>IFERROR(__xludf.DUMMYFUNCTION("""COMPUTED_VALUE"""),80.0)</f>
        <v>80</v>
      </c>
      <c r="K224" s="200">
        <f>IFERROR(__xludf.DUMMYFUNCTION("""COMPUTED_VALUE"""),9.0)</f>
        <v>9</v>
      </c>
      <c r="L224" s="201" t="str">
        <f>IFERROR(__xludf.DUMMYFUNCTION("""COMPUTED_VALUE"""),"RPG")</f>
        <v>RPG</v>
      </c>
    </row>
    <row r="225">
      <c r="A225" s="190" t="str">
        <f>IFERROR(__xludf.DUMMYFUNCTION("""COMPUTED_VALUE"""),"Barbie Project Friendship")</f>
        <v>Barbie Project Friendship</v>
      </c>
      <c r="B225" s="195" t="str">
        <f>IFERROR(__xludf.DUMMYFUNCTION("""COMPUTED_VALUE"""),"Xbox / PC")</f>
        <v>Xbox / PC</v>
      </c>
      <c r="C225" s="196" t="str">
        <f>IFERROR(__xludf.DUMMYFUNCTION("""COMPUTED_VALUE"""),"Yes")</f>
        <v>Yes</v>
      </c>
      <c r="D225" s="196" t="str">
        <f>IFERROR(__xludf.DUMMYFUNCTION("""COMPUTED_VALUE"""),"Active")</f>
        <v>Active</v>
      </c>
      <c r="E225" s="197">
        <f>IFERROR(__xludf.DUMMYFUNCTION("""COMPUTED_VALUE"""),45819.0)</f>
        <v>45819</v>
      </c>
      <c r="F225" s="198"/>
      <c r="G225" s="199">
        <f>IFERROR(__xludf.DUMMYFUNCTION("""COMPUTED_VALUE"""),4.133333333333333)</f>
        <v>4.133333333</v>
      </c>
      <c r="H225" s="197">
        <f>IFERROR(__xludf.DUMMYFUNCTION("""COMPUTED_VALUE"""),45590.0)</f>
        <v>45590</v>
      </c>
      <c r="I225" s="199">
        <f>IFERROR(__xludf.DUMMYFUNCTION("""COMPUTED_VALUE"""),0.6277777777777778)</f>
        <v>0.6277777778</v>
      </c>
      <c r="J225" s="200">
        <f>IFERROR(__xludf.DUMMYFUNCTION("""COMPUTED_VALUE"""),80.0)</f>
        <v>80</v>
      </c>
      <c r="K225" s="200">
        <f>IFERROR(__xludf.DUMMYFUNCTION("""COMPUTED_VALUE"""),8.0)</f>
        <v>8</v>
      </c>
      <c r="L225" s="201" t="str">
        <f>IFERROR(__xludf.DUMMYFUNCTION("""COMPUTED_VALUE"""),"Action-Adventure")</f>
        <v>Action-Adventure</v>
      </c>
    </row>
    <row r="226">
      <c r="A226" s="190" t="str">
        <f>IFERROR(__xludf.DUMMYFUNCTION("""COMPUTED_VALUE"""),"DREDGE")</f>
        <v>DREDGE</v>
      </c>
      <c r="B226" s="195" t="str">
        <f>IFERROR(__xludf.DUMMYFUNCTION("""COMPUTED_VALUE"""),"Xbox / PC")</f>
        <v>Xbox / PC</v>
      </c>
      <c r="C226" s="196" t="str">
        <f>IFERROR(__xludf.DUMMYFUNCTION("""COMPUTED_VALUE"""),"Yes")</f>
        <v>Yes</v>
      </c>
      <c r="D226" s="196" t="str">
        <f>IFERROR(__xludf.DUMMYFUNCTION("""COMPUTED_VALUE"""),"Active")</f>
        <v>Active</v>
      </c>
      <c r="E226" s="197">
        <f>IFERROR(__xludf.DUMMYFUNCTION("""COMPUTED_VALUE"""),45783.0)</f>
        <v>45783</v>
      </c>
      <c r="F226" s="198"/>
      <c r="G226" s="199">
        <f>IFERROR(__xludf.DUMMYFUNCTION("""COMPUTED_VALUE"""),5.3)</f>
        <v>5.3</v>
      </c>
      <c r="H226" s="197">
        <f>IFERROR(__xludf.DUMMYFUNCTION("""COMPUTED_VALUE"""),45015.0)</f>
        <v>45015</v>
      </c>
      <c r="I226" s="199">
        <f>IFERROR(__xludf.DUMMYFUNCTION("""COMPUTED_VALUE"""),2.1)</f>
        <v>2.1</v>
      </c>
      <c r="J226" s="200">
        <f>IFERROR(__xludf.DUMMYFUNCTION("""COMPUTED_VALUE"""),80.0)</f>
        <v>80</v>
      </c>
      <c r="K226" s="200">
        <f>IFERROR(__xludf.DUMMYFUNCTION("""COMPUTED_VALUE"""),10.0)</f>
        <v>10</v>
      </c>
      <c r="L226" s="201" t="str">
        <f>IFERROR(__xludf.DUMMYFUNCTION("""COMPUTED_VALUE"""),"Action-Adventure")</f>
        <v>Action-Adventure</v>
      </c>
    </row>
    <row r="227">
      <c r="A227" s="190" t="str">
        <f>IFERROR(__xludf.DUMMYFUNCTION("""COMPUTED_VALUE"""),"Ninja Gaiden II: Black")</f>
        <v>Ninja Gaiden II: Black</v>
      </c>
      <c r="B227" s="195" t="str">
        <f>IFERROR(__xludf.DUMMYFUNCTION("""COMPUTED_VALUE"""),"Xbox / PC")</f>
        <v>Xbox / PC</v>
      </c>
      <c r="C227" s="196" t="str">
        <f>IFERROR(__xludf.DUMMYFUNCTION("""COMPUTED_VALUE"""),"Yes")</f>
        <v>Yes</v>
      </c>
      <c r="D227" s="196" t="str">
        <f>IFERROR(__xludf.DUMMYFUNCTION("""COMPUTED_VALUE"""),"Active")</f>
        <v>Active</v>
      </c>
      <c r="E227" s="197">
        <f>IFERROR(__xludf.DUMMYFUNCTION("""COMPUTED_VALUE"""),45680.0)</f>
        <v>45680</v>
      </c>
      <c r="F227" s="198"/>
      <c r="G227" s="199">
        <f>IFERROR(__xludf.DUMMYFUNCTION("""COMPUTED_VALUE"""),8.733333333333333)</f>
        <v>8.733333333</v>
      </c>
      <c r="H227" s="197">
        <f>IFERROR(__xludf.DUMMYFUNCTION("""COMPUTED_VALUE"""),45680.0)</f>
        <v>45680</v>
      </c>
      <c r="I227" s="199">
        <f>IFERROR(__xludf.DUMMYFUNCTION("""COMPUTED_VALUE"""),0.0)</f>
        <v>0</v>
      </c>
      <c r="J227" s="200">
        <f>IFERROR(__xludf.DUMMYFUNCTION("""COMPUTED_VALUE"""),80.0)</f>
        <v>80</v>
      </c>
      <c r="K227" s="200">
        <f>IFERROR(__xludf.DUMMYFUNCTION("""COMPUTED_VALUE"""),10.0)</f>
        <v>10</v>
      </c>
      <c r="L227" s="201" t="str">
        <f>IFERROR(__xludf.DUMMYFUNCTION("""COMPUTED_VALUE"""),"Action-Adventure")</f>
        <v>Action-Adventure</v>
      </c>
    </row>
    <row r="228">
      <c r="A228" s="190" t="str">
        <f>IFERROR(__xludf.DUMMYFUNCTION("""COMPUTED_VALUE"""),"Hunt: Showdown 1896")</f>
        <v>Hunt: Showdown 1896</v>
      </c>
      <c r="B228" s="195" t="str">
        <f>IFERROR(__xludf.DUMMYFUNCTION("""COMPUTED_VALUE"""),"Xbox / PC")</f>
        <v>Xbox / PC</v>
      </c>
      <c r="C228" s="196" t="str">
        <f>IFERROR(__xludf.DUMMYFUNCTION("""COMPUTED_VALUE"""),"Yes")</f>
        <v>Yes</v>
      </c>
      <c r="D228" s="196" t="str">
        <f>IFERROR(__xludf.DUMMYFUNCTION("""COMPUTED_VALUE"""),"Active")</f>
        <v>Active</v>
      </c>
      <c r="E228" s="197">
        <f>IFERROR(__xludf.DUMMYFUNCTION("""COMPUTED_VALUE"""),45638.0)</f>
        <v>45638</v>
      </c>
      <c r="F228" s="198"/>
      <c r="G228" s="199">
        <f>IFERROR(__xludf.DUMMYFUNCTION("""COMPUTED_VALUE"""),10.1)</f>
        <v>10.1</v>
      </c>
      <c r="H228" s="197">
        <f>IFERROR(__xludf.DUMMYFUNCTION("""COMPUTED_VALUE"""),45519.0)</f>
        <v>45519</v>
      </c>
      <c r="I228" s="199">
        <f>IFERROR(__xludf.DUMMYFUNCTION("""COMPUTED_VALUE"""),0.325)</f>
        <v>0.325</v>
      </c>
      <c r="J228" s="200">
        <f>IFERROR(__xludf.DUMMYFUNCTION("""COMPUTED_VALUE"""),80.0)</f>
        <v>80</v>
      </c>
      <c r="K228" s="200">
        <f>IFERROR(__xludf.DUMMYFUNCTION("""COMPUTED_VALUE"""),41.0)</f>
        <v>41</v>
      </c>
      <c r="L228" s="201" t="str">
        <f>IFERROR(__xludf.DUMMYFUNCTION("""COMPUTED_VALUE"""),"Shooter")</f>
        <v>Shooter</v>
      </c>
    </row>
    <row r="229">
      <c r="A229" s="190" t="str">
        <f>IFERROR(__xludf.DUMMYFUNCTION("""COMPUTED_VALUE"""),"Wildfrost")</f>
        <v>Wildfrost</v>
      </c>
      <c r="B229" s="195" t="str">
        <f>IFERROR(__xludf.DUMMYFUNCTION("""COMPUTED_VALUE"""),"Xbox / PC")</f>
        <v>Xbox / PC</v>
      </c>
      <c r="C229" s="196" t="str">
        <f>IFERROR(__xludf.DUMMYFUNCTION("""COMPUTED_VALUE"""),"Yes")</f>
        <v>Yes</v>
      </c>
      <c r="D229" s="196" t="str">
        <f>IFERROR(__xludf.DUMMYFUNCTION("""COMPUTED_VALUE"""),"Active")</f>
        <v>Active</v>
      </c>
      <c r="E229" s="197">
        <f>IFERROR(__xludf.DUMMYFUNCTION("""COMPUTED_VALUE"""),45636.0)</f>
        <v>45636</v>
      </c>
      <c r="F229" s="198"/>
      <c r="G229" s="199">
        <f>IFERROR(__xludf.DUMMYFUNCTION("""COMPUTED_VALUE"""),10.166666666666666)</f>
        <v>10.16666667</v>
      </c>
      <c r="H229" s="197">
        <f>IFERROR(__xludf.DUMMYFUNCTION("""COMPUTED_VALUE"""),45028.0)</f>
        <v>45028</v>
      </c>
      <c r="I229" s="199">
        <f>IFERROR(__xludf.DUMMYFUNCTION("""COMPUTED_VALUE"""),1.6611111111111112)</f>
        <v>1.661111111</v>
      </c>
      <c r="J229" s="200">
        <f>IFERROR(__xludf.DUMMYFUNCTION("""COMPUTED_VALUE"""),80.0)</f>
        <v>80</v>
      </c>
      <c r="K229" s="200">
        <f>IFERROR(__xludf.DUMMYFUNCTION("""COMPUTED_VALUE"""),13.0)</f>
        <v>13</v>
      </c>
      <c r="L229" s="201" t="str">
        <f>IFERROR(__xludf.DUMMYFUNCTION("""COMPUTED_VALUE"""),"Card Battle")</f>
        <v>Card Battle</v>
      </c>
    </row>
    <row r="230">
      <c r="A230" s="190" t="str">
        <f>IFERROR(__xludf.DUMMYFUNCTION("""COMPUTED_VALUE"""),"EA Sports WRC")</f>
        <v>EA Sports WRC</v>
      </c>
      <c r="B230" s="195" t="str">
        <f>IFERROR(__xludf.DUMMYFUNCTION("""COMPUTED_VALUE"""),"Xbox / PC")</f>
        <v>Xbox / PC</v>
      </c>
      <c r="C230" s="196" t="str">
        <f>IFERROR(__xludf.DUMMYFUNCTION("""COMPUTED_VALUE"""),"Yes")</f>
        <v>Yes</v>
      </c>
      <c r="D230" s="196" t="str">
        <f>IFERROR(__xludf.DUMMYFUNCTION("""COMPUTED_VALUE"""),"Active")</f>
        <v>Active</v>
      </c>
      <c r="E230" s="197">
        <f>IFERROR(__xludf.DUMMYFUNCTION("""COMPUTED_VALUE"""),45631.0)</f>
        <v>45631</v>
      </c>
      <c r="F230" s="198"/>
      <c r="G230" s="199">
        <f>IFERROR(__xludf.DUMMYFUNCTION("""COMPUTED_VALUE"""),10.333333333333334)</f>
        <v>10.33333333</v>
      </c>
      <c r="H230" s="197">
        <f>IFERROR(__xludf.DUMMYFUNCTION("""COMPUTED_VALUE"""),45233.0)</f>
        <v>45233</v>
      </c>
      <c r="I230" s="199">
        <f>IFERROR(__xludf.DUMMYFUNCTION("""COMPUTED_VALUE"""),1.0888888888888888)</f>
        <v>1.088888889</v>
      </c>
      <c r="J230" s="200">
        <f>IFERROR(__xludf.DUMMYFUNCTION("""COMPUTED_VALUE"""),80.0)</f>
        <v>80</v>
      </c>
      <c r="K230" s="200">
        <f>IFERROR(__xludf.DUMMYFUNCTION("""COMPUTED_VALUE"""),11.0)</f>
        <v>11</v>
      </c>
      <c r="L230" s="201" t="str">
        <f>IFERROR(__xludf.DUMMYFUNCTION("""COMPUTED_VALUE"""),"Racing")</f>
        <v>Racing</v>
      </c>
    </row>
    <row r="231">
      <c r="A231" s="190" t="str">
        <f>IFERROR(__xludf.DUMMYFUNCTION("""COMPUTED_VALUE"""),"Crash Bandicoot N. Sane Trilogy")</f>
        <v>Crash Bandicoot N. Sane Trilogy</v>
      </c>
      <c r="B231" s="195" t="str">
        <f>IFERROR(__xludf.DUMMYFUNCTION("""COMPUTED_VALUE"""),"Xbox / PC")</f>
        <v>Xbox / PC</v>
      </c>
      <c r="C231" s="196" t="str">
        <f>IFERROR(__xludf.DUMMYFUNCTION("""COMPUTED_VALUE"""),"Yes")</f>
        <v>Yes</v>
      </c>
      <c r="D231" s="196" t="str">
        <f>IFERROR(__xludf.DUMMYFUNCTION("""COMPUTED_VALUE"""),"Active")</f>
        <v>Active</v>
      </c>
      <c r="E231" s="197">
        <f>IFERROR(__xludf.DUMMYFUNCTION("""COMPUTED_VALUE"""),45512.0)</f>
        <v>45512</v>
      </c>
      <c r="F231" s="198"/>
      <c r="G231" s="199">
        <f>IFERROR(__xludf.DUMMYFUNCTION("""COMPUTED_VALUE"""),14.233333333333334)</f>
        <v>14.23333333</v>
      </c>
      <c r="H231" s="197">
        <f>IFERROR(__xludf.DUMMYFUNCTION("""COMPUTED_VALUE"""),42916.0)</f>
        <v>42916</v>
      </c>
      <c r="I231" s="199">
        <f>IFERROR(__xludf.DUMMYFUNCTION("""COMPUTED_VALUE"""),7.105555555555555)</f>
        <v>7.105555556</v>
      </c>
      <c r="J231" s="200">
        <f>IFERROR(__xludf.DUMMYFUNCTION("""COMPUTED_VALUE"""),80.0)</f>
        <v>80</v>
      </c>
      <c r="K231" s="200">
        <f>IFERROR(__xludf.DUMMYFUNCTION("""COMPUTED_VALUE"""),15.0)</f>
        <v>15</v>
      </c>
      <c r="L231" s="201" t="str">
        <f>IFERROR(__xludf.DUMMYFUNCTION("""COMPUTED_VALUE"""),"Platformer")</f>
        <v>Platformer</v>
      </c>
    </row>
    <row r="232">
      <c r="A232" s="190" t="str">
        <f>IFERROR(__xludf.DUMMYFUNCTION("""COMPUTED_VALUE"""),"Moving Out 2")</f>
        <v>Moving Out 2</v>
      </c>
      <c r="B232" s="195" t="str">
        <f>IFERROR(__xludf.DUMMYFUNCTION("""COMPUTED_VALUE"""),"Xbox / PC")</f>
        <v>Xbox / PC</v>
      </c>
      <c r="C232" s="196" t="str">
        <f>IFERROR(__xludf.DUMMYFUNCTION("""COMPUTED_VALUE"""),"Yes")</f>
        <v>Yes</v>
      </c>
      <c r="D232" s="196" t="str">
        <f>IFERROR(__xludf.DUMMYFUNCTION("""COMPUTED_VALUE"""),"Active")</f>
        <v>Active</v>
      </c>
      <c r="E232" s="197">
        <f>IFERROR(__xludf.DUMMYFUNCTION("""COMPUTED_VALUE"""),45440.0)</f>
        <v>45440</v>
      </c>
      <c r="F232" s="198"/>
      <c r="G232" s="199">
        <f>IFERROR(__xludf.DUMMYFUNCTION("""COMPUTED_VALUE"""),16.566666666666666)</f>
        <v>16.56666667</v>
      </c>
      <c r="H232" s="197">
        <f>IFERROR(__xludf.DUMMYFUNCTION("""COMPUTED_VALUE"""),45153.0)</f>
        <v>45153</v>
      </c>
      <c r="I232" s="199">
        <f>IFERROR(__xludf.DUMMYFUNCTION("""COMPUTED_VALUE"""),0.7861111111111111)</f>
        <v>0.7861111111</v>
      </c>
      <c r="J232" s="200">
        <f>IFERROR(__xludf.DUMMYFUNCTION("""COMPUTED_VALUE"""),80.0)</f>
        <v>80</v>
      </c>
      <c r="K232" s="200">
        <f>IFERROR(__xludf.DUMMYFUNCTION("""COMPUTED_VALUE"""),10.0)</f>
        <v>10</v>
      </c>
      <c r="L232" s="201" t="str">
        <f>IFERROR(__xludf.DUMMYFUNCTION("""COMPUTED_VALUE"""),"Simulation")</f>
        <v>Simulation</v>
      </c>
    </row>
    <row r="233">
      <c r="A233" s="190" t="str">
        <f>IFERROR(__xludf.DUMMYFUNCTION("""COMPUTED_VALUE"""),"Galacticare")</f>
        <v>Galacticare</v>
      </c>
      <c r="B233" s="195" t="str">
        <f>IFERROR(__xludf.DUMMYFUNCTION("""COMPUTED_VALUE"""),"Xbox / PC")</f>
        <v>Xbox / PC</v>
      </c>
      <c r="C233" s="196" t="str">
        <f>IFERROR(__xludf.DUMMYFUNCTION("""COMPUTED_VALUE"""),"Yes")</f>
        <v>Yes</v>
      </c>
      <c r="D233" s="196" t="str">
        <f>IFERROR(__xludf.DUMMYFUNCTION("""COMPUTED_VALUE"""),"Active")</f>
        <v>Active</v>
      </c>
      <c r="E233" s="197">
        <f>IFERROR(__xludf.DUMMYFUNCTION("""COMPUTED_VALUE"""),45435.0)</f>
        <v>45435</v>
      </c>
      <c r="F233" s="198"/>
      <c r="G233" s="199">
        <f>IFERROR(__xludf.DUMMYFUNCTION("""COMPUTED_VALUE"""),16.733333333333334)</f>
        <v>16.73333333</v>
      </c>
      <c r="H233" s="197">
        <f>IFERROR(__xludf.DUMMYFUNCTION("""COMPUTED_VALUE"""),45435.0)</f>
        <v>45435</v>
      </c>
      <c r="I233" s="199">
        <f>IFERROR(__xludf.DUMMYFUNCTION("""COMPUTED_VALUE"""),0.0)</f>
        <v>0</v>
      </c>
      <c r="J233" s="200">
        <f>IFERROR(__xludf.DUMMYFUNCTION("""COMPUTED_VALUE"""),80.0)</f>
        <v>80</v>
      </c>
      <c r="K233" s="200">
        <f>IFERROR(__xludf.DUMMYFUNCTION("""COMPUTED_VALUE"""),20.0)</f>
        <v>20</v>
      </c>
      <c r="L233" s="201" t="str">
        <f>IFERROR(__xludf.DUMMYFUNCTION("""COMPUTED_VALUE"""),"Tycoon")</f>
        <v>Tycoon</v>
      </c>
    </row>
    <row r="234">
      <c r="A234" s="190" t="str">
        <f>IFERROR(__xludf.DUMMYFUNCTION("""COMPUTED_VALUE"""),"Senua's Saga: Hellblade II")</f>
        <v>Senua's Saga: Hellblade II</v>
      </c>
      <c r="B234" s="195" t="str">
        <f>IFERROR(__xludf.DUMMYFUNCTION("""COMPUTED_VALUE"""),"Xbox / PC")</f>
        <v>Xbox / PC</v>
      </c>
      <c r="C234" s="196" t="str">
        <f>IFERROR(__xludf.DUMMYFUNCTION("""COMPUTED_VALUE"""),"Yes")</f>
        <v>Yes</v>
      </c>
      <c r="D234" s="196" t="str">
        <f>IFERROR(__xludf.DUMMYFUNCTION("""COMPUTED_VALUE"""),"Active")</f>
        <v>Active</v>
      </c>
      <c r="E234" s="197">
        <f>IFERROR(__xludf.DUMMYFUNCTION("""COMPUTED_VALUE"""),45433.0)</f>
        <v>45433</v>
      </c>
      <c r="F234" s="198"/>
      <c r="G234" s="199">
        <f>IFERROR(__xludf.DUMMYFUNCTION("""COMPUTED_VALUE"""),16.799999999999997)</f>
        <v>16.8</v>
      </c>
      <c r="H234" s="197">
        <f>IFERROR(__xludf.DUMMYFUNCTION("""COMPUTED_VALUE"""),45433.0)</f>
        <v>45433</v>
      </c>
      <c r="I234" s="199">
        <f>IFERROR(__xludf.DUMMYFUNCTION("""COMPUTED_VALUE"""),0.0)</f>
        <v>0</v>
      </c>
      <c r="J234" s="200">
        <f>IFERROR(__xludf.DUMMYFUNCTION("""COMPUTED_VALUE"""),80.0)</f>
        <v>80</v>
      </c>
      <c r="K234" s="200">
        <f>IFERROR(__xludf.DUMMYFUNCTION("""COMPUTED_VALUE"""),7.0)</f>
        <v>7</v>
      </c>
      <c r="L234" s="201" t="str">
        <f>IFERROR(__xludf.DUMMYFUNCTION("""COMPUTED_VALUE"""),"Action / Action-Adventure")</f>
        <v>Action / Action-Adventure</v>
      </c>
    </row>
    <row r="235">
      <c r="A235" s="190" t="str">
        <f>IFERROR(__xludf.DUMMYFUNCTION("""COMPUTED_VALUE"""),"Assassin's Creed Valhalla")</f>
        <v>Assassin's Creed Valhalla</v>
      </c>
      <c r="B235" s="195" t="str">
        <f>IFERROR(__xludf.DUMMYFUNCTION("""COMPUTED_VALUE"""),"Xbox / PC")</f>
        <v>Xbox / PC</v>
      </c>
      <c r="C235" s="196" t="str">
        <f>IFERROR(__xludf.DUMMYFUNCTION("""COMPUTED_VALUE"""),"Yes")</f>
        <v>Yes</v>
      </c>
      <c r="D235" s="196" t="str">
        <f>IFERROR(__xludf.DUMMYFUNCTION("""COMPUTED_VALUE"""),"Active")</f>
        <v>Active</v>
      </c>
      <c r="E235" s="197">
        <f>IFERROR(__xludf.DUMMYFUNCTION("""COMPUTED_VALUE"""),45300.0)</f>
        <v>45300</v>
      </c>
      <c r="F235" s="198"/>
      <c r="G235" s="199">
        <f>IFERROR(__xludf.DUMMYFUNCTION("""COMPUTED_VALUE"""),21.2)</f>
        <v>21.2</v>
      </c>
      <c r="H235" s="197">
        <f>IFERROR(__xludf.DUMMYFUNCTION("""COMPUTED_VALUE"""),44145.0)</f>
        <v>44145</v>
      </c>
      <c r="I235" s="199">
        <f>IFERROR(__xludf.DUMMYFUNCTION("""COMPUTED_VALUE"""),3.1638888888888888)</f>
        <v>3.163888889</v>
      </c>
      <c r="J235" s="200">
        <f>IFERROR(__xludf.DUMMYFUNCTION("""COMPUTED_VALUE"""),80.0)</f>
        <v>80</v>
      </c>
      <c r="K235" s="200">
        <f>IFERROR(__xludf.DUMMYFUNCTION("""COMPUTED_VALUE"""),61.0)</f>
        <v>61</v>
      </c>
      <c r="L235" s="201" t="str">
        <f>IFERROR(__xludf.DUMMYFUNCTION("""COMPUTED_VALUE"""),"RPG / Action-Adventure")</f>
        <v>RPG / Action-Adventure</v>
      </c>
    </row>
    <row r="236">
      <c r="A236" s="190" t="str">
        <f>IFERROR(__xludf.DUMMYFUNCTION("""COMPUTED_VALUE"""),"Thirsty Suitors")</f>
        <v>Thirsty Suitors</v>
      </c>
      <c r="B236" s="195" t="str">
        <f>IFERROR(__xludf.DUMMYFUNCTION("""COMPUTED_VALUE"""),"Xbox / PC")</f>
        <v>Xbox / PC</v>
      </c>
      <c r="C236" s="196" t="str">
        <f>IFERROR(__xludf.DUMMYFUNCTION("""COMPUTED_VALUE"""),"Yes")</f>
        <v>Yes</v>
      </c>
      <c r="D236" s="196" t="str">
        <f>IFERROR(__xludf.DUMMYFUNCTION("""COMPUTED_VALUE"""),"Active")</f>
        <v>Active</v>
      </c>
      <c r="E236" s="197">
        <f>IFERROR(__xludf.DUMMYFUNCTION("""COMPUTED_VALUE"""),45232.0)</f>
        <v>45232</v>
      </c>
      <c r="F236" s="198"/>
      <c r="G236" s="199">
        <f>IFERROR(__xludf.DUMMYFUNCTION("""COMPUTED_VALUE"""),23.433333333333334)</f>
        <v>23.43333333</v>
      </c>
      <c r="H236" s="197">
        <f>IFERROR(__xludf.DUMMYFUNCTION("""COMPUTED_VALUE"""),45232.0)</f>
        <v>45232</v>
      </c>
      <c r="I236" s="199">
        <f>IFERROR(__xludf.DUMMYFUNCTION("""COMPUTED_VALUE"""),0.0)</f>
        <v>0</v>
      </c>
      <c r="J236" s="200">
        <f>IFERROR(__xludf.DUMMYFUNCTION("""COMPUTED_VALUE"""),80.0)</f>
        <v>80</v>
      </c>
      <c r="K236" s="200">
        <f>IFERROR(__xludf.DUMMYFUNCTION("""COMPUTED_VALUE"""),8.0)</f>
        <v>8</v>
      </c>
      <c r="L236" s="201" t="str">
        <f>IFERROR(__xludf.DUMMYFUNCTION("""COMPUTED_VALUE"""),"Adventure / RPG")</f>
        <v>Adventure / RPG</v>
      </c>
    </row>
    <row r="237">
      <c r="A237" s="190" t="str">
        <f>IFERROR(__xludf.DUMMYFUNCTION("""COMPUTED_VALUE"""),"Wartales")</f>
        <v>Wartales</v>
      </c>
      <c r="B237" s="195" t="str">
        <f>IFERROR(__xludf.DUMMYFUNCTION("""COMPUTED_VALUE"""),"Xbox / PC")</f>
        <v>Xbox / PC</v>
      </c>
      <c r="C237" s="196" t="str">
        <f>IFERROR(__xludf.DUMMYFUNCTION("""COMPUTED_VALUE"""),"Yes")</f>
        <v>Yes</v>
      </c>
      <c r="D237" s="196" t="str">
        <f>IFERROR(__xludf.DUMMYFUNCTION("""COMPUTED_VALUE"""),"Active")</f>
        <v>Active</v>
      </c>
      <c r="E237" s="197">
        <f>IFERROR(__xludf.DUMMYFUNCTION("""COMPUTED_VALUE"""),45230.0)</f>
        <v>45230</v>
      </c>
      <c r="F237" s="198"/>
      <c r="G237" s="199">
        <f>IFERROR(__xludf.DUMMYFUNCTION("""COMPUTED_VALUE"""),23.5)</f>
        <v>23.5</v>
      </c>
      <c r="H237" s="197">
        <f>IFERROR(__xludf.DUMMYFUNCTION("""COMPUTED_VALUE"""),44531.0)</f>
        <v>44531</v>
      </c>
      <c r="I237" s="199">
        <f>IFERROR(__xludf.DUMMYFUNCTION("""COMPUTED_VALUE"""),1.913888888888889)</f>
        <v>1.913888889</v>
      </c>
      <c r="J237" s="200">
        <f>IFERROR(__xludf.DUMMYFUNCTION("""COMPUTED_VALUE"""),80.0)</f>
        <v>80</v>
      </c>
      <c r="K237" s="200">
        <f>IFERROR(__xludf.DUMMYFUNCTION("""COMPUTED_VALUE"""),38.0)</f>
        <v>38</v>
      </c>
      <c r="L237" s="201" t="str">
        <f>IFERROR(__xludf.DUMMYFUNCTION("""COMPUTED_VALUE"""),"Strategy / Adventure / RPG")</f>
        <v>Strategy / Adventure / RPG</v>
      </c>
    </row>
    <row r="238">
      <c r="A238" s="190" t="str">
        <f>IFERROR(__xludf.DUMMYFUNCTION("""COMPUTED_VALUE"""),"Planet of Lana")</f>
        <v>Planet of Lana</v>
      </c>
      <c r="B238" s="195" t="str">
        <f>IFERROR(__xludf.DUMMYFUNCTION("""COMPUTED_VALUE"""),"Xbox / PC")</f>
        <v>Xbox / PC</v>
      </c>
      <c r="C238" s="196" t="str">
        <f>IFERROR(__xludf.DUMMYFUNCTION("""COMPUTED_VALUE"""),"Yes")</f>
        <v>Yes</v>
      </c>
      <c r="D238" s="196" t="str">
        <f>IFERROR(__xludf.DUMMYFUNCTION("""COMPUTED_VALUE"""),"Active")</f>
        <v>Active</v>
      </c>
      <c r="E238" s="197">
        <f>IFERROR(__xludf.DUMMYFUNCTION("""COMPUTED_VALUE"""),45069.0)</f>
        <v>45069</v>
      </c>
      <c r="F238" s="198"/>
      <c r="G238" s="199">
        <f>IFERROR(__xludf.DUMMYFUNCTION("""COMPUTED_VALUE"""),28.733333333333334)</f>
        <v>28.73333333</v>
      </c>
      <c r="H238" s="197">
        <f>IFERROR(__xludf.DUMMYFUNCTION("""COMPUTED_VALUE"""),45069.0)</f>
        <v>45069</v>
      </c>
      <c r="I238" s="199">
        <f>IFERROR(__xludf.DUMMYFUNCTION("""COMPUTED_VALUE"""),0.0)</f>
        <v>0</v>
      </c>
      <c r="J238" s="200">
        <f>IFERROR(__xludf.DUMMYFUNCTION("""COMPUTED_VALUE"""),80.0)</f>
        <v>80</v>
      </c>
      <c r="K238" s="200">
        <f>IFERROR(__xludf.DUMMYFUNCTION("""COMPUTED_VALUE"""),5.0)</f>
        <v>5</v>
      </c>
      <c r="L238" s="201" t="str">
        <f>IFERROR(__xludf.DUMMYFUNCTION("""COMPUTED_VALUE"""),"Adventure / Puzzle")</f>
        <v>Adventure / Puzzle</v>
      </c>
    </row>
    <row r="239">
      <c r="A239" s="190" t="str">
        <f>IFERROR(__xludf.DUMMYFUNCTION("""COMPUTED_VALUE"""),"Crysis 3: Remastered")</f>
        <v>Crysis 3: Remastered</v>
      </c>
      <c r="B239" s="195" t="str">
        <f>IFERROR(__xludf.DUMMYFUNCTION("""COMPUTED_VALUE"""),"PC")</f>
        <v>PC</v>
      </c>
      <c r="C239" s="196"/>
      <c r="D239" s="196" t="str">
        <f>IFERROR(__xludf.DUMMYFUNCTION("""COMPUTED_VALUE"""),"Active")</f>
        <v>Active</v>
      </c>
      <c r="E239" s="197">
        <f>IFERROR(__xludf.DUMMYFUNCTION("""COMPUTED_VALUE"""),44901.0)</f>
        <v>44901</v>
      </c>
      <c r="F239" s="198"/>
      <c r="G239" s="199">
        <f>IFERROR(__xludf.DUMMYFUNCTION("""COMPUTED_VALUE"""),34.3)</f>
        <v>34.3</v>
      </c>
      <c r="H239" s="197">
        <f>IFERROR(__xludf.DUMMYFUNCTION("""COMPUTED_VALUE"""),44484.0)</f>
        <v>44484</v>
      </c>
      <c r="I239" s="199">
        <f>IFERROR(__xludf.DUMMYFUNCTION("""COMPUTED_VALUE"""),1.1416666666666666)</f>
        <v>1.141666667</v>
      </c>
      <c r="J239" s="200">
        <f>IFERROR(__xludf.DUMMYFUNCTION("""COMPUTED_VALUE"""),80.0)</f>
        <v>80</v>
      </c>
      <c r="K239" s="200">
        <f>IFERROR(__xludf.DUMMYFUNCTION("""COMPUTED_VALUE"""),7.0)</f>
        <v>7</v>
      </c>
      <c r="L239" s="201" t="str">
        <f>IFERROR(__xludf.DUMMYFUNCTION("""COMPUTED_VALUE"""),"Action / First-Person Shooter")</f>
        <v>Action / First-Person Shooter</v>
      </c>
    </row>
    <row r="240">
      <c r="A240" s="190" t="str">
        <f>IFERROR(__xludf.DUMMYFUNCTION("""COMPUTED_VALUE"""),"Crysis Trilogy: Remastered")</f>
        <v>Crysis Trilogy: Remastered</v>
      </c>
      <c r="B240" s="195" t="str">
        <f>IFERROR(__xludf.DUMMYFUNCTION("""COMPUTED_VALUE"""),"PC")</f>
        <v>PC</v>
      </c>
      <c r="C240" s="196"/>
      <c r="D240" s="196" t="str">
        <f>IFERROR(__xludf.DUMMYFUNCTION("""COMPUTED_VALUE"""),"Active")</f>
        <v>Active</v>
      </c>
      <c r="E240" s="197">
        <f>IFERROR(__xludf.DUMMYFUNCTION("""COMPUTED_VALUE"""),44901.0)</f>
        <v>44901</v>
      </c>
      <c r="F240" s="198"/>
      <c r="G240" s="199">
        <f>IFERROR(__xludf.DUMMYFUNCTION("""COMPUTED_VALUE"""),34.3)</f>
        <v>34.3</v>
      </c>
      <c r="H240" s="197">
        <f>IFERROR(__xludf.DUMMYFUNCTION("""COMPUTED_VALUE"""),44484.0)</f>
        <v>44484</v>
      </c>
      <c r="I240" s="199">
        <f>IFERROR(__xludf.DUMMYFUNCTION("""COMPUTED_VALUE"""),1.1416666666666666)</f>
        <v>1.141666667</v>
      </c>
      <c r="J240" s="200">
        <f>IFERROR(__xludf.DUMMYFUNCTION("""COMPUTED_VALUE"""),80.0)</f>
        <v>80</v>
      </c>
      <c r="K240" s="200">
        <f>IFERROR(__xludf.DUMMYFUNCTION("""COMPUTED_VALUE"""),26.0)</f>
        <v>26</v>
      </c>
      <c r="L240" s="201" t="str">
        <f>IFERROR(__xludf.DUMMYFUNCTION("""COMPUTED_VALUE"""),"Action / First-Person Shooter")</f>
        <v>Action / First-Person Shooter</v>
      </c>
    </row>
    <row r="241">
      <c r="A241" s="190" t="str">
        <f>IFERROR(__xludf.DUMMYFUNCTION("""COMPUTED_VALUE"""),"Valorant")</f>
        <v>Valorant</v>
      </c>
      <c r="B241" s="195" t="str">
        <f>IFERROR(__xludf.DUMMYFUNCTION("""COMPUTED_VALUE"""),"Xbox / PC")</f>
        <v>Xbox / PC</v>
      </c>
      <c r="C241" s="196"/>
      <c r="D241" s="196" t="str">
        <f>IFERROR(__xludf.DUMMYFUNCTION("""COMPUTED_VALUE"""),"Active")</f>
        <v>Active</v>
      </c>
      <c r="E241" s="197">
        <f>IFERROR(__xludf.DUMMYFUNCTION("""COMPUTED_VALUE"""),44907.0)</f>
        <v>44907</v>
      </c>
      <c r="F241" s="198"/>
      <c r="G241" s="199">
        <f>IFERROR(__xludf.DUMMYFUNCTION("""COMPUTED_VALUE"""),34.1)</f>
        <v>34.1</v>
      </c>
      <c r="H241" s="197">
        <f>IFERROR(__xludf.DUMMYFUNCTION("""COMPUTED_VALUE"""),43984.0)</f>
        <v>43984</v>
      </c>
      <c r="I241" s="199">
        <f>IFERROR(__xludf.DUMMYFUNCTION("""COMPUTED_VALUE"""),2.5277777777777777)</f>
        <v>2.527777778</v>
      </c>
      <c r="J241" s="200">
        <f>IFERROR(__xludf.DUMMYFUNCTION("""COMPUTED_VALUE"""),80.0)</f>
        <v>80</v>
      </c>
      <c r="K241" s="200">
        <f>IFERROR(__xludf.DUMMYFUNCTION("""COMPUTED_VALUE"""),65.0)</f>
        <v>65</v>
      </c>
      <c r="L241" s="201" t="str">
        <f>IFERROR(__xludf.DUMMYFUNCTION("""COMPUTED_VALUE"""),"First-Person Shooter / MOBA")</f>
        <v>First-Person Shooter / MOBA</v>
      </c>
    </row>
    <row r="242">
      <c r="A242" s="190" t="str">
        <f>IFERROR(__xludf.DUMMYFUNCTION("""COMPUTED_VALUE"""),"LEGO Star Wars: The Skywalker Saga")</f>
        <v>LEGO Star Wars: The Skywalker Saga</v>
      </c>
      <c r="B242" s="195" t="str">
        <f>IFERROR(__xludf.DUMMYFUNCTION("""COMPUTED_VALUE"""),"Xbox / PC")</f>
        <v>Xbox / PC</v>
      </c>
      <c r="C242" s="196" t="str">
        <f>IFERROR(__xludf.DUMMYFUNCTION("""COMPUTED_VALUE"""),"Yes")</f>
        <v>Yes</v>
      </c>
      <c r="D242" s="196" t="str">
        <f>IFERROR(__xludf.DUMMYFUNCTION("""COMPUTED_VALUE"""),"Active")</f>
        <v>Active</v>
      </c>
      <c r="E242" s="197">
        <f>IFERROR(__xludf.DUMMYFUNCTION("""COMPUTED_VALUE"""),44901.0)</f>
        <v>44901</v>
      </c>
      <c r="F242" s="198"/>
      <c r="G242" s="199">
        <f>IFERROR(__xludf.DUMMYFUNCTION("""COMPUTED_VALUE"""),34.3)</f>
        <v>34.3</v>
      </c>
      <c r="H242" s="197">
        <f>IFERROR(__xludf.DUMMYFUNCTION("""COMPUTED_VALUE"""),44656.0)</f>
        <v>44656</v>
      </c>
      <c r="I242" s="199">
        <f>IFERROR(__xludf.DUMMYFUNCTION("""COMPUTED_VALUE"""),0.6694444444444444)</f>
        <v>0.6694444444</v>
      </c>
      <c r="J242" s="200">
        <f>IFERROR(__xludf.DUMMYFUNCTION("""COMPUTED_VALUE"""),80.0)</f>
        <v>80</v>
      </c>
      <c r="K242" s="200">
        <f>IFERROR(__xludf.DUMMYFUNCTION("""COMPUTED_VALUE"""),19.0)</f>
        <v>19</v>
      </c>
      <c r="L242" s="201" t="str">
        <f>IFERROR(__xludf.DUMMYFUNCTION("""COMPUTED_VALUE"""),"Shooter / Brawler / Action-Adventure")</f>
        <v>Shooter / Brawler / Action-Adventure</v>
      </c>
    </row>
    <row r="243">
      <c r="A243" s="190" t="str">
        <f>IFERROR(__xludf.DUMMYFUNCTION("""COMPUTED_VALUE"""),"Far Cry 5")</f>
        <v>Far Cry 5</v>
      </c>
      <c r="B243" s="195" t="str">
        <f>IFERROR(__xludf.DUMMYFUNCTION("""COMPUTED_VALUE"""),"Xbox / PC")</f>
        <v>Xbox / PC</v>
      </c>
      <c r="C243" s="196" t="str">
        <f>IFERROR(__xludf.DUMMYFUNCTION("""COMPUTED_VALUE"""),"Yes")</f>
        <v>Yes</v>
      </c>
      <c r="D243" s="196" t="str">
        <f>IFERROR(__xludf.DUMMYFUNCTION("""COMPUTED_VALUE"""),"Active")</f>
        <v>Active</v>
      </c>
      <c r="E243" s="197">
        <f>IFERROR(__xludf.DUMMYFUNCTION("""COMPUTED_VALUE"""),44743.0)</f>
        <v>44743</v>
      </c>
      <c r="F243" s="198"/>
      <c r="G243" s="199">
        <f>IFERROR(__xludf.DUMMYFUNCTION("""COMPUTED_VALUE"""),39.46666666666667)</f>
        <v>39.46666667</v>
      </c>
      <c r="H243" s="197">
        <f>IFERROR(__xludf.DUMMYFUNCTION("""COMPUTED_VALUE"""),43186.0)</f>
        <v>43186</v>
      </c>
      <c r="I243" s="199">
        <f>IFERROR(__xludf.DUMMYFUNCTION("""COMPUTED_VALUE"""),4.261111111111111)</f>
        <v>4.261111111</v>
      </c>
      <c r="J243" s="200">
        <f>IFERROR(__xludf.DUMMYFUNCTION("""COMPUTED_VALUE"""),80.0)</f>
        <v>80</v>
      </c>
      <c r="K243" s="200">
        <f>IFERROR(__xludf.DUMMYFUNCTION("""COMPUTED_VALUE"""),18.0)</f>
        <v>18</v>
      </c>
      <c r="L243" s="201" t="str">
        <f>IFERROR(__xludf.DUMMYFUNCTION("""COMPUTED_VALUE"""),"First-Person Shooter")</f>
        <v>First-Person Shooter</v>
      </c>
    </row>
    <row r="244">
      <c r="A244" s="190" t="str">
        <f>IFERROR(__xludf.DUMMYFUNCTION("""COMPUTED_VALUE"""),"Populous II: Trials of the Olympian Gods")</f>
        <v>Populous II: Trials of the Olympian Gods</v>
      </c>
      <c r="B244" s="195" t="str">
        <f>IFERROR(__xludf.DUMMYFUNCTION("""COMPUTED_VALUE"""),"PC")</f>
        <v>PC</v>
      </c>
      <c r="C244" s="196"/>
      <c r="D244" s="196" t="str">
        <f>IFERROR(__xludf.DUMMYFUNCTION("""COMPUTED_VALUE"""),"Active")</f>
        <v>Active</v>
      </c>
      <c r="E244" s="197">
        <f>IFERROR(__xludf.DUMMYFUNCTION("""COMPUTED_VALUE"""),44273.0)</f>
        <v>44273</v>
      </c>
      <c r="F244" s="198"/>
      <c r="G244" s="199">
        <f>IFERROR(__xludf.DUMMYFUNCTION("""COMPUTED_VALUE"""),54.900000000000006)</f>
        <v>54.9</v>
      </c>
      <c r="H244" s="197">
        <f>IFERROR(__xludf.DUMMYFUNCTION("""COMPUTED_VALUE"""),33481.0)</f>
        <v>33481</v>
      </c>
      <c r="I244" s="199">
        <f>IFERROR(__xludf.DUMMYFUNCTION("""COMPUTED_VALUE"""),29.55)</f>
        <v>29.55</v>
      </c>
      <c r="J244" s="200">
        <f>IFERROR(__xludf.DUMMYFUNCTION("""COMPUTED_VALUE"""),80.0)</f>
        <v>80</v>
      </c>
      <c r="K244" s="200">
        <f>IFERROR(__xludf.DUMMYFUNCTION("""COMPUTED_VALUE"""),12.0)</f>
        <v>12</v>
      </c>
      <c r="L244" s="201" t="str">
        <f>IFERROR(__xludf.DUMMYFUNCTION("""COMPUTED_VALUE"""),"Simulation / Real-Time Strategy")</f>
        <v>Simulation / Real-Time Strategy</v>
      </c>
    </row>
    <row r="245">
      <c r="A245" s="190" t="str">
        <f>IFERROR(__xludf.DUMMYFUNCTION("""COMPUTED_VALUE"""),"Plants vs. Zombies: Garden Warfare 2 - Deluxe Edition")</f>
        <v>Plants vs. Zombies: Garden Warfare 2 - Deluxe Edition</v>
      </c>
      <c r="B245" s="195" t="str">
        <f>IFERROR(__xludf.DUMMYFUNCTION("""COMPUTED_VALUE"""),"Xbox / PC")</f>
        <v>Xbox / PC</v>
      </c>
      <c r="C245" s="196" t="str">
        <f>IFERROR(__xludf.DUMMYFUNCTION("""COMPUTED_VALUE"""),"Yes")</f>
        <v>Yes</v>
      </c>
      <c r="D245" s="196" t="str">
        <f>IFERROR(__xludf.DUMMYFUNCTION("""COMPUTED_VALUE"""),"Active")</f>
        <v>Active</v>
      </c>
      <c r="E245" s="197">
        <f>IFERROR(__xludf.DUMMYFUNCTION("""COMPUTED_VALUE"""),44145.0)</f>
        <v>44145</v>
      </c>
      <c r="F245" s="198"/>
      <c r="G245" s="199">
        <f>IFERROR(__xludf.DUMMYFUNCTION("""COMPUTED_VALUE"""),59.166666666666664)</f>
        <v>59.16666667</v>
      </c>
      <c r="H245" s="197">
        <f>IFERROR(__xludf.DUMMYFUNCTION("""COMPUTED_VALUE"""),42423.0)</f>
        <v>42423</v>
      </c>
      <c r="I245" s="199">
        <f>IFERROR(__xludf.DUMMYFUNCTION("""COMPUTED_VALUE"""),4.713888888888889)</f>
        <v>4.713888889</v>
      </c>
      <c r="J245" s="200">
        <f>IFERROR(__xludf.DUMMYFUNCTION("""COMPUTED_VALUE"""),80.0)</f>
        <v>80</v>
      </c>
      <c r="K245" s="200">
        <f>IFERROR(__xludf.DUMMYFUNCTION("""COMPUTED_VALUE"""),12.5)</f>
        <v>12.5</v>
      </c>
      <c r="L245" s="201" t="str">
        <f>IFERROR(__xludf.DUMMYFUNCTION("""COMPUTED_VALUE"""),"Action")</f>
        <v>Action</v>
      </c>
    </row>
    <row r="246">
      <c r="A246" s="190" t="str">
        <f>IFERROR(__xludf.DUMMYFUNCTION("""COMPUTED_VALUE"""),"Grim Fandango Remastered")</f>
        <v>Grim Fandango Remastered</v>
      </c>
      <c r="B246" s="195" t="str">
        <f>IFERROR(__xludf.DUMMYFUNCTION("""COMPUTED_VALUE"""),"Xbox / PC")</f>
        <v>Xbox / PC</v>
      </c>
      <c r="C246" s="196"/>
      <c r="D246" s="196" t="str">
        <f>IFERROR(__xludf.DUMMYFUNCTION("""COMPUTED_VALUE"""),"Active")</f>
        <v>Active</v>
      </c>
      <c r="E246" s="197">
        <f>IFERROR(__xludf.DUMMYFUNCTION("""COMPUTED_VALUE"""),44133.0)</f>
        <v>44133</v>
      </c>
      <c r="F246" s="198"/>
      <c r="G246" s="199">
        <f>IFERROR(__xludf.DUMMYFUNCTION("""COMPUTED_VALUE"""),59.53333333333333)</f>
        <v>59.53333333</v>
      </c>
      <c r="H246" s="197">
        <f>IFERROR(__xludf.DUMMYFUNCTION("""COMPUTED_VALUE"""),42031.0)</f>
        <v>42031</v>
      </c>
      <c r="I246" s="199">
        <f>IFERROR(__xludf.DUMMYFUNCTION("""COMPUTED_VALUE"""),5.7555555555555555)</f>
        <v>5.755555556</v>
      </c>
      <c r="J246" s="200">
        <f>IFERROR(__xludf.DUMMYFUNCTION("""COMPUTED_VALUE"""),80.0)</f>
        <v>80</v>
      </c>
      <c r="K246" s="200">
        <f>IFERROR(__xludf.DUMMYFUNCTION("""COMPUTED_VALUE"""),11.0)</f>
        <v>11</v>
      </c>
      <c r="L246" s="201" t="str">
        <f>IFERROR(__xludf.DUMMYFUNCTION("""COMPUTED_VALUE"""),"Adventure")</f>
        <v>Adventure</v>
      </c>
    </row>
    <row r="247">
      <c r="A247" s="190" t="str">
        <f>IFERROR(__xludf.DUMMYFUNCTION("""COMPUTED_VALUE"""),"Tell Me Why")</f>
        <v>Tell Me Why</v>
      </c>
      <c r="B247" s="195" t="str">
        <f>IFERROR(__xludf.DUMMYFUNCTION("""COMPUTED_VALUE"""),"Xbox / PC")</f>
        <v>Xbox / PC</v>
      </c>
      <c r="C247" s="196" t="str">
        <f>IFERROR(__xludf.DUMMYFUNCTION("""COMPUTED_VALUE"""),"Touch Controls")</f>
        <v>Touch Controls</v>
      </c>
      <c r="D247" s="196" t="str">
        <f>IFERROR(__xludf.DUMMYFUNCTION("""COMPUTED_VALUE"""),"Active")</f>
        <v>Active</v>
      </c>
      <c r="E247" s="197">
        <f>IFERROR(__xludf.DUMMYFUNCTION("""COMPUTED_VALUE"""),44070.0)</f>
        <v>44070</v>
      </c>
      <c r="F247" s="198"/>
      <c r="G247" s="199">
        <f>IFERROR(__xludf.DUMMYFUNCTION("""COMPUTED_VALUE"""),61.60000000000001)</f>
        <v>61.6</v>
      </c>
      <c r="H247" s="197">
        <f>IFERROR(__xludf.DUMMYFUNCTION("""COMPUTED_VALUE"""),44070.0)</f>
        <v>44070</v>
      </c>
      <c r="I247" s="199">
        <f>IFERROR(__xludf.DUMMYFUNCTION("""COMPUTED_VALUE"""),0.0)</f>
        <v>0</v>
      </c>
      <c r="J247" s="200">
        <f>IFERROR(__xludf.DUMMYFUNCTION("""COMPUTED_VALUE"""),80.0)</f>
        <v>80</v>
      </c>
      <c r="K247" s="200">
        <f>IFERROR(__xludf.DUMMYFUNCTION("""COMPUTED_VALUE"""),9.0)</f>
        <v>9</v>
      </c>
      <c r="L247" s="201" t="str">
        <f>IFERROR(__xludf.DUMMYFUNCTION("""COMPUTED_VALUE"""),"Adventure")</f>
        <v>Adventure</v>
      </c>
    </row>
    <row r="248">
      <c r="A248" s="190" t="str">
        <f>IFERROR(__xludf.DUMMYFUNCTION("""COMPUTED_VALUE"""),"Wolfenstein: The New Order")</f>
        <v>Wolfenstein: The New Order</v>
      </c>
      <c r="B248" s="195" t="str">
        <f>IFERROR(__xludf.DUMMYFUNCTION("""COMPUTED_VALUE"""),"Xbox / PC")</f>
        <v>Xbox / PC</v>
      </c>
      <c r="C248" s="196" t="str">
        <f>IFERROR(__xludf.DUMMYFUNCTION("""COMPUTED_VALUE"""),"Yes")</f>
        <v>Yes</v>
      </c>
      <c r="D248" s="196" t="str">
        <f>IFERROR(__xludf.DUMMYFUNCTION("""COMPUTED_VALUE"""),"Active")</f>
        <v>Active</v>
      </c>
      <c r="E248" s="197">
        <f>IFERROR(__xludf.DUMMYFUNCTION("""COMPUTED_VALUE"""),43374.0)</f>
        <v>43374</v>
      </c>
      <c r="F248" s="198"/>
      <c r="G248" s="199">
        <f>IFERROR(__xludf.DUMMYFUNCTION("""COMPUTED_VALUE"""),84.46666666666667)</f>
        <v>84.46666667</v>
      </c>
      <c r="H248" s="197">
        <f>IFERROR(__xludf.DUMMYFUNCTION("""COMPUTED_VALUE"""),41779.0)</f>
        <v>41779</v>
      </c>
      <c r="I248" s="199">
        <f>IFERROR(__xludf.DUMMYFUNCTION("""COMPUTED_VALUE"""),4.363888888888889)</f>
        <v>4.363888889</v>
      </c>
      <c r="J248" s="200">
        <f>IFERROR(__xludf.DUMMYFUNCTION("""COMPUTED_VALUE"""),80.0)</f>
        <v>80</v>
      </c>
      <c r="K248" s="200">
        <f>IFERROR(__xludf.DUMMYFUNCTION("""COMPUTED_VALUE"""),11.5)</f>
        <v>11.5</v>
      </c>
      <c r="L248" s="201" t="str">
        <f>IFERROR(__xludf.DUMMYFUNCTION("""COMPUTED_VALUE"""),"First-Person Shooter")</f>
        <v>First-Person Shooter</v>
      </c>
    </row>
    <row r="249">
      <c r="A249" s="190" t="str">
        <f>IFERROR(__xludf.DUMMYFUNCTION("""COMPUTED_VALUE"""),"Shadowrun Trilogy")</f>
        <v>Shadowrun Trilogy</v>
      </c>
      <c r="B249" s="195" t="str">
        <f>IFERROR(__xludf.DUMMYFUNCTION("""COMPUTED_VALUE"""),"Xbox / PC")</f>
        <v>Xbox / PC</v>
      </c>
      <c r="C249" s="196" t="str">
        <f>IFERROR(__xludf.DUMMYFUNCTION("""COMPUTED_VALUE"""),"Touch Controls")</f>
        <v>Touch Controls</v>
      </c>
      <c r="D249" s="196" t="str">
        <f>IFERROR(__xludf.DUMMYFUNCTION("""COMPUTED_VALUE"""),"Active")</f>
        <v>Active</v>
      </c>
      <c r="E249" s="197">
        <f>IFERROR(__xludf.DUMMYFUNCTION("""COMPUTED_VALUE"""),44733.0)</f>
        <v>44733</v>
      </c>
      <c r="F249" s="198"/>
      <c r="G249" s="199">
        <f>IFERROR(__xludf.DUMMYFUNCTION("""COMPUTED_VALUE"""),39.800000000000004)</f>
        <v>39.8</v>
      </c>
      <c r="H249" s="197">
        <f>IFERROR(__xludf.DUMMYFUNCTION("""COMPUTED_VALUE"""),42236.0)</f>
        <v>42236</v>
      </c>
      <c r="I249" s="199">
        <f>IFERROR(__xludf.DUMMYFUNCTION("""COMPUTED_VALUE"""),6.836111111111111)</f>
        <v>6.836111111</v>
      </c>
      <c r="J249" s="200">
        <f>IFERROR(__xludf.DUMMYFUNCTION("""COMPUTED_VALUE"""),79.33333333333333)</f>
        <v>79.33333333</v>
      </c>
      <c r="K249" s="200">
        <f>IFERROR(__xludf.DUMMYFUNCTION("""COMPUTED_VALUE"""),53.5)</f>
        <v>53.5</v>
      </c>
      <c r="L249" s="201" t="str">
        <f>IFERROR(__xludf.DUMMYFUNCTION("""COMPUTED_VALUE"""),"Strategy / RPG")</f>
        <v>Strategy / RPG</v>
      </c>
    </row>
    <row r="250">
      <c r="A250" s="190" t="str">
        <f>IFERROR(__xludf.DUMMYFUNCTION("""COMPUTED_VALUE"""),"DiRT 5")</f>
        <v>DiRT 5</v>
      </c>
      <c r="B250" s="195" t="str">
        <f>IFERROR(__xludf.DUMMYFUNCTION("""COMPUTED_VALUE"""),"Xbox / PC")</f>
        <v>Xbox / PC</v>
      </c>
      <c r="C250" s="196" t="str">
        <f>IFERROR(__xludf.DUMMYFUNCTION("""COMPUTED_VALUE"""),"Touch Controls")</f>
        <v>Touch Controls</v>
      </c>
      <c r="D250" s="196" t="str">
        <f>IFERROR(__xludf.DUMMYFUNCTION("""COMPUTED_VALUE"""),"Active")</f>
        <v>Active</v>
      </c>
      <c r="E250" s="197">
        <f>IFERROR(__xludf.DUMMYFUNCTION("""COMPUTED_VALUE"""),44252.0)</f>
        <v>44252</v>
      </c>
      <c r="F250" s="198"/>
      <c r="G250" s="199">
        <f>IFERROR(__xludf.DUMMYFUNCTION("""COMPUTED_VALUE"""),55.66666666666667)</f>
        <v>55.66666667</v>
      </c>
      <c r="H250" s="197">
        <f>IFERROR(__xludf.DUMMYFUNCTION("""COMPUTED_VALUE"""),44120.0)</f>
        <v>44120</v>
      </c>
      <c r="I250" s="199">
        <f>IFERROR(__xludf.DUMMYFUNCTION("""COMPUTED_VALUE"""),0.35833333333333334)</f>
        <v>0.3583333333</v>
      </c>
      <c r="J250" s="200">
        <f>IFERROR(__xludf.DUMMYFUNCTION("""COMPUTED_VALUE"""),79.33333333333333)</f>
        <v>79.33333333</v>
      </c>
      <c r="K250" s="200">
        <f>IFERROR(__xludf.DUMMYFUNCTION("""COMPUTED_VALUE"""),8.0)</f>
        <v>8</v>
      </c>
      <c r="L250" s="201" t="str">
        <f>IFERROR(__xludf.DUMMYFUNCTION("""COMPUTED_VALUE"""),"Driving/Racing")</f>
        <v>Driving/Racing</v>
      </c>
    </row>
    <row r="251">
      <c r="A251" s="190" t="str">
        <f>IFERROR(__xludf.DUMMYFUNCTION("""COMPUTED_VALUE"""),"Sopa: Tale of the Stolen Potato")</f>
        <v>Sopa: Tale of the Stolen Potato</v>
      </c>
      <c r="B251" s="195" t="str">
        <f>IFERROR(__xludf.DUMMYFUNCTION("""COMPUTED_VALUE"""),"Xbox / PC")</f>
        <v>Xbox / PC</v>
      </c>
      <c r="C251" s="196" t="str">
        <f>IFERROR(__xludf.DUMMYFUNCTION("""COMPUTED_VALUE"""),"Yes")</f>
        <v>Yes</v>
      </c>
      <c r="D251" s="196" t="str">
        <f>IFERROR(__xludf.DUMMYFUNCTION("""COMPUTED_VALUE"""),"Active")</f>
        <v>Active</v>
      </c>
      <c r="E251" s="197">
        <f>IFERROR(__xludf.DUMMYFUNCTION("""COMPUTED_VALUE"""),45937.0)</f>
        <v>45937</v>
      </c>
      <c r="F251" s="198"/>
      <c r="G251" s="199">
        <f>IFERROR(__xludf.DUMMYFUNCTION("""COMPUTED_VALUE"""),0.26666666666666666)</f>
        <v>0.2666666667</v>
      </c>
      <c r="H251" s="197">
        <f>IFERROR(__xludf.DUMMYFUNCTION("""COMPUTED_VALUE"""),45937.0)</f>
        <v>45937</v>
      </c>
      <c r="I251" s="199">
        <f>IFERROR(__xludf.DUMMYFUNCTION("""COMPUTED_VALUE"""),0.0)</f>
        <v>0</v>
      </c>
      <c r="J251" s="200">
        <f>IFERROR(__xludf.DUMMYFUNCTION("""COMPUTED_VALUE"""),79.0)</f>
        <v>79</v>
      </c>
      <c r="K251" s="200">
        <f>IFERROR(__xludf.DUMMYFUNCTION("""COMPUTED_VALUE"""),3.0)</f>
        <v>3</v>
      </c>
      <c r="L251" s="201" t="str">
        <f>IFERROR(__xludf.DUMMYFUNCTION("""COMPUTED_VALUE"""),"Action-Adventure")</f>
        <v>Action-Adventure</v>
      </c>
    </row>
    <row r="252">
      <c r="A252" s="190" t="str">
        <f>IFERROR(__xludf.DUMMYFUNCTION("""COMPUTED_VALUE"""),"Scott Pilgrim vs. The World: The Game")</f>
        <v>Scott Pilgrim vs. The World: The Game</v>
      </c>
      <c r="B252" s="195" t="str">
        <f>IFERROR(__xludf.DUMMYFUNCTION("""COMPUTED_VALUE"""),"Xbox / PC")</f>
        <v>Xbox / PC</v>
      </c>
      <c r="C252" s="196" t="str">
        <f>IFERROR(__xludf.DUMMYFUNCTION("""COMPUTED_VALUE"""),"Yes")</f>
        <v>Yes</v>
      </c>
      <c r="D252" s="196" t="str">
        <f>IFERROR(__xludf.DUMMYFUNCTION("""COMPUTED_VALUE"""),"Active")</f>
        <v>Active</v>
      </c>
      <c r="E252" s="197">
        <f>IFERROR(__xludf.DUMMYFUNCTION("""COMPUTED_VALUE"""),45931.0)</f>
        <v>45931</v>
      </c>
      <c r="F252" s="198"/>
      <c r="G252" s="199">
        <f>IFERROR(__xludf.DUMMYFUNCTION("""COMPUTED_VALUE"""),0.4666666666666667)</f>
        <v>0.4666666667</v>
      </c>
      <c r="H252" s="197">
        <f>IFERROR(__xludf.DUMMYFUNCTION("""COMPUTED_VALUE"""),44210.0)</f>
        <v>44210</v>
      </c>
      <c r="I252" s="199">
        <f>IFERROR(__xludf.DUMMYFUNCTION("""COMPUTED_VALUE"""),4.713888888888889)</f>
        <v>4.713888889</v>
      </c>
      <c r="J252" s="200">
        <f>IFERROR(__xludf.DUMMYFUNCTION("""COMPUTED_VALUE"""),79.0)</f>
        <v>79</v>
      </c>
      <c r="K252" s="200">
        <f>IFERROR(__xludf.DUMMYFUNCTION("""COMPUTED_VALUE"""),5.0)</f>
        <v>5</v>
      </c>
      <c r="L252" s="201" t="str">
        <f>IFERROR(__xludf.DUMMYFUNCTION("""COMPUTED_VALUE"""),"Beat-'Em-Up")</f>
        <v>Beat-'Em-Up</v>
      </c>
    </row>
    <row r="253">
      <c r="A253" s="190" t="str">
        <f>IFERROR(__xludf.DUMMYFUNCTION("""COMPUTED_VALUE"""),"Trials Fusion")</f>
        <v>Trials Fusion</v>
      </c>
      <c r="B253" s="195" t="str">
        <f>IFERROR(__xludf.DUMMYFUNCTION("""COMPUTED_VALUE"""),"Xbox / PC")</f>
        <v>Xbox / PC</v>
      </c>
      <c r="C253" s="196" t="str">
        <f>IFERROR(__xludf.DUMMYFUNCTION("""COMPUTED_VALUE"""),"Yes")</f>
        <v>Yes</v>
      </c>
      <c r="D253" s="196" t="str">
        <f>IFERROR(__xludf.DUMMYFUNCTION("""COMPUTED_VALUE"""),"Active")</f>
        <v>Active</v>
      </c>
      <c r="E253" s="197">
        <f>IFERROR(__xludf.DUMMYFUNCTION("""COMPUTED_VALUE"""),45931.0)</f>
        <v>45931</v>
      </c>
      <c r="F253" s="198"/>
      <c r="G253" s="199">
        <f>IFERROR(__xludf.DUMMYFUNCTION("""COMPUTED_VALUE"""),0.4666666666666667)</f>
        <v>0.4666666667</v>
      </c>
      <c r="H253" s="197">
        <f>IFERROR(__xludf.DUMMYFUNCTION("""COMPUTED_VALUE"""),41744.0)</f>
        <v>41744</v>
      </c>
      <c r="I253" s="199">
        <f>IFERROR(__xludf.DUMMYFUNCTION("""COMPUTED_VALUE"""),11.46111111111111)</f>
        <v>11.46111111</v>
      </c>
      <c r="J253" s="200">
        <f>IFERROR(__xludf.DUMMYFUNCTION("""COMPUTED_VALUE"""),79.0)</f>
        <v>79</v>
      </c>
      <c r="K253" s="200">
        <f>IFERROR(__xludf.DUMMYFUNCTION("""COMPUTED_VALUE"""),7.0)</f>
        <v>7</v>
      </c>
      <c r="L253" s="201" t="str">
        <f>IFERROR(__xludf.DUMMYFUNCTION("""COMPUTED_VALUE"""),"Racing")</f>
        <v>Racing</v>
      </c>
    </row>
    <row r="254">
      <c r="A254" s="190" t="str">
        <f>IFERROR(__xludf.DUMMYFUNCTION("""COMPUTED_VALUE"""),"Trials Rising")</f>
        <v>Trials Rising</v>
      </c>
      <c r="B254" s="195" t="str">
        <f>IFERROR(__xludf.DUMMYFUNCTION("""COMPUTED_VALUE"""),"Xbox / PC")</f>
        <v>Xbox / PC</v>
      </c>
      <c r="C254" s="196" t="str">
        <f>IFERROR(__xludf.DUMMYFUNCTION("""COMPUTED_VALUE"""),"Yes")</f>
        <v>Yes</v>
      </c>
      <c r="D254" s="196" t="str">
        <f>IFERROR(__xludf.DUMMYFUNCTION("""COMPUTED_VALUE"""),"Active")</f>
        <v>Active</v>
      </c>
      <c r="E254" s="197">
        <f>IFERROR(__xludf.DUMMYFUNCTION("""COMPUTED_VALUE"""),45931.0)</f>
        <v>45931</v>
      </c>
      <c r="F254" s="198"/>
      <c r="G254" s="199">
        <f>IFERROR(__xludf.DUMMYFUNCTION("""COMPUTED_VALUE"""),0.4666666666666667)</f>
        <v>0.4666666667</v>
      </c>
      <c r="H254" s="197">
        <f>IFERROR(__xludf.DUMMYFUNCTION("""COMPUTED_VALUE"""),43522.0)</f>
        <v>43522</v>
      </c>
      <c r="I254" s="199">
        <f>IFERROR(__xludf.DUMMYFUNCTION("""COMPUTED_VALUE"""),6.597222222222222)</f>
        <v>6.597222222</v>
      </c>
      <c r="J254" s="200">
        <f>IFERROR(__xludf.DUMMYFUNCTION("""COMPUTED_VALUE"""),79.0)</f>
        <v>79</v>
      </c>
      <c r="K254" s="200">
        <f>IFERROR(__xludf.DUMMYFUNCTION("""COMPUTED_VALUE"""),18.0)</f>
        <v>18</v>
      </c>
      <c r="L254" s="201" t="str">
        <f>IFERROR(__xludf.DUMMYFUNCTION("""COMPUTED_VALUE"""),"Racing")</f>
        <v>Racing</v>
      </c>
    </row>
    <row r="255">
      <c r="A255" s="190" t="str">
        <f>IFERROR(__xludf.DUMMYFUNCTION("""COMPUTED_VALUE"""),"PAW Patrol World")</f>
        <v>PAW Patrol World</v>
      </c>
      <c r="B255" s="195" t="str">
        <f>IFERROR(__xludf.DUMMYFUNCTION("""COMPUTED_VALUE"""),"Xbox / PC")</f>
        <v>Xbox / PC</v>
      </c>
      <c r="C255" s="196" t="str">
        <f>IFERROR(__xludf.DUMMYFUNCTION("""COMPUTED_VALUE"""),"Yes")</f>
        <v>Yes</v>
      </c>
      <c r="D255" s="196" t="str">
        <f>IFERROR(__xludf.DUMMYFUNCTION("""COMPUTED_VALUE"""),"Active")</f>
        <v>Active</v>
      </c>
      <c r="E255" s="197">
        <f>IFERROR(__xludf.DUMMYFUNCTION("""COMPUTED_VALUE"""),45910.0)</f>
        <v>45910</v>
      </c>
      <c r="F255" s="198"/>
      <c r="G255" s="199">
        <f>IFERROR(__xludf.DUMMYFUNCTION("""COMPUTED_VALUE"""),1.1666666666666667)</f>
        <v>1.166666667</v>
      </c>
      <c r="H255" s="197">
        <f>IFERROR(__xludf.DUMMYFUNCTION("""COMPUTED_VALUE"""),45198.0)</f>
        <v>45198</v>
      </c>
      <c r="I255" s="199">
        <f>IFERROR(__xludf.DUMMYFUNCTION("""COMPUTED_VALUE"""),1.9472222222222222)</f>
        <v>1.947222222</v>
      </c>
      <c r="J255" s="200">
        <f>IFERROR(__xludf.DUMMYFUNCTION("""COMPUTED_VALUE"""),79.0)</f>
        <v>79</v>
      </c>
      <c r="K255" s="200">
        <f>IFERROR(__xludf.DUMMYFUNCTION("""COMPUTED_VALUE"""),7.0)</f>
        <v>7</v>
      </c>
      <c r="L255" s="201" t="str">
        <f>IFERROR(__xludf.DUMMYFUNCTION("""COMPUTED_VALUE"""),"Action-Adventure")</f>
        <v>Action-Adventure</v>
      </c>
    </row>
    <row r="256">
      <c r="A256" s="190" t="str">
        <f>IFERROR(__xludf.DUMMYFUNCTION("""COMPUTED_VALUE"""),"I Am Your Beast")</f>
        <v>I Am Your Beast</v>
      </c>
      <c r="B256" s="195" t="str">
        <f>IFERROR(__xludf.DUMMYFUNCTION("""COMPUTED_VALUE"""),"Xbox / PC")</f>
        <v>Xbox / PC</v>
      </c>
      <c r="C256" s="196" t="str">
        <f>IFERROR(__xludf.DUMMYFUNCTION("""COMPUTED_VALUE"""),"Yes")</f>
        <v>Yes</v>
      </c>
      <c r="D256" s="196" t="str">
        <f>IFERROR(__xludf.DUMMYFUNCTION("""COMPUTED_VALUE"""),"Active")</f>
        <v>Active</v>
      </c>
      <c r="E256" s="197">
        <f>IFERROR(__xludf.DUMMYFUNCTION("""COMPUTED_VALUE"""),45901.0)</f>
        <v>45901</v>
      </c>
      <c r="F256" s="198"/>
      <c r="G256" s="199">
        <f>IFERROR(__xludf.DUMMYFUNCTION("""COMPUTED_VALUE"""),1.4666666666666666)</f>
        <v>1.466666667</v>
      </c>
      <c r="H256" s="197">
        <f>IFERROR(__xludf.DUMMYFUNCTION("""COMPUTED_VALUE"""),45545.0)</f>
        <v>45545</v>
      </c>
      <c r="I256" s="199">
        <f>IFERROR(__xludf.DUMMYFUNCTION("""COMPUTED_VALUE"""),0.975)</f>
        <v>0.975</v>
      </c>
      <c r="J256" s="200">
        <f>IFERROR(__xludf.DUMMYFUNCTION("""COMPUTED_VALUE"""),79.0)</f>
        <v>79</v>
      </c>
      <c r="K256" s="200">
        <f>IFERROR(__xludf.DUMMYFUNCTION("""COMPUTED_VALUE"""),3.0)</f>
        <v>3</v>
      </c>
      <c r="L256" s="201" t="str">
        <f>IFERROR(__xludf.DUMMYFUNCTION("""COMPUTED_VALUE"""),"Shooter")</f>
        <v>Shooter</v>
      </c>
    </row>
    <row r="257">
      <c r="A257" s="190" t="str">
        <f>IFERROR(__xludf.DUMMYFUNCTION("""COMPUTED_VALUE"""),"Gears of War: Reloaded")</f>
        <v>Gears of War: Reloaded</v>
      </c>
      <c r="B257" s="195" t="str">
        <f>IFERROR(__xludf.DUMMYFUNCTION("""COMPUTED_VALUE"""),"Xbox / PC")</f>
        <v>Xbox / PC</v>
      </c>
      <c r="C257" s="196" t="str">
        <f>IFERROR(__xludf.DUMMYFUNCTION("""COMPUTED_VALUE"""),"Yes")</f>
        <v>Yes</v>
      </c>
      <c r="D257" s="196" t="str">
        <f>IFERROR(__xludf.DUMMYFUNCTION("""COMPUTED_VALUE"""),"Active")</f>
        <v>Active</v>
      </c>
      <c r="E257" s="197">
        <f>IFERROR(__xludf.DUMMYFUNCTION("""COMPUTED_VALUE"""),45895.0)</f>
        <v>45895</v>
      </c>
      <c r="F257" s="198"/>
      <c r="G257" s="199">
        <f>IFERROR(__xludf.DUMMYFUNCTION("""COMPUTED_VALUE"""),1.6333333333333333)</f>
        <v>1.633333333</v>
      </c>
      <c r="H257" s="197">
        <f>IFERROR(__xludf.DUMMYFUNCTION("""COMPUTED_VALUE"""),45895.0)</f>
        <v>45895</v>
      </c>
      <c r="I257" s="199">
        <f>IFERROR(__xludf.DUMMYFUNCTION("""COMPUTED_VALUE"""),0.0)</f>
        <v>0</v>
      </c>
      <c r="J257" s="200">
        <f>IFERROR(__xludf.DUMMYFUNCTION("""COMPUTED_VALUE"""),79.0)</f>
        <v>79</v>
      </c>
      <c r="K257" s="200">
        <f>IFERROR(__xludf.DUMMYFUNCTION("""COMPUTED_VALUE"""),7.0)</f>
        <v>7</v>
      </c>
      <c r="L257" s="201" t="str">
        <f>IFERROR(__xludf.DUMMYFUNCTION("""COMPUTED_VALUE"""),"Shooter")</f>
        <v>Shooter</v>
      </c>
    </row>
    <row r="258">
      <c r="A258" s="190" t="str">
        <f>IFERROR(__xludf.DUMMYFUNCTION("""COMPUTED_VALUE"""),"Call of Duty: WWII")</f>
        <v>Call of Duty: WWII</v>
      </c>
      <c r="B258" s="195" t="str">
        <f>IFERROR(__xludf.DUMMYFUNCTION("""COMPUTED_VALUE"""),"Xbox / PC")</f>
        <v>Xbox / PC</v>
      </c>
      <c r="C258" s="196"/>
      <c r="D258" s="196" t="str">
        <f>IFERROR(__xludf.DUMMYFUNCTION("""COMPUTED_VALUE"""),"Active")</f>
        <v>Active</v>
      </c>
      <c r="E258" s="197">
        <f>IFERROR(__xludf.DUMMYFUNCTION("""COMPUTED_VALUE"""),45838.0)</f>
        <v>45838</v>
      </c>
      <c r="F258" s="198"/>
      <c r="G258" s="199">
        <f>IFERROR(__xludf.DUMMYFUNCTION("""COMPUTED_VALUE"""),3.5)</f>
        <v>3.5</v>
      </c>
      <c r="H258" s="197">
        <f>IFERROR(__xludf.DUMMYFUNCTION("""COMPUTED_VALUE"""),43042.0)</f>
        <v>43042</v>
      </c>
      <c r="I258" s="199">
        <f>IFERROR(__xludf.DUMMYFUNCTION("""COMPUTED_VALUE"""),7.658333333333333)</f>
        <v>7.658333333</v>
      </c>
      <c r="J258" s="200">
        <f>IFERROR(__xludf.DUMMYFUNCTION("""COMPUTED_VALUE"""),79.0)</f>
        <v>79</v>
      </c>
      <c r="K258" s="200">
        <f>IFERROR(__xludf.DUMMYFUNCTION("""COMPUTED_VALUE"""),7.0)</f>
        <v>7</v>
      </c>
      <c r="L258" s="201" t="str">
        <f>IFERROR(__xludf.DUMMYFUNCTION("""COMPUTED_VALUE"""),"Shooter")</f>
        <v>Shooter</v>
      </c>
    </row>
    <row r="259">
      <c r="A259" s="190" t="str">
        <f>IFERROR(__xludf.DUMMYFUNCTION("""COMPUTED_VALUE"""),"Road 96")</f>
        <v>Road 96</v>
      </c>
      <c r="B259" s="195" t="str">
        <f>IFERROR(__xludf.DUMMYFUNCTION("""COMPUTED_VALUE"""),"Xbox / PC")</f>
        <v>Xbox / PC</v>
      </c>
      <c r="C259" s="196" t="str">
        <f>IFERROR(__xludf.DUMMYFUNCTION("""COMPUTED_VALUE"""),"Touch Controls")</f>
        <v>Touch Controls</v>
      </c>
      <c r="D259" s="196" t="str">
        <f>IFERROR(__xludf.DUMMYFUNCTION("""COMPUTED_VALUE"""),"Active")</f>
        <v>Active</v>
      </c>
      <c r="E259" s="197">
        <f>IFERROR(__xludf.DUMMYFUNCTION("""COMPUTED_VALUE"""),45664.0)</f>
        <v>45664</v>
      </c>
      <c r="F259" s="198"/>
      <c r="G259" s="199">
        <f>IFERROR(__xludf.DUMMYFUNCTION("""COMPUTED_VALUE"""),9.266666666666667)</f>
        <v>9.266666667</v>
      </c>
      <c r="H259" s="197">
        <f>IFERROR(__xludf.DUMMYFUNCTION("""COMPUTED_VALUE"""),44424.0)</f>
        <v>44424</v>
      </c>
      <c r="I259" s="199">
        <f>IFERROR(__xludf.DUMMYFUNCTION("""COMPUTED_VALUE"""),3.3916666666666666)</f>
        <v>3.391666667</v>
      </c>
      <c r="J259" s="200">
        <f>IFERROR(__xludf.DUMMYFUNCTION("""COMPUTED_VALUE"""),79.0)</f>
        <v>79</v>
      </c>
      <c r="K259" s="200">
        <f>IFERROR(__xludf.DUMMYFUNCTION("""COMPUTED_VALUE"""),7.5)</f>
        <v>7.5</v>
      </c>
      <c r="L259" s="201" t="str">
        <f>IFERROR(__xludf.DUMMYFUNCTION("""COMPUTED_VALUE"""),"Adventure")</f>
        <v>Adventure</v>
      </c>
    </row>
    <row r="260">
      <c r="A260" s="190" t="str">
        <f>IFERROR(__xludf.DUMMYFUNCTION("""COMPUTED_VALUE"""),"Metal Slug: Tactics")</f>
        <v>Metal Slug: Tactics</v>
      </c>
      <c r="B260" s="195" t="str">
        <f>IFERROR(__xludf.DUMMYFUNCTION("""COMPUTED_VALUE"""),"Xbox / PC")</f>
        <v>Xbox / PC</v>
      </c>
      <c r="C260" s="196" t="str">
        <f>IFERROR(__xludf.DUMMYFUNCTION("""COMPUTED_VALUE"""),"Yes")</f>
        <v>Yes</v>
      </c>
      <c r="D260" s="196" t="str">
        <f>IFERROR(__xludf.DUMMYFUNCTION("""COMPUTED_VALUE"""),"Active")</f>
        <v>Active</v>
      </c>
      <c r="E260" s="197">
        <f>IFERROR(__xludf.DUMMYFUNCTION("""COMPUTED_VALUE"""),45601.0)</f>
        <v>45601</v>
      </c>
      <c r="F260" s="198"/>
      <c r="G260" s="199">
        <f>IFERROR(__xludf.DUMMYFUNCTION("""COMPUTED_VALUE"""),11.333333333333332)</f>
        <v>11.33333333</v>
      </c>
      <c r="H260" s="197">
        <f>IFERROR(__xludf.DUMMYFUNCTION("""COMPUTED_VALUE"""),45601.0)</f>
        <v>45601</v>
      </c>
      <c r="I260" s="199">
        <f>IFERROR(__xludf.DUMMYFUNCTION("""COMPUTED_VALUE"""),0.0)</f>
        <v>0</v>
      </c>
      <c r="J260" s="200">
        <f>IFERROR(__xludf.DUMMYFUNCTION("""COMPUTED_VALUE"""),79.0)</f>
        <v>79</v>
      </c>
      <c r="K260" s="200">
        <f>IFERROR(__xludf.DUMMYFUNCTION("""COMPUTED_VALUE"""),8.0)</f>
        <v>8</v>
      </c>
      <c r="L260" s="201" t="str">
        <f>IFERROR(__xludf.DUMMYFUNCTION("""COMPUTED_VALUE"""),"Strategy")</f>
        <v>Strategy</v>
      </c>
    </row>
    <row r="261">
      <c r="A261" s="190" t="str">
        <f>IFERROR(__xludf.DUMMYFUNCTION("""COMPUTED_VALUE"""),"Call of Duty: Warzone")</f>
        <v>Call of Duty: Warzone</v>
      </c>
      <c r="B261" s="195" t="str">
        <f>IFERROR(__xludf.DUMMYFUNCTION("""COMPUTED_VALUE"""),"Xbox / PC")</f>
        <v>Xbox / PC</v>
      </c>
      <c r="C261" s="196" t="str">
        <f>IFERROR(__xludf.DUMMYFUNCTION("""COMPUTED_VALUE"""),"Yes")</f>
        <v>Yes</v>
      </c>
      <c r="D261" s="196" t="str">
        <f>IFERROR(__xludf.DUMMYFUNCTION("""COMPUTED_VALUE"""),"Active")</f>
        <v>Active</v>
      </c>
      <c r="E261" s="197">
        <f>IFERROR(__xludf.DUMMYFUNCTION("""COMPUTED_VALUE"""),45590.0)</f>
        <v>45590</v>
      </c>
      <c r="F261" s="198"/>
      <c r="G261" s="199">
        <f>IFERROR(__xludf.DUMMYFUNCTION("""COMPUTED_VALUE"""),11.666666666666666)</f>
        <v>11.66666667</v>
      </c>
      <c r="H261" s="197">
        <f>IFERROR(__xludf.DUMMYFUNCTION("""COMPUTED_VALUE"""),44881.0)</f>
        <v>44881</v>
      </c>
      <c r="I261" s="199">
        <f>IFERROR(__xludf.DUMMYFUNCTION("""COMPUTED_VALUE"""),1.9416666666666667)</f>
        <v>1.941666667</v>
      </c>
      <c r="J261" s="200">
        <f>IFERROR(__xludf.DUMMYFUNCTION("""COMPUTED_VALUE"""),79.0)</f>
        <v>79</v>
      </c>
      <c r="K261" s="200">
        <f>IFERROR(__xludf.DUMMYFUNCTION("""COMPUTED_VALUE"""),99.0)</f>
        <v>99</v>
      </c>
      <c r="L261" s="201" t="str">
        <f>IFERROR(__xludf.DUMMYFUNCTION("""COMPUTED_VALUE"""),"Shooter")</f>
        <v>Shooter</v>
      </c>
    </row>
    <row r="262">
      <c r="A262" s="190" t="str">
        <f>IFERROR(__xludf.DUMMYFUNCTION("""COMPUTED_VALUE"""),"Mechwarrior 5: Clans")</f>
        <v>Mechwarrior 5: Clans</v>
      </c>
      <c r="B262" s="195" t="str">
        <f>IFERROR(__xludf.DUMMYFUNCTION("""COMPUTED_VALUE"""),"Xbox / PC")</f>
        <v>Xbox / PC</v>
      </c>
      <c r="C262" s="196" t="str">
        <f>IFERROR(__xludf.DUMMYFUNCTION("""COMPUTED_VALUE"""),"Yes")</f>
        <v>Yes</v>
      </c>
      <c r="D262" s="196" t="str">
        <f>IFERROR(__xludf.DUMMYFUNCTION("""COMPUTED_VALUE"""),"Active")</f>
        <v>Active</v>
      </c>
      <c r="E262" s="197">
        <f>IFERROR(__xludf.DUMMYFUNCTION("""COMPUTED_VALUE"""),45582.0)</f>
        <v>45582</v>
      </c>
      <c r="F262" s="198"/>
      <c r="G262" s="199">
        <f>IFERROR(__xludf.DUMMYFUNCTION("""COMPUTED_VALUE"""),11.933333333333334)</f>
        <v>11.93333333</v>
      </c>
      <c r="H262" s="197">
        <f>IFERROR(__xludf.DUMMYFUNCTION("""COMPUTED_VALUE"""),45582.0)</f>
        <v>45582</v>
      </c>
      <c r="I262" s="199">
        <f>IFERROR(__xludf.DUMMYFUNCTION("""COMPUTED_VALUE"""),0.0)</f>
        <v>0</v>
      </c>
      <c r="J262" s="200">
        <f>IFERROR(__xludf.DUMMYFUNCTION("""COMPUTED_VALUE"""),79.0)</f>
        <v>79</v>
      </c>
      <c r="K262" s="200">
        <f>IFERROR(__xludf.DUMMYFUNCTION("""COMPUTED_VALUE"""),23.0)</f>
        <v>23</v>
      </c>
      <c r="L262" s="201" t="str">
        <f>IFERROR(__xludf.DUMMYFUNCTION("""COMPUTED_VALUE"""),"Simulation")</f>
        <v>Simulation</v>
      </c>
    </row>
    <row r="263">
      <c r="A263" s="190" t="str">
        <f>IFERROR(__xludf.DUMMYFUNCTION("""COMPUTED_VALUE"""),"Overwatch 2")</f>
        <v>Overwatch 2</v>
      </c>
      <c r="B263" s="195" t="str">
        <f>IFERROR(__xludf.DUMMYFUNCTION("""COMPUTED_VALUE"""),"Xbox / PC")</f>
        <v>Xbox / PC</v>
      </c>
      <c r="C263" s="196"/>
      <c r="D263" s="196" t="str">
        <f>IFERROR(__xludf.DUMMYFUNCTION("""COMPUTED_VALUE"""),"Active")</f>
        <v>Active</v>
      </c>
      <c r="E263" s="197">
        <f>IFERROR(__xludf.DUMMYFUNCTION("""COMPUTED_VALUE"""),45552.0)</f>
        <v>45552</v>
      </c>
      <c r="F263" s="198"/>
      <c r="G263" s="199">
        <f>IFERROR(__xludf.DUMMYFUNCTION("""COMPUTED_VALUE"""),12.933333333333334)</f>
        <v>12.93333333</v>
      </c>
      <c r="H263" s="197">
        <f>IFERROR(__xludf.DUMMYFUNCTION("""COMPUTED_VALUE"""),45148.0)</f>
        <v>45148</v>
      </c>
      <c r="I263" s="199">
        <f>IFERROR(__xludf.DUMMYFUNCTION("""COMPUTED_VALUE"""),1.1027777777777779)</f>
        <v>1.102777778</v>
      </c>
      <c r="J263" s="200">
        <f>IFERROR(__xludf.DUMMYFUNCTION("""COMPUTED_VALUE"""),79.0)</f>
        <v>79</v>
      </c>
      <c r="K263" s="200">
        <f>IFERROR(__xludf.DUMMYFUNCTION("""COMPUTED_VALUE"""),57.0)</f>
        <v>57</v>
      </c>
      <c r="L263" s="201" t="str">
        <f>IFERROR(__xludf.DUMMYFUNCTION("""COMPUTED_VALUE"""),"Shooter")</f>
        <v>Shooter</v>
      </c>
    </row>
    <row r="264">
      <c r="A264" s="190" t="str">
        <f>IFERROR(__xludf.DUMMYFUNCTION("""COMPUTED_VALUE"""),"Little Kitty, Big City")</f>
        <v>Little Kitty, Big City</v>
      </c>
      <c r="B264" s="195" t="str">
        <f>IFERROR(__xludf.DUMMYFUNCTION("""COMPUTED_VALUE"""),"Xbox / PC")</f>
        <v>Xbox / PC</v>
      </c>
      <c r="C264" s="196" t="str">
        <f>IFERROR(__xludf.DUMMYFUNCTION("""COMPUTED_VALUE"""),"Yes")</f>
        <v>Yes</v>
      </c>
      <c r="D264" s="196" t="str">
        <f>IFERROR(__xludf.DUMMYFUNCTION("""COMPUTED_VALUE"""),"Active")</f>
        <v>Active</v>
      </c>
      <c r="E264" s="197">
        <f>IFERROR(__xludf.DUMMYFUNCTION("""COMPUTED_VALUE"""),45421.0)</f>
        <v>45421</v>
      </c>
      <c r="F264" s="198"/>
      <c r="G264" s="199">
        <f>IFERROR(__xludf.DUMMYFUNCTION("""COMPUTED_VALUE"""),17.2)</f>
        <v>17.2</v>
      </c>
      <c r="H264" s="197">
        <f>IFERROR(__xludf.DUMMYFUNCTION("""COMPUTED_VALUE"""),45421.0)</f>
        <v>45421</v>
      </c>
      <c r="I264" s="199">
        <f>IFERROR(__xludf.DUMMYFUNCTION("""COMPUTED_VALUE"""),0.0)</f>
        <v>0</v>
      </c>
      <c r="J264" s="200">
        <f>IFERROR(__xludf.DUMMYFUNCTION("""COMPUTED_VALUE"""),79.0)</f>
        <v>79</v>
      </c>
      <c r="K264" s="200">
        <f>IFERROR(__xludf.DUMMYFUNCTION("""COMPUTED_VALUE"""),3.0)</f>
        <v>3</v>
      </c>
      <c r="L264" s="201" t="str">
        <f>IFERROR(__xludf.DUMMYFUNCTION("""COMPUTED_VALUE"""),"Action-Adventure")</f>
        <v>Action-Adventure</v>
      </c>
    </row>
    <row r="265">
      <c r="A265" s="190" t="str">
        <f>IFERROR(__xludf.DUMMYFUNCTION("""COMPUTED_VALUE"""),"Kona II: Brume")</f>
        <v>Kona II: Brume</v>
      </c>
      <c r="B265" s="195" t="str">
        <f>IFERROR(__xludf.DUMMYFUNCTION("""COMPUTED_VALUE"""),"Xbox / PC")</f>
        <v>Xbox / PC</v>
      </c>
      <c r="C265" s="196" t="str">
        <f>IFERROR(__xludf.DUMMYFUNCTION("""COMPUTED_VALUE"""),"Yes")</f>
        <v>Yes</v>
      </c>
      <c r="D265" s="196" t="str">
        <f>IFERROR(__xludf.DUMMYFUNCTION("""COMPUTED_VALUE"""),"Active")</f>
        <v>Active</v>
      </c>
      <c r="E265" s="197">
        <f>IFERROR(__xludf.DUMMYFUNCTION("""COMPUTED_VALUE"""),45419.0)</f>
        <v>45419</v>
      </c>
      <c r="F265" s="198"/>
      <c r="G265" s="199">
        <f>IFERROR(__xludf.DUMMYFUNCTION("""COMPUTED_VALUE"""),17.266666666666666)</f>
        <v>17.26666667</v>
      </c>
      <c r="H265" s="197">
        <f>IFERROR(__xludf.DUMMYFUNCTION("""COMPUTED_VALUE"""),45217.0)</f>
        <v>45217</v>
      </c>
      <c r="I265" s="199">
        <f>IFERROR(__xludf.DUMMYFUNCTION("""COMPUTED_VALUE"""),0.5527777777777778)</f>
        <v>0.5527777778</v>
      </c>
      <c r="J265" s="200">
        <f>IFERROR(__xludf.DUMMYFUNCTION("""COMPUTED_VALUE"""),79.0)</f>
        <v>79</v>
      </c>
      <c r="K265" s="200">
        <f>IFERROR(__xludf.DUMMYFUNCTION("""COMPUTED_VALUE"""),8.0)</f>
        <v>8</v>
      </c>
      <c r="L265" s="201" t="str">
        <f>IFERROR(__xludf.DUMMYFUNCTION("""COMPUTED_VALUE"""),"Action-Adventure")</f>
        <v>Action-Adventure</v>
      </c>
    </row>
    <row r="266">
      <c r="A266" s="190" t="str">
        <f>IFERROR(__xludf.DUMMYFUNCTION("""COMPUTED_VALUE"""),"Another Crab's Treasure")</f>
        <v>Another Crab's Treasure</v>
      </c>
      <c r="B266" s="195" t="str">
        <f>IFERROR(__xludf.DUMMYFUNCTION("""COMPUTED_VALUE"""),"Xbox / PC")</f>
        <v>Xbox / PC</v>
      </c>
      <c r="C266" s="196" t="str">
        <f>IFERROR(__xludf.DUMMYFUNCTION("""COMPUTED_VALUE"""),"Yes")</f>
        <v>Yes</v>
      </c>
      <c r="D266" s="196" t="str">
        <f>IFERROR(__xludf.DUMMYFUNCTION("""COMPUTED_VALUE"""),"Active")</f>
        <v>Active</v>
      </c>
      <c r="E266" s="197">
        <f>IFERROR(__xludf.DUMMYFUNCTION("""COMPUTED_VALUE"""),45407.0)</f>
        <v>45407</v>
      </c>
      <c r="F266" s="198"/>
      <c r="G266" s="199">
        <f>IFERROR(__xludf.DUMMYFUNCTION("""COMPUTED_VALUE"""),17.666666666666668)</f>
        <v>17.66666667</v>
      </c>
      <c r="H266" s="197">
        <f>IFERROR(__xludf.DUMMYFUNCTION("""COMPUTED_VALUE"""),45407.0)</f>
        <v>45407</v>
      </c>
      <c r="I266" s="199">
        <f>IFERROR(__xludf.DUMMYFUNCTION("""COMPUTED_VALUE"""),0.0)</f>
        <v>0</v>
      </c>
      <c r="J266" s="200">
        <f>IFERROR(__xludf.DUMMYFUNCTION("""COMPUTED_VALUE"""),79.0)</f>
        <v>79</v>
      </c>
      <c r="K266" s="200">
        <f>IFERROR(__xludf.DUMMYFUNCTION("""COMPUTED_VALUE"""),12.0)</f>
        <v>12</v>
      </c>
      <c r="L266" s="201" t="str">
        <f>IFERROR(__xludf.DUMMYFUNCTION("""COMPUTED_VALUE"""),"Action-Adventure")</f>
        <v>Action-Adventure</v>
      </c>
    </row>
    <row r="267">
      <c r="A267" s="190" t="str">
        <f>IFERROR(__xludf.DUMMYFUNCTION("""COMPUTED_VALUE"""),"Eiyuden Chronicle: Hundred Heroes")</f>
        <v>Eiyuden Chronicle: Hundred Heroes</v>
      </c>
      <c r="B267" s="195" t="str">
        <f>IFERROR(__xludf.DUMMYFUNCTION("""COMPUTED_VALUE"""),"Xbox / PC")</f>
        <v>Xbox / PC</v>
      </c>
      <c r="C267" s="196" t="str">
        <f>IFERROR(__xludf.DUMMYFUNCTION("""COMPUTED_VALUE"""),"Yes")</f>
        <v>Yes</v>
      </c>
      <c r="D267" s="196" t="str">
        <f>IFERROR(__xludf.DUMMYFUNCTION("""COMPUTED_VALUE"""),"Active")</f>
        <v>Active</v>
      </c>
      <c r="E267" s="197">
        <f>IFERROR(__xludf.DUMMYFUNCTION("""COMPUTED_VALUE"""),45405.0)</f>
        <v>45405</v>
      </c>
      <c r="F267" s="198"/>
      <c r="G267" s="199">
        <f>IFERROR(__xludf.DUMMYFUNCTION("""COMPUTED_VALUE"""),17.733333333333334)</f>
        <v>17.73333333</v>
      </c>
      <c r="H267" s="197">
        <f>IFERROR(__xludf.DUMMYFUNCTION("""COMPUTED_VALUE"""),45405.0)</f>
        <v>45405</v>
      </c>
      <c r="I267" s="199">
        <f>IFERROR(__xludf.DUMMYFUNCTION("""COMPUTED_VALUE"""),0.0)</f>
        <v>0</v>
      </c>
      <c r="J267" s="200">
        <f>IFERROR(__xludf.DUMMYFUNCTION("""COMPUTED_VALUE"""),79.0)</f>
        <v>79</v>
      </c>
      <c r="K267" s="200">
        <f>IFERROR(__xludf.DUMMYFUNCTION("""COMPUTED_VALUE"""),44.0)</f>
        <v>44</v>
      </c>
      <c r="L267" s="201" t="str">
        <f>IFERROR(__xludf.DUMMYFUNCTION("""COMPUTED_VALUE"""),"RPG")</f>
        <v>RPG</v>
      </c>
    </row>
    <row r="268">
      <c r="A268" s="190" t="str">
        <f>IFERROR(__xludf.DUMMYFUNCTION("""COMPUTED_VALUE"""),"Resident Evil 3")</f>
        <v>Resident Evil 3</v>
      </c>
      <c r="B268" s="195" t="str">
        <f>IFERROR(__xludf.DUMMYFUNCTION("""COMPUTED_VALUE"""),"Xbox / PC")</f>
        <v>Xbox / PC</v>
      </c>
      <c r="C268" s="196" t="str">
        <f>IFERROR(__xludf.DUMMYFUNCTION("""COMPUTED_VALUE"""),"Yes")</f>
        <v>Yes</v>
      </c>
      <c r="D268" s="196" t="str">
        <f>IFERROR(__xludf.DUMMYFUNCTION("""COMPUTED_VALUE"""),"Active")</f>
        <v>Active</v>
      </c>
      <c r="E268" s="197">
        <f>IFERROR(__xludf.DUMMYFUNCTION("""COMPUTED_VALUE"""),45335.0)</f>
        <v>45335</v>
      </c>
      <c r="F268" s="198"/>
      <c r="G268" s="199">
        <f>IFERROR(__xludf.DUMMYFUNCTION("""COMPUTED_VALUE"""),20.066666666666666)</f>
        <v>20.06666667</v>
      </c>
      <c r="H268" s="197">
        <f>IFERROR(__xludf.DUMMYFUNCTION("""COMPUTED_VALUE"""),43924.0)</f>
        <v>43924</v>
      </c>
      <c r="I268" s="199">
        <f>IFERROR(__xludf.DUMMYFUNCTION("""COMPUTED_VALUE"""),3.861111111111111)</f>
        <v>3.861111111</v>
      </c>
      <c r="J268" s="200">
        <f>IFERROR(__xludf.DUMMYFUNCTION("""COMPUTED_VALUE"""),79.0)</f>
        <v>79</v>
      </c>
      <c r="K268" s="200">
        <f>IFERROR(__xludf.DUMMYFUNCTION("""COMPUTED_VALUE"""),6.0)</f>
        <v>6</v>
      </c>
      <c r="L268" s="201" t="str">
        <f>IFERROR(__xludf.DUMMYFUNCTION("""COMPUTED_VALUE"""),"Shooter / Action-Adventure")</f>
        <v>Shooter / Action-Adventure</v>
      </c>
    </row>
    <row r="269">
      <c r="A269" s="190" t="str">
        <f>IFERROR(__xludf.DUMMYFUNCTION("""COMPUTED_VALUE"""),"Super Mega Baseball 4")</f>
        <v>Super Mega Baseball 4</v>
      </c>
      <c r="B269" s="195" t="str">
        <f>IFERROR(__xludf.DUMMYFUNCTION("""COMPUTED_VALUE"""),"Xbox / PC")</f>
        <v>Xbox / PC</v>
      </c>
      <c r="C269" s="196" t="str">
        <f>IFERROR(__xludf.DUMMYFUNCTION("""COMPUTED_VALUE"""),"Yes")</f>
        <v>Yes</v>
      </c>
      <c r="D269" s="196" t="str">
        <f>IFERROR(__xludf.DUMMYFUNCTION("""COMPUTED_VALUE"""),"Active")</f>
        <v>Active</v>
      </c>
      <c r="E269" s="197">
        <f>IFERROR(__xludf.DUMMYFUNCTION("""COMPUTED_VALUE"""),45302.0)</f>
        <v>45302</v>
      </c>
      <c r="F269" s="198"/>
      <c r="G269" s="199">
        <f>IFERROR(__xludf.DUMMYFUNCTION("""COMPUTED_VALUE"""),21.133333333333333)</f>
        <v>21.13333333</v>
      </c>
      <c r="H269" s="197">
        <f>IFERROR(__xludf.DUMMYFUNCTION("""COMPUTED_VALUE"""),45079.0)</f>
        <v>45079</v>
      </c>
      <c r="I269" s="199">
        <f>IFERROR(__xludf.DUMMYFUNCTION("""COMPUTED_VALUE"""),0.6083333333333333)</f>
        <v>0.6083333333</v>
      </c>
      <c r="J269" s="200">
        <f>IFERROR(__xludf.DUMMYFUNCTION("""COMPUTED_VALUE"""),79.0)</f>
        <v>79</v>
      </c>
      <c r="K269" s="200"/>
      <c r="L269" s="201" t="str">
        <f>IFERROR(__xludf.DUMMYFUNCTION("""COMPUTED_VALUE"""),"Sports/Baseball")</f>
        <v>Sports/Baseball</v>
      </c>
    </row>
    <row r="270">
      <c r="A270" s="190" t="str">
        <f>IFERROR(__xludf.DUMMYFUNCTION("""COMPUTED_VALUE"""),"Hell Let Loose")</f>
        <v>Hell Let Loose</v>
      </c>
      <c r="B270" s="195" t="str">
        <f>IFERROR(__xludf.DUMMYFUNCTION("""COMPUTED_VALUE"""),"Xbox / PC")</f>
        <v>Xbox / PC</v>
      </c>
      <c r="C270" s="196" t="str">
        <f>IFERROR(__xludf.DUMMYFUNCTION("""COMPUTED_VALUE"""),"Yes")</f>
        <v>Yes</v>
      </c>
      <c r="D270" s="196" t="str">
        <f>IFERROR(__xludf.DUMMYFUNCTION("""COMPUTED_VALUE"""),"Active")</f>
        <v>Active</v>
      </c>
      <c r="E270" s="197">
        <f>IFERROR(__xludf.DUMMYFUNCTION("""COMPUTED_VALUE"""),45295.0)</f>
        <v>45295</v>
      </c>
      <c r="F270" s="198"/>
      <c r="G270" s="199">
        <f>IFERROR(__xludf.DUMMYFUNCTION("""COMPUTED_VALUE"""),21.366666666666667)</f>
        <v>21.36666667</v>
      </c>
      <c r="H270" s="197">
        <f>IFERROR(__xludf.DUMMYFUNCTION("""COMPUTED_VALUE"""),43622.0)</f>
        <v>43622</v>
      </c>
      <c r="I270" s="199">
        <f>IFERROR(__xludf.DUMMYFUNCTION("""COMPUTED_VALUE"""),4.5777777777777775)</f>
        <v>4.577777778</v>
      </c>
      <c r="J270" s="200">
        <f>IFERROR(__xludf.DUMMYFUNCTION("""COMPUTED_VALUE"""),79.0)</f>
        <v>79</v>
      </c>
      <c r="K270" s="200">
        <f>IFERROR(__xludf.DUMMYFUNCTION("""COMPUTED_VALUE"""),30.0)</f>
        <v>30</v>
      </c>
      <c r="L270" s="201" t="str">
        <f>IFERROR(__xludf.DUMMYFUNCTION("""COMPUTED_VALUE"""),"Action / First-Person Shooter / Vehicular Combat")</f>
        <v>Action / First-Person Shooter / Vehicular Combat</v>
      </c>
    </row>
    <row r="271">
      <c r="A271" s="190" t="str">
        <f>IFERROR(__xludf.DUMMYFUNCTION("""COMPUTED_VALUE"""),"Wild Hearts")</f>
        <v>Wild Hearts</v>
      </c>
      <c r="B271" s="195" t="str">
        <f>IFERROR(__xludf.DUMMYFUNCTION("""COMPUTED_VALUE"""),"Xbox / PC")</f>
        <v>Xbox / PC</v>
      </c>
      <c r="C271" s="196" t="str">
        <f>IFERROR(__xludf.DUMMYFUNCTION("""COMPUTED_VALUE"""),"Yes")</f>
        <v>Yes</v>
      </c>
      <c r="D271" s="196" t="str">
        <f>IFERROR(__xludf.DUMMYFUNCTION("""COMPUTED_VALUE"""),"Active")</f>
        <v>Active</v>
      </c>
      <c r="E271" s="197">
        <f>IFERROR(__xludf.DUMMYFUNCTION("""COMPUTED_VALUE"""),45239.0)</f>
        <v>45239</v>
      </c>
      <c r="F271" s="198"/>
      <c r="G271" s="199">
        <f>IFERROR(__xludf.DUMMYFUNCTION("""COMPUTED_VALUE"""),23.2)</f>
        <v>23.2</v>
      </c>
      <c r="H271" s="197">
        <f>IFERROR(__xludf.DUMMYFUNCTION("""COMPUTED_VALUE"""),44974.0)</f>
        <v>44974</v>
      </c>
      <c r="I271" s="199">
        <f>IFERROR(__xludf.DUMMYFUNCTION("""COMPUTED_VALUE"""),0.7277777777777777)</f>
        <v>0.7277777778</v>
      </c>
      <c r="J271" s="200">
        <f>IFERROR(__xludf.DUMMYFUNCTION("""COMPUTED_VALUE"""),79.0)</f>
        <v>79</v>
      </c>
      <c r="K271" s="200">
        <f>IFERROR(__xludf.DUMMYFUNCTION("""COMPUTED_VALUE"""),46.0)</f>
        <v>46</v>
      </c>
      <c r="L271" s="201" t="str">
        <f>IFERROR(__xludf.DUMMYFUNCTION("""COMPUTED_VALUE"""),"Action-Adventure")</f>
        <v>Action-Adventure</v>
      </c>
    </row>
    <row r="272">
      <c r="A272" s="190" t="str">
        <f>IFERROR(__xludf.DUMMYFUNCTION("""COMPUTED_VALUE"""),"Teamfight Tactics")</f>
        <v>Teamfight Tactics</v>
      </c>
      <c r="B272" s="195" t="str">
        <f>IFERROR(__xludf.DUMMYFUNCTION("""COMPUTED_VALUE"""),"PC")</f>
        <v>PC</v>
      </c>
      <c r="C272" s="196"/>
      <c r="D272" s="196" t="str">
        <f>IFERROR(__xludf.DUMMYFUNCTION("""COMPUTED_VALUE"""),"Active")</f>
        <v>Active</v>
      </c>
      <c r="E272" s="197">
        <f>IFERROR(__xludf.DUMMYFUNCTION("""COMPUTED_VALUE"""),44907.0)</f>
        <v>44907</v>
      </c>
      <c r="F272" s="198"/>
      <c r="G272" s="199">
        <f>IFERROR(__xludf.DUMMYFUNCTION("""COMPUTED_VALUE"""),34.1)</f>
        <v>34.1</v>
      </c>
      <c r="H272" s="197">
        <f>IFERROR(__xludf.DUMMYFUNCTION("""COMPUTED_VALUE"""),43645.0)</f>
        <v>43645</v>
      </c>
      <c r="I272" s="199">
        <f>IFERROR(__xludf.DUMMYFUNCTION("""COMPUTED_VALUE"""),3.452777777777778)</f>
        <v>3.452777778</v>
      </c>
      <c r="J272" s="200">
        <f>IFERROR(__xludf.DUMMYFUNCTION("""COMPUTED_VALUE"""),79.0)</f>
        <v>79</v>
      </c>
      <c r="K272" s="200">
        <f>IFERROR(__xludf.DUMMYFUNCTION("""COMPUTED_VALUE"""),71.0)</f>
        <v>71</v>
      </c>
      <c r="L272" s="201" t="str">
        <f>IFERROR(__xludf.DUMMYFUNCTION("""COMPUTED_VALUE"""),"Strategy / Trivia/Board Game")</f>
        <v>Strategy / Trivia/Board Game</v>
      </c>
    </row>
    <row r="273">
      <c r="A273" s="190" t="str">
        <f>IFERROR(__xludf.DUMMYFUNCTION("""COMPUTED_VALUE"""),"Jurassic World Evolution 2")</f>
        <v>Jurassic World Evolution 2</v>
      </c>
      <c r="B273" s="195" t="str">
        <f>IFERROR(__xludf.DUMMYFUNCTION("""COMPUTED_VALUE"""),"Xbox / PC")</f>
        <v>Xbox / PC</v>
      </c>
      <c r="C273" s="196" t="str">
        <f>IFERROR(__xludf.DUMMYFUNCTION("""COMPUTED_VALUE"""),"Yes")</f>
        <v>Yes</v>
      </c>
      <c r="D273" s="196" t="str">
        <f>IFERROR(__xludf.DUMMYFUNCTION("""COMPUTED_VALUE"""),"Active")</f>
        <v>Active</v>
      </c>
      <c r="E273" s="197">
        <f>IFERROR(__xludf.DUMMYFUNCTION("""COMPUTED_VALUE"""),44698.0)</f>
        <v>44698</v>
      </c>
      <c r="F273" s="198"/>
      <c r="G273" s="199">
        <f>IFERROR(__xludf.DUMMYFUNCTION("""COMPUTED_VALUE"""),40.93333333333333)</f>
        <v>40.93333333</v>
      </c>
      <c r="H273" s="197">
        <f>IFERROR(__xludf.DUMMYFUNCTION("""COMPUTED_VALUE"""),44509.0)</f>
        <v>44509</v>
      </c>
      <c r="I273" s="199">
        <f>IFERROR(__xludf.DUMMYFUNCTION("""COMPUTED_VALUE"""),0.5222222222222223)</f>
        <v>0.5222222222</v>
      </c>
      <c r="J273" s="200">
        <f>IFERROR(__xludf.DUMMYFUNCTION("""COMPUTED_VALUE"""),79.0)</f>
        <v>79</v>
      </c>
      <c r="K273" s="200">
        <f>IFERROR(__xludf.DUMMYFUNCTION("""COMPUTED_VALUE"""),6.0)</f>
        <v>6</v>
      </c>
      <c r="L273" s="201" t="str">
        <f>IFERROR(__xludf.DUMMYFUNCTION("""COMPUTED_VALUE"""),"Simulation")</f>
        <v>Simulation</v>
      </c>
    </row>
    <row r="274">
      <c r="A274" s="190" t="str">
        <f>IFERROR(__xludf.DUMMYFUNCTION("""COMPUTED_VALUE"""),"Genesis Noir")</f>
        <v>Genesis Noir</v>
      </c>
      <c r="B274" s="195" t="str">
        <f>IFERROR(__xludf.DUMMYFUNCTION("""COMPUTED_VALUE"""),"Xbox / PC")</f>
        <v>Xbox / PC</v>
      </c>
      <c r="C274" s="196" t="str">
        <f>IFERROR(__xludf.DUMMYFUNCTION("""COMPUTED_VALUE"""),"Touch Controls")</f>
        <v>Touch Controls</v>
      </c>
      <c r="D274" s="196" t="str">
        <f>IFERROR(__xludf.DUMMYFUNCTION("""COMPUTED_VALUE"""),"Active")</f>
        <v>Active</v>
      </c>
      <c r="E274" s="197">
        <f>IFERROR(__xludf.DUMMYFUNCTION("""COMPUTED_VALUE"""),44280.0)</f>
        <v>44280</v>
      </c>
      <c r="F274" s="198"/>
      <c r="G274" s="199">
        <f>IFERROR(__xludf.DUMMYFUNCTION("""COMPUTED_VALUE"""),54.666666666666664)</f>
        <v>54.66666667</v>
      </c>
      <c r="H274" s="197">
        <f>IFERROR(__xludf.DUMMYFUNCTION("""COMPUTED_VALUE"""),44280.0)</f>
        <v>44280</v>
      </c>
      <c r="I274" s="199">
        <f>IFERROR(__xludf.DUMMYFUNCTION("""COMPUTED_VALUE"""),0.0)</f>
        <v>0</v>
      </c>
      <c r="J274" s="200">
        <f>IFERROR(__xludf.DUMMYFUNCTION("""COMPUTED_VALUE"""),79.0)</f>
        <v>79</v>
      </c>
      <c r="K274" s="200">
        <f>IFERROR(__xludf.DUMMYFUNCTION("""COMPUTED_VALUE"""),4.5)</f>
        <v>4.5</v>
      </c>
      <c r="L274" s="201" t="str">
        <f>IFERROR(__xludf.DUMMYFUNCTION("""COMPUTED_VALUE"""),"Adventure")</f>
        <v>Adventure</v>
      </c>
    </row>
    <row r="275">
      <c r="A275" s="190" t="str">
        <f>IFERROR(__xludf.DUMMYFUNCTION("""COMPUTED_VALUE"""),"A Way Out")</f>
        <v>A Way Out</v>
      </c>
      <c r="B275" s="195" t="str">
        <f>IFERROR(__xludf.DUMMYFUNCTION("""COMPUTED_VALUE"""),"Xbox / PC")</f>
        <v>Xbox / PC</v>
      </c>
      <c r="C275" s="196"/>
      <c r="D275" s="196" t="str">
        <f>IFERROR(__xludf.DUMMYFUNCTION("""COMPUTED_VALUE"""),"Active")</f>
        <v>Active</v>
      </c>
      <c r="E275" s="197">
        <f>IFERROR(__xludf.DUMMYFUNCTION("""COMPUTED_VALUE"""),44145.0)</f>
        <v>44145</v>
      </c>
      <c r="F275" s="198"/>
      <c r="G275" s="199">
        <f>IFERROR(__xludf.DUMMYFUNCTION("""COMPUTED_VALUE"""),59.166666666666664)</f>
        <v>59.16666667</v>
      </c>
      <c r="H275" s="197">
        <f>IFERROR(__xludf.DUMMYFUNCTION("""COMPUTED_VALUE"""),43182.0)</f>
        <v>43182</v>
      </c>
      <c r="I275" s="199">
        <f>IFERROR(__xludf.DUMMYFUNCTION("""COMPUTED_VALUE"""),2.6305555555555555)</f>
        <v>2.630555556</v>
      </c>
      <c r="J275" s="200">
        <f>IFERROR(__xludf.DUMMYFUNCTION("""COMPUTED_VALUE"""),79.0)</f>
        <v>79</v>
      </c>
      <c r="K275" s="200">
        <f>IFERROR(__xludf.DUMMYFUNCTION("""COMPUTED_VALUE"""),6.0)</f>
        <v>6</v>
      </c>
      <c r="L275" s="201" t="str">
        <f>IFERROR(__xludf.DUMMYFUNCTION("""COMPUTED_VALUE"""),"Action / Action-Adventure")</f>
        <v>Action / Action-Adventure</v>
      </c>
    </row>
    <row r="276">
      <c r="A276" s="190" t="str">
        <f>IFERROR(__xludf.DUMMYFUNCTION("""COMPUTED_VALUE"""),"Burnout: Paradise - Remastered")</f>
        <v>Burnout: Paradise - Remastered</v>
      </c>
      <c r="B276" s="195" t="str">
        <f>IFERROR(__xludf.DUMMYFUNCTION("""COMPUTED_VALUE"""),"Xbox / PC")</f>
        <v>Xbox / PC</v>
      </c>
      <c r="C276" s="196"/>
      <c r="D276" s="196" t="str">
        <f>IFERROR(__xludf.DUMMYFUNCTION("""COMPUTED_VALUE"""),"Active")</f>
        <v>Active</v>
      </c>
      <c r="E276" s="197">
        <f>IFERROR(__xludf.DUMMYFUNCTION("""COMPUTED_VALUE"""),44145.0)</f>
        <v>44145</v>
      </c>
      <c r="F276" s="198"/>
      <c r="G276" s="199">
        <f>IFERROR(__xludf.DUMMYFUNCTION("""COMPUTED_VALUE"""),59.166666666666664)</f>
        <v>59.16666667</v>
      </c>
      <c r="H276" s="197">
        <f>IFERROR(__xludf.DUMMYFUNCTION("""COMPUTED_VALUE"""),39469.0)</f>
        <v>39469</v>
      </c>
      <c r="I276" s="199">
        <f>IFERROR(__xludf.DUMMYFUNCTION("""COMPUTED_VALUE"""),12.8)</f>
        <v>12.8</v>
      </c>
      <c r="J276" s="200">
        <f>IFERROR(__xludf.DUMMYFUNCTION("""COMPUTED_VALUE"""),79.0)</f>
        <v>79</v>
      </c>
      <c r="K276" s="200">
        <f>IFERROR(__xludf.DUMMYFUNCTION("""COMPUTED_VALUE"""),10.5)</f>
        <v>10.5</v>
      </c>
      <c r="L276" s="201" t="str">
        <f>IFERROR(__xludf.DUMMYFUNCTION("""COMPUTED_VALUE"""),"Driving/Racing")</f>
        <v>Driving/Racing</v>
      </c>
    </row>
    <row r="277">
      <c r="A277" s="190" t="str">
        <f>IFERROR(__xludf.DUMMYFUNCTION("""COMPUTED_VALUE"""),"Dragon Age II")</f>
        <v>Dragon Age II</v>
      </c>
      <c r="B277" s="195" t="str">
        <f>IFERROR(__xludf.DUMMYFUNCTION("""COMPUTED_VALUE"""),"Xbox / PC")</f>
        <v>Xbox / PC</v>
      </c>
      <c r="C277" s="196" t="str">
        <f>IFERROR(__xludf.DUMMYFUNCTION("""COMPUTED_VALUE"""),"Touch Controls")</f>
        <v>Touch Controls</v>
      </c>
      <c r="D277" s="196" t="str">
        <f>IFERROR(__xludf.DUMMYFUNCTION("""COMPUTED_VALUE"""),"Active")</f>
        <v>Active</v>
      </c>
      <c r="E277" s="197">
        <f>IFERROR(__xludf.DUMMYFUNCTION("""COMPUTED_VALUE"""),44145.0)</f>
        <v>44145</v>
      </c>
      <c r="F277" s="198"/>
      <c r="G277" s="199">
        <f>IFERROR(__xludf.DUMMYFUNCTION("""COMPUTED_VALUE"""),59.166666666666664)</f>
        <v>59.16666667</v>
      </c>
      <c r="H277" s="197">
        <f>IFERROR(__xludf.DUMMYFUNCTION("""COMPUTED_VALUE"""),40610.0)</f>
        <v>40610</v>
      </c>
      <c r="I277" s="199">
        <f>IFERROR(__xludf.DUMMYFUNCTION("""COMPUTED_VALUE"""),9.672222222222222)</f>
        <v>9.672222222</v>
      </c>
      <c r="J277" s="200">
        <f>IFERROR(__xludf.DUMMYFUNCTION("""COMPUTED_VALUE"""),79.0)</f>
        <v>79</v>
      </c>
      <c r="K277" s="200">
        <f>IFERROR(__xludf.DUMMYFUNCTION("""COMPUTED_VALUE"""),26.5)</f>
        <v>26.5</v>
      </c>
      <c r="L277" s="201" t="str">
        <f>IFERROR(__xludf.DUMMYFUNCTION("""COMPUTED_VALUE"""),"RPG")</f>
        <v>RPG</v>
      </c>
    </row>
    <row r="278">
      <c r="A278" s="190" t="str">
        <f>IFERROR(__xludf.DUMMYFUNCTION("""COMPUTED_VALUE"""),"Mirror's Edge")</f>
        <v>Mirror's Edge</v>
      </c>
      <c r="B278" s="195" t="str">
        <f>IFERROR(__xludf.DUMMYFUNCTION("""COMPUTED_VALUE"""),"Xbox / PC")</f>
        <v>Xbox / PC</v>
      </c>
      <c r="C278" s="196"/>
      <c r="D278" s="196" t="str">
        <f>IFERROR(__xludf.DUMMYFUNCTION("""COMPUTED_VALUE"""),"Active")</f>
        <v>Active</v>
      </c>
      <c r="E278" s="197">
        <f>IFERROR(__xludf.DUMMYFUNCTION("""COMPUTED_VALUE"""),44145.0)</f>
        <v>44145</v>
      </c>
      <c r="F278" s="198"/>
      <c r="G278" s="199">
        <f>IFERROR(__xludf.DUMMYFUNCTION("""COMPUTED_VALUE"""),59.166666666666664)</f>
        <v>59.16666667</v>
      </c>
      <c r="H278" s="197">
        <f>IFERROR(__xludf.DUMMYFUNCTION("""COMPUTED_VALUE"""),40269.0)</f>
        <v>40269</v>
      </c>
      <c r="I278" s="199">
        <f>IFERROR(__xludf.DUMMYFUNCTION("""COMPUTED_VALUE"""),10.608333333333333)</f>
        <v>10.60833333</v>
      </c>
      <c r="J278" s="200">
        <f>IFERROR(__xludf.DUMMYFUNCTION("""COMPUTED_VALUE"""),79.0)</f>
        <v>79</v>
      </c>
      <c r="K278" s="200">
        <f>IFERROR(__xludf.DUMMYFUNCTION("""COMPUTED_VALUE"""),6.0)</f>
        <v>6</v>
      </c>
      <c r="L278" s="201" t="str">
        <f>IFERROR(__xludf.DUMMYFUNCTION("""COMPUTED_VALUE"""),"Action / Platformer")</f>
        <v>Action / Platformer</v>
      </c>
    </row>
    <row r="279">
      <c r="A279" s="190" t="str">
        <f>IFERROR(__xludf.DUMMYFUNCTION("""COMPUTED_VALUE"""),"Halo: Combat Evolved - Anniversary")</f>
        <v>Halo: Combat Evolved - Anniversary</v>
      </c>
      <c r="B279" s="195" t="str">
        <f>IFERROR(__xludf.DUMMYFUNCTION("""COMPUTED_VALUE"""),"Xbox / PC")</f>
        <v>Xbox / PC</v>
      </c>
      <c r="C279" s="196"/>
      <c r="D279" s="196" t="str">
        <f>IFERROR(__xludf.DUMMYFUNCTION("""COMPUTED_VALUE"""),"Active")</f>
        <v>Active</v>
      </c>
      <c r="E279" s="197">
        <f>IFERROR(__xludf.DUMMYFUNCTION("""COMPUTED_VALUE"""),43893.0)</f>
        <v>43893</v>
      </c>
      <c r="F279" s="198"/>
      <c r="G279" s="199">
        <f>IFERROR(__xludf.DUMMYFUNCTION("""COMPUTED_VALUE"""),67.39999999999999)</f>
        <v>67.4</v>
      </c>
      <c r="H279" s="197">
        <f>IFERROR(__xludf.DUMMYFUNCTION("""COMPUTED_VALUE"""),37210.0)</f>
        <v>37210</v>
      </c>
      <c r="I279" s="199">
        <f>IFERROR(__xludf.DUMMYFUNCTION("""COMPUTED_VALUE"""),18.3)</f>
        <v>18.3</v>
      </c>
      <c r="J279" s="200">
        <f>IFERROR(__xludf.DUMMYFUNCTION("""COMPUTED_VALUE"""),79.0)</f>
        <v>79</v>
      </c>
      <c r="K279" s="200">
        <f>IFERROR(__xludf.DUMMYFUNCTION("""COMPUTED_VALUE"""),10.0)</f>
        <v>10</v>
      </c>
      <c r="L279" s="201" t="str">
        <f>IFERROR(__xludf.DUMMYFUNCTION("""COMPUTED_VALUE"""),"First-Person Shooter")</f>
        <v>First-Person Shooter</v>
      </c>
    </row>
    <row r="280">
      <c r="A280" s="190" t="str">
        <f>IFERROR(__xludf.DUMMYFUNCTION("""COMPUTED_VALUE"""),"Halo Wars 2")</f>
        <v>Halo Wars 2</v>
      </c>
      <c r="B280" s="195" t="str">
        <f>IFERROR(__xludf.DUMMYFUNCTION("""COMPUTED_VALUE"""),"Xbox / PC")</f>
        <v>Xbox / PC</v>
      </c>
      <c r="C280" s="196" t="str">
        <f>IFERROR(__xludf.DUMMYFUNCTION("""COMPUTED_VALUE"""),"Touch Controls")</f>
        <v>Touch Controls</v>
      </c>
      <c r="D280" s="196" t="str">
        <f>IFERROR(__xludf.DUMMYFUNCTION("""COMPUTED_VALUE"""),"Active")</f>
        <v>Active</v>
      </c>
      <c r="E280" s="197">
        <f>IFERROR(__xludf.DUMMYFUNCTION("""COMPUTED_VALUE"""),43132.0)</f>
        <v>43132</v>
      </c>
      <c r="F280" s="198"/>
      <c r="G280" s="199">
        <f>IFERROR(__xludf.DUMMYFUNCTION("""COMPUTED_VALUE"""),92.46666666666667)</f>
        <v>92.46666667</v>
      </c>
      <c r="H280" s="197">
        <f>IFERROR(__xludf.DUMMYFUNCTION("""COMPUTED_VALUE"""),42783.0)</f>
        <v>42783</v>
      </c>
      <c r="I280" s="199">
        <f>IFERROR(__xludf.DUMMYFUNCTION("""COMPUTED_VALUE"""),0.9555555555555556)</f>
        <v>0.9555555556</v>
      </c>
      <c r="J280" s="200">
        <f>IFERROR(__xludf.DUMMYFUNCTION("""COMPUTED_VALUE"""),79.0)</f>
        <v>79</v>
      </c>
      <c r="K280" s="200">
        <f>IFERROR(__xludf.DUMMYFUNCTION("""COMPUTED_VALUE"""),8.0)</f>
        <v>8</v>
      </c>
      <c r="L280" s="201" t="str">
        <f>IFERROR(__xludf.DUMMYFUNCTION("""COMPUTED_VALUE"""),"Real-Time Strategy")</f>
        <v>Real-Time Strategy</v>
      </c>
    </row>
    <row r="281">
      <c r="A281" s="190" t="str">
        <f>IFERROR(__xludf.DUMMYFUNCTION("""COMPUTED_VALUE"""),"Star Wars Squadrons")</f>
        <v>Star Wars Squadrons</v>
      </c>
      <c r="B281" s="195" t="str">
        <f>IFERROR(__xludf.DUMMYFUNCTION("""COMPUTED_VALUE"""),"Xbox / PC")</f>
        <v>Xbox / PC</v>
      </c>
      <c r="C281" s="196" t="str">
        <f>IFERROR(__xludf.DUMMYFUNCTION("""COMPUTED_VALUE"""),"Touch Controls")</f>
        <v>Touch Controls</v>
      </c>
      <c r="D281" s="196" t="str">
        <f>IFERROR(__xludf.DUMMYFUNCTION("""COMPUTED_VALUE"""),"Active")</f>
        <v>Active</v>
      </c>
      <c r="E281" s="197">
        <f>IFERROR(__xludf.DUMMYFUNCTION("""COMPUTED_VALUE"""),44273.0)</f>
        <v>44273</v>
      </c>
      <c r="F281" s="198"/>
      <c r="G281" s="199">
        <f>IFERROR(__xludf.DUMMYFUNCTION("""COMPUTED_VALUE"""),54.900000000000006)</f>
        <v>54.9</v>
      </c>
      <c r="H281" s="197">
        <f>IFERROR(__xludf.DUMMYFUNCTION("""COMPUTED_VALUE"""),44106.0)</f>
        <v>44106</v>
      </c>
      <c r="I281" s="199">
        <f>IFERROR(__xludf.DUMMYFUNCTION("""COMPUTED_VALUE"""),0.46111111111111114)</f>
        <v>0.4611111111</v>
      </c>
      <c r="J281" s="200">
        <f>IFERROR(__xludf.DUMMYFUNCTION("""COMPUTED_VALUE"""),78.5)</f>
        <v>78.5</v>
      </c>
      <c r="K281" s="200">
        <f>IFERROR(__xludf.DUMMYFUNCTION("""COMPUTED_VALUE"""),9.0)</f>
        <v>9</v>
      </c>
      <c r="L281" s="201" t="str">
        <f>IFERROR(__xludf.DUMMYFUNCTION("""COMPUTED_VALUE"""),"Action / Flight Simulator")</f>
        <v>Action / Flight Simulator</v>
      </c>
    </row>
    <row r="282">
      <c r="A282" s="190" t="str">
        <f>IFERROR(__xludf.DUMMYFUNCTION("""COMPUTED_VALUE"""),"Minami Lane")</f>
        <v>Minami Lane</v>
      </c>
      <c r="B282" s="195" t="str">
        <f>IFERROR(__xludf.DUMMYFUNCTION("""COMPUTED_VALUE"""),"Xbox / PC")</f>
        <v>Xbox / PC</v>
      </c>
      <c r="C282" s="196" t="str">
        <f>IFERROR(__xludf.DUMMYFUNCTION("""COMPUTED_VALUE"""),"Yes")</f>
        <v>Yes</v>
      </c>
      <c r="D282" s="196" t="str">
        <f>IFERROR(__xludf.DUMMYFUNCTION("""COMPUTED_VALUE"""),"Active")</f>
        <v>Active</v>
      </c>
      <c r="E282" s="197">
        <f>IFERROR(__xludf.DUMMYFUNCTION("""COMPUTED_VALUE"""),45847.0)</f>
        <v>45847</v>
      </c>
      <c r="F282" s="198"/>
      <c r="G282" s="199">
        <f>IFERROR(__xludf.DUMMYFUNCTION("""COMPUTED_VALUE"""),3.2)</f>
        <v>3.2</v>
      </c>
      <c r="H282" s="197">
        <f>IFERROR(__xludf.DUMMYFUNCTION("""COMPUTED_VALUE"""),45350.0)</f>
        <v>45350</v>
      </c>
      <c r="I282" s="199">
        <f>IFERROR(__xludf.DUMMYFUNCTION("""COMPUTED_VALUE"""),1.363888888888889)</f>
        <v>1.363888889</v>
      </c>
      <c r="J282" s="200">
        <f>IFERROR(__xludf.DUMMYFUNCTION("""COMPUTED_VALUE"""),78.0)</f>
        <v>78</v>
      </c>
      <c r="K282" s="200">
        <f>IFERROR(__xludf.DUMMYFUNCTION("""COMPUTED_VALUE"""),3.0)</f>
        <v>3</v>
      </c>
      <c r="L282" s="201" t="str">
        <f>IFERROR(__xludf.DUMMYFUNCTION("""COMPUTED_VALUE"""),"Tycoon")</f>
        <v>Tycoon</v>
      </c>
    </row>
    <row r="283">
      <c r="A283" s="190" t="str">
        <f>IFERROR(__xludf.DUMMYFUNCTION("""COMPUTED_VALUE"""),"Rematch")</f>
        <v>Rematch</v>
      </c>
      <c r="B283" s="195" t="str">
        <f>IFERROR(__xludf.DUMMYFUNCTION("""COMPUTED_VALUE"""),"Xbox / PC")</f>
        <v>Xbox / PC</v>
      </c>
      <c r="C283" s="196" t="str">
        <f>IFERROR(__xludf.DUMMYFUNCTION("""COMPUTED_VALUE"""),"Yes")</f>
        <v>Yes</v>
      </c>
      <c r="D283" s="196" t="str">
        <f>IFERROR(__xludf.DUMMYFUNCTION("""COMPUTED_VALUE"""),"Active")</f>
        <v>Active</v>
      </c>
      <c r="E283" s="197">
        <f>IFERROR(__xludf.DUMMYFUNCTION("""COMPUTED_VALUE"""),45827.0)</f>
        <v>45827</v>
      </c>
      <c r="F283" s="198"/>
      <c r="G283" s="199">
        <f>IFERROR(__xludf.DUMMYFUNCTION("""COMPUTED_VALUE"""),3.866666666666667)</f>
        <v>3.866666667</v>
      </c>
      <c r="H283" s="197">
        <f>IFERROR(__xludf.DUMMYFUNCTION("""COMPUTED_VALUE"""),45827.0)</f>
        <v>45827</v>
      </c>
      <c r="I283" s="199">
        <f>IFERROR(__xludf.DUMMYFUNCTION("""COMPUTED_VALUE"""),0.0)</f>
        <v>0</v>
      </c>
      <c r="J283" s="200">
        <f>IFERROR(__xludf.DUMMYFUNCTION("""COMPUTED_VALUE"""),78.0)</f>
        <v>78</v>
      </c>
      <c r="K283" s="200">
        <f>IFERROR(__xludf.DUMMYFUNCTION("""COMPUTED_VALUE"""),37.0)</f>
        <v>37</v>
      </c>
      <c r="L283" s="201" t="str">
        <f>IFERROR(__xludf.DUMMYFUNCTION("""COMPUTED_VALUE"""),"Sports")</f>
        <v>Sports</v>
      </c>
    </row>
    <row r="284">
      <c r="A284" s="190" t="str">
        <f>IFERROR(__xludf.DUMMYFUNCTION("""COMPUTED_VALUE"""),"Lost in Random: The Eternal Die")</f>
        <v>Lost in Random: The Eternal Die</v>
      </c>
      <c r="B284" s="195" t="str">
        <f>IFERROR(__xludf.DUMMYFUNCTION("""COMPUTED_VALUE"""),"Xbox / PC")</f>
        <v>Xbox / PC</v>
      </c>
      <c r="C284" s="196" t="str">
        <f>IFERROR(__xludf.DUMMYFUNCTION("""COMPUTED_VALUE"""),"Yes")</f>
        <v>Yes</v>
      </c>
      <c r="D284" s="196" t="str">
        <f>IFERROR(__xludf.DUMMYFUNCTION("""COMPUTED_VALUE"""),"Active")</f>
        <v>Active</v>
      </c>
      <c r="E284" s="197">
        <f>IFERROR(__xludf.DUMMYFUNCTION("""COMPUTED_VALUE"""),45825.0)</f>
        <v>45825</v>
      </c>
      <c r="F284" s="198"/>
      <c r="G284" s="199">
        <f>IFERROR(__xludf.DUMMYFUNCTION("""COMPUTED_VALUE"""),3.9333333333333336)</f>
        <v>3.933333333</v>
      </c>
      <c r="H284" s="197">
        <f>IFERROR(__xludf.DUMMYFUNCTION("""COMPUTED_VALUE"""),45825.0)</f>
        <v>45825</v>
      </c>
      <c r="I284" s="199">
        <f>IFERROR(__xludf.DUMMYFUNCTION("""COMPUTED_VALUE"""),0.0)</f>
        <v>0</v>
      </c>
      <c r="J284" s="200">
        <f>IFERROR(__xludf.DUMMYFUNCTION("""COMPUTED_VALUE"""),78.0)</f>
        <v>78</v>
      </c>
      <c r="K284" s="200">
        <f>IFERROR(__xludf.DUMMYFUNCTION("""COMPUTED_VALUE"""),6.0)</f>
        <v>6</v>
      </c>
      <c r="L284" s="201" t="str">
        <f>IFERROR(__xludf.DUMMYFUNCTION("""COMPUTED_VALUE"""),"Action-Adventure")</f>
        <v>Action-Adventure</v>
      </c>
    </row>
    <row r="285">
      <c r="A285" s="190" t="str">
        <f>IFERROR(__xludf.DUMMYFUNCTION("""COMPUTED_VALUE"""),"Spray Paint Simulator")</f>
        <v>Spray Paint Simulator</v>
      </c>
      <c r="B285" s="195" t="str">
        <f>IFERROR(__xludf.DUMMYFUNCTION("""COMPUTED_VALUE"""),"Xbox / PC")</f>
        <v>Xbox / PC</v>
      </c>
      <c r="C285" s="196" t="str">
        <f>IFERROR(__xludf.DUMMYFUNCTION("""COMPUTED_VALUE"""),"Yes")</f>
        <v>Yes</v>
      </c>
      <c r="D285" s="196" t="str">
        <f>IFERROR(__xludf.DUMMYFUNCTION("""COMPUTED_VALUE"""),"Active")</f>
        <v>Active</v>
      </c>
      <c r="E285" s="197">
        <f>IFERROR(__xludf.DUMMYFUNCTION("""COMPUTED_VALUE"""),45806.0)</f>
        <v>45806</v>
      </c>
      <c r="F285" s="198"/>
      <c r="G285" s="199">
        <f>IFERROR(__xludf.DUMMYFUNCTION("""COMPUTED_VALUE"""),4.533333333333333)</f>
        <v>4.533333333</v>
      </c>
      <c r="H285" s="197">
        <f>IFERROR(__xludf.DUMMYFUNCTION("""COMPUTED_VALUE"""),45806.0)</f>
        <v>45806</v>
      </c>
      <c r="I285" s="199">
        <f>IFERROR(__xludf.DUMMYFUNCTION("""COMPUTED_VALUE"""),0.0)</f>
        <v>0</v>
      </c>
      <c r="J285" s="200">
        <f>IFERROR(__xludf.DUMMYFUNCTION("""COMPUTED_VALUE"""),78.0)</f>
        <v>78</v>
      </c>
      <c r="K285" s="200">
        <f>IFERROR(__xludf.DUMMYFUNCTION("""COMPUTED_VALUE"""),9.0)</f>
        <v>9</v>
      </c>
      <c r="L285" s="201" t="str">
        <f>IFERROR(__xludf.DUMMYFUNCTION("""COMPUTED_VALUE"""),"Simulation")</f>
        <v>Simulation</v>
      </c>
    </row>
    <row r="286">
      <c r="A286" s="190" t="str">
        <f>IFERROR(__xludf.DUMMYFUNCTION("""COMPUTED_VALUE"""),"Shady Part of Me")</f>
        <v>Shady Part of Me</v>
      </c>
      <c r="B286" s="195" t="str">
        <f>IFERROR(__xludf.DUMMYFUNCTION("""COMPUTED_VALUE"""),"Xbox / PC")</f>
        <v>Xbox / PC</v>
      </c>
      <c r="C286" s="196" t="str">
        <f>IFERROR(__xludf.DUMMYFUNCTION("""COMPUTED_VALUE"""),"Yes")</f>
        <v>Yes</v>
      </c>
      <c r="D286" s="196" t="str">
        <f>IFERROR(__xludf.DUMMYFUNCTION("""COMPUTED_VALUE"""),"Active")</f>
        <v>Active</v>
      </c>
      <c r="E286" s="197">
        <f>IFERROR(__xludf.DUMMYFUNCTION("""COMPUTED_VALUE"""),45686.0)</f>
        <v>45686</v>
      </c>
      <c r="F286" s="198"/>
      <c r="G286" s="199">
        <f>IFERROR(__xludf.DUMMYFUNCTION("""COMPUTED_VALUE"""),8.533333333333333)</f>
        <v>8.533333333</v>
      </c>
      <c r="H286" s="197">
        <f>IFERROR(__xludf.DUMMYFUNCTION("""COMPUTED_VALUE"""),44175.0)</f>
        <v>44175</v>
      </c>
      <c r="I286" s="199">
        <f>IFERROR(__xludf.DUMMYFUNCTION("""COMPUTED_VALUE"""),4.136111111111111)</f>
        <v>4.136111111</v>
      </c>
      <c r="J286" s="200">
        <f>IFERROR(__xludf.DUMMYFUNCTION("""COMPUTED_VALUE"""),78.0)</f>
        <v>78</v>
      </c>
      <c r="K286" s="200">
        <f>IFERROR(__xludf.DUMMYFUNCTION("""COMPUTED_VALUE"""),5.0)</f>
        <v>5</v>
      </c>
      <c r="L286" s="201" t="str">
        <f>IFERROR(__xludf.DUMMYFUNCTION("""COMPUTED_VALUE"""),"Action-Adventure")</f>
        <v>Action-Adventure</v>
      </c>
    </row>
    <row r="287">
      <c r="A287" s="190" t="str">
        <f>IFERROR(__xludf.DUMMYFUNCTION("""COMPUTED_VALUE"""),"Microsoft Flight Simulator 2024")</f>
        <v>Microsoft Flight Simulator 2024</v>
      </c>
      <c r="B287" s="195" t="str">
        <f>IFERROR(__xludf.DUMMYFUNCTION("""COMPUTED_VALUE"""),"Xbox / PC")</f>
        <v>Xbox / PC</v>
      </c>
      <c r="C287" s="196" t="str">
        <f>IFERROR(__xludf.DUMMYFUNCTION("""COMPUTED_VALUE"""),"Yes")</f>
        <v>Yes</v>
      </c>
      <c r="D287" s="196" t="str">
        <f>IFERROR(__xludf.DUMMYFUNCTION("""COMPUTED_VALUE"""),"Active")</f>
        <v>Active</v>
      </c>
      <c r="E287" s="197">
        <f>IFERROR(__xludf.DUMMYFUNCTION("""COMPUTED_VALUE"""),45615.0)</f>
        <v>45615</v>
      </c>
      <c r="F287" s="198"/>
      <c r="G287" s="199">
        <f>IFERROR(__xludf.DUMMYFUNCTION("""COMPUTED_VALUE"""),10.866666666666667)</f>
        <v>10.86666667</v>
      </c>
      <c r="H287" s="197">
        <f>IFERROR(__xludf.DUMMYFUNCTION("""COMPUTED_VALUE"""),45615.0)</f>
        <v>45615</v>
      </c>
      <c r="I287" s="199">
        <f>IFERROR(__xludf.DUMMYFUNCTION("""COMPUTED_VALUE"""),0.0)</f>
        <v>0</v>
      </c>
      <c r="J287" s="200">
        <f>IFERROR(__xludf.DUMMYFUNCTION("""COMPUTED_VALUE"""),78.0)</f>
        <v>78</v>
      </c>
      <c r="K287" s="200">
        <f>IFERROR(__xludf.DUMMYFUNCTION("""COMPUTED_VALUE"""),50.0)</f>
        <v>50</v>
      </c>
      <c r="L287" s="201" t="str">
        <f>IFERROR(__xludf.DUMMYFUNCTION("""COMPUTED_VALUE"""),"Simulation")</f>
        <v>Simulation</v>
      </c>
    </row>
    <row r="288">
      <c r="A288" s="190" t="str">
        <f>IFERROR(__xludf.DUMMYFUNCTION("""COMPUTED_VALUE"""),"Ashen")</f>
        <v>Ashen</v>
      </c>
      <c r="B288" s="195" t="str">
        <f>IFERROR(__xludf.DUMMYFUNCTION("""COMPUTED_VALUE"""),"Xbox / PC")</f>
        <v>Xbox / PC</v>
      </c>
      <c r="C288" s="196"/>
      <c r="D288" s="196" t="str">
        <f>IFERROR(__xludf.DUMMYFUNCTION("""COMPUTED_VALUE"""),"Active")</f>
        <v>Active</v>
      </c>
      <c r="E288" s="197">
        <f>IFERROR(__xludf.DUMMYFUNCTION("""COMPUTED_VALUE"""),45594.0)</f>
        <v>45594</v>
      </c>
      <c r="F288" s="198"/>
      <c r="G288" s="199">
        <f>IFERROR(__xludf.DUMMYFUNCTION("""COMPUTED_VALUE"""),11.533333333333333)</f>
        <v>11.53333333</v>
      </c>
      <c r="H288" s="197">
        <f>IFERROR(__xludf.DUMMYFUNCTION("""COMPUTED_VALUE"""),43441.0)</f>
        <v>43441</v>
      </c>
      <c r="I288" s="199">
        <f>IFERROR(__xludf.DUMMYFUNCTION("""COMPUTED_VALUE"""),5.894444444444445)</f>
        <v>5.894444444</v>
      </c>
      <c r="J288" s="200">
        <f>IFERROR(__xludf.DUMMYFUNCTION("""COMPUTED_VALUE"""),78.0)</f>
        <v>78</v>
      </c>
      <c r="K288" s="200">
        <f>IFERROR(__xludf.DUMMYFUNCTION("""COMPUTED_VALUE"""),15.5)</f>
        <v>15.5</v>
      </c>
      <c r="L288" s="201" t="str">
        <f>IFERROR(__xludf.DUMMYFUNCTION("""COMPUTED_VALUE"""),"Action / RPG / Action-Adventure")</f>
        <v>Action / RPG / Action-Adventure</v>
      </c>
    </row>
    <row r="289">
      <c r="A289" s="190" t="str">
        <f>IFERROR(__xludf.DUMMYFUNCTION("""COMPUTED_VALUE"""),"The Rewinder")</f>
        <v>The Rewinder</v>
      </c>
      <c r="B289" s="195" t="str">
        <f>IFERROR(__xludf.DUMMYFUNCTION("""COMPUTED_VALUE"""),"Xbox / PC")</f>
        <v>Xbox / PC</v>
      </c>
      <c r="C289" s="196" t="str">
        <f>IFERROR(__xludf.DUMMYFUNCTION("""COMPUTED_VALUE"""),"Yes")</f>
        <v>Yes</v>
      </c>
      <c r="D289" s="196" t="str">
        <f>IFERROR(__xludf.DUMMYFUNCTION("""COMPUTED_VALUE"""),"Active")</f>
        <v>Active</v>
      </c>
      <c r="E289" s="197">
        <f>IFERROR(__xludf.DUMMYFUNCTION("""COMPUTED_VALUE"""),45411.0)</f>
        <v>45411</v>
      </c>
      <c r="F289" s="198"/>
      <c r="G289" s="199">
        <f>IFERROR(__xludf.DUMMYFUNCTION("""COMPUTED_VALUE"""),17.53333333333333)</f>
        <v>17.53333333</v>
      </c>
      <c r="H289" s="197">
        <f>IFERROR(__xludf.DUMMYFUNCTION("""COMPUTED_VALUE"""),44449.0)</f>
        <v>44449</v>
      </c>
      <c r="I289" s="199">
        <f>IFERROR(__xludf.DUMMYFUNCTION("""COMPUTED_VALUE"""),2.636111111111111)</f>
        <v>2.636111111</v>
      </c>
      <c r="J289" s="200">
        <f>IFERROR(__xludf.DUMMYFUNCTION("""COMPUTED_VALUE"""),78.0)</f>
        <v>78</v>
      </c>
      <c r="K289" s="200">
        <f>IFERROR(__xludf.DUMMYFUNCTION("""COMPUTED_VALUE"""),5.0)</f>
        <v>5</v>
      </c>
      <c r="L289" s="201" t="str">
        <f>IFERROR(__xludf.DUMMYFUNCTION("""COMPUTED_VALUE"""),"Action-Adventure")</f>
        <v>Action-Adventure</v>
      </c>
    </row>
    <row r="290">
      <c r="A290" s="190" t="str">
        <f>IFERROR(__xludf.DUMMYFUNCTION("""COMPUTED_VALUE"""),"League of Legends")</f>
        <v>League of Legends</v>
      </c>
      <c r="B290" s="195" t="str">
        <f>IFERROR(__xludf.DUMMYFUNCTION("""COMPUTED_VALUE"""),"PC")</f>
        <v>PC</v>
      </c>
      <c r="C290" s="196"/>
      <c r="D290" s="196" t="str">
        <f>IFERROR(__xludf.DUMMYFUNCTION("""COMPUTED_VALUE"""),"Active")</f>
        <v>Active</v>
      </c>
      <c r="E290" s="197">
        <f>IFERROR(__xludf.DUMMYFUNCTION("""COMPUTED_VALUE"""),44907.0)</f>
        <v>44907</v>
      </c>
      <c r="F290" s="198"/>
      <c r="G290" s="199">
        <f>IFERROR(__xludf.DUMMYFUNCTION("""COMPUTED_VALUE"""),34.1)</f>
        <v>34.1</v>
      </c>
      <c r="H290" s="197">
        <f>IFERROR(__xludf.DUMMYFUNCTION("""COMPUTED_VALUE"""),40113.0)</f>
        <v>40113</v>
      </c>
      <c r="I290" s="199">
        <f>IFERROR(__xludf.DUMMYFUNCTION("""COMPUTED_VALUE"""),13.125)</f>
        <v>13.125</v>
      </c>
      <c r="J290" s="200">
        <f>IFERROR(__xludf.DUMMYFUNCTION("""COMPUTED_VALUE"""),78.0)</f>
        <v>78</v>
      </c>
      <c r="K290" s="200">
        <f>IFERROR(__xludf.DUMMYFUNCTION("""COMPUTED_VALUE"""),1439.0)</f>
        <v>1439</v>
      </c>
      <c r="L290" s="201" t="str">
        <f>IFERROR(__xludf.DUMMYFUNCTION("""COMPUTED_VALUE"""),"MOBA")</f>
        <v>MOBA</v>
      </c>
    </row>
    <row r="291">
      <c r="A291" s="190" t="str">
        <f>IFERROR(__xludf.DUMMYFUNCTION("""COMPUTED_VALUE"""),"The Walking Dead: The Final Season")</f>
        <v>The Walking Dead: The Final Season</v>
      </c>
      <c r="B291" s="195" t="str">
        <f>IFERROR(__xludf.DUMMYFUNCTION("""COMPUTED_VALUE"""),"Xbox / PC")</f>
        <v>Xbox / PC</v>
      </c>
      <c r="C291" s="196" t="str">
        <f>IFERROR(__xludf.DUMMYFUNCTION("""COMPUTED_VALUE"""),"Yes")</f>
        <v>Yes</v>
      </c>
      <c r="D291" s="196" t="str">
        <f>IFERROR(__xludf.DUMMYFUNCTION("""COMPUTED_VALUE"""),"Active")</f>
        <v>Active</v>
      </c>
      <c r="E291" s="197">
        <f>IFERROR(__xludf.DUMMYFUNCTION("""COMPUTED_VALUE"""),44896.0)</f>
        <v>44896</v>
      </c>
      <c r="F291" s="198"/>
      <c r="G291" s="199">
        <f>IFERROR(__xludf.DUMMYFUNCTION("""COMPUTED_VALUE"""),34.46666666666667)</f>
        <v>34.46666667</v>
      </c>
      <c r="H291" s="197">
        <f>IFERROR(__xludf.DUMMYFUNCTION("""COMPUTED_VALUE"""),43325.0)</f>
        <v>43325</v>
      </c>
      <c r="I291" s="199">
        <f>IFERROR(__xludf.DUMMYFUNCTION("""COMPUTED_VALUE"""),4.3)</f>
        <v>4.3</v>
      </c>
      <c r="J291" s="200">
        <f>IFERROR(__xludf.DUMMYFUNCTION("""COMPUTED_VALUE"""),78.0)</f>
        <v>78</v>
      </c>
      <c r="K291" s="200">
        <f>IFERROR(__xludf.DUMMYFUNCTION("""COMPUTED_VALUE"""),10.0)</f>
        <v>10</v>
      </c>
      <c r="L291" s="201" t="str">
        <f>IFERROR(__xludf.DUMMYFUNCTION("""COMPUTED_VALUE"""),"Adventure")</f>
        <v>Adventure</v>
      </c>
    </row>
    <row r="292">
      <c r="A292" s="190" t="str">
        <f>IFERROR(__xludf.DUMMYFUNCTION("""COMPUTED_VALUE"""),"Warhammer 40,000: Darktide")</f>
        <v>Warhammer 40,000: Darktide</v>
      </c>
      <c r="B292" s="195" t="str">
        <f>IFERROR(__xludf.DUMMYFUNCTION("""COMPUTED_VALUE"""),"Xbox / PC")</f>
        <v>Xbox / PC</v>
      </c>
      <c r="C292" s="196" t="str">
        <f>IFERROR(__xludf.DUMMYFUNCTION("""COMPUTED_VALUE"""),"Yes")</f>
        <v>Yes</v>
      </c>
      <c r="D292" s="196" t="str">
        <f>IFERROR(__xludf.DUMMYFUNCTION("""COMPUTED_VALUE"""),"Active")</f>
        <v>Active</v>
      </c>
      <c r="E292" s="197">
        <f>IFERROR(__xludf.DUMMYFUNCTION("""COMPUTED_VALUE"""),44895.0)</f>
        <v>44895</v>
      </c>
      <c r="F292" s="198"/>
      <c r="G292" s="199">
        <f>IFERROR(__xludf.DUMMYFUNCTION("""COMPUTED_VALUE"""),34.5)</f>
        <v>34.5</v>
      </c>
      <c r="H292" s="197">
        <f>IFERROR(__xludf.DUMMYFUNCTION("""COMPUTED_VALUE"""),44895.0)</f>
        <v>44895</v>
      </c>
      <c r="I292" s="199">
        <f>IFERROR(__xludf.DUMMYFUNCTION("""COMPUTED_VALUE"""),0.0)</f>
        <v>0</v>
      </c>
      <c r="J292" s="200">
        <f>IFERROR(__xludf.DUMMYFUNCTION("""COMPUTED_VALUE"""),78.0)</f>
        <v>78</v>
      </c>
      <c r="K292" s="200">
        <f>IFERROR(__xludf.DUMMYFUNCTION("""COMPUTED_VALUE"""),41.0)</f>
        <v>41</v>
      </c>
      <c r="L292" s="201" t="str">
        <f>IFERROR(__xludf.DUMMYFUNCTION("""COMPUTED_VALUE"""),"Action")</f>
        <v>Action</v>
      </c>
    </row>
    <row r="293">
      <c r="A293" s="190" t="str">
        <f>IFERROR(__xludf.DUMMYFUNCTION("""COMPUTED_VALUE"""),"As Dusk Falls")</f>
        <v>As Dusk Falls</v>
      </c>
      <c r="B293" s="195" t="str">
        <f>IFERROR(__xludf.DUMMYFUNCTION("""COMPUTED_VALUE"""),"Xbox / PC")</f>
        <v>Xbox / PC</v>
      </c>
      <c r="C293" s="196" t="str">
        <f>IFERROR(__xludf.DUMMYFUNCTION("""COMPUTED_VALUE"""),"Touch Controls")</f>
        <v>Touch Controls</v>
      </c>
      <c r="D293" s="196" t="str">
        <f>IFERROR(__xludf.DUMMYFUNCTION("""COMPUTED_VALUE"""),"Active")</f>
        <v>Active</v>
      </c>
      <c r="E293" s="197">
        <f>IFERROR(__xludf.DUMMYFUNCTION("""COMPUTED_VALUE"""),44761.0)</f>
        <v>44761</v>
      </c>
      <c r="F293" s="198"/>
      <c r="G293" s="199">
        <f>IFERROR(__xludf.DUMMYFUNCTION("""COMPUTED_VALUE"""),38.86666666666667)</f>
        <v>38.86666667</v>
      </c>
      <c r="H293" s="197">
        <f>IFERROR(__xludf.DUMMYFUNCTION("""COMPUTED_VALUE"""),44761.0)</f>
        <v>44761</v>
      </c>
      <c r="I293" s="199">
        <f>IFERROR(__xludf.DUMMYFUNCTION("""COMPUTED_VALUE"""),0.0)</f>
        <v>0</v>
      </c>
      <c r="J293" s="200">
        <f>IFERROR(__xludf.DUMMYFUNCTION("""COMPUTED_VALUE"""),78.0)</f>
        <v>78</v>
      </c>
      <c r="K293" s="200">
        <f>IFERROR(__xludf.DUMMYFUNCTION("""COMPUTED_VALUE"""),6.0)</f>
        <v>6</v>
      </c>
      <c r="L293" s="201" t="str">
        <f>IFERROR(__xludf.DUMMYFUNCTION("""COMPUTED_VALUE"""),"Adventure")</f>
        <v>Adventure</v>
      </c>
    </row>
    <row r="294">
      <c r="A294" s="190" t="str">
        <f>IFERROR(__xludf.DUMMYFUNCTION("""COMPUTED_VALUE"""),"Watch_Dogs 2")</f>
        <v>Watch_Dogs 2</v>
      </c>
      <c r="B294" s="195" t="str">
        <f>IFERROR(__xludf.DUMMYFUNCTION("""COMPUTED_VALUE"""),"Xbox / PC")</f>
        <v>Xbox / PC</v>
      </c>
      <c r="C294" s="196" t="str">
        <f>IFERROR(__xludf.DUMMYFUNCTION("""COMPUTED_VALUE"""),"Yes")</f>
        <v>Yes</v>
      </c>
      <c r="D294" s="196" t="str">
        <f>IFERROR(__xludf.DUMMYFUNCTION("""COMPUTED_VALUE"""),"Active")</f>
        <v>Active</v>
      </c>
      <c r="E294" s="197">
        <f>IFERROR(__xludf.DUMMYFUNCTION("""COMPUTED_VALUE"""),44761.0)</f>
        <v>44761</v>
      </c>
      <c r="F294" s="198"/>
      <c r="G294" s="199">
        <f>IFERROR(__xludf.DUMMYFUNCTION("""COMPUTED_VALUE"""),38.86666666666667)</f>
        <v>38.86666667</v>
      </c>
      <c r="H294" s="197">
        <f>IFERROR(__xludf.DUMMYFUNCTION("""COMPUTED_VALUE"""),42689.0)</f>
        <v>42689</v>
      </c>
      <c r="I294" s="199">
        <f>IFERROR(__xludf.DUMMYFUNCTION("""COMPUTED_VALUE"""),5.677777777777778)</f>
        <v>5.677777778</v>
      </c>
      <c r="J294" s="200">
        <f>IFERROR(__xludf.DUMMYFUNCTION("""COMPUTED_VALUE"""),78.0)</f>
        <v>78</v>
      </c>
      <c r="K294" s="200">
        <f>IFERROR(__xludf.DUMMYFUNCTION("""COMPUTED_VALUE"""),19.0)</f>
        <v>19</v>
      </c>
      <c r="L294" s="201" t="str">
        <f>IFERROR(__xludf.DUMMYFUNCTION("""COMPUTED_VALUE"""),"Driving/Racing / Shooter / Action-Adventure")</f>
        <v>Driving/Racing / Shooter / Action-Adventure</v>
      </c>
    </row>
    <row r="295">
      <c r="A295" s="190" t="str">
        <f>IFERROR(__xludf.DUMMYFUNCTION("""COMPUTED_VALUE"""),"Need for Speed: Most Wanted")</f>
        <v>Need for Speed: Most Wanted</v>
      </c>
      <c r="B295" s="195" t="str">
        <f>IFERROR(__xludf.DUMMYFUNCTION("""COMPUTED_VALUE"""),"PC")</f>
        <v>PC</v>
      </c>
      <c r="C295" s="196"/>
      <c r="D295" s="196" t="str">
        <f>IFERROR(__xludf.DUMMYFUNCTION("""COMPUTED_VALUE"""),"Active")</f>
        <v>Active</v>
      </c>
      <c r="E295" s="197">
        <f>IFERROR(__xludf.DUMMYFUNCTION("""COMPUTED_VALUE"""),44273.0)</f>
        <v>44273</v>
      </c>
      <c r="F295" s="198"/>
      <c r="G295" s="199">
        <f>IFERROR(__xludf.DUMMYFUNCTION("""COMPUTED_VALUE"""),54.900000000000006)</f>
        <v>54.9</v>
      </c>
      <c r="H295" s="197">
        <f>IFERROR(__xludf.DUMMYFUNCTION("""COMPUTED_VALUE"""),41212.0)</f>
        <v>41212</v>
      </c>
      <c r="I295" s="199">
        <f>IFERROR(__xludf.DUMMYFUNCTION("""COMPUTED_VALUE"""),8.383333333333333)</f>
        <v>8.383333333</v>
      </c>
      <c r="J295" s="200">
        <f>IFERROR(__xludf.DUMMYFUNCTION("""COMPUTED_VALUE"""),78.0)</f>
        <v>78</v>
      </c>
      <c r="K295" s="200">
        <f>IFERROR(__xludf.DUMMYFUNCTION("""COMPUTED_VALUE"""),10.0)</f>
        <v>10</v>
      </c>
      <c r="L295" s="201" t="str">
        <f>IFERROR(__xludf.DUMMYFUNCTION("""COMPUTED_VALUE"""),"Driving/Racing")</f>
        <v>Driving/Racing</v>
      </c>
    </row>
    <row r="296">
      <c r="A296" s="190" t="str">
        <f>IFERROR(__xludf.DUMMYFUNCTION("""COMPUTED_VALUE"""),"Battlefield V: Year Two Edition")</f>
        <v>Battlefield V: Year Two Edition</v>
      </c>
      <c r="B296" s="195" t="str">
        <f>IFERROR(__xludf.DUMMYFUNCTION("""COMPUTED_VALUE"""),"Xbox / PC")</f>
        <v>Xbox / PC</v>
      </c>
      <c r="C296" s="196" t="str">
        <f>IFERROR(__xludf.DUMMYFUNCTION("""COMPUTED_VALUE"""),"Yes")</f>
        <v>Yes</v>
      </c>
      <c r="D296" s="196" t="str">
        <f>IFERROR(__xludf.DUMMYFUNCTION("""COMPUTED_VALUE"""),"Active")</f>
        <v>Active</v>
      </c>
      <c r="E296" s="197">
        <f>IFERROR(__xludf.DUMMYFUNCTION("""COMPUTED_VALUE"""),44145.0)</f>
        <v>44145</v>
      </c>
      <c r="F296" s="198"/>
      <c r="G296" s="199">
        <f>IFERROR(__xludf.DUMMYFUNCTION("""COMPUTED_VALUE"""),59.166666666666664)</f>
        <v>59.16666667</v>
      </c>
      <c r="H296" s="197">
        <f>IFERROR(__xludf.DUMMYFUNCTION("""COMPUTED_VALUE"""),43419.0)</f>
        <v>43419</v>
      </c>
      <c r="I296" s="199">
        <f>IFERROR(__xludf.DUMMYFUNCTION("""COMPUTED_VALUE"""),1.9861111111111112)</f>
        <v>1.986111111</v>
      </c>
      <c r="J296" s="200">
        <f>IFERROR(__xludf.DUMMYFUNCTION("""COMPUTED_VALUE"""),78.0)</f>
        <v>78</v>
      </c>
      <c r="K296" s="200">
        <f>IFERROR(__xludf.DUMMYFUNCTION("""COMPUTED_VALUE"""),6.0)</f>
        <v>6</v>
      </c>
      <c r="L296" s="201" t="str">
        <f>IFERROR(__xludf.DUMMYFUNCTION("""COMPUTED_VALUE"""),"Action / First-Person Shooter")</f>
        <v>Action / First-Person Shooter</v>
      </c>
    </row>
    <row r="297">
      <c r="A297" s="190" t="str">
        <f>IFERROR(__xludf.DUMMYFUNCTION("""COMPUTED_VALUE"""),"Dead Space 3")</f>
        <v>Dead Space 3</v>
      </c>
      <c r="B297" s="195" t="str">
        <f>IFERROR(__xludf.DUMMYFUNCTION("""COMPUTED_VALUE"""),"Xbox / PC")</f>
        <v>Xbox / PC</v>
      </c>
      <c r="C297" s="196" t="str">
        <f>IFERROR(__xludf.DUMMYFUNCTION("""COMPUTED_VALUE"""),"Yes")</f>
        <v>Yes</v>
      </c>
      <c r="D297" s="196" t="str">
        <f>IFERROR(__xludf.DUMMYFUNCTION("""COMPUTED_VALUE"""),"Active")</f>
        <v>Active</v>
      </c>
      <c r="E297" s="197">
        <f>IFERROR(__xludf.DUMMYFUNCTION("""COMPUTED_VALUE"""),44145.0)</f>
        <v>44145</v>
      </c>
      <c r="F297" s="198"/>
      <c r="G297" s="199">
        <f>IFERROR(__xludf.DUMMYFUNCTION("""COMPUTED_VALUE"""),59.166666666666664)</f>
        <v>59.16666667</v>
      </c>
      <c r="H297" s="197">
        <f>IFERROR(__xludf.DUMMYFUNCTION("""COMPUTED_VALUE"""),41310.0)</f>
        <v>41310</v>
      </c>
      <c r="I297" s="199">
        <f>IFERROR(__xludf.DUMMYFUNCTION("""COMPUTED_VALUE"""),7.763888888888889)</f>
        <v>7.763888889</v>
      </c>
      <c r="J297" s="200">
        <f>IFERROR(__xludf.DUMMYFUNCTION("""COMPUTED_VALUE"""),78.0)</f>
        <v>78</v>
      </c>
      <c r="K297" s="200">
        <f>IFERROR(__xludf.DUMMYFUNCTION("""COMPUTED_VALUE"""),13.0)</f>
        <v>13</v>
      </c>
      <c r="L297" s="201" t="str">
        <f>IFERROR(__xludf.DUMMYFUNCTION("""COMPUTED_VALUE"""),"Action / Shooter")</f>
        <v>Action / Shooter</v>
      </c>
    </row>
    <row r="298">
      <c r="A298" s="190" t="str">
        <f>IFERROR(__xludf.DUMMYFUNCTION("""COMPUTED_VALUE"""),"BattleTech")</f>
        <v>BattleTech</v>
      </c>
      <c r="B298" s="195" t="str">
        <f>IFERROR(__xludf.DUMMYFUNCTION("""COMPUTED_VALUE"""),"PC")</f>
        <v>PC</v>
      </c>
      <c r="C298" s="196"/>
      <c r="D298" s="196" t="str">
        <f>IFERROR(__xludf.DUMMYFUNCTION("""COMPUTED_VALUE"""),"Active")</f>
        <v>Active</v>
      </c>
      <c r="E298" s="197">
        <f>IFERROR(__xludf.DUMMYFUNCTION("""COMPUTED_VALUE"""),43993.0)</f>
        <v>43993</v>
      </c>
      <c r="F298" s="198"/>
      <c r="G298" s="199">
        <f>IFERROR(__xludf.DUMMYFUNCTION("""COMPUTED_VALUE"""),64.13333333333333)</f>
        <v>64.13333333</v>
      </c>
      <c r="H298" s="197">
        <f>IFERROR(__xludf.DUMMYFUNCTION("""COMPUTED_VALUE"""),43214.0)</f>
        <v>43214</v>
      </c>
      <c r="I298" s="199">
        <f>IFERROR(__xludf.DUMMYFUNCTION("""COMPUTED_VALUE"""),2.1305555555555555)</f>
        <v>2.130555556</v>
      </c>
      <c r="J298" s="200">
        <f>IFERROR(__xludf.DUMMYFUNCTION("""COMPUTED_VALUE"""),78.0)</f>
        <v>78</v>
      </c>
      <c r="K298" s="200">
        <f>IFERROR(__xludf.DUMMYFUNCTION("""COMPUTED_VALUE"""),54.0)</f>
        <v>54</v>
      </c>
      <c r="L298" s="201" t="str">
        <f>IFERROR(__xludf.DUMMYFUNCTION("""COMPUTED_VALUE"""),"Strategy / RPG")</f>
        <v>Strategy / RPG</v>
      </c>
    </row>
    <row r="299" ht="13.5" customHeight="1">
      <c r="A299" s="190" t="str">
        <f>IFERROR(__xludf.DUMMYFUNCTION("""COMPUTED_VALUE"""),"State of Decay 2: Juggernaut Edition")</f>
        <v>State of Decay 2: Juggernaut Edition</v>
      </c>
      <c r="B299" s="195" t="str">
        <f>IFERROR(__xludf.DUMMYFUNCTION("""COMPUTED_VALUE"""),"Xbox / PC")</f>
        <v>Xbox / PC</v>
      </c>
      <c r="C299" s="196" t="str">
        <f>IFERROR(__xludf.DUMMYFUNCTION("""COMPUTED_VALUE"""),"M+KB")</f>
        <v>M+KB</v>
      </c>
      <c r="D299" s="196" t="str">
        <f>IFERROR(__xludf.DUMMYFUNCTION("""COMPUTED_VALUE"""),"Active")</f>
        <v>Active</v>
      </c>
      <c r="E299" s="197">
        <f>IFERROR(__xludf.DUMMYFUNCTION("""COMPUTED_VALUE"""),43242.0)</f>
        <v>43242</v>
      </c>
      <c r="F299" s="198"/>
      <c r="G299" s="199">
        <f>IFERROR(__xludf.DUMMYFUNCTION("""COMPUTED_VALUE"""),88.76666666666667)</f>
        <v>88.76666667</v>
      </c>
      <c r="H299" s="197">
        <f>IFERROR(__xludf.DUMMYFUNCTION("""COMPUTED_VALUE"""),43238.0)</f>
        <v>43238</v>
      </c>
      <c r="I299" s="199">
        <f>IFERROR(__xludf.DUMMYFUNCTION("""COMPUTED_VALUE"""),0.011111111111111112)</f>
        <v>0.01111111111</v>
      </c>
      <c r="J299" s="200">
        <f>IFERROR(__xludf.DUMMYFUNCTION("""COMPUTED_VALUE"""),78.0)</f>
        <v>78</v>
      </c>
      <c r="K299" s="200">
        <f>IFERROR(__xludf.DUMMYFUNCTION("""COMPUTED_VALUE"""),36.5)</f>
        <v>36.5</v>
      </c>
      <c r="L299" s="201" t="str">
        <f>IFERROR(__xludf.DUMMYFUNCTION("""COMPUTED_VALUE"""),"Action-Adventure")</f>
        <v>Action-Adventure</v>
      </c>
    </row>
    <row r="300">
      <c r="A300" s="190" t="str">
        <f>IFERROR(__xludf.DUMMYFUNCTION("""COMPUTED_VALUE"""),"For Honor: Marching Fire Edition")</f>
        <v>For Honor: Marching Fire Edition</v>
      </c>
      <c r="B300" s="195" t="str">
        <f>IFERROR(__xludf.DUMMYFUNCTION("""COMPUTED_VALUE"""),"Xbox / PC")</f>
        <v>Xbox / PC</v>
      </c>
      <c r="C300" s="196" t="str">
        <f>IFERROR(__xludf.DUMMYFUNCTION("""COMPUTED_VALUE"""),"Yes")</f>
        <v>Yes</v>
      </c>
      <c r="D300" s="196" t="str">
        <f>IFERROR(__xludf.DUMMYFUNCTION("""COMPUTED_VALUE"""),"Active")</f>
        <v>Active</v>
      </c>
      <c r="E300" s="197">
        <f>IFERROR(__xludf.DUMMYFUNCTION("""COMPUTED_VALUE"""),44350.0)</f>
        <v>44350</v>
      </c>
      <c r="F300" s="198"/>
      <c r="G300" s="199">
        <f>IFERROR(__xludf.DUMMYFUNCTION("""COMPUTED_VALUE"""),52.39999999999999)</f>
        <v>52.4</v>
      </c>
      <c r="H300" s="197">
        <f>IFERROR(__xludf.DUMMYFUNCTION("""COMPUTED_VALUE"""),43083.0)</f>
        <v>43083</v>
      </c>
      <c r="I300" s="199">
        <f>IFERROR(__xludf.DUMMYFUNCTION("""COMPUTED_VALUE"""),3.4694444444444446)</f>
        <v>3.469444444</v>
      </c>
      <c r="J300" s="200">
        <f>IFERROR(__xludf.DUMMYFUNCTION("""COMPUTED_VALUE"""),77.5)</f>
        <v>77.5</v>
      </c>
      <c r="K300" s="200">
        <f>IFERROR(__xludf.DUMMYFUNCTION("""COMPUTED_VALUE"""),7.0)</f>
        <v>7</v>
      </c>
      <c r="L300" s="201" t="str">
        <f>IFERROR(__xludf.DUMMYFUNCTION("""COMPUTED_VALUE"""),"Action / Strategy / Fighting / MOBA")</f>
        <v>Action / Strategy / Fighting / MOBA</v>
      </c>
    </row>
    <row r="301">
      <c r="A301" s="190" t="str">
        <f>IFERROR(__xludf.DUMMYFUNCTION("""COMPUTED_VALUE"""),"Valiant Hearts: The Great War")</f>
        <v>Valiant Hearts: The Great War</v>
      </c>
      <c r="B301" s="195" t="str">
        <f>IFERROR(__xludf.DUMMYFUNCTION("""COMPUTED_VALUE"""),"Xbox / PC")</f>
        <v>Xbox / PC</v>
      </c>
      <c r="C301" s="196" t="str">
        <f>IFERROR(__xludf.DUMMYFUNCTION("""COMPUTED_VALUE"""),"Yes")</f>
        <v>Yes</v>
      </c>
      <c r="D301" s="196" t="str">
        <f>IFERROR(__xludf.DUMMYFUNCTION("""COMPUTED_VALUE"""),"Active")</f>
        <v>Active</v>
      </c>
      <c r="E301" s="197">
        <f>IFERROR(__xludf.DUMMYFUNCTION("""COMPUTED_VALUE"""),45931.0)</f>
        <v>45931</v>
      </c>
      <c r="F301" s="198"/>
      <c r="G301" s="199">
        <f>IFERROR(__xludf.DUMMYFUNCTION("""COMPUTED_VALUE"""),0.4666666666666667)</f>
        <v>0.4666666667</v>
      </c>
      <c r="H301" s="197">
        <f>IFERROR(__xludf.DUMMYFUNCTION("""COMPUTED_VALUE"""),41814.0)</f>
        <v>41814</v>
      </c>
      <c r="I301" s="199">
        <f>IFERROR(__xludf.DUMMYFUNCTION("""COMPUTED_VALUE"""),11.269444444444444)</f>
        <v>11.26944444</v>
      </c>
      <c r="J301" s="200">
        <f>IFERROR(__xludf.DUMMYFUNCTION("""COMPUTED_VALUE"""),77.0)</f>
        <v>77</v>
      </c>
      <c r="K301" s="200">
        <f>IFERROR(__xludf.DUMMYFUNCTION("""COMPUTED_VALUE"""),7.0)</f>
        <v>7</v>
      </c>
      <c r="L301" s="201" t="str">
        <f>IFERROR(__xludf.DUMMYFUNCTION("""COMPUTED_VALUE"""),"Platformer")</f>
        <v>Platformer</v>
      </c>
    </row>
    <row r="302">
      <c r="A302" s="190" t="str">
        <f>IFERROR(__xludf.DUMMYFUNCTION("""COMPUTED_VALUE"""),"Herdling")</f>
        <v>Herdling</v>
      </c>
      <c r="B302" s="195" t="str">
        <f>IFERROR(__xludf.DUMMYFUNCTION("""COMPUTED_VALUE"""),"Xbox / PC")</f>
        <v>Xbox / PC</v>
      </c>
      <c r="C302" s="196" t="str">
        <f>IFERROR(__xludf.DUMMYFUNCTION("""COMPUTED_VALUE"""),"Yes")</f>
        <v>Yes</v>
      </c>
      <c r="D302" s="196" t="str">
        <f>IFERROR(__xludf.DUMMYFUNCTION("""COMPUTED_VALUE"""),"Active")</f>
        <v>Active</v>
      </c>
      <c r="E302" s="197">
        <f>IFERROR(__xludf.DUMMYFUNCTION("""COMPUTED_VALUE"""),45890.0)</f>
        <v>45890</v>
      </c>
      <c r="F302" s="198"/>
      <c r="G302" s="199">
        <f>IFERROR(__xludf.DUMMYFUNCTION("""COMPUTED_VALUE"""),1.7999999999999998)</f>
        <v>1.8</v>
      </c>
      <c r="H302" s="197">
        <f>IFERROR(__xludf.DUMMYFUNCTION("""COMPUTED_VALUE"""),45890.0)</f>
        <v>45890</v>
      </c>
      <c r="I302" s="199">
        <f>IFERROR(__xludf.DUMMYFUNCTION("""COMPUTED_VALUE"""),0.0)</f>
        <v>0</v>
      </c>
      <c r="J302" s="200">
        <f>IFERROR(__xludf.DUMMYFUNCTION("""COMPUTED_VALUE"""),77.0)</f>
        <v>77</v>
      </c>
      <c r="K302" s="200">
        <f>IFERROR(__xludf.DUMMYFUNCTION("""COMPUTED_VALUE"""),4.0)</f>
        <v>4</v>
      </c>
      <c r="L302" s="201" t="str">
        <f>IFERROR(__xludf.DUMMYFUNCTION("""COMPUTED_VALUE"""),"Action-Adventure")</f>
        <v>Action-Adventure</v>
      </c>
    </row>
    <row r="303">
      <c r="A303" s="190" t="str">
        <f>IFERROR(__xludf.DUMMYFUNCTION("""COMPUTED_VALUE"""),"Revenge of the Savage Planet")</f>
        <v>Revenge of the Savage Planet</v>
      </c>
      <c r="B303" s="195" t="str">
        <f>IFERROR(__xludf.DUMMYFUNCTION("""COMPUTED_VALUE"""),"Xbox / PC")</f>
        <v>Xbox / PC</v>
      </c>
      <c r="C303" s="196" t="str">
        <f>IFERROR(__xludf.DUMMYFUNCTION("""COMPUTED_VALUE"""),"Yes")</f>
        <v>Yes</v>
      </c>
      <c r="D303" s="196" t="str">
        <f>IFERROR(__xludf.DUMMYFUNCTION("""COMPUTED_VALUE"""),"Active")</f>
        <v>Active</v>
      </c>
      <c r="E303" s="197">
        <f>IFERROR(__xludf.DUMMYFUNCTION("""COMPUTED_VALUE"""),45785.0)</f>
        <v>45785</v>
      </c>
      <c r="F303" s="198"/>
      <c r="G303" s="199">
        <f>IFERROR(__xludf.DUMMYFUNCTION("""COMPUTED_VALUE"""),5.233333333333333)</f>
        <v>5.233333333</v>
      </c>
      <c r="H303" s="197">
        <f>IFERROR(__xludf.DUMMYFUNCTION("""COMPUTED_VALUE"""),45785.0)</f>
        <v>45785</v>
      </c>
      <c r="I303" s="199">
        <f>IFERROR(__xludf.DUMMYFUNCTION("""COMPUTED_VALUE"""),0.0)</f>
        <v>0</v>
      </c>
      <c r="J303" s="200">
        <f>IFERROR(__xludf.DUMMYFUNCTION("""COMPUTED_VALUE"""),77.0)</f>
        <v>77</v>
      </c>
      <c r="K303" s="200">
        <f>IFERROR(__xludf.DUMMYFUNCTION("""COMPUTED_VALUE"""),9.0)</f>
        <v>9</v>
      </c>
      <c r="L303" s="201" t="str">
        <f>IFERROR(__xludf.DUMMYFUNCTION("""COMPUTED_VALUE"""),"Action-Adventure")</f>
        <v>Action-Adventure</v>
      </c>
    </row>
    <row r="304">
      <c r="A304" s="190" t="str">
        <f>IFERROR(__xludf.DUMMYFUNCTION("""COMPUTED_VALUE"""),"South of Midnight")</f>
        <v>South of Midnight</v>
      </c>
      <c r="B304" s="195" t="str">
        <f>IFERROR(__xludf.DUMMYFUNCTION("""COMPUTED_VALUE"""),"Xbox / PC")</f>
        <v>Xbox / PC</v>
      </c>
      <c r="C304" s="196"/>
      <c r="D304" s="196" t="str">
        <f>IFERROR(__xludf.DUMMYFUNCTION("""COMPUTED_VALUE"""),"Active")</f>
        <v>Active</v>
      </c>
      <c r="E304" s="197">
        <f>IFERROR(__xludf.DUMMYFUNCTION("""COMPUTED_VALUE"""),45755.0)</f>
        <v>45755</v>
      </c>
      <c r="F304" s="198"/>
      <c r="G304" s="199">
        <f>IFERROR(__xludf.DUMMYFUNCTION("""COMPUTED_VALUE"""),6.233333333333334)</f>
        <v>6.233333333</v>
      </c>
      <c r="H304" s="197">
        <f>IFERROR(__xludf.DUMMYFUNCTION("""COMPUTED_VALUE"""),45755.0)</f>
        <v>45755</v>
      </c>
      <c r="I304" s="199">
        <f>IFERROR(__xludf.DUMMYFUNCTION("""COMPUTED_VALUE"""),0.0)</f>
        <v>0</v>
      </c>
      <c r="J304" s="200">
        <f>IFERROR(__xludf.DUMMYFUNCTION("""COMPUTED_VALUE"""),77.0)</f>
        <v>77</v>
      </c>
      <c r="K304" s="200">
        <f>IFERROR(__xludf.DUMMYFUNCTION("""COMPUTED_VALUE"""),10.0)</f>
        <v>10</v>
      </c>
      <c r="L304" s="201" t="str">
        <f>IFERROR(__xludf.DUMMYFUNCTION("""COMPUTED_VALUE"""),"Action-Adventure")</f>
        <v>Action-Adventure</v>
      </c>
    </row>
    <row r="305">
      <c r="A305" s="190" t="str">
        <f>IFERROR(__xludf.DUMMYFUNCTION("""COMPUTED_VALUE"""),"Train Sim World 5")</f>
        <v>Train Sim World 5</v>
      </c>
      <c r="B305" s="195" t="str">
        <f>IFERROR(__xludf.DUMMYFUNCTION("""COMPUTED_VALUE"""),"Xbox / PC")</f>
        <v>Xbox / PC</v>
      </c>
      <c r="C305" s="196" t="str">
        <f>IFERROR(__xludf.DUMMYFUNCTION("""COMPUTED_VALUE"""),"Yes")</f>
        <v>Yes</v>
      </c>
      <c r="D305" s="196" t="str">
        <f>IFERROR(__xludf.DUMMYFUNCTION("""COMPUTED_VALUE"""),"Active")</f>
        <v>Active</v>
      </c>
      <c r="E305" s="197">
        <f>IFERROR(__xludf.DUMMYFUNCTION("""COMPUTED_VALUE"""),45552.0)</f>
        <v>45552</v>
      </c>
      <c r="F305" s="198"/>
      <c r="G305" s="199">
        <f>IFERROR(__xludf.DUMMYFUNCTION("""COMPUTED_VALUE"""),12.933333333333334)</f>
        <v>12.93333333</v>
      </c>
      <c r="H305" s="197">
        <f>IFERROR(__xludf.DUMMYFUNCTION("""COMPUTED_VALUE"""),45195.0)</f>
        <v>45195</v>
      </c>
      <c r="I305" s="199">
        <f>IFERROR(__xludf.DUMMYFUNCTION("""COMPUTED_VALUE"""),0.975)</f>
        <v>0.975</v>
      </c>
      <c r="J305" s="200">
        <f>IFERROR(__xludf.DUMMYFUNCTION("""COMPUTED_VALUE"""),77.0)</f>
        <v>77</v>
      </c>
      <c r="K305" s="200"/>
      <c r="L305" s="201" t="str">
        <f>IFERROR(__xludf.DUMMYFUNCTION("""COMPUTED_VALUE"""),"Simulation")</f>
        <v>Simulation</v>
      </c>
    </row>
    <row r="306">
      <c r="A306" s="190" t="str">
        <f>IFERROR(__xludf.DUMMYFUNCTION("""COMPUTED_VALUE"""),"Riders Republic")</f>
        <v>Riders Republic</v>
      </c>
      <c r="B306" s="195" t="str">
        <f>IFERROR(__xludf.DUMMYFUNCTION("""COMPUTED_VALUE"""),"Xbox / PC")</f>
        <v>Xbox / PC</v>
      </c>
      <c r="C306" s="196" t="str">
        <f>IFERROR(__xludf.DUMMYFUNCTION("""COMPUTED_VALUE"""),"Yes")</f>
        <v>Yes</v>
      </c>
      <c r="D306" s="196" t="str">
        <f>IFERROR(__xludf.DUMMYFUNCTION("""COMPUTED_VALUE"""),"Active")</f>
        <v>Active</v>
      </c>
      <c r="E306" s="197">
        <f>IFERROR(__xludf.DUMMYFUNCTION("""COMPUTED_VALUE"""),45546.0)</f>
        <v>45546</v>
      </c>
      <c r="F306" s="198"/>
      <c r="G306" s="199">
        <f>IFERROR(__xludf.DUMMYFUNCTION("""COMPUTED_VALUE"""),13.133333333333335)</f>
        <v>13.13333333</v>
      </c>
      <c r="H306" s="197">
        <f>IFERROR(__xludf.DUMMYFUNCTION("""COMPUTED_VALUE"""),44497.0)</f>
        <v>44497</v>
      </c>
      <c r="I306" s="199">
        <f>IFERROR(__xludf.DUMMYFUNCTION("""COMPUTED_VALUE"""),2.8694444444444445)</f>
        <v>2.869444444</v>
      </c>
      <c r="J306" s="200">
        <f>IFERROR(__xludf.DUMMYFUNCTION("""COMPUTED_VALUE"""),77.0)</f>
        <v>77</v>
      </c>
      <c r="K306" s="200">
        <f>IFERROR(__xludf.DUMMYFUNCTION("""COMPUTED_VALUE"""),18.0)</f>
        <v>18</v>
      </c>
      <c r="L306" s="201" t="str">
        <f>IFERROR(__xludf.DUMMYFUNCTION("""COMPUTED_VALUE"""),"Sports")</f>
        <v>Sports</v>
      </c>
    </row>
    <row r="307">
      <c r="A307" s="190" t="str">
        <f>IFERROR(__xludf.DUMMYFUNCTION("""COMPUTED_VALUE"""),"Expeditions: A MudRunner Game")</f>
        <v>Expeditions: A MudRunner Game</v>
      </c>
      <c r="B307" s="195" t="str">
        <f>IFERROR(__xludf.DUMMYFUNCTION("""COMPUTED_VALUE"""),"Xbox / PC")</f>
        <v>Xbox / PC</v>
      </c>
      <c r="C307" s="196" t="str">
        <f>IFERROR(__xludf.DUMMYFUNCTION("""COMPUTED_VALUE"""),"Yes")</f>
        <v>Yes</v>
      </c>
      <c r="D307" s="196" t="str">
        <f>IFERROR(__xludf.DUMMYFUNCTION("""COMPUTED_VALUE"""),"Active")</f>
        <v>Active</v>
      </c>
      <c r="E307" s="197">
        <f>IFERROR(__xludf.DUMMYFUNCTION("""COMPUTED_VALUE"""),45540.0)</f>
        <v>45540</v>
      </c>
      <c r="F307" s="198"/>
      <c r="G307" s="199">
        <f>IFERROR(__xludf.DUMMYFUNCTION("""COMPUTED_VALUE"""),13.333333333333334)</f>
        <v>13.33333333</v>
      </c>
      <c r="H307" s="197">
        <f>IFERROR(__xludf.DUMMYFUNCTION("""COMPUTED_VALUE"""),45356.0)</f>
        <v>45356</v>
      </c>
      <c r="I307" s="199">
        <f>IFERROR(__xludf.DUMMYFUNCTION("""COMPUTED_VALUE"""),0.5)</f>
        <v>0.5</v>
      </c>
      <c r="J307" s="200">
        <f>IFERROR(__xludf.DUMMYFUNCTION("""COMPUTED_VALUE"""),77.0)</f>
        <v>77</v>
      </c>
      <c r="K307" s="200">
        <f>IFERROR(__xludf.DUMMYFUNCTION("""COMPUTED_VALUE"""),50.0)</f>
        <v>50</v>
      </c>
      <c r="L307" s="201" t="str">
        <f>IFERROR(__xludf.DUMMYFUNCTION("""COMPUTED_VALUE"""),"Simulation")</f>
        <v>Simulation</v>
      </c>
    </row>
    <row r="308">
      <c r="A308" s="190" t="str">
        <f>IFERROR(__xludf.DUMMYFUNCTION("""COMPUTED_VALUE"""),"Nickelodeon All-Star Brawl 2")</f>
        <v>Nickelodeon All-Star Brawl 2</v>
      </c>
      <c r="B308" s="195" t="str">
        <f>IFERROR(__xludf.DUMMYFUNCTION("""COMPUTED_VALUE"""),"Xbox / PC")</f>
        <v>Xbox / PC</v>
      </c>
      <c r="C308" s="196" t="str">
        <f>IFERROR(__xludf.DUMMYFUNCTION("""COMPUTED_VALUE"""),"Yes")</f>
        <v>Yes</v>
      </c>
      <c r="D308" s="196" t="str">
        <f>IFERROR(__xludf.DUMMYFUNCTION("""COMPUTED_VALUE"""),"Active")</f>
        <v>Active</v>
      </c>
      <c r="E308" s="197">
        <f>IFERROR(__xludf.DUMMYFUNCTION("""COMPUTED_VALUE"""),45476.0)</f>
        <v>45476</v>
      </c>
      <c r="F308" s="198"/>
      <c r="G308" s="199">
        <f>IFERROR(__xludf.DUMMYFUNCTION("""COMPUTED_VALUE"""),15.400000000000002)</f>
        <v>15.4</v>
      </c>
      <c r="H308" s="197">
        <f>IFERROR(__xludf.DUMMYFUNCTION("""COMPUTED_VALUE"""),45237.0)</f>
        <v>45237</v>
      </c>
      <c r="I308" s="199">
        <f>IFERROR(__xludf.DUMMYFUNCTION("""COMPUTED_VALUE"""),0.6555555555555556)</f>
        <v>0.6555555556</v>
      </c>
      <c r="J308" s="200">
        <f>IFERROR(__xludf.DUMMYFUNCTION("""COMPUTED_VALUE"""),77.0)</f>
        <v>77</v>
      </c>
      <c r="K308" s="200">
        <f>IFERROR(__xludf.DUMMYFUNCTION("""COMPUTED_VALUE"""),4.0)</f>
        <v>4</v>
      </c>
      <c r="L308" s="201" t="str">
        <f>IFERROR(__xludf.DUMMYFUNCTION("""COMPUTED_VALUE"""),"Fighting")</f>
        <v>Fighting</v>
      </c>
    </row>
    <row r="309">
      <c r="A309" s="190" t="str">
        <f>IFERROR(__xludf.DUMMYFUNCTION("""COMPUTED_VALUE"""),"SimCity 3000: Unlimited")</f>
        <v>SimCity 3000: Unlimited</v>
      </c>
      <c r="B309" s="195" t="str">
        <f>IFERROR(__xludf.DUMMYFUNCTION("""COMPUTED_VALUE"""),"PC")</f>
        <v>PC</v>
      </c>
      <c r="C309" s="196"/>
      <c r="D309" s="196" t="str">
        <f>IFERROR(__xludf.DUMMYFUNCTION("""COMPUTED_VALUE"""),"Active")</f>
        <v>Active</v>
      </c>
      <c r="E309" s="197">
        <f>IFERROR(__xludf.DUMMYFUNCTION("""COMPUTED_VALUE"""),45398.0)</f>
        <v>45398</v>
      </c>
      <c r="F309" s="198"/>
      <c r="G309" s="199">
        <f>IFERROR(__xludf.DUMMYFUNCTION("""COMPUTED_VALUE"""),17.96666666666667)</f>
        <v>17.96666667</v>
      </c>
      <c r="H309" s="197">
        <f>IFERROR(__xludf.DUMMYFUNCTION("""COMPUTED_VALUE"""),36662.0)</f>
        <v>36662</v>
      </c>
      <c r="I309" s="199">
        <f>IFERROR(__xludf.DUMMYFUNCTION("""COMPUTED_VALUE"""),23.916666666666668)</f>
        <v>23.91666667</v>
      </c>
      <c r="J309" s="200">
        <f>IFERROR(__xludf.DUMMYFUNCTION("""COMPUTED_VALUE"""),77.0)</f>
        <v>77</v>
      </c>
      <c r="K309" s="200">
        <f>IFERROR(__xludf.DUMMYFUNCTION("""COMPUTED_VALUE"""),4.0)</f>
        <v>4</v>
      </c>
      <c r="L309" s="201" t="str">
        <f>IFERROR(__xludf.DUMMYFUNCTION("""COMPUTED_VALUE"""),"Strategy")</f>
        <v>Strategy</v>
      </c>
    </row>
    <row r="310">
      <c r="A310" s="190" t="str">
        <f>IFERROR(__xludf.DUMMYFUNCTION("""COMPUTED_VALUE"""),"Need for Speed: Unbound")</f>
        <v>Need for Speed: Unbound</v>
      </c>
      <c r="B310" s="195" t="str">
        <f>IFERROR(__xludf.DUMMYFUNCTION("""COMPUTED_VALUE"""),"Xbox / PC")</f>
        <v>Xbox / PC</v>
      </c>
      <c r="C310" s="196" t="str">
        <f>IFERROR(__xludf.DUMMYFUNCTION("""COMPUTED_VALUE"""),"Yes")</f>
        <v>Yes</v>
      </c>
      <c r="D310" s="196" t="str">
        <f>IFERROR(__xludf.DUMMYFUNCTION("""COMPUTED_VALUE"""),"Active")</f>
        <v>Active</v>
      </c>
      <c r="E310" s="197">
        <f>IFERROR(__xludf.DUMMYFUNCTION("""COMPUTED_VALUE"""),45099.0)</f>
        <v>45099</v>
      </c>
      <c r="F310" s="198"/>
      <c r="G310" s="199">
        <f>IFERROR(__xludf.DUMMYFUNCTION("""COMPUTED_VALUE"""),27.76666666666667)</f>
        <v>27.76666667</v>
      </c>
      <c r="H310" s="197">
        <f>IFERROR(__xludf.DUMMYFUNCTION("""COMPUTED_VALUE"""),44894.0)</f>
        <v>44894</v>
      </c>
      <c r="I310" s="199">
        <f>IFERROR(__xludf.DUMMYFUNCTION("""COMPUTED_VALUE"""),0.5638888888888889)</f>
        <v>0.5638888889</v>
      </c>
      <c r="J310" s="200">
        <f>IFERROR(__xludf.DUMMYFUNCTION("""COMPUTED_VALUE"""),77.0)</f>
        <v>77</v>
      </c>
      <c r="K310" s="200">
        <f>IFERROR(__xludf.DUMMYFUNCTION("""COMPUTED_VALUE"""),23.0)</f>
        <v>23</v>
      </c>
      <c r="L310" s="201" t="str">
        <f>IFERROR(__xludf.DUMMYFUNCTION("""COMPUTED_VALUE"""),"Driving/Racing")</f>
        <v>Driving/Racing</v>
      </c>
    </row>
    <row r="311">
      <c r="A311" s="190" t="str">
        <f>IFERROR(__xludf.DUMMYFUNCTION("""COMPUTED_VALUE"""),"Sniper Elite 5")</f>
        <v>Sniper Elite 5</v>
      </c>
      <c r="B311" s="195" t="str">
        <f>IFERROR(__xludf.DUMMYFUNCTION("""COMPUTED_VALUE"""),"Xbox / PC")</f>
        <v>Xbox / PC</v>
      </c>
      <c r="C311" s="196" t="str">
        <f>IFERROR(__xludf.DUMMYFUNCTION("""COMPUTED_VALUE"""),"M+KB")</f>
        <v>M+KB</v>
      </c>
      <c r="D311" s="196" t="str">
        <f>IFERROR(__xludf.DUMMYFUNCTION("""COMPUTED_VALUE"""),"Active")</f>
        <v>Active</v>
      </c>
      <c r="E311" s="197">
        <f>IFERROR(__xludf.DUMMYFUNCTION("""COMPUTED_VALUE"""),44707.0)</f>
        <v>44707</v>
      </c>
      <c r="F311" s="198"/>
      <c r="G311" s="199">
        <f>IFERROR(__xludf.DUMMYFUNCTION("""COMPUTED_VALUE"""),40.63333333333333)</f>
        <v>40.63333333</v>
      </c>
      <c r="H311" s="197">
        <f>IFERROR(__xludf.DUMMYFUNCTION("""COMPUTED_VALUE"""),44707.0)</f>
        <v>44707</v>
      </c>
      <c r="I311" s="199">
        <f>IFERROR(__xludf.DUMMYFUNCTION("""COMPUTED_VALUE"""),0.0)</f>
        <v>0</v>
      </c>
      <c r="J311" s="200">
        <f>IFERROR(__xludf.DUMMYFUNCTION("""COMPUTED_VALUE"""),77.0)</f>
        <v>77</v>
      </c>
      <c r="K311" s="200">
        <f>IFERROR(__xludf.DUMMYFUNCTION("""COMPUTED_VALUE"""),9.0)</f>
        <v>9</v>
      </c>
      <c r="L311" s="201" t="str">
        <f>IFERROR(__xludf.DUMMYFUNCTION("""COMPUTED_VALUE"""),"Action / Shooter")</f>
        <v>Action / Shooter</v>
      </c>
    </row>
    <row r="312">
      <c r="A312" s="190" t="str">
        <f>IFERROR(__xludf.DUMMYFUNCTION("""COMPUTED_VALUE"""),"Broken Age")</f>
        <v>Broken Age</v>
      </c>
      <c r="B312" s="195" t="str">
        <f>IFERROR(__xludf.DUMMYFUNCTION("""COMPUTED_VALUE"""),"Xbox / PC")</f>
        <v>Xbox / PC</v>
      </c>
      <c r="C312" s="196" t="str">
        <f>IFERROR(__xludf.DUMMYFUNCTION("""COMPUTED_VALUE"""),"Touch Controls")</f>
        <v>Touch Controls</v>
      </c>
      <c r="D312" s="196" t="str">
        <f>IFERROR(__xludf.DUMMYFUNCTION("""COMPUTED_VALUE"""),"Active")</f>
        <v>Active</v>
      </c>
      <c r="E312" s="197">
        <f>IFERROR(__xludf.DUMMYFUNCTION("""COMPUTED_VALUE"""),44546.0)</f>
        <v>44546</v>
      </c>
      <c r="F312" s="198"/>
      <c r="G312" s="199">
        <f>IFERROR(__xludf.DUMMYFUNCTION("""COMPUTED_VALUE"""),45.96666666666667)</f>
        <v>45.96666667</v>
      </c>
      <c r="H312" s="197">
        <f>IFERROR(__xludf.DUMMYFUNCTION("""COMPUTED_VALUE"""),41653.0)</f>
        <v>41653</v>
      </c>
      <c r="I312" s="199">
        <f>IFERROR(__xludf.DUMMYFUNCTION("""COMPUTED_VALUE"""),7.9222222222222225)</f>
        <v>7.922222222</v>
      </c>
      <c r="J312" s="200">
        <f>IFERROR(__xludf.DUMMYFUNCTION("""COMPUTED_VALUE"""),77.0)</f>
        <v>77</v>
      </c>
      <c r="K312" s="200">
        <f>IFERROR(__xludf.DUMMYFUNCTION("""COMPUTED_VALUE"""),10.0)</f>
        <v>10</v>
      </c>
      <c r="L312" s="201" t="str">
        <f>IFERROR(__xludf.DUMMYFUNCTION("""COMPUTED_VALUE"""),"Adventure")</f>
        <v>Adventure</v>
      </c>
    </row>
    <row r="313">
      <c r="A313" s="190" t="str">
        <f>IFERROR(__xludf.DUMMYFUNCTION("""COMPUTED_VALUE"""),"Superliminal")</f>
        <v>Superliminal</v>
      </c>
      <c r="B313" s="195" t="str">
        <f>IFERROR(__xludf.DUMMYFUNCTION("""COMPUTED_VALUE"""),"Xbox / PC")</f>
        <v>Xbox / PC</v>
      </c>
      <c r="C313" s="196" t="str">
        <f>IFERROR(__xludf.DUMMYFUNCTION("""COMPUTED_VALUE"""),"Touch Controls")</f>
        <v>Touch Controls</v>
      </c>
      <c r="D313" s="196" t="str">
        <f>IFERROR(__xludf.DUMMYFUNCTION("""COMPUTED_VALUE"""),"Active")</f>
        <v>Active</v>
      </c>
      <c r="E313" s="197">
        <f>IFERROR(__xludf.DUMMYFUNCTION("""COMPUTED_VALUE"""),44455.0)</f>
        <v>44455</v>
      </c>
      <c r="F313" s="198"/>
      <c r="G313" s="199">
        <f>IFERROR(__xludf.DUMMYFUNCTION("""COMPUTED_VALUE"""),48.96666666666667)</f>
        <v>48.96666667</v>
      </c>
      <c r="H313" s="197">
        <f>IFERROR(__xludf.DUMMYFUNCTION("""COMPUTED_VALUE"""),43781.0)</f>
        <v>43781</v>
      </c>
      <c r="I313" s="199">
        <f>IFERROR(__xludf.DUMMYFUNCTION("""COMPUTED_VALUE"""),1.8444444444444446)</f>
        <v>1.844444444</v>
      </c>
      <c r="J313" s="200">
        <f>IFERROR(__xludf.DUMMYFUNCTION("""COMPUTED_VALUE"""),77.0)</f>
        <v>77</v>
      </c>
      <c r="K313" s="200">
        <f>IFERROR(__xludf.DUMMYFUNCTION("""COMPUTED_VALUE"""),2.5)</f>
        <v>2.5</v>
      </c>
      <c r="L313" s="201" t="str">
        <f>IFERROR(__xludf.DUMMYFUNCTION("""COMPUTED_VALUE"""),"Puzzle")</f>
        <v>Puzzle</v>
      </c>
    </row>
    <row r="314">
      <c r="A314" s="190" t="str">
        <f>IFERROR(__xludf.DUMMYFUNCTION("""COMPUTED_VALUE"""),"Arx Fatalis")</f>
        <v>Arx Fatalis</v>
      </c>
      <c r="B314" s="195" t="str">
        <f>IFERROR(__xludf.DUMMYFUNCTION("""COMPUTED_VALUE"""),"PC")</f>
        <v>PC</v>
      </c>
      <c r="C314" s="196"/>
      <c r="D314" s="196" t="str">
        <f>IFERROR(__xludf.DUMMYFUNCTION("""COMPUTED_VALUE"""),"Active")</f>
        <v>Active</v>
      </c>
      <c r="E314" s="197">
        <f>IFERROR(__xludf.DUMMYFUNCTION("""COMPUTED_VALUE"""),44360.0)</f>
        <v>44360</v>
      </c>
      <c r="F314" s="198"/>
      <c r="G314" s="199">
        <f>IFERROR(__xludf.DUMMYFUNCTION("""COMPUTED_VALUE"""),52.06666666666666)</f>
        <v>52.06666667</v>
      </c>
      <c r="H314" s="197">
        <f>IFERROR(__xludf.DUMMYFUNCTION("""COMPUTED_VALUE"""),37571.0)</f>
        <v>37571</v>
      </c>
      <c r="I314" s="199">
        <f>IFERROR(__xludf.DUMMYFUNCTION("""COMPUTED_VALUE"""),18.58888888888889)</f>
        <v>18.58888889</v>
      </c>
      <c r="J314" s="200">
        <f>IFERROR(__xludf.DUMMYFUNCTION("""COMPUTED_VALUE"""),77.0)</f>
        <v>77</v>
      </c>
      <c r="K314" s="200">
        <f>IFERROR(__xludf.DUMMYFUNCTION("""COMPUTED_VALUE"""),20.0)</f>
        <v>20</v>
      </c>
      <c r="L314" s="201" t="str">
        <f>IFERROR(__xludf.DUMMYFUNCTION("""COMPUTED_VALUE"""),"Action / Adventure / RPG")</f>
        <v>Action / Adventure / RPG</v>
      </c>
    </row>
    <row r="315">
      <c r="A315" s="190" t="str">
        <f>IFERROR(__xludf.DUMMYFUNCTION("""COMPUTED_VALUE"""),"SimCity 2000: Special Edition")</f>
        <v>SimCity 2000: Special Edition</v>
      </c>
      <c r="B315" s="195" t="str">
        <f>IFERROR(__xludf.DUMMYFUNCTION("""COMPUTED_VALUE"""),"PC")</f>
        <v>PC</v>
      </c>
      <c r="C315" s="196"/>
      <c r="D315" s="196" t="str">
        <f>IFERROR(__xludf.DUMMYFUNCTION("""COMPUTED_VALUE"""),"Active")</f>
        <v>Active</v>
      </c>
      <c r="E315" s="197">
        <f>IFERROR(__xludf.DUMMYFUNCTION("""COMPUTED_VALUE"""),44273.0)</f>
        <v>44273</v>
      </c>
      <c r="F315" s="198"/>
      <c r="G315" s="199">
        <f>IFERROR(__xludf.DUMMYFUNCTION("""COMPUTED_VALUE"""),54.900000000000006)</f>
        <v>54.9</v>
      </c>
      <c r="H315" s="197">
        <f>IFERROR(__xludf.DUMMYFUNCTION("""COMPUTED_VALUE"""),34737.0)</f>
        <v>34737</v>
      </c>
      <c r="I315" s="199">
        <f>IFERROR(__xludf.DUMMYFUNCTION("""COMPUTED_VALUE"""),26.113888888888887)</f>
        <v>26.11388889</v>
      </c>
      <c r="J315" s="200">
        <f>IFERROR(__xludf.DUMMYFUNCTION("""COMPUTED_VALUE"""),77.0)</f>
        <v>77</v>
      </c>
      <c r="K315" s="200">
        <f>IFERROR(__xludf.DUMMYFUNCTION("""COMPUTED_VALUE"""),30.0)</f>
        <v>30</v>
      </c>
      <c r="L315" s="201" t="str">
        <f>IFERROR(__xludf.DUMMYFUNCTION("""COMPUTED_VALUE"""),"Strategy / Simulation")</f>
        <v>Strategy / Simulation</v>
      </c>
    </row>
    <row r="316">
      <c r="A316" s="190" t="str">
        <f>IFERROR(__xludf.DUMMYFUNCTION("""COMPUTED_VALUE"""),"DOOM 64")</f>
        <v>DOOM 64</v>
      </c>
      <c r="B316" s="195" t="str">
        <f>IFERROR(__xludf.DUMMYFUNCTION("""COMPUTED_VALUE"""),"Xbox / PC")</f>
        <v>Xbox / PC</v>
      </c>
      <c r="C316" s="196" t="str">
        <f>IFERROR(__xludf.DUMMYFUNCTION("""COMPUTED_VALUE"""),"M+KB")</f>
        <v>M+KB</v>
      </c>
      <c r="D316" s="196" t="str">
        <f>IFERROR(__xludf.DUMMYFUNCTION("""COMPUTED_VALUE"""),"Active")</f>
        <v>Active</v>
      </c>
      <c r="E316" s="197">
        <f>IFERROR(__xludf.DUMMYFUNCTION("""COMPUTED_VALUE"""),44267.0)</f>
        <v>44267</v>
      </c>
      <c r="F316" s="198"/>
      <c r="G316" s="199">
        <f>IFERROR(__xludf.DUMMYFUNCTION("""COMPUTED_VALUE"""),55.1)</f>
        <v>55.1</v>
      </c>
      <c r="H316" s="197">
        <f>IFERROR(__xludf.DUMMYFUNCTION("""COMPUTED_VALUE"""),35520.0)</f>
        <v>35520</v>
      </c>
      <c r="I316" s="199">
        <f>IFERROR(__xludf.DUMMYFUNCTION("""COMPUTED_VALUE"""),23.95)</f>
        <v>23.95</v>
      </c>
      <c r="J316" s="200">
        <f>IFERROR(__xludf.DUMMYFUNCTION("""COMPUTED_VALUE"""),77.0)</f>
        <v>77</v>
      </c>
      <c r="K316" s="200">
        <f>IFERROR(__xludf.DUMMYFUNCTION("""COMPUTED_VALUE"""),7.0)</f>
        <v>7</v>
      </c>
      <c r="L316" s="201" t="str">
        <f>IFERROR(__xludf.DUMMYFUNCTION("""COMPUTED_VALUE"""),"First-Person Shooter")</f>
        <v>First-Person Shooter</v>
      </c>
    </row>
    <row r="317">
      <c r="A317" s="190" t="str">
        <f>IFERROR(__xludf.DUMMYFUNCTION("""COMPUTED_VALUE"""),"Neon Abyss")</f>
        <v>Neon Abyss</v>
      </c>
      <c r="B317" s="195" t="str">
        <f>IFERROR(__xludf.DUMMYFUNCTION("""COMPUTED_VALUE"""),"Xbox / PC")</f>
        <v>Xbox / PC</v>
      </c>
      <c r="C317" s="196" t="str">
        <f>IFERROR(__xludf.DUMMYFUNCTION("""COMPUTED_VALUE"""),"Yes")</f>
        <v>Yes</v>
      </c>
      <c r="D317" s="196" t="str">
        <f>IFERROR(__xludf.DUMMYFUNCTION("""COMPUTED_VALUE"""),"Active")</f>
        <v>Active</v>
      </c>
      <c r="E317" s="197">
        <f>IFERROR(__xludf.DUMMYFUNCTION("""COMPUTED_VALUE"""),44026.0)</f>
        <v>44026</v>
      </c>
      <c r="F317" s="198"/>
      <c r="G317" s="199">
        <f>IFERROR(__xludf.DUMMYFUNCTION("""COMPUTED_VALUE"""),63.03333333333334)</f>
        <v>63.03333333</v>
      </c>
      <c r="H317" s="197">
        <f>IFERROR(__xludf.DUMMYFUNCTION("""COMPUTED_VALUE"""),44026.0)</f>
        <v>44026</v>
      </c>
      <c r="I317" s="199">
        <f>IFERROR(__xludf.DUMMYFUNCTION("""COMPUTED_VALUE"""),0.0)</f>
        <v>0</v>
      </c>
      <c r="J317" s="200">
        <f>IFERROR(__xludf.DUMMYFUNCTION("""COMPUTED_VALUE"""),77.0)</f>
        <v>77</v>
      </c>
      <c r="K317" s="200">
        <f>IFERROR(__xludf.DUMMYFUNCTION("""COMPUTED_VALUE"""),12.0)</f>
        <v>12</v>
      </c>
      <c r="L317" s="201" t="str">
        <f>IFERROR(__xludf.DUMMYFUNCTION("""COMPUTED_VALUE"""),"Action / Platformer")</f>
        <v>Action / Platformer</v>
      </c>
    </row>
    <row r="318">
      <c r="A318" s="190" t="str">
        <f>IFERROR(__xludf.DUMMYFUNCTION("""COMPUTED_VALUE"""),"Descenders")</f>
        <v>Descenders</v>
      </c>
      <c r="B318" s="195" t="str">
        <f>IFERROR(__xludf.DUMMYFUNCTION("""COMPUTED_VALUE"""),"Xbox / PC")</f>
        <v>Xbox / PC</v>
      </c>
      <c r="C318" s="196" t="str">
        <f>IFERROR(__xludf.DUMMYFUNCTION("""COMPUTED_VALUE"""),"Yes")</f>
        <v>Yes</v>
      </c>
      <c r="D318" s="196" t="str">
        <f>IFERROR(__xludf.DUMMYFUNCTION("""COMPUTED_VALUE"""),"Active")</f>
        <v>Active</v>
      </c>
      <c r="E318" s="197">
        <f>IFERROR(__xludf.DUMMYFUNCTION("""COMPUTED_VALUE"""),43592.0)</f>
        <v>43592</v>
      </c>
      <c r="F318" s="198"/>
      <c r="G318" s="199">
        <f>IFERROR(__xludf.DUMMYFUNCTION("""COMPUTED_VALUE"""),77.26666666666667)</f>
        <v>77.26666667</v>
      </c>
      <c r="H318" s="197">
        <f>IFERROR(__xludf.DUMMYFUNCTION("""COMPUTED_VALUE"""),43140.0)</f>
        <v>43140</v>
      </c>
      <c r="I318" s="199">
        <f>IFERROR(__xludf.DUMMYFUNCTION("""COMPUTED_VALUE"""),1.2444444444444445)</f>
        <v>1.244444444</v>
      </c>
      <c r="J318" s="200">
        <f>IFERROR(__xludf.DUMMYFUNCTION("""COMPUTED_VALUE"""),77.0)</f>
        <v>77</v>
      </c>
      <c r="K318" s="200">
        <f>IFERROR(__xludf.DUMMYFUNCTION("""COMPUTED_VALUE"""),4.0)</f>
        <v>4</v>
      </c>
      <c r="L318" s="201" t="str">
        <f>IFERROR(__xludf.DUMMYFUNCTION("""COMPUTED_VALUE"""),"Sports / Driving/Racing")</f>
        <v>Sports / Driving/Racing</v>
      </c>
    </row>
    <row r="319">
      <c r="A319" s="190" t="str">
        <f>IFERROR(__xludf.DUMMYFUNCTION("""COMPUTED_VALUE"""),"Quantum Break")</f>
        <v>Quantum Break</v>
      </c>
      <c r="B319" s="195" t="str">
        <f>IFERROR(__xludf.DUMMYFUNCTION("""COMPUTED_VALUE"""),"Xbox / PC")</f>
        <v>Xbox / PC</v>
      </c>
      <c r="C319" s="196"/>
      <c r="D319" s="196" t="str">
        <f>IFERROR(__xludf.DUMMYFUNCTION("""COMPUTED_VALUE"""),"Active")</f>
        <v>Active</v>
      </c>
      <c r="E319" s="197">
        <f>IFERROR(__xludf.DUMMYFUNCTION("""COMPUTED_VALUE"""),43344.0)</f>
        <v>43344</v>
      </c>
      <c r="F319" s="198"/>
      <c r="G319" s="199">
        <f>IFERROR(__xludf.DUMMYFUNCTION("""COMPUTED_VALUE"""),85.46666666666667)</f>
        <v>85.46666667</v>
      </c>
      <c r="H319" s="197">
        <f>IFERROR(__xludf.DUMMYFUNCTION("""COMPUTED_VALUE"""),42465.0)</f>
        <v>42465</v>
      </c>
      <c r="I319" s="199">
        <f>IFERROR(__xludf.DUMMYFUNCTION("""COMPUTED_VALUE"""),2.4055555555555554)</f>
        <v>2.405555556</v>
      </c>
      <c r="J319" s="200">
        <f>IFERROR(__xludf.DUMMYFUNCTION("""COMPUTED_VALUE"""),77.0)</f>
        <v>77</v>
      </c>
      <c r="K319" s="200">
        <f>IFERROR(__xludf.DUMMYFUNCTION("""COMPUTED_VALUE"""),10.0)</f>
        <v>10</v>
      </c>
      <c r="L319" s="201" t="str">
        <f>IFERROR(__xludf.DUMMYFUNCTION("""COMPUTED_VALUE"""),"Shooter")</f>
        <v>Shooter</v>
      </c>
    </row>
    <row r="320">
      <c r="A320" s="190" t="str">
        <f>IFERROR(__xludf.DUMMYFUNCTION("""COMPUTED_VALUE"""),"Wasteland 2: Director's Cut")</f>
        <v>Wasteland 2: Director's Cut</v>
      </c>
      <c r="B320" s="195" t="str">
        <f>IFERROR(__xludf.DUMMYFUNCTION("""COMPUTED_VALUE"""),"Xbox / PC")</f>
        <v>Xbox / PC</v>
      </c>
      <c r="C320" s="196" t="str">
        <f>IFERROR(__xludf.DUMMYFUNCTION("""COMPUTED_VALUE"""),"Touch Controls")</f>
        <v>Touch Controls</v>
      </c>
      <c r="D320" s="196" t="str">
        <f>IFERROR(__xludf.DUMMYFUNCTION("""COMPUTED_VALUE"""),"Active")</f>
        <v>Active</v>
      </c>
      <c r="E320" s="197">
        <f>IFERROR(__xludf.DUMMYFUNCTION("""COMPUTED_VALUE"""),43252.0)</f>
        <v>43252</v>
      </c>
      <c r="F320" s="198"/>
      <c r="G320" s="199">
        <f>IFERROR(__xludf.DUMMYFUNCTION("""COMPUTED_VALUE"""),88.46666666666667)</f>
        <v>88.46666667</v>
      </c>
      <c r="H320" s="197">
        <f>IFERROR(__xludf.DUMMYFUNCTION("""COMPUTED_VALUE"""),41900.0)</f>
        <v>41900</v>
      </c>
      <c r="I320" s="199">
        <f>IFERROR(__xludf.DUMMYFUNCTION("""COMPUTED_VALUE"""),3.702777777777778)</f>
        <v>3.702777778</v>
      </c>
      <c r="J320" s="200">
        <f>IFERROR(__xludf.DUMMYFUNCTION("""COMPUTED_VALUE"""),77.0)</f>
        <v>77</v>
      </c>
      <c r="K320" s="200">
        <f>IFERROR(__xludf.DUMMYFUNCTION("""COMPUTED_VALUE"""),39.5)</f>
        <v>39.5</v>
      </c>
      <c r="L320" s="201" t="str">
        <f>IFERROR(__xludf.DUMMYFUNCTION("""COMPUTED_VALUE"""),"RPG")</f>
        <v>RPG</v>
      </c>
    </row>
    <row r="321">
      <c r="A321" s="190" t="str">
        <f>IFERROR(__xludf.DUMMYFUNCTION("""COMPUTED_VALUE"""),"Crime Scene Cleaner")</f>
        <v>Crime Scene Cleaner</v>
      </c>
      <c r="B321" s="195" t="str">
        <f>IFERROR(__xludf.DUMMYFUNCTION("""COMPUTED_VALUE"""),"Xbox / PC")</f>
        <v>Xbox / PC</v>
      </c>
      <c r="C321" s="196" t="str">
        <f>IFERROR(__xludf.DUMMYFUNCTION("""COMPUTED_VALUE"""),"Yes")</f>
        <v>Yes</v>
      </c>
      <c r="D321" s="196" t="str">
        <f>IFERROR(__xludf.DUMMYFUNCTION("""COMPUTED_VALUE"""),"Active")</f>
        <v>Active</v>
      </c>
      <c r="E321" s="197">
        <f>IFERROR(__xludf.DUMMYFUNCTION("""COMPUTED_VALUE"""),45764.0)</f>
        <v>45764</v>
      </c>
      <c r="F321" s="198"/>
      <c r="G321" s="199">
        <f>IFERROR(__xludf.DUMMYFUNCTION("""COMPUTED_VALUE"""),5.933333333333334)</f>
        <v>5.933333333</v>
      </c>
      <c r="H321" s="197">
        <f>IFERROR(__xludf.DUMMYFUNCTION("""COMPUTED_VALUE"""),45518.0)</f>
        <v>45518</v>
      </c>
      <c r="I321" s="199">
        <f>IFERROR(__xludf.DUMMYFUNCTION("""COMPUTED_VALUE"""),0.675)</f>
        <v>0.675</v>
      </c>
      <c r="J321" s="200">
        <f>IFERROR(__xludf.DUMMYFUNCTION("""COMPUTED_VALUE"""),76.66666666666667)</f>
        <v>76.66666667</v>
      </c>
      <c r="K321" s="200">
        <f>IFERROR(__xludf.DUMMYFUNCTION("""COMPUTED_VALUE"""),13.0)</f>
        <v>13</v>
      </c>
      <c r="L321" s="201" t="str">
        <f>IFERROR(__xludf.DUMMYFUNCTION("""COMPUTED_VALUE"""),"Simulation")</f>
        <v>Simulation</v>
      </c>
    </row>
    <row r="322">
      <c r="A322" s="190" t="str">
        <f>IFERROR(__xludf.DUMMYFUNCTION("""COMPUTED_VALUE"""),"Assassin's Creed Syndicate")</f>
        <v>Assassin's Creed Syndicate</v>
      </c>
      <c r="B322" s="195" t="str">
        <f>IFERROR(__xludf.DUMMYFUNCTION("""COMPUTED_VALUE"""),"Xbox / PC")</f>
        <v>Xbox / PC</v>
      </c>
      <c r="C322" s="196" t="str">
        <f>IFERROR(__xludf.DUMMYFUNCTION("""COMPUTED_VALUE"""),"Yes")</f>
        <v>Yes</v>
      </c>
      <c r="D322" s="196" t="str">
        <f>IFERROR(__xludf.DUMMYFUNCTION("""COMPUTED_VALUE"""),"Active")</f>
        <v>Active</v>
      </c>
      <c r="E322" s="197">
        <f>IFERROR(__xludf.DUMMYFUNCTION("""COMPUTED_VALUE"""),45931.0)</f>
        <v>45931</v>
      </c>
      <c r="F322" s="198"/>
      <c r="G322" s="199">
        <f>IFERROR(__xludf.DUMMYFUNCTION("""COMPUTED_VALUE"""),0.4666666666666667)</f>
        <v>0.4666666667</v>
      </c>
      <c r="H322" s="197">
        <f>IFERROR(__xludf.DUMMYFUNCTION("""COMPUTED_VALUE"""),42300.0)</f>
        <v>42300</v>
      </c>
      <c r="I322" s="199">
        <f>IFERROR(__xludf.DUMMYFUNCTION("""COMPUTED_VALUE"""),9.938888888888888)</f>
        <v>9.938888889</v>
      </c>
      <c r="J322" s="200">
        <f>IFERROR(__xludf.DUMMYFUNCTION("""COMPUTED_VALUE"""),76.0)</f>
        <v>76</v>
      </c>
      <c r="K322" s="200">
        <f>IFERROR(__xludf.DUMMYFUNCTION("""COMPUTED_VALUE"""),19.0)</f>
        <v>19</v>
      </c>
      <c r="L322" s="201" t="str">
        <f>IFERROR(__xludf.DUMMYFUNCTION("""COMPUTED_VALUE"""),"Action-Adventure")</f>
        <v>Action-Adventure</v>
      </c>
    </row>
    <row r="323">
      <c r="A323" s="190" t="str">
        <f>IFERROR(__xludf.DUMMYFUNCTION("""COMPUTED_VALUE"""),"Far Cry Primal")</f>
        <v>Far Cry Primal</v>
      </c>
      <c r="B323" s="195" t="str">
        <f>IFERROR(__xludf.DUMMYFUNCTION("""COMPUTED_VALUE"""),"Xbox / PC")</f>
        <v>Xbox / PC</v>
      </c>
      <c r="C323" s="196" t="str">
        <f>IFERROR(__xludf.DUMMYFUNCTION("""COMPUTED_VALUE"""),"Yes")</f>
        <v>Yes</v>
      </c>
      <c r="D323" s="196" t="str">
        <f>IFERROR(__xludf.DUMMYFUNCTION("""COMPUTED_VALUE"""),"Active")</f>
        <v>Active</v>
      </c>
      <c r="E323" s="197">
        <f>IFERROR(__xludf.DUMMYFUNCTION("""COMPUTED_VALUE"""),45931.0)</f>
        <v>45931</v>
      </c>
      <c r="F323" s="198"/>
      <c r="G323" s="199">
        <f>IFERROR(__xludf.DUMMYFUNCTION("""COMPUTED_VALUE"""),0.4666666666666667)</f>
        <v>0.4666666667</v>
      </c>
      <c r="H323" s="197">
        <f>IFERROR(__xludf.DUMMYFUNCTION("""COMPUTED_VALUE"""),42423.0)</f>
        <v>42423</v>
      </c>
      <c r="I323" s="199">
        <f>IFERROR(__xludf.DUMMYFUNCTION("""COMPUTED_VALUE"""),9.605555555555556)</f>
        <v>9.605555556</v>
      </c>
      <c r="J323" s="200">
        <f>IFERROR(__xludf.DUMMYFUNCTION("""COMPUTED_VALUE"""),76.0)</f>
        <v>76</v>
      </c>
      <c r="K323" s="200">
        <f>IFERROR(__xludf.DUMMYFUNCTION("""COMPUTED_VALUE"""),15.0)</f>
        <v>15</v>
      </c>
      <c r="L323" s="201" t="str">
        <f>IFERROR(__xludf.DUMMYFUNCTION("""COMPUTED_VALUE"""),"Action-Adventure")</f>
        <v>Action-Adventure</v>
      </c>
    </row>
    <row r="324">
      <c r="A324" s="190" t="str">
        <f>IFERROR(__xludf.DUMMYFUNCTION("""COMPUTED_VALUE"""),"Assassin's Creed Mirage")</f>
        <v>Assassin's Creed Mirage</v>
      </c>
      <c r="B324" s="195" t="str">
        <f>IFERROR(__xludf.DUMMYFUNCTION("""COMPUTED_VALUE"""),"Xbox / PC")</f>
        <v>Xbox / PC</v>
      </c>
      <c r="C324" s="196" t="str">
        <f>IFERROR(__xludf.DUMMYFUNCTION("""COMPUTED_VALUE"""),"Yes")</f>
        <v>Yes</v>
      </c>
      <c r="D324" s="196" t="str">
        <f>IFERROR(__xludf.DUMMYFUNCTION("""COMPUTED_VALUE"""),"Active")</f>
        <v>Active</v>
      </c>
      <c r="E324" s="197">
        <f>IFERROR(__xludf.DUMMYFUNCTION("""COMPUTED_VALUE"""),45876.0)</f>
        <v>45876</v>
      </c>
      <c r="F324" s="198"/>
      <c r="G324" s="199">
        <f>IFERROR(__xludf.DUMMYFUNCTION("""COMPUTED_VALUE"""),2.2666666666666666)</f>
        <v>2.266666667</v>
      </c>
      <c r="H324" s="197">
        <f>IFERROR(__xludf.DUMMYFUNCTION("""COMPUTED_VALUE"""),45204.0)</f>
        <v>45204</v>
      </c>
      <c r="I324" s="199">
        <f>IFERROR(__xludf.DUMMYFUNCTION("""COMPUTED_VALUE"""),1.8388888888888888)</f>
        <v>1.838888889</v>
      </c>
      <c r="J324" s="200">
        <f>IFERROR(__xludf.DUMMYFUNCTION("""COMPUTED_VALUE"""),76.0)</f>
        <v>76</v>
      </c>
      <c r="K324" s="200">
        <f>IFERROR(__xludf.DUMMYFUNCTION("""COMPUTED_VALUE"""),16.0)</f>
        <v>16</v>
      </c>
      <c r="L324" s="201" t="str">
        <f>IFERROR(__xludf.DUMMYFUNCTION("""COMPUTED_VALUE"""),"RPG")</f>
        <v>RPG</v>
      </c>
    </row>
    <row r="325">
      <c r="A325" s="190" t="str">
        <f>IFERROR(__xludf.DUMMYFUNCTION("""COMPUTED_VALUE"""),"EA Sports FC 25")</f>
        <v>EA Sports FC 25</v>
      </c>
      <c r="B325" s="195" t="str">
        <f>IFERROR(__xludf.DUMMYFUNCTION("""COMPUTED_VALUE"""),"Xbox / PC")</f>
        <v>Xbox / PC</v>
      </c>
      <c r="C325" s="196" t="str">
        <f>IFERROR(__xludf.DUMMYFUNCTION("""COMPUTED_VALUE"""),"Yes")</f>
        <v>Yes</v>
      </c>
      <c r="D325" s="196" t="str">
        <f>IFERROR(__xludf.DUMMYFUNCTION("""COMPUTED_VALUE"""),"Active")</f>
        <v>Active</v>
      </c>
      <c r="E325" s="197">
        <f>IFERROR(__xludf.DUMMYFUNCTION("""COMPUTED_VALUE"""),45820.0)</f>
        <v>45820</v>
      </c>
      <c r="F325" s="198"/>
      <c r="G325" s="199">
        <f>IFERROR(__xludf.DUMMYFUNCTION("""COMPUTED_VALUE"""),4.1)</f>
        <v>4.1</v>
      </c>
      <c r="H325" s="197">
        <f>IFERROR(__xludf.DUMMYFUNCTION("""COMPUTED_VALUE"""),45562.0)</f>
        <v>45562</v>
      </c>
      <c r="I325" s="199">
        <f>IFERROR(__xludf.DUMMYFUNCTION("""COMPUTED_VALUE"""),0.7083333333333334)</f>
        <v>0.7083333333</v>
      </c>
      <c r="J325" s="200">
        <f>IFERROR(__xludf.DUMMYFUNCTION("""COMPUTED_VALUE"""),76.0)</f>
        <v>76</v>
      </c>
      <c r="K325" s="200">
        <f>IFERROR(__xludf.DUMMYFUNCTION("""COMPUTED_VALUE"""),35.0)</f>
        <v>35</v>
      </c>
      <c r="L325" s="201" t="str">
        <f>IFERROR(__xludf.DUMMYFUNCTION("""COMPUTED_VALUE"""),"Sports")</f>
        <v>Sports</v>
      </c>
    </row>
    <row r="326">
      <c r="A326" s="190" t="str">
        <f>IFERROR(__xludf.DUMMYFUNCTION("""COMPUTED_VALUE"""),"Warhammer 40,000: Space Marine - Master Crafted Edition")</f>
        <v>Warhammer 40,000: Space Marine - Master Crafted Edition</v>
      </c>
      <c r="B326" s="195" t="str">
        <f>IFERROR(__xludf.DUMMYFUNCTION("""COMPUTED_VALUE"""),"Xbox / PC")</f>
        <v>Xbox / PC</v>
      </c>
      <c r="C326" s="196" t="str">
        <f>IFERROR(__xludf.DUMMYFUNCTION("""COMPUTED_VALUE"""),"Yes")</f>
        <v>Yes</v>
      </c>
      <c r="D326" s="196" t="str">
        <f>IFERROR(__xludf.DUMMYFUNCTION("""COMPUTED_VALUE"""),"Active")</f>
        <v>Active</v>
      </c>
      <c r="E326" s="197">
        <f>IFERROR(__xludf.DUMMYFUNCTION("""COMPUTED_VALUE"""),45818.0)</f>
        <v>45818</v>
      </c>
      <c r="F326" s="198"/>
      <c r="G326" s="199">
        <f>IFERROR(__xludf.DUMMYFUNCTION("""COMPUTED_VALUE"""),4.166666666666666)</f>
        <v>4.166666667</v>
      </c>
      <c r="H326" s="197">
        <f>IFERROR(__xludf.DUMMYFUNCTION("""COMPUTED_VALUE"""),40792.0)</f>
        <v>40792</v>
      </c>
      <c r="I326" s="199">
        <f>IFERROR(__xludf.DUMMYFUNCTION("""COMPUTED_VALUE"""),13.761111111111111)</f>
        <v>13.76111111</v>
      </c>
      <c r="J326" s="200">
        <f>IFERROR(__xludf.DUMMYFUNCTION("""COMPUTED_VALUE"""),76.0)</f>
        <v>76</v>
      </c>
      <c r="K326" s="200">
        <f>IFERROR(__xludf.DUMMYFUNCTION("""COMPUTED_VALUE"""),8.0)</f>
        <v>8</v>
      </c>
      <c r="L326" s="201" t="str">
        <f>IFERROR(__xludf.DUMMYFUNCTION("""COMPUTED_VALUE"""),"Shooter")</f>
        <v>Shooter</v>
      </c>
    </row>
    <row r="327">
      <c r="A327" s="190" t="str">
        <f>IFERROR(__xludf.DUMMYFUNCTION("""COMPUTED_VALUE"""),"Tales of Kenzera: ZAU")</f>
        <v>Tales of Kenzera: ZAU</v>
      </c>
      <c r="B327" s="195" t="str">
        <f>IFERROR(__xludf.DUMMYFUNCTION("""COMPUTED_VALUE"""),"Xbox / PC")</f>
        <v>Xbox / PC</v>
      </c>
      <c r="C327" s="196" t="str">
        <f>IFERROR(__xludf.DUMMYFUNCTION("""COMPUTED_VALUE"""),"Yes")</f>
        <v>Yes</v>
      </c>
      <c r="D327" s="196" t="str">
        <f>IFERROR(__xludf.DUMMYFUNCTION("""COMPUTED_VALUE"""),"Active")</f>
        <v>Active</v>
      </c>
      <c r="E327" s="197">
        <f>IFERROR(__xludf.DUMMYFUNCTION("""COMPUTED_VALUE"""),45799.0)</f>
        <v>45799</v>
      </c>
      <c r="F327" s="198"/>
      <c r="G327" s="199">
        <f>IFERROR(__xludf.DUMMYFUNCTION("""COMPUTED_VALUE"""),4.766666666666667)</f>
        <v>4.766666667</v>
      </c>
      <c r="H327" s="197">
        <f>IFERROR(__xludf.DUMMYFUNCTION("""COMPUTED_VALUE"""),45405.0)</f>
        <v>45405</v>
      </c>
      <c r="I327" s="199">
        <f>IFERROR(__xludf.DUMMYFUNCTION("""COMPUTED_VALUE"""),1.0805555555555555)</f>
        <v>1.080555556</v>
      </c>
      <c r="J327" s="200">
        <f>IFERROR(__xludf.DUMMYFUNCTION("""COMPUTED_VALUE"""),76.0)</f>
        <v>76</v>
      </c>
      <c r="K327" s="200">
        <f>IFERROR(__xludf.DUMMYFUNCTION("""COMPUTED_VALUE"""),8.0)</f>
        <v>8</v>
      </c>
      <c r="L327" s="201" t="str">
        <f>IFERROR(__xludf.DUMMYFUNCTION("""COMPUTED_VALUE"""),"Metroidvania ")</f>
        <v>Metroidvania </v>
      </c>
    </row>
    <row r="328">
      <c r="A328" s="190" t="str">
        <f>IFERROR(__xludf.DUMMYFUNCTION("""COMPUTED_VALUE"""),"Commandos: Origins")</f>
        <v>Commandos: Origins</v>
      </c>
      <c r="B328" s="195" t="str">
        <f>IFERROR(__xludf.DUMMYFUNCTION("""COMPUTED_VALUE"""),"Xbox / PC")</f>
        <v>Xbox / PC</v>
      </c>
      <c r="C328" s="196" t="str">
        <f>IFERROR(__xludf.DUMMYFUNCTION("""COMPUTED_VALUE"""),"Yes")</f>
        <v>Yes</v>
      </c>
      <c r="D328" s="196" t="str">
        <f>IFERROR(__xludf.DUMMYFUNCTION("""COMPUTED_VALUE"""),"Active")</f>
        <v>Active</v>
      </c>
      <c r="E328" s="197">
        <f>IFERROR(__xludf.DUMMYFUNCTION("""COMPUTED_VALUE"""),45756.0)</f>
        <v>45756</v>
      </c>
      <c r="F328" s="198"/>
      <c r="G328" s="199">
        <f>IFERROR(__xludf.DUMMYFUNCTION("""COMPUTED_VALUE"""),6.200000000000001)</f>
        <v>6.2</v>
      </c>
      <c r="H328" s="197">
        <f>IFERROR(__xludf.DUMMYFUNCTION("""COMPUTED_VALUE"""),45756.0)</f>
        <v>45756</v>
      </c>
      <c r="I328" s="199">
        <f>IFERROR(__xludf.DUMMYFUNCTION("""COMPUTED_VALUE"""),0.0)</f>
        <v>0</v>
      </c>
      <c r="J328" s="200">
        <f>IFERROR(__xludf.DUMMYFUNCTION("""COMPUTED_VALUE"""),76.0)</f>
        <v>76</v>
      </c>
      <c r="K328" s="200">
        <f>IFERROR(__xludf.DUMMYFUNCTION("""COMPUTED_VALUE"""),31.0)</f>
        <v>31</v>
      </c>
      <c r="L328" s="201" t="str">
        <f>IFERROR(__xludf.DUMMYFUNCTION("""COMPUTED_VALUE"""),"Strategy")</f>
        <v>Strategy</v>
      </c>
    </row>
    <row r="329">
      <c r="A329" s="190" t="str">
        <f>IFERROR(__xludf.DUMMYFUNCTION("""COMPUTED_VALUE"""),"Watch Dogs: Legion")</f>
        <v>Watch Dogs: Legion</v>
      </c>
      <c r="B329" s="195" t="str">
        <f>IFERROR(__xludf.DUMMYFUNCTION("""COMPUTED_VALUE"""),"Xbox / PC")</f>
        <v>Xbox / PC</v>
      </c>
      <c r="C329" s="196" t="str">
        <f>IFERROR(__xludf.DUMMYFUNCTION("""COMPUTED_VALUE"""),"Yes")</f>
        <v>Yes</v>
      </c>
      <c r="D329" s="196" t="str">
        <f>IFERROR(__xludf.DUMMYFUNCTION("""COMPUTED_VALUE"""),"Active")</f>
        <v>Active</v>
      </c>
      <c r="E329" s="197">
        <f>IFERROR(__xludf.DUMMYFUNCTION("""COMPUTED_VALUE"""),45713.0)</f>
        <v>45713</v>
      </c>
      <c r="F329" s="198"/>
      <c r="G329" s="199">
        <f>IFERROR(__xludf.DUMMYFUNCTION("""COMPUTED_VALUE"""),7.666666666666666)</f>
        <v>7.666666667</v>
      </c>
      <c r="H329" s="197">
        <f>IFERROR(__xludf.DUMMYFUNCTION("""COMPUTED_VALUE"""),44133.0)</f>
        <v>44133</v>
      </c>
      <c r="I329" s="199">
        <f>IFERROR(__xludf.DUMMYFUNCTION("""COMPUTED_VALUE"""),4.322222222222222)</f>
        <v>4.322222222</v>
      </c>
      <c r="J329" s="200">
        <f>IFERROR(__xludf.DUMMYFUNCTION("""COMPUTED_VALUE"""),76.0)</f>
        <v>76</v>
      </c>
      <c r="K329" s="200">
        <f>IFERROR(__xludf.DUMMYFUNCTION("""COMPUTED_VALUE"""),18.0)</f>
        <v>18</v>
      </c>
      <c r="L329" s="201" t="str">
        <f>IFERROR(__xludf.DUMMYFUNCTION("""COMPUTED_VALUE"""),"Action-Adventure")</f>
        <v>Action-Adventure</v>
      </c>
    </row>
    <row r="330">
      <c r="A330" s="190" t="str">
        <f>IFERROR(__xludf.DUMMYFUNCTION("""COMPUTED_VALUE"""),"Carrion")</f>
        <v>Carrion</v>
      </c>
      <c r="B330" s="195" t="str">
        <f>IFERROR(__xludf.DUMMYFUNCTION("""COMPUTED_VALUE"""),"Xbox / PC")</f>
        <v>Xbox / PC</v>
      </c>
      <c r="C330" s="196" t="str">
        <f>IFERROR(__xludf.DUMMYFUNCTION("""COMPUTED_VALUE"""),"Yes")</f>
        <v>Yes</v>
      </c>
      <c r="D330" s="196" t="str">
        <f>IFERROR(__xludf.DUMMYFUNCTION("""COMPUTED_VALUE"""),"Active")</f>
        <v>Active</v>
      </c>
      <c r="E330" s="197">
        <f>IFERROR(__xludf.DUMMYFUNCTION("""COMPUTED_VALUE"""),45659.0)</f>
        <v>45659</v>
      </c>
      <c r="F330" s="198"/>
      <c r="G330" s="199">
        <f>IFERROR(__xludf.DUMMYFUNCTION("""COMPUTED_VALUE"""),9.433333333333334)</f>
        <v>9.433333333</v>
      </c>
      <c r="H330" s="197">
        <f>IFERROR(__xludf.DUMMYFUNCTION("""COMPUTED_VALUE"""),44035.0)</f>
        <v>44035</v>
      </c>
      <c r="I330" s="199">
        <f>IFERROR(__xludf.DUMMYFUNCTION("""COMPUTED_VALUE"""),4.441666666666666)</f>
        <v>4.441666667</v>
      </c>
      <c r="J330" s="200">
        <f>IFERROR(__xludf.DUMMYFUNCTION("""COMPUTED_VALUE"""),76.0)</f>
        <v>76</v>
      </c>
      <c r="K330" s="200">
        <f>IFERROR(__xludf.DUMMYFUNCTION("""COMPUTED_VALUE"""),4.0)</f>
        <v>4</v>
      </c>
      <c r="L330" s="201" t="str">
        <f>IFERROR(__xludf.DUMMYFUNCTION("""COMPUTED_VALUE"""),"Action")</f>
        <v>Action</v>
      </c>
    </row>
    <row r="331">
      <c r="A331" s="190" t="str">
        <f>IFERROR(__xludf.DUMMYFUNCTION("""COMPUTED_VALUE"""),"For The King II")</f>
        <v>For The King II</v>
      </c>
      <c r="B331" s="195" t="str">
        <f>IFERROR(__xludf.DUMMYFUNCTION("""COMPUTED_VALUE"""),"Xbox / PC")</f>
        <v>Xbox / PC</v>
      </c>
      <c r="C331" s="196" t="str">
        <f>IFERROR(__xludf.DUMMYFUNCTION("""COMPUTED_VALUE"""),"Yes")</f>
        <v>Yes</v>
      </c>
      <c r="D331" s="196" t="str">
        <f>IFERROR(__xludf.DUMMYFUNCTION("""COMPUTED_VALUE"""),"Active")</f>
        <v>Active</v>
      </c>
      <c r="E331" s="197">
        <f>IFERROR(__xludf.DUMMYFUNCTION("""COMPUTED_VALUE"""),45638.0)</f>
        <v>45638</v>
      </c>
      <c r="F331" s="198"/>
      <c r="G331" s="199">
        <f>IFERROR(__xludf.DUMMYFUNCTION("""COMPUTED_VALUE"""),10.1)</f>
        <v>10.1</v>
      </c>
      <c r="H331" s="197">
        <f>IFERROR(__xludf.DUMMYFUNCTION("""COMPUTED_VALUE"""),45232.0)</f>
        <v>45232</v>
      </c>
      <c r="I331" s="199">
        <f>IFERROR(__xludf.DUMMYFUNCTION("""COMPUTED_VALUE"""),1.1111111111111112)</f>
        <v>1.111111111</v>
      </c>
      <c r="J331" s="200">
        <f>IFERROR(__xludf.DUMMYFUNCTION("""COMPUTED_VALUE"""),76.0)</f>
        <v>76</v>
      </c>
      <c r="K331" s="200">
        <f>IFERROR(__xludf.DUMMYFUNCTION("""COMPUTED_VALUE"""),15.0)</f>
        <v>15</v>
      </c>
      <c r="L331" s="201" t="str">
        <f>IFERROR(__xludf.DUMMYFUNCTION("""COMPUTED_VALUE"""),"Roguelike")</f>
        <v>Roguelike</v>
      </c>
    </row>
    <row r="332">
      <c r="A332" s="190" t="str">
        <f>IFERROR(__xludf.DUMMYFUNCTION("""COMPUTED_VALUE"""),"Trials of Mana (2020)")</f>
        <v>Trials of Mana (2020)</v>
      </c>
      <c r="B332" s="195" t="str">
        <f>IFERROR(__xludf.DUMMYFUNCTION("""COMPUTED_VALUE"""),"Xbox / PC")</f>
        <v>Xbox / PC</v>
      </c>
      <c r="C332" s="196" t="str">
        <f>IFERROR(__xludf.DUMMYFUNCTION("""COMPUTED_VALUE"""),"Yes")</f>
        <v>Yes</v>
      </c>
      <c r="D332" s="196" t="str">
        <f>IFERROR(__xludf.DUMMYFUNCTION("""COMPUTED_VALUE"""),"Active")</f>
        <v>Active</v>
      </c>
      <c r="E332" s="197">
        <f>IFERROR(__xludf.DUMMYFUNCTION("""COMPUTED_VALUE"""),45561.0)</f>
        <v>45561</v>
      </c>
      <c r="F332" s="198"/>
      <c r="G332" s="199">
        <f>IFERROR(__xludf.DUMMYFUNCTION("""COMPUTED_VALUE"""),12.633333333333333)</f>
        <v>12.63333333</v>
      </c>
      <c r="H332" s="197">
        <f>IFERROR(__xludf.DUMMYFUNCTION("""COMPUTED_VALUE"""),43945.0)</f>
        <v>43945</v>
      </c>
      <c r="I332" s="199">
        <f>IFERROR(__xludf.DUMMYFUNCTION("""COMPUTED_VALUE"""),4.4222222222222225)</f>
        <v>4.422222222</v>
      </c>
      <c r="J332" s="200">
        <f>IFERROR(__xludf.DUMMYFUNCTION("""COMPUTED_VALUE"""),76.0)</f>
        <v>76</v>
      </c>
      <c r="K332" s="200">
        <f>IFERROR(__xludf.DUMMYFUNCTION("""COMPUTED_VALUE"""),21.0)</f>
        <v>21</v>
      </c>
      <c r="L332" s="201" t="str">
        <f>IFERROR(__xludf.DUMMYFUNCTION("""COMPUTED_VALUE"""),"RPG")</f>
        <v>RPG</v>
      </c>
    </row>
    <row r="333">
      <c r="A333" s="190" t="str">
        <f>IFERROR(__xludf.DUMMYFUNCTION("""COMPUTED_VALUE"""),"Ara: History Untold")</f>
        <v>Ara: History Untold</v>
      </c>
      <c r="B333" s="195" t="str">
        <f>IFERROR(__xludf.DUMMYFUNCTION("""COMPUTED_VALUE"""),"PC")</f>
        <v>PC</v>
      </c>
      <c r="C333" s="196"/>
      <c r="D333" s="196" t="str">
        <f>IFERROR(__xludf.DUMMYFUNCTION("""COMPUTED_VALUE"""),"Active")</f>
        <v>Active</v>
      </c>
      <c r="E333" s="197">
        <f>IFERROR(__xludf.DUMMYFUNCTION("""COMPUTED_VALUE"""),45559.0)</f>
        <v>45559</v>
      </c>
      <c r="F333" s="198"/>
      <c r="G333" s="199">
        <f>IFERROR(__xludf.DUMMYFUNCTION("""COMPUTED_VALUE"""),12.7)</f>
        <v>12.7</v>
      </c>
      <c r="H333" s="197">
        <f>IFERROR(__xludf.DUMMYFUNCTION("""COMPUTED_VALUE"""),45559.0)</f>
        <v>45559</v>
      </c>
      <c r="I333" s="199">
        <f>IFERROR(__xludf.DUMMYFUNCTION("""COMPUTED_VALUE"""),0.0)</f>
        <v>0</v>
      </c>
      <c r="J333" s="200">
        <f>IFERROR(__xludf.DUMMYFUNCTION("""COMPUTED_VALUE"""),76.0)</f>
        <v>76</v>
      </c>
      <c r="K333" s="200">
        <f>IFERROR(__xludf.DUMMYFUNCTION("""COMPUTED_VALUE"""),13.0)</f>
        <v>13</v>
      </c>
      <c r="L333" s="201" t="str">
        <f>IFERROR(__xludf.DUMMYFUNCTION("""COMPUTED_VALUE"""),"Strategy")</f>
        <v>Strategy</v>
      </c>
    </row>
    <row r="334">
      <c r="A334" s="190" t="str">
        <f>IFERROR(__xludf.DUMMYFUNCTION("""COMPUTED_VALUE"""),"EA Sports PGA Tour")</f>
        <v>EA Sports PGA Tour</v>
      </c>
      <c r="B334" s="195" t="str">
        <f>IFERROR(__xludf.DUMMYFUNCTION("""COMPUTED_VALUE"""),"Xbox / PC")</f>
        <v>Xbox / PC</v>
      </c>
      <c r="C334" s="196" t="str">
        <f>IFERROR(__xludf.DUMMYFUNCTION("""COMPUTED_VALUE"""),"Yes")</f>
        <v>Yes</v>
      </c>
      <c r="D334" s="196" t="str">
        <f>IFERROR(__xludf.DUMMYFUNCTION("""COMPUTED_VALUE"""),"Active")</f>
        <v>Active</v>
      </c>
      <c r="E334" s="197">
        <f>IFERROR(__xludf.DUMMYFUNCTION("""COMPUTED_VALUE"""),45386.0)</f>
        <v>45386</v>
      </c>
      <c r="F334" s="198"/>
      <c r="G334" s="199">
        <f>IFERROR(__xludf.DUMMYFUNCTION("""COMPUTED_VALUE"""),18.366666666666667)</f>
        <v>18.36666667</v>
      </c>
      <c r="H334" s="197">
        <f>IFERROR(__xludf.DUMMYFUNCTION("""COMPUTED_VALUE"""),45020.0)</f>
        <v>45020</v>
      </c>
      <c r="I334" s="199">
        <f>IFERROR(__xludf.DUMMYFUNCTION("""COMPUTED_VALUE"""),1.0)</f>
        <v>1</v>
      </c>
      <c r="J334" s="200">
        <f>IFERROR(__xludf.DUMMYFUNCTION("""COMPUTED_VALUE"""),76.0)</f>
        <v>76</v>
      </c>
      <c r="K334" s="200"/>
      <c r="L334" s="201" t="str">
        <f>IFERROR(__xludf.DUMMYFUNCTION("""COMPUTED_VALUE"""),"Sports")</f>
        <v>Sports</v>
      </c>
    </row>
    <row r="335">
      <c r="A335" s="190" t="str">
        <f>IFERROR(__xludf.DUMMYFUNCTION("""COMPUTED_VALUE"""),"Brotato")</f>
        <v>Brotato</v>
      </c>
      <c r="B335" s="195" t="str">
        <f>IFERROR(__xludf.DUMMYFUNCTION("""COMPUTED_VALUE"""),"Xbox / PC")</f>
        <v>Xbox / PC</v>
      </c>
      <c r="C335" s="196" t="str">
        <f>IFERROR(__xludf.DUMMYFUNCTION("""COMPUTED_VALUE"""),"Yes")</f>
        <v>Yes</v>
      </c>
      <c r="D335" s="196" t="str">
        <f>IFERROR(__xludf.DUMMYFUNCTION("""COMPUTED_VALUE"""),"Active")</f>
        <v>Active</v>
      </c>
      <c r="E335" s="197">
        <f>IFERROR(__xludf.DUMMYFUNCTION("""COMPUTED_VALUE"""),45321.0)</f>
        <v>45321</v>
      </c>
      <c r="F335" s="198"/>
      <c r="G335" s="199">
        <f>IFERROR(__xludf.DUMMYFUNCTION("""COMPUTED_VALUE"""),20.5)</f>
        <v>20.5</v>
      </c>
      <c r="H335" s="197">
        <f>IFERROR(__xludf.DUMMYFUNCTION("""COMPUTED_VALUE"""),44619.0)</f>
        <v>44619</v>
      </c>
      <c r="I335" s="199">
        <f>IFERROR(__xludf.DUMMYFUNCTION("""COMPUTED_VALUE"""),1.925)</f>
        <v>1.925</v>
      </c>
      <c r="J335" s="200">
        <f>IFERROR(__xludf.DUMMYFUNCTION("""COMPUTED_VALUE"""),76.0)</f>
        <v>76</v>
      </c>
      <c r="K335" s="200">
        <f>IFERROR(__xludf.DUMMYFUNCTION("""COMPUTED_VALUE"""),5.0)</f>
        <v>5</v>
      </c>
      <c r="L335" s="201" t="str">
        <f>IFERROR(__xludf.DUMMYFUNCTION("""COMPUTED_VALUE"""),"Action")</f>
        <v>Action</v>
      </c>
    </row>
    <row r="336">
      <c r="A336" s="190" t="str">
        <f>IFERROR(__xludf.DUMMYFUNCTION("""COMPUTED_VALUE"""),"Spirittea")</f>
        <v>Spirittea</v>
      </c>
      <c r="B336" s="195" t="str">
        <f>IFERROR(__xludf.DUMMYFUNCTION("""COMPUTED_VALUE"""),"Xbox / PC")</f>
        <v>Xbox / PC</v>
      </c>
      <c r="C336" s="196" t="str">
        <f>IFERROR(__xludf.DUMMYFUNCTION("""COMPUTED_VALUE"""),"Yes")</f>
        <v>Yes</v>
      </c>
      <c r="D336" s="196" t="str">
        <f>IFERROR(__xludf.DUMMYFUNCTION("""COMPUTED_VALUE"""),"Active")</f>
        <v>Active</v>
      </c>
      <c r="E336" s="197">
        <f>IFERROR(__xludf.DUMMYFUNCTION("""COMPUTED_VALUE"""),45243.0)</f>
        <v>45243</v>
      </c>
      <c r="F336" s="198"/>
      <c r="G336" s="199">
        <f>IFERROR(__xludf.DUMMYFUNCTION("""COMPUTED_VALUE"""),23.066666666666666)</f>
        <v>23.06666667</v>
      </c>
      <c r="H336" s="197">
        <f>IFERROR(__xludf.DUMMYFUNCTION("""COMPUTED_VALUE"""),45243.0)</f>
        <v>45243</v>
      </c>
      <c r="I336" s="199">
        <f>IFERROR(__xludf.DUMMYFUNCTION("""COMPUTED_VALUE"""),0.0)</f>
        <v>0</v>
      </c>
      <c r="J336" s="200">
        <f>IFERROR(__xludf.DUMMYFUNCTION("""COMPUTED_VALUE"""),76.0)</f>
        <v>76</v>
      </c>
      <c r="K336" s="200">
        <f>IFERROR(__xludf.DUMMYFUNCTION("""COMPUTED_VALUE"""),33.0)</f>
        <v>33</v>
      </c>
      <c r="L336" s="201" t="str">
        <f>IFERROR(__xludf.DUMMYFUNCTION("""COMPUTED_VALUE"""),"Strategy / Adventure / RPG / Simulation")</f>
        <v>Strategy / Adventure / RPG / Simulation</v>
      </c>
    </row>
    <row r="337">
      <c r="A337" s="190" t="str">
        <f>IFERROR(__xludf.DUMMYFUNCTION("""COMPUTED_VALUE"""),"Ghostwire: Tokyo")</f>
        <v>Ghostwire: Tokyo</v>
      </c>
      <c r="B337" s="195" t="str">
        <f>IFERROR(__xludf.DUMMYFUNCTION("""COMPUTED_VALUE"""),"Xbox / PC")</f>
        <v>Xbox / PC</v>
      </c>
      <c r="C337" s="196" t="str">
        <f>IFERROR(__xludf.DUMMYFUNCTION("""COMPUTED_VALUE"""),"Yes")</f>
        <v>Yes</v>
      </c>
      <c r="D337" s="196" t="str">
        <f>IFERROR(__xludf.DUMMYFUNCTION("""COMPUTED_VALUE"""),"Active")</f>
        <v>Active</v>
      </c>
      <c r="E337" s="197">
        <f>IFERROR(__xludf.DUMMYFUNCTION("""COMPUTED_VALUE"""),45028.0)</f>
        <v>45028</v>
      </c>
      <c r="F337" s="198"/>
      <c r="G337" s="199">
        <f>IFERROR(__xludf.DUMMYFUNCTION("""COMPUTED_VALUE"""),30.1)</f>
        <v>30.1</v>
      </c>
      <c r="H337" s="197">
        <f>IFERROR(__xludf.DUMMYFUNCTION("""COMPUTED_VALUE"""),44645.0)</f>
        <v>44645</v>
      </c>
      <c r="I337" s="199">
        <f>IFERROR(__xludf.DUMMYFUNCTION("""COMPUTED_VALUE"""),1.0472222222222223)</f>
        <v>1.047222222</v>
      </c>
      <c r="J337" s="200">
        <f>IFERROR(__xludf.DUMMYFUNCTION("""COMPUTED_VALUE"""),76.0)</f>
        <v>76</v>
      </c>
      <c r="K337" s="200">
        <f>IFERROR(__xludf.DUMMYFUNCTION("""COMPUTED_VALUE"""),11.0)</f>
        <v>11</v>
      </c>
      <c r="L337" s="201" t="str">
        <f>IFERROR(__xludf.DUMMYFUNCTION("""COMPUTED_VALUE"""),"Action-Adventure")</f>
        <v>Action-Adventure</v>
      </c>
    </row>
    <row r="338">
      <c r="A338" s="190" t="str">
        <f>IFERROR(__xludf.DUMMYFUNCTION("""COMPUTED_VALUE"""),"Tom Clancy's Ghost Recon: Wildlands")</f>
        <v>Tom Clancy's Ghost Recon: Wildlands</v>
      </c>
      <c r="B338" s="195" t="str">
        <f>IFERROR(__xludf.DUMMYFUNCTION("""COMPUTED_VALUE"""),"Xbox / PC")</f>
        <v>Xbox / PC</v>
      </c>
      <c r="C338" s="196" t="str">
        <f>IFERROR(__xludf.DUMMYFUNCTION("""COMPUTED_VALUE"""),"Yes")</f>
        <v>Yes</v>
      </c>
      <c r="D338" s="196" t="str">
        <f>IFERROR(__xludf.DUMMYFUNCTION("""COMPUTED_VALUE"""),"Active")</f>
        <v>Active</v>
      </c>
      <c r="E338" s="197">
        <f>IFERROR(__xludf.DUMMYFUNCTION("""COMPUTED_VALUE"""),44774.0)</f>
        <v>44774</v>
      </c>
      <c r="F338" s="198"/>
      <c r="G338" s="199">
        <f>IFERROR(__xludf.DUMMYFUNCTION("""COMPUTED_VALUE"""),38.46666666666667)</f>
        <v>38.46666667</v>
      </c>
      <c r="H338" s="197">
        <f>IFERROR(__xludf.DUMMYFUNCTION("""COMPUTED_VALUE"""),42801.0)</f>
        <v>42801</v>
      </c>
      <c r="I338" s="199">
        <f>IFERROR(__xludf.DUMMYFUNCTION("""COMPUTED_VALUE"""),5.4)</f>
        <v>5.4</v>
      </c>
      <c r="J338" s="200">
        <f>IFERROR(__xludf.DUMMYFUNCTION("""COMPUTED_VALUE"""),76.0)</f>
        <v>76</v>
      </c>
      <c r="K338" s="200">
        <f>IFERROR(__xludf.DUMMYFUNCTION("""COMPUTED_VALUE"""),26.5)</f>
        <v>26.5</v>
      </c>
      <c r="L338" s="201" t="str">
        <f>IFERROR(__xludf.DUMMYFUNCTION("""COMPUTED_VALUE"""),"Shooter")</f>
        <v>Shooter</v>
      </c>
    </row>
    <row r="339">
      <c r="A339" s="190" t="str">
        <f>IFERROR(__xludf.DUMMYFUNCTION("""COMPUTED_VALUE"""),"PowerWash Simulator")</f>
        <v>PowerWash Simulator</v>
      </c>
      <c r="B339" s="195" t="str">
        <f>IFERROR(__xludf.DUMMYFUNCTION("""COMPUTED_VALUE"""),"Xbox / PC")</f>
        <v>Xbox / PC</v>
      </c>
      <c r="C339" s="196" t="str">
        <f>IFERROR(__xludf.DUMMYFUNCTION("""COMPUTED_VALUE"""),"Yes")</f>
        <v>Yes</v>
      </c>
      <c r="D339" s="196" t="str">
        <f>IFERROR(__xludf.DUMMYFUNCTION("""COMPUTED_VALUE"""),"Active")</f>
        <v>Active</v>
      </c>
      <c r="E339" s="197">
        <f>IFERROR(__xludf.DUMMYFUNCTION("""COMPUTED_VALUE"""),44756.0)</f>
        <v>44756</v>
      </c>
      <c r="F339" s="198"/>
      <c r="G339" s="199">
        <f>IFERROR(__xludf.DUMMYFUNCTION("""COMPUTED_VALUE"""),39.03333333333333)</f>
        <v>39.03333333</v>
      </c>
      <c r="H339" s="197">
        <f>IFERROR(__xludf.DUMMYFUNCTION("""COMPUTED_VALUE"""),44335.0)</f>
        <v>44335</v>
      </c>
      <c r="I339" s="199">
        <f>IFERROR(__xludf.DUMMYFUNCTION("""COMPUTED_VALUE"""),1.1527777777777777)</f>
        <v>1.152777778</v>
      </c>
      <c r="J339" s="200">
        <f>IFERROR(__xludf.DUMMYFUNCTION("""COMPUTED_VALUE"""),76.0)</f>
        <v>76</v>
      </c>
      <c r="K339" s="200">
        <f>IFERROR(__xludf.DUMMYFUNCTION("""COMPUTED_VALUE"""),21.5)</f>
        <v>21.5</v>
      </c>
      <c r="L339" s="201" t="str">
        <f>IFERROR(__xludf.DUMMYFUNCTION("""COMPUTED_VALUE"""),"Simulation")</f>
        <v>Simulation</v>
      </c>
    </row>
    <row r="340">
      <c r="A340" s="190" t="str">
        <f>IFERROR(__xludf.DUMMYFUNCTION("""COMPUTED_VALUE"""),"Lost In Random")</f>
        <v>Lost In Random</v>
      </c>
      <c r="B340" s="195" t="str">
        <f>IFERROR(__xludf.DUMMYFUNCTION("""COMPUTED_VALUE"""),"Xbox / PC")</f>
        <v>Xbox / PC</v>
      </c>
      <c r="C340" s="196" t="str">
        <f>IFERROR(__xludf.DUMMYFUNCTION("""COMPUTED_VALUE"""),"Touch Controls")</f>
        <v>Touch Controls</v>
      </c>
      <c r="D340" s="196" t="str">
        <f>IFERROR(__xludf.DUMMYFUNCTION("""COMPUTED_VALUE"""),"Active")</f>
        <v>Active</v>
      </c>
      <c r="E340" s="197">
        <f>IFERROR(__xludf.DUMMYFUNCTION("""COMPUTED_VALUE"""),44663.0)</f>
        <v>44663</v>
      </c>
      <c r="F340" s="198"/>
      <c r="G340" s="199">
        <f>IFERROR(__xludf.DUMMYFUNCTION("""COMPUTED_VALUE"""),42.1)</f>
        <v>42.1</v>
      </c>
      <c r="H340" s="197">
        <f>IFERROR(__xludf.DUMMYFUNCTION("""COMPUTED_VALUE"""),44449.0)</f>
        <v>44449</v>
      </c>
      <c r="I340" s="199">
        <f>IFERROR(__xludf.DUMMYFUNCTION("""COMPUTED_VALUE"""),0.5888888888888889)</f>
        <v>0.5888888889</v>
      </c>
      <c r="J340" s="200">
        <f>IFERROR(__xludf.DUMMYFUNCTION("""COMPUTED_VALUE"""),76.0)</f>
        <v>76</v>
      </c>
      <c r="K340" s="200">
        <f>IFERROR(__xludf.DUMMYFUNCTION("""COMPUTED_VALUE"""),11.5)</f>
        <v>11.5</v>
      </c>
      <c r="L340" s="201" t="str">
        <f>IFERROR(__xludf.DUMMYFUNCTION("""COMPUTED_VALUE"""),"RPG / Card Game / Action-Adventure")</f>
        <v>RPG / Card Game / Action-Adventure</v>
      </c>
    </row>
    <row r="341">
      <c r="A341" s="190" t="str">
        <f>IFERROR(__xludf.DUMMYFUNCTION("""COMPUTED_VALUE"""),"Peggle Nights")</f>
        <v>Peggle Nights</v>
      </c>
      <c r="B341" s="195" t="str">
        <f>IFERROR(__xludf.DUMMYFUNCTION("""COMPUTED_VALUE"""),"PC")</f>
        <v>PC</v>
      </c>
      <c r="C341" s="196"/>
      <c r="D341" s="196" t="str">
        <f>IFERROR(__xludf.DUMMYFUNCTION("""COMPUTED_VALUE"""),"Active")</f>
        <v>Active</v>
      </c>
      <c r="E341" s="197">
        <f>IFERROR(__xludf.DUMMYFUNCTION("""COMPUTED_VALUE"""),44597.0)</f>
        <v>44597</v>
      </c>
      <c r="F341" s="198"/>
      <c r="G341" s="199">
        <f>IFERROR(__xludf.DUMMYFUNCTION("""COMPUTED_VALUE"""),44.333333333333336)</f>
        <v>44.33333333</v>
      </c>
      <c r="H341" s="197">
        <f>IFERROR(__xludf.DUMMYFUNCTION("""COMPUTED_VALUE"""),39708.0)</f>
        <v>39708</v>
      </c>
      <c r="I341" s="199">
        <f>IFERROR(__xludf.DUMMYFUNCTION("""COMPUTED_VALUE"""),13.383333333333333)</f>
        <v>13.38333333</v>
      </c>
      <c r="J341" s="200">
        <f>IFERROR(__xludf.DUMMYFUNCTION("""COMPUTED_VALUE"""),76.0)</f>
        <v>76</v>
      </c>
      <c r="K341" s="200">
        <f>IFERROR(__xludf.DUMMYFUNCTION("""COMPUTED_VALUE"""),3.5)</f>
        <v>3.5</v>
      </c>
      <c r="L341" s="201" t="str">
        <f>IFERROR(__xludf.DUMMYFUNCTION("""COMPUTED_VALUE"""),"Puzzle / Pinball / Block-Breaking")</f>
        <v>Puzzle / Pinball / Block-Breaking</v>
      </c>
    </row>
    <row r="342">
      <c r="A342" s="190" t="str">
        <f>IFERROR(__xludf.DUMMYFUNCTION("""COMPUTED_VALUE"""),"Need for Speed: Hot Pursuit - Remastered")</f>
        <v>Need for Speed: Hot Pursuit - Remastered</v>
      </c>
      <c r="B342" s="195" t="str">
        <f>IFERROR(__xludf.DUMMYFUNCTION("""COMPUTED_VALUE"""),"Xbox / PC")</f>
        <v>Xbox / PC</v>
      </c>
      <c r="C342" s="196" t="str">
        <f>IFERROR(__xludf.DUMMYFUNCTION("""COMPUTED_VALUE"""),"Touch Controls")</f>
        <v>Touch Controls</v>
      </c>
      <c r="D342" s="196" t="str">
        <f>IFERROR(__xludf.DUMMYFUNCTION("""COMPUTED_VALUE"""),"Active")</f>
        <v>Active</v>
      </c>
      <c r="E342" s="197">
        <f>IFERROR(__xludf.DUMMYFUNCTION("""COMPUTED_VALUE"""),44371.0)</f>
        <v>44371</v>
      </c>
      <c r="F342" s="198"/>
      <c r="G342" s="199">
        <f>IFERROR(__xludf.DUMMYFUNCTION("""COMPUTED_VALUE"""),51.7)</f>
        <v>51.7</v>
      </c>
      <c r="H342" s="197">
        <f>IFERROR(__xludf.DUMMYFUNCTION("""COMPUTED_VALUE"""),44141.0)</f>
        <v>44141</v>
      </c>
      <c r="I342" s="199">
        <f>IFERROR(__xludf.DUMMYFUNCTION("""COMPUTED_VALUE"""),0.6333333333333333)</f>
        <v>0.6333333333</v>
      </c>
      <c r="J342" s="200">
        <f>IFERROR(__xludf.DUMMYFUNCTION("""COMPUTED_VALUE"""),76.0)</f>
        <v>76</v>
      </c>
      <c r="K342" s="200">
        <f>IFERROR(__xludf.DUMMYFUNCTION("""COMPUTED_VALUE"""),15.5)</f>
        <v>15.5</v>
      </c>
      <c r="L342" s="201" t="str">
        <f>IFERROR(__xludf.DUMMYFUNCTION("""COMPUTED_VALUE"""),"Driving/Racing")</f>
        <v>Driving/Racing</v>
      </c>
    </row>
    <row r="343">
      <c r="A343" s="190" t="str">
        <f>IFERROR(__xludf.DUMMYFUNCTION("""COMPUTED_VALUE"""),"The Saboteur")</f>
        <v>The Saboteur</v>
      </c>
      <c r="B343" s="195" t="str">
        <f>IFERROR(__xludf.DUMMYFUNCTION("""COMPUTED_VALUE"""),"PC")</f>
        <v>PC</v>
      </c>
      <c r="C343" s="196"/>
      <c r="D343" s="196" t="str">
        <f>IFERROR(__xludf.DUMMYFUNCTION("""COMPUTED_VALUE"""),"Active")</f>
        <v>Active</v>
      </c>
      <c r="E343" s="197">
        <f>IFERROR(__xludf.DUMMYFUNCTION("""COMPUTED_VALUE"""),44273.0)</f>
        <v>44273</v>
      </c>
      <c r="F343" s="198"/>
      <c r="G343" s="199">
        <f>IFERROR(__xludf.DUMMYFUNCTION("""COMPUTED_VALUE"""),54.900000000000006)</f>
        <v>54.9</v>
      </c>
      <c r="H343" s="197">
        <f>IFERROR(__xludf.DUMMYFUNCTION("""COMPUTED_VALUE"""),40155.0)</f>
        <v>40155</v>
      </c>
      <c r="I343" s="199">
        <f>IFERROR(__xludf.DUMMYFUNCTION("""COMPUTED_VALUE"""),11.277777777777779)</f>
        <v>11.27777778</v>
      </c>
      <c r="J343" s="200">
        <f>IFERROR(__xludf.DUMMYFUNCTION("""COMPUTED_VALUE"""),76.0)</f>
        <v>76</v>
      </c>
      <c r="K343" s="200">
        <f>IFERROR(__xludf.DUMMYFUNCTION("""COMPUTED_VALUE"""),11.0)</f>
        <v>11</v>
      </c>
      <c r="L343" s="201" t="str">
        <f>IFERROR(__xludf.DUMMYFUNCTION("""COMPUTED_VALUE"""),"Shooter / Action-Adventure")</f>
        <v>Shooter / Action-Adventure</v>
      </c>
    </row>
    <row r="344">
      <c r="A344" s="190" t="str">
        <f>IFERROR(__xludf.DUMMYFUNCTION("""COMPUTED_VALUE"""),"Dishonored: Definitive Edition")</f>
        <v>Dishonored: Definitive Edition</v>
      </c>
      <c r="B344" s="195" t="str">
        <f>IFERROR(__xludf.DUMMYFUNCTION("""COMPUTED_VALUE"""),"Xbox / PC")</f>
        <v>Xbox / PC</v>
      </c>
      <c r="C344" s="196" t="str">
        <f>IFERROR(__xludf.DUMMYFUNCTION("""COMPUTED_VALUE"""),"Yes")</f>
        <v>Yes</v>
      </c>
      <c r="D344" s="196" t="str">
        <f>IFERROR(__xludf.DUMMYFUNCTION("""COMPUTED_VALUE"""),"Active")</f>
        <v>Active</v>
      </c>
      <c r="E344" s="197">
        <f>IFERROR(__xludf.DUMMYFUNCTION("""COMPUTED_VALUE"""),44267.0)</f>
        <v>44267</v>
      </c>
      <c r="F344" s="198"/>
      <c r="G344" s="199">
        <f>IFERROR(__xludf.DUMMYFUNCTION("""COMPUTED_VALUE"""),55.1)</f>
        <v>55.1</v>
      </c>
      <c r="H344" s="197">
        <f>IFERROR(__xludf.DUMMYFUNCTION("""COMPUTED_VALUE"""),43337.0)</f>
        <v>43337</v>
      </c>
      <c r="I344" s="199">
        <f>IFERROR(__xludf.DUMMYFUNCTION("""COMPUTED_VALUE"""),2.547222222222222)</f>
        <v>2.547222222</v>
      </c>
      <c r="J344" s="200">
        <f>IFERROR(__xludf.DUMMYFUNCTION("""COMPUTED_VALUE"""),76.0)</f>
        <v>76</v>
      </c>
      <c r="K344" s="200">
        <f>IFERROR(__xludf.DUMMYFUNCTION("""COMPUTED_VALUE"""),12.5)</f>
        <v>12.5</v>
      </c>
      <c r="L344" s="201" t="str">
        <f>IFERROR(__xludf.DUMMYFUNCTION("""COMPUTED_VALUE"""),"RPG / First-Person Shooter / Action-Adventure")</f>
        <v>RPG / First-Person Shooter / Action-Adventure</v>
      </c>
    </row>
    <row r="345">
      <c r="A345" s="190" t="str">
        <f>IFERROR(__xludf.DUMMYFUNCTION("""COMPUTED_VALUE"""),"Crysis 3")</f>
        <v>Crysis 3</v>
      </c>
      <c r="B345" s="195" t="str">
        <f>IFERROR(__xludf.DUMMYFUNCTION("""COMPUTED_VALUE"""),"Xbox / PC")</f>
        <v>Xbox / PC</v>
      </c>
      <c r="C345" s="196"/>
      <c r="D345" s="196" t="str">
        <f>IFERROR(__xludf.DUMMYFUNCTION("""COMPUTED_VALUE"""),"Active")</f>
        <v>Active</v>
      </c>
      <c r="E345" s="197">
        <f>IFERROR(__xludf.DUMMYFUNCTION("""COMPUTED_VALUE"""),44145.0)</f>
        <v>44145</v>
      </c>
      <c r="F345" s="198"/>
      <c r="G345" s="199">
        <f>IFERROR(__xludf.DUMMYFUNCTION("""COMPUTED_VALUE"""),59.166666666666664)</f>
        <v>59.16666667</v>
      </c>
      <c r="H345" s="197">
        <f>IFERROR(__xludf.DUMMYFUNCTION("""COMPUTED_VALUE"""),41324.0)</f>
        <v>41324</v>
      </c>
      <c r="I345" s="199">
        <f>IFERROR(__xludf.DUMMYFUNCTION("""COMPUTED_VALUE"""),7.725)</f>
        <v>7.725</v>
      </c>
      <c r="J345" s="200">
        <f>IFERROR(__xludf.DUMMYFUNCTION("""COMPUTED_VALUE"""),76.0)</f>
        <v>76</v>
      </c>
      <c r="K345" s="200">
        <f>IFERROR(__xludf.DUMMYFUNCTION("""COMPUTED_VALUE"""),7.0)</f>
        <v>7</v>
      </c>
      <c r="L345" s="201" t="str">
        <f>IFERROR(__xludf.DUMMYFUNCTION("""COMPUTED_VALUE"""),"First-Person Shooter")</f>
        <v>First-Person Shooter</v>
      </c>
    </row>
    <row r="346">
      <c r="A346" s="190" t="str">
        <f>IFERROR(__xludf.DUMMYFUNCTION("""COMPUTED_VALUE"""),"Mass Effect: Andromeda - Deluxe Edition")</f>
        <v>Mass Effect: Andromeda - Deluxe Edition</v>
      </c>
      <c r="B346" s="195" t="str">
        <f>IFERROR(__xludf.DUMMYFUNCTION("""COMPUTED_VALUE"""),"Xbox / PC")</f>
        <v>Xbox / PC</v>
      </c>
      <c r="C346" s="196" t="str">
        <f>IFERROR(__xludf.DUMMYFUNCTION("""COMPUTED_VALUE"""),"Yes")</f>
        <v>Yes</v>
      </c>
      <c r="D346" s="196" t="str">
        <f>IFERROR(__xludf.DUMMYFUNCTION("""COMPUTED_VALUE"""),"Active")</f>
        <v>Active</v>
      </c>
      <c r="E346" s="197">
        <f>IFERROR(__xludf.DUMMYFUNCTION("""COMPUTED_VALUE"""),44145.0)</f>
        <v>44145</v>
      </c>
      <c r="F346" s="198"/>
      <c r="G346" s="199">
        <f>IFERROR(__xludf.DUMMYFUNCTION("""COMPUTED_VALUE"""),59.166666666666664)</f>
        <v>59.16666667</v>
      </c>
      <c r="H346" s="197">
        <f>IFERROR(__xludf.DUMMYFUNCTION("""COMPUTED_VALUE"""),42815.0)</f>
        <v>42815</v>
      </c>
      <c r="I346" s="199">
        <f>IFERROR(__xludf.DUMMYFUNCTION("""COMPUTED_VALUE"""),3.636111111111111)</f>
        <v>3.636111111</v>
      </c>
      <c r="J346" s="200">
        <f>IFERROR(__xludf.DUMMYFUNCTION("""COMPUTED_VALUE"""),76.0)</f>
        <v>76</v>
      </c>
      <c r="K346" s="200">
        <f>IFERROR(__xludf.DUMMYFUNCTION("""COMPUTED_VALUE"""),18.5)</f>
        <v>18.5</v>
      </c>
      <c r="L346" s="201" t="str">
        <f>IFERROR(__xludf.DUMMYFUNCTION("""COMPUTED_VALUE"""),"RPG / Action-Adventure")</f>
        <v>RPG / Action-Adventure</v>
      </c>
    </row>
    <row r="347">
      <c r="A347" s="190" t="str">
        <f>IFERROR(__xludf.DUMMYFUNCTION("""COMPUTED_VALUE"""),"Plants vs. Zombies: Battle for Neighborville - Deluxe Edition")</f>
        <v>Plants vs. Zombies: Battle for Neighborville - Deluxe Edition</v>
      </c>
      <c r="B347" s="195" t="str">
        <f>IFERROR(__xludf.DUMMYFUNCTION("""COMPUTED_VALUE"""),"Xbox / PC")</f>
        <v>Xbox / PC</v>
      </c>
      <c r="C347" s="196" t="str">
        <f>IFERROR(__xludf.DUMMYFUNCTION("""COMPUTED_VALUE"""),"Yes")</f>
        <v>Yes</v>
      </c>
      <c r="D347" s="196" t="str">
        <f>IFERROR(__xludf.DUMMYFUNCTION("""COMPUTED_VALUE"""),"Active")</f>
        <v>Active</v>
      </c>
      <c r="E347" s="197">
        <f>IFERROR(__xludf.DUMMYFUNCTION("""COMPUTED_VALUE"""),44145.0)</f>
        <v>44145</v>
      </c>
      <c r="F347" s="198"/>
      <c r="G347" s="199">
        <f>IFERROR(__xludf.DUMMYFUNCTION("""COMPUTED_VALUE"""),59.166666666666664)</f>
        <v>59.16666667</v>
      </c>
      <c r="H347" s="197">
        <f>IFERROR(__xludf.DUMMYFUNCTION("""COMPUTED_VALUE"""),43756.0)</f>
        <v>43756</v>
      </c>
      <c r="I347" s="199">
        <f>IFERROR(__xludf.DUMMYFUNCTION("""COMPUTED_VALUE"""),1.0611111111111111)</f>
        <v>1.061111111</v>
      </c>
      <c r="J347" s="200">
        <f>IFERROR(__xludf.DUMMYFUNCTION("""COMPUTED_VALUE"""),76.0)</f>
        <v>76</v>
      </c>
      <c r="K347" s="200">
        <f>IFERROR(__xludf.DUMMYFUNCTION("""COMPUTED_VALUE"""),4.5)</f>
        <v>4.5</v>
      </c>
      <c r="L347" s="201" t="str">
        <f>IFERROR(__xludf.DUMMYFUNCTION("""COMPUTED_VALUE"""),"Shooter")</f>
        <v>Shooter</v>
      </c>
    </row>
    <row r="348">
      <c r="A348" s="190" t="str">
        <f>IFERROR(__xludf.DUMMYFUNCTION("""COMPUTED_VALUE"""),"Plants vs. Zombies: Garden Warfare")</f>
        <v>Plants vs. Zombies: Garden Warfare</v>
      </c>
      <c r="B348" s="195" t="str">
        <f>IFERROR(__xludf.DUMMYFUNCTION("""COMPUTED_VALUE"""),"Xbox / PC")</f>
        <v>Xbox / PC</v>
      </c>
      <c r="C348" s="196" t="str">
        <f>IFERROR(__xludf.DUMMYFUNCTION("""COMPUTED_VALUE"""),"Yes")</f>
        <v>Yes</v>
      </c>
      <c r="D348" s="196" t="str">
        <f>IFERROR(__xludf.DUMMYFUNCTION("""COMPUTED_VALUE"""),"Active")</f>
        <v>Active</v>
      </c>
      <c r="E348" s="197">
        <f>IFERROR(__xludf.DUMMYFUNCTION("""COMPUTED_VALUE"""),44145.0)</f>
        <v>44145</v>
      </c>
      <c r="F348" s="198"/>
      <c r="G348" s="199">
        <f>IFERROR(__xludf.DUMMYFUNCTION("""COMPUTED_VALUE"""),59.166666666666664)</f>
        <v>59.16666667</v>
      </c>
      <c r="H348" s="197">
        <f>IFERROR(__xludf.DUMMYFUNCTION("""COMPUTED_VALUE"""),41688.0)</f>
        <v>41688</v>
      </c>
      <c r="I348" s="199">
        <f>IFERROR(__xludf.DUMMYFUNCTION("""COMPUTED_VALUE"""),6.727777777777778)</f>
        <v>6.727777778</v>
      </c>
      <c r="J348" s="200">
        <f>IFERROR(__xludf.DUMMYFUNCTION("""COMPUTED_VALUE"""),76.0)</f>
        <v>76</v>
      </c>
      <c r="K348" s="200">
        <f>IFERROR(__xludf.DUMMYFUNCTION("""COMPUTED_VALUE"""),67.5)</f>
        <v>67.5</v>
      </c>
      <c r="L348" s="201" t="str">
        <f>IFERROR(__xludf.DUMMYFUNCTION("""COMPUTED_VALUE"""),"Shooter")</f>
        <v>Shooter</v>
      </c>
    </row>
    <row r="349">
      <c r="A349" s="190" t="str">
        <f>IFERROR(__xludf.DUMMYFUNCTION("""COMPUTED_VALUE"""),"Full Throttle Remastered")</f>
        <v>Full Throttle Remastered</v>
      </c>
      <c r="B349" s="195" t="str">
        <f>IFERROR(__xludf.DUMMYFUNCTION("""COMPUTED_VALUE"""),"Xbox / PC")</f>
        <v>Xbox / PC</v>
      </c>
      <c r="C349" s="196"/>
      <c r="D349" s="196" t="str">
        <f>IFERROR(__xludf.DUMMYFUNCTION("""COMPUTED_VALUE"""),"Active")</f>
        <v>Active</v>
      </c>
      <c r="E349" s="197">
        <f>IFERROR(__xludf.DUMMYFUNCTION("""COMPUTED_VALUE"""),44133.0)</f>
        <v>44133</v>
      </c>
      <c r="F349" s="198"/>
      <c r="G349" s="199">
        <f>IFERROR(__xludf.DUMMYFUNCTION("""COMPUTED_VALUE"""),59.53333333333333)</f>
        <v>59.53333333</v>
      </c>
      <c r="H349" s="197">
        <f>IFERROR(__xludf.DUMMYFUNCTION("""COMPUTED_VALUE"""),42843.0)</f>
        <v>42843</v>
      </c>
      <c r="I349" s="199">
        <f>IFERROR(__xludf.DUMMYFUNCTION("""COMPUTED_VALUE"""),3.5305555555555554)</f>
        <v>3.530555556</v>
      </c>
      <c r="J349" s="200">
        <f>IFERROR(__xludf.DUMMYFUNCTION("""COMPUTED_VALUE"""),76.0)</f>
        <v>76</v>
      </c>
      <c r="K349" s="200">
        <f>IFERROR(__xludf.DUMMYFUNCTION("""COMPUTED_VALUE"""),4.0)</f>
        <v>4</v>
      </c>
      <c r="L349" s="201" t="str">
        <f>IFERROR(__xludf.DUMMYFUNCTION("""COMPUTED_VALUE"""),"Adventure")</f>
        <v>Adventure</v>
      </c>
    </row>
    <row r="350">
      <c r="A350" s="190" t="str">
        <f>IFERROR(__xludf.DUMMYFUNCTION("""COMPUTED_VALUE"""),"Age of Empires III: Definitive Edition")</f>
        <v>Age of Empires III: Definitive Edition</v>
      </c>
      <c r="B350" s="195" t="str">
        <f>IFERROR(__xludf.DUMMYFUNCTION("""COMPUTED_VALUE"""),"PC")</f>
        <v>PC</v>
      </c>
      <c r="C350" s="196"/>
      <c r="D350" s="196" t="str">
        <f>IFERROR(__xludf.DUMMYFUNCTION("""COMPUTED_VALUE"""),"Active")</f>
        <v>Active</v>
      </c>
      <c r="E350" s="197">
        <f>IFERROR(__xludf.DUMMYFUNCTION("""COMPUTED_VALUE"""),44119.0)</f>
        <v>44119</v>
      </c>
      <c r="F350" s="198"/>
      <c r="G350" s="199">
        <f>IFERROR(__xludf.DUMMYFUNCTION("""COMPUTED_VALUE"""),60.0)</f>
        <v>60</v>
      </c>
      <c r="H350" s="197">
        <f>IFERROR(__xludf.DUMMYFUNCTION("""COMPUTED_VALUE"""),44119.0)</f>
        <v>44119</v>
      </c>
      <c r="I350" s="199">
        <f>IFERROR(__xludf.DUMMYFUNCTION("""COMPUTED_VALUE"""),0.0)</f>
        <v>0</v>
      </c>
      <c r="J350" s="200">
        <f>IFERROR(__xludf.DUMMYFUNCTION("""COMPUTED_VALUE"""),76.0)</f>
        <v>76</v>
      </c>
      <c r="K350" s="200">
        <f>IFERROR(__xludf.DUMMYFUNCTION("""COMPUTED_VALUE"""),10.5)</f>
        <v>10.5</v>
      </c>
      <c r="L350" s="201" t="str">
        <f>IFERROR(__xludf.DUMMYFUNCTION("""COMPUTED_VALUE"""),"Strategy / Real-Time Strategy")</f>
        <v>Strategy / Real-Time Strategy</v>
      </c>
    </row>
    <row r="351">
      <c r="A351" s="190" t="str">
        <f>IFERROR(__xludf.DUMMYFUNCTION("""COMPUTED_VALUE"""),"New Super Lucky's Tale")</f>
        <v>New Super Lucky's Tale</v>
      </c>
      <c r="B351" s="195" t="str">
        <f>IFERROR(__xludf.DUMMYFUNCTION("""COMPUTED_VALUE"""),"Xbox / PC")</f>
        <v>Xbox / PC</v>
      </c>
      <c r="C351" s="196" t="str">
        <f>IFERROR(__xludf.DUMMYFUNCTION("""COMPUTED_VALUE"""),"Touch Controls")</f>
        <v>Touch Controls</v>
      </c>
      <c r="D351" s="196" t="str">
        <f>IFERROR(__xludf.DUMMYFUNCTION("""COMPUTED_VALUE"""),"Active")</f>
        <v>Active</v>
      </c>
      <c r="E351" s="197">
        <f>IFERROR(__xludf.DUMMYFUNCTION("""COMPUTED_VALUE"""),44063.0)</f>
        <v>44063</v>
      </c>
      <c r="F351" s="198"/>
      <c r="G351" s="199">
        <f>IFERROR(__xludf.DUMMYFUNCTION("""COMPUTED_VALUE"""),61.83333333333333)</f>
        <v>61.83333333</v>
      </c>
      <c r="H351" s="197">
        <f>IFERROR(__xludf.DUMMYFUNCTION("""COMPUTED_VALUE"""),43777.0)</f>
        <v>43777</v>
      </c>
      <c r="I351" s="199">
        <f>IFERROR(__xludf.DUMMYFUNCTION("""COMPUTED_VALUE"""),0.7833333333333333)</f>
        <v>0.7833333333</v>
      </c>
      <c r="J351" s="200">
        <f>IFERROR(__xludf.DUMMYFUNCTION("""COMPUTED_VALUE"""),76.0)</f>
        <v>76</v>
      </c>
      <c r="K351" s="200">
        <f>IFERROR(__xludf.DUMMYFUNCTION("""COMPUTED_VALUE"""),7.5)</f>
        <v>7.5</v>
      </c>
      <c r="L351" s="201" t="str">
        <f>IFERROR(__xludf.DUMMYFUNCTION("""COMPUTED_VALUE"""),"Platformer")</f>
        <v>Platformer</v>
      </c>
    </row>
    <row r="352">
      <c r="A352" s="190" t="str">
        <f>IFERROR(__xludf.DUMMYFUNCTION("""COMPUTED_VALUE"""),"Totally Accurate Battle Simulator")</f>
        <v>Totally Accurate Battle Simulator</v>
      </c>
      <c r="B352" s="195" t="str">
        <f>IFERROR(__xludf.DUMMYFUNCTION("""COMPUTED_VALUE"""),"Xbox / PC")</f>
        <v>Xbox / PC</v>
      </c>
      <c r="C352" s="196" t="str">
        <f>IFERROR(__xludf.DUMMYFUNCTION("""COMPUTED_VALUE"""),"Touch Controls")</f>
        <v>Touch Controls</v>
      </c>
      <c r="D352" s="196" t="str">
        <f>IFERROR(__xludf.DUMMYFUNCTION("""COMPUTED_VALUE"""),"Active")</f>
        <v>Active</v>
      </c>
      <c r="E352" s="197">
        <f>IFERROR(__xludf.DUMMYFUNCTION("""COMPUTED_VALUE"""),43819.0)</f>
        <v>43819</v>
      </c>
      <c r="F352" s="198"/>
      <c r="G352" s="199">
        <f>IFERROR(__xludf.DUMMYFUNCTION("""COMPUTED_VALUE"""),69.83333333333334)</f>
        <v>69.83333333</v>
      </c>
      <c r="H352" s="197">
        <f>IFERROR(__xludf.DUMMYFUNCTION("""COMPUTED_VALUE"""),43556.0)</f>
        <v>43556</v>
      </c>
      <c r="I352" s="199">
        <f>IFERROR(__xludf.DUMMYFUNCTION("""COMPUTED_VALUE"""),0.7194444444444444)</f>
        <v>0.7194444444</v>
      </c>
      <c r="J352" s="200">
        <f>IFERROR(__xludf.DUMMYFUNCTION("""COMPUTED_VALUE"""),76.0)</f>
        <v>76</v>
      </c>
      <c r="K352" s="200">
        <f>IFERROR(__xludf.DUMMYFUNCTION("""COMPUTED_VALUE"""),4.5)</f>
        <v>4.5</v>
      </c>
      <c r="L352" s="201" t="str">
        <f>IFERROR(__xludf.DUMMYFUNCTION("""COMPUTED_VALUE"""),"Strategy / Simulation")</f>
        <v>Strategy / Simulation</v>
      </c>
    </row>
    <row r="353">
      <c r="A353" s="190" t="str">
        <f>IFERROR(__xludf.DUMMYFUNCTION("""COMPUTED_VALUE"""),"Zombie Army 4: Dead War")</f>
        <v>Zombie Army 4: Dead War</v>
      </c>
      <c r="B353" s="195" t="str">
        <f>IFERROR(__xludf.DUMMYFUNCTION("""COMPUTED_VALUE"""),"Xbox / PC")</f>
        <v>Xbox / PC</v>
      </c>
      <c r="C353" s="196" t="str">
        <f>IFERROR(__xludf.DUMMYFUNCTION("""COMPUTED_VALUE"""),"M+KB")</f>
        <v>M+KB</v>
      </c>
      <c r="D353" s="196" t="str">
        <f>IFERROR(__xludf.DUMMYFUNCTION("""COMPUTED_VALUE"""),"Active")</f>
        <v>Active</v>
      </c>
      <c r="E353" s="197">
        <f>IFERROR(__xludf.DUMMYFUNCTION("""COMPUTED_VALUE"""),44294.0)</f>
        <v>44294</v>
      </c>
      <c r="F353" s="198"/>
      <c r="G353" s="199">
        <f>IFERROR(__xludf.DUMMYFUNCTION("""COMPUTED_VALUE"""),54.233333333333334)</f>
        <v>54.23333333</v>
      </c>
      <c r="H353" s="197">
        <f>IFERROR(__xludf.DUMMYFUNCTION("""COMPUTED_VALUE"""),43865.0)</f>
        <v>43865</v>
      </c>
      <c r="I353" s="199">
        <f>IFERROR(__xludf.DUMMYFUNCTION("""COMPUTED_VALUE"""),1.1777777777777778)</f>
        <v>1.177777778</v>
      </c>
      <c r="J353" s="200">
        <f>IFERROR(__xludf.DUMMYFUNCTION("""COMPUTED_VALUE"""),75.5)</f>
        <v>75.5</v>
      </c>
      <c r="K353" s="200">
        <f>IFERROR(__xludf.DUMMYFUNCTION("""COMPUTED_VALUE"""),11.5)</f>
        <v>11.5</v>
      </c>
      <c r="L353" s="201" t="str">
        <f>IFERROR(__xludf.DUMMYFUNCTION("""COMPUTED_VALUE"""),"First-Person Shooter / Action-Adventure")</f>
        <v>First-Person Shooter / Action-Adventure</v>
      </c>
    </row>
    <row r="354">
      <c r="A354" s="190" t="str">
        <f>IFERROR(__xludf.DUMMYFUNCTION("""COMPUTED_VALUE"""),"Wolfenstein: The Old Blood")</f>
        <v>Wolfenstein: The Old Blood</v>
      </c>
      <c r="B354" s="195" t="str">
        <f>IFERROR(__xludf.DUMMYFUNCTION("""COMPUTED_VALUE"""),"Xbox / PC")</f>
        <v>Xbox / PC</v>
      </c>
      <c r="C354" s="196" t="str">
        <f>IFERROR(__xludf.DUMMYFUNCTION("""COMPUTED_VALUE"""),"Yes")</f>
        <v>Yes</v>
      </c>
      <c r="D354" s="196" t="str">
        <f>IFERROR(__xludf.DUMMYFUNCTION("""COMPUTED_VALUE"""),"Active")</f>
        <v>Active</v>
      </c>
      <c r="E354" s="197">
        <f>IFERROR(__xludf.DUMMYFUNCTION("""COMPUTED_VALUE"""),44267.0)</f>
        <v>44267</v>
      </c>
      <c r="F354" s="198"/>
      <c r="G354" s="199">
        <f>IFERROR(__xludf.DUMMYFUNCTION("""COMPUTED_VALUE"""),55.1)</f>
        <v>55.1</v>
      </c>
      <c r="H354" s="197">
        <f>IFERROR(__xludf.DUMMYFUNCTION("""COMPUTED_VALUE"""),42129.0)</f>
        <v>42129</v>
      </c>
      <c r="I354" s="199">
        <f>IFERROR(__xludf.DUMMYFUNCTION("""COMPUTED_VALUE"""),5.852777777777778)</f>
        <v>5.852777778</v>
      </c>
      <c r="J354" s="200">
        <f>IFERROR(__xludf.DUMMYFUNCTION("""COMPUTED_VALUE"""),75.5)</f>
        <v>75.5</v>
      </c>
      <c r="K354" s="200">
        <f>IFERROR(__xludf.DUMMYFUNCTION("""COMPUTED_VALUE"""),6.0)</f>
        <v>6</v>
      </c>
      <c r="L354" s="201" t="str">
        <f>IFERROR(__xludf.DUMMYFUNCTION("""COMPUTED_VALUE"""),"First-Person Shooter")</f>
        <v>First-Person Shooter</v>
      </c>
    </row>
    <row r="355">
      <c r="A355" s="190" t="str">
        <f>IFERROR(__xludf.DUMMYFUNCTION("""COMPUTED_VALUE"""),"Visions of Mana")</f>
        <v>Visions of Mana</v>
      </c>
      <c r="B355" s="195" t="str">
        <f>IFERROR(__xludf.DUMMYFUNCTION("""COMPUTED_VALUE"""),"Xbox / PC")</f>
        <v>Xbox / PC</v>
      </c>
      <c r="C355" s="196" t="str">
        <f>IFERROR(__xludf.DUMMYFUNCTION("""COMPUTED_VALUE"""),"Yes")</f>
        <v>Yes</v>
      </c>
      <c r="D355" s="196" t="str">
        <f>IFERROR(__xludf.DUMMYFUNCTION("""COMPUTED_VALUE"""),"Active")</f>
        <v>Active</v>
      </c>
      <c r="E355" s="197">
        <f>IFERROR(__xludf.DUMMYFUNCTION("""COMPUTED_VALUE"""),45925.0)</f>
        <v>45925</v>
      </c>
      <c r="F355" s="198"/>
      <c r="G355" s="199">
        <f>IFERROR(__xludf.DUMMYFUNCTION("""COMPUTED_VALUE"""),0.6666666666666666)</f>
        <v>0.6666666667</v>
      </c>
      <c r="H355" s="197">
        <f>IFERROR(__xludf.DUMMYFUNCTION("""COMPUTED_VALUE"""),45533.0)</f>
        <v>45533</v>
      </c>
      <c r="I355" s="199">
        <f>IFERROR(__xludf.DUMMYFUNCTION("""COMPUTED_VALUE"""),1.0722222222222222)</f>
        <v>1.072222222</v>
      </c>
      <c r="J355" s="200">
        <f>IFERROR(__xludf.DUMMYFUNCTION("""COMPUTED_VALUE"""),75.0)</f>
        <v>75</v>
      </c>
      <c r="K355" s="200">
        <f>IFERROR(__xludf.DUMMYFUNCTION("""COMPUTED_VALUE"""),29.0)</f>
        <v>29</v>
      </c>
      <c r="L355" s="201" t="str">
        <f>IFERROR(__xludf.DUMMYFUNCTION("""COMPUTED_VALUE"""),"RPG")</f>
        <v>RPG</v>
      </c>
    </row>
    <row r="356">
      <c r="A356" s="190" t="str">
        <f>IFERROR(__xludf.DUMMYFUNCTION("""COMPUTED_VALUE"""),"Farming Simulator 25")</f>
        <v>Farming Simulator 25</v>
      </c>
      <c r="B356" s="195" t="str">
        <f>IFERROR(__xludf.DUMMYFUNCTION("""COMPUTED_VALUE"""),"Xbox / PC")</f>
        <v>Xbox / PC</v>
      </c>
      <c r="C356" s="196" t="str">
        <f>IFERROR(__xludf.DUMMYFUNCTION("""COMPUTED_VALUE"""),"Yes")</f>
        <v>Yes</v>
      </c>
      <c r="D356" s="196" t="str">
        <f>IFERROR(__xludf.DUMMYFUNCTION("""COMPUTED_VALUE"""),"Active")</f>
        <v>Active</v>
      </c>
      <c r="E356" s="197">
        <f>IFERROR(__xludf.DUMMYFUNCTION("""COMPUTED_VALUE"""),45870.0)</f>
        <v>45870</v>
      </c>
      <c r="F356" s="198"/>
      <c r="G356" s="199">
        <f>IFERROR(__xludf.DUMMYFUNCTION("""COMPUTED_VALUE"""),2.466666666666667)</f>
        <v>2.466666667</v>
      </c>
      <c r="H356" s="197">
        <f>IFERROR(__xludf.DUMMYFUNCTION("""COMPUTED_VALUE"""),45608.0)</f>
        <v>45608</v>
      </c>
      <c r="I356" s="199">
        <f>IFERROR(__xludf.DUMMYFUNCTION("""COMPUTED_VALUE"""),0.7194444444444444)</f>
        <v>0.7194444444</v>
      </c>
      <c r="J356" s="200">
        <f>IFERROR(__xludf.DUMMYFUNCTION("""COMPUTED_VALUE"""),75.0)</f>
        <v>75</v>
      </c>
      <c r="K356" s="200"/>
      <c r="L356" s="201" t="str">
        <f>IFERROR(__xludf.DUMMYFUNCTION("""COMPUTED_VALUE"""),"Simulation")</f>
        <v>Simulation</v>
      </c>
    </row>
    <row r="357">
      <c r="A357" s="190" t="str">
        <f>IFERROR(__xludf.DUMMYFUNCTION("""COMPUTED_VALUE"""),"Call of Duty: Modern Warfare II")</f>
        <v>Call of Duty: Modern Warfare II</v>
      </c>
      <c r="B357" s="195" t="str">
        <f>IFERROR(__xludf.DUMMYFUNCTION("""COMPUTED_VALUE"""),"Xbox / PC")</f>
        <v>Xbox / PC</v>
      </c>
      <c r="C357" s="196" t="str">
        <f>IFERROR(__xludf.DUMMYFUNCTION("""COMPUTED_VALUE"""),"Yes")</f>
        <v>Yes</v>
      </c>
      <c r="D357" s="196" t="str">
        <f>IFERROR(__xludf.DUMMYFUNCTION("""COMPUTED_VALUE"""),"Active")</f>
        <v>Active</v>
      </c>
      <c r="E357" s="197">
        <f>IFERROR(__xludf.DUMMYFUNCTION("""COMPUTED_VALUE"""),45778.0)</f>
        <v>45778</v>
      </c>
      <c r="F357" s="198"/>
      <c r="G357" s="199">
        <f>IFERROR(__xludf.DUMMYFUNCTION("""COMPUTED_VALUE"""),5.466666666666667)</f>
        <v>5.466666667</v>
      </c>
      <c r="H357" s="197">
        <f>IFERROR(__xludf.DUMMYFUNCTION("""COMPUTED_VALUE"""),44862.0)</f>
        <v>44862</v>
      </c>
      <c r="I357" s="199">
        <f>IFERROR(__xludf.DUMMYFUNCTION("""COMPUTED_VALUE"""),2.5083333333333333)</f>
        <v>2.508333333</v>
      </c>
      <c r="J357" s="200">
        <f>IFERROR(__xludf.DUMMYFUNCTION("""COMPUTED_VALUE"""),75.0)</f>
        <v>75</v>
      </c>
      <c r="K357" s="200">
        <f>IFERROR(__xludf.DUMMYFUNCTION("""COMPUTED_VALUE"""),8.0)</f>
        <v>8</v>
      </c>
      <c r="L357" s="201" t="str">
        <f>IFERROR(__xludf.DUMMYFUNCTION("""COMPUTED_VALUE"""),"Shooter")</f>
        <v>Shooter</v>
      </c>
    </row>
    <row r="358">
      <c r="A358" s="190" t="str">
        <f>IFERROR(__xludf.DUMMYFUNCTION("""COMPUTED_VALUE"""),"Atomfall")</f>
        <v>Atomfall</v>
      </c>
      <c r="B358" s="195" t="str">
        <f>IFERROR(__xludf.DUMMYFUNCTION("""COMPUTED_VALUE"""),"Xbox / PC")</f>
        <v>Xbox / PC</v>
      </c>
      <c r="C358" s="196" t="str">
        <f>IFERROR(__xludf.DUMMYFUNCTION("""COMPUTED_VALUE"""),"Yes")</f>
        <v>Yes</v>
      </c>
      <c r="D358" s="196" t="str">
        <f>IFERROR(__xludf.DUMMYFUNCTION("""COMPUTED_VALUE"""),"Active")</f>
        <v>Active</v>
      </c>
      <c r="E358" s="197">
        <f>IFERROR(__xludf.DUMMYFUNCTION("""COMPUTED_VALUE"""),45743.0)</f>
        <v>45743</v>
      </c>
      <c r="F358" s="198"/>
      <c r="G358" s="199">
        <f>IFERROR(__xludf.DUMMYFUNCTION("""COMPUTED_VALUE"""),6.6000000000000005)</f>
        <v>6.6</v>
      </c>
      <c r="H358" s="197">
        <f>IFERROR(__xludf.DUMMYFUNCTION("""COMPUTED_VALUE"""),45743.0)</f>
        <v>45743</v>
      </c>
      <c r="I358" s="199">
        <f>IFERROR(__xludf.DUMMYFUNCTION("""COMPUTED_VALUE"""),0.0)</f>
        <v>0</v>
      </c>
      <c r="J358" s="200">
        <f>IFERROR(__xludf.DUMMYFUNCTION("""COMPUTED_VALUE"""),75.0)</f>
        <v>75</v>
      </c>
      <c r="K358" s="200">
        <f>IFERROR(__xludf.DUMMYFUNCTION("""COMPUTED_VALUE"""),9.0)</f>
        <v>9</v>
      </c>
      <c r="L358" s="201" t="str">
        <f>IFERROR(__xludf.DUMMYFUNCTION("""COMPUTED_VALUE"""),"Action-Adventure")</f>
        <v>Action-Adventure</v>
      </c>
    </row>
    <row r="359">
      <c r="A359" s="190" t="str">
        <f>IFERROR(__xludf.DUMMYFUNCTION("""COMPUTED_VALUE"""),"Blizzard Arcade Collection")</f>
        <v>Blizzard Arcade Collection</v>
      </c>
      <c r="B359" s="195" t="str">
        <f>IFERROR(__xludf.DUMMYFUNCTION("""COMPUTED_VALUE"""),"Xbox / PC")</f>
        <v>Xbox / PC</v>
      </c>
      <c r="C359" s="196" t="str">
        <f>IFERROR(__xludf.DUMMYFUNCTION("""COMPUTED_VALUE"""),"Yes")</f>
        <v>Yes</v>
      </c>
      <c r="D359" s="196" t="str">
        <f>IFERROR(__xludf.DUMMYFUNCTION("""COMPUTED_VALUE"""),"Active")</f>
        <v>Active</v>
      </c>
      <c r="E359" s="197">
        <f>IFERROR(__xludf.DUMMYFUNCTION("""COMPUTED_VALUE"""),45741.0)</f>
        <v>45741</v>
      </c>
      <c r="F359" s="198"/>
      <c r="G359" s="199">
        <f>IFERROR(__xludf.DUMMYFUNCTION("""COMPUTED_VALUE"""),6.666666666666667)</f>
        <v>6.666666667</v>
      </c>
      <c r="H359" s="197">
        <f>IFERROR(__xludf.DUMMYFUNCTION("""COMPUTED_VALUE"""),44246.0)</f>
        <v>44246</v>
      </c>
      <c r="I359" s="199">
        <f>IFERROR(__xludf.DUMMYFUNCTION("""COMPUTED_VALUE"""),4.1)</f>
        <v>4.1</v>
      </c>
      <c r="J359" s="200">
        <f>IFERROR(__xludf.DUMMYFUNCTION("""COMPUTED_VALUE"""),75.0)</f>
        <v>75</v>
      </c>
      <c r="K359" s="200">
        <f>IFERROR(__xludf.DUMMYFUNCTION("""COMPUTED_VALUE"""),5.0)</f>
        <v>5</v>
      </c>
      <c r="L359" s="201" t="str">
        <f>IFERROR(__xludf.DUMMYFUNCTION("""COMPUTED_VALUE"""),"Compilation")</f>
        <v>Compilation</v>
      </c>
    </row>
    <row r="360">
      <c r="A360" s="190" t="str">
        <f>IFERROR(__xludf.DUMMYFUNCTION("""COMPUTED_VALUE"""),"Sniper Elite: Resistance")</f>
        <v>Sniper Elite: Resistance</v>
      </c>
      <c r="B360" s="195" t="str">
        <f>IFERROR(__xludf.DUMMYFUNCTION("""COMPUTED_VALUE"""),"Xbox / PC")</f>
        <v>Xbox / PC</v>
      </c>
      <c r="C360" s="196" t="str">
        <f>IFERROR(__xludf.DUMMYFUNCTION("""COMPUTED_VALUE"""),"Yes")</f>
        <v>Yes</v>
      </c>
      <c r="D360" s="196" t="str">
        <f>IFERROR(__xludf.DUMMYFUNCTION("""COMPUTED_VALUE"""),"Active")</f>
        <v>Active</v>
      </c>
      <c r="E360" s="197">
        <f>IFERROR(__xludf.DUMMYFUNCTION("""COMPUTED_VALUE"""),45687.0)</f>
        <v>45687</v>
      </c>
      <c r="F360" s="198"/>
      <c r="G360" s="199">
        <f>IFERROR(__xludf.DUMMYFUNCTION("""COMPUTED_VALUE"""),8.5)</f>
        <v>8.5</v>
      </c>
      <c r="H360" s="197">
        <f>IFERROR(__xludf.DUMMYFUNCTION("""COMPUTED_VALUE"""),45687.0)</f>
        <v>45687</v>
      </c>
      <c r="I360" s="199">
        <f>IFERROR(__xludf.DUMMYFUNCTION("""COMPUTED_VALUE"""),0.0)</f>
        <v>0</v>
      </c>
      <c r="J360" s="200">
        <f>IFERROR(__xludf.DUMMYFUNCTION("""COMPUTED_VALUE"""),75.0)</f>
        <v>75</v>
      </c>
      <c r="K360" s="200">
        <f>IFERROR(__xludf.DUMMYFUNCTION("""COMPUTED_VALUE"""),9.0)</f>
        <v>9</v>
      </c>
      <c r="L360" s="201" t="str">
        <f>IFERROR(__xludf.DUMMYFUNCTION("""COMPUTED_VALUE"""),"Shooter")</f>
        <v>Shooter</v>
      </c>
    </row>
    <row r="361">
      <c r="A361" s="190" t="str">
        <f>IFERROR(__xludf.DUMMYFUNCTION("""COMPUTED_VALUE"""),"Aliens: Dark Descent")</f>
        <v>Aliens: Dark Descent</v>
      </c>
      <c r="B361" s="195" t="str">
        <f>IFERROR(__xludf.DUMMYFUNCTION("""COMPUTED_VALUE"""),"Xbox / PC")</f>
        <v>Xbox / PC</v>
      </c>
      <c r="C361" s="196" t="str">
        <f>IFERROR(__xludf.DUMMYFUNCTION("""COMPUTED_VALUE"""),"Yes")</f>
        <v>Yes</v>
      </c>
      <c r="D361" s="196" t="str">
        <f>IFERROR(__xludf.DUMMYFUNCTION("""COMPUTED_VALUE"""),"Active")</f>
        <v>Active</v>
      </c>
      <c r="E361" s="197">
        <f>IFERROR(__xludf.DUMMYFUNCTION("""COMPUTED_VALUE"""),45623.0)</f>
        <v>45623</v>
      </c>
      <c r="F361" s="198"/>
      <c r="G361" s="199">
        <f>IFERROR(__xludf.DUMMYFUNCTION("""COMPUTED_VALUE"""),10.6)</f>
        <v>10.6</v>
      </c>
      <c r="H361" s="197">
        <f>IFERROR(__xludf.DUMMYFUNCTION("""COMPUTED_VALUE"""),45097.0)</f>
        <v>45097</v>
      </c>
      <c r="I361" s="199">
        <f>IFERROR(__xludf.DUMMYFUNCTION("""COMPUTED_VALUE"""),1.4361111111111111)</f>
        <v>1.436111111</v>
      </c>
      <c r="J361" s="200">
        <f>IFERROR(__xludf.DUMMYFUNCTION("""COMPUTED_VALUE"""),75.0)</f>
        <v>75</v>
      </c>
      <c r="K361" s="200">
        <f>IFERROR(__xludf.DUMMYFUNCTION("""COMPUTED_VALUE"""),24.0)</f>
        <v>24</v>
      </c>
      <c r="L361" s="201" t="str">
        <f>IFERROR(__xludf.DUMMYFUNCTION("""COMPUTED_VALUE"""),"Strategy")</f>
        <v>Strategy</v>
      </c>
    </row>
    <row r="362">
      <c r="A362" s="190" t="str">
        <f>IFERROR(__xludf.DUMMYFUNCTION("""COMPUTED_VALUE"""),"South Park: The Fractured but Whole")</f>
        <v>South Park: The Fractured but Whole</v>
      </c>
      <c r="B362" s="195" t="str">
        <f>IFERROR(__xludf.DUMMYFUNCTION("""COMPUTED_VALUE"""),"Xbox / PC")</f>
        <v>Xbox / PC</v>
      </c>
      <c r="C362" s="196" t="str">
        <f>IFERROR(__xludf.DUMMYFUNCTION("""COMPUTED_VALUE"""),"Yes")</f>
        <v>Yes</v>
      </c>
      <c r="D362" s="196" t="str">
        <f>IFERROR(__xludf.DUMMYFUNCTION("""COMPUTED_VALUE"""),"Active")</f>
        <v>Active</v>
      </c>
      <c r="E362" s="197">
        <f>IFERROR(__xludf.DUMMYFUNCTION("""COMPUTED_VALUE"""),45581.0)</f>
        <v>45581</v>
      </c>
      <c r="F362" s="198"/>
      <c r="G362" s="199">
        <f>IFERROR(__xludf.DUMMYFUNCTION("""COMPUTED_VALUE"""),11.966666666666667)</f>
        <v>11.96666667</v>
      </c>
      <c r="H362" s="197">
        <f>IFERROR(__xludf.DUMMYFUNCTION("""COMPUTED_VALUE"""),43312.0)</f>
        <v>43312</v>
      </c>
      <c r="I362" s="199">
        <f>IFERROR(__xludf.DUMMYFUNCTION("""COMPUTED_VALUE"""),6.211111111111111)</f>
        <v>6.211111111</v>
      </c>
      <c r="J362" s="200">
        <f>IFERROR(__xludf.DUMMYFUNCTION("""COMPUTED_VALUE"""),75.0)</f>
        <v>75</v>
      </c>
      <c r="K362" s="200">
        <f>IFERROR(__xludf.DUMMYFUNCTION("""COMPUTED_VALUE"""),18.0)</f>
        <v>18</v>
      </c>
      <c r="L362" s="201" t="str">
        <f>IFERROR(__xludf.DUMMYFUNCTION("""COMPUTED_VALUE"""),"RPG")</f>
        <v>RPG</v>
      </c>
    </row>
    <row r="363">
      <c r="A363" s="190" t="str">
        <f>IFERROR(__xludf.DUMMYFUNCTION("""COMPUTED_VALUE"""),"Creatures of Ava")</f>
        <v>Creatures of Ava</v>
      </c>
      <c r="B363" s="195" t="str">
        <f>IFERROR(__xludf.DUMMYFUNCTION("""COMPUTED_VALUE"""),"Xbox / PC")</f>
        <v>Xbox / PC</v>
      </c>
      <c r="C363" s="196" t="str">
        <f>IFERROR(__xludf.DUMMYFUNCTION("""COMPUTED_VALUE"""),"Yes")</f>
        <v>Yes</v>
      </c>
      <c r="D363" s="196" t="str">
        <f>IFERROR(__xludf.DUMMYFUNCTION("""COMPUTED_VALUE"""),"Active")</f>
        <v>Active</v>
      </c>
      <c r="E363" s="197">
        <f>IFERROR(__xludf.DUMMYFUNCTION("""COMPUTED_VALUE"""),45511.0)</f>
        <v>45511</v>
      </c>
      <c r="F363" s="198"/>
      <c r="G363" s="199">
        <f>IFERROR(__xludf.DUMMYFUNCTION("""COMPUTED_VALUE"""),14.266666666666666)</f>
        <v>14.26666667</v>
      </c>
      <c r="H363" s="197">
        <f>IFERROR(__xludf.DUMMYFUNCTION("""COMPUTED_VALUE"""),45511.0)</f>
        <v>45511</v>
      </c>
      <c r="I363" s="199">
        <f>IFERROR(__xludf.DUMMYFUNCTION("""COMPUTED_VALUE"""),0.0)</f>
        <v>0</v>
      </c>
      <c r="J363" s="200">
        <f>IFERROR(__xludf.DUMMYFUNCTION("""COMPUTED_VALUE"""),75.0)</f>
        <v>75</v>
      </c>
      <c r="K363" s="200">
        <f>IFERROR(__xludf.DUMMYFUNCTION("""COMPUTED_VALUE"""),9.0)</f>
        <v>9</v>
      </c>
      <c r="L363" s="201" t="str">
        <f>IFERROR(__xludf.DUMMYFUNCTION("""COMPUTED_VALUE"""),"Action-Adventure")</f>
        <v>Action-Adventure</v>
      </c>
    </row>
    <row r="364">
      <c r="A364" s="190" t="str">
        <f>IFERROR(__xludf.DUMMYFUNCTION("""COMPUTED_VALUE"""),"EA Sports FC 24")</f>
        <v>EA Sports FC 24</v>
      </c>
      <c r="B364" s="195" t="str">
        <f>IFERROR(__xludf.DUMMYFUNCTION("""COMPUTED_VALUE"""),"Xbox / PC")</f>
        <v>Xbox / PC</v>
      </c>
      <c r="C364" s="196" t="str">
        <f>IFERROR(__xludf.DUMMYFUNCTION("""COMPUTED_VALUE"""),"Yes")</f>
        <v>Yes</v>
      </c>
      <c r="D364" s="196" t="str">
        <f>IFERROR(__xludf.DUMMYFUNCTION("""COMPUTED_VALUE"""),"Active")</f>
        <v>Active</v>
      </c>
      <c r="E364" s="197">
        <f>IFERROR(__xludf.DUMMYFUNCTION("""COMPUTED_VALUE"""),45468.0)</f>
        <v>45468</v>
      </c>
      <c r="F364" s="198"/>
      <c r="G364" s="199">
        <f>IFERROR(__xludf.DUMMYFUNCTION("""COMPUTED_VALUE"""),15.666666666666668)</f>
        <v>15.66666667</v>
      </c>
      <c r="H364" s="197">
        <f>IFERROR(__xludf.DUMMYFUNCTION("""COMPUTED_VALUE"""),45198.0)</f>
        <v>45198</v>
      </c>
      <c r="I364" s="199">
        <f>IFERROR(__xludf.DUMMYFUNCTION("""COMPUTED_VALUE"""),0.7388888888888889)</f>
        <v>0.7388888889</v>
      </c>
      <c r="J364" s="200">
        <f>IFERROR(__xludf.DUMMYFUNCTION("""COMPUTED_VALUE"""),75.0)</f>
        <v>75</v>
      </c>
      <c r="K364" s="200">
        <f>IFERROR(__xludf.DUMMYFUNCTION("""COMPUTED_VALUE"""),34.0)</f>
        <v>34</v>
      </c>
      <c r="L364" s="201" t="str">
        <f>IFERROR(__xludf.DUMMYFUNCTION("""COMPUTED_VALUE"""),"Sports")</f>
        <v>Sports</v>
      </c>
    </row>
    <row r="365">
      <c r="A365" s="190" t="str">
        <f>IFERROR(__xludf.DUMMYFUNCTION("""COMPUTED_VALUE"""),"Lords of the Fallen")</f>
        <v>Lords of the Fallen</v>
      </c>
      <c r="B365" s="195" t="str">
        <f>IFERROR(__xludf.DUMMYFUNCTION("""COMPUTED_VALUE"""),"Xbox / PC")</f>
        <v>Xbox / PC</v>
      </c>
      <c r="C365" s="196" t="str">
        <f>IFERROR(__xludf.DUMMYFUNCTION("""COMPUTED_VALUE"""),"Yes")</f>
        <v>Yes</v>
      </c>
      <c r="D365" s="196" t="str">
        <f>IFERROR(__xludf.DUMMYFUNCTION("""COMPUTED_VALUE"""),"Active")</f>
        <v>Active</v>
      </c>
      <c r="E365" s="197">
        <f>IFERROR(__xludf.DUMMYFUNCTION("""COMPUTED_VALUE"""),45442.0)</f>
        <v>45442</v>
      </c>
      <c r="F365" s="198"/>
      <c r="G365" s="199">
        <f>IFERROR(__xludf.DUMMYFUNCTION("""COMPUTED_VALUE"""),16.5)</f>
        <v>16.5</v>
      </c>
      <c r="H365" s="197">
        <f>IFERROR(__xludf.DUMMYFUNCTION("""COMPUTED_VALUE"""),45212.0)</f>
        <v>45212</v>
      </c>
      <c r="I365" s="199">
        <f>IFERROR(__xludf.DUMMYFUNCTION("""COMPUTED_VALUE"""),0.6305555555555555)</f>
        <v>0.6305555556</v>
      </c>
      <c r="J365" s="200">
        <f>IFERROR(__xludf.DUMMYFUNCTION("""COMPUTED_VALUE"""),75.0)</f>
        <v>75</v>
      </c>
      <c r="K365" s="200">
        <f>IFERROR(__xludf.DUMMYFUNCTION("""COMPUTED_VALUE"""),15.0)</f>
        <v>15</v>
      </c>
      <c r="L365" s="201" t="str">
        <f>IFERROR(__xludf.DUMMYFUNCTION("""COMPUTED_VALUE"""),"RPG")</f>
        <v>RPG</v>
      </c>
    </row>
    <row r="366">
      <c r="A366" s="190" t="str">
        <f>IFERROR(__xludf.DUMMYFUNCTION("""COMPUTED_VALUE"""),"Cities: Skylines II")</f>
        <v>Cities: Skylines II</v>
      </c>
      <c r="B366" s="195" t="str">
        <f>IFERROR(__xludf.DUMMYFUNCTION("""COMPUTED_VALUE"""),"PC")</f>
        <v>PC</v>
      </c>
      <c r="C366" s="196"/>
      <c r="D366" s="196" t="str">
        <f>IFERROR(__xludf.DUMMYFUNCTION("""COMPUTED_VALUE"""),"Active")</f>
        <v>Active</v>
      </c>
      <c r="E366" s="197">
        <f>IFERROR(__xludf.DUMMYFUNCTION("""COMPUTED_VALUE"""),45223.0)</f>
        <v>45223</v>
      </c>
      <c r="F366" s="198"/>
      <c r="G366" s="199">
        <f>IFERROR(__xludf.DUMMYFUNCTION("""COMPUTED_VALUE"""),23.700000000000003)</f>
        <v>23.7</v>
      </c>
      <c r="H366" s="197">
        <f>IFERROR(__xludf.DUMMYFUNCTION("""COMPUTED_VALUE"""),45223.0)</f>
        <v>45223</v>
      </c>
      <c r="I366" s="199">
        <f>IFERROR(__xludf.DUMMYFUNCTION("""COMPUTED_VALUE"""),0.0)</f>
        <v>0</v>
      </c>
      <c r="J366" s="200">
        <f>IFERROR(__xludf.DUMMYFUNCTION("""COMPUTED_VALUE"""),75.0)</f>
        <v>75</v>
      </c>
      <c r="K366" s="200">
        <f>IFERROR(__xludf.DUMMYFUNCTION("""COMPUTED_VALUE"""),25.0)</f>
        <v>25</v>
      </c>
      <c r="L366" s="201" t="str">
        <f>IFERROR(__xludf.DUMMYFUNCTION("""COMPUTED_VALUE"""),"Simulation")</f>
        <v>Simulation</v>
      </c>
    </row>
    <row r="367">
      <c r="A367" s="190" t="str">
        <f>IFERROR(__xludf.DUMMYFUNCTION("""COMPUTED_VALUE"""),"Mount &amp; Blade II: Bannerlord")</f>
        <v>Mount &amp; Blade II: Bannerlord</v>
      </c>
      <c r="B367" s="195" t="str">
        <f>IFERROR(__xludf.DUMMYFUNCTION("""COMPUTED_VALUE"""),"Xbox / PC")</f>
        <v>Xbox / PC</v>
      </c>
      <c r="C367" s="196" t="str">
        <f>IFERROR(__xludf.DUMMYFUNCTION("""COMPUTED_VALUE"""),"M+KB")</f>
        <v>M+KB</v>
      </c>
      <c r="D367" s="196" t="str">
        <f>IFERROR(__xludf.DUMMYFUNCTION("""COMPUTED_VALUE"""),"Active")</f>
        <v>Active</v>
      </c>
      <c r="E367" s="197">
        <f>IFERROR(__xludf.DUMMYFUNCTION("""COMPUTED_VALUE"""),44971.0)</f>
        <v>44971</v>
      </c>
      <c r="F367" s="198"/>
      <c r="G367" s="199">
        <f>IFERROR(__xludf.DUMMYFUNCTION("""COMPUTED_VALUE"""),32.03333333333333)</f>
        <v>32.03333333</v>
      </c>
      <c r="H367" s="197">
        <f>IFERROR(__xludf.DUMMYFUNCTION("""COMPUTED_VALUE"""),43920.0)</f>
        <v>43920</v>
      </c>
      <c r="I367" s="199">
        <f>IFERROR(__xludf.DUMMYFUNCTION("""COMPUTED_VALUE"""),2.8722222222222222)</f>
        <v>2.872222222</v>
      </c>
      <c r="J367" s="200">
        <f>IFERROR(__xludf.DUMMYFUNCTION("""COMPUTED_VALUE"""),75.0)</f>
        <v>75</v>
      </c>
      <c r="K367" s="200">
        <f>IFERROR(__xludf.DUMMYFUNCTION("""COMPUTED_VALUE"""),39.0)</f>
        <v>39</v>
      </c>
      <c r="L367" s="201" t="str">
        <f>IFERROR(__xludf.DUMMYFUNCTION("""COMPUTED_VALUE"""),"Action / Adventure / RPG / Simulation")</f>
        <v>Action / Adventure / RPG / Simulation</v>
      </c>
    </row>
    <row r="368">
      <c r="A368" s="190" t="str">
        <f>IFERROR(__xludf.DUMMYFUNCTION("""COMPUTED_VALUE"""),"Disney Dreamlight Valley: Founder's Edition")</f>
        <v>Disney Dreamlight Valley: Founder's Edition</v>
      </c>
      <c r="B368" s="195" t="str">
        <f>IFERROR(__xludf.DUMMYFUNCTION("""COMPUTED_VALUE"""),"Xbox / PC")</f>
        <v>Xbox / PC</v>
      </c>
      <c r="C368" s="196" t="str">
        <f>IFERROR(__xludf.DUMMYFUNCTION("""COMPUTED_VALUE"""),"Touch Controls")</f>
        <v>Touch Controls</v>
      </c>
      <c r="D368" s="196" t="str">
        <f>IFERROR(__xludf.DUMMYFUNCTION("""COMPUTED_VALUE"""),"Active")</f>
        <v>Active</v>
      </c>
      <c r="E368" s="197">
        <f>IFERROR(__xludf.DUMMYFUNCTION("""COMPUTED_VALUE"""),44810.0)</f>
        <v>44810</v>
      </c>
      <c r="F368" s="198"/>
      <c r="G368" s="199">
        <f>IFERROR(__xludf.DUMMYFUNCTION("""COMPUTED_VALUE"""),37.3)</f>
        <v>37.3</v>
      </c>
      <c r="H368" s="197">
        <f>IFERROR(__xludf.DUMMYFUNCTION("""COMPUTED_VALUE"""),44810.0)</f>
        <v>44810</v>
      </c>
      <c r="I368" s="199">
        <f>IFERROR(__xludf.DUMMYFUNCTION("""COMPUTED_VALUE"""),0.0)</f>
        <v>0</v>
      </c>
      <c r="J368" s="200">
        <f>IFERROR(__xludf.DUMMYFUNCTION("""COMPUTED_VALUE"""),75.0)</f>
        <v>75</v>
      </c>
      <c r="K368" s="200">
        <f>IFERROR(__xludf.DUMMYFUNCTION("""COMPUTED_VALUE"""),15.5)</f>
        <v>15.5</v>
      </c>
      <c r="L368" s="201" t="str">
        <f>IFERROR(__xludf.DUMMYFUNCTION("""COMPUTED_VALUE"""),"Simulation")</f>
        <v>Simulation</v>
      </c>
    </row>
    <row r="369">
      <c r="A369" s="190" t="str">
        <f>IFERROR(__xludf.DUMMYFUNCTION("""COMPUTED_VALUE"""),"GRID: Legends")</f>
        <v>GRID: Legends</v>
      </c>
      <c r="B369" s="195" t="str">
        <f>IFERROR(__xludf.DUMMYFUNCTION("""COMPUTED_VALUE"""),"Xbox / PC")</f>
        <v>Xbox / PC</v>
      </c>
      <c r="C369" s="196" t="str">
        <f>IFERROR(__xludf.DUMMYFUNCTION("""COMPUTED_VALUE"""),"Yes")</f>
        <v>Yes</v>
      </c>
      <c r="D369" s="196" t="str">
        <f>IFERROR(__xludf.DUMMYFUNCTION("""COMPUTED_VALUE"""),"Active")</f>
        <v>Active</v>
      </c>
      <c r="E369" s="197">
        <f>IFERROR(__xludf.DUMMYFUNCTION("""COMPUTED_VALUE"""),44805.0)</f>
        <v>44805</v>
      </c>
      <c r="F369" s="198"/>
      <c r="G369" s="199">
        <f>IFERROR(__xludf.DUMMYFUNCTION("""COMPUTED_VALUE"""),37.46666666666667)</f>
        <v>37.46666667</v>
      </c>
      <c r="H369" s="197">
        <f>IFERROR(__xludf.DUMMYFUNCTION("""COMPUTED_VALUE"""),44617.0)</f>
        <v>44617</v>
      </c>
      <c r="I369" s="199">
        <f>IFERROR(__xludf.DUMMYFUNCTION("""COMPUTED_VALUE"""),0.5166666666666667)</f>
        <v>0.5166666667</v>
      </c>
      <c r="J369" s="200">
        <f>IFERROR(__xludf.DUMMYFUNCTION("""COMPUTED_VALUE"""),75.0)</f>
        <v>75</v>
      </c>
      <c r="K369" s="200">
        <f>IFERROR(__xludf.DUMMYFUNCTION("""COMPUTED_VALUE"""),6.0)</f>
        <v>6</v>
      </c>
      <c r="L369" s="201" t="str">
        <f>IFERROR(__xludf.DUMMYFUNCTION("""COMPUTED_VALUE"""),"Driving/Racing")</f>
        <v>Driving/Racing</v>
      </c>
    </row>
    <row r="370">
      <c r="A370" s="190" t="str">
        <f>IFERROR(__xludf.DUMMYFUNCTION("""COMPUTED_VALUE"""),"Rebel Galaxy")</f>
        <v>Rebel Galaxy</v>
      </c>
      <c r="B370" s="195" t="str">
        <f>IFERROR(__xludf.DUMMYFUNCTION("""COMPUTED_VALUE"""),"PC")</f>
        <v>PC</v>
      </c>
      <c r="C370" s="196"/>
      <c r="D370" s="196" t="str">
        <f>IFERROR(__xludf.DUMMYFUNCTION("""COMPUTED_VALUE"""),"Active")</f>
        <v>Active</v>
      </c>
      <c r="E370" s="197">
        <f>IFERROR(__xludf.DUMMYFUNCTION("""COMPUTED_VALUE"""),44273.0)</f>
        <v>44273</v>
      </c>
      <c r="F370" s="198"/>
      <c r="G370" s="199">
        <f>IFERROR(__xludf.DUMMYFUNCTION("""COMPUTED_VALUE"""),54.900000000000006)</f>
        <v>54.9</v>
      </c>
      <c r="H370" s="197">
        <f>IFERROR(__xludf.DUMMYFUNCTION("""COMPUTED_VALUE"""),42297.0)</f>
        <v>42297</v>
      </c>
      <c r="I370" s="199">
        <f>IFERROR(__xludf.DUMMYFUNCTION("""COMPUTED_VALUE"""),5.411111111111111)</f>
        <v>5.411111111</v>
      </c>
      <c r="J370" s="200">
        <f>IFERROR(__xludf.DUMMYFUNCTION("""COMPUTED_VALUE"""),75.0)</f>
        <v>75</v>
      </c>
      <c r="K370" s="200">
        <f>IFERROR(__xludf.DUMMYFUNCTION("""COMPUTED_VALUE"""),22.0)</f>
        <v>22</v>
      </c>
      <c r="L370" s="201" t="str">
        <f>IFERROR(__xludf.DUMMYFUNCTION("""COMPUTED_VALUE"""),"Action / RPG")</f>
        <v>Action / RPG</v>
      </c>
    </row>
    <row r="371">
      <c r="A371" s="190" t="str">
        <f>IFERROR(__xludf.DUMMYFUNCTION("""COMPUTED_VALUE"""),"Need for Speed: Rivals - Complete Edition")</f>
        <v>Need for Speed: Rivals - Complete Edition</v>
      </c>
      <c r="B371" s="195" t="str">
        <f>IFERROR(__xludf.DUMMYFUNCTION("""COMPUTED_VALUE"""),"Xbox / PC")</f>
        <v>Xbox / PC</v>
      </c>
      <c r="C371" s="196"/>
      <c r="D371" s="196" t="str">
        <f>IFERROR(__xludf.DUMMYFUNCTION("""COMPUTED_VALUE"""),"Active")</f>
        <v>Active</v>
      </c>
      <c r="E371" s="197">
        <f>IFERROR(__xludf.DUMMYFUNCTION("""COMPUTED_VALUE"""),44145.0)</f>
        <v>44145</v>
      </c>
      <c r="F371" s="198"/>
      <c r="G371" s="199">
        <f>IFERROR(__xludf.DUMMYFUNCTION("""COMPUTED_VALUE"""),59.166666666666664)</f>
        <v>59.16666667</v>
      </c>
      <c r="H371" s="197">
        <f>IFERROR(__xludf.DUMMYFUNCTION("""COMPUTED_VALUE"""),41593.0)</f>
        <v>41593</v>
      </c>
      <c r="I371" s="199">
        <f>IFERROR(__xludf.DUMMYFUNCTION("""COMPUTED_VALUE"""),6.986111111111111)</f>
        <v>6.986111111</v>
      </c>
      <c r="J371" s="200">
        <f>IFERROR(__xludf.DUMMYFUNCTION("""COMPUTED_VALUE"""),75.0)</f>
        <v>75</v>
      </c>
      <c r="K371" s="200">
        <f>IFERROR(__xludf.DUMMYFUNCTION("""COMPUTED_VALUE"""),13.0)</f>
        <v>13</v>
      </c>
      <c r="L371" s="201" t="str">
        <f>IFERROR(__xludf.DUMMYFUNCTION("""COMPUTED_VALUE"""),"Driving/Racing")</f>
        <v>Driving/Racing</v>
      </c>
    </row>
    <row r="372">
      <c r="A372" s="190" t="str">
        <f>IFERROR(__xludf.DUMMYFUNCTION("""COMPUTED_VALUE"""),"Star Wars Battlefront: Ultimate Edition")</f>
        <v>Star Wars Battlefront: Ultimate Edition</v>
      </c>
      <c r="B372" s="195" t="str">
        <f>IFERROR(__xludf.DUMMYFUNCTION("""COMPUTED_VALUE"""),"Xbox / PC")</f>
        <v>Xbox / PC</v>
      </c>
      <c r="C372" s="196"/>
      <c r="D372" s="196" t="str">
        <f>IFERROR(__xludf.DUMMYFUNCTION("""COMPUTED_VALUE"""),"Active")</f>
        <v>Active</v>
      </c>
      <c r="E372" s="197">
        <f>IFERROR(__xludf.DUMMYFUNCTION("""COMPUTED_VALUE"""),44145.0)</f>
        <v>44145</v>
      </c>
      <c r="F372" s="198"/>
      <c r="G372" s="199">
        <f>IFERROR(__xludf.DUMMYFUNCTION("""COMPUTED_VALUE"""),59.166666666666664)</f>
        <v>59.16666667</v>
      </c>
      <c r="H372" s="197">
        <f>IFERROR(__xludf.DUMMYFUNCTION("""COMPUTED_VALUE"""),42325.0)</f>
        <v>42325</v>
      </c>
      <c r="I372" s="199">
        <f>IFERROR(__xludf.DUMMYFUNCTION("""COMPUTED_VALUE"""),4.980555555555555)</f>
        <v>4.980555556</v>
      </c>
      <c r="J372" s="200">
        <f>IFERROR(__xludf.DUMMYFUNCTION("""COMPUTED_VALUE"""),75.0)</f>
        <v>75</v>
      </c>
      <c r="K372" s="200">
        <f>IFERROR(__xludf.DUMMYFUNCTION("""COMPUTED_VALUE"""),14.5)</f>
        <v>14.5</v>
      </c>
      <c r="L372" s="201" t="str">
        <f>IFERROR(__xludf.DUMMYFUNCTION("""COMPUTED_VALUE"""),"Action / Shooter")</f>
        <v>Action / Shooter</v>
      </c>
    </row>
    <row r="373">
      <c r="A373" s="190" t="str">
        <f>IFERROR(__xludf.DUMMYFUNCTION("""COMPUTED_VALUE"""),"Unravel")</f>
        <v>Unravel</v>
      </c>
      <c r="B373" s="195" t="str">
        <f>IFERROR(__xludf.DUMMYFUNCTION("""COMPUTED_VALUE"""),"Xbox / PC")</f>
        <v>Xbox / PC</v>
      </c>
      <c r="C373" s="196"/>
      <c r="D373" s="196" t="str">
        <f>IFERROR(__xludf.DUMMYFUNCTION("""COMPUTED_VALUE"""),"Active")</f>
        <v>Active</v>
      </c>
      <c r="E373" s="197">
        <f>IFERROR(__xludf.DUMMYFUNCTION("""COMPUTED_VALUE"""),44145.0)</f>
        <v>44145</v>
      </c>
      <c r="F373" s="198"/>
      <c r="G373" s="199">
        <f>IFERROR(__xludf.DUMMYFUNCTION("""COMPUTED_VALUE"""),59.166666666666664)</f>
        <v>59.16666667</v>
      </c>
      <c r="H373" s="197">
        <f>IFERROR(__xludf.DUMMYFUNCTION("""COMPUTED_VALUE"""),42409.0)</f>
        <v>42409</v>
      </c>
      <c r="I373" s="199">
        <f>IFERROR(__xludf.DUMMYFUNCTION("""COMPUTED_VALUE"""),4.752777777777778)</f>
        <v>4.752777778</v>
      </c>
      <c r="J373" s="200">
        <f>IFERROR(__xludf.DUMMYFUNCTION("""COMPUTED_VALUE"""),75.0)</f>
        <v>75</v>
      </c>
      <c r="K373" s="200">
        <f>IFERROR(__xludf.DUMMYFUNCTION("""COMPUTED_VALUE"""),6.0)</f>
        <v>6</v>
      </c>
      <c r="L373" s="201" t="str">
        <f>IFERROR(__xludf.DUMMYFUNCTION("""COMPUTED_VALUE"""),"Puzzle / Platformer")</f>
        <v>Puzzle / Platformer</v>
      </c>
    </row>
    <row r="374">
      <c r="A374" s="190" t="str">
        <f>IFERROR(__xludf.DUMMYFUNCTION("""COMPUTED_VALUE"""),"Monopoly (2024)")</f>
        <v>Monopoly (2024)</v>
      </c>
      <c r="B374" s="195" t="str">
        <f>IFERROR(__xludf.DUMMYFUNCTION("""COMPUTED_VALUE"""),"Xbox / PC")</f>
        <v>Xbox / PC</v>
      </c>
      <c r="C374" s="196" t="str">
        <f>IFERROR(__xludf.DUMMYFUNCTION("""COMPUTED_VALUE"""),"Yes")</f>
        <v>Yes</v>
      </c>
      <c r="D374" s="196" t="str">
        <f>IFERROR(__xludf.DUMMYFUNCTION("""COMPUTED_VALUE"""),"Active")</f>
        <v>Active</v>
      </c>
      <c r="E374" s="197">
        <f>IFERROR(__xludf.DUMMYFUNCTION("""COMPUTED_VALUE"""),45931.0)</f>
        <v>45931</v>
      </c>
      <c r="F374" s="198"/>
      <c r="G374" s="199">
        <f>IFERROR(__xludf.DUMMYFUNCTION("""COMPUTED_VALUE"""),0.4666666666666667)</f>
        <v>0.4666666667</v>
      </c>
      <c r="H374" s="197">
        <f>IFERROR(__xludf.DUMMYFUNCTION("""COMPUTED_VALUE"""),45561.0)</f>
        <v>45561</v>
      </c>
      <c r="I374" s="199">
        <f>IFERROR(__xludf.DUMMYFUNCTION("""COMPUTED_VALUE"""),1.0138888888888888)</f>
        <v>1.013888889</v>
      </c>
      <c r="J374" s="200">
        <f>IFERROR(__xludf.DUMMYFUNCTION("""COMPUTED_VALUE"""),74.0)</f>
        <v>74</v>
      </c>
      <c r="K374" s="200">
        <f>IFERROR(__xludf.DUMMYFUNCTION("""COMPUTED_VALUE"""),14.0)</f>
        <v>14</v>
      </c>
      <c r="L374" s="201" t="str">
        <f>IFERROR(__xludf.DUMMYFUNCTION("""COMPUTED_VALUE"""),"Board")</f>
        <v>Board</v>
      </c>
    </row>
    <row r="375">
      <c r="A375" s="190" t="str">
        <f>IFERROR(__xludf.DUMMYFUNCTION("""COMPUTED_VALUE"""),"Starlink: Battle for Atlas")</f>
        <v>Starlink: Battle for Atlas</v>
      </c>
      <c r="B375" s="195" t="str">
        <f>IFERROR(__xludf.DUMMYFUNCTION("""COMPUTED_VALUE"""),"Xbox / PC")</f>
        <v>Xbox / PC</v>
      </c>
      <c r="C375" s="196" t="str">
        <f>IFERROR(__xludf.DUMMYFUNCTION("""COMPUTED_VALUE"""),"Yes")</f>
        <v>Yes</v>
      </c>
      <c r="D375" s="196" t="str">
        <f>IFERROR(__xludf.DUMMYFUNCTION("""COMPUTED_VALUE"""),"Active")</f>
        <v>Active</v>
      </c>
      <c r="E375" s="197">
        <f>IFERROR(__xludf.DUMMYFUNCTION("""COMPUTED_VALUE"""),45931.0)</f>
        <v>45931</v>
      </c>
      <c r="F375" s="198"/>
      <c r="G375" s="199">
        <f>IFERROR(__xludf.DUMMYFUNCTION("""COMPUTED_VALUE"""),0.4666666666666667)</f>
        <v>0.4666666667</v>
      </c>
      <c r="H375" s="197">
        <f>IFERROR(__xludf.DUMMYFUNCTION("""COMPUTED_VALUE"""),43389.0)</f>
        <v>43389</v>
      </c>
      <c r="I375" s="199">
        <f>IFERROR(__xludf.DUMMYFUNCTION("""COMPUTED_VALUE"""),6.958333333333333)</f>
        <v>6.958333333</v>
      </c>
      <c r="J375" s="200">
        <f>IFERROR(__xludf.DUMMYFUNCTION("""COMPUTED_VALUE"""),74.0)</f>
        <v>74</v>
      </c>
      <c r="K375" s="200">
        <f>IFERROR(__xludf.DUMMYFUNCTION("""COMPUTED_VALUE"""),15.0)</f>
        <v>15</v>
      </c>
      <c r="L375" s="201" t="str">
        <f>IFERROR(__xludf.DUMMYFUNCTION("""COMPUTED_VALUE"""),"Simulation")</f>
        <v>Simulation</v>
      </c>
    </row>
    <row r="376">
      <c r="A376" s="190" t="str">
        <f>IFERROR(__xludf.DUMMYFUNCTION("""COMPUTED_VALUE"""),"WUCHANG: Fallen Feathers")</f>
        <v>WUCHANG: Fallen Feathers</v>
      </c>
      <c r="B376" s="195" t="str">
        <f>IFERROR(__xludf.DUMMYFUNCTION("""COMPUTED_VALUE"""),"Xbox / PC")</f>
        <v>Xbox / PC</v>
      </c>
      <c r="C376" s="196" t="str">
        <f>IFERROR(__xludf.DUMMYFUNCTION("""COMPUTED_VALUE"""),"Yes")</f>
        <v>Yes</v>
      </c>
      <c r="D376" s="196" t="str">
        <f>IFERROR(__xludf.DUMMYFUNCTION("""COMPUTED_VALUE"""),"Active")</f>
        <v>Active</v>
      </c>
      <c r="E376" s="197">
        <f>IFERROR(__xludf.DUMMYFUNCTION("""COMPUTED_VALUE"""),45862.0)</f>
        <v>45862</v>
      </c>
      <c r="F376" s="198"/>
      <c r="G376" s="199">
        <f>IFERROR(__xludf.DUMMYFUNCTION("""COMPUTED_VALUE"""),2.7)</f>
        <v>2.7</v>
      </c>
      <c r="H376" s="197">
        <f>IFERROR(__xludf.DUMMYFUNCTION("""COMPUTED_VALUE"""),45862.0)</f>
        <v>45862</v>
      </c>
      <c r="I376" s="199">
        <f>IFERROR(__xludf.DUMMYFUNCTION("""COMPUTED_VALUE"""),0.0)</f>
        <v>0</v>
      </c>
      <c r="J376" s="200">
        <f>IFERROR(__xludf.DUMMYFUNCTION("""COMPUTED_VALUE"""),74.0)</f>
        <v>74</v>
      </c>
      <c r="K376" s="200">
        <f>IFERROR(__xludf.DUMMYFUNCTION("""COMPUTED_VALUE"""),32.0)</f>
        <v>32</v>
      </c>
      <c r="L376" s="201" t="str">
        <f>IFERROR(__xludf.DUMMYFUNCTION("""COMPUTED_VALUE"""),"RPG")</f>
        <v>RPG</v>
      </c>
    </row>
    <row r="377">
      <c r="A377" s="190" t="str">
        <f>IFERROR(__xludf.DUMMYFUNCTION("""COMPUTED_VALUE"""),"Tempopo")</f>
        <v>Tempopo</v>
      </c>
      <c r="B377" s="195" t="str">
        <f>IFERROR(__xludf.DUMMYFUNCTION("""COMPUTED_VALUE"""),"Xbox / PC")</f>
        <v>Xbox / PC</v>
      </c>
      <c r="C377" s="196" t="str">
        <f>IFERROR(__xludf.DUMMYFUNCTION("""COMPUTED_VALUE"""),"Yes")</f>
        <v>Yes</v>
      </c>
      <c r="D377" s="196" t="str">
        <f>IFERROR(__xludf.DUMMYFUNCTION("""COMPUTED_VALUE"""),"Active")</f>
        <v>Active</v>
      </c>
      <c r="E377" s="197">
        <f>IFERROR(__xludf.DUMMYFUNCTION("""COMPUTED_VALUE"""),45764.0)</f>
        <v>45764</v>
      </c>
      <c r="F377" s="198"/>
      <c r="G377" s="199">
        <f>IFERROR(__xludf.DUMMYFUNCTION("""COMPUTED_VALUE"""),5.933333333333334)</f>
        <v>5.933333333</v>
      </c>
      <c r="H377" s="197">
        <f>IFERROR(__xludf.DUMMYFUNCTION("""COMPUTED_VALUE"""),45764.0)</f>
        <v>45764</v>
      </c>
      <c r="I377" s="199">
        <f>IFERROR(__xludf.DUMMYFUNCTION("""COMPUTED_VALUE"""),0.0)</f>
        <v>0</v>
      </c>
      <c r="J377" s="200">
        <f>IFERROR(__xludf.DUMMYFUNCTION("""COMPUTED_VALUE"""),74.0)</f>
        <v>74</v>
      </c>
      <c r="K377" s="200">
        <f>IFERROR(__xludf.DUMMYFUNCTION("""COMPUTED_VALUE"""),5.0)</f>
        <v>5</v>
      </c>
      <c r="L377" s="201" t="str">
        <f>IFERROR(__xludf.DUMMYFUNCTION("""COMPUTED_VALUE"""),"Acton Puzzle")</f>
        <v>Acton Puzzle</v>
      </c>
    </row>
    <row r="378">
      <c r="A378" s="190" t="str">
        <f>IFERROR(__xludf.DUMMYFUNCTION("""COMPUTED_VALUE"""),"Star Trucker")</f>
        <v>Star Trucker</v>
      </c>
      <c r="B378" s="195" t="str">
        <f>IFERROR(__xludf.DUMMYFUNCTION("""COMPUTED_VALUE"""),"Xbox / PC")</f>
        <v>Xbox / PC</v>
      </c>
      <c r="C378" s="196" t="str">
        <f>IFERROR(__xludf.DUMMYFUNCTION("""COMPUTED_VALUE"""),"Yes")</f>
        <v>Yes</v>
      </c>
      <c r="D378" s="196" t="str">
        <f>IFERROR(__xludf.DUMMYFUNCTION("""COMPUTED_VALUE"""),"Active")</f>
        <v>Active</v>
      </c>
      <c r="E378" s="197">
        <f>IFERROR(__xludf.DUMMYFUNCTION("""COMPUTED_VALUE"""),45538.0)</f>
        <v>45538</v>
      </c>
      <c r="F378" s="198"/>
      <c r="G378" s="199">
        <f>IFERROR(__xludf.DUMMYFUNCTION("""COMPUTED_VALUE"""),13.4)</f>
        <v>13.4</v>
      </c>
      <c r="H378" s="197">
        <f>IFERROR(__xludf.DUMMYFUNCTION("""COMPUTED_VALUE"""),45538.0)</f>
        <v>45538</v>
      </c>
      <c r="I378" s="199">
        <f>IFERROR(__xludf.DUMMYFUNCTION("""COMPUTED_VALUE"""),0.0)</f>
        <v>0</v>
      </c>
      <c r="J378" s="200">
        <f>IFERROR(__xludf.DUMMYFUNCTION("""COMPUTED_VALUE"""),74.0)</f>
        <v>74</v>
      </c>
      <c r="K378" s="200">
        <f>IFERROR(__xludf.DUMMYFUNCTION("""COMPUTED_VALUE"""),25.0)</f>
        <v>25</v>
      </c>
      <c r="L378" s="201" t="str">
        <f>IFERROR(__xludf.DUMMYFUNCTION("""COMPUTED_VALUE"""),"Simulation")</f>
        <v>Simulation</v>
      </c>
    </row>
    <row r="379">
      <c r="A379" s="190" t="str">
        <f>IFERROR(__xludf.DUMMYFUNCTION("""COMPUTED_VALUE"""),"Still Wakes the Deep")</f>
        <v>Still Wakes the Deep</v>
      </c>
      <c r="B379" s="195" t="str">
        <f>IFERROR(__xludf.DUMMYFUNCTION("""COMPUTED_VALUE"""),"Xbox / PC")</f>
        <v>Xbox / PC</v>
      </c>
      <c r="C379" s="196" t="str">
        <f>IFERROR(__xludf.DUMMYFUNCTION("""COMPUTED_VALUE"""),"Yes")</f>
        <v>Yes</v>
      </c>
      <c r="D379" s="196" t="str">
        <f>IFERROR(__xludf.DUMMYFUNCTION("""COMPUTED_VALUE"""),"Active")</f>
        <v>Active</v>
      </c>
      <c r="E379" s="197">
        <f>IFERROR(__xludf.DUMMYFUNCTION("""COMPUTED_VALUE"""),45461.0)</f>
        <v>45461</v>
      </c>
      <c r="F379" s="198"/>
      <c r="G379" s="199">
        <f>IFERROR(__xludf.DUMMYFUNCTION("""COMPUTED_VALUE"""),15.899999999999999)</f>
        <v>15.9</v>
      </c>
      <c r="H379" s="197">
        <f>IFERROR(__xludf.DUMMYFUNCTION("""COMPUTED_VALUE"""),45461.0)</f>
        <v>45461</v>
      </c>
      <c r="I379" s="199">
        <f>IFERROR(__xludf.DUMMYFUNCTION("""COMPUTED_VALUE"""),0.0)</f>
        <v>0</v>
      </c>
      <c r="J379" s="200">
        <f>IFERROR(__xludf.DUMMYFUNCTION("""COMPUTED_VALUE"""),74.0)</f>
        <v>74</v>
      </c>
      <c r="K379" s="200">
        <f>IFERROR(__xludf.DUMMYFUNCTION("""COMPUTED_VALUE"""),5.0)</f>
        <v>5</v>
      </c>
      <c r="L379" s="201" t="str">
        <f>IFERROR(__xludf.DUMMYFUNCTION("""COMPUTED_VALUE"""),"Survival")</f>
        <v>Survival</v>
      </c>
    </row>
    <row r="380">
      <c r="A380" s="190" t="str">
        <f>IFERROR(__xludf.DUMMYFUNCTION("""COMPUTED_VALUE"""),"SteamWorld Build")</f>
        <v>SteamWorld Build</v>
      </c>
      <c r="B380" s="195" t="str">
        <f>IFERROR(__xludf.DUMMYFUNCTION("""COMPUTED_VALUE"""),"Xbox / PC")</f>
        <v>Xbox / PC</v>
      </c>
      <c r="C380" s="196" t="str">
        <f>IFERROR(__xludf.DUMMYFUNCTION("""COMPUTED_VALUE"""),"Yes")</f>
        <v>Yes</v>
      </c>
      <c r="D380" s="196" t="str">
        <f>IFERROR(__xludf.DUMMYFUNCTION("""COMPUTED_VALUE"""),"Active")</f>
        <v>Active</v>
      </c>
      <c r="E380" s="197">
        <f>IFERROR(__xludf.DUMMYFUNCTION("""COMPUTED_VALUE"""),45261.0)</f>
        <v>45261</v>
      </c>
      <c r="F380" s="198"/>
      <c r="G380" s="199">
        <f>IFERROR(__xludf.DUMMYFUNCTION("""COMPUTED_VALUE"""),22.46666666666667)</f>
        <v>22.46666667</v>
      </c>
      <c r="H380" s="197">
        <f>IFERROR(__xludf.DUMMYFUNCTION("""COMPUTED_VALUE"""),45261.0)</f>
        <v>45261</v>
      </c>
      <c r="I380" s="199">
        <f>IFERROR(__xludf.DUMMYFUNCTION("""COMPUTED_VALUE"""),0.0)</f>
        <v>0</v>
      </c>
      <c r="J380" s="200">
        <f>IFERROR(__xludf.DUMMYFUNCTION("""COMPUTED_VALUE"""),74.0)</f>
        <v>74</v>
      </c>
      <c r="K380" s="200">
        <f>IFERROR(__xludf.DUMMYFUNCTION("""COMPUTED_VALUE"""),9.0)</f>
        <v>9</v>
      </c>
      <c r="L380" s="201" t="str">
        <f>IFERROR(__xludf.DUMMYFUNCTION("""COMPUTED_VALUE"""),"Strategy / Simulation")</f>
        <v>Strategy / Simulation</v>
      </c>
    </row>
    <row r="381">
      <c r="A381" s="190" t="str">
        <f>IFERROR(__xludf.DUMMYFUNCTION("""COMPUTED_VALUE"""),"Need for Speed: Heat - Deluxe Edition")</f>
        <v>Need for Speed: Heat - Deluxe Edition</v>
      </c>
      <c r="B381" s="195" t="str">
        <f>IFERROR(__xludf.DUMMYFUNCTION("""COMPUTED_VALUE"""),"Xbox / PC")</f>
        <v>Xbox / PC</v>
      </c>
      <c r="C381" s="196" t="str">
        <f>IFERROR(__xludf.DUMMYFUNCTION("""COMPUTED_VALUE"""),"Touch Controls")</f>
        <v>Touch Controls</v>
      </c>
      <c r="D381" s="196" t="str">
        <f>IFERROR(__xludf.DUMMYFUNCTION("""COMPUTED_VALUE"""),"Active")</f>
        <v>Active</v>
      </c>
      <c r="E381" s="197">
        <f>IFERROR(__xludf.DUMMYFUNCTION("""COMPUTED_VALUE"""),44145.0)</f>
        <v>44145</v>
      </c>
      <c r="F381" s="198"/>
      <c r="G381" s="199">
        <f>IFERROR(__xludf.DUMMYFUNCTION("""COMPUTED_VALUE"""),59.166666666666664)</f>
        <v>59.16666667</v>
      </c>
      <c r="H381" s="197">
        <f>IFERROR(__xludf.DUMMYFUNCTION("""COMPUTED_VALUE"""),43777.0)</f>
        <v>43777</v>
      </c>
      <c r="I381" s="199">
        <f>IFERROR(__xludf.DUMMYFUNCTION("""COMPUTED_VALUE"""),1.0055555555555555)</f>
        <v>1.005555556</v>
      </c>
      <c r="J381" s="200">
        <f>IFERROR(__xludf.DUMMYFUNCTION("""COMPUTED_VALUE"""),74.0)</f>
        <v>74</v>
      </c>
      <c r="K381" s="200">
        <f>IFERROR(__xludf.DUMMYFUNCTION("""COMPUTED_VALUE"""),12.5)</f>
        <v>12.5</v>
      </c>
      <c r="L381" s="201" t="str">
        <f>IFERROR(__xludf.DUMMYFUNCTION("""COMPUTED_VALUE"""),"Driving/Racing")</f>
        <v>Driving/Racing</v>
      </c>
    </row>
    <row r="382">
      <c r="A382" s="190" t="str">
        <f>IFERROR(__xludf.DUMMYFUNCTION("""COMPUTED_VALUE"""),"Tom Clancy's Rainbow Six: Siege - Deluxe Edition")</f>
        <v>Tom Clancy's Rainbow Six: Siege - Deluxe Edition</v>
      </c>
      <c r="B382" s="195" t="str">
        <f>IFERROR(__xludf.DUMMYFUNCTION("""COMPUTED_VALUE"""),"Xbox / PC")</f>
        <v>Xbox / PC</v>
      </c>
      <c r="C382" s="196" t="str">
        <f>IFERROR(__xludf.DUMMYFUNCTION("""COMPUTED_VALUE"""),"Yes")</f>
        <v>Yes</v>
      </c>
      <c r="D382" s="196" t="str">
        <f>IFERROR(__xludf.DUMMYFUNCTION("""COMPUTED_VALUE"""),"Active")</f>
        <v>Active</v>
      </c>
      <c r="E382" s="197">
        <f>IFERROR(__xludf.DUMMYFUNCTION("""COMPUTED_VALUE"""),44126.0)</f>
        <v>44126</v>
      </c>
      <c r="F382" s="198"/>
      <c r="G382" s="199">
        <f>IFERROR(__xludf.DUMMYFUNCTION("""COMPUTED_VALUE"""),59.766666666666666)</f>
        <v>59.76666667</v>
      </c>
      <c r="H382" s="197">
        <f>IFERROR(__xludf.DUMMYFUNCTION("""COMPUTED_VALUE"""),42339.0)</f>
        <v>42339</v>
      </c>
      <c r="I382" s="199">
        <f>IFERROR(__xludf.DUMMYFUNCTION("""COMPUTED_VALUE"""),4.891666666666667)</f>
        <v>4.891666667</v>
      </c>
      <c r="J382" s="200">
        <f>IFERROR(__xludf.DUMMYFUNCTION("""COMPUTED_VALUE"""),74.0)</f>
        <v>74</v>
      </c>
      <c r="K382" s="200">
        <f>IFERROR(__xludf.DUMMYFUNCTION("""COMPUTED_VALUE"""),7.5)</f>
        <v>7.5</v>
      </c>
      <c r="L382" s="201" t="str">
        <f>IFERROR(__xludf.DUMMYFUNCTION("""COMPUTED_VALUE"""),"First-Person Shooter")</f>
        <v>First-Person Shooter</v>
      </c>
    </row>
    <row r="383">
      <c r="A383" s="190" t="str">
        <f>IFERROR(__xludf.DUMMYFUNCTION("""COMPUTED_VALUE"""),"MechWarrior 5: Mercenaries")</f>
        <v>MechWarrior 5: Mercenaries</v>
      </c>
      <c r="B383" s="195" t="str">
        <f>IFERROR(__xludf.DUMMYFUNCTION("""COMPUTED_VALUE"""),"Xbox / PC")</f>
        <v>Xbox / PC</v>
      </c>
      <c r="C383" s="196" t="str">
        <f>IFERROR(__xludf.DUMMYFUNCTION("""COMPUTED_VALUE"""),"Yes")</f>
        <v>Yes</v>
      </c>
      <c r="D383" s="196" t="str">
        <f>IFERROR(__xludf.DUMMYFUNCTION("""COMPUTED_VALUE"""),"Active")</f>
        <v>Active</v>
      </c>
      <c r="E383" s="197">
        <f>IFERROR(__xludf.DUMMYFUNCTION("""COMPUTED_VALUE"""),43958.0)</f>
        <v>43958</v>
      </c>
      <c r="F383" s="198"/>
      <c r="G383" s="199">
        <f>IFERROR(__xludf.DUMMYFUNCTION("""COMPUTED_VALUE"""),65.26666666666667)</f>
        <v>65.26666667</v>
      </c>
      <c r="H383" s="197">
        <f>IFERROR(__xludf.DUMMYFUNCTION("""COMPUTED_VALUE"""),43809.0)</f>
        <v>43809</v>
      </c>
      <c r="I383" s="199">
        <f>IFERROR(__xludf.DUMMYFUNCTION("""COMPUTED_VALUE"""),0.4083333333333333)</f>
        <v>0.4083333333</v>
      </c>
      <c r="J383" s="200">
        <f>IFERROR(__xludf.DUMMYFUNCTION("""COMPUTED_VALUE"""),74.0)</f>
        <v>74</v>
      </c>
      <c r="K383" s="200">
        <f>IFERROR(__xludf.DUMMYFUNCTION("""COMPUTED_VALUE"""),46.5)</f>
        <v>46.5</v>
      </c>
      <c r="L383" s="201" t="str">
        <f>IFERROR(__xludf.DUMMYFUNCTION("""COMPUTED_VALUE"""),"Action / Simulation / Shooter")</f>
        <v>Action / Simulation / Shooter</v>
      </c>
    </row>
    <row r="384">
      <c r="A384" s="190" t="str">
        <f>IFERROR(__xludf.DUMMYFUNCTION("""COMPUTED_VALUE"""),"Phoenix Point")</f>
        <v>Phoenix Point</v>
      </c>
      <c r="B384" s="195" t="str">
        <f>IFERROR(__xludf.DUMMYFUNCTION("""COMPUTED_VALUE"""),"Xbox / PC")</f>
        <v>Xbox / PC</v>
      </c>
      <c r="C384" s="196" t="str">
        <f>IFERROR(__xludf.DUMMYFUNCTION("""COMPUTED_VALUE"""),"Touch Controls")</f>
        <v>Touch Controls</v>
      </c>
      <c r="D384" s="196" t="str">
        <f>IFERROR(__xludf.DUMMYFUNCTION("""COMPUTED_VALUE"""),"Active")</f>
        <v>Active</v>
      </c>
      <c r="E384" s="197">
        <f>IFERROR(__xludf.DUMMYFUNCTION("""COMPUTED_VALUE"""),43819.0)</f>
        <v>43819</v>
      </c>
      <c r="F384" s="198"/>
      <c r="G384" s="199">
        <f>IFERROR(__xludf.DUMMYFUNCTION("""COMPUTED_VALUE"""),69.83333333333334)</f>
        <v>69.83333333</v>
      </c>
      <c r="H384" s="197">
        <f>IFERROR(__xludf.DUMMYFUNCTION("""COMPUTED_VALUE"""),43802.0)</f>
        <v>43802</v>
      </c>
      <c r="I384" s="199">
        <f>IFERROR(__xludf.DUMMYFUNCTION("""COMPUTED_VALUE"""),0.04722222222222222)</f>
        <v>0.04722222222</v>
      </c>
      <c r="J384" s="200">
        <f>IFERROR(__xludf.DUMMYFUNCTION("""COMPUTED_VALUE"""),74.0)</f>
        <v>74</v>
      </c>
      <c r="K384" s="200">
        <f>IFERROR(__xludf.DUMMYFUNCTION("""COMPUTED_VALUE"""),32.0)</f>
        <v>32</v>
      </c>
      <c r="L384" s="201" t="str">
        <f>IFERROR(__xludf.DUMMYFUNCTION("""COMPUTED_VALUE"""),"Strategy")</f>
        <v>Strategy</v>
      </c>
    </row>
    <row r="385">
      <c r="A385" s="190" t="str">
        <f>IFERROR(__xludf.DUMMYFUNCTION("""COMPUTED_VALUE"""),"The Evil Within")</f>
        <v>The Evil Within</v>
      </c>
      <c r="B385" s="195" t="str">
        <f>IFERROR(__xludf.DUMMYFUNCTION("""COMPUTED_VALUE"""),"Xbox / PC")</f>
        <v>Xbox / PC</v>
      </c>
      <c r="C385" s="196" t="str">
        <f>IFERROR(__xludf.DUMMYFUNCTION("""COMPUTED_VALUE"""),"Yes")</f>
        <v>Yes</v>
      </c>
      <c r="D385" s="196" t="str">
        <f>IFERROR(__xludf.DUMMYFUNCTION("""COMPUTED_VALUE"""),"Active")</f>
        <v>Active</v>
      </c>
      <c r="E385" s="197">
        <f>IFERROR(__xludf.DUMMYFUNCTION("""COMPUTED_VALUE"""),44267.0)</f>
        <v>44267</v>
      </c>
      <c r="F385" s="198"/>
      <c r="G385" s="199">
        <f>IFERROR(__xludf.DUMMYFUNCTION("""COMPUTED_VALUE"""),55.1)</f>
        <v>55.1</v>
      </c>
      <c r="H385" s="197">
        <f>IFERROR(__xludf.DUMMYFUNCTION("""COMPUTED_VALUE"""),41926.0)</f>
        <v>41926</v>
      </c>
      <c r="I385" s="199">
        <f>IFERROR(__xludf.DUMMYFUNCTION("""COMPUTED_VALUE"""),6.411111111111111)</f>
        <v>6.411111111</v>
      </c>
      <c r="J385" s="200">
        <f>IFERROR(__xludf.DUMMYFUNCTION("""COMPUTED_VALUE"""),73.5)</f>
        <v>73.5</v>
      </c>
      <c r="K385" s="200">
        <f>IFERROR(__xludf.DUMMYFUNCTION("""COMPUTED_VALUE"""),16.0)</f>
        <v>16</v>
      </c>
      <c r="L385" s="201" t="str">
        <f>IFERROR(__xludf.DUMMYFUNCTION("""COMPUTED_VALUE"""),"Shooter")</f>
        <v>Shooter</v>
      </c>
    </row>
    <row r="386">
      <c r="A386" s="190" t="str">
        <f>IFERROR(__xludf.DUMMYFUNCTION("""COMPUTED_VALUE"""),"Evil West")</f>
        <v>Evil West</v>
      </c>
      <c r="B386" s="195" t="str">
        <f>IFERROR(__xludf.DUMMYFUNCTION("""COMPUTED_VALUE"""),"Xbox / PC")</f>
        <v>Xbox / PC</v>
      </c>
      <c r="C386" s="196" t="str">
        <f>IFERROR(__xludf.DUMMYFUNCTION("""COMPUTED_VALUE"""),"Yes")</f>
        <v>Yes</v>
      </c>
      <c r="D386" s="196" t="str">
        <f>IFERROR(__xludf.DUMMYFUNCTION("""COMPUTED_VALUE"""),"Coming Soon")</f>
        <v>Coming Soon</v>
      </c>
      <c r="E386" s="197">
        <f>IFERROR(__xludf.DUMMYFUNCTION("""COMPUTED_VALUE"""),45951.0)</f>
        <v>45951</v>
      </c>
      <c r="F386" s="198"/>
      <c r="G386" s="199">
        <f>IFERROR(__xludf.DUMMYFUNCTION("""COMPUTED_VALUE"""),-0.2)</f>
        <v>-0.2</v>
      </c>
      <c r="H386" s="197">
        <f>IFERROR(__xludf.DUMMYFUNCTION("""COMPUTED_VALUE"""),44887.0)</f>
        <v>44887</v>
      </c>
      <c r="I386" s="199">
        <f>IFERROR(__xludf.DUMMYFUNCTION("""COMPUTED_VALUE"""),2.9138888888888888)</f>
        <v>2.913888889</v>
      </c>
      <c r="J386" s="200">
        <f>IFERROR(__xludf.DUMMYFUNCTION("""COMPUTED_VALUE"""),73.0)</f>
        <v>73</v>
      </c>
      <c r="K386" s="200">
        <f>IFERROR(__xludf.DUMMYFUNCTION("""COMPUTED_VALUE"""),11.0)</f>
        <v>11</v>
      </c>
      <c r="L386" s="201" t="str">
        <f>IFERROR(__xludf.DUMMYFUNCTION("""COMPUTED_VALUE"""),"Shooter")</f>
        <v>Shooter</v>
      </c>
    </row>
    <row r="387">
      <c r="A387" s="190" t="str">
        <f>IFERROR(__xludf.DUMMYFUNCTION("""COMPUTED_VALUE"""),"To a T")</f>
        <v>To a T</v>
      </c>
      <c r="B387" s="195" t="str">
        <f>IFERROR(__xludf.DUMMYFUNCTION("""COMPUTED_VALUE"""),"Xbox / PC")</f>
        <v>Xbox / PC</v>
      </c>
      <c r="C387" s="196" t="str">
        <f>IFERROR(__xludf.DUMMYFUNCTION("""COMPUTED_VALUE"""),"Yes")</f>
        <v>Yes</v>
      </c>
      <c r="D387" s="196" t="str">
        <f>IFERROR(__xludf.DUMMYFUNCTION("""COMPUTED_VALUE"""),"Active")</f>
        <v>Active</v>
      </c>
      <c r="E387" s="197">
        <f>IFERROR(__xludf.DUMMYFUNCTION("""COMPUTED_VALUE"""),45805.0)</f>
        <v>45805</v>
      </c>
      <c r="F387" s="198"/>
      <c r="G387" s="199">
        <f>IFERROR(__xludf.DUMMYFUNCTION("""COMPUTED_VALUE"""),4.566666666666666)</f>
        <v>4.566666667</v>
      </c>
      <c r="H387" s="197">
        <f>IFERROR(__xludf.DUMMYFUNCTION("""COMPUTED_VALUE"""),45805.0)</f>
        <v>45805</v>
      </c>
      <c r="I387" s="199">
        <f>IFERROR(__xludf.DUMMYFUNCTION("""COMPUTED_VALUE"""),0.0)</f>
        <v>0</v>
      </c>
      <c r="J387" s="200">
        <f>IFERROR(__xludf.DUMMYFUNCTION("""COMPUTED_VALUE"""),73.0)</f>
        <v>73</v>
      </c>
      <c r="K387" s="200">
        <f>IFERROR(__xludf.DUMMYFUNCTION("""COMPUTED_VALUE"""),6.0)</f>
        <v>6</v>
      </c>
      <c r="L387" s="201" t="str">
        <f>IFERROR(__xludf.DUMMYFUNCTION("""COMPUTED_VALUE"""),"Action-Adventure")</f>
        <v>Action-Adventure</v>
      </c>
    </row>
    <row r="388">
      <c r="A388" s="190" t="str">
        <f>IFERROR(__xludf.DUMMYFUNCTION("""COMPUTED_VALUE"""),"Kulebra and the Souls of Limbo")</f>
        <v>Kulebra and the Souls of Limbo</v>
      </c>
      <c r="B388" s="195" t="str">
        <f>IFERROR(__xludf.DUMMYFUNCTION("""COMPUTED_VALUE"""),"Xbox / PC")</f>
        <v>Xbox / PC</v>
      </c>
      <c r="C388" s="196" t="str">
        <f>IFERROR(__xludf.DUMMYFUNCTION("""COMPUTED_VALUE"""),"Yes")</f>
        <v>Yes</v>
      </c>
      <c r="D388" s="196" t="str">
        <f>IFERROR(__xludf.DUMMYFUNCTION("""COMPUTED_VALUE"""),"Active")</f>
        <v>Active</v>
      </c>
      <c r="E388" s="197">
        <f>IFERROR(__xludf.DUMMYFUNCTION("""COMPUTED_VALUE"""),45793.0)</f>
        <v>45793</v>
      </c>
      <c r="F388" s="198"/>
      <c r="G388" s="199">
        <f>IFERROR(__xludf.DUMMYFUNCTION("""COMPUTED_VALUE"""),4.966666666666667)</f>
        <v>4.966666667</v>
      </c>
      <c r="H388" s="197">
        <f>IFERROR(__xludf.DUMMYFUNCTION("""COMPUTED_VALUE"""),45793.0)</f>
        <v>45793</v>
      </c>
      <c r="I388" s="199">
        <f>IFERROR(__xludf.DUMMYFUNCTION("""COMPUTED_VALUE"""),0.0)</f>
        <v>0</v>
      </c>
      <c r="J388" s="200">
        <f>IFERROR(__xludf.DUMMYFUNCTION("""COMPUTED_VALUE"""),73.0)</f>
        <v>73</v>
      </c>
      <c r="K388" s="200">
        <f>IFERROR(__xludf.DUMMYFUNCTION("""COMPUTED_VALUE"""),10.0)</f>
        <v>10</v>
      </c>
      <c r="L388" s="201" t="str">
        <f>IFERROR(__xludf.DUMMYFUNCTION("""COMPUTED_VALUE"""),"Action-Adventure")</f>
        <v>Action-Adventure</v>
      </c>
    </row>
    <row r="389">
      <c r="A389" s="190" t="str">
        <f>IFERROR(__xludf.DUMMYFUNCTION("""COMPUTED_VALUE"""),"S.T.A.L.K.E.R. 2: Heart of Chornobyl")</f>
        <v>S.T.A.L.K.E.R. 2: Heart of Chornobyl</v>
      </c>
      <c r="B389" s="195" t="str">
        <f>IFERROR(__xludf.DUMMYFUNCTION("""COMPUTED_VALUE"""),"Xbox / PC")</f>
        <v>Xbox / PC</v>
      </c>
      <c r="C389" s="196" t="str">
        <f>IFERROR(__xludf.DUMMYFUNCTION("""COMPUTED_VALUE"""),"Yes")</f>
        <v>Yes</v>
      </c>
      <c r="D389" s="196" t="str">
        <f>IFERROR(__xludf.DUMMYFUNCTION("""COMPUTED_VALUE"""),"Active")</f>
        <v>Active</v>
      </c>
      <c r="E389" s="197">
        <f>IFERROR(__xludf.DUMMYFUNCTION("""COMPUTED_VALUE"""),45616.0)</f>
        <v>45616</v>
      </c>
      <c r="F389" s="198"/>
      <c r="G389" s="199">
        <f>IFERROR(__xludf.DUMMYFUNCTION("""COMPUTED_VALUE"""),10.833333333333334)</f>
        <v>10.83333333</v>
      </c>
      <c r="H389" s="197">
        <f>IFERROR(__xludf.DUMMYFUNCTION("""COMPUTED_VALUE"""),45616.0)</f>
        <v>45616</v>
      </c>
      <c r="I389" s="199">
        <f>IFERROR(__xludf.DUMMYFUNCTION("""COMPUTED_VALUE"""),0.0)</f>
        <v>0</v>
      </c>
      <c r="J389" s="200">
        <f>IFERROR(__xludf.DUMMYFUNCTION("""COMPUTED_VALUE"""),73.0)</f>
        <v>73</v>
      </c>
      <c r="K389" s="200">
        <f>IFERROR(__xludf.DUMMYFUNCTION("""COMPUTED_VALUE"""),31.0)</f>
        <v>31</v>
      </c>
      <c r="L389" s="201" t="str">
        <f>IFERROR(__xludf.DUMMYFUNCTION("""COMPUTED_VALUE"""),"Action-Adventure")</f>
        <v>Action-Adventure</v>
      </c>
    </row>
    <row r="390">
      <c r="A390" s="190" t="str">
        <f>IFERROR(__xludf.DUMMYFUNCTION("""COMPUTED_VALUE"""),"Dead Island 2")</f>
        <v>Dead Island 2</v>
      </c>
      <c r="B390" s="195" t="str">
        <f>IFERROR(__xludf.DUMMYFUNCTION("""COMPUTED_VALUE"""),"Xbox / PC")</f>
        <v>Xbox / PC</v>
      </c>
      <c r="C390" s="196" t="str">
        <f>IFERROR(__xludf.DUMMYFUNCTION("""COMPUTED_VALUE"""),"Yes")</f>
        <v>Yes</v>
      </c>
      <c r="D390" s="196" t="str">
        <f>IFERROR(__xludf.DUMMYFUNCTION("""COMPUTED_VALUE"""),"Active")</f>
        <v>Active</v>
      </c>
      <c r="E390" s="197">
        <f>IFERROR(__xludf.DUMMYFUNCTION("""COMPUTED_VALUE"""),45342.0)</f>
        <v>45342</v>
      </c>
      <c r="F390" s="198"/>
      <c r="G390" s="199">
        <f>IFERROR(__xludf.DUMMYFUNCTION("""COMPUTED_VALUE"""),19.833333333333332)</f>
        <v>19.83333333</v>
      </c>
      <c r="H390" s="197">
        <f>IFERROR(__xludf.DUMMYFUNCTION("""COMPUTED_VALUE"""),45037.0)</f>
        <v>45037</v>
      </c>
      <c r="I390" s="199">
        <f>IFERROR(__xludf.DUMMYFUNCTION("""COMPUTED_VALUE"""),0.8305555555555556)</f>
        <v>0.8305555556</v>
      </c>
      <c r="J390" s="200">
        <f>IFERROR(__xludf.DUMMYFUNCTION("""COMPUTED_VALUE"""),73.0)</f>
        <v>73</v>
      </c>
      <c r="K390" s="200">
        <f>IFERROR(__xludf.DUMMYFUNCTION("""COMPUTED_VALUE"""),16.0)</f>
        <v>16</v>
      </c>
      <c r="L390" s="201" t="str">
        <f>IFERROR(__xludf.DUMMYFUNCTION("""COMPUTED_VALUE"""),"Shooter")</f>
        <v>Shooter</v>
      </c>
    </row>
    <row r="391">
      <c r="A391" s="190" t="str">
        <f>IFERROR(__xludf.DUMMYFUNCTION("""COMPUTED_VALUE"""),"PlateUp!")</f>
        <v>PlateUp!</v>
      </c>
      <c r="B391" s="195" t="str">
        <f>IFERROR(__xludf.DUMMYFUNCTION("""COMPUTED_VALUE"""),"Xbox / PC")</f>
        <v>Xbox / PC</v>
      </c>
      <c r="C391" s="196" t="str">
        <f>IFERROR(__xludf.DUMMYFUNCTION("""COMPUTED_VALUE"""),"Yes")</f>
        <v>Yes</v>
      </c>
      <c r="D391" s="196" t="str">
        <f>IFERROR(__xludf.DUMMYFUNCTION("""COMPUTED_VALUE"""),"Active")</f>
        <v>Active</v>
      </c>
      <c r="E391" s="197">
        <f>IFERROR(__xludf.DUMMYFUNCTION("""COMPUTED_VALUE"""),45337.0)</f>
        <v>45337</v>
      </c>
      <c r="F391" s="198"/>
      <c r="G391" s="199">
        <f>IFERROR(__xludf.DUMMYFUNCTION("""COMPUTED_VALUE"""),20.0)</f>
        <v>20</v>
      </c>
      <c r="H391" s="197">
        <f>IFERROR(__xludf.DUMMYFUNCTION("""COMPUTED_VALUE"""),44777.0)</f>
        <v>44777</v>
      </c>
      <c r="I391" s="199">
        <f>IFERROR(__xludf.DUMMYFUNCTION("""COMPUTED_VALUE"""),1.5305555555555554)</f>
        <v>1.530555556</v>
      </c>
      <c r="J391" s="200">
        <f>IFERROR(__xludf.DUMMYFUNCTION("""COMPUTED_VALUE"""),73.0)</f>
        <v>73</v>
      </c>
      <c r="K391" s="200">
        <f>IFERROR(__xludf.DUMMYFUNCTION("""COMPUTED_VALUE"""),19.0)</f>
        <v>19</v>
      </c>
      <c r="L391" s="201" t="str">
        <f>IFERROR(__xludf.DUMMYFUNCTION("""COMPUTED_VALUE"""),"Strategy")</f>
        <v>Strategy</v>
      </c>
    </row>
    <row r="392">
      <c r="A392" s="202" t="str">
        <f>IFERROR(__xludf.DUMMYFUNCTION("""COMPUTED_VALUE"""),"Far Cry 6")</f>
        <v>Far Cry 6</v>
      </c>
      <c r="B392" s="195" t="str">
        <f>IFERROR(__xludf.DUMMYFUNCTION("""COMPUTED_VALUE"""),"Xbox / PC")</f>
        <v>Xbox / PC</v>
      </c>
      <c r="C392" s="196" t="str">
        <f>IFERROR(__xludf.DUMMYFUNCTION("""COMPUTED_VALUE"""),"Yes")</f>
        <v>Yes</v>
      </c>
      <c r="D392" s="196" t="str">
        <f>IFERROR(__xludf.DUMMYFUNCTION("""COMPUTED_VALUE"""),"Active")</f>
        <v>Active</v>
      </c>
      <c r="E392" s="197">
        <f>IFERROR(__xludf.DUMMYFUNCTION("""COMPUTED_VALUE"""),45274.0)</f>
        <v>45274</v>
      </c>
      <c r="F392" s="198"/>
      <c r="G392" s="199">
        <f>IFERROR(__xludf.DUMMYFUNCTION("""COMPUTED_VALUE"""),22.03333333333333)</f>
        <v>22.03333333</v>
      </c>
      <c r="H392" s="197">
        <f>IFERROR(__xludf.DUMMYFUNCTION("""COMPUTED_VALUE"""),44476.0)</f>
        <v>44476</v>
      </c>
      <c r="I392" s="199">
        <f>IFERROR(__xludf.DUMMYFUNCTION("""COMPUTED_VALUE"""),2.186111111111111)</f>
        <v>2.186111111</v>
      </c>
      <c r="J392" s="200">
        <f>IFERROR(__xludf.DUMMYFUNCTION("""COMPUTED_VALUE"""),73.0)</f>
        <v>73</v>
      </c>
      <c r="K392" s="200">
        <f>IFERROR(__xludf.DUMMYFUNCTION("""COMPUTED_VALUE"""),24.0)</f>
        <v>24</v>
      </c>
      <c r="L392" s="201" t="str">
        <f>IFERROR(__xludf.DUMMYFUNCTION("""COMPUTED_VALUE"""),"First-Person Shooter")</f>
        <v>First-Person Shooter</v>
      </c>
    </row>
    <row r="393">
      <c r="A393" s="190" t="str">
        <f>IFERROR(__xludf.DUMMYFUNCTION("""COMPUTED_VALUE"""),"World War Z: Aftermath")</f>
        <v>World War Z: Aftermath</v>
      </c>
      <c r="B393" s="195" t="str">
        <f>IFERROR(__xludf.DUMMYFUNCTION("""COMPUTED_VALUE"""),"Xbox / PC")</f>
        <v>Xbox / PC</v>
      </c>
      <c r="C393" s="196" t="str">
        <f>IFERROR(__xludf.DUMMYFUNCTION("""COMPUTED_VALUE"""),"Yes")</f>
        <v>Yes</v>
      </c>
      <c r="D393" s="196" t="str">
        <f>IFERROR(__xludf.DUMMYFUNCTION("""COMPUTED_VALUE"""),"Active")</f>
        <v>Active</v>
      </c>
      <c r="E393" s="197">
        <f>IFERROR(__xludf.DUMMYFUNCTION("""COMPUTED_VALUE"""),45265.0)</f>
        <v>45265</v>
      </c>
      <c r="F393" s="198"/>
      <c r="G393" s="199">
        <f>IFERROR(__xludf.DUMMYFUNCTION("""COMPUTED_VALUE"""),22.333333333333336)</f>
        <v>22.33333333</v>
      </c>
      <c r="H393" s="197">
        <f>IFERROR(__xludf.DUMMYFUNCTION("""COMPUTED_VALUE"""),43571.0)</f>
        <v>43571</v>
      </c>
      <c r="I393" s="199">
        <f>IFERROR(__xludf.DUMMYFUNCTION("""COMPUTED_VALUE"""),4.636111111111111)</f>
        <v>4.636111111</v>
      </c>
      <c r="J393" s="200">
        <f>IFERROR(__xludf.DUMMYFUNCTION("""COMPUTED_VALUE"""),73.0)</f>
        <v>73</v>
      </c>
      <c r="K393" s="200">
        <f>IFERROR(__xludf.DUMMYFUNCTION("""COMPUTED_VALUE"""),7.0)</f>
        <v>7</v>
      </c>
      <c r="L393" s="201" t="str">
        <f>IFERROR(__xludf.DUMMYFUNCTION("""COMPUTED_VALUE"""),"Action")</f>
        <v>Action</v>
      </c>
    </row>
    <row r="394">
      <c r="A394" s="190" t="str">
        <f>IFERROR(__xludf.DUMMYFUNCTION("""COMPUTED_VALUE"""),"The Elder Scrolls Adventures: Redguard")</f>
        <v>The Elder Scrolls Adventures: Redguard</v>
      </c>
      <c r="B394" s="195" t="str">
        <f>IFERROR(__xludf.DUMMYFUNCTION("""COMPUTED_VALUE"""),"PC")</f>
        <v>PC</v>
      </c>
      <c r="C394" s="196"/>
      <c r="D394" s="196" t="str">
        <f>IFERROR(__xludf.DUMMYFUNCTION("""COMPUTED_VALUE"""),"Active")</f>
        <v>Active</v>
      </c>
      <c r="E394" s="197">
        <f>IFERROR(__xludf.DUMMYFUNCTION("""COMPUTED_VALUE"""),44791.0)</f>
        <v>44791</v>
      </c>
      <c r="F394" s="198"/>
      <c r="G394" s="199">
        <f>IFERROR(__xludf.DUMMYFUNCTION("""COMPUTED_VALUE"""),37.9)</f>
        <v>37.9</v>
      </c>
      <c r="H394" s="197">
        <f>IFERROR(__xludf.DUMMYFUNCTION("""COMPUTED_VALUE"""),36099.0)</f>
        <v>36099</v>
      </c>
      <c r="I394" s="199">
        <f>IFERROR(__xludf.DUMMYFUNCTION("""COMPUTED_VALUE"""),23.8)</f>
        <v>23.8</v>
      </c>
      <c r="J394" s="200">
        <f>IFERROR(__xludf.DUMMYFUNCTION("""COMPUTED_VALUE"""),73.0)</f>
        <v>73</v>
      </c>
      <c r="K394" s="200">
        <f>IFERROR(__xludf.DUMMYFUNCTION("""COMPUTED_VALUE"""),17.0)</f>
        <v>17</v>
      </c>
      <c r="L394" s="201" t="str">
        <f>IFERROR(__xludf.DUMMYFUNCTION("""COMPUTED_VALUE"""),"Action-Adventure")</f>
        <v>Action-Adventure</v>
      </c>
    </row>
    <row r="395">
      <c r="A395" s="190" t="str">
        <f>IFERROR(__xludf.DUMMYFUNCTION("""COMPUTED_VALUE"""),"Medieval Dynasty")</f>
        <v>Medieval Dynasty</v>
      </c>
      <c r="B395" s="195" t="str">
        <f>IFERROR(__xludf.DUMMYFUNCTION("""COMPUTED_VALUE"""),"Xbox / PC")</f>
        <v>Xbox / PC</v>
      </c>
      <c r="C395" s="196" t="str">
        <f>IFERROR(__xludf.DUMMYFUNCTION("""COMPUTED_VALUE"""),"Yes")</f>
        <v>Yes</v>
      </c>
      <c r="D395" s="196" t="str">
        <f>IFERROR(__xludf.DUMMYFUNCTION("""COMPUTED_VALUE"""),"Active")</f>
        <v>Active</v>
      </c>
      <c r="E395" s="197">
        <f>IFERROR(__xludf.DUMMYFUNCTION("""COMPUTED_VALUE"""),44364.0)</f>
        <v>44364</v>
      </c>
      <c r="F395" s="198"/>
      <c r="G395" s="199">
        <f>IFERROR(__xludf.DUMMYFUNCTION("""COMPUTED_VALUE"""),51.93333333333333)</f>
        <v>51.93333333</v>
      </c>
      <c r="H395" s="197">
        <f>IFERROR(__xludf.DUMMYFUNCTION("""COMPUTED_VALUE"""),44091.0)</f>
        <v>44091</v>
      </c>
      <c r="I395" s="199">
        <f>IFERROR(__xludf.DUMMYFUNCTION("""COMPUTED_VALUE"""),0.75)</f>
        <v>0.75</v>
      </c>
      <c r="J395" s="200">
        <f>IFERROR(__xludf.DUMMYFUNCTION("""COMPUTED_VALUE"""),73.0)</f>
        <v>73</v>
      </c>
      <c r="K395" s="200">
        <f>IFERROR(__xludf.DUMMYFUNCTION("""COMPUTED_VALUE"""),29.5)</f>
        <v>29.5</v>
      </c>
      <c r="L395" s="201" t="str">
        <f>IFERROR(__xludf.DUMMYFUNCTION("""COMPUTED_VALUE"""),"RPG / Simulation / Action-Adventure")</f>
        <v>RPG / Simulation / Action-Adventure</v>
      </c>
    </row>
    <row r="396">
      <c r="A396" s="190" t="str">
        <f>IFERROR(__xludf.DUMMYFUNCTION("""COMPUTED_VALUE"""),"Medal of Honor: Airborne")</f>
        <v>Medal of Honor: Airborne</v>
      </c>
      <c r="B396" s="195" t="str">
        <f>IFERROR(__xludf.DUMMYFUNCTION("""COMPUTED_VALUE"""),"Xbox / PC")</f>
        <v>Xbox / PC</v>
      </c>
      <c r="C396" s="196"/>
      <c r="D396" s="196" t="str">
        <f>IFERROR(__xludf.DUMMYFUNCTION("""COMPUTED_VALUE"""),"Active")</f>
        <v>Active</v>
      </c>
      <c r="E396" s="197">
        <f>IFERROR(__xludf.DUMMYFUNCTION("""COMPUTED_VALUE"""),44145.0)</f>
        <v>44145</v>
      </c>
      <c r="F396" s="198"/>
      <c r="G396" s="199">
        <f>IFERROR(__xludf.DUMMYFUNCTION("""COMPUTED_VALUE"""),59.166666666666664)</f>
        <v>59.16666667</v>
      </c>
      <c r="H396" s="197">
        <f>IFERROR(__xludf.DUMMYFUNCTION("""COMPUTED_VALUE"""),39329.0)</f>
        <v>39329</v>
      </c>
      <c r="I396" s="199">
        <f>IFERROR(__xludf.DUMMYFUNCTION("""COMPUTED_VALUE"""),13.183333333333334)</f>
        <v>13.18333333</v>
      </c>
      <c r="J396" s="200">
        <f>IFERROR(__xludf.DUMMYFUNCTION("""COMPUTED_VALUE"""),73.0)</f>
        <v>73</v>
      </c>
      <c r="K396" s="200">
        <f>IFERROR(__xludf.DUMMYFUNCTION("""COMPUTED_VALUE"""),6.0)</f>
        <v>6</v>
      </c>
      <c r="L396" s="201" t="str">
        <f>IFERROR(__xludf.DUMMYFUNCTION("""COMPUTED_VALUE"""),"Action / First-Person Shooter")</f>
        <v>Action / First-Person Shooter</v>
      </c>
    </row>
    <row r="397">
      <c r="A397" s="190" t="str">
        <f>IFERROR(__xludf.DUMMYFUNCTION("""COMPUTED_VALUE"""),"The Walking Dead: A New Frontier")</f>
        <v>The Walking Dead: A New Frontier</v>
      </c>
      <c r="B397" s="195" t="str">
        <f>IFERROR(__xludf.DUMMYFUNCTION("""COMPUTED_VALUE"""),"Xbox / PC")</f>
        <v>Xbox / PC</v>
      </c>
      <c r="C397" s="196" t="str">
        <f>IFERROR(__xludf.DUMMYFUNCTION("""COMPUTED_VALUE"""),"Touch Controls")</f>
        <v>Touch Controls</v>
      </c>
      <c r="D397" s="196" t="str">
        <f>IFERROR(__xludf.DUMMYFUNCTION("""COMPUTED_VALUE"""),"Active")</f>
        <v>Active</v>
      </c>
      <c r="E397" s="197">
        <f>IFERROR(__xludf.DUMMYFUNCTION("""COMPUTED_VALUE"""),43573.0)</f>
        <v>43573</v>
      </c>
      <c r="F397" s="198"/>
      <c r="G397" s="199">
        <f>IFERROR(__xludf.DUMMYFUNCTION("""COMPUTED_VALUE"""),77.89999999999999)</f>
        <v>77.9</v>
      </c>
      <c r="H397" s="197">
        <f>IFERROR(__xludf.DUMMYFUNCTION("""COMPUTED_VALUE"""),42724.0)</f>
        <v>42724</v>
      </c>
      <c r="I397" s="199">
        <f>IFERROR(__xludf.DUMMYFUNCTION("""COMPUTED_VALUE"""),2.327777777777778)</f>
        <v>2.327777778</v>
      </c>
      <c r="J397" s="200">
        <f>IFERROR(__xludf.DUMMYFUNCTION("""COMPUTED_VALUE"""),73.0)</f>
        <v>73</v>
      </c>
      <c r="K397" s="200">
        <f>IFERROR(__xludf.DUMMYFUNCTION("""COMPUTED_VALUE"""),8.0)</f>
        <v>8</v>
      </c>
      <c r="L397" s="201" t="str">
        <f>IFERROR(__xludf.DUMMYFUNCTION("""COMPUTED_VALUE"""),"Adventure")</f>
        <v>Adventure</v>
      </c>
    </row>
    <row r="398">
      <c r="A398" s="190" t="str">
        <f>IFERROR(__xludf.DUMMYFUNCTION("""COMPUTED_VALUE"""),"Human: Fall Flat")</f>
        <v>Human: Fall Flat</v>
      </c>
      <c r="B398" s="195" t="str">
        <f>IFERROR(__xludf.DUMMYFUNCTION("""COMPUTED_VALUE"""),"Xbox / PC")</f>
        <v>Xbox / PC</v>
      </c>
      <c r="C398" s="196" t="str">
        <f>IFERROR(__xludf.DUMMYFUNCTION("""COMPUTED_VALUE"""),"Yes")</f>
        <v>Yes</v>
      </c>
      <c r="D398" s="196" t="str">
        <f>IFERROR(__xludf.DUMMYFUNCTION("""COMPUTED_VALUE"""),"Active")</f>
        <v>Active</v>
      </c>
      <c r="E398" s="197">
        <f>IFERROR(__xludf.DUMMYFUNCTION("""COMPUTED_VALUE"""),43282.0)</f>
        <v>43282</v>
      </c>
      <c r="F398" s="198"/>
      <c r="G398" s="199">
        <f>IFERROR(__xludf.DUMMYFUNCTION("""COMPUTED_VALUE"""),87.46666666666667)</f>
        <v>87.46666667</v>
      </c>
      <c r="H398" s="197">
        <f>IFERROR(__xludf.DUMMYFUNCTION("""COMPUTED_VALUE"""),42573.0)</f>
        <v>42573</v>
      </c>
      <c r="I398" s="199">
        <f>IFERROR(__xludf.DUMMYFUNCTION("""COMPUTED_VALUE"""),1.9416666666666667)</f>
        <v>1.941666667</v>
      </c>
      <c r="J398" s="200">
        <f>IFERROR(__xludf.DUMMYFUNCTION("""COMPUTED_VALUE"""),73.0)</f>
        <v>73</v>
      </c>
      <c r="K398" s="200">
        <f>IFERROR(__xludf.DUMMYFUNCTION("""COMPUTED_VALUE"""),5.5)</f>
        <v>5.5</v>
      </c>
      <c r="L398" s="201" t="str">
        <f>IFERROR(__xludf.DUMMYFUNCTION("""COMPUTED_VALUE"""),"Puzzle")</f>
        <v>Puzzle</v>
      </c>
    </row>
    <row r="399">
      <c r="A399" s="190" t="str">
        <f>IFERROR(__xludf.DUMMYFUNCTION("""COMPUTED_VALUE"""),"Battletoads")</f>
        <v>Battletoads</v>
      </c>
      <c r="B399" s="195" t="str">
        <f>IFERROR(__xludf.DUMMYFUNCTION("""COMPUTED_VALUE"""),"Xbox / PC")</f>
        <v>Xbox / PC</v>
      </c>
      <c r="C399" s="196" t="str">
        <f>IFERROR(__xludf.DUMMYFUNCTION("""COMPUTED_VALUE"""),"Yes")</f>
        <v>Yes</v>
      </c>
      <c r="D399" s="196" t="str">
        <f>IFERROR(__xludf.DUMMYFUNCTION("""COMPUTED_VALUE"""),"Active")</f>
        <v>Active</v>
      </c>
      <c r="E399" s="197">
        <f>IFERROR(__xludf.DUMMYFUNCTION("""COMPUTED_VALUE"""),44063.0)</f>
        <v>44063</v>
      </c>
      <c r="F399" s="198"/>
      <c r="G399" s="199">
        <f>IFERROR(__xludf.DUMMYFUNCTION("""COMPUTED_VALUE"""),61.83333333333333)</f>
        <v>61.83333333</v>
      </c>
      <c r="H399" s="197">
        <f>IFERROR(__xludf.DUMMYFUNCTION("""COMPUTED_VALUE"""),44063.0)</f>
        <v>44063</v>
      </c>
      <c r="I399" s="199">
        <f>IFERROR(__xludf.DUMMYFUNCTION("""COMPUTED_VALUE"""),0.0)</f>
        <v>0</v>
      </c>
      <c r="J399" s="200">
        <f>IFERROR(__xludf.DUMMYFUNCTION("""COMPUTED_VALUE"""),72.5)</f>
        <v>72.5</v>
      </c>
      <c r="K399" s="200">
        <f>IFERROR(__xludf.DUMMYFUNCTION("""COMPUTED_VALUE"""),4.0)</f>
        <v>4</v>
      </c>
      <c r="L399" s="201" t="str">
        <f>IFERROR(__xludf.DUMMYFUNCTION("""COMPUTED_VALUE"""),"Brawler")</f>
        <v>Brawler</v>
      </c>
    </row>
    <row r="400">
      <c r="A400" s="190" t="str">
        <f>IFERROR(__xludf.DUMMYFUNCTION("""COMPUTED_VALUE"""),"Minecraft: Dungeons")</f>
        <v>Minecraft: Dungeons</v>
      </c>
      <c r="B400" s="195" t="str">
        <f>IFERROR(__xludf.DUMMYFUNCTION("""COMPUTED_VALUE"""),"Xbox / PC")</f>
        <v>Xbox / PC</v>
      </c>
      <c r="C400" s="196" t="str">
        <f>IFERROR(__xludf.DUMMYFUNCTION("""COMPUTED_VALUE"""),"Touch Controls")</f>
        <v>Touch Controls</v>
      </c>
      <c r="D400" s="196" t="str">
        <f>IFERROR(__xludf.DUMMYFUNCTION("""COMPUTED_VALUE"""),"Active")</f>
        <v>Active</v>
      </c>
      <c r="E400" s="197">
        <f>IFERROR(__xludf.DUMMYFUNCTION("""COMPUTED_VALUE"""),43977.0)</f>
        <v>43977</v>
      </c>
      <c r="F400" s="198"/>
      <c r="G400" s="199">
        <f>IFERROR(__xludf.DUMMYFUNCTION("""COMPUTED_VALUE"""),64.63333333333333)</f>
        <v>64.63333333</v>
      </c>
      <c r="H400" s="197">
        <f>IFERROR(__xludf.DUMMYFUNCTION("""COMPUTED_VALUE"""),43977.0)</f>
        <v>43977</v>
      </c>
      <c r="I400" s="199">
        <f>IFERROR(__xludf.DUMMYFUNCTION("""COMPUTED_VALUE"""),0.0)</f>
        <v>0</v>
      </c>
      <c r="J400" s="200">
        <f>IFERROR(__xludf.DUMMYFUNCTION("""COMPUTED_VALUE"""),72.5)</f>
        <v>72.5</v>
      </c>
      <c r="K400" s="200">
        <f>IFERROR(__xludf.DUMMYFUNCTION("""COMPUTED_VALUE"""),5.0)</f>
        <v>5</v>
      </c>
      <c r="L400" s="201" t="str">
        <f>IFERROR(__xludf.DUMMYFUNCTION("""COMPUTED_VALUE"""),"RPG / Action-Adventure")</f>
        <v>RPG / Action-Adventure</v>
      </c>
    </row>
    <row r="401">
      <c r="A401" s="190" t="str">
        <f>IFERROR(__xludf.DUMMYFUNCTION("""COMPUTED_VALUE"""),"Baldur's Gate and Baldur's Gate II: Enhanced Editions")</f>
        <v>Baldur's Gate and Baldur's Gate II: Enhanced Editions</v>
      </c>
      <c r="B401" s="195" t="str">
        <f>IFERROR(__xludf.DUMMYFUNCTION("""COMPUTED_VALUE"""),"PC")</f>
        <v>PC</v>
      </c>
      <c r="C401" s="196"/>
      <c r="D401" s="196" t="str">
        <f>IFERROR(__xludf.DUMMYFUNCTION("""COMPUTED_VALUE"""),"Active")</f>
        <v>Active</v>
      </c>
      <c r="E401" s="197">
        <f>IFERROR(__xludf.DUMMYFUNCTION("""COMPUTED_VALUE"""),45939.0)</f>
        <v>45939</v>
      </c>
      <c r="F401" s="198"/>
      <c r="G401" s="199">
        <f>IFERROR(__xludf.DUMMYFUNCTION("""COMPUTED_VALUE"""),0.2)</f>
        <v>0.2</v>
      </c>
      <c r="H401" s="197">
        <f>IFERROR(__xludf.DUMMYFUNCTION("""COMPUTED_VALUE"""),43753.0)</f>
        <v>43753</v>
      </c>
      <c r="I401" s="199">
        <f>IFERROR(__xludf.DUMMYFUNCTION("""COMPUTED_VALUE"""),5.983333333333333)</f>
        <v>5.983333333</v>
      </c>
      <c r="J401" s="200">
        <f>IFERROR(__xludf.DUMMYFUNCTION("""COMPUTED_VALUE"""),72.0)</f>
        <v>72</v>
      </c>
      <c r="K401" s="200">
        <f>IFERROR(__xludf.DUMMYFUNCTION("""COMPUTED_VALUE"""),76.0)</f>
        <v>76</v>
      </c>
      <c r="L401" s="201" t="str">
        <f>IFERROR(__xludf.DUMMYFUNCTION("""COMPUTED_VALUE"""),"RPG")</f>
        <v>RPG</v>
      </c>
    </row>
    <row r="402">
      <c r="A402" s="190" t="str">
        <f>IFERROR(__xludf.DUMMYFUNCTION("""COMPUTED_VALUE"""),"Assassin's Creed III: Remastered")</f>
        <v>Assassin's Creed III: Remastered</v>
      </c>
      <c r="B402" s="195" t="str">
        <f>IFERROR(__xludf.DUMMYFUNCTION("""COMPUTED_VALUE"""),"Xbox / PC")</f>
        <v>Xbox / PC</v>
      </c>
      <c r="C402" s="196" t="str">
        <f>IFERROR(__xludf.DUMMYFUNCTION("""COMPUTED_VALUE"""),"Yes")</f>
        <v>Yes</v>
      </c>
      <c r="D402" s="196" t="str">
        <f>IFERROR(__xludf.DUMMYFUNCTION("""COMPUTED_VALUE"""),"Active")</f>
        <v>Active</v>
      </c>
      <c r="E402" s="197">
        <f>IFERROR(__xludf.DUMMYFUNCTION("""COMPUTED_VALUE"""),45931.0)</f>
        <v>45931</v>
      </c>
      <c r="F402" s="198"/>
      <c r="G402" s="199">
        <f>IFERROR(__xludf.DUMMYFUNCTION("""COMPUTED_VALUE"""),0.4666666666666667)</f>
        <v>0.4666666667</v>
      </c>
      <c r="H402" s="197">
        <f>IFERROR(__xludf.DUMMYFUNCTION("""COMPUTED_VALUE"""),43553.0)</f>
        <v>43553</v>
      </c>
      <c r="I402" s="199">
        <f>IFERROR(__xludf.DUMMYFUNCTION("""COMPUTED_VALUE"""),6.5055555555555555)</f>
        <v>6.505555556</v>
      </c>
      <c r="J402" s="200">
        <f>IFERROR(__xludf.DUMMYFUNCTION("""COMPUTED_VALUE"""),72.0)</f>
        <v>72</v>
      </c>
      <c r="K402" s="200">
        <f>IFERROR(__xludf.DUMMYFUNCTION("""COMPUTED_VALUE"""),15.0)</f>
        <v>15</v>
      </c>
      <c r="L402" s="201" t="str">
        <f>IFERROR(__xludf.DUMMYFUNCTION("""COMPUTED_VALUE"""),"Action-Adventure")</f>
        <v>Action-Adventure</v>
      </c>
    </row>
    <row r="403">
      <c r="A403" s="190" t="str">
        <f>IFERROR(__xludf.DUMMYFUNCTION("""COMPUTED_VALUE"""),"Assassin's Creed Unity")</f>
        <v>Assassin's Creed Unity</v>
      </c>
      <c r="B403" s="195" t="str">
        <f>IFERROR(__xludf.DUMMYFUNCTION("""COMPUTED_VALUE"""),"Xbox / PC")</f>
        <v>Xbox / PC</v>
      </c>
      <c r="C403" s="196" t="str">
        <f>IFERROR(__xludf.DUMMYFUNCTION("""COMPUTED_VALUE"""),"Yes")</f>
        <v>Yes</v>
      </c>
      <c r="D403" s="196" t="str">
        <f>IFERROR(__xludf.DUMMYFUNCTION("""COMPUTED_VALUE"""),"Active")</f>
        <v>Active</v>
      </c>
      <c r="E403" s="197">
        <f>IFERROR(__xludf.DUMMYFUNCTION("""COMPUTED_VALUE"""),45931.0)</f>
        <v>45931</v>
      </c>
      <c r="F403" s="198"/>
      <c r="G403" s="199">
        <f>IFERROR(__xludf.DUMMYFUNCTION("""COMPUTED_VALUE"""),0.4666666666666667)</f>
        <v>0.4666666667</v>
      </c>
      <c r="H403" s="197">
        <f>IFERROR(__xludf.DUMMYFUNCTION("""COMPUTED_VALUE"""),41954.0)</f>
        <v>41954</v>
      </c>
      <c r="I403" s="199">
        <f>IFERROR(__xludf.DUMMYFUNCTION("""COMPUTED_VALUE"""),10.88888888888889)</f>
        <v>10.88888889</v>
      </c>
      <c r="J403" s="200">
        <f>IFERROR(__xludf.DUMMYFUNCTION("""COMPUTED_VALUE"""),72.0)</f>
        <v>72</v>
      </c>
      <c r="K403" s="200">
        <f>IFERROR(__xludf.DUMMYFUNCTION("""COMPUTED_VALUE"""),17.0)</f>
        <v>17</v>
      </c>
      <c r="L403" s="201" t="str">
        <f>IFERROR(__xludf.DUMMYFUNCTION("""COMPUTED_VALUE"""),"Action-Adventure")</f>
        <v>Action-Adventure</v>
      </c>
    </row>
    <row r="404">
      <c r="A404" s="190" t="str">
        <f>IFERROR(__xludf.DUMMYFUNCTION("""COMPUTED_VALUE"""),"Peppa Pig: World Adventures")</f>
        <v>Peppa Pig: World Adventures</v>
      </c>
      <c r="B404" s="195" t="str">
        <f>IFERROR(__xludf.DUMMYFUNCTION("""COMPUTED_VALUE"""),"Xbox / PC")</f>
        <v>Xbox / PC</v>
      </c>
      <c r="C404" s="196" t="str">
        <f>IFERROR(__xludf.DUMMYFUNCTION("""COMPUTED_VALUE"""),"Yes")</f>
        <v>Yes</v>
      </c>
      <c r="D404" s="196" t="str">
        <f>IFERROR(__xludf.DUMMYFUNCTION("""COMPUTED_VALUE"""),"Active")</f>
        <v>Active</v>
      </c>
      <c r="E404" s="197">
        <f>IFERROR(__xludf.DUMMYFUNCTION("""COMPUTED_VALUE"""),45925.0)</f>
        <v>45925</v>
      </c>
      <c r="F404" s="198"/>
      <c r="G404" s="199">
        <f>IFERROR(__xludf.DUMMYFUNCTION("""COMPUTED_VALUE"""),0.6666666666666666)</f>
        <v>0.6666666667</v>
      </c>
      <c r="H404" s="197">
        <f>IFERROR(__xludf.DUMMYFUNCTION("""COMPUTED_VALUE"""),45002.0)</f>
        <v>45002</v>
      </c>
      <c r="I404" s="199">
        <f>IFERROR(__xludf.DUMMYFUNCTION("""COMPUTED_VALUE"""),2.522222222222222)</f>
        <v>2.522222222</v>
      </c>
      <c r="J404" s="200">
        <f>IFERROR(__xludf.DUMMYFUNCTION("""COMPUTED_VALUE"""),72.0)</f>
        <v>72</v>
      </c>
      <c r="K404" s="200">
        <f>IFERROR(__xludf.DUMMYFUNCTION("""COMPUTED_VALUE"""),2.0)</f>
        <v>2</v>
      </c>
      <c r="L404" s="201" t="str">
        <f>IFERROR(__xludf.DUMMYFUNCTION("""COMPUTED_VALUE"""),"Action-Adventure")</f>
        <v>Action-Adventure</v>
      </c>
    </row>
    <row r="405">
      <c r="A405" s="190" t="str">
        <f>IFERROR(__xludf.DUMMYFUNCTION("""COMPUTED_VALUE"""),"RoboCop: Rogue City")</f>
        <v>RoboCop: Rogue City</v>
      </c>
      <c r="B405" s="195" t="str">
        <f>IFERROR(__xludf.DUMMYFUNCTION("""COMPUTED_VALUE"""),"Xbox / PC")</f>
        <v>Xbox / PC</v>
      </c>
      <c r="C405" s="196" t="str">
        <f>IFERROR(__xludf.DUMMYFUNCTION("""COMPUTED_VALUE"""),"Yes")</f>
        <v>Yes</v>
      </c>
      <c r="D405" s="196" t="str">
        <f>IFERROR(__xludf.DUMMYFUNCTION("""COMPUTED_VALUE"""),"Active")</f>
        <v>Active</v>
      </c>
      <c r="E405" s="197">
        <f>IFERROR(__xludf.DUMMYFUNCTION("""COMPUTED_VALUE"""),45855.0)</f>
        <v>45855</v>
      </c>
      <c r="F405" s="198"/>
      <c r="G405" s="199">
        <f>IFERROR(__xludf.DUMMYFUNCTION("""COMPUTED_VALUE"""),2.933333333333333)</f>
        <v>2.933333333</v>
      </c>
      <c r="H405" s="197">
        <f>IFERROR(__xludf.DUMMYFUNCTION("""COMPUTED_VALUE"""),45232.0)</f>
        <v>45232</v>
      </c>
      <c r="I405" s="199">
        <f>IFERROR(__xludf.DUMMYFUNCTION("""COMPUTED_VALUE"""),1.7083333333333333)</f>
        <v>1.708333333</v>
      </c>
      <c r="J405" s="200">
        <f>IFERROR(__xludf.DUMMYFUNCTION("""COMPUTED_VALUE"""),72.0)</f>
        <v>72</v>
      </c>
      <c r="K405" s="200">
        <f>IFERROR(__xludf.DUMMYFUNCTION("""COMPUTED_VALUE"""),12.0)</f>
        <v>12</v>
      </c>
      <c r="L405" s="201" t="str">
        <f>IFERROR(__xludf.DUMMYFUNCTION("""COMPUTED_VALUE"""),"Shooter")</f>
        <v>Shooter</v>
      </c>
    </row>
    <row r="406">
      <c r="A406" s="190" t="str">
        <f>IFERROR(__xludf.DUMMYFUNCTION("""COMPUTED_VALUE"""),"Dragon Ball Xenoverse 2")</f>
        <v>Dragon Ball Xenoverse 2</v>
      </c>
      <c r="B406" s="195" t="str">
        <f>IFERROR(__xludf.DUMMYFUNCTION("""COMPUTED_VALUE"""),"Xbox / PC")</f>
        <v>Xbox / PC</v>
      </c>
      <c r="C406" s="196" t="str">
        <f>IFERROR(__xludf.DUMMYFUNCTION("""COMPUTED_VALUE"""),"Yes")</f>
        <v>Yes</v>
      </c>
      <c r="D406" s="196" t="str">
        <f>IFERROR(__xludf.DUMMYFUNCTION("""COMPUTED_VALUE"""),"Active")</f>
        <v>Active</v>
      </c>
      <c r="E406" s="197">
        <f>IFERROR(__xludf.DUMMYFUNCTION("""COMPUTED_VALUE"""),45784.0)</f>
        <v>45784</v>
      </c>
      <c r="F406" s="198"/>
      <c r="G406" s="199">
        <f>IFERROR(__xludf.DUMMYFUNCTION("""COMPUTED_VALUE"""),5.266666666666667)</f>
        <v>5.266666667</v>
      </c>
      <c r="H406" s="197">
        <f>IFERROR(__xludf.DUMMYFUNCTION("""COMPUTED_VALUE"""),42668.0)</f>
        <v>42668</v>
      </c>
      <c r="I406" s="199">
        <f>IFERROR(__xludf.DUMMYFUNCTION("""COMPUTED_VALUE"""),8.533333333333333)</f>
        <v>8.533333333</v>
      </c>
      <c r="J406" s="200">
        <f>IFERROR(__xludf.DUMMYFUNCTION("""COMPUTED_VALUE"""),72.0)</f>
        <v>72</v>
      </c>
      <c r="K406" s="200">
        <f>IFERROR(__xludf.DUMMYFUNCTION("""COMPUTED_VALUE"""),20.0)</f>
        <v>20</v>
      </c>
      <c r="L406" s="201" t="str">
        <f>IFERROR(__xludf.DUMMYFUNCTION("""COMPUTED_VALUE"""),"Fighting")</f>
        <v>Fighting</v>
      </c>
    </row>
    <row r="407">
      <c r="A407" s="190" t="str">
        <f>IFERROR(__xludf.DUMMYFUNCTION("""COMPUTED_VALUE"""),"F1 24")</f>
        <v>F1 24</v>
      </c>
      <c r="B407" s="195" t="str">
        <f>IFERROR(__xludf.DUMMYFUNCTION("""COMPUTED_VALUE"""),"Xbox / PC")</f>
        <v>Xbox / PC</v>
      </c>
      <c r="C407" s="196" t="str">
        <f>IFERROR(__xludf.DUMMYFUNCTION("""COMPUTED_VALUE"""),"Yes")</f>
        <v>Yes</v>
      </c>
      <c r="D407" s="196" t="str">
        <f>IFERROR(__xludf.DUMMYFUNCTION("""COMPUTED_VALUE"""),"Active")</f>
        <v>Active</v>
      </c>
      <c r="E407" s="197">
        <f>IFERROR(__xludf.DUMMYFUNCTION("""COMPUTED_VALUE"""),45708.0)</f>
        <v>45708</v>
      </c>
      <c r="F407" s="198"/>
      <c r="G407" s="199">
        <f>IFERROR(__xludf.DUMMYFUNCTION("""COMPUTED_VALUE"""),7.833333333333334)</f>
        <v>7.833333333</v>
      </c>
      <c r="H407" s="197">
        <f>IFERROR(__xludf.DUMMYFUNCTION("""COMPUTED_VALUE"""),45443.0)</f>
        <v>45443</v>
      </c>
      <c r="I407" s="199">
        <f>IFERROR(__xludf.DUMMYFUNCTION("""COMPUTED_VALUE"""),0.7222222222222222)</f>
        <v>0.7222222222</v>
      </c>
      <c r="J407" s="200">
        <f>IFERROR(__xludf.DUMMYFUNCTION("""COMPUTED_VALUE"""),72.0)</f>
        <v>72</v>
      </c>
      <c r="K407" s="200">
        <f>IFERROR(__xludf.DUMMYFUNCTION("""COMPUTED_VALUE"""),7.0)</f>
        <v>7</v>
      </c>
      <c r="L407" s="201" t="str">
        <f>IFERROR(__xludf.DUMMYFUNCTION("""COMPUTED_VALUE"""),"Racing")</f>
        <v>Racing</v>
      </c>
    </row>
    <row r="408">
      <c r="A408" s="190" t="str">
        <f>IFERROR(__xludf.DUMMYFUNCTION("""COMPUTED_VALUE"""),"Legend of Mana (2021)")</f>
        <v>Legend of Mana (2021)</v>
      </c>
      <c r="B408" s="195" t="str">
        <f>IFERROR(__xludf.DUMMYFUNCTION("""COMPUTED_VALUE"""),"Xbox / PC")</f>
        <v>Xbox / PC</v>
      </c>
      <c r="C408" s="196" t="str">
        <f>IFERROR(__xludf.DUMMYFUNCTION("""COMPUTED_VALUE"""),"Yes")</f>
        <v>Yes</v>
      </c>
      <c r="D408" s="196" t="str">
        <f>IFERROR(__xludf.DUMMYFUNCTION("""COMPUTED_VALUE"""),"Active")</f>
        <v>Active</v>
      </c>
      <c r="E408" s="197">
        <f>IFERROR(__xludf.DUMMYFUNCTION("""COMPUTED_VALUE"""),45561.0)</f>
        <v>45561</v>
      </c>
      <c r="F408" s="198"/>
      <c r="G408" s="199">
        <f>IFERROR(__xludf.DUMMYFUNCTION("""COMPUTED_VALUE"""),12.633333333333333)</f>
        <v>12.63333333</v>
      </c>
      <c r="H408" s="197">
        <f>IFERROR(__xludf.DUMMYFUNCTION("""COMPUTED_VALUE"""),44371.0)</f>
        <v>44371</v>
      </c>
      <c r="I408" s="199">
        <f>IFERROR(__xludf.DUMMYFUNCTION("""COMPUTED_VALUE"""),3.2555555555555555)</f>
        <v>3.255555556</v>
      </c>
      <c r="J408" s="200">
        <f>IFERROR(__xludf.DUMMYFUNCTION("""COMPUTED_VALUE"""),72.0)</f>
        <v>72</v>
      </c>
      <c r="K408" s="200">
        <f>IFERROR(__xludf.DUMMYFUNCTION("""COMPUTED_VALUE"""),18.0)</f>
        <v>18</v>
      </c>
      <c r="L408" s="201" t="str">
        <f>IFERROR(__xludf.DUMMYFUNCTION("""COMPUTED_VALUE"""),"RPG")</f>
        <v>RPG</v>
      </c>
    </row>
    <row r="409">
      <c r="A409" s="190" t="str">
        <f>IFERROR(__xludf.DUMMYFUNCTION("""COMPUTED_VALUE"""),"Mirror's Edge: Catalyst")</f>
        <v>Mirror's Edge: Catalyst</v>
      </c>
      <c r="B409" s="195" t="str">
        <f>IFERROR(__xludf.DUMMYFUNCTION("""COMPUTED_VALUE"""),"Xbox / PC")</f>
        <v>Xbox / PC</v>
      </c>
      <c r="C409" s="196" t="str">
        <f>IFERROR(__xludf.DUMMYFUNCTION("""COMPUTED_VALUE"""),"Yes")</f>
        <v>Yes</v>
      </c>
      <c r="D409" s="196" t="str">
        <f>IFERROR(__xludf.DUMMYFUNCTION("""COMPUTED_VALUE"""),"Active")</f>
        <v>Active</v>
      </c>
      <c r="E409" s="197">
        <f>IFERROR(__xludf.DUMMYFUNCTION("""COMPUTED_VALUE"""),44145.0)</f>
        <v>44145</v>
      </c>
      <c r="F409" s="198"/>
      <c r="G409" s="199">
        <f>IFERROR(__xludf.DUMMYFUNCTION("""COMPUTED_VALUE"""),59.166666666666664)</f>
        <v>59.16666667</v>
      </c>
      <c r="H409" s="197">
        <f>IFERROR(__xludf.DUMMYFUNCTION("""COMPUTED_VALUE"""),42528.0)</f>
        <v>42528</v>
      </c>
      <c r="I409" s="199">
        <f>IFERROR(__xludf.DUMMYFUNCTION("""COMPUTED_VALUE"""),4.425)</f>
        <v>4.425</v>
      </c>
      <c r="J409" s="200">
        <f>IFERROR(__xludf.DUMMYFUNCTION("""COMPUTED_VALUE"""),72.0)</f>
        <v>72</v>
      </c>
      <c r="K409" s="200">
        <f>IFERROR(__xludf.DUMMYFUNCTION("""COMPUTED_VALUE"""),8.5)</f>
        <v>8.5</v>
      </c>
      <c r="L409" s="201" t="str">
        <f>IFERROR(__xludf.DUMMYFUNCTION("""COMPUTED_VALUE"""),"Action-Adventure")</f>
        <v>Action-Adventure</v>
      </c>
    </row>
    <row r="410">
      <c r="A410" s="190" t="str">
        <f>IFERROR(__xludf.DUMMYFUNCTION("""COMPUTED_VALUE"""),"Sea of Solitude")</f>
        <v>Sea of Solitude</v>
      </c>
      <c r="B410" s="195" t="str">
        <f>IFERROR(__xludf.DUMMYFUNCTION("""COMPUTED_VALUE"""),"Xbox / PC")</f>
        <v>Xbox / PC</v>
      </c>
      <c r="C410" s="196"/>
      <c r="D410" s="196" t="str">
        <f>IFERROR(__xludf.DUMMYFUNCTION("""COMPUTED_VALUE"""),"Active")</f>
        <v>Active</v>
      </c>
      <c r="E410" s="197">
        <f>IFERROR(__xludf.DUMMYFUNCTION("""COMPUTED_VALUE"""),44145.0)</f>
        <v>44145</v>
      </c>
      <c r="F410" s="198"/>
      <c r="G410" s="199">
        <f>IFERROR(__xludf.DUMMYFUNCTION("""COMPUTED_VALUE"""),59.166666666666664)</f>
        <v>59.16666667</v>
      </c>
      <c r="H410" s="197">
        <f>IFERROR(__xludf.DUMMYFUNCTION("""COMPUTED_VALUE"""),43651.0)</f>
        <v>43651</v>
      </c>
      <c r="I410" s="199">
        <f>IFERROR(__xludf.DUMMYFUNCTION("""COMPUTED_VALUE"""),1.3472222222222223)</f>
        <v>1.347222222</v>
      </c>
      <c r="J410" s="200">
        <f>IFERROR(__xludf.DUMMYFUNCTION("""COMPUTED_VALUE"""),72.0)</f>
        <v>72</v>
      </c>
      <c r="K410" s="200">
        <f>IFERROR(__xludf.DUMMYFUNCTION("""COMPUTED_VALUE"""),3.0)</f>
        <v>3</v>
      </c>
      <c r="L410" s="201" t="str">
        <f>IFERROR(__xludf.DUMMYFUNCTION("""COMPUTED_VALUE"""),"Adventure")</f>
        <v>Adventure</v>
      </c>
    </row>
    <row r="411">
      <c r="A411" s="190" t="str">
        <f>IFERROR(__xludf.DUMMYFUNCTION("""COMPUTED_VALUE"""),"RAGE 2")</f>
        <v>RAGE 2</v>
      </c>
      <c r="B411" s="195" t="str">
        <f>IFERROR(__xludf.DUMMYFUNCTION("""COMPUTED_VALUE"""),"Xbox / PC")</f>
        <v>Xbox / PC</v>
      </c>
      <c r="C411" s="196" t="str">
        <f>IFERROR(__xludf.DUMMYFUNCTION("""COMPUTED_VALUE"""),"Yes")</f>
        <v>Yes</v>
      </c>
      <c r="D411" s="196" t="str">
        <f>IFERROR(__xludf.DUMMYFUNCTION("""COMPUTED_VALUE"""),"Active")</f>
        <v>Active</v>
      </c>
      <c r="E411" s="197">
        <f>IFERROR(__xludf.DUMMYFUNCTION("""COMPUTED_VALUE"""),43783.0)</f>
        <v>43783</v>
      </c>
      <c r="F411" s="198"/>
      <c r="G411" s="199">
        <f>IFERROR(__xludf.DUMMYFUNCTION("""COMPUTED_VALUE"""),71.03333333333333)</f>
        <v>71.03333333</v>
      </c>
      <c r="H411" s="197">
        <f>IFERROR(__xludf.DUMMYFUNCTION("""COMPUTED_VALUE"""),43599.0)</f>
        <v>43599</v>
      </c>
      <c r="I411" s="199">
        <f>IFERROR(__xludf.DUMMYFUNCTION("""COMPUTED_VALUE"""),0.5)</f>
        <v>0.5</v>
      </c>
      <c r="J411" s="200">
        <f>IFERROR(__xludf.DUMMYFUNCTION("""COMPUTED_VALUE"""),72.0)</f>
        <v>72</v>
      </c>
      <c r="K411" s="200">
        <f>IFERROR(__xludf.DUMMYFUNCTION("""COMPUTED_VALUE"""),10.0)</f>
        <v>10</v>
      </c>
      <c r="L411" s="201" t="str">
        <f>IFERROR(__xludf.DUMMYFUNCTION("""COMPUTED_VALUE"""),"First-Person Shooter")</f>
        <v>First-Person Shooter</v>
      </c>
    </row>
    <row r="412">
      <c r="A412" s="190" t="str">
        <f>IFERROR(__xludf.DUMMYFUNCTION("""COMPUTED_VALUE"""),"ASTRONEER")</f>
        <v>ASTRONEER</v>
      </c>
      <c r="B412" s="195" t="str">
        <f>IFERROR(__xludf.DUMMYFUNCTION("""COMPUTED_VALUE"""),"Xbox / PC")</f>
        <v>Xbox / PC</v>
      </c>
      <c r="C412" s="196" t="str">
        <f>IFERROR(__xludf.DUMMYFUNCTION("""COMPUTED_VALUE"""),"Yes")</f>
        <v>Yes</v>
      </c>
      <c r="D412" s="196" t="str">
        <f>IFERROR(__xludf.DUMMYFUNCTION("""COMPUTED_VALUE"""),"Active")</f>
        <v>Active</v>
      </c>
      <c r="E412" s="197">
        <f>IFERROR(__xludf.DUMMYFUNCTION("""COMPUTED_VALUE"""),43625.0)</f>
        <v>43625</v>
      </c>
      <c r="F412" s="198"/>
      <c r="G412" s="199">
        <f>IFERROR(__xludf.DUMMYFUNCTION("""COMPUTED_VALUE"""),76.19999999999999)</f>
        <v>76.2</v>
      </c>
      <c r="H412" s="197">
        <f>IFERROR(__xludf.DUMMYFUNCTION("""COMPUTED_VALUE"""),42720.0)</f>
        <v>42720</v>
      </c>
      <c r="I412" s="199">
        <f>IFERROR(__xludf.DUMMYFUNCTION("""COMPUTED_VALUE"""),2.4805555555555556)</f>
        <v>2.480555556</v>
      </c>
      <c r="J412" s="200">
        <f>IFERROR(__xludf.DUMMYFUNCTION("""COMPUTED_VALUE"""),72.0)</f>
        <v>72</v>
      </c>
      <c r="K412" s="200">
        <f>IFERROR(__xludf.DUMMYFUNCTION("""COMPUTED_VALUE"""),18.5)</f>
        <v>18.5</v>
      </c>
      <c r="L412" s="201" t="str">
        <f>IFERROR(__xludf.DUMMYFUNCTION("""COMPUTED_VALUE"""),"Adventure")</f>
        <v>Adventure</v>
      </c>
    </row>
    <row r="413">
      <c r="A413" s="190" t="str">
        <f>IFERROR(__xludf.DUMMYFUNCTION("""COMPUTED_VALUE"""),"Tom Clancy's Rainbow Six: Extraction")</f>
        <v>Tom Clancy's Rainbow Six: Extraction</v>
      </c>
      <c r="B413" s="195" t="str">
        <f>IFERROR(__xludf.DUMMYFUNCTION("""COMPUTED_VALUE"""),"Xbox / PC")</f>
        <v>Xbox / PC</v>
      </c>
      <c r="C413" s="196" t="str">
        <f>IFERROR(__xludf.DUMMYFUNCTION("""COMPUTED_VALUE"""),"Yes")</f>
        <v>Yes</v>
      </c>
      <c r="D413" s="196" t="str">
        <f>IFERROR(__xludf.DUMMYFUNCTION("""COMPUTED_VALUE"""),"Active")</f>
        <v>Active</v>
      </c>
      <c r="E413" s="197">
        <f>IFERROR(__xludf.DUMMYFUNCTION("""COMPUTED_VALUE"""),45931.0)</f>
        <v>45931</v>
      </c>
      <c r="F413" s="198"/>
      <c r="G413" s="199">
        <f>IFERROR(__xludf.DUMMYFUNCTION("""COMPUTED_VALUE"""),0.4666666666666667)</f>
        <v>0.4666666667</v>
      </c>
      <c r="H413" s="197">
        <f>IFERROR(__xludf.DUMMYFUNCTION("""COMPUTED_VALUE"""),44581.0)</f>
        <v>44581</v>
      </c>
      <c r="I413" s="199">
        <f>IFERROR(__xludf.DUMMYFUNCTION("""COMPUTED_VALUE"""),3.6972222222222224)</f>
        <v>3.697222222</v>
      </c>
      <c r="J413" s="200">
        <f>IFERROR(__xludf.DUMMYFUNCTION("""COMPUTED_VALUE"""),71.5)</f>
        <v>71.5</v>
      </c>
      <c r="K413" s="200">
        <f>IFERROR(__xludf.DUMMYFUNCTION("""COMPUTED_VALUE"""),8.0)</f>
        <v>8</v>
      </c>
      <c r="L413" s="201" t="str">
        <f>IFERROR(__xludf.DUMMYFUNCTION("""COMPUTED_VALUE"""),"Shooter")</f>
        <v>Shooter</v>
      </c>
    </row>
    <row r="414">
      <c r="A414" s="190" t="str">
        <f>IFERROR(__xludf.DUMMYFUNCTION("""COMPUTED_VALUE"""),"Warcraft II: Remastered")</f>
        <v>Warcraft II: Remastered</v>
      </c>
      <c r="B414" s="195" t="str">
        <f>IFERROR(__xludf.DUMMYFUNCTION("""COMPUTED_VALUE"""),"PC")</f>
        <v>PC</v>
      </c>
      <c r="C414" s="196"/>
      <c r="D414" s="196" t="str">
        <f>IFERROR(__xludf.DUMMYFUNCTION("""COMPUTED_VALUE"""),"Active")</f>
        <v>Active</v>
      </c>
      <c r="E414" s="197">
        <f>IFERROR(__xludf.DUMMYFUNCTION("""COMPUTED_VALUE"""),45834.0)</f>
        <v>45834</v>
      </c>
      <c r="F414" s="198"/>
      <c r="G414" s="199">
        <f>IFERROR(__xludf.DUMMYFUNCTION("""COMPUTED_VALUE"""),3.633333333333333)</f>
        <v>3.633333333</v>
      </c>
      <c r="H414" s="197">
        <f>IFERROR(__xludf.DUMMYFUNCTION("""COMPUTED_VALUE"""),45609.0)</f>
        <v>45609</v>
      </c>
      <c r="I414" s="199">
        <f>IFERROR(__xludf.DUMMYFUNCTION("""COMPUTED_VALUE"""),0.6194444444444445)</f>
        <v>0.6194444444</v>
      </c>
      <c r="J414" s="200">
        <f>IFERROR(__xludf.DUMMYFUNCTION("""COMPUTED_VALUE"""),71.5)</f>
        <v>71.5</v>
      </c>
      <c r="K414" s="200">
        <f>IFERROR(__xludf.DUMMYFUNCTION("""COMPUTED_VALUE"""),21.0)</f>
        <v>21</v>
      </c>
      <c r="L414" s="201" t="str">
        <f>IFERROR(__xludf.DUMMYFUNCTION("""COMPUTED_VALUE"""),"Strategy")</f>
        <v>Strategy</v>
      </c>
    </row>
    <row r="415">
      <c r="A415" s="190" t="str">
        <f>IFERROR(__xludf.DUMMYFUNCTION("""COMPUTED_VALUE"""),"Assassin's Creed IV Black Flag: Freedom Cry")</f>
        <v>Assassin's Creed IV Black Flag: Freedom Cry</v>
      </c>
      <c r="B415" s="195" t="str">
        <f>IFERROR(__xludf.DUMMYFUNCTION("""COMPUTED_VALUE"""),"PC")</f>
        <v>PC</v>
      </c>
      <c r="C415" s="196"/>
      <c r="D415" s="196" t="str">
        <f>IFERROR(__xludf.DUMMYFUNCTION("""COMPUTED_VALUE"""),"Active")</f>
        <v>Active</v>
      </c>
      <c r="E415" s="197">
        <f>IFERROR(__xludf.DUMMYFUNCTION("""COMPUTED_VALUE"""),45931.0)</f>
        <v>45931</v>
      </c>
      <c r="F415" s="198"/>
      <c r="G415" s="199">
        <f>IFERROR(__xludf.DUMMYFUNCTION("""COMPUTED_VALUE"""),0.4666666666666667)</f>
        <v>0.4666666667</v>
      </c>
      <c r="H415" s="197">
        <f>IFERROR(__xludf.DUMMYFUNCTION("""COMPUTED_VALUE"""),41626.0)</f>
        <v>41626</v>
      </c>
      <c r="I415" s="199">
        <f>IFERROR(__xludf.DUMMYFUNCTION("""COMPUTED_VALUE"""),11.786111111111111)</f>
        <v>11.78611111</v>
      </c>
      <c r="J415" s="200">
        <f>IFERROR(__xludf.DUMMYFUNCTION("""COMPUTED_VALUE"""),71.0)</f>
        <v>71</v>
      </c>
      <c r="K415" s="200">
        <f>IFERROR(__xludf.DUMMYFUNCTION("""COMPUTED_VALUE"""),4.0)</f>
        <v>4</v>
      </c>
      <c r="L415" s="201" t="str">
        <f>IFERROR(__xludf.DUMMYFUNCTION("""COMPUTED_VALUE"""),"Action-Adventure")</f>
        <v>Action-Adventure</v>
      </c>
    </row>
    <row r="416">
      <c r="A416" s="190" t="str">
        <f>IFERROR(__xludf.DUMMYFUNCTION("""COMPUTED_VALUE"""),"Assassin's Creed Rogue: Remastered")</f>
        <v>Assassin's Creed Rogue: Remastered</v>
      </c>
      <c r="B416" s="195" t="str">
        <f>IFERROR(__xludf.DUMMYFUNCTION("""COMPUTED_VALUE"""),"Xbox / PC")</f>
        <v>Xbox / PC</v>
      </c>
      <c r="C416" s="196" t="str">
        <f>IFERROR(__xludf.DUMMYFUNCTION("""COMPUTED_VALUE"""),"Yes")</f>
        <v>Yes</v>
      </c>
      <c r="D416" s="196" t="str">
        <f>IFERROR(__xludf.DUMMYFUNCTION("""COMPUTED_VALUE"""),"Active")</f>
        <v>Active</v>
      </c>
      <c r="E416" s="197">
        <f>IFERROR(__xludf.DUMMYFUNCTION("""COMPUTED_VALUE"""),45931.0)</f>
        <v>45931</v>
      </c>
      <c r="F416" s="198"/>
      <c r="G416" s="199">
        <f>IFERROR(__xludf.DUMMYFUNCTION("""COMPUTED_VALUE"""),0.4666666666666667)</f>
        <v>0.4666666667</v>
      </c>
      <c r="H416" s="197">
        <f>IFERROR(__xludf.DUMMYFUNCTION("""COMPUTED_VALUE"""),43179.0)</f>
        <v>43179</v>
      </c>
      <c r="I416" s="199">
        <f>IFERROR(__xludf.DUMMYFUNCTION("""COMPUTED_VALUE"""),7.530555555555556)</f>
        <v>7.530555556</v>
      </c>
      <c r="J416" s="200">
        <f>IFERROR(__xludf.DUMMYFUNCTION("""COMPUTED_VALUE"""),71.0)</f>
        <v>71</v>
      </c>
      <c r="K416" s="200">
        <f>IFERROR(__xludf.DUMMYFUNCTION("""COMPUTED_VALUE"""),11.0)</f>
        <v>11</v>
      </c>
      <c r="L416" s="201" t="str">
        <f>IFERROR(__xludf.DUMMYFUNCTION("""COMPUTED_VALUE"""),"Action-Adventure")</f>
        <v>Action-Adventure</v>
      </c>
    </row>
    <row r="417">
      <c r="A417" s="190" t="str">
        <f>IFERROR(__xludf.DUMMYFUNCTION("""COMPUTED_VALUE"""),"OddBallers")</f>
        <v>OddBallers</v>
      </c>
      <c r="B417" s="195" t="str">
        <f>IFERROR(__xludf.DUMMYFUNCTION("""COMPUTED_VALUE"""),"Xbox / PC")</f>
        <v>Xbox / PC</v>
      </c>
      <c r="C417" s="196" t="str">
        <f>IFERROR(__xludf.DUMMYFUNCTION("""COMPUTED_VALUE"""),"Yes")</f>
        <v>Yes</v>
      </c>
      <c r="D417" s="196" t="str">
        <f>IFERROR(__xludf.DUMMYFUNCTION("""COMPUTED_VALUE"""),"Active")</f>
        <v>Active</v>
      </c>
      <c r="E417" s="197">
        <f>IFERROR(__xludf.DUMMYFUNCTION("""COMPUTED_VALUE"""),45931.0)</f>
        <v>45931</v>
      </c>
      <c r="F417" s="198"/>
      <c r="G417" s="199">
        <f>IFERROR(__xludf.DUMMYFUNCTION("""COMPUTED_VALUE"""),0.4666666666666667)</f>
        <v>0.4666666667</v>
      </c>
      <c r="H417" s="197">
        <f>IFERROR(__xludf.DUMMYFUNCTION("""COMPUTED_VALUE"""),44952.0)</f>
        <v>44952</v>
      </c>
      <c r="I417" s="199">
        <f>IFERROR(__xludf.DUMMYFUNCTION("""COMPUTED_VALUE"""),2.6805555555555554)</f>
        <v>2.680555556</v>
      </c>
      <c r="J417" s="200">
        <f>IFERROR(__xludf.DUMMYFUNCTION("""COMPUTED_VALUE"""),71.0)</f>
        <v>71</v>
      </c>
      <c r="K417" s="200">
        <f>IFERROR(__xludf.DUMMYFUNCTION("""COMPUTED_VALUE"""),8.0)</f>
        <v>8</v>
      </c>
      <c r="L417" s="201" t="str">
        <f>IFERROR(__xludf.DUMMYFUNCTION("""COMPUTED_VALUE"""),"Party")</f>
        <v>Party</v>
      </c>
    </row>
    <row r="418">
      <c r="A418" s="190" t="str">
        <f>IFERROR(__xludf.DUMMYFUNCTION("""COMPUTED_VALUE"""),"Steep")</f>
        <v>Steep</v>
      </c>
      <c r="B418" s="195" t="str">
        <f>IFERROR(__xludf.DUMMYFUNCTION("""COMPUTED_VALUE"""),"Xbox / PC")</f>
        <v>Xbox / PC</v>
      </c>
      <c r="C418" s="196" t="str">
        <f>IFERROR(__xludf.DUMMYFUNCTION("""COMPUTED_VALUE"""),"Yes")</f>
        <v>Yes</v>
      </c>
      <c r="D418" s="196" t="str">
        <f>IFERROR(__xludf.DUMMYFUNCTION("""COMPUTED_VALUE"""),"Active")</f>
        <v>Active</v>
      </c>
      <c r="E418" s="197">
        <f>IFERROR(__xludf.DUMMYFUNCTION("""COMPUTED_VALUE"""),45931.0)</f>
        <v>45931</v>
      </c>
      <c r="F418" s="198"/>
      <c r="G418" s="199">
        <f>IFERROR(__xludf.DUMMYFUNCTION("""COMPUTED_VALUE"""),0.4666666666666667)</f>
        <v>0.4666666667</v>
      </c>
      <c r="H418" s="197">
        <f>IFERROR(__xludf.DUMMYFUNCTION("""COMPUTED_VALUE"""),42703.0)</f>
        <v>42703</v>
      </c>
      <c r="I418" s="199">
        <f>IFERROR(__xludf.DUMMYFUNCTION("""COMPUTED_VALUE"""),8.838888888888889)</f>
        <v>8.838888889</v>
      </c>
      <c r="J418" s="200">
        <f>IFERROR(__xludf.DUMMYFUNCTION("""COMPUTED_VALUE"""),71.0)</f>
        <v>71</v>
      </c>
      <c r="K418" s="200">
        <f>IFERROR(__xludf.DUMMYFUNCTION("""COMPUTED_VALUE"""),12.0)</f>
        <v>12</v>
      </c>
      <c r="L418" s="201" t="str">
        <f>IFERROR(__xludf.DUMMYFUNCTION("""COMPUTED_VALUE"""),"Sports")</f>
        <v>Sports</v>
      </c>
    </row>
    <row r="419">
      <c r="A419" s="190" t="str">
        <f>IFERROR(__xludf.DUMMYFUNCTION("""COMPUTED_VALUE"""),"Wheel World")</f>
        <v>Wheel World</v>
      </c>
      <c r="B419" s="195" t="str">
        <f>IFERROR(__xludf.DUMMYFUNCTION("""COMPUTED_VALUE"""),"Xbox / PC")</f>
        <v>Xbox / PC</v>
      </c>
      <c r="C419" s="196" t="str">
        <f>IFERROR(__xludf.DUMMYFUNCTION("""COMPUTED_VALUE"""),"Yes")</f>
        <v>Yes</v>
      </c>
      <c r="D419" s="196" t="str">
        <f>IFERROR(__xludf.DUMMYFUNCTION("""COMPUTED_VALUE"""),"Active")</f>
        <v>Active</v>
      </c>
      <c r="E419" s="197">
        <f>IFERROR(__xludf.DUMMYFUNCTION("""COMPUTED_VALUE"""),45861.0)</f>
        <v>45861</v>
      </c>
      <c r="F419" s="198"/>
      <c r="G419" s="199">
        <f>IFERROR(__xludf.DUMMYFUNCTION("""COMPUTED_VALUE"""),2.7333333333333334)</f>
        <v>2.733333333</v>
      </c>
      <c r="H419" s="197">
        <f>IFERROR(__xludf.DUMMYFUNCTION("""COMPUTED_VALUE"""),45861.0)</f>
        <v>45861</v>
      </c>
      <c r="I419" s="199">
        <f>IFERROR(__xludf.DUMMYFUNCTION("""COMPUTED_VALUE"""),0.0)</f>
        <v>0</v>
      </c>
      <c r="J419" s="200">
        <f>IFERROR(__xludf.DUMMYFUNCTION("""COMPUTED_VALUE"""),71.0)</f>
        <v>71</v>
      </c>
      <c r="K419" s="200">
        <f>IFERROR(__xludf.DUMMYFUNCTION("""COMPUTED_VALUE"""),5.0)</f>
        <v>5</v>
      </c>
      <c r="L419" s="201" t="str">
        <f>IFERROR(__xludf.DUMMYFUNCTION("""COMPUTED_VALUE"""),"Action-Adventure")</f>
        <v>Action-Adventure</v>
      </c>
    </row>
    <row r="420">
      <c r="A420" s="190" t="str">
        <f>IFERROR(__xludf.DUMMYFUNCTION("""COMPUTED_VALUE"""),"Warcraft I: Remastered")</f>
        <v>Warcraft I: Remastered</v>
      </c>
      <c r="B420" s="195" t="str">
        <f>IFERROR(__xludf.DUMMYFUNCTION("""COMPUTED_VALUE"""),"PC")</f>
        <v>PC</v>
      </c>
      <c r="C420" s="196"/>
      <c r="D420" s="196" t="str">
        <f>IFERROR(__xludf.DUMMYFUNCTION("""COMPUTED_VALUE"""),"Active")</f>
        <v>Active</v>
      </c>
      <c r="E420" s="197">
        <f>IFERROR(__xludf.DUMMYFUNCTION("""COMPUTED_VALUE"""),45834.0)</f>
        <v>45834</v>
      </c>
      <c r="F420" s="198"/>
      <c r="G420" s="199">
        <f>IFERROR(__xludf.DUMMYFUNCTION("""COMPUTED_VALUE"""),3.633333333333333)</f>
        <v>3.633333333</v>
      </c>
      <c r="H420" s="197">
        <f>IFERROR(__xludf.DUMMYFUNCTION("""COMPUTED_VALUE"""),45609.0)</f>
        <v>45609</v>
      </c>
      <c r="I420" s="199">
        <f>IFERROR(__xludf.DUMMYFUNCTION("""COMPUTED_VALUE"""),0.6194444444444445)</f>
        <v>0.6194444444</v>
      </c>
      <c r="J420" s="200">
        <f>IFERROR(__xludf.DUMMYFUNCTION("""COMPUTED_VALUE"""),71.0)</f>
        <v>71</v>
      </c>
      <c r="K420" s="200">
        <f>IFERROR(__xludf.DUMMYFUNCTION("""COMPUTED_VALUE"""),15.0)</f>
        <v>15</v>
      </c>
      <c r="L420" s="201" t="str">
        <f>IFERROR(__xludf.DUMMYFUNCTION("""COMPUTED_VALUE"""),"Strategy")</f>
        <v>Strategy</v>
      </c>
    </row>
    <row r="421">
      <c r="A421" s="190" t="str">
        <f>IFERROR(__xludf.DUMMYFUNCTION("""COMPUTED_VALUE"""),"Far Cry: New Dawn")</f>
        <v>Far Cry: New Dawn</v>
      </c>
      <c r="B421" s="195" t="str">
        <f>IFERROR(__xludf.DUMMYFUNCTION("""COMPUTED_VALUE"""),"Xbox / PC")</f>
        <v>Xbox / PC</v>
      </c>
      <c r="C421" s="196" t="str">
        <f>IFERROR(__xludf.DUMMYFUNCTION("""COMPUTED_VALUE"""),"Yes")</f>
        <v>Yes</v>
      </c>
      <c r="D421" s="196" t="str">
        <f>IFERROR(__xludf.DUMMYFUNCTION("""COMPUTED_VALUE"""),"Active")</f>
        <v>Active</v>
      </c>
      <c r="E421" s="197">
        <f>IFERROR(__xludf.DUMMYFUNCTION("""COMPUTED_VALUE"""),45692.0)</f>
        <v>45692</v>
      </c>
      <c r="F421" s="198"/>
      <c r="G421" s="199">
        <f>IFERROR(__xludf.DUMMYFUNCTION("""COMPUTED_VALUE"""),8.366666666666667)</f>
        <v>8.366666667</v>
      </c>
      <c r="H421" s="197">
        <f>IFERROR(__xludf.DUMMYFUNCTION("""COMPUTED_VALUE"""),43511.0)</f>
        <v>43511</v>
      </c>
      <c r="I421" s="199">
        <f>IFERROR(__xludf.DUMMYFUNCTION("""COMPUTED_VALUE"""),5.969444444444444)</f>
        <v>5.969444444</v>
      </c>
      <c r="J421" s="200">
        <f>IFERROR(__xludf.DUMMYFUNCTION("""COMPUTED_VALUE"""),71.0)</f>
        <v>71</v>
      </c>
      <c r="K421" s="200">
        <f>IFERROR(__xludf.DUMMYFUNCTION("""COMPUTED_VALUE"""),11.0)</f>
        <v>11</v>
      </c>
      <c r="L421" s="201" t="str">
        <f>IFERROR(__xludf.DUMMYFUNCTION("""COMPUTED_VALUE"""),"Shooter")</f>
        <v>Shooter</v>
      </c>
    </row>
    <row r="422">
      <c r="A422" s="190" t="str">
        <f>IFERROR(__xludf.DUMMYFUNCTION("""COMPUTED_VALUE"""),"Flintlock: The Siege of Dawn")</f>
        <v>Flintlock: The Siege of Dawn</v>
      </c>
      <c r="B422" s="195" t="str">
        <f>IFERROR(__xludf.DUMMYFUNCTION("""COMPUTED_VALUE"""),"Xbox / PC")</f>
        <v>Xbox / PC</v>
      </c>
      <c r="C422" s="196" t="str">
        <f>IFERROR(__xludf.DUMMYFUNCTION("""COMPUTED_VALUE"""),"Yes")</f>
        <v>Yes</v>
      </c>
      <c r="D422" s="196" t="str">
        <f>IFERROR(__xludf.DUMMYFUNCTION("""COMPUTED_VALUE"""),"Active")</f>
        <v>Active</v>
      </c>
      <c r="E422" s="197">
        <f>IFERROR(__xludf.DUMMYFUNCTION("""COMPUTED_VALUE"""),45491.0)</f>
        <v>45491</v>
      </c>
      <c r="F422" s="198"/>
      <c r="G422" s="199">
        <f>IFERROR(__xludf.DUMMYFUNCTION("""COMPUTED_VALUE"""),14.9)</f>
        <v>14.9</v>
      </c>
      <c r="H422" s="197">
        <f>IFERROR(__xludf.DUMMYFUNCTION("""COMPUTED_VALUE"""),45491.0)</f>
        <v>45491</v>
      </c>
      <c r="I422" s="199">
        <f>IFERROR(__xludf.DUMMYFUNCTION("""COMPUTED_VALUE"""),0.0)</f>
        <v>0</v>
      </c>
      <c r="J422" s="200">
        <f>IFERROR(__xludf.DUMMYFUNCTION("""COMPUTED_VALUE"""),71.0)</f>
        <v>71</v>
      </c>
      <c r="K422" s="200">
        <f>IFERROR(__xludf.DUMMYFUNCTION("""COMPUTED_VALUE"""),9.0)</f>
        <v>9</v>
      </c>
      <c r="L422" s="201" t="str">
        <f>IFERROR(__xludf.DUMMYFUNCTION("""COMPUTED_VALUE"""),"Action-Adventure")</f>
        <v>Action-Adventure</v>
      </c>
    </row>
    <row r="423">
      <c r="A423" s="190" t="str">
        <f>IFERROR(__xludf.DUMMYFUNCTION("""COMPUTED_VALUE"""),"Battlefield: Hardline - Ultimate Edition")</f>
        <v>Battlefield: Hardline - Ultimate Edition</v>
      </c>
      <c r="B423" s="195" t="str">
        <f>IFERROR(__xludf.DUMMYFUNCTION("""COMPUTED_VALUE"""),"Xbox / PC")</f>
        <v>Xbox / PC</v>
      </c>
      <c r="C423" s="196"/>
      <c r="D423" s="196" t="str">
        <f>IFERROR(__xludf.DUMMYFUNCTION("""COMPUTED_VALUE"""),"Active")</f>
        <v>Active</v>
      </c>
      <c r="E423" s="197">
        <f>IFERROR(__xludf.DUMMYFUNCTION("""COMPUTED_VALUE"""),44145.0)</f>
        <v>44145</v>
      </c>
      <c r="F423" s="198"/>
      <c r="G423" s="199">
        <f>IFERROR(__xludf.DUMMYFUNCTION("""COMPUTED_VALUE"""),59.166666666666664)</f>
        <v>59.16666667</v>
      </c>
      <c r="H423" s="197">
        <f>IFERROR(__xludf.DUMMYFUNCTION("""COMPUTED_VALUE"""),42080.0)</f>
        <v>42080</v>
      </c>
      <c r="I423" s="199">
        <f>IFERROR(__xludf.DUMMYFUNCTION("""COMPUTED_VALUE"""),5.647222222222222)</f>
        <v>5.647222222</v>
      </c>
      <c r="J423" s="200">
        <f>IFERROR(__xludf.DUMMYFUNCTION("""COMPUTED_VALUE"""),71.0)</f>
        <v>71</v>
      </c>
      <c r="K423" s="200">
        <f>IFERROR(__xludf.DUMMYFUNCTION("""COMPUTED_VALUE"""),7.5)</f>
        <v>7.5</v>
      </c>
      <c r="L423" s="201" t="str">
        <f>IFERROR(__xludf.DUMMYFUNCTION("""COMPUTED_VALUE"""),"First-Person Shooter")</f>
        <v>First-Person Shooter</v>
      </c>
    </row>
    <row r="424">
      <c r="A424" s="190" t="str">
        <f>IFERROR(__xludf.DUMMYFUNCTION("""COMPUTED_VALUE"""),"Halo 2: Anniversary")</f>
        <v>Halo 2: Anniversary</v>
      </c>
      <c r="B424" s="195" t="str">
        <f>IFERROR(__xludf.DUMMYFUNCTION("""COMPUTED_VALUE"""),"Xbox / PC")</f>
        <v>Xbox / PC</v>
      </c>
      <c r="C424" s="196"/>
      <c r="D424" s="196" t="str">
        <f>IFERROR(__xludf.DUMMYFUNCTION("""COMPUTED_VALUE"""),"Active")</f>
        <v>Active</v>
      </c>
      <c r="E424" s="197">
        <f>IFERROR(__xludf.DUMMYFUNCTION("""COMPUTED_VALUE"""),43963.0)</f>
        <v>43963</v>
      </c>
      <c r="F424" s="198"/>
      <c r="G424" s="199">
        <f>IFERROR(__xludf.DUMMYFUNCTION("""COMPUTED_VALUE"""),65.1)</f>
        <v>65.1</v>
      </c>
      <c r="H424" s="197">
        <f>IFERROR(__xludf.DUMMYFUNCTION("""COMPUTED_VALUE"""),38300.0)</f>
        <v>38300</v>
      </c>
      <c r="I424" s="199">
        <f>IFERROR(__xludf.DUMMYFUNCTION("""COMPUTED_VALUE"""),15.508333333333333)</f>
        <v>15.50833333</v>
      </c>
      <c r="J424" s="200">
        <f>IFERROR(__xludf.DUMMYFUNCTION("""COMPUTED_VALUE"""),71.0)</f>
        <v>71</v>
      </c>
      <c r="K424" s="200">
        <f>IFERROR(__xludf.DUMMYFUNCTION("""COMPUTED_VALUE"""),8.0)</f>
        <v>8</v>
      </c>
      <c r="L424" s="201" t="str">
        <f>IFERROR(__xludf.DUMMYFUNCTION("""COMPUTED_VALUE"""),"First-Person Shooter")</f>
        <v>First-Person Shooter</v>
      </c>
    </row>
    <row r="425">
      <c r="A425" s="190" t="str">
        <f>IFERROR(__xludf.DUMMYFUNCTION("""COMPUTED_VALUE"""),"Madden NFL 25 (2024)")</f>
        <v>Madden NFL 25 (2024)</v>
      </c>
      <c r="B425" s="195" t="str">
        <f>IFERROR(__xludf.DUMMYFUNCTION("""COMPUTED_VALUE"""),"Xbox / PC")</f>
        <v>Xbox / PC</v>
      </c>
      <c r="C425" s="196" t="str">
        <f>IFERROR(__xludf.DUMMYFUNCTION("""COMPUTED_VALUE"""),"Yes")</f>
        <v>Yes</v>
      </c>
      <c r="D425" s="196" t="str">
        <f>IFERROR(__xludf.DUMMYFUNCTION("""COMPUTED_VALUE"""),"Active")</f>
        <v>Active</v>
      </c>
      <c r="E425" s="197">
        <f>IFERROR(__xludf.DUMMYFUNCTION("""COMPUTED_VALUE"""),45694.0)</f>
        <v>45694</v>
      </c>
      <c r="F425" s="198"/>
      <c r="G425" s="199">
        <f>IFERROR(__xludf.DUMMYFUNCTION("""COMPUTED_VALUE"""),8.3)</f>
        <v>8.3</v>
      </c>
      <c r="H425" s="197">
        <f>IFERROR(__xludf.DUMMYFUNCTION("""COMPUTED_VALUE"""),45520.0)</f>
        <v>45520</v>
      </c>
      <c r="I425" s="199">
        <f>IFERROR(__xludf.DUMMYFUNCTION("""COMPUTED_VALUE"""),0.4722222222222222)</f>
        <v>0.4722222222</v>
      </c>
      <c r="J425" s="200">
        <f>IFERROR(__xludf.DUMMYFUNCTION("""COMPUTED_VALUE"""),70.0)</f>
        <v>70</v>
      </c>
      <c r="K425" s="200">
        <f>IFERROR(__xludf.DUMMYFUNCTION("""COMPUTED_VALUE"""),3.1)</f>
        <v>3.1</v>
      </c>
      <c r="L425" s="201" t="str">
        <f>IFERROR(__xludf.DUMMYFUNCTION("""COMPUTED_VALUE"""),"Sports")</f>
        <v>Sports</v>
      </c>
    </row>
    <row r="426">
      <c r="A426" s="190" t="str">
        <f>IFERROR(__xludf.DUMMYFUNCTION("""COMPUTED_VALUE"""),"Orcs Must Die! Deathtrap")</f>
        <v>Orcs Must Die! Deathtrap</v>
      </c>
      <c r="B426" s="195" t="str">
        <f>IFERROR(__xludf.DUMMYFUNCTION("""COMPUTED_VALUE"""),"Xbox / PC")</f>
        <v>Xbox / PC</v>
      </c>
      <c r="C426" s="196" t="str">
        <f>IFERROR(__xludf.DUMMYFUNCTION("""COMPUTED_VALUE"""),"Yes")</f>
        <v>Yes</v>
      </c>
      <c r="D426" s="196" t="str">
        <f>IFERROR(__xludf.DUMMYFUNCTION("""COMPUTED_VALUE"""),"Active")</f>
        <v>Active</v>
      </c>
      <c r="E426" s="197">
        <f>IFERROR(__xludf.DUMMYFUNCTION("""COMPUTED_VALUE"""),45685.0)</f>
        <v>45685</v>
      </c>
      <c r="F426" s="198"/>
      <c r="G426" s="199">
        <f>IFERROR(__xludf.DUMMYFUNCTION("""COMPUTED_VALUE"""),8.566666666666666)</f>
        <v>8.566666667</v>
      </c>
      <c r="H426" s="197">
        <f>IFERROR(__xludf.DUMMYFUNCTION("""COMPUTED_VALUE"""),45685.0)</f>
        <v>45685</v>
      </c>
      <c r="I426" s="199">
        <f>IFERROR(__xludf.DUMMYFUNCTION("""COMPUTED_VALUE"""),0.0)</f>
        <v>0</v>
      </c>
      <c r="J426" s="200">
        <f>IFERROR(__xludf.DUMMYFUNCTION("""COMPUTED_VALUE"""),70.0)</f>
        <v>70</v>
      </c>
      <c r="K426" s="200">
        <f>IFERROR(__xludf.DUMMYFUNCTION("""COMPUTED_VALUE"""),21.0)</f>
        <v>21</v>
      </c>
      <c r="L426" s="201" t="str">
        <f>IFERROR(__xludf.DUMMYFUNCTION("""COMPUTED_VALUE"""),"Roguelike")</f>
        <v>Roguelike</v>
      </c>
    </row>
    <row r="427">
      <c r="A427" s="190" t="str">
        <f>IFERROR(__xludf.DUMMYFUNCTION("""COMPUTED_VALUE"""),"Car Mechanic Simulator 2021")</f>
        <v>Car Mechanic Simulator 2021</v>
      </c>
      <c r="B427" s="195" t="str">
        <f>IFERROR(__xludf.DUMMYFUNCTION("""COMPUTED_VALUE"""),"Xbox / PC")</f>
        <v>Xbox / PC</v>
      </c>
      <c r="C427" s="196" t="str">
        <f>IFERROR(__xludf.DUMMYFUNCTION("""COMPUTED_VALUE"""),"Yes")</f>
        <v>Yes</v>
      </c>
      <c r="D427" s="196" t="str">
        <f>IFERROR(__xludf.DUMMYFUNCTION("""COMPUTED_VALUE"""),"Active")</f>
        <v>Active</v>
      </c>
      <c r="E427" s="197">
        <f>IFERROR(__xludf.DUMMYFUNCTION("""COMPUTED_VALUE"""),45078.0)</f>
        <v>45078</v>
      </c>
      <c r="F427" s="198"/>
      <c r="G427" s="199">
        <f>IFERROR(__xludf.DUMMYFUNCTION("""COMPUTED_VALUE"""),28.46666666666667)</f>
        <v>28.46666667</v>
      </c>
      <c r="H427" s="197">
        <f>IFERROR(__xludf.DUMMYFUNCTION("""COMPUTED_VALUE"""),44419.0)</f>
        <v>44419</v>
      </c>
      <c r="I427" s="199">
        <f>IFERROR(__xludf.DUMMYFUNCTION("""COMPUTED_VALUE"""),1.8055555555555556)</f>
        <v>1.805555556</v>
      </c>
      <c r="J427" s="200">
        <f>IFERROR(__xludf.DUMMYFUNCTION("""COMPUTED_VALUE"""),70.0)</f>
        <v>70</v>
      </c>
      <c r="K427" s="200">
        <f>IFERROR(__xludf.DUMMYFUNCTION("""COMPUTED_VALUE"""),23.0)</f>
        <v>23</v>
      </c>
      <c r="L427" s="201" t="str">
        <f>IFERROR(__xludf.DUMMYFUNCTION("""COMPUTED_VALUE"""),"Simulation")</f>
        <v>Simulation</v>
      </c>
    </row>
    <row r="428">
      <c r="A428" s="190" t="str">
        <f>IFERROR(__xludf.DUMMYFUNCTION("""COMPUTED_VALUE"""),"Crysis 2: Remastered")</f>
        <v>Crysis 2: Remastered</v>
      </c>
      <c r="B428" s="195" t="str">
        <f>IFERROR(__xludf.DUMMYFUNCTION("""COMPUTED_VALUE"""),"PC")</f>
        <v>PC</v>
      </c>
      <c r="C428" s="196"/>
      <c r="D428" s="196" t="str">
        <f>IFERROR(__xludf.DUMMYFUNCTION("""COMPUTED_VALUE"""),"Active")</f>
        <v>Active</v>
      </c>
      <c r="E428" s="197">
        <f>IFERROR(__xludf.DUMMYFUNCTION("""COMPUTED_VALUE"""),44901.0)</f>
        <v>44901</v>
      </c>
      <c r="F428" s="198"/>
      <c r="G428" s="199">
        <f>IFERROR(__xludf.DUMMYFUNCTION("""COMPUTED_VALUE"""),34.3)</f>
        <v>34.3</v>
      </c>
      <c r="H428" s="197">
        <f>IFERROR(__xludf.DUMMYFUNCTION("""COMPUTED_VALUE"""),44484.0)</f>
        <v>44484</v>
      </c>
      <c r="I428" s="199">
        <f>IFERROR(__xludf.DUMMYFUNCTION("""COMPUTED_VALUE"""),1.1416666666666666)</f>
        <v>1.141666667</v>
      </c>
      <c r="J428" s="200">
        <f>IFERROR(__xludf.DUMMYFUNCTION("""COMPUTED_VALUE"""),70.0)</f>
        <v>70</v>
      </c>
      <c r="K428" s="200">
        <f>IFERROR(__xludf.DUMMYFUNCTION("""COMPUTED_VALUE"""),9.0)</f>
        <v>9</v>
      </c>
      <c r="L428" s="201" t="str">
        <f>IFERROR(__xludf.DUMMYFUNCTION("""COMPUTED_VALUE"""),"Action / First-Person Shooter")</f>
        <v>Action / First-Person Shooter</v>
      </c>
    </row>
    <row r="429">
      <c r="A429" s="190" t="str">
        <f>IFERROR(__xludf.DUMMYFUNCTION("""COMPUTED_VALUE"""),"Microsoft Solitaire Collection: Premium Edition")</f>
        <v>Microsoft Solitaire Collection: Premium Edition</v>
      </c>
      <c r="B429" s="195" t="str">
        <f>IFERROR(__xludf.DUMMYFUNCTION("""COMPUTED_VALUE"""),"PC")</f>
        <v>PC</v>
      </c>
      <c r="C429" s="196"/>
      <c r="D429" s="196" t="str">
        <f>IFERROR(__xludf.DUMMYFUNCTION("""COMPUTED_VALUE"""),"Active")</f>
        <v>Active</v>
      </c>
      <c r="E429" s="197">
        <f>IFERROR(__xludf.DUMMYFUNCTION("""COMPUTED_VALUE"""),44425.0)</f>
        <v>44425</v>
      </c>
      <c r="F429" s="198"/>
      <c r="G429" s="199">
        <f>IFERROR(__xludf.DUMMYFUNCTION("""COMPUTED_VALUE"""),49.93333333333334)</f>
        <v>49.93333333</v>
      </c>
      <c r="H429" s="197">
        <f>IFERROR(__xludf.DUMMYFUNCTION("""COMPUTED_VALUE"""),41208.0)</f>
        <v>41208</v>
      </c>
      <c r="I429" s="199">
        <f>IFERROR(__xludf.DUMMYFUNCTION("""COMPUTED_VALUE"""),8.808333333333334)</f>
        <v>8.808333333</v>
      </c>
      <c r="J429" s="200">
        <f>IFERROR(__xludf.DUMMYFUNCTION("""COMPUTED_VALUE"""),70.0)</f>
        <v>70</v>
      </c>
      <c r="K429" s="200">
        <f>IFERROR(__xludf.DUMMYFUNCTION("""COMPUTED_VALUE"""),80.0)</f>
        <v>80</v>
      </c>
      <c r="L429" s="201" t="str">
        <f>IFERROR(__xludf.DUMMYFUNCTION("""COMPUTED_VALUE"""),"Card Game / Minigame Collection")</f>
        <v>Card Game / Minigame Collection</v>
      </c>
    </row>
    <row r="430">
      <c r="A430" s="190" t="str">
        <f>IFERROR(__xludf.DUMMYFUNCTION("""COMPUTED_VALUE"""),"Alice: Madness Returns")</f>
        <v>Alice: Madness Returns</v>
      </c>
      <c r="B430" s="195" t="str">
        <f>IFERROR(__xludf.DUMMYFUNCTION("""COMPUTED_VALUE"""),"Xbox / PC")</f>
        <v>Xbox / PC</v>
      </c>
      <c r="C430" s="196"/>
      <c r="D430" s="196" t="str">
        <f>IFERROR(__xludf.DUMMYFUNCTION("""COMPUTED_VALUE"""),"Active")</f>
        <v>Active</v>
      </c>
      <c r="E430" s="197">
        <f>IFERROR(__xludf.DUMMYFUNCTION("""COMPUTED_VALUE"""),44145.0)</f>
        <v>44145</v>
      </c>
      <c r="F430" s="198"/>
      <c r="G430" s="199">
        <f>IFERROR(__xludf.DUMMYFUNCTION("""COMPUTED_VALUE"""),59.166666666666664)</f>
        <v>59.16666667</v>
      </c>
      <c r="H430" s="197">
        <f>IFERROR(__xludf.DUMMYFUNCTION("""COMPUTED_VALUE"""),40708.0)</f>
        <v>40708</v>
      </c>
      <c r="I430" s="199">
        <f>IFERROR(__xludf.DUMMYFUNCTION("""COMPUTED_VALUE"""),9.405555555555555)</f>
        <v>9.405555556</v>
      </c>
      <c r="J430" s="200">
        <f>IFERROR(__xludf.DUMMYFUNCTION("""COMPUTED_VALUE"""),70.0)</f>
        <v>70</v>
      </c>
      <c r="K430" s="200">
        <f>IFERROR(__xludf.DUMMYFUNCTION("""COMPUTED_VALUE"""),14.0)</f>
        <v>14</v>
      </c>
      <c r="L430" s="201" t="str">
        <f>IFERROR(__xludf.DUMMYFUNCTION("""COMPUTED_VALUE"""),"Platformer / Action-Adventure")</f>
        <v>Platformer / Action-Adventure</v>
      </c>
    </row>
    <row r="431">
      <c r="A431" s="190" t="str">
        <f>IFERROR(__xludf.DUMMYFUNCTION("""COMPUTED_VALUE"""),"Fe")</f>
        <v>Fe</v>
      </c>
      <c r="B431" s="195" t="str">
        <f>IFERROR(__xludf.DUMMYFUNCTION("""COMPUTED_VALUE"""),"Xbox / PC")</f>
        <v>Xbox / PC</v>
      </c>
      <c r="C431" s="196"/>
      <c r="D431" s="196" t="str">
        <f>IFERROR(__xludf.DUMMYFUNCTION("""COMPUTED_VALUE"""),"Active")</f>
        <v>Active</v>
      </c>
      <c r="E431" s="197">
        <f>IFERROR(__xludf.DUMMYFUNCTION("""COMPUTED_VALUE"""),44145.0)</f>
        <v>44145</v>
      </c>
      <c r="F431" s="198"/>
      <c r="G431" s="199">
        <f>IFERROR(__xludf.DUMMYFUNCTION("""COMPUTED_VALUE"""),59.166666666666664)</f>
        <v>59.16666667</v>
      </c>
      <c r="H431" s="197">
        <f>IFERROR(__xludf.DUMMYFUNCTION("""COMPUTED_VALUE"""),43147.0)</f>
        <v>43147</v>
      </c>
      <c r="I431" s="199">
        <f>IFERROR(__xludf.DUMMYFUNCTION("""COMPUTED_VALUE"""),2.7333333333333334)</f>
        <v>2.733333333</v>
      </c>
      <c r="J431" s="200">
        <f>IFERROR(__xludf.DUMMYFUNCTION("""COMPUTED_VALUE"""),70.0)</f>
        <v>70</v>
      </c>
      <c r="K431" s="200">
        <f>IFERROR(__xludf.DUMMYFUNCTION("""COMPUTED_VALUE"""),5.5)</f>
        <v>5.5</v>
      </c>
      <c r="L431" s="201" t="str">
        <f>IFERROR(__xludf.DUMMYFUNCTION("""COMPUTED_VALUE"""),"Action-Adventure")</f>
        <v>Action-Adventure</v>
      </c>
    </row>
    <row r="432">
      <c r="A432" s="190" t="str">
        <f>IFERROR(__xludf.DUMMYFUNCTION("""COMPUTED_VALUE"""),"Trailmakers")</f>
        <v>Trailmakers</v>
      </c>
      <c r="B432" s="195" t="str">
        <f>IFERROR(__xludf.DUMMYFUNCTION("""COMPUTED_VALUE"""),"Xbox / PC")</f>
        <v>Xbox / PC</v>
      </c>
      <c r="C432" s="196" t="str">
        <f>IFERROR(__xludf.DUMMYFUNCTION("""COMPUTED_VALUE"""),"Yes")</f>
        <v>Yes</v>
      </c>
      <c r="D432" s="196" t="str">
        <f>IFERROR(__xludf.DUMMYFUNCTION("""COMPUTED_VALUE"""),"Active")</f>
        <v>Active</v>
      </c>
      <c r="E432" s="197">
        <f>IFERROR(__xludf.DUMMYFUNCTION("""COMPUTED_VALUE"""),44049.0)</f>
        <v>44049</v>
      </c>
      <c r="F432" s="198"/>
      <c r="G432" s="199">
        <f>IFERROR(__xludf.DUMMYFUNCTION("""COMPUTED_VALUE"""),62.3)</f>
        <v>62.3</v>
      </c>
      <c r="H432" s="197">
        <f>IFERROR(__xludf.DUMMYFUNCTION("""COMPUTED_VALUE"""),43726.0)</f>
        <v>43726</v>
      </c>
      <c r="I432" s="199">
        <f>IFERROR(__xludf.DUMMYFUNCTION("""COMPUTED_VALUE"""),0.8833333333333333)</f>
        <v>0.8833333333</v>
      </c>
      <c r="J432" s="200">
        <f>IFERROR(__xludf.DUMMYFUNCTION("""COMPUTED_VALUE"""),70.0)</f>
        <v>70</v>
      </c>
      <c r="K432" s="200">
        <f>IFERROR(__xludf.DUMMYFUNCTION("""COMPUTED_VALUE"""),11.5)</f>
        <v>11.5</v>
      </c>
      <c r="L432" s="201" t="str">
        <f>IFERROR(__xludf.DUMMYFUNCTION("""COMPUTED_VALUE"""),"Driving/Racing")</f>
        <v>Driving/Racing</v>
      </c>
    </row>
    <row r="433">
      <c r="A433" s="190" t="str">
        <f>IFERROR(__xludf.DUMMYFUNCTION("""COMPUTED_VALUE"""),"Bleeding Edge")</f>
        <v>Bleeding Edge</v>
      </c>
      <c r="B433" s="195" t="str">
        <f>IFERROR(__xludf.DUMMYFUNCTION("""COMPUTED_VALUE"""),"Xbox / PC")</f>
        <v>Xbox / PC</v>
      </c>
      <c r="C433" s="196" t="str">
        <f>IFERROR(__xludf.DUMMYFUNCTION("""COMPUTED_VALUE"""),"Yes")</f>
        <v>Yes</v>
      </c>
      <c r="D433" s="196" t="str">
        <f>IFERROR(__xludf.DUMMYFUNCTION("""COMPUTED_VALUE"""),"Active")</f>
        <v>Active</v>
      </c>
      <c r="E433" s="197">
        <f>IFERROR(__xludf.DUMMYFUNCTION("""COMPUTED_VALUE"""),43914.0)</f>
        <v>43914</v>
      </c>
      <c r="F433" s="198"/>
      <c r="G433" s="199">
        <f>IFERROR(__xludf.DUMMYFUNCTION("""COMPUTED_VALUE"""),66.7)</f>
        <v>66.7</v>
      </c>
      <c r="H433" s="197">
        <f>IFERROR(__xludf.DUMMYFUNCTION("""COMPUTED_VALUE"""),43914.0)</f>
        <v>43914</v>
      </c>
      <c r="I433" s="199">
        <f>IFERROR(__xludf.DUMMYFUNCTION("""COMPUTED_VALUE"""),0.0)</f>
        <v>0</v>
      </c>
      <c r="J433" s="200">
        <f>IFERROR(__xludf.DUMMYFUNCTION("""COMPUTED_VALUE"""),70.0)</f>
        <v>70</v>
      </c>
      <c r="K433" s="200">
        <f>IFERROR(__xludf.DUMMYFUNCTION("""COMPUTED_VALUE"""),6.5)</f>
        <v>6.5</v>
      </c>
      <c r="L433" s="201" t="str">
        <f>IFERROR(__xludf.DUMMYFUNCTION("""COMPUTED_VALUE"""),"Action")</f>
        <v>Action</v>
      </c>
    </row>
    <row r="434">
      <c r="A434" s="190" t="str">
        <f>IFERROR(__xludf.DUMMYFUNCTION("""COMPUTED_VALUE"""),"The Bard's Tale IV: Director's Cut")</f>
        <v>The Bard's Tale IV: Director's Cut</v>
      </c>
      <c r="B434" s="195" t="str">
        <f>IFERROR(__xludf.DUMMYFUNCTION("""COMPUTED_VALUE"""),"Xbox / PC")</f>
        <v>Xbox / PC</v>
      </c>
      <c r="C434" s="196" t="str">
        <f>IFERROR(__xludf.DUMMYFUNCTION("""COMPUTED_VALUE"""),"Touch Controls")</f>
        <v>Touch Controls</v>
      </c>
      <c r="D434" s="196" t="str">
        <f>IFERROR(__xludf.DUMMYFUNCTION("""COMPUTED_VALUE"""),"Active")</f>
        <v>Active</v>
      </c>
      <c r="E434" s="197">
        <f>IFERROR(__xludf.DUMMYFUNCTION("""COMPUTED_VALUE"""),43704.0)</f>
        <v>43704</v>
      </c>
      <c r="F434" s="198"/>
      <c r="G434" s="199">
        <f>IFERROR(__xludf.DUMMYFUNCTION("""COMPUTED_VALUE"""),73.60000000000001)</f>
        <v>73.6</v>
      </c>
      <c r="H434" s="197">
        <f>IFERROR(__xludf.DUMMYFUNCTION("""COMPUTED_VALUE"""),43361.0)</f>
        <v>43361</v>
      </c>
      <c r="I434" s="199">
        <f>IFERROR(__xludf.DUMMYFUNCTION("""COMPUTED_VALUE"""),0.9416666666666667)</f>
        <v>0.9416666667</v>
      </c>
      <c r="J434" s="200">
        <f>IFERROR(__xludf.DUMMYFUNCTION("""COMPUTED_VALUE"""),70.0)</f>
        <v>70</v>
      </c>
      <c r="K434" s="200">
        <f>IFERROR(__xludf.DUMMYFUNCTION("""COMPUTED_VALUE"""),59.5)</f>
        <v>59.5</v>
      </c>
      <c r="L434" s="201" t="str">
        <f>IFERROR(__xludf.DUMMYFUNCTION("""COMPUTED_VALUE"""),"RPG")</f>
        <v>RPG</v>
      </c>
    </row>
    <row r="435">
      <c r="A435" s="190" t="str">
        <f>IFERROR(__xludf.DUMMYFUNCTION("""COMPUTED_VALUE"""),"The Bard's Tale Trilogy")</f>
        <v>The Bard's Tale Trilogy</v>
      </c>
      <c r="B435" s="195" t="str">
        <f>IFERROR(__xludf.DUMMYFUNCTION("""COMPUTED_VALUE"""),"Xbox / PC")</f>
        <v>Xbox / PC</v>
      </c>
      <c r="C435" s="196" t="str">
        <f>IFERROR(__xludf.DUMMYFUNCTION("""COMPUTED_VALUE"""),"Touch Controls")</f>
        <v>Touch Controls</v>
      </c>
      <c r="D435" s="196" t="str">
        <f>IFERROR(__xludf.DUMMYFUNCTION("""COMPUTED_VALUE"""),"Active")</f>
        <v>Active</v>
      </c>
      <c r="E435" s="197">
        <f>IFERROR(__xludf.DUMMYFUNCTION("""COMPUTED_VALUE"""),43690.0)</f>
        <v>43690</v>
      </c>
      <c r="F435" s="198"/>
      <c r="G435" s="199">
        <f>IFERROR(__xludf.DUMMYFUNCTION("""COMPUTED_VALUE"""),74.06666666666666)</f>
        <v>74.06666667</v>
      </c>
      <c r="H435" s="197">
        <f>IFERROR(__xludf.DUMMYFUNCTION("""COMPUTED_VALUE"""),43326.0)</f>
        <v>43326</v>
      </c>
      <c r="I435" s="199">
        <f>IFERROR(__xludf.DUMMYFUNCTION("""COMPUTED_VALUE"""),0.9972222222222222)</f>
        <v>0.9972222222</v>
      </c>
      <c r="J435" s="200">
        <f>IFERROR(__xludf.DUMMYFUNCTION("""COMPUTED_VALUE"""),70.0)</f>
        <v>70</v>
      </c>
      <c r="K435" s="200">
        <f>IFERROR(__xludf.DUMMYFUNCTION("""COMPUTED_VALUE"""),24.0)</f>
        <v>24</v>
      </c>
      <c r="L435" s="201" t="str">
        <f>IFERROR(__xludf.DUMMYFUNCTION("""COMPUTED_VALUE"""),"RPG")</f>
        <v>RPG</v>
      </c>
    </row>
    <row r="436">
      <c r="A436" s="190" t="str">
        <f>IFERROR(__xludf.DUMMYFUNCTION("""COMPUTED_VALUE"""),"The Ascent")</f>
        <v>The Ascent</v>
      </c>
      <c r="B436" s="195" t="str">
        <f>IFERROR(__xludf.DUMMYFUNCTION("""COMPUTED_VALUE"""),"Xbox / PC")</f>
        <v>Xbox / PC</v>
      </c>
      <c r="C436" s="196" t="str">
        <f>IFERROR(__xludf.DUMMYFUNCTION("""COMPUTED_VALUE"""),"Touch Controls")</f>
        <v>Touch Controls</v>
      </c>
      <c r="D436" s="196" t="str">
        <f>IFERROR(__xludf.DUMMYFUNCTION("""COMPUTED_VALUE"""),"Active")</f>
        <v>Active</v>
      </c>
      <c r="E436" s="197">
        <f>IFERROR(__xludf.DUMMYFUNCTION("""COMPUTED_VALUE"""),45846.0)</f>
        <v>45846</v>
      </c>
      <c r="F436" s="198"/>
      <c r="G436" s="199">
        <f>IFERROR(__xludf.DUMMYFUNCTION("""COMPUTED_VALUE"""),3.2333333333333334)</f>
        <v>3.233333333</v>
      </c>
      <c r="H436" s="197">
        <f>IFERROR(__xludf.DUMMYFUNCTION("""COMPUTED_VALUE"""),44406.0)</f>
        <v>44406</v>
      </c>
      <c r="I436" s="199">
        <f>IFERROR(__xludf.DUMMYFUNCTION("""COMPUTED_VALUE"""),3.941666666666667)</f>
        <v>3.941666667</v>
      </c>
      <c r="J436" s="200">
        <f>IFERROR(__xludf.DUMMYFUNCTION("""COMPUTED_VALUE"""),69.5)</f>
        <v>69.5</v>
      </c>
      <c r="K436" s="200">
        <f>IFERROR(__xludf.DUMMYFUNCTION("""COMPUTED_VALUE"""),9.0)</f>
        <v>9</v>
      </c>
      <c r="L436" s="201" t="str">
        <f>IFERROR(__xludf.DUMMYFUNCTION("""COMPUTED_VALUE"""),"Action / RPG")</f>
        <v>Action / RPG</v>
      </c>
    </row>
    <row r="437">
      <c r="A437" s="190" t="str">
        <f>IFERROR(__xludf.DUMMYFUNCTION("""COMPUTED_VALUE"""),"Assassin's Creed Chronicles: China")</f>
        <v>Assassin's Creed Chronicles: China</v>
      </c>
      <c r="B437" s="195" t="str">
        <f>IFERROR(__xludf.DUMMYFUNCTION("""COMPUTED_VALUE"""),"Xbox / PC")</f>
        <v>Xbox / PC</v>
      </c>
      <c r="C437" s="196" t="str">
        <f>IFERROR(__xludf.DUMMYFUNCTION("""COMPUTED_VALUE"""),"Yes")</f>
        <v>Yes</v>
      </c>
      <c r="D437" s="196" t="str">
        <f>IFERROR(__xludf.DUMMYFUNCTION("""COMPUTED_VALUE"""),"Active")</f>
        <v>Active</v>
      </c>
      <c r="E437" s="197">
        <f>IFERROR(__xludf.DUMMYFUNCTION("""COMPUTED_VALUE"""),45931.0)</f>
        <v>45931</v>
      </c>
      <c r="F437" s="198"/>
      <c r="G437" s="199">
        <f>IFERROR(__xludf.DUMMYFUNCTION("""COMPUTED_VALUE"""),0.4666666666666667)</f>
        <v>0.4666666667</v>
      </c>
      <c r="H437" s="197">
        <f>IFERROR(__xludf.DUMMYFUNCTION("""COMPUTED_VALUE"""),42115.0)</f>
        <v>42115</v>
      </c>
      <c r="I437" s="199">
        <f>IFERROR(__xludf.DUMMYFUNCTION("""COMPUTED_VALUE"""),10.444444444444445)</f>
        <v>10.44444444</v>
      </c>
      <c r="J437" s="200">
        <f>IFERROR(__xludf.DUMMYFUNCTION("""COMPUTED_VALUE"""),69.0)</f>
        <v>69</v>
      </c>
      <c r="K437" s="200">
        <f>IFERROR(__xludf.DUMMYFUNCTION("""COMPUTED_VALUE"""),6.0)</f>
        <v>6</v>
      </c>
      <c r="L437" s="201" t="str">
        <f>IFERROR(__xludf.DUMMYFUNCTION("""COMPUTED_VALUE"""),"Action-Adventure")</f>
        <v>Action-Adventure</v>
      </c>
    </row>
    <row r="438">
      <c r="A438" s="190" t="str">
        <f>IFERROR(__xludf.DUMMYFUNCTION("""COMPUTED_VALUE"""),"Rabbids: Party of Legends")</f>
        <v>Rabbids: Party of Legends</v>
      </c>
      <c r="B438" s="195" t="str">
        <f>IFERROR(__xludf.DUMMYFUNCTION("""COMPUTED_VALUE"""),"Xbox / PC")</f>
        <v>Xbox / PC</v>
      </c>
      <c r="C438" s="196" t="str">
        <f>IFERROR(__xludf.DUMMYFUNCTION("""COMPUTED_VALUE"""),"Yes")</f>
        <v>Yes</v>
      </c>
      <c r="D438" s="196" t="str">
        <f>IFERROR(__xludf.DUMMYFUNCTION("""COMPUTED_VALUE"""),"Active")</f>
        <v>Active</v>
      </c>
      <c r="E438" s="197">
        <f>IFERROR(__xludf.DUMMYFUNCTION("""COMPUTED_VALUE"""),45931.0)</f>
        <v>45931</v>
      </c>
      <c r="F438" s="198"/>
      <c r="G438" s="199">
        <f>IFERROR(__xludf.DUMMYFUNCTION("""COMPUTED_VALUE"""),0.4666666666666667)</f>
        <v>0.4666666667</v>
      </c>
      <c r="H438" s="197">
        <f>IFERROR(__xludf.DUMMYFUNCTION("""COMPUTED_VALUE"""),44742.0)</f>
        <v>44742</v>
      </c>
      <c r="I438" s="199">
        <f>IFERROR(__xludf.DUMMYFUNCTION("""COMPUTED_VALUE"""),3.2527777777777778)</f>
        <v>3.252777778</v>
      </c>
      <c r="J438" s="200">
        <f>IFERROR(__xludf.DUMMYFUNCTION("""COMPUTED_VALUE"""),69.0)</f>
        <v>69</v>
      </c>
      <c r="K438" s="200">
        <f>IFERROR(__xludf.DUMMYFUNCTION("""COMPUTED_VALUE"""),3.0)</f>
        <v>3</v>
      </c>
      <c r="L438" s="201" t="str">
        <f>IFERROR(__xludf.DUMMYFUNCTION("""COMPUTED_VALUE"""),"Party")</f>
        <v>Party</v>
      </c>
    </row>
    <row r="439">
      <c r="A439" s="190" t="str">
        <f>IFERROR(__xludf.DUMMYFUNCTION("""COMPUTED_VALUE"""),"Aliens: Fireteam Elite")</f>
        <v>Aliens: Fireteam Elite</v>
      </c>
      <c r="B439" s="195" t="str">
        <f>IFERROR(__xludf.DUMMYFUNCTION("""COMPUTED_VALUE"""),"Xbox / PC")</f>
        <v>Xbox / PC</v>
      </c>
      <c r="C439" s="196" t="str">
        <f>IFERROR(__xludf.DUMMYFUNCTION("""COMPUTED_VALUE"""),"Yes")</f>
        <v>Yes</v>
      </c>
      <c r="D439" s="196" t="str">
        <f>IFERROR(__xludf.DUMMYFUNCTION("""COMPUTED_VALUE"""),"Active")</f>
        <v>Active</v>
      </c>
      <c r="E439" s="197">
        <f>IFERROR(__xludf.DUMMYFUNCTION("""COMPUTED_VALUE"""),45881.0)</f>
        <v>45881</v>
      </c>
      <c r="F439" s="198"/>
      <c r="G439" s="199">
        <f>IFERROR(__xludf.DUMMYFUNCTION("""COMPUTED_VALUE"""),2.0999999999999996)</f>
        <v>2.1</v>
      </c>
      <c r="H439" s="197">
        <f>IFERROR(__xludf.DUMMYFUNCTION("""COMPUTED_VALUE"""),44803.0)</f>
        <v>44803</v>
      </c>
      <c r="I439" s="199">
        <f>IFERROR(__xludf.DUMMYFUNCTION("""COMPUTED_VALUE"""),2.95)</f>
        <v>2.95</v>
      </c>
      <c r="J439" s="200">
        <f>IFERROR(__xludf.DUMMYFUNCTION("""COMPUTED_VALUE"""),69.0)</f>
        <v>69</v>
      </c>
      <c r="K439" s="200">
        <f>IFERROR(__xludf.DUMMYFUNCTION("""COMPUTED_VALUE"""),9.0)</f>
        <v>9</v>
      </c>
      <c r="L439" s="201" t="str">
        <f>IFERROR(__xludf.DUMMYFUNCTION("""COMPUTED_VALUE"""),"Shooter")</f>
        <v>Shooter</v>
      </c>
    </row>
    <row r="440">
      <c r="A440" s="190" t="str">
        <f>IFERROR(__xludf.DUMMYFUNCTION("""COMPUTED_VALUE"""),"Immortals of Aveum")</f>
        <v>Immortals of Aveum</v>
      </c>
      <c r="B440" s="195" t="str">
        <f>IFERROR(__xludf.DUMMYFUNCTION("""COMPUTED_VALUE"""),"Xbox / PC")</f>
        <v>Xbox / PC</v>
      </c>
      <c r="C440" s="196" t="str">
        <f>IFERROR(__xludf.DUMMYFUNCTION("""COMPUTED_VALUE"""),"Yes")</f>
        <v>Yes</v>
      </c>
      <c r="D440" s="196" t="str">
        <f>IFERROR(__xludf.DUMMYFUNCTION("""COMPUTED_VALUE"""),"Active")</f>
        <v>Active</v>
      </c>
      <c r="E440" s="197">
        <f>IFERROR(__xludf.DUMMYFUNCTION("""COMPUTED_VALUE"""),45427.0)</f>
        <v>45427</v>
      </c>
      <c r="F440" s="198"/>
      <c r="G440" s="199">
        <f>IFERROR(__xludf.DUMMYFUNCTION("""COMPUTED_VALUE"""),17.0)</f>
        <v>17</v>
      </c>
      <c r="H440" s="197">
        <f>IFERROR(__xludf.DUMMYFUNCTION("""COMPUTED_VALUE"""),45160.0)</f>
        <v>45160</v>
      </c>
      <c r="I440" s="199">
        <f>IFERROR(__xludf.DUMMYFUNCTION("""COMPUTED_VALUE"""),0.7305555555555555)</f>
        <v>0.7305555556</v>
      </c>
      <c r="J440" s="200">
        <f>IFERROR(__xludf.DUMMYFUNCTION("""COMPUTED_VALUE"""),69.0)</f>
        <v>69</v>
      </c>
      <c r="K440" s="200">
        <f>IFERROR(__xludf.DUMMYFUNCTION("""COMPUTED_VALUE"""),15.0)</f>
        <v>15</v>
      </c>
      <c r="L440" s="201" t="str">
        <f>IFERROR(__xludf.DUMMYFUNCTION("""COMPUTED_VALUE"""),"Shooter")</f>
        <v>Shooter</v>
      </c>
    </row>
    <row r="441">
      <c r="A441" s="190" t="str">
        <f>IFERROR(__xludf.DUMMYFUNCTION("""COMPUTED_VALUE"""),"Minecraft: Legends")</f>
        <v>Minecraft: Legends</v>
      </c>
      <c r="B441" s="195" t="str">
        <f>IFERROR(__xludf.DUMMYFUNCTION("""COMPUTED_VALUE"""),"Xbox / PC")</f>
        <v>Xbox / PC</v>
      </c>
      <c r="C441" s="196" t="str">
        <f>IFERROR(__xludf.DUMMYFUNCTION("""COMPUTED_VALUE"""),"Yes")</f>
        <v>Yes</v>
      </c>
      <c r="D441" s="196" t="str">
        <f>IFERROR(__xludf.DUMMYFUNCTION("""COMPUTED_VALUE"""),"Active")</f>
        <v>Active</v>
      </c>
      <c r="E441" s="197">
        <f>IFERROR(__xludf.DUMMYFUNCTION("""COMPUTED_VALUE"""),45034.0)</f>
        <v>45034</v>
      </c>
      <c r="F441" s="198"/>
      <c r="G441" s="199">
        <f>IFERROR(__xludf.DUMMYFUNCTION("""COMPUTED_VALUE"""),29.9)</f>
        <v>29.9</v>
      </c>
      <c r="H441" s="197">
        <f>IFERROR(__xludf.DUMMYFUNCTION("""COMPUTED_VALUE"""),45034.0)</f>
        <v>45034</v>
      </c>
      <c r="I441" s="199">
        <f>IFERROR(__xludf.DUMMYFUNCTION("""COMPUTED_VALUE"""),0.0)</f>
        <v>0</v>
      </c>
      <c r="J441" s="200">
        <f>IFERROR(__xludf.DUMMYFUNCTION("""COMPUTED_VALUE"""),69.0)</f>
        <v>69</v>
      </c>
      <c r="K441" s="200">
        <f>IFERROR(__xludf.DUMMYFUNCTION("""COMPUTED_VALUE"""),8.0)</f>
        <v>8</v>
      </c>
      <c r="L441" s="201" t="str">
        <f>IFERROR(__xludf.DUMMYFUNCTION("""COMPUTED_VALUE"""),"Action / Strategy")</f>
        <v>Action / Strategy</v>
      </c>
    </row>
    <row r="442">
      <c r="A442" s="190" t="str">
        <f>IFERROR(__xludf.DUMMYFUNCTION("""COMPUTED_VALUE"""),"Madden NFL 23")</f>
        <v>Madden NFL 23</v>
      </c>
      <c r="B442" s="195" t="str">
        <f>IFERROR(__xludf.DUMMYFUNCTION("""COMPUTED_VALUE"""),"Xbox / PC")</f>
        <v>Xbox / PC</v>
      </c>
      <c r="C442" s="196"/>
      <c r="D442" s="196" t="str">
        <f>IFERROR(__xludf.DUMMYFUNCTION("""COMPUTED_VALUE"""),"Active")</f>
        <v>Active</v>
      </c>
      <c r="E442" s="197">
        <f>IFERROR(__xludf.DUMMYFUNCTION("""COMPUTED_VALUE"""),44966.0)</f>
        <v>44966</v>
      </c>
      <c r="F442" s="198"/>
      <c r="G442" s="199">
        <f>IFERROR(__xludf.DUMMYFUNCTION("""COMPUTED_VALUE"""),32.199999999999996)</f>
        <v>32.2</v>
      </c>
      <c r="H442" s="197">
        <f>IFERROR(__xludf.DUMMYFUNCTION("""COMPUTED_VALUE"""),44791.0)</f>
        <v>44791</v>
      </c>
      <c r="I442" s="199">
        <f>IFERROR(__xludf.DUMMYFUNCTION("""COMPUTED_VALUE"""),0.475)</f>
        <v>0.475</v>
      </c>
      <c r="J442" s="200">
        <f>IFERROR(__xludf.DUMMYFUNCTION("""COMPUTED_VALUE"""),69.0)</f>
        <v>69</v>
      </c>
      <c r="K442" s="200">
        <f>IFERROR(__xludf.DUMMYFUNCTION("""COMPUTED_VALUE"""),28.0)</f>
        <v>28</v>
      </c>
      <c r="L442" s="201" t="str">
        <f>IFERROR(__xludf.DUMMYFUNCTION("""COMPUTED_VALUE"""),"Sports / Football")</f>
        <v>Sports / Football</v>
      </c>
    </row>
    <row r="443">
      <c r="A443" s="190" t="str">
        <f>IFERROR(__xludf.DUMMYFUNCTION("""COMPUTED_VALUE"""),"Crysis: Remastered")</f>
        <v>Crysis: Remastered</v>
      </c>
      <c r="B443" s="195" t="str">
        <f>IFERROR(__xludf.DUMMYFUNCTION("""COMPUTED_VALUE"""),"PC")</f>
        <v>PC</v>
      </c>
      <c r="C443" s="196"/>
      <c r="D443" s="196" t="str">
        <f>IFERROR(__xludf.DUMMYFUNCTION("""COMPUTED_VALUE"""),"Active")</f>
        <v>Active</v>
      </c>
      <c r="E443" s="197">
        <f>IFERROR(__xludf.DUMMYFUNCTION("""COMPUTED_VALUE"""),44469.0)</f>
        <v>44469</v>
      </c>
      <c r="F443" s="198"/>
      <c r="G443" s="199">
        <f>IFERROR(__xludf.DUMMYFUNCTION("""COMPUTED_VALUE"""),48.5)</f>
        <v>48.5</v>
      </c>
      <c r="H443" s="197">
        <f>IFERROR(__xludf.DUMMYFUNCTION("""COMPUTED_VALUE"""),44092.0)</f>
        <v>44092</v>
      </c>
      <c r="I443" s="199">
        <f>IFERROR(__xludf.DUMMYFUNCTION("""COMPUTED_VALUE"""),1.0333333333333334)</f>
        <v>1.033333333</v>
      </c>
      <c r="J443" s="200">
        <f>IFERROR(__xludf.DUMMYFUNCTION("""COMPUTED_VALUE"""),69.0)</f>
        <v>69</v>
      </c>
      <c r="K443" s="200">
        <f>IFERROR(__xludf.DUMMYFUNCTION("""COMPUTED_VALUE"""),10.0)</f>
        <v>10</v>
      </c>
      <c r="L443" s="201" t="str">
        <f>IFERROR(__xludf.DUMMYFUNCTION("""COMPUTED_VALUE"""),"Action / First-Person Shooter")</f>
        <v>Action / First-Person Shooter</v>
      </c>
    </row>
    <row r="444">
      <c r="A444" s="190" t="str">
        <f>IFERROR(__xludf.DUMMYFUNCTION("""COMPUTED_VALUE"""),"No Man's Sky")</f>
        <v>No Man's Sky</v>
      </c>
      <c r="B444" s="195" t="str">
        <f>IFERROR(__xludf.DUMMYFUNCTION("""COMPUTED_VALUE"""),"Xbox / PC")</f>
        <v>Xbox / PC</v>
      </c>
      <c r="C444" s="196" t="str">
        <f>IFERROR(__xludf.DUMMYFUNCTION("""COMPUTED_VALUE"""),"Yes")</f>
        <v>Yes</v>
      </c>
      <c r="D444" s="196" t="str">
        <f>IFERROR(__xludf.DUMMYFUNCTION("""COMPUTED_VALUE"""),"Active")</f>
        <v>Active</v>
      </c>
      <c r="E444" s="197">
        <f>IFERROR(__xludf.DUMMYFUNCTION("""COMPUTED_VALUE"""),43993.0)</f>
        <v>43993</v>
      </c>
      <c r="F444" s="198"/>
      <c r="G444" s="199">
        <f>IFERROR(__xludf.DUMMYFUNCTION("""COMPUTED_VALUE"""),64.13333333333333)</f>
        <v>64.13333333</v>
      </c>
      <c r="H444" s="197">
        <f>IFERROR(__xludf.DUMMYFUNCTION("""COMPUTED_VALUE"""),42591.0)</f>
        <v>42591</v>
      </c>
      <c r="I444" s="199">
        <f>IFERROR(__xludf.DUMMYFUNCTION("""COMPUTED_VALUE"""),3.838888888888889)</f>
        <v>3.838888889</v>
      </c>
      <c r="J444" s="200">
        <f>IFERROR(__xludf.DUMMYFUNCTION("""COMPUTED_VALUE"""),69.0)</f>
        <v>69</v>
      </c>
      <c r="K444" s="200">
        <f>IFERROR(__xludf.DUMMYFUNCTION("""COMPUTED_VALUE"""),30.5)</f>
        <v>30.5</v>
      </c>
      <c r="L444" s="201" t="str">
        <f>IFERROR(__xludf.DUMMYFUNCTION("""COMPUTED_VALUE"""),"Simulation / Action-Adventure")</f>
        <v>Simulation / Action-Adventure</v>
      </c>
    </row>
    <row r="445">
      <c r="A445" s="190" t="str">
        <f>IFERROR(__xludf.DUMMYFUNCTION("""COMPUTED_VALUE"""),"ARK: Ultimate Survivor Edition ")</f>
        <v>ARK: Ultimate Survivor Edition </v>
      </c>
      <c r="B445" s="195" t="str">
        <f>IFERROR(__xludf.DUMMYFUNCTION("""COMPUTED_VALUE"""),"Xbox / PC")</f>
        <v>Xbox / PC</v>
      </c>
      <c r="C445" s="196" t="str">
        <f>IFERROR(__xludf.DUMMYFUNCTION("""COMPUTED_VALUE"""),"Yes")</f>
        <v>Yes</v>
      </c>
      <c r="D445" s="196" t="str">
        <f>IFERROR(__xludf.DUMMYFUNCTION("""COMPUTED_VALUE"""),"Active")</f>
        <v>Active</v>
      </c>
      <c r="E445" s="197">
        <f>IFERROR(__xludf.DUMMYFUNCTION("""COMPUTED_VALUE"""),43468.0)</f>
        <v>43468</v>
      </c>
      <c r="F445" s="198"/>
      <c r="G445" s="199">
        <f>IFERROR(__xludf.DUMMYFUNCTION("""COMPUTED_VALUE"""),81.4)</f>
        <v>81.4</v>
      </c>
      <c r="H445" s="197">
        <f>IFERROR(__xludf.DUMMYFUNCTION("""COMPUTED_VALUE"""),42710.0)</f>
        <v>42710</v>
      </c>
      <c r="I445" s="199">
        <f>IFERROR(__xludf.DUMMYFUNCTION("""COMPUTED_VALUE"""),2.075)</f>
        <v>2.075</v>
      </c>
      <c r="J445" s="200">
        <f>IFERROR(__xludf.DUMMYFUNCTION("""COMPUTED_VALUE"""),69.0)</f>
        <v>69</v>
      </c>
      <c r="K445" s="200">
        <f>IFERROR(__xludf.DUMMYFUNCTION("""COMPUTED_VALUE"""),123.0)</f>
        <v>123</v>
      </c>
      <c r="L445" s="201" t="str">
        <f>IFERROR(__xludf.DUMMYFUNCTION("""COMPUTED_VALUE"""),"Action-Adventure")</f>
        <v>Action-Adventure</v>
      </c>
    </row>
    <row r="446">
      <c r="A446" s="190" t="str">
        <f>IFERROR(__xludf.DUMMYFUNCTION("""COMPUTED_VALUE"""),"Sea of Thieves")</f>
        <v>Sea of Thieves</v>
      </c>
      <c r="B446" s="195" t="str">
        <f>IFERROR(__xludf.DUMMYFUNCTION("""COMPUTED_VALUE"""),"Xbox / PC")</f>
        <v>Xbox / PC</v>
      </c>
      <c r="C446" s="196" t="str">
        <f>IFERROR(__xludf.DUMMYFUNCTION("""COMPUTED_VALUE"""),"Touch Controls, M+KB")</f>
        <v>Touch Controls, M+KB</v>
      </c>
      <c r="D446" s="196" t="str">
        <f>IFERROR(__xludf.DUMMYFUNCTION("""COMPUTED_VALUE"""),"Active")</f>
        <v>Active</v>
      </c>
      <c r="E446" s="197">
        <f>IFERROR(__xludf.DUMMYFUNCTION("""COMPUTED_VALUE"""),43179.0)</f>
        <v>43179</v>
      </c>
      <c r="F446" s="198"/>
      <c r="G446" s="199">
        <f>IFERROR(__xludf.DUMMYFUNCTION("""COMPUTED_VALUE"""),90.83333333333334)</f>
        <v>90.83333333</v>
      </c>
      <c r="H446" s="197">
        <f>IFERROR(__xludf.DUMMYFUNCTION("""COMPUTED_VALUE"""),43179.0)</f>
        <v>43179</v>
      </c>
      <c r="I446" s="199">
        <f>IFERROR(__xludf.DUMMYFUNCTION("""COMPUTED_VALUE"""),0.0)</f>
        <v>0</v>
      </c>
      <c r="J446" s="200">
        <f>IFERROR(__xludf.DUMMYFUNCTION("""COMPUTED_VALUE"""),69.0)</f>
        <v>69</v>
      </c>
      <c r="K446" s="200">
        <f>IFERROR(__xludf.DUMMYFUNCTION("""COMPUTED_VALUE"""),33.5)</f>
        <v>33.5</v>
      </c>
      <c r="L446" s="201" t="str">
        <f>IFERROR(__xludf.DUMMYFUNCTION("""COMPUTED_VALUE"""),"Action-Adventure")</f>
        <v>Action-Adventure</v>
      </c>
    </row>
    <row r="447">
      <c r="A447" s="190" t="str">
        <f>IFERROR(__xludf.DUMMYFUNCTION("""COMPUTED_VALUE"""),"The Grinch: Christmas Adventures")</f>
        <v>The Grinch: Christmas Adventures</v>
      </c>
      <c r="B447" s="195" t="str">
        <f>IFERROR(__xludf.DUMMYFUNCTION("""COMPUTED_VALUE"""),"Xbox / PC")</f>
        <v>Xbox / PC</v>
      </c>
      <c r="C447" s="196" t="str">
        <f>IFERROR(__xludf.DUMMYFUNCTION("""COMPUTED_VALUE"""),"Yes")</f>
        <v>Yes</v>
      </c>
      <c r="D447" s="196" t="str">
        <f>IFERROR(__xludf.DUMMYFUNCTION("""COMPUTED_VALUE"""),"Active")</f>
        <v>Active</v>
      </c>
      <c r="E447" s="197">
        <f>IFERROR(__xludf.DUMMYFUNCTION("""COMPUTED_VALUE"""),45945.0)</f>
        <v>45945</v>
      </c>
      <c r="F447" s="198"/>
      <c r="G447" s="199">
        <f>IFERROR(__xludf.DUMMYFUNCTION("""COMPUTED_VALUE"""),0.0)</f>
        <v>0</v>
      </c>
      <c r="H447" s="197">
        <f>IFERROR(__xludf.DUMMYFUNCTION("""COMPUTED_VALUE"""),45212.0)</f>
        <v>45212</v>
      </c>
      <c r="I447" s="199">
        <f>IFERROR(__xludf.DUMMYFUNCTION("""COMPUTED_VALUE"""),2.0055555555555555)</f>
        <v>2.005555556</v>
      </c>
      <c r="J447" s="200">
        <f>IFERROR(__xludf.DUMMYFUNCTION("""COMPUTED_VALUE"""),68.33333333333333)</f>
        <v>68.33333333</v>
      </c>
      <c r="K447" s="200">
        <f>IFERROR(__xludf.DUMMYFUNCTION("""COMPUTED_VALUE"""),3.0)</f>
        <v>3</v>
      </c>
      <c r="L447" s="201" t="str">
        <f>IFERROR(__xludf.DUMMYFUNCTION("""COMPUTED_VALUE"""),"Platformer")</f>
        <v>Platformer</v>
      </c>
    </row>
    <row r="448">
      <c r="A448" s="190" t="str">
        <f>IFERROR(__xludf.DUMMYFUNCTION("""COMPUTED_VALUE"""),"The Gunk")</f>
        <v>The Gunk</v>
      </c>
      <c r="B448" s="195" t="str">
        <f>IFERROR(__xludf.DUMMYFUNCTION("""COMPUTED_VALUE"""),"Xbox / PC")</f>
        <v>Xbox / PC</v>
      </c>
      <c r="C448" s="196" t="str">
        <f>IFERROR(__xludf.DUMMYFUNCTION("""COMPUTED_VALUE"""),"Touch Controls")</f>
        <v>Touch Controls</v>
      </c>
      <c r="D448" s="196" t="str">
        <f>IFERROR(__xludf.DUMMYFUNCTION("""COMPUTED_VALUE"""),"Active")</f>
        <v>Active</v>
      </c>
      <c r="E448" s="197">
        <f>IFERROR(__xludf.DUMMYFUNCTION("""COMPUTED_VALUE"""),44546.0)</f>
        <v>44546</v>
      </c>
      <c r="F448" s="198"/>
      <c r="G448" s="199">
        <f>IFERROR(__xludf.DUMMYFUNCTION("""COMPUTED_VALUE"""),45.96666666666667)</f>
        <v>45.96666667</v>
      </c>
      <c r="H448" s="197">
        <f>IFERROR(__xludf.DUMMYFUNCTION("""COMPUTED_VALUE"""),44546.0)</f>
        <v>44546</v>
      </c>
      <c r="I448" s="199">
        <f>IFERROR(__xludf.DUMMYFUNCTION("""COMPUTED_VALUE"""),0.0)</f>
        <v>0</v>
      </c>
      <c r="J448" s="200">
        <f>IFERROR(__xludf.DUMMYFUNCTION("""COMPUTED_VALUE"""),68.33333333333333)</f>
        <v>68.33333333</v>
      </c>
      <c r="K448" s="200">
        <f>IFERROR(__xludf.DUMMYFUNCTION("""COMPUTED_VALUE"""),4.5)</f>
        <v>4.5</v>
      </c>
      <c r="L448" s="201" t="str">
        <f>IFERROR(__xludf.DUMMYFUNCTION("""COMPUTED_VALUE"""),"Puzzle / Action-Adventure")</f>
        <v>Puzzle / Action-Adventure</v>
      </c>
    </row>
    <row r="449">
      <c r="A449" s="190" t="str">
        <f>IFERROR(__xludf.DUMMYFUNCTION("""COMPUTED_VALUE"""),"The Casting of Frank Stone")</f>
        <v>The Casting of Frank Stone</v>
      </c>
      <c r="B449" s="195" t="str">
        <f>IFERROR(__xludf.DUMMYFUNCTION("""COMPUTED_VALUE"""),"Xbox / PC")</f>
        <v>Xbox / PC</v>
      </c>
      <c r="C449" s="196" t="str">
        <f>IFERROR(__xludf.DUMMYFUNCTION("""COMPUTED_VALUE"""),"Yes")</f>
        <v>Yes</v>
      </c>
      <c r="D449" s="196" t="str">
        <f>IFERROR(__xludf.DUMMYFUNCTION("""COMPUTED_VALUE"""),"Active")</f>
        <v>Active</v>
      </c>
      <c r="E449" s="197">
        <f>IFERROR(__xludf.DUMMYFUNCTION("""COMPUTED_VALUE"""),45944.0)</f>
        <v>45944</v>
      </c>
      <c r="F449" s="198"/>
      <c r="G449" s="199">
        <f>IFERROR(__xludf.DUMMYFUNCTION("""COMPUTED_VALUE"""),0.03333333333333333)</f>
        <v>0.03333333333</v>
      </c>
      <c r="H449" s="197">
        <f>IFERROR(__xludf.DUMMYFUNCTION("""COMPUTED_VALUE"""),45538.0)</f>
        <v>45538</v>
      </c>
      <c r="I449" s="199">
        <f>IFERROR(__xludf.DUMMYFUNCTION("""COMPUTED_VALUE"""),1.113888888888889)</f>
        <v>1.113888889</v>
      </c>
      <c r="J449" s="200">
        <f>IFERROR(__xludf.DUMMYFUNCTION("""COMPUTED_VALUE"""),68.0)</f>
        <v>68</v>
      </c>
      <c r="K449" s="200">
        <f>IFERROR(__xludf.DUMMYFUNCTION("""COMPUTED_VALUE"""),6.0)</f>
        <v>6</v>
      </c>
      <c r="L449" s="201" t="str">
        <f>IFERROR(__xludf.DUMMYFUNCTION("""COMPUTED_VALUE"""),"Action-Adventure")</f>
        <v>Action-Adventure</v>
      </c>
    </row>
    <row r="450">
      <c r="A450" s="190" t="str">
        <f>IFERROR(__xludf.DUMMYFUNCTION("""COMPUTED_VALUE"""),"Eternal Strands")</f>
        <v>Eternal Strands</v>
      </c>
      <c r="B450" s="195" t="str">
        <f>IFERROR(__xludf.DUMMYFUNCTION("""COMPUTED_VALUE"""),"Xbox / PC")</f>
        <v>Xbox / PC</v>
      </c>
      <c r="C450" s="196" t="str">
        <f>IFERROR(__xludf.DUMMYFUNCTION("""COMPUTED_VALUE"""),"Yes")</f>
        <v>Yes</v>
      </c>
      <c r="D450" s="196" t="str">
        <f>IFERROR(__xludf.DUMMYFUNCTION("""COMPUTED_VALUE"""),"Active")</f>
        <v>Active</v>
      </c>
      <c r="E450" s="197">
        <f>IFERROR(__xludf.DUMMYFUNCTION("""COMPUTED_VALUE"""),45685.0)</f>
        <v>45685</v>
      </c>
      <c r="F450" s="198"/>
      <c r="G450" s="199">
        <f>IFERROR(__xludf.DUMMYFUNCTION("""COMPUTED_VALUE"""),8.566666666666666)</f>
        <v>8.566666667</v>
      </c>
      <c r="H450" s="197">
        <f>IFERROR(__xludf.DUMMYFUNCTION("""COMPUTED_VALUE"""),45685.0)</f>
        <v>45685</v>
      </c>
      <c r="I450" s="199">
        <f>IFERROR(__xludf.DUMMYFUNCTION("""COMPUTED_VALUE"""),0.0)</f>
        <v>0</v>
      </c>
      <c r="J450" s="200">
        <f>IFERROR(__xludf.DUMMYFUNCTION("""COMPUTED_VALUE"""),68.0)</f>
        <v>68</v>
      </c>
      <c r="K450" s="200">
        <f>IFERROR(__xludf.DUMMYFUNCTION("""COMPUTED_VALUE"""),18.0)</f>
        <v>18</v>
      </c>
      <c r="L450" s="201" t="str">
        <f>IFERROR(__xludf.DUMMYFUNCTION("""COMPUTED_VALUE"""),"Action-Adventure")</f>
        <v>Action-Adventure</v>
      </c>
    </row>
    <row r="451">
      <c r="A451" s="190" t="str">
        <f>IFERROR(__xludf.DUMMYFUNCTION("""COMPUTED_VALUE"""),"Go Mecha Ball")</f>
        <v>Go Mecha Ball</v>
      </c>
      <c r="B451" s="195" t="str">
        <f>IFERROR(__xludf.DUMMYFUNCTION("""COMPUTED_VALUE"""),"Xbox / PC")</f>
        <v>Xbox / PC</v>
      </c>
      <c r="C451" s="196" t="str">
        <f>IFERROR(__xludf.DUMMYFUNCTION("""COMPUTED_VALUE"""),"Yes")</f>
        <v>Yes</v>
      </c>
      <c r="D451" s="196" t="str">
        <f>IFERROR(__xludf.DUMMYFUNCTION("""COMPUTED_VALUE"""),"Active")</f>
        <v>Active</v>
      </c>
      <c r="E451" s="197">
        <f>IFERROR(__xludf.DUMMYFUNCTION("""COMPUTED_VALUE"""),45316.0)</f>
        <v>45316</v>
      </c>
      <c r="F451" s="198"/>
      <c r="G451" s="199">
        <f>IFERROR(__xludf.DUMMYFUNCTION("""COMPUTED_VALUE"""),20.666666666666668)</f>
        <v>20.66666667</v>
      </c>
      <c r="H451" s="197">
        <f>IFERROR(__xludf.DUMMYFUNCTION("""COMPUTED_VALUE"""),45316.0)</f>
        <v>45316</v>
      </c>
      <c r="I451" s="199">
        <f>IFERROR(__xludf.DUMMYFUNCTION("""COMPUTED_VALUE"""),0.0)</f>
        <v>0</v>
      </c>
      <c r="J451" s="200">
        <f>IFERROR(__xludf.DUMMYFUNCTION("""COMPUTED_VALUE"""),68.0)</f>
        <v>68</v>
      </c>
      <c r="K451" s="200">
        <f>IFERROR(__xludf.DUMMYFUNCTION("""COMPUTED_VALUE"""),3.0)</f>
        <v>3</v>
      </c>
      <c r="L451" s="201" t="str">
        <f>IFERROR(__xludf.DUMMYFUNCTION("""COMPUTED_VALUE"""),"Action")</f>
        <v>Action</v>
      </c>
    </row>
    <row r="452">
      <c r="A452" s="202" t="str">
        <f>IFERROR(__xludf.DUMMYFUNCTION("""COMPUTED_VALUE"""),"Goat Simulator 3")</f>
        <v>Goat Simulator 3</v>
      </c>
      <c r="B452" s="195" t="str">
        <f>IFERROR(__xludf.DUMMYFUNCTION("""COMPUTED_VALUE"""),"Xbox / PC")</f>
        <v>Xbox / PC</v>
      </c>
      <c r="C452" s="196" t="str">
        <f>IFERROR(__xludf.DUMMYFUNCTION("""COMPUTED_VALUE"""),"Yes")</f>
        <v>Yes</v>
      </c>
      <c r="D452" s="196" t="str">
        <f>IFERROR(__xludf.DUMMYFUNCTION("""COMPUTED_VALUE"""),"Active")</f>
        <v>Active</v>
      </c>
      <c r="E452" s="197">
        <f>IFERROR(__xludf.DUMMYFUNCTION("""COMPUTED_VALUE"""),45267.0)</f>
        <v>45267</v>
      </c>
      <c r="F452" s="198"/>
      <c r="G452" s="199">
        <f>IFERROR(__xludf.DUMMYFUNCTION("""COMPUTED_VALUE"""),22.266666666666666)</f>
        <v>22.26666667</v>
      </c>
      <c r="H452" s="197">
        <f>IFERROR(__xludf.DUMMYFUNCTION("""COMPUTED_VALUE"""),44882.0)</f>
        <v>44882</v>
      </c>
      <c r="I452" s="199">
        <f>IFERROR(__xludf.DUMMYFUNCTION("""COMPUTED_VALUE"""),1.0555555555555556)</f>
        <v>1.055555556</v>
      </c>
      <c r="J452" s="200">
        <f>IFERROR(__xludf.DUMMYFUNCTION("""COMPUTED_VALUE"""),68.0)</f>
        <v>68</v>
      </c>
      <c r="K452" s="200">
        <f>IFERROR(__xludf.DUMMYFUNCTION("""COMPUTED_VALUE"""),8.0)</f>
        <v>8</v>
      </c>
      <c r="L452" s="201" t="str">
        <f>IFERROR(__xludf.DUMMYFUNCTION("""COMPUTED_VALUE"""),"Simulation")</f>
        <v>Simulation</v>
      </c>
    </row>
    <row r="453">
      <c r="A453" s="190" t="str">
        <f>IFERROR(__xludf.DUMMYFUNCTION("""COMPUTED_VALUE"""),"House Flipper")</f>
        <v>House Flipper</v>
      </c>
      <c r="B453" s="195" t="str">
        <f>IFERROR(__xludf.DUMMYFUNCTION("""COMPUTED_VALUE"""),"Xbox / PC")</f>
        <v>Xbox / PC</v>
      </c>
      <c r="C453" s="196" t="str">
        <f>IFERROR(__xludf.DUMMYFUNCTION("""COMPUTED_VALUE"""),"M+KB")</f>
        <v>M+KB</v>
      </c>
      <c r="D453" s="196" t="str">
        <f>IFERROR(__xludf.DUMMYFUNCTION("""COMPUTED_VALUE"""),"Active")</f>
        <v>Active</v>
      </c>
      <c r="E453" s="197">
        <f>IFERROR(__xludf.DUMMYFUNCTION("""COMPUTED_VALUE"""),44742.0)</f>
        <v>44742</v>
      </c>
      <c r="F453" s="198"/>
      <c r="G453" s="199">
        <f>IFERROR(__xludf.DUMMYFUNCTION("""COMPUTED_VALUE"""),39.5)</f>
        <v>39.5</v>
      </c>
      <c r="H453" s="197">
        <f>IFERROR(__xludf.DUMMYFUNCTION("""COMPUTED_VALUE"""),43237.0)</f>
        <v>43237</v>
      </c>
      <c r="I453" s="199">
        <f>IFERROR(__xludf.DUMMYFUNCTION("""COMPUTED_VALUE"""),4.1194444444444445)</f>
        <v>4.119444444</v>
      </c>
      <c r="J453" s="200">
        <f>IFERROR(__xludf.DUMMYFUNCTION("""COMPUTED_VALUE"""),68.0)</f>
        <v>68</v>
      </c>
      <c r="K453" s="200">
        <f>IFERROR(__xludf.DUMMYFUNCTION("""COMPUTED_VALUE"""),12.0)</f>
        <v>12</v>
      </c>
      <c r="L453" s="201" t="str">
        <f>IFERROR(__xludf.DUMMYFUNCTION("""COMPUTED_VALUE"""),"Simulation")</f>
        <v>Simulation</v>
      </c>
    </row>
    <row r="454">
      <c r="A454" s="190" t="str">
        <f>IFERROR(__xludf.DUMMYFUNCTION("""COMPUTED_VALUE"""),"Fallout 76")</f>
        <v>Fallout 76</v>
      </c>
      <c r="B454" s="195" t="str">
        <f>IFERROR(__xludf.DUMMYFUNCTION("""COMPUTED_VALUE"""),"Xbox / PC")</f>
        <v>Xbox / PC</v>
      </c>
      <c r="C454" s="196" t="str">
        <f>IFERROR(__xludf.DUMMYFUNCTION("""COMPUTED_VALUE"""),"Yes")</f>
        <v>Yes</v>
      </c>
      <c r="D454" s="196" t="str">
        <f>IFERROR(__xludf.DUMMYFUNCTION("""COMPUTED_VALUE"""),"Active")</f>
        <v>Active</v>
      </c>
      <c r="E454" s="197">
        <f>IFERROR(__xludf.DUMMYFUNCTION("""COMPUTED_VALUE"""),44021.0)</f>
        <v>44021</v>
      </c>
      <c r="F454" s="198"/>
      <c r="G454" s="199">
        <f>IFERROR(__xludf.DUMMYFUNCTION("""COMPUTED_VALUE"""),63.2)</f>
        <v>63.2</v>
      </c>
      <c r="H454" s="197">
        <f>IFERROR(__xludf.DUMMYFUNCTION("""COMPUTED_VALUE"""),43418.0)</f>
        <v>43418</v>
      </c>
      <c r="I454" s="199">
        <f>IFERROR(__xludf.DUMMYFUNCTION("""COMPUTED_VALUE"""),1.6527777777777777)</f>
        <v>1.652777778</v>
      </c>
      <c r="J454" s="200">
        <f>IFERROR(__xludf.DUMMYFUNCTION("""COMPUTED_VALUE"""),68.0)</f>
        <v>68</v>
      </c>
      <c r="K454" s="200">
        <f>IFERROR(__xludf.DUMMYFUNCTION("""COMPUTED_VALUE"""),29.5)</f>
        <v>29.5</v>
      </c>
      <c r="L454" s="201" t="str">
        <f>IFERROR(__xludf.DUMMYFUNCTION("""COMPUTED_VALUE"""),"Sci-Fi / Alternate Historical / Post-Apocalyptic")</f>
        <v>Sci-Fi / Alternate Historical / Post-Apocalyptic</v>
      </c>
    </row>
    <row r="455">
      <c r="A455" s="190" t="str">
        <f>IFERROR(__xludf.DUMMYFUNCTION("""COMPUTED_VALUE"""),"Golf With Your Friends")</f>
        <v>Golf With Your Friends</v>
      </c>
      <c r="B455" s="195" t="str">
        <f>IFERROR(__xludf.DUMMYFUNCTION("""COMPUTED_VALUE"""),"Xbox / PC")</f>
        <v>Xbox / PC</v>
      </c>
      <c r="C455" s="196" t="str">
        <f>IFERROR(__xludf.DUMMYFUNCTION("""COMPUTED_VALUE"""),"Touch Controls")</f>
        <v>Touch Controls</v>
      </c>
      <c r="D455" s="196" t="str">
        <f>IFERROR(__xludf.DUMMYFUNCTION("""COMPUTED_VALUE"""),"Active")</f>
        <v>Active</v>
      </c>
      <c r="E455" s="197">
        <f>IFERROR(__xludf.DUMMYFUNCTION("""COMPUTED_VALUE"""),43970.0)</f>
        <v>43970</v>
      </c>
      <c r="F455" s="198"/>
      <c r="G455" s="199">
        <f>IFERROR(__xludf.DUMMYFUNCTION("""COMPUTED_VALUE"""),64.86666666666667)</f>
        <v>64.86666667</v>
      </c>
      <c r="H455" s="197">
        <f>IFERROR(__xludf.DUMMYFUNCTION("""COMPUTED_VALUE"""),43970.0)</f>
        <v>43970</v>
      </c>
      <c r="I455" s="199">
        <f>IFERROR(__xludf.DUMMYFUNCTION("""COMPUTED_VALUE"""),0.0)</f>
        <v>0</v>
      </c>
      <c r="J455" s="200">
        <f>IFERROR(__xludf.DUMMYFUNCTION("""COMPUTED_VALUE"""),68.0)</f>
        <v>68</v>
      </c>
      <c r="K455" s="200">
        <f>IFERROR(__xludf.DUMMYFUNCTION("""COMPUTED_VALUE"""),23.5)</f>
        <v>23.5</v>
      </c>
      <c r="L455" s="201" t="str">
        <f>IFERROR(__xludf.DUMMYFUNCTION("""COMPUTED_VALUE"""),"Sports / Golf")</f>
        <v>Sports / Golf</v>
      </c>
    </row>
    <row r="456">
      <c r="A456" s="190" t="str">
        <f>IFERROR(__xludf.DUMMYFUNCTION("""COMPUTED_VALUE"""),"Wolfenstein: Youngblood")</f>
        <v>Wolfenstein: Youngblood</v>
      </c>
      <c r="B456" s="195" t="str">
        <f>IFERROR(__xludf.DUMMYFUNCTION("""COMPUTED_VALUE"""),"Xbox / PC")</f>
        <v>Xbox / PC</v>
      </c>
      <c r="C456" s="196" t="str">
        <f>IFERROR(__xludf.DUMMYFUNCTION("""COMPUTED_VALUE"""),"Yes")</f>
        <v>Yes</v>
      </c>
      <c r="D456" s="196" t="str">
        <f>IFERROR(__xludf.DUMMYFUNCTION("""COMPUTED_VALUE"""),"Active")</f>
        <v>Active</v>
      </c>
      <c r="E456" s="197">
        <f>IFERROR(__xludf.DUMMYFUNCTION("""COMPUTED_VALUE"""),43867.0)</f>
        <v>43867</v>
      </c>
      <c r="F456" s="198"/>
      <c r="G456" s="199">
        <f>IFERROR(__xludf.DUMMYFUNCTION("""COMPUTED_VALUE"""),68.3)</f>
        <v>68.3</v>
      </c>
      <c r="H456" s="197">
        <f>IFERROR(__xludf.DUMMYFUNCTION("""COMPUTED_VALUE"""),43671.0)</f>
        <v>43671</v>
      </c>
      <c r="I456" s="199">
        <f>IFERROR(__xludf.DUMMYFUNCTION("""COMPUTED_VALUE"""),0.5305555555555556)</f>
        <v>0.5305555556</v>
      </c>
      <c r="J456" s="200">
        <f>IFERROR(__xludf.DUMMYFUNCTION("""COMPUTED_VALUE"""),68.0)</f>
        <v>68</v>
      </c>
      <c r="K456" s="200">
        <f>IFERROR(__xludf.DUMMYFUNCTION("""COMPUTED_VALUE"""),9.0)</f>
        <v>9</v>
      </c>
      <c r="L456" s="201" t="str">
        <f>IFERROR(__xludf.DUMMYFUNCTION("""COMPUTED_VALUE"""),"First-Person Shooter")</f>
        <v>First-Person Shooter</v>
      </c>
    </row>
    <row r="457">
      <c r="A457" s="190" t="str">
        <f>IFERROR(__xludf.DUMMYFUNCTION("""COMPUTED_VALUE"""),"Rush: A Disney Pixar Adventure")</f>
        <v>Rush: A Disney Pixar Adventure</v>
      </c>
      <c r="B457" s="195" t="str">
        <f>IFERROR(__xludf.DUMMYFUNCTION("""COMPUTED_VALUE"""),"Xbox / PC")</f>
        <v>Xbox / PC</v>
      </c>
      <c r="C457" s="196" t="str">
        <f>IFERROR(__xludf.DUMMYFUNCTION("""COMPUTED_VALUE"""),"Yes")</f>
        <v>Yes</v>
      </c>
      <c r="D457" s="196" t="str">
        <f>IFERROR(__xludf.DUMMYFUNCTION("""COMPUTED_VALUE"""),"Active")</f>
        <v>Active</v>
      </c>
      <c r="E457" s="197">
        <f>IFERROR(__xludf.DUMMYFUNCTION("""COMPUTED_VALUE"""),43313.0)</f>
        <v>43313</v>
      </c>
      <c r="F457" s="198"/>
      <c r="G457" s="199">
        <f>IFERROR(__xludf.DUMMYFUNCTION("""COMPUTED_VALUE"""),86.46666666666667)</f>
        <v>86.46666667</v>
      </c>
      <c r="H457" s="197">
        <f>IFERROR(__xludf.DUMMYFUNCTION("""COMPUTED_VALUE"""),40988.0)</f>
        <v>40988</v>
      </c>
      <c r="I457" s="199">
        <f>IFERROR(__xludf.DUMMYFUNCTION("""COMPUTED_VALUE"""),6.363888888888889)</f>
        <v>6.363888889</v>
      </c>
      <c r="J457" s="200">
        <f>IFERROR(__xludf.DUMMYFUNCTION("""COMPUTED_VALUE"""),68.0)</f>
        <v>68</v>
      </c>
      <c r="K457" s="200">
        <f>IFERROR(__xludf.DUMMYFUNCTION("""COMPUTED_VALUE"""),3.0)</f>
        <v>3</v>
      </c>
      <c r="L457" s="201" t="str">
        <f>IFERROR(__xludf.DUMMYFUNCTION("""COMPUTED_VALUE"""),"Minigame Collection / Platformer")</f>
        <v>Minigame Collection / Platformer</v>
      </c>
    </row>
    <row r="458">
      <c r="A458" s="190" t="str">
        <f>IFERROR(__xludf.DUMMYFUNCTION("""COMPUTED_VALUE"""),"Zoo Tycoon: Ultimate Animal Collection")</f>
        <v>Zoo Tycoon: Ultimate Animal Collection</v>
      </c>
      <c r="B458" s="195" t="str">
        <f>IFERROR(__xludf.DUMMYFUNCTION("""COMPUTED_VALUE"""),"Xbox / PC")</f>
        <v>Xbox / PC</v>
      </c>
      <c r="C458" s="196"/>
      <c r="D458" s="196" t="str">
        <f>IFERROR(__xludf.DUMMYFUNCTION("""COMPUTED_VALUE"""),"Active")</f>
        <v>Active</v>
      </c>
      <c r="E458" s="197">
        <f>IFERROR(__xludf.DUMMYFUNCTION("""COMPUTED_VALUE"""),43101.0)</f>
        <v>43101</v>
      </c>
      <c r="F458" s="198"/>
      <c r="G458" s="199">
        <f>IFERROR(__xludf.DUMMYFUNCTION("""COMPUTED_VALUE"""),93.46666666666667)</f>
        <v>93.46666667</v>
      </c>
      <c r="H458" s="197">
        <f>IFERROR(__xludf.DUMMYFUNCTION("""COMPUTED_VALUE"""),43039.0)</f>
        <v>43039</v>
      </c>
      <c r="I458" s="199">
        <f>IFERROR(__xludf.DUMMYFUNCTION("""COMPUTED_VALUE"""),0.16944444444444445)</f>
        <v>0.1694444444</v>
      </c>
      <c r="J458" s="200">
        <f>IFERROR(__xludf.DUMMYFUNCTION("""COMPUTED_VALUE"""),68.0)</f>
        <v>68</v>
      </c>
      <c r="K458" s="200">
        <f>IFERROR(__xludf.DUMMYFUNCTION("""COMPUTED_VALUE"""),14.0)</f>
        <v>14</v>
      </c>
      <c r="L458" s="201" t="str">
        <f>IFERROR(__xludf.DUMMYFUNCTION("""COMPUTED_VALUE"""),"Simulation")</f>
        <v>Simulation</v>
      </c>
    </row>
    <row r="459">
      <c r="A459" s="190" t="str">
        <f>IFERROR(__xludf.DUMMYFUNCTION("""COMPUTED_VALUE"""),"High on Life")</f>
        <v>High on Life</v>
      </c>
      <c r="B459" s="195" t="str">
        <f>IFERROR(__xludf.DUMMYFUNCTION("""COMPUTED_VALUE"""),"Xbox / PC")</f>
        <v>Xbox / PC</v>
      </c>
      <c r="C459" s="196" t="str">
        <f>IFERROR(__xludf.DUMMYFUNCTION("""COMPUTED_VALUE"""),"M+KB")</f>
        <v>M+KB</v>
      </c>
      <c r="D459" s="196" t="str">
        <f>IFERROR(__xludf.DUMMYFUNCTION("""COMPUTED_VALUE"""),"Active")</f>
        <v>Active</v>
      </c>
      <c r="E459" s="197">
        <f>IFERROR(__xludf.DUMMYFUNCTION("""COMPUTED_VALUE"""),45853.0)</f>
        <v>45853</v>
      </c>
      <c r="F459" s="198"/>
      <c r="G459" s="199">
        <f>IFERROR(__xludf.DUMMYFUNCTION("""COMPUTED_VALUE"""),3.0)</f>
        <v>3</v>
      </c>
      <c r="H459" s="197">
        <f>IFERROR(__xludf.DUMMYFUNCTION("""COMPUTED_VALUE"""),44908.0)</f>
        <v>44908</v>
      </c>
      <c r="I459" s="199">
        <f>IFERROR(__xludf.DUMMYFUNCTION("""COMPUTED_VALUE"""),2.588888888888889)</f>
        <v>2.588888889</v>
      </c>
      <c r="J459" s="200">
        <f>IFERROR(__xludf.DUMMYFUNCTION("""COMPUTED_VALUE"""),67.0)</f>
        <v>67</v>
      </c>
      <c r="K459" s="200">
        <f>IFERROR(__xludf.DUMMYFUNCTION("""COMPUTED_VALUE"""),9.0)</f>
        <v>9</v>
      </c>
      <c r="L459" s="201" t="str">
        <f>IFERROR(__xludf.DUMMYFUNCTION("""COMPUTED_VALUE"""),"First-Person Shooter")</f>
        <v>First-Person Shooter</v>
      </c>
    </row>
    <row r="460">
      <c r="A460" s="190" t="str">
        <f>IFERROR(__xludf.DUMMYFUNCTION("""COMPUTED_VALUE"""),"SpongeBob SquarePants: The Patrick Star Game")</f>
        <v>SpongeBob SquarePants: The Patrick Star Game</v>
      </c>
      <c r="B460" s="195" t="str">
        <f>IFERROR(__xludf.DUMMYFUNCTION("""COMPUTED_VALUE"""),"Xbox / PC")</f>
        <v>Xbox / PC</v>
      </c>
      <c r="C460" s="196" t="str">
        <f>IFERROR(__xludf.DUMMYFUNCTION("""COMPUTED_VALUE"""),"Yes")</f>
        <v>Yes</v>
      </c>
      <c r="D460" s="196" t="str">
        <f>IFERROR(__xludf.DUMMYFUNCTION("""COMPUTED_VALUE"""),"Active")</f>
        <v>Active</v>
      </c>
      <c r="E460" s="197">
        <f>IFERROR(__xludf.DUMMYFUNCTION("""COMPUTED_VALUE"""),45763.0)</f>
        <v>45763</v>
      </c>
      <c r="F460" s="198"/>
      <c r="G460" s="199">
        <f>IFERROR(__xludf.DUMMYFUNCTION("""COMPUTED_VALUE"""),5.966666666666667)</f>
        <v>5.966666667</v>
      </c>
      <c r="H460" s="197">
        <f>IFERROR(__xludf.DUMMYFUNCTION("""COMPUTED_VALUE"""),45569.0)</f>
        <v>45569</v>
      </c>
      <c r="I460" s="199">
        <f>IFERROR(__xludf.DUMMYFUNCTION("""COMPUTED_VALUE"""),0.5333333333333333)</f>
        <v>0.5333333333</v>
      </c>
      <c r="J460" s="200">
        <f>IFERROR(__xludf.DUMMYFUNCTION("""COMPUTED_VALUE"""),67.0)</f>
        <v>67</v>
      </c>
      <c r="K460" s="200">
        <f>IFERROR(__xludf.DUMMYFUNCTION("""COMPUTED_VALUE"""),4.0)</f>
        <v>4</v>
      </c>
      <c r="L460" s="201" t="str">
        <f>IFERROR(__xludf.DUMMYFUNCTION("""COMPUTED_VALUE"""),"Platformer")</f>
        <v>Platformer</v>
      </c>
    </row>
    <row r="461">
      <c r="A461" s="190" t="str">
        <f>IFERROR(__xludf.DUMMYFUNCTION("""COMPUTED_VALUE"""),"Gang Beasts")</f>
        <v>Gang Beasts</v>
      </c>
      <c r="B461" s="195" t="str">
        <f>IFERROR(__xludf.DUMMYFUNCTION("""COMPUTED_VALUE"""),"Xbox / PC")</f>
        <v>Xbox / PC</v>
      </c>
      <c r="C461" s="196" t="str">
        <f>IFERROR(__xludf.DUMMYFUNCTION("""COMPUTED_VALUE"""),"Yes")</f>
        <v>Yes</v>
      </c>
      <c r="D461" s="196" t="str">
        <f>IFERROR(__xludf.DUMMYFUNCTION("""COMPUTED_VALUE"""),"Active")</f>
        <v>Active</v>
      </c>
      <c r="E461" s="197">
        <f>IFERROR(__xludf.DUMMYFUNCTION("""COMPUTED_VALUE"""),44378.0)</f>
        <v>44378</v>
      </c>
      <c r="F461" s="198"/>
      <c r="G461" s="199">
        <f>IFERROR(__xludf.DUMMYFUNCTION("""COMPUTED_VALUE"""),51.46666666666667)</f>
        <v>51.46666667</v>
      </c>
      <c r="H461" s="197">
        <f>IFERROR(__xludf.DUMMYFUNCTION("""COMPUTED_VALUE"""),41880.0)</f>
        <v>41880</v>
      </c>
      <c r="I461" s="199">
        <f>IFERROR(__xludf.DUMMYFUNCTION("""COMPUTED_VALUE"""),6.838888888888889)</f>
        <v>6.838888889</v>
      </c>
      <c r="J461" s="200">
        <f>IFERROR(__xludf.DUMMYFUNCTION("""COMPUTED_VALUE"""),67.0)</f>
        <v>67</v>
      </c>
      <c r="K461" s="200">
        <f>IFERROR(__xludf.DUMMYFUNCTION("""COMPUTED_VALUE"""),3.5)</f>
        <v>3.5</v>
      </c>
      <c r="L461" s="201" t="str">
        <f>IFERROR(__xludf.DUMMYFUNCTION("""COMPUTED_VALUE"""),"Brawler")</f>
        <v>Brawler</v>
      </c>
    </row>
    <row r="462">
      <c r="A462" s="190" t="str">
        <f>IFERROR(__xludf.DUMMYFUNCTION("""COMPUTED_VALUE"""),"Disneyland Adventures")</f>
        <v>Disneyland Adventures</v>
      </c>
      <c r="B462" s="195" t="str">
        <f>IFERROR(__xludf.DUMMYFUNCTION("""COMPUTED_VALUE"""),"Xbox / PC")</f>
        <v>Xbox / PC</v>
      </c>
      <c r="C462" s="196" t="str">
        <f>IFERROR(__xludf.DUMMYFUNCTION("""COMPUTED_VALUE"""),"Yes")</f>
        <v>Yes</v>
      </c>
      <c r="D462" s="196" t="str">
        <f>IFERROR(__xludf.DUMMYFUNCTION("""COMPUTED_VALUE"""),"Active")</f>
        <v>Active</v>
      </c>
      <c r="E462" s="197">
        <f>IFERROR(__xludf.DUMMYFUNCTION("""COMPUTED_VALUE"""),43252.0)</f>
        <v>43252</v>
      </c>
      <c r="F462" s="198"/>
      <c r="G462" s="199">
        <f>IFERROR(__xludf.DUMMYFUNCTION("""COMPUTED_VALUE"""),88.46666666666667)</f>
        <v>88.46666667</v>
      </c>
      <c r="H462" s="197">
        <f>IFERROR(__xludf.DUMMYFUNCTION("""COMPUTED_VALUE"""),40862.0)</f>
        <v>40862</v>
      </c>
      <c r="I462" s="199">
        <f>IFERROR(__xludf.DUMMYFUNCTION("""COMPUTED_VALUE"""),6.544444444444444)</f>
        <v>6.544444444</v>
      </c>
      <c r="J462" s="200">
        <f>IFERROR(__xludf.DUMMYFUNCTION("""COMPUTED_VALUE"""),67.0)</f>
        <v>67</v>
      </c>
      <c r="K462" s="200">
        <f>IFERROR(__xludf.DUMMYFUNCTION("""COMPUTED_VALUE"""),16.0)</f>
        <v>16</v>
      </c>
      <c r="L462" s="201" t="str">
        <f>IFERROR(__xludf.DUMMYFUNCTION("""COMPUTED_VALUE"""),"Adventure / Minigame Collection")</f>
        <v>Adventure / Minigame Collection</v>
      </c>
    </row>
    <row r="463">
      <c r="A463" s="190" t="str">
        <f>IFERROR(__xludf.DUMMYFUNCTION("""COMPUTED_VALUE"""),"Ark: Survival Ascended")</f>
        <v>Ark: Survival Ascended</v>
      </c>
      <c r="B463" s="195" t="str">
        <f>IFERROR(__xludf.DUMMYFUNCTION("""COMPUTED_VALUE"""),"Xbox / PC")</f>
        <v>Xbox / PC</v>
      </c>
      <c r="C463" s="196" t="str">
        <f>IFERROR(__xludf.DUMMYFUNCTION("""COMPUTED_VALUE"""),"M+KB")</f>
        <v>M+KB</v>
      </c>
      <c r="D463" s="196" t="str">
        <f>IFERROR(__xludf.DUMMYFUNCTION("""COMPUTED_VALUE"""),"Active")</f>
        <v>Active</v>
      </c>
      <c r="E463" s="197">
        <f>IFERROR(__xludf.DUMMYFUNCTION("""COMPUTED_VALUE"""),45383.0)</f>
        <v>45383</v>
      </c>
      <c r="F463" s="198"/>
      <c r="G463" s="199">
        <f>IFERROR(__xludf.DUMMYFUNCTION("""COMPUTED_VALUE"""),18.46666666666667)</f>
        <v>18.46666667</v>
      </c>
      <c r="H463" s="197">
        <f>IFERROR(__xludf.DUMMYFUNCTION("""COMPUTED_VALUE"""),45260.0)</f>
        <v>45260</v>
      </c>
      <c r="I463" s="199">
        <f>IFERROR(__xludf.DUMMYFUNCTION("""COMPUTED_VALUE"""),0.33611111111111114)</f>
        <v>0.3361111111</v>
      </c>
      <c r="J463" s="200">
        <f>IFERROR(__xludf.DUMMYFUNCTION("""COMPUTED_VALUE"""),66.66666666666667)</f>
        <v>66.66666667</v>
      </c>
      <c r="K463" s="200">
        <f>IFERROR(__xludf.DUMMYFUNCTION("""COMPUTED_VALUE"""),380.0)</f>
        <v>380</v>
      </c>
      <c r="L463" s="201" t="str">
        <f>IFERROR(__xludf.DUMMYFUNCTION("""COMPUTED_VALUE"""),"Sandbox")</f>
        <v>Sandbox</v>
      </c>
    </row>
    <row r="464">
      <c r="A464" s="190" t="str">
        <f>IFERROR(__xludf.DUMMYFUNCTION("""COMPUTED_VALUE"""),"The Last Case of Benedict Fox")</f>
        <v>The Last Case of Benedict Fox</v>
      </c>
      <c r="B464" s="195" t="str">
        <f>IFERROR(__xludf.DUMMYFUNCTION("""COMPUTED_VALUE"""),"Xbox / PC")</f>
        <v>Xbox / PC</v>
      </c>
      <c r="C464" s="196"/>
      <c r="D464" s="196" t="str">
        <f>IFERROR(__xludf.DUMMYFUNCTION("""COMPUTED_VALUE"""),"Active")</f>
        <v>Active</v>
      </c>
      <c r="E464" s="197">
        <f>IFERROR(__xludf.DUMMYFUNCTION("""COMPUTED_VALUE"""),45043.0)</f>
        <v>45043</v>
      </c>
      <c r="F464" s="198"/>
      <c r="G464" s="199">
        <f>IFERROR(__xludf.DUMMYFUNCTION("""COMPUTED_VALUE"""),29.6)</f>
        <v>29.6</v>
      </c>
      <c r="H464" s="197">
        <f>IFERROR(__xludf.DUMMYFUNCTION("""COMPUTED_VALUE"""),45043.0)</f>
        <v>45043</v>
      </c>
      <c r="I464" s="199">
        <f>IFERROR(__xludf.DUMMYFUNCTION("""COMPUTED_VALUE"""),0.0)</f>
        <v>0</v>
      </c>
      <c r="J464" s="200">
        <f>IFERROR(__xludf.DUMMYFUNCTION("""COMPUTED_VALUE"""),66.0)</f>
        <v>66</v>
      </c>
      <c r="K464" s="200">
        <f>IFERROR(__xludf.DUMMYFUNCTION("""COMPUTED_VALUE"""),11.0)</f>
        <v>11</v>
      </c>
      <c r="L464" s="201" t="str">
        <f>IFERROR(__xludf.DUMMYFUNCTION("""COMPUTED_VALUE"""),"Horror")</f>
        <v>Horror</v>
      </c>
    </row>
    <row r="465">
      <c r="A465" s="190" t="str">
        <f>IFERROR(__xludf.DUMMYFUNCTION("""COMPUTED_VALUE"""),"Battlefield 2042")</f>
        <v>Battlefield 2042</v>
      </c>
      <c r="B465" s="195" t="str">
        <f>IFERROR(__xludf.DUMMYFUNCTION("""COMPUTED_VALUE"""),"Xbox / PC")</f>
        <v>Xbox / PC</v>
      </c>
      <c r="C465" s="196" t="str">
        <f>IFERROR(__xludf.DUMMYFUNCTION("""COMPUTED_VALUE"""),"Yes")</f>
        <v>Yes</v>
      </c>
      <c r="D465" s="196" t="str">
        <f>IFERROR(__xludf.DUMMYFUNCTION("""COMPUTED_VALUE"""),"Active")</f>
        <v>Active</v>
      </c>
      <c r="E465" s="197">
        <f>IFERROR(__xludf.DUMMYFUNCTION("""COMPUTED_VALUE"""),44887.0)</f>
        <v>44887</v>
      </c>
      <c r="F465" s="198"/>
      <c r="G465" s="199">
        <f>IFERROR(__xludf.DUMMYFUNCTION("""COMPUTED_VALUE"""),34.766666666666666)</f>
        <v>34.76666667</v>
      </c>
      <c r="H465" s="197">
        <f>IFERROR(__xludf.DUMMYFUNCTION("""COMPUTED_VALUE"""),44512.0)</f>
        <v>44512</v>
      </c>
      <c r="I465" s="199">
        <f>IFERROR(__xludf.DUMMYFUNCTION("""COMPUTED_VALUE"""),1.0277777777777777)</f>
        <v>1.027777778</v>
      </c>
      <c r="J465" s="200">
        <f>IFERROR(__xludf.DUMMYFUNCTION("""COMPUTED_VALUE"""),66.0)</f>
        <v>66</v>
      </c>
      <c r="K465" s="200">
        <f>IFERROR(__xludf.DUMMYFUNCTION("""COMPUTED_VALUE"""),58.0)</f>
        <v>58</v>
      </c>
      <c r="L465" s="201" t="str">
        <f>IFERROR(__xludf.DUMMYFUNCTION("""COMPUTED_VALUE"""),"First-Person Shooter")</f>
        <v>First-Person Shooter</v>
      </c>
    </row>
    <row r="466">
      <c r="A466" s="190" t="str">
        <f>IFERROR(__xludf.DUMMYFUNCTION("""COMPUTED_VALUE"""),"Star Wars Battlefront II: Celebration Edition")</f>
        <v>Star Wars Battlefront II: Celebration Edition</v>
      </c>
      <c r="B466" s="195" t="str">
        <f>IFERROR(__xludf.DUMMYFUNCTION("""COMPUTED_VALUE"""),"Xbox / PC")</f>
        <v>Xbox / PC</v>
      </c>
      <c r="C466" s="196" t="str">
        <f>IFERROR(__xludf.DUMMYFUNCTION("""COMPUTED_VALUE"""),"Yes")</f>
        <v>Yes</v>
      </c>
      <c r="D466" s="196" t="str">
        <f>IFERROR(__xludf.DUMMYFUNCTION("""COMPUTED_VALUE"""),"Active")</f>
        <v>Active</v>
      </c>
      <c r="E466" s="197">
        <f>IFERROR(__xludf.DUMMYFUNCTION("""COMPUTED_VALUE"""),44145.0)</f>
        <v>44145</v>
      </c>
      <c r="F466" s="198"/>
      <c r="G466" s="199">
        <f>IFERROR(__xludf.DUMMYFUNCTION("""COMPUTED_VALUE"""),59.166666666666664)</f>
        <v>59.16666667</v>
      </c>
      <c r="H466" s="197">
        <f>IFERROR(__xludf.DUMMYFUNCTION("""COMPUTED_VALUE"""),43056.0)</f>
        <v>43056</v>
      </c>
      <c r="I466" s="199">
        <f>IFERROR(__xludf.DUMMYFUNCTION("""COMPUTED_VALUE"""),2.9805555555555556)</f>
        <v>2.980555556</v>
      </c>
      <c r="J466" s="200">
        <f>IFERROR(__xludf.DUMMYFUNCTION("""COMPUTED_VALUE"""),66.0)</f>
        <v>66</v>
      </c>
      <c r="K466" s="200">
        <f>IFERROR(__xludf.DUMMYFUNCTION("""COMPUTED_VALUE"""),6.0)</f>
        <v>6</v>
      </c>
      <c r="L466" s="201" t="str">
        <f>IFERROR(__xludf.DUMMYFUNCTION("""COMPUTED_VALUE"""),"Action / First-Person Shooter")</f>
        <v>Action / First-Person Shooter</v>
      </c>
    </row>
    <row r="467">
      <c r="A467" s="190" t="str">
        <f>IFERROR(__xludf.DUMMYFUNCTION("""COMPUTED_VALUE"""),"The Sims 4: Deluxe Party Edition")</f>
        <v>The Sims 4: Deluxe Party Edition</v>
      </c>
      <c r="B467" s="195" t="str">
        <f>IFERROR(__xludf.DUMMYFUNCTION("""COMPUTED_VALUE"""),"Xbox / PC")</f>
        <v>Xbox / PC</v>
      </c>
      <c r="C467" s="196" t="str">
        <f>IFERROR(__xludf.DUMMYFUNCTION("""COMPUTED_VALUE"""),"M+KB")</f>
        <v>M+KB</v>
      </c>
      <c r="D467" s="196" t="str">
        <f>IFERROR(__xludf.DUMMYFUNCTION("""COMPUTED_VALUE"""),"Active")</f>
        <v>Active</v>
      </c>
      <c r="E467" s="197">
        <f>IFERROR(__xludf.DUMMYFUNCTION("""COMPUTED_VALUE"""),44145.0)</f>
        <v>44145</v>
      </c>
      <c r="F467" s="198"/>
      <c r="G467" s="199">
        <f>IFERROR(__xludf.DUMMYFUNCTION("""COMPUTED_VALUE"""),59.166666666666664)</f>
        <v>59.16666667</v>
      </c>
      <c r="H467" s="197">
        <f>IFERROR(__xludf.DUMMYFUNCTION("""COMPUTED_VALUE"""),41884.0)</f>
        <v>41884</v>
      </c>
      <c r="I467" s="199">
        <f>IFERROR(__xludf.DUMMYFUNCTION("""COMPUTED_VALUE"""),6.188888888888889)</f>
        <v>6.188888889</v>
      </c>
      <c r="J467" s="200">
        <f>IFERROR(__xludf.DUMMYFUNCTION("""COMPUTED_VALUE"""),66.0)</f>
        <v>66</v>
      </c>
      <c r="K467" s="200">
        <f>IFERROR(__xludf.DUMMYFUNCTION("""COMPUTED_VALUE"""),40.0)</f>
        <v>40</v>
      </c>
      <c r="L467" s="201" t="str">
        <f>IFERROR(__xludf.DUMMYFUNCTION("""COMPUTED_VALUE"""),"Simulation")</f>
        <v>Simulation</v>
      </c>
    </row>
    <row r="468">
      <c r="A468" s="190" t="str">
        <f>IFERROR(__xludf.DUMMYFUNCTION("""COMPUTED_VALUE"""),"Halo: Spartan Strike")</f>
        <v>Halo: Spartan Strike</v>
      </c>
      <c r="B468" s="195" t="str">
        <f>IFERROR(__xludf.DUMMYFUNCTION("""COMPUTED_VALUE"""),"PC")</f>
        <v>PC</v>
      </c>
      <c r="C468" s="196"/>
      <c r="D468" s="196" t="str">
        <f>IFERROR(__xludf.DUMMYFUNCTION("""COMPUTED_VALUE"""),"Active")</f>
        <v>Active</v>
      </c>
      <c r="E468" s="197">
        <f>IFERROR(__xludf.DUMMYFUNCTION("""COMPUTED_VALUE"""),43625.0)</f>
        <v>43625</v>
      </c>
      <c r="F468" s="198"/>
      <c r="G468" s="199">
        <f>IFERROR(__xludf.DUMMYFUNCTION("""COMPUTED_VALUE"""),76.19999999999999)</f>
        <v>76.2</v>
      </c>
      <c r="H468" s="197">
        <f>IFERROR(__xludf.DUMMYFUNCTION("""COMPUTED_VALUE"""),42110.0)</f>
        <v>42110</v>
      </c>
      <c r="I468" s="199">
        <f>IFERROR(__xludf.DUMMYFUNCTION("""COMPUTED_VALUE"""),4.147222222222222)</f>
        <v>4.147222222</v>
      </c>
      <c r="J468" s="200">
        <f>IFERROR(__xludf.DUMMYFUNCTION("""COMPUTED_VALUE"""),66.0)</f>
        <v>66</v>
      </c>
      <c r="K468" s="200">
        <f>IFERROR(__xludf.DUMMYFUNCTION("""COMPUTED_VALUE"""),5.5)</f>
        <v>5.5</v>
      </c>
      <c r="L468" s="201" t="str">
        <f>IFERROR(__xludf.DUMMYFUNCTION("""COMPUTED_VALUE"""),"Action / Dual-Joystick Shooter")</f>
        <v>Action / Dual-Joystick Shooter</v>
      </c>
    </row>
    <row r="469">
      <c r="A469" s="190" t="str">
        <f>IFERROR(__xludf.DUMMYFUNCTION("""COMPUTED_VALUE"""),"Zombi")</f>
        <v>Zombi</v>
      </c>
      <c r="B469" s="195" t="str">
        <f>IFERROR(__xludf.DUMMYFUNCTION("""COMPUTED_VALUE"""),"Xbox / PC")</f>
        <v>Xbox / PC</v>
      </c>
      <c r="C469" s="196" t="str">
        <f>IFERROR(__xludf.DUMMYFUNCTION("""COMPUTED_VALUE"""),"Yes")</f>
        <v>Yes</v>
      </c>
      <c r="D469" s="196" t="str">
        <f>IFERROR(__xludf.DUMMYFUNCTION("""COMPUTED_VALUE"""),"Active")</f>
        <v>Active</v>
      </c>
      <c r="E469" s="197">
        <f>IFERROR(__xludf.DUMMYFUNCTION("""COMPUTED_VALUE"""),45931.0)</f>
        <v>45931</v>
      </c>
      <c r="F469" s="198"/>
      <c r="G469" s="199">
        <f>IFERROR(__xludf.DUMMYFUNCTION("""COMPUTED_VALUE"""),0.4666666666666667)</f>
        <v>0.4666666667</v>
      </c>
      <c r="H469" s="197">
        <f>IFERROR(__xludf.DUMMYFUNCTION("""COMPUTED_VALUE"""),42234.0)</f>
        <v>42234</v>
      </c>
      <c r="I469" s="199">
        <f>IFERROR(__xludf.DUMMYFUNCTION("""COMPUTED_VALUE"""),10.119444444444444)</f>
        <v>10.11944444</v>
      </c>
      <c r="J469" s="200">
        <f>IFERROR(__xludf.DUMMYFUNCTION("""COMPUTED_VALUE"""),65.0)</f>
        <v>65</v>
      </c>
      <c r="K469" s="200">
        <f>IFERROR(__xludf.DUMMYFUNCTION("""COMPUTED_VALUE"""),12.0)</f>
        <v>12</v>
      </c>
      <c r="L469" s="201" t="str">
        <f>IFERROR(__xludf.DUMMYFUNCTION("""COMPUTED_VALUE"""),"Survival")</f>
        <v>Survival</v>
      </c>
    </row>
    <row r="470">
      <c r="A470" s="190" t="str">
        <f>IFERROR(__xludf.DUMMYFUNCTION("""COMPUTED_VALUE"""),"Goat Simulator: Remastered")</f>
        <v>Goat Simulator: Remastered</v>
      </c>
      <c r="B470" s="195" t="str">
        <f>IFERROR(__xludf.DUMMYFUNCTION("""COMPUTED_VALUE"""),"Xbox / PC")</f>
        <v>Xbox / PC</v>
      </c>
      <c r="C470" s="196" t="str">
        <f>IFERROR(__xludf.DUMMYFUNCTION("""COMPUTED_VALUE"""),"Yes")</f>
        <v>Yes</v>
      </c>
      <c r="D470" s="196" t="str">
        <f>IFERROR(__xludf.DUMMYFUNCTION("""COMPUTED_VALUE"""),"Active")</f>
        <v>Active</v>
      </c>
      <c r="E470" s="197">
        <f>IFERROR(__xludf.DUMMYFUNCTION("""COMPUTED_VALUE"""),45603.0)</f>
        <v>45603</v>
      </c>
      <c r="F470" s="198"/>
      <c r="G470" s="199">
        <f>IFERROR(__xludf.DUMMYFUNCTION("""COMPUTED_VALUE"""),11.266666666666666)</f>
        <v>11.26666667</v>
      </c>
      <c r="H470" s="197">
        <f>IFERROR(__xludf.DUMMYFUNCTION("""COMPUTED_VALUE"""),45603.0)</f>
        <v>45603</v>
      </c>
      <c r="I470" s="199">
        <f>IFERROR(__xludf.DUMMYFUNCTION("""COMPUTED_VALUE"""),0.0)</f>
        <v>0</v>
      </c>
      <c r="J470" s="200">
        <f>IFERROR(__xludf.DUMMYFUNCTION("""COMPUTED_VALUE"""),65.0)</f>
        <v>65</v>
      </c>
      <c r="K470" s="200">
        <f>IFERROR(__xludf.DUMMYFUNCTION("""COMPUTED_VALUE"""),3.0)</f>
        <v>3</v>
      </c>
      <c r="L470" s="201" t="str">
        <f>IFERROR(__xludf.DUMMYFUNCTION("""COMPUTED_VALUE"""),"Action-Adventure")</f>
        <v>Action-Adventure</v>
      </c>
    </row>
    <row r="471">
      <c r="A471" s="190" t="str">
        <f>IFERROR(__xludf.DUMMYFUNCTION("""COMPUTED_VALUE"""),"Madden NFL 24")</f>
        <v>Madden NFL 24</v>
      </c>
      <c r="B471" s="195" t="str">
        <f>IFERROR(__xludf.DUMMYFUNCTION("""COMPUTED_VALUE"""),"Xbox / PC")</f>
        <v>Xbox / PC</v>
      </c>
      <c r="C471" s="196" t="str">
        <f>IFERROR(__xludf.DUMMYFUNCTION("""COMPUTED_VALUE"""),"Yes")</f>
        <v>Yes</v>
      </c>
      <c r="D471" s="196" t="str">
        <f>IFERROR(__xludf.DUMMYFUNCTION("""COMPUTED_VALUE"""),"Active")</f>
        <v>Active</v>
      </c>
      <c r="E471" s="197">
        <f>IFERROR(__xludf.DUMMYFUNCTION("""COMPUTED_VALUE"""),45330.0)</f>
        <v>45330</v>
      </c>
      <c r="F471" s="198"/>
      <c r="G471" s="199">
        <f>IFERROR(__xludf.DUMMYFUNCTION("""COMPUTED_VALUE"""),20.233333333333334)</f>
        <v>20.23333333</v>
      </c>
      <c r="H471" s="197">
        <f>IFERROR(__xludf.DUMMYFUNCTION("""COMPUTED_VALUE"""),45156.0)</f>
        <v>45156</v>
      </c>
      <c r="I471" s="199">
        <f>IFERROR(__xludf.DUMMYFUNCTION("""COMPUTED_VALUE"""),0.4722222222222222)</f>
        <v>0.4722222222</v>
      </c>
      <c r="J471" s="200">
        <f>IFERROR(__xludf.DUMMYFUNCTION("""COMPUTED_VALUE"""),65.0)</f>
        <v>65</v>
      </c>
      <c r="K471" s="200">
        <f>IFERROR(__xludf.DUMMYFUNCTION("""COMPUTED_VALUE"""),14.0)</f>
        <v>14</v>
      </c>
      <c r="L471" s="201" t="str">
        <f>IFERROR(__xludf.DUMMYFUNCTION("""COMPUTED_VALUE"""),"Sports / Football")</f>
        <v>Sports / Football</v>
      </c>
    </row>
    <row r="472">
      <c r="A472" s="190" t="str">
        <f>IFERROR(__xludf.DUMMYFUNCTION("""COMPUTED_VALUE"""),"Need for Speed: Deluxe Edition")</f>
        <v>Need for Speed: Deluxe Edition</v>
      </c>
      <c r="B472" s="195" t="str">
        <f>IFERROR(__xludf.DUMMYFUNCTION("""COMPUTED_VALUE"""),"Xbox / PC")</f>
        <v>Xbox / PC</v>
      </c>
      <c r="C472" s="196"/>
      <c r="D472" s="196" t="str">
        <f>IFERROR(__xludf.DUMMYFUNCTION("""COMPUTED_VALUE"""),"Active")</f>
        <v>Active</v>
      </c>
      <c r="E472" s="197">
        <f>IFERROR(__xludf.DUMMYFUNCTION("""COMPUTED_VALUE"""),44145.0)</f>
        <v>44145</v>
      </c>
      <c r="F472" s="198"/>
      <c r="G472" s="199">
        <f>IFERROR(__xludf.DUMMYFUNCTION("""COMPUTED_VALUE"""),59.166666666666664)</f>
        <v>59.16666667</v>
      </c>
      <c r="H472" s="197">
        <f>IFERROR(__xludf.DUMMYFUNCTION("""COMPUTED_VALUE"""),42311.0)</f>
        <v>42311</v>
      </c>
      <c r="I472" s="199">
        <f>IFERROR(__xludf.DUMMYFUNCTION("""COMPUTED_VALUE"""),5.019444444444445)</f>
        <v>5.019444444</v>
      </c>
      <c r="J472" s="200">
        <f>IFERROR(__xludf.DUMMYFUNCTION("""COMPUTED_VALUE"""),65.0)</f>
        <v>65</v>
      </c>
      <c r="K472" s="200">
        <f>IFERROR(__xludf.DUMMYFUNCTION("""COMPUTED_VALUE"""),15.5)</f>
        <v>15.5</v>
      </c>
      <c r="L472" s="201" t="str">
        <f>IFERROR(__xludf.DUMMYFUNCTION("""COMPUTED_VALUE"""),"Driving/Racing")</f>
        <v>Driving/Racing</v>
      </c>
    </row>
    <row r="473">
      <c r="A473" s="190" t="str">
        <f>IFERROR(__xludf.DUMMYFUNCTION("""COMPUTED_VALUE"""),"Grounded")</f>
        <v>Grounded</v>
      </c>
      <c r="B473" s="195" t="str">
        <f>IFERROR(__xludf.DUMMYFUNCTION("""COMPUTED_VALUE"""),"Xbox / PC")</f>
        <v>Xbox / PC</v>
      </c>
      <c r="C473" s="196" t="str">
        <f>IFERROR(__xludf.DUMMYFUNCTION("""COMPUTED_VALUE"""),"M+KB")</f>
        <v>M+KB</v>
      </c>
      <c r="D473" s="196" t="str">
        <f>IFERROR(__xludf.DUMMYFUNCTION("""COMPUTED_VALUE"""),"Active")</f>
        <v>Active</v>
      </c>
      <c r="E473" s="197">
        <f>IFERROR(__xludf.DUMMYFUNCTION("""COMPUTED_VALUE"""),44040.0)</f>
        <v>44040</v>
      </c>
      <c r="F473" s="198"/>
      <c r="G473" s="199">
        <f>IFERROR(__xludf.DUMMYFUNCTION("""COMPUTED_VALUE"""),62.56666666666666)</f>
        <v>62.56666667</v>
      </c>
      <c r="H473" s="197">
        <f>IFERROR(__xludf.DUMMYFUNCTION("""COMPUTED_VALUE"""),44040.0)</f>
        <v>44040</v>
      </c>
      <c r="I473" s="199">
        <f>IFERROR(__xludf.DUMMYFUNCTION("""COMPUTED_VALUE"""),0.0)</f>
        <v>0</v>
      </c>
      <c r="J473" s="200">
        <f>IFERROR(__xludf.DUMMYFUNCTION("""COMPUTED_VALUE"""),65.0)</f>
        <v>65</v>
      </c>
      <c r="K473" s="200">
        <f>IFERROR(__xludf.DUMMYFUNCTION("""COMPUTED_VALUE"""),6.5)</f>
        <v>6.5</v>
      </c>
      <c r="L473" s="201" t="str">
        <f>IFERROR(__xludf.DUMMYFUNCTION("""COMPUTED_VALUE"""),"Action-Adventure")</f>
        <v>Action-Adventure</v>
      </c>
    </row>
    <row r="474">
      <c r="A474" s="190" t="str">
        <f>IFERROR(__xludf.DUMMYFUNCTION("""COMPUTED_VALUE"""),"The Crew 2")</f>
        <v>The Crew 2</v>
      </c>
      <c r="B474" s="195" t="str">
        <f>IFERROR(__xludf.DUMMYFUNCTION("""COMPUTED_VALUE"""),"Xbox / PC")</f>
        <v>Xbox / PC</v>
      </c>
      <c r="C474" s="196" t="str">
        <f>IFERROR(__xludf.DUMMYFUNCTION("""COMPUTED_VALUE"""),"Yes")</f>
        <v>Yes</v>
      </c>
      <c r="D474" s="196" t="str">
        <f>IFERROR(__xludf.DUMMYFUNCTION("""COMPUTED_VALUE"""),"Active")</f>
        <v>Active</v>
      </c>
      <c r="E474" s="197">
        <f>IFERROR(__xludf.DUMMYFUNCTION("""COMPUTED_VALUE"""),45931.0)</f>
        <v>45931</v>
      </c>
      <c r="F474" s="198"/>
      <c r="G474" s="199">
        <f>IFERROR(__xludf.DUMMYFUNCTION("""COMPUTED_VALUE"""),0.4666666666666667)</f>
        <v>0.4666666667</v>
      </c>
      <c r="H474" s="197">
        <f>IFERROR(__xludf.DUMMYFUNCTION("""COMPUTED_VALUE"""),43277.0)</f>
        <v>43277</v>
      </c>
      <c r="I474" s="199">
        <f>IFERROR(__xludf.DUMMYFUNCTION("""COMPUTED_VALUE"""),7.263888888888889)</f>
        <v>7.263888889</v>
      </c>
      <c r="J474" s="200">
        <f>IFERROR(__xludf.DUMMYFUNCTION("""COMPUTED_VALUE"""),64.0)</f>
        <v>64</v>
      </c>
      <c r="K474" s="200">
        <f>IFERROR(__xludf.DUMMYFUNCTION("""COMPUTED_VALUE"""),21.0)</f>
        <v>21</v>
      </c>
      <c r="L474" s="201" t="str">
        <f>IFERROR(__xludf.DUMMYFUNCTION("""COMPUTED_VALUE"""),"Racing")</f>
        <v>Racing</v>
      </c>
    </row>
    <row r="475">
      <c r="A475" s="203" t="str">
        <f>IFERROR(__xludf.DUMMYFUNCTION("""COMPUTED_VALUE"""),"FBC: Firebreak")</f>
        <v>FBC: Firebreak</v>
      </c>
      <c r="B475" s="204" t="str">
        <f>IFERROR(__xludf.DUMMYFUNCTION("""COMPUTED_VALUE"""),"Xbox / PC")</f>
        <v>Xbox / PC</v>
      </c>
      <c r="C475" s="205" t="str">
        <f>IFERROR(__xludf.DUMMYFUNCTION("""COMPUTED_VALUE"""),"Yes")</f>
        <v>Yes</v>
      </c>
      <c r="D475" s="205" t="str">
        <f>IFERROR(__xludf.DUMMYFUNCTION("""COMPUTED_VALUE"""),"Active")</f>
        <v>Active</v>
      </c>
      <c r="E475" s="166">
        <f>IFERROR(__xludf.DUMMYFUNCTION("""COMPUTED_VALUE"""),45825.0)</f>
        <v>45825</v>
      </c>
      <c r="F475" s="206"/>
      <c r="G475" s="167">
        <f>IFERROR(__xludf.DUMMYFUNCTION("""COMPUTED_VALUE"""),3.9333333333333336)</f>
        <v>3.933333333</v>
      </c>
      <c r="H475" s="166">
        <f>IFERROR(__xludf.DUMMYFUNCTION("""COMPUTED_VALUE"""),45825.0)</f>
        <v>45825</v>
      </c>
      <c r="I475" s="167">
        <f>IFERROR(__xludf.DUMMYFUNCTION("""COMPUTED_VALUE"""),0.0)</f>
        <v>0</v>
      </c>
      <c r="J475" s="168">
        <f>IFERROR(__xludf.DUMMYFUNCTION("""COMPUTED_VALUE"""),64.0)</f>
        <v>64</v>
      </c>
      <c r="K475" s="168">
        <f>IFERROR(__xludf.DUMMYFUNCTION("""COMPUTED_VALUE"""),7.0)</f>
        <v>7</v>
      </c>
      <c r="L475" s="207" t="str">
        <f>IFERROR(__xludf.DUMMYFUNCTION("""COMPUTED_VALUE"""),"Shooter")</f>
        <v>Shooter</v>
      </c>
    </row>
    <row r="476">
      <c r="A476" s="203" t="str">
        <f>IFERROR(__xludf.DUMMYFUNCTION("""COMPUTED_VALUE"""),"Atlas Fallen: Reign of Sand")</f>
        <v>Atlas Fallen: Reign of Sand</v>
      </c>
      <c r="B476" s="204" t="str">
        <f>IFERROR(__xludf.DUMMYFUNCTION("""COMPUTED_VALUE"""),"Xbox / PC")</f>
        <v>Xbox / PC</v>
      </c>
      <c r="C476" s="205" t="str">
        <f>IFERROR(__xludf.DUMMYFUNCTION("""COMPUTED_VALUE"""),"Yes")</f>
        <v>Yes</v>
      </c>
      <c r="D476" s="205" t="str">
        <f>IFERROR(__xludf.DUMMYFUNCTION("""COMPUTED_VALUE"""),"Active")</f>
        <v>Active</v>
      </c>
      <c r="E476" s="166">
        <f>IFERROR(__xludf.DUMMYFUNCTION("""COMPUTED_VALUE"""),45526.0)</f>
        <v>45526</v>
      </c>
      <c r="F476" s="206"/>
      <c r="G476" s="167">
        <f>IFERROR(__xludf.DUMMYFUNCTION("""COMPUTED_VALUE"""),13.766666666666666)</f>
        <v>13.76666667</v>
      </c>
      <c r="H476" s="166">
        <f>IFERROR(__xludf.DUMMYFUNCTION("""COMPUTED_VALUE"""),45148.0)</f>
        <v>45148</v>
      </c>
      <c r="I476" s="167">
        <f>IFERROR(__xludf.DUMMYFUNCTION("""COMPUTED_VALUE"""),1.0333333333333334)</f>
        <v>1.033333333</v>
      </c>
      <c r="J476" s="168">
        <f>IFERROR(__xludf.DUMMYFUNCTION("""COMPUTED_VALUE"""),64.0)</f>
        <v>64</v>
      </c>
      <c r="K476" s="168">
        <f>IFERROR(__xludf.DUMMYFUNCTION("""COMPUTED_VALUE"""),11.0)</f>
        <v>11</v>
      </c>
      <c r="L476" s="207" t="str">
        <f>IFERROR(__xludf.DUMMYFUNCTION("""COMPUTED_VALUE"""),"RPG")</f>
        <v>RPG</v>
      </c>
    </row>
    <row r="477">
      <c r="A477" s="203" t="str">
        <f>IFERROR(__xludf.DUMMYFUNCTION("""COMPUTED_VALUE"""),"We Happy Few")</f>
        <v>We Happy Few</v>
      </c>
      <c r="B477" s="204" t="str">
        <f>IFERROR(__xludf.DUMMYFUNCTION("""COMPUTED_VALUE"""),"Xbox / PC")</f>
        <v>Xbox / PC</v>
      </c>
      <c r="C477" s="205" t="str">
        <f>IFERROR(__xludf.DUMMYFUNCTION("""COMPUTED_VALUE"""),"Yes")</f>
        <v>Yes</v>
      </c>
      <c r="D477" s="205" t="str">
        <f>IFERROR(__xludf.DUMMYFUNCTION("""COMPUTED_VALUE"""),"Active")</f>
        <v>Active</v>
      </c>
      <c r="E477" s="166">
        <f>IFERROR(__xludf.DUMMYFUNCTION("""COMPUTED_VALUE"""),45302.0)</f>
        <v>45302</v>
      </c>
      <c r="F477" s="206"/>
      <c r="G477" s="167">
        <f>IFERROR(__xludf.DUMMYFUNCTION("""COMPUTED_VALUE"""),21.133333333333333)</f>
        <v>21.13333333</v>
      </c>
      <c r="H477" s="166">
        <f>IFERROR(__xludf.DUMMYFUNCTION("""COMPUTED_VALUE"""),43322.0)</f>
        <v>43322</v>
      </c>
      <c r="I477" s="167">
        <f>IFERROR(__xludf.DUMMYFUNCTION("""COMPUTED_VALUE"""),5.419444444444444)</f>
        <v>5.419444444</v>
      </c>
      <c r="J477" s="168">
        <f>IFERROR(__xludf.DUMMYFUNCTION("""COMPUTED_VALUE"""),64.0)</f>
        <v>64</v>
      </c>
      <c r="K477" s="168">
        <f>IFERROR(__xludf.DUMMYFUNCTION("""COMPUTED_VALUE"""),21.0)</f>
        <v>21</v>
      </c>
      <c r="L477" s="207" t="str">
        <f>IFERROR(__xludf.DUMMYFUNCTION("""COMPUTED_VALUE"""),"Adventure / First-Person Shooter")</f>
        <v>Adventure / First-Person Shooter</v>
      </c>
    </row>
    <row r="478">
      <c r="A478" s="203" t="str">
        <f>IFERROR(__xludf.DUMMYFUNCTION("""COMPUTED_VALUE"""),"Cooking Simulator")</f>
        <v>Cooking Simulator</v>
      </c>
      <c r="B478" s="204" t="str">
        <f>IFERROR(__xludf.DUMMYFUNCTION("""COMPUTED_VALUE"""),"Xbox / PC")</f>
        <v>Xbox / PC</v>
      </c>
      <c r="C478" s="205" t="str">
        <f>IFERROR(__xludf.DUMMYFUNCTION("""COMPUTED_VALUE"""),"Yes")</f>
        <v>Yes</v>
      </c>
      <c r="D478" s="205" t="str">
        <f>IFERROR(__xludf.DUMMYFUNCTION("""COMPUTED_VALUE"""),"Active")</f>
        <v>Active</v>
      </c>
      <c r="E478" s="166">
        <f>IFERROR(__xludf.DUMMYFUNCTION("""COMPUTED_VALUE"""),44784.0)</f>
        <v>44784</v>
      </c>
      <c r="F478" s="206"/>
      <c r="G478" s="167">
        <f>IFERROR(__xludf.DUMMYFUNCTION("""COMPUTED_VALUE"""),38.13333333333333)</f>
        <v>38.13333333</v>
      </c>
      <c r="H478" s="166">
        <f>IFERROR(__xludf.DUMMYFUNCTION("""COMPUTED_VALUE"""),43622.0)</f>
        <v>43622</v>
      </c>
      <c r="I478" s="167">
        <f>IFERROR(__xludf.DUMMYFUNCTION("""COMPUTED_VALUE"""),3.1805555555555554)</f>
        <v>3.180555556</v>
      </c>
      <c r="J478" s="168">
        <f>IFERROR(__xludf.DUMMYFUNCTION("""COMPUTED_VALUE"""),64.0)</f>
        <v>64</v>
      </c>
      <c r="K478" s="168">
        <f>IFERROR(__xludf.DUMMYFUNCTION("""COMPUTED_VALUE"""),8.5)</f>
        <v>8.5</v>
      </c>
      <c r="L478" s="207" t="str">
        <f>IFERROR(__xludf.DUMMYFUNCTION("""COMPUTED_VALUE"""),"Simulation")</f>
        <v>Simulation</v>
      </c>
    </row>
    <row r="479">
      <c r="A479" s="203" t="str">
        <f>IFERROR(__xludf.DUMMYFUNCTION("""COMPUTED_VALUE"""),"SimCity: Complete Edition")</f>
        <v>SimCity: Complete Edition</v>
      </c>
      <c r="B479" s="204" t="str">
        <f>IFERROR(__xludf.DUMMYFUNCTION("""COMPUTED_VALUE"""),"PC")</f>
        <v>PC</v>
      </c>
      <c r="C479" s="205"/>
      <c r="D479" s="205" t="str">
        <f>IFERROR(__xludf.DUMMYFUNCTION("""COMPUTED_VALUE"""),"Active")</f>
        <v>Active</v>
      </c>
      <c r="E479" s="166">
        <f>IFERROR(__xludf.DUMMYFUNCTION("""COMPUTED_VALUE"""),44273.0)</f>
        <v>44273</v>
      </c>
      <c r="F479" s="206"/>
      <c r="G479" s="167">
        <f>IFERROR(__xludf.DUMMYFUNCTION("""COMPUTED_VALUE"""),54.900000000000006)</f>
        <v>54.9</v>
      </c>
      <c r="H479" s="166">
        <f>IFERROR(__xludf.DUMMYFUNCTION("""COMPUTED_VALUE"""),41338.0)</f>
        <v>41338</v>
      </c>
      <c r="I479" s="167">
        <f>IFERROR(__xludf.DUMMYFUNCTION("""COMPUTED_VALUE"""),8.036111111111111)</f>
        <v>8.036111111</v>
      </c>
      <c r="J479" s="168">
        <f>IFERROR(__xludf.DUMMYFUNCTION("""COMPUTED_VALUE"""),64.0)</f>
        <v>64</v>
      </c>
      <c r="K479" s="168">
        <f>IFERROR(__xludf.DUMMYFUNCTION("""COMPUTED_VALUE"""),25.5)</f>
        <v>25.5</v>
      </c>
      <c r="L479" s="207" t="str">
        <f>IFERROR(__xludf.DUMMYFUNCTION("""COMPUTED_VALUE"""),"Simulation")</f>
        <v>Simulation</v>
      </c>
    </row>
    <row r="480">
      <c r="A480" s="203" t="str">
        <f>IFERROR(__xludf.DUMMYFUNCTION("""COMPUTED_VALUE"""),"The Walking Dead: Michonne")</f>
        <v>The Walking Dead: Michonne</v>
      </c>
      <c r="B480" s="204" t="str">
        <f>IFERROR(__xludf.DUMMYFUNCTION("""COMPUTED_VALUE"""),"Xbox / PC")</f>
        <v>Xbox / PC</v>
      </c>
      <c r="C480" s="205" t="str">
        <f>IFERROR(__xludf.DUMMYFUNCTION("""COMPUTED_VALUE"""),"Touch Controls")</f>
        <v>Touch Controls</v>
      </c>
      <c r="D480" s="205" t="str">
        <f>IFERROR(__xludf.DUMMYFUNCTION("""COMPUTED_VALUE"""),"Active")</f>
        <v>Active</v>
      </c>
      <c r="E480" s="166">
        <f>IFERROR(__xludf.DUMMYFUNCTION("""COMPUTED_VALUE"""),43552.0)</f>
        <v>43552</v>
      </c>
      <c r="F480" s="206"/>
      <c r="G480" s="167">
        <f>IFERROR(__xludf.DUMMYFUNCTION("""COMPUTED_VALUE"""),78.56666666666666)</f>
        <v>78.56666667</v>
      </c>
      <c r="H480" s="166">
        <f>IFERROR(__xludf.DUMMYFUNCTION("""COMPUTED_VALUE"""),42423.0)</f>
        <v>42423</v>
      </c>
      <c r="I480" s="167">
        <f>IFERROR(__xludf.DUMMYFUNCTION("""COMPUTED_VALUE"""),3.0972222222222223)</f>
        <v>3.097222222</v>
      </c>
      <c r="J480" s="168">
        <f>IFERROR(__xludf.DUMMYFUNCTION("""COMPUTED_VALUE"""),64.0)</f>
        <v>64</v>
      </c>
      <c r="K480" s="168">
        <f>IFERROR(__xludf.DUMMYFUNCTION("""COMPUTED_VALUE"""),4.0)</f>
        <v>4</v>
      </c>
      <c r="L480" s="207" t="str">
        <f>IFERROR(__xludf.DUMMYFUNCTION("""COMPUTED_VALUE"""),"Adventure")</f>
        <v>Adventure</v>
      </c>
    </row>
    <row r="481">
      <c r="A481" s="203" t="str">
        <f>IFERROR(__xludf.DUMMYFUNCTION("""COMPUTED_VALUE"""),"Super Lucky's Tale")</f>
        <v>Super Lucky's Tale</v>
      </c>
      <c r="B481" s="204" t="str">
        <f>IFERROR(__xludf.DUMMYFUNCTION("""COMPUTED_VALUE"""),"Xbox / PC")</f>
        <v>Xbox / PC</v>
      </c>
      <c r="C481" s="205"/>
      <c r="D481" s="205" t="str">
        <f>IFERROR(__xludf.DUMMYFUNCTION("""COMPUTED_VALUE"""),"Active")</f>
        <v>Active</v>
      </c>
      <c r="E481" s="166">
        <f>IFERROR(__xludf.DUMMYFUNCTION("""COMPUTED_VALUE"""),43160.0)</f>
        <v>43160</v>
      </c>
      <c r="F481" s="206"/>
      <c r="G481" s="167">
        <f>IFERROR(__xludf.DUMMYFUNCTION("""COMPUTED_VALUE"""),91.46666666666667)</f>
        <v>91.46666667</v>
      </c>
      <c r="H481" s="166">
        <f>IFERROR(__xludf.DUMMYFUNCTION("""COMPUTED_VALUE"""),43046.0)</f>
        <v>43046</v>
      </c>
      <c r="I481" s="167">
        <f>IFERROR(__xludf.DUMMYFUNCTION("""COMPUTED_VALUE"""),0.31666666666666665)</f>
        <v>0.3166666667</v>
      </c>
      <c r="J481" s="168">
        <f>IFERROR(__xludf.DUMMYFUNCTION("""COMPUTED_VALUE"""),64.0)</f>
        <v>64</v>
      </c>
      <c r="K481" s="168">
        <f>IFERROR(__xludf.DUMMYFUNCTION("""COMPUTED_VALUE"""),6.0)</f>
        <v>6</v>
      </c>
      <c r="L481" s="207" t="str">
        <f>IFERROR(__xludf.DUMMYFUNCTION("""COMPUTED_VALUE"""),"Platformer")</f>
        <v>Platformer</v>
      </c>
    </row>
    <row r="482">
      <c r="A482" s="203" t="str">
        <f>IFERROR(__xludf.DUMMYFUNCTION("""COMPUTED_VALUE"""),"Assassin's Creed Chronicles: India")</f>
        <v>Assassin's Creed Chronicles: India</v>
      </c>
      <c r="B482" s="204" t="str">
        <f>IFERROR(__xludf.DUMMYFUNCTION("""COMPUTED_VALUE"""),"Xbox / PC")</f>
        <v>Xbox / PC</v>
      </c>
      <c r="C482" s="205" t="str">
        <f>IFERROR(__xludf.DUMMYFUNCTION("""COMPUTED_VALUE"""),"Yes")</f>
        <v>Yes</v>
      </c>
      <c r="D482" s="205" t="str">
        <f>IFERROR(__xludf.DUMMYFUNCTION("""COMPUTED_VALUE"""),"Active")</f>
        <v>Active</v>
      </c>
      <c r="E482" s="166">
        <f>IFERROR(__xludf.DUMMYFUNCTION("""COMPUTED_VALUE"""),45931.0)</f>
        <v>45931</v>
      </c>
      <c r="F482" s="206"/>
      <c r="G482" s="167">
        <f>IFERROR(__xludf.DUMMYFUNCTION("""COMPUTED_VALUE"""),0.4666666666666667)</f>
        <v>0.4666666667</v>
      </c>
      <c r="H482" s="166">
        <f>IFERROR(__xludf.DUMMYFUNCTION("""COMPUTED_VALUE"""),42382.0)</f>
        <v>42382</v>
      </c>
      <c r="I482" s="167">
        <f>IFERROR(__xludf.DUMMYFUNCTION("""COMPUTED_VALUE"""),9.716666666666667)</f>
        <v>9.716666667</v>
      </c>
      <c r="J482" s="168">
        <f>IFERROR(__xludf.DUMMYFUNCTION("""COMPUTED_VALUE"""),63.0)</f>
        <v>63</v>
      </c>
      <c r="K482" s="168">
        <f>IFERROR(__xludf.DUMMYFUNCTION("""COMPUTED_VALUE"""),6.0)</f>
        <v>6</v>
      </c>
      <c r="L482" s="207" t="str">
        <f>IFERROR(__xludf.DUMMYFUNCTION("""COMPUTED_VALUE"""),"Action-Adventure")</f>
        <v>Action-Adventure</v>
      </c>
    </row>
    <row r="483">
      <c r="A483" s="203" t="str">
        <f>IFERROR(__xludf.DUMMYFUNCTION("""COMPUTED_VALUE"""),"Call of the Wild: The Angler")</f>
        <v>Call of the Wild: The Angler</v>
      </c>
      <c r="B483" s="204" t="str">
        <f>IFERROR(__xludf.DUMMYFUNCTION("""COMPUTED_VALUE"""),"Xbox / PC")</f>
        <v>Xbox / PC</v>
      </c>
      <c r="C483" s="205"/>
      <c r="D483" s="205" t="str">
        <f>IFERROR(__xludf.DUMMYFUNCTION("""COMPUTED_VALUE"""),"Active")</f>
        <v>Active</v>
      </c>
      <c r="E483" s="166">
        <f>IFERROR(__xludf.DUMMYFUNCTION("""COMPUTED_VALUE"""),45167.0)</f>
        <v>45167</v>
      </c>
      <c r="F483" s="206"/>
      <c r="G483" s="167">
        <f>IFERROR(__xludf.DUMMYFUNCTION("""COMPUTED_VALUE"""),25.53333333333333)</f>
        <v>25.53333333</v>
      </c>
      <c r="H483" s="166">
        <f>IFERROR(__xludf.DUMMYFUNCTION("""COMPUTED_VALUE"""),44804.0)</f>
        <v>44804</v>
      </c>
      <c r="I483" s="167">
        <f>IFERROR(__xludf.DUMMYFUNCTION("""COMPUTED_VALUE"""),0.9972222222222222)</f>
        <v>0.9972222222</v>
      </c>
      <c r="J483" s="168">
        <f>IFERROR(__xludf.DUMMYFUNCTION("""COMPUTED_VALUE"""),63.0)</f>
        <v>63</v>
      </c>
      <c r="K483" s="168"/>
      <c r="L483" s="207" t="str">
        <f>IFERROR(__xludf.DUMMYFUNCTION("""COMPUTED_VALUE"""),"Sports / Fishing")</f>
        <v>Sports / Fishing</v>
      </c>
    </row>
    <row r="484">
      <c r="A484" s="203" t="str">
        <f>IFERROR(__xludf.DUMMYFUNCTION("""COMPUTED_VALUE"""),"Assassin's Creed Chronicles: Russia")</f>
        <v>Assassin's Creed Chronicles: Russia</v>
      </c>
      <c r="B484" s="204" t="str">
        <f>IFERROR(__xludf.DUMMYFUNCTION("""COMPUTED_VALUE"""),"Xbox / PC")</f>
        <v>Xbox / PC</v>
      </c>
      <c r="C484" s="205" t="str">
        <f>IFERROR(__xludf.DUMMYFUNCTION("""COMPUTED_VALUE"""),"Yes")</f>
        <v>Yes</v>
      </c>
      <c r="D484" s="205" t="str">
        <f>IFERROR(__xludf.DUMMYFUNCTION("""COMPUTED_VALUE"""),"Active")</f>
        <v>Active</v>
      </c>
      <c r="E484" s="166">
        <f>IFERROR(__xludf.DUMMYFUNCTION("""COMPUTED_VALUE"""),45931.0)</f>
        <v>45931</v>
      </c>
      <c r="F484" s="206"/>
      <c r="G484" s="167">
        <f>IFERROR(__xludf.DUMMYFUNCTION("""COMPUTED_VALUE"""),0.4666666666666667)</f>
        <v>0.4666666667</v>
      </c>
      <c r="H484" s="166">
        <f>IFERROR(__xludf.DUMMYFUNCTION("""COMPUTED_VALUE"""),42409.0)</f>
        <v>42409</v>
      </c>
      <c r="I484" s="167">
        <f>IFERROR(__xludf.DUMMYFUNCTION("""COMPUTED_VALUE"""),9.644444444444444)</f>
        <v>9.644444444</v>
      </c>
      <c r="J484" s="168">
        <f>IFERROR(__xludf.DUMMYFUNCTION("""COMPUTED_VALUE"""),62.0)</f>
        <v>62</v>
      </c>
      <c r="K484" s="168">
        <f>IFERROR(__xludf.DUMMYFUNCTION("""COMPUTED_VALUE"""),7.0)</f>
        <v>7</v>
      </c>
      <c r="L484" s="207" t="str">
        <f>IFERROR(__xludf.DUMMYFUNCTION("""COMPUTED_VALUE"""),"Action-Adventure")</f>
        <v>Action-Adventure</v>
      </c>
    </row>
    <row r="485">
      <c r="A485" s="203" t="str">
        <f>IFERROR(__xludf.DUMMYFUNCTION("""COMPUTED_VALUE"""),"Assassin's Creed Liberation HD")</f>
        <v>Assassin's Creed Liberation HD</v>
      </c>
      <c r="B485" s="204" t="str">
        <f>IFERROR(__xludf.DUMMYFUNCTION("""COMPUTED_VALUE"""),"PC")</f>
        <v>PC</v>
      </c>
      <c r="C485" s="205"/>
      <c r="D485" s="205" t="str">
        <f>IFERROR(__xludf.DUMMYFUNCTION("""COMPUTED_VALUE"""),"Active")</f>
        <v>Active</v>
      </c>
      <c r="E485" s="166">
        <f>IFERROR(__xludf.DUMMYFUNCTION("""COMPUTED_VALUE"""),45931.0)</f>
        <v>45931</v>
      </c>
      <c r="F485" s="206"/>
      <c r="G485" s="167">
        <f>IFERROR(__xludf.DUMMYFUNCTION("""COMPUTED_VALUE"""),0.4666666666666667)</f>
        <v>0.4666666667</v>
      </c>
      <c r="H485" s="166">
        <f>IFERROR(__xludf.DUMMYFUNCTION("""COMPUTED_VALUE"""),41654.0)</f>
        <v>41654</v>
      </c>
      <c r="I485" s="167">
        <f>IFERROR(__xludf.DUMMYFUNCTION("""COMPUTED_VALUE"""),11.71111111111111)</f>
        <v>11.71111111</v>
      </c>
      <c r="J485" s="168">
        <f>IFERROR(__xludf.DUMMYFUNCTION("""COMPUTED_VALUE"""),62.0)</f>
        <v>62</v>
      </c>
      <c r="K485" s="168">
        <f>IFERROR(__xludf.DUMMYFUNCTION("""COMPUTED_VALUE"""),8.0)</f>
        <v>8</v>
      </c>
      <c r="L485" s="207" t="str">
        <f>IFERROR(__xludf.DUMMYFUNCTION("""COMPUTED_VALUE"""),"Action-Adventure")</f>
        <v>Action-Adventure</v>
      </c>
    </row>
    <row r="486">
      <c r="A486" s="203" t="str">
        <f>IFERROR(__xludf.DUMMYFUNCTION("""COMPUTED_VALUE"""),"Mythwrecked: Ambrosia Island")</f>
        <v>Mythwrecked: Ambrosia Island</v>
      </c>
      <c r="B486" s="204" t="str">
        <f>IFERROR(__xludf.DUMMYFUNCTION("""COMPUTED_VALUE"""),"Xbox / PC")</f>
        <v>Xbox / PC</v>
      </c>
      <c r="C486" s="205" t="str">
        <f>IFERROR(__xludf.DUMMYFUNCTION("""COMPUTED_VALUE"""),"Yes")</f>
        <v>Yes</v>
      </c>
      <c r="D486" s="205" t="str">
        <f>IFERROR(__xludf.DUMMYFUNCTION("""COMPUTED_VALUE"""),"Active")</f>
        <v>Active</v>
      </c>
      <c r="E486" s="166">
        <f>IFERROR(__xludf.DUMMYFUNCTION("""COMPUTED_VALUE"""),45736.0)</f>
        <v>45736</v>
      </c>
      <c r="F486" s="206"/>
      <c r="G486" s="167">
        <f>IFERROR(__xludf.DUMMYFUNCTION("""COMPUTED_VALUE"""),6.833333333333333)</f>
        <v>6.833333333</v>
      </c>
      <c r="H486" s="166">
        <f>IFERROR(__xludf.DUMMYFUNCTION("""COMPUTED_VALUE"""),45631.0)</f>
        <v>45631</v>
      </c>
      <c r="I486" s="167">
        <f>IFERROR(__xludf.DUMMYFUNCTION("""COMPUTED_VALUE"""),0.2916666666666667)</f>
        <v>0.2916666667</v>
      </c>
      <c r="J486" s="168">
        <f>IFERROR(__xludf.DUMMYFUNCTION("""COMPUTED_VALUE"""),62.0)</f>
        <v>62</v>
      </c>
      <c r="K486" s="168">
        <f>IFERROR(__xludf.DUMMYFUNCTION("""COMPUTED_VALUE"""),9.0)</f>
        <v>9</v>
      </c>
      <c r="L486" s="207" t="str">
        <f>IFERROR(__xludf.DUMMYFUNCTION("""COMPUTED_VALUE"""),"Action-Adventure")</f>
        <v>Action-Adventure</v>
      </c>
    </row>
    <row r="487">
      <c r="A487" s="203" t="str">
        <f>IFERROR(__xludf.DUMMYFUNCTION("""COMPUTED_VALUE"""),"Need for Speed: Payback - Deluxe Edition")</f>
        <v>Need for Speed: Payback - Deluxe Edition</v>
      </c>
      <c r="B487" s="204" t="str">
        <f>IFERROR(__xludf.DUMMYFUNCTION("""COMPUTED_VALUE"""),"Xbox / PC")</f>
        <v>Xbox / PC</v>
      </c>
      <c r="C487" s="205"/>
      <c r="D487" s="205" t="str">
        <f>IFERROR(__xludf.DUMMYFUNCTION("""COMPUTED_VALUE"""),"Active")</f>
        <v>Active</v>
      </c>
      <c r="E487" s="166">
        <f>IFERROR(__xludf.DUMMYFUNCTION("""COMPUTED_VALUE"""),44145.0)</f>
        <v>44145</v>
      </c>
      <c r="F487" s="206"/>
      <c r="G487" s="167">
        <f>IFERROR(__xludf.DUMMYFUNCTION("""COMPUTED_VALUE"""),59.166666666666664)</f>
        <v>59.16666667</v>
      </c>
      <c r="H487" s="166">
        <f>IFERROR(__xludf.DUMMYFUNCTION("""COMPUTED_VALUE"""),43049.0)</f>
        <v>43049</v>
      </c>
      <c r="I487" s="167">
        <f>IFERROR(__xludf.DUMMYFUNCTION("""COMPUTED_VALUE"""),3.0)</f>
        <v>3</v>
      </c>
      <c r="J487" s="168">
        <f>IFERROR(__xludf.DUMMYFUNCTION("""COMPUTED_VALUE"""),61.0)</f>
        <v>61</v>
      </c>
      <c r="K487" s="168">
        <f>IFERROR(__xludf.DUMMYFUNCTION("""COMPUTED_VALUE"""),18.5)</f>
        <v>18.5</v>
      </c>
      <c r="L487" s="207" t="str">
        <f>IFERROR(__xludf.DUMMYFUNCTION("""COMPUTED_VALUE"""),"Driving/Racing")</f>
        <v>Driving/Racing</v>
      </c>
    </row>
    <row r="488">
      <c r="A488" s="203" t="str">
        <f>IFERROR(__xludf.DUMMYFUNCTION("""COMPUTED_VALUE"""),"ReCore: Definitive Edition")</f>
        <v>ReCore: Definitive Edition</v>
      </c>
      <c r="B488" s="204" t="str">
        <f>IFERROR(__xludf.DUMMYFUNCTION("""COMPUTED_VALUE"""),"Xbox / PC")</f>
        <v>Xbox / PC</v>
      </c>
      <c r="C488" s="205" t="str">
        <f>IFERROR(__xludf.DUMMYFUNCTION("""COMPUTED_VALUE"""),"Yes")</f>
        <v>Yes</v>
      </c>
      <c r="D488" s="205" t="str">
        <f>IFERROR(__xludf.DUMMYFUNCTION("""COMPUTED_VALUE"""),"Active")</f>
        <v>Active</v>
      </c>
      <c r="E488" s="166">
        <f>IFERROR(__xludf.DUMMYFUNCTION("""COMPUTED_VALUE"""),42976.0)</f>
        <v>42976</v>
      </c>
      <c r="F488" s="206"/>
      <c r="G488" s="167">
        <f>IFERROR(__xludf.DUMMYFUNCTION("""COMPUTED_VALUE"""),97.53333333333333)</f>
        <v>97.53333333</v>
      </c>
      <c r="H488" s="166">
        <f>IFERROR(__xludf.DUMMYFUNCTION("""COMPUTED_VALUE"""),42626.0)</f>
        <v>42626</v>
      </c>
      <c r="I488" s="167">
        <f>IFERROR(__xludf.DUMMYFUNCTION("""COMPUTED_VALUE"""),0.9611111111111111)</f>
        <v>0.9611111111</v>
      </c>
      <c r="J488" s="168">
        <f>IFERROR(__xludf.DUMMYFUNCTION("""COMPUTED_VALUE"""),61.0)</f>
        <v>61</v>
      </c>
      <c r="K488" s="168">
        <f>IFERROR(__xludf.DUMMYFUNCTION("""COMPUTED_VALUE"""),12.0)</f>
        <v>12</v>
      </c>
      <c r="L488" s="207" t="str">
        <f>IFERROR(__xludf.DUMMYFUNCTION("""COMPUTED_VALUE"""),"Adventure")</f>
        <v>Adventure</v>
      </c>
    </row>
    <row r="489">
      <c r="A489" s="203" t="str">
        <f>IFERROR(__xludf.DUMMYFUNCTION("""COMPUTED_VALUE"""),"Firefighting Simulator: The Squad")</f>
        <v>Firefighting Simulator: The Squad</v>
      </c>
      <c r="B489" s="204" t="str">
        <f>IFERROR(__xludf.DUMMYFUNCTION("""COMPUTED_VALUE"""),"Xbox / PC")</f>
        <v>Xbox / PC</v>
      </c>
      <c r="C489" s="205" t="str">
        <f>IFERROR(__xludf.DUMMYFUNCTION("""COMPUTED_VALUE"""),"Yes")</f>
        <v>Yes</v>
      </c>
      <c r="D489" s="205" t="str">
        <f>IFERROR(__xludf.DUMMYFUNCTION("""COMPUTED_VALUE"""),"Active")</f>
        <v>Active</v>
      </c>
      <c r="E489" s="166">
        <f>IFERROR(__xludf.DUMMYFUNCTION("""COMPUTED_VALUE"""),45797.0)</f>
        <v>45797</v>
      </c>
      <c r="F489" s="206"/>
      <c r="G489" s="167">
        <f>IFERROR(__xludf.DUMMYFUNCTION("""COMPUTED_VALUE"""),4.833333333333334)</f>
        <v>4.833333333</v>
      </c>
      <c r="H489" s="166">
        <f>IFERROR(__xludf.DUMMYFUNCTION("""COMPUTED_VALUE"""),44901.0)</f>
        <v>44901</v>
      </c>
      <c r="I489" s="167">
        <f>IFERROR(__xludf.DUMMYFUNCTION("""COMPUTED_VALUE"""),2.4555555555555557)</f>
        <v>2.455555556</v>
      </c>
      <c r="J489" s="168">
        <f>IFERROR(__xludf.DUMMYFUNCTION("""COMPUTED_VALUE"""),60.0)</f>
        <v>60</v>
      </c>
      <c r="K489" s="168">
        <f>IFERROR(__xludf.DUMMYFUNCTION("""COMPUTED_VALUE"""),10.0)</f>
        <v>10</v>
      </c>
      <c r="L489" s="207" t="str">
        <f>IFERROR(__xludf.DUMMYFUNCTION("""COMPUTED_VALUE"""),"Simulation")</f>
        <v>Simulation</v>
      </c>
    </row>
    <row r="490">
      <c r="A490" s="203" t="str">
        <f>IFERROR(__xludf.DUMMYFUNCTION("""COMPUTED_VALUE"""),"One Lonely Outpost")</f>
        <v>One Lonely Outpost</v>
      </c>
      <c r="B490" s="204" t="str">
        <f>IFERROR(__xludf.DUMMYFUNCTION("""COMPUTED_VALUE"""),"Xbox / PC")</f>
        <v>Xbox / PC</v>
      </c>
      <c r="C490" s="205" t="str">
        <f>IFERROR(__xludf.DUMMYFUNCTION("""COMPUTED_VALUE"""),"Yes")</f>
        <v>Yes</v>
      </c>
      <c r="D490" s="205" t="str">
        <f>IFERROR(__xludf.DUMMYFUNCTION("""COMPUTED_VALUE"""),"Active")</f>
        <v>Active</v>
      </c>
      <c r="E490" s="166">
        <f>IFERROR(__xludf.DUMMYFUNCTION("""COMPUTED_VALUE"""),45722.0)</f>
        <v>45722</v>
      </c>
      <c r="F490" s="206"/>
      <c r="G490" s="167">
        <f>IFERROR(__xludf.DUMMYFUNCTION("""COMPUTED_VALUE"""),7.299999999999999)</f>
        <v>7.3</v>
      </c>
      <c r="H490" s="166">
        <f>IFERROR(__xludf.DUMMYFUNCTION("""COMPUTED_VALUE"""),45103.0)</f>
        <v>45103</v>
      </c>
      <c r="I490" s="167">
        <f>IFERROR(__xludf.DUMMYFUNCTION("""COMPUTED_VALUE"""),1.6944444444444444)</f>
        <v>1.694444444</v>
      </c>
      <c r="J490" s="168">
        <f>IFERROR(__xludf.DUMMYFUNCTION("""COMPUTED_VALUE"""),60.0)</f>
        <v>60</v>
      </c>
      <c r="K490" s="168"/>
      <c r="L490" s="207" t="str">
        <f>IFERROR(__xludf.DUMMYFUNCTION("""COMPUTED_VALUE"""),"Virtual Life")</f>
        <v>Virtual Life</v>
      </c>
    </row>
    <row r="491">
      <c r="A491" s="203" t="str">
        <f>IFERROR(__xludf.DUMMYFUNCTION("""COMPUTED_VALUE"""),"Totally Reliable Delivery Service")</f>
        <v>Totally Reliable Delivery Service</v>
      </c>
      <c r="B491" s="204" t="str">
        <f>IFERROR(__xludf.DUMMYFUNCTION("""COMPUTED_VALUE"""),"Xbox / PC")</f>
        <v>Xbox / PC</v>
      </c>
      <c r="C491" s="205" t="str">
        <f>IFERROR(__xludf.DUMMYFUNCTION("""COMPUTED_VALUE"""),"Yes")</f>
        <v>Yes</v>
      </c>
      <c r="D491" s="205" t="str">
        <f>IFERROR(__xludf.DUMMYFUNCTION("""COMPUTED_VALUE"""),"Active")</f>
        <v>Active</v>
      </c>
      <c r="E491" s="166">
        <f>IFERROR(__xludf.DUMMYFUNCTION("""COMPUTED_VALUE"""),43922.0)</f>
        <v>43922</v>
      </c>
      <c r="F491" s="206"/>
      <c r="G491" s="167">
        <f>IFERROR(__xludf.DUMMYFUNCTION("""COMPUTED_VALUE"""),66.46666666666667)</f>
        <v>66.46666667</v>
      </c>
      <c r="H491" s="166">
        <f>IFERROR(__xludf.DUMMYFUNCTION("""COMPUTED_VALUE"""),43922.0)</f>
        <v>43922</v>
      </c>
      <c r="I491" s="167">
        <f>IFERROR(__xludf.DUMMYFUNCTION("""COMPUTED_VALUE"""),0.0)</f>
        <v>0</v>
      </c>
      <c r="J491" s="168">
        <f>IFERROR(__xludf.DUMMYFUNCTION("""COMPUTED_VALUE"""),60.0)</f>
        <v>60</v>
      </c>
      <c r="K491" s="168">
        <f>IFERROR(__xludf.DUMMYFUNCTION("""COMPUTED_VALUE"""),1.0)</f>
        <v>1</v>
      </c>
      <c r="L491" s="207" t="str">
        <f>IFERROR(__xludf.DUMMYFUNCTION("""COMPUTED_VALUE"""),"Action / Simulation")</f>
        <v>Action / Simulation</v>
      </c>
    </row>
    <row r="492">
      <c r="A492" s="203" t="str">
        <f>IFERROR(__xludf.DUMMYFUNCTION("""COMPUTED_VALUE"""),"Wasteland Remastered")</f>
        <v>Wasteland Remastered</v>
      </c>
      <c r="B492" s="204" t="str">
        <f>IFERROR(__xludf.DUMMYFUNCTION("""COMPUTED_VALUE"""),"Xbox / PC")</f>
        <v>Xbox / PC</v>
      </c>
      <c r="C492" s="205" t="str">
        <f>IFERROR(__xludf.DUMMYFUNCTION("""COMPUTED_VALUE"""),"Touch Controls")</f>
        <v>Touch Controls</v>
      </c>
      <c r="D492" s="205" t="str">
        <f>IFERROR(__xludf.DUMMYFUNCTION("""COMPUTED_VALUE"""),"Active")</f>
        <v>Active</v>
      </c>
      <c r="E492" s="166">
        <f>IFERROR(__xludf.DUMMYFUNCTION("""COMPUTED_VALUE"""),43886.0)</f>
        <v>43886</v>
      </c>
      <c r="F492" s="206"/>
      <c r="G492" s="167">
        <f>IFERROR(__xludf.DUMMYFUNCTION("""COMPUTED_VALUE"""),67.66666666666667)</f>
        <v>67.66666667</v>
      </c>
      <c r="H492" s="166">
        <f>IFERROR(__xludf.DUMMYFUNCTION("""COMPUTED_VALUE"""),43886.0)</f>
        <v>43886</v>
      </c>
      <c r="I492" s="167">
        <f>IFERROR(__xludf.DUMMYFUNCTION("""COMPUTED_VALUE"""),0.0)</f>
        <v>0</v>
      </c>
      <c r="J492" s="168">
        <f>IFERROR(__xludf.DUMMYFUNCTION("""COMPUTED_VALUE"""),60.0)</f>
        <v>60</v>
      </c>
      <c r="K492" s="168">
        <f>IFERROR(__xludf.DUMMYFUNCTION("""COMPUTED_VALUE"""),18.5)</f>
        <v>18.5</v>
      </c>
      <c r="L492" s="207" t="str">
        <f>IFERROR(__xludf.DUMMYFUNCTION("""COMPUTED_VALUE"""),"Strategy / RPG")</f>
        <v>Strategy / RPG</v>
      </c>
    </row>
    <row r="493">
      <c r="A493" s="203" t="str">
        <f>IFERROR(__xludf.DUMMYFUNCTION("""COMPUTED_VALUE"""),"Crackdown 3")</f>
        <v>Crackdown 3</v>
      </c>
      <c r="B493" s="204" t="str">
        <f>IFERROR(__xludf.DUMMYFUNCTION("""COMPUTED_VALUE"""),"Xbox / PC")</f>
        <v>Xbox / PC</v>
      </c>
      <c r="C493" s="205" t="str">
        <f>IFERROR(__xludf.DUMMYFUNCTION("""COMPUTED_VALUE"""),"Yes")</f>
        <v>Yes</v>
      </c>
      <c r="D493" s="205" t="str">
        <f>IFERROR(__xludf.DUMMYFUNCTION("""COMPUTED_VALUE"""),"Active")</f>
        <v>Active</v>
      </c>
      <c r="E493" s="166">
        <f>IFERROR(__xludf.DUMMYFUNCTION("""COMPUTED_VALUE"""),43511.0)</f>
        <v>43511</v>
      </c>
      <c r="F493" s="206"/>
      <c r="G493" s="167">
        <f>IFERROR(__xludf.DUMMYFUNCTION("""COMPUTED_VALUE"""),80.0)</f>
        <v>80</v>
      </c>
      <c r="H493" s="166">
        <f>IFERROR(__xludf.DUMMYFUNCTION("""COMPUTED_VALUE"""),43511.0)</f>
        <v>43511</v>
      </c>
      <c r="I493" s="167">
        <f>IFERROR(__xludf.DUMMYFUNCTION("""COMPUTED_VALUE"""),0.0)</f>
        <v>0</v>
      </c>
      <c r="J493" s="168">
        <f>IFERROR(__xludf.DUMMYFUNCTION("""COMPUTED_VALUE"""),60.0)</f>
        <v>60</v>
      </c>
      <c r="K493" s="168">
        <f>IFERROR(__xludf.DUMMYFUNCTION("""COMPUTED_VALUE"""),6.5)</f>
        <v>6.5</v>
      </c>
      <c r="L493" s="207" t="str">
        <f>IFERROR(__xludf.DUMMYFUNCTION("""COMPUTED_VALUE"""),"Action-Adventure")</f>
        <v>Action-Adventure</v>
      </c>
    </row>
    <row r="494">
      <c r="A494" s="203" t="str">
        <f>IFERROR(__xludf.DUMMYFUNCTION("""COMPUTED_VALUE"""),"Skull and Bones")</f>
        <v>Skull and Bones</v>
      </c>
      <c r="B494" s="204" t="str">
        <f>IFERROR(__xludf.DUMMYFUNCTION("""COMPUTED_VALUE"""),"Xbox / PC")</f>
        <v>Xbox / PC</v>
      </c>
      <c r="C494" s="205" t="str">
        <f>IFERROR(__xludf.DUMMYFUNCTION("""COMPUTED_VALUE"""),"Yes")</f>
        <v>Yes</v>
      </c>
      <c r="D494" s="205" t="str">
        <f>IFERROR(__xludf.DUMMYFUNCTION("""COMPUTED_VALUE"""),"Active")</f>
        <v>Active</v>
      </c>
      <c r="E494" s="166">
        <f>IFERROR(__xludf.DUMMYFUNCTION("""COMPUTED_VALUE"""),45931.0)</f>
        <v>45931</v>
      </c>
      <c r="F494" s="206"/>
      <c r="G494" s="167">
        <f>IFERROR(__xludf.DUMMYFUNCTION("""COMPUTED_VALUE"""),0.4666666666666667)</f>
        <v>0.4666666667</v>
      </c>
      <c r="H494" s="166">
        <f>IFERROR(__xludf.DUMMYFUNCTION("""COMPUTED_VALUE"""),45338.0)</f>
        <v>45338</v>
      </c>
      <c r="I494" s="167">
        <f>IFERROR(__xludf.DUMMYFUNCTION("""COMPUTED_VALUE"""),1.625)</f>
        <v>1.625</v>
      </c>
      <c r="J494" s="168">
        <f>IFERROR(__xludf.DUMMYFUNCTION("""COMPUTED_VALUE"""),59.0)</f>
        <v>59</v>
      </c>
      <c r="K494" s="168">
        <f>IFERROR(__xludf.DUMMYFUNCTION("""COMPUTED_VALUE"""),32.0)</f>
        <v>32</v>
      </c>
      <c r="L494" s="207" t="str">
        <f>IFERROR(__xludf.DUMMYFUNCTION("""COMPUTED_VALUE"""),"Action-Adventure")</f>
        <v>Action-Adventure</v>
      </c>
    </row>
    <row r="495">
      <c r="A495" s="203" t="str">
        <f>IFERROR(__xludf.DUMMYFUNCTION("""COMPUTED_VALUE"""),"Rain World")</f>
        <v>Rain World</v>
      </c>
      <c r="B495" s="204" t="str">
        <f>IFERROR(__xludf.DUMMYFUNCTION("""COMPUTED_VALUE"""),"Xbox / PC")</f>
        <v>Xbox / PC</v>
      </c>
      <c r="C495" s="205" t="str">
        <f>IFERROR(__xludf.DUMMYFUNCTION("""COMPUTED_VALUE"""),"Yes")</f>
        <v>Yes</v>
      </c>
      <c r="D495" s="205" t="str">
        <f>IFERROR(__xludf.DUMMYFUNCTION("""COMPUTED_VALUE"""),"Active")</f>
        <v>Active</v>
      </c>
      <c r="E495" s="166">
        <f>IFERROR(__xludf.DUMMYFUNCTION("""COMPUTED_VALUE"""),45874.0)</f>
        <v>45874</v>
      </c>
      <c r="F495" s="206"/>
      <c r="G495" s="167">
        <f>IFERROR(__xludf.DUMMYFUNCTION("""COMPUTED_VALUE"""),2.3333333333333335)</f>
        <v>2.333333333</v>
      </c>
      <c r="H495" s="166">
        <f>IFERROR(__xludf.DUMMYFUNCTION("""COMPUTED_VALUE"""),42822.0)</f>
        <v>42822</v>
      </c>
      <c r="I495" s="167">
        <f>IFERROR(__xludf.DUMMYFUNCTION("""COMPUTED_VALUE"""),8.352777777777778)</f>
        <v>8.352777778</v>
      </c>
      <c r="J495" s="168">
        <f>IFERROR(__xludf.DUMMYFUNCTION("""COMPUTED_VALUE"""),59.0)</f>
        <v>59</v>
      </c>
      <c r="K495" s="168">
        <f>IFERROR(__xludf.DUMMYFUNCTION("""COMPUTED_VALUE"""),21.0)</f>
        <v>21</v>
      </c>
      <c r="L495" s="207" t="str">
        <f>IFERROR(__xludf.DUMMYFUNCTION("""COMPUTED_VALUE"""),"Platformer")</f>
        <v>Platformer</v>
      </c>
    </row>
    <row r="496">
      <c r="A496" s="203" t="str">
        <f>IFERROR(__xludf.DUMMYFUNCTION("""COMPUTED_VALUE"""),"Warcraft III: Reforged")</f>
        <v>Warcraft III: Reforged</v>
      </c>
      <c r="B496" s="204" t="str">
        <f>IFERROR(__xludf.DUMMYFUNCTION("""COMPUTED_VALUE"""),"PC")</f>
        <v>PC</v>
      </c>
      <c r="C496" s="205"/>
      <c r="D496" s="205" t="str">
        <f>IFERROR(__xludf.DUMMYFUNCTION("""COMPUTED_VALUE"""),"Active")</f>
        <v>Active</v>
      </c>
      <c r="E496" s="166">
        <f>IFERROR(__xludf.DUMMYFUNCTION("""COMPUTED_VALUE"""),45834.0)</f>
        <v>45834</v>
      </c>
      <c r="F496" s="206"/>
      <c r="G496" s="167">
        <f>IFERROR(__xludf.DUMMYFUNCTION("""COMPUTED_VALUE"""),3.633333333333333)</f>
        <v>3.633333333</v>
      </c>
      <c r="H496" s="166">
        <f>IFERROR(__xludf.DUMMYFUNCTION("""COMPUTED_VALUE"""),43858.0)</f>
        <v>43858</v>
      </c>
      <c r="I496" s="167">
        <f>IFERROR(__xludf.DUMMYFUNCTION("""COMPUTED_VALUE"""),5.411111111111111)</f>
        <v>5.411111111</v>
      </c>
      <c r="J496" s="168">
        <f>IFERROR(__xludf.DUMMYFUNCTION("""COMPUTED_VALUE"""),59.0)</f>
        <v>59</v>
      </c>
      <c r="K496" s="168">
        <f>IFERROR(__xludf.DUMMYFUNCTION("""COMPUTED_VALUE"""),31.0)</f>
        <v>31</v>
      </c>
      <c r="L496" s="207" t="str">
        <f>IFERROR(__xludf.DUMMYFUNCTION("""COMPUTED_VALUE"""),"Strategy")</f>
        <v>Strategy</v>
      </c>
    </row>
    <row r="497">
      <c r="A497" s="203" t="str">
        <f>IFERROR(__xludf.DUMMYFUNCTION("""COMPUTED_VALUE"""),"Hungry Shark World")</f>
        <v>Hungry Shark World</v>
      </c>
      <c r="B497" s="204" t="str">
        <f>IFERROR(__xludf.DUMMYFUNCTION("""COMPUTED_VALUE"""),"Xbox / PC")</f>
        <v>Xbox / PC</v>
      </c>
      <c r="C497" s="205" t="str">
        <f>IFERROR(__xludf.DUMMYFUNCTION("""COMPUTED_VALUE"""),"Yes")</f>
        <v>Yes</v>
      </c>
      <c r="D497" s="205" t="str">
        <f>IFERROR(__xludf.DUMMYFUNCTION("""COMPUTED_VALUE"""),"Active")</f>
        <v>Active</v>
      </c>
      <c r="E497" s="166">
        <f>IFERROR(__xludf.DUMMYFUNCTION("""COMPUTED_VALUE"""),45931.0)</f>
        <v>45931</v>
      </c>
      <c r="F497" s="206"/>
      <c r="G497" s="167">
        <f>IFERROR(__xludf.DUMMYFUNCTION("""COMPUTED_VALUE"""),0.4666666666666667)</f>
        <v>0.4666666667</v>
      </c>
      <c r="H497" s="166">
        <f>IFERROR(__xludf.DUMMYFUNCTION("""COMPUTED_VALUE"""),43298.0)</f>
        <v>43298</v>
      </c>
      <c r="I497" s="167">
        <f>IFERROR(__xludf.DUMMYFUNCTION("""COMPUTED_VALUE"""),7.205555555555556)</f>
        <v>7.205555556</v>
      </c>
      <c r="J497" s="168">
        <f>IFERROR(__xludf.DUMMYFUNCTION("""COMPUTED_VALUE"""),58.0)</f>
        <v>58</v>
      </c>
      <c r="K497" s="168">
        <f>IFERROR(__xludf.DUMMYFUNCTION("""COMPUTED_VALUE"""),8.0)</f>
        <v>8</v>
      </c>
      <c r="L497" s="207" t="str">
        <f>IFERROR(__xludf.DUMMYFUNCTION("""COMPUTED_VALUE"""),"Action-Adventure")</f>
        <v>Action-Adventure</v>
      </c>
    </row>
    <row r="498">
      <c r="A498" s="203" t="str">
        <f>IFERROR(__xludf.DUMMYFUNCTION("""COMPUTED_VALUE"""),"Police Simulator: Patrol Officers")</f>
        <v>Police Simulator: Patrol Officers</v>
      </c>
      <c r="B498" s="204" t="str">
        <f>IFERROR(__xludf.DUMMYFUNCTION("""COMPUTED_VALUE"""),"Xbox / PC")</f>
        <v>Xbox / PC</v>
      </c>
      <c r="C498" s="205" t="str">
        <f>IFERROR(__xludf.DUMMYFUNCTION("""COMPUTED_VALUE"""),"Yes")</f>
        <v>Yes</v>
      </c>
      <c r="D498" s="205" t="str">
        <f>IFERROR(__xludf.DUMMYFUNCTION("""COMPUTED_VALUE"""),"Active")</f>
        <v>Active</v>
      </c>
      <c r="E498" s="166">
        <f>IFERROR(__xludf.DUMMYFUNCTION("""COMPUTED_VALUE"""),45797.0)</f>
        <v>45797</v>
      </c>
      <c r="F498" s="206"/>
      <c r="G498" s="167">
        <f>IFERROR(__xludf.DUMMYFUNCTION("""COMPUTED_VALUE"""),4.833333333333334)</f>
        <v>4.833333333</v>
      </c>
      <c r="H498" s="166">
        <f>IFERROR(__xludf.DUMMYFUNCTION("""COMPUTED_VALUE"""),44875.0)</f>
        <v>44875</v>
      </c>
      <c r="I498" s="167">
        <f>IFERROR(__xludf.DUMMYFUNCTION("""COMPUTED_VALUE"""),2.5277777777777777)</f>
        <v>2.527777778</v>
      </c>
      <c r="J498" s="168">
        <f>IFERROR(__xludf.DUMMYFUNCTION("""COMPUTED_VALUE"""),58.0)</f>
        <v>58</v>
      </c>
      <c r="K498" s="168">
        <f>IFERROR(__xludf.DUMMYFUNCTION("""COMPUTED_VALUE"""),16.0)</f>
        <v>16</v>
      </c>
      <c r="L498" s="207" t="str">
        <f>IFERROR(__xludf.DUMMYFUNCTION("""COMPUTED_VALUE"""),"Simulation")</f>
        <v>Simulation</v>
      </c>
    </row>
    <row r="499">
      <c r="A499" s="203" t="str">
        <f>IFERROR(__xludf.DUMMYFUNCTION("""COMPUTED_VALUE"""),"Dead by Daylight: Special Edition")</f>
        <v>Dead by Daylight: Special Edition</v>
      </c>
      <c r="B499" s="204" t="str">
        <f>IFERROR(__xludf.DUMMYFUNCTION("""COMPUTED_VALUE"""),"Xbox / PC")</f>
        <v>Xbox / PC</v>
      </c>
      <c r="C499" s="205" t="str">
        <f>IFERROR(__xludf.DUMMYFUNCTION("""COMPUTED_VALUE"""),"Yes")</f>
        <v>Yes</v>
      </c>
      <c r="D499" s="205" t="str">
        <f>IFERROR(__xludf.DUMMYFUNCTION("""COMPUTED_VALUE"""),"Active")</f>
        <v>Active</v>
      </c>
      <c r="E499" s="166">
        <f>IFERROR(__xludf.DUMMYFUNCTION("""COMPUTED_VALUE"""),43615.0)</f>
        <v>43615</v>
      </c>
      <c r="F499" s="206"/>
      <c r="G499" s="167">
        <f>IFERROR(__xludf.DUMMYFUNCTION("""COMPUTED_VALUE"""),76.5)</f>
        <v>76.5</v>
      </c>
      <c r="H499" s="166">
        <f>IFERROR(__xludf.DUMMYFUNCTION("""COMPUTED_VALUE"""),42535.0)</f>
        <v>42535</v>
      </c>
      <c r="I499" s="167">
        <f>IFERROR(__xludf.DUMMYFUNCTION("""COMPUTED_VALUE"""),2.9611111111111112)</f>
        <v>2.961111111</v>
      </c>
      <c r="J499" s="168">
        <f>IFERROR(__xludf.DUMMYFUNCTION("""COMPUTED_VALUE"""),58.0)</f>
        <v>58</v>
      </c>
      <c r="K499" s="168">
        <f>IFERROR(__xludf.DUMMYFUNCTION("""COMPUTED_VALUE"""),608.0)</f>
        <v>608</v>
      </c>
      <c r="L499" s="207" t="str">
        <f>IFERROR(__xludf.DUMMYFUNCTION("""COMPUTED_VALUE"""),"Action")</f>
        <v>Action</v>
      </c>
    </row>
    <row r="500">
      <c r="A500" s="203" t="str">
        <f>IFERROR(__xludf.DUMMYFUNCTION("""COMPUTED_VALUE"""),"Cricket 24")</f>
        <v>Cricket 24</v>
      </c>
      <c r="B500" s="204" t="str">
        <f>IFERROR(__xludf.DUMMYFUNCTION("""COMPUTED_VALUE"""),"Xbox / PC")</f>
        <v>Xbox / PC</v>
      </c>
      <c r="C500" s="205" t="str">
        <f>IFERROR(__xludf.DUMMYFUNCTION("""COMPUTED_VALUE"""),"Yes")</f>
        <v>Yes</v>
      </c>
      <c r="D500" s="205" t="str">
        <f>IFERROR(__xludf.DUMMYFUNCTION("""COMPUTED_VALUE"""),"Active")</f>
        <v>Active</v>
      </c>
      <c r="E500" s="166">
        <f>IFERROR(__xludf.DUMMYFUNCTION("""COMPUTED_VALUE"""),45482.0)</f>
        <v>45482</v>
      </c>
      <c r="F500" s="206"/>
      <c r="G500" s="167">
        <f>IFERROR(__xludf.DUMMYFUNCTION("""COMPUTED_VALUE"""),15.2)</f>
        <v>15.2</v>
      </c>
      <c r="H500" s="166">
        <f>IFERROR(__xludf.DUMMYFUNCTION("""COMPUTED_VALUE"""),45204.0)</f>
        <v>45204</v>
      </c>
      <c r="I500" s="167">
        <f>IFERROR(__xludf.DUMMYFUNCTION("""COMPUTED_VALUE"""),0.7611111111111111)</f>
        <v>0.7611111111</v>
      </c>
      <c r="J500" s="168">
        <f>IFERROR(__xludf.DUMMYFUNCTION("""COMPUTED_VALUE"""),57.0)</f>
        <v>57</v>
      </c>
      <c r="K500" s="168">
        <f>IFERROR(__xludf.DUMMYFUNCTION("""COMPUTED_VALUE"""),15.0)</f>
        <v>15</v>
      </c>
      <c r="L500" s="207" t="str">
        <f>IFERROR(__xludf.DUMMYFUNCTION("""COMPUTED_VALUE"""),"Sports")</f>
        <v>Sports</v>
      </c>
    </row>
    <row r="501">
      <c r="A501" s="203" t="str">
        <f>IFERROR(__xludf.DUMMYFUNCTION("""COMPUTED_VALUE"""),"Tom Clancy's Ghost Recon Breakpoint")</f>
        <v>Tom Clancy's Ghost Recon Breakpoint</v>
      </c>
      <c r="B501" s="204" t="str">
        <f>IFERROR(__xludf.DUMMYFUNCTION("""COMPUTED_VALUE"""),"Xbox / PC")</f>
        <v>Xbox / PC</v>
      </c>
      <c r="C501" s="205" t="str">
        <f>IFERROR(__xludf.DUMMYFUNCTION("""COMPUTED_VALUE"""),"Yes")</f>
        <v>Yes</v>
      </c>
      <c r="D501" s="205" t="str">
        <f>IFERROR(__xludf.DUMMYFUNCTION("""COMPUTED_VALUE"""),"Active")</f>
        <v>Active</v>
      </c>
      <c r="E501" s="166">
        <f>IFERROR(__xludf.DUMMYFUNCTION("""COMPUTED_VALUE"""),45931.0)</f>
        <v>45931</v>
      </c>
      <c r="F501" s="206"/>
      <c r="G501" s="167">
        <f>IFERROR(__xludf.DUMMYFUNCTION("""COMPUTED_VALUE"""),0.4666666666666667)</f>
        <v>0.4666666667</v>
      </c>
      <c r="H501" s="166">
        <f>IFERROR(__xludf.DUMMYFUNCTION("""COMPUTED_VALUE"""),43739.0)</f>
        <v>43739</v>
      </c>
      <c r="I501" s="167">
        <f>IFERROR(__xludf.DUMMYFUNCTION("""COMPUTED_VALUE"""),6.0)</f>
        <v>6</v>
      </c>
      <c r="J501" s="168">
        <f>IFERROR(__xludf.DUMMYFUNCTION("""COMPUTED_VALUE"""),56.0)</f>
        <v>56</v>
      </c>
      <c r="K501" s="168">
        <f>IFERROR(__xludf.DUMMYFUNCTION("""COMPUTED_VALUE"""),23.0)</f>
        <v>23</v>
      </c>
      <c r="L501" s="207" t="str">
        <f>IFERROR(__xludf.DUMMYFUNCTION("""COMPUTED_VALUE"""),"Shooter")</f>
        <v>Shooter</v>
      </c>
    </row>
    <row r="502">
      <c r="A502" s="203" t="str">
        <f>IFERROR(__xludf.DUMMYFUNCTION("""COMPUTED_VALUE"""),"Call of Duty: Modern Warfare III")</f>
        <v>Call of Duty: Modern Warfare III</v>
      </c>
      <c r="B502" s="204" t="str">
        <f>IFERROR(__xludf.DUMMYFUNCTION("""COMPUTED_VALUE"""),"Xbox / PC")</f>
        <v>Xbox / PC</v>
      </c>
      <c r="C502" s="205" t="str">
        <f>IFERROR(__xludf.DUMMYFUNCTION("""COMPUTED_VALUE"""),"Yes")</f>
        <v>Yes</v>
      </c>
      <c r="D502" s="205" t="str">
        <f>IFERROR(__xludf.DUMMYFUNCTION("""COMPUTED_VALUE"""),"Active")</f>
        <v>Active</v>
      </c>
      <c r="E502" s="166">
        <f>IFERROR(__xludf.DUMMYFUNCTION("""COMPUTED_VALUE"""),45497.0)</f>
        <v>45497</v>
      </c>
      <c r="F502" s="206"/>
      <c r="G502" s="167">
        <f>IFERROR(__xludf.DUMMYFUNCTION("""COMPUTED_VALUE"""),14.700000000000001)</f>
        <v>14.7</v>
      </c>
      <c r="H502" s="166">
        <f>IFERROR(__xludf.DUMMYFUNCTION("""COMPUTED_VALUE"""),45211.0)</f>
        <v>45211</v>
      </c>
      <c r="I502" s="167">
        <f>IFERROR(__xludf.DUMMYFUNCTION("""COMPUTED_VALUE"""),0.7833333333333333)</f>
        <v>0.7833333333</v>
      </c>
      <c r="J502" s="168">
        <f>IFERROR(__xludf.DUMMYFUNCTION("""COMPUTED_VALUE"""),56.0)</f>
        <v>56</v>
      </c>
      <c r="K502" s="168">
        <f>IFERROR(__xludf.DUMMYFUNCTION("""COMPUTED_VALUE"""),5.0)</f>
        <v>5</v>
      </c>
      <c r="L502" s="207" t="str">
        <f>IFERROR(__xludf.DUMMYFUNCTION("""COMPUTED_VALUE"""),"Shooter")</f>
        <v>Shooter</v>
      </c>
    </row>
    <row r="503">
      <c r="A503" s="203" t="str">
        <f>IFERROR(__xludf.DUMMYFUNCTION("""COMPUTED_VALUE"""),"Bluey: The Videogame")</f>
        <v>Bluey: The Videogame</v>
      </c>
      <c r="B503" s="204" t="str">
        <f>IFERROR(__xludf.DUMMYFUNCTION("""COMPUTED_VALUE"""),"Xbox / PC")</f>
        <v>Xbox / PC</v>
      </c>
      <c r="C503" s="205" t="str">
        <f>IFERROR(__xludf.DUMMYFUNCTION("""COMPUTED_VALUE"""),"Yes")</f>
        <v>Yes</v>
      </c>
      <c r="D503" s="205" t="str">
        <f>IFERROR(__xludf.DUMMYFUNCTION("""COMPUTED_VALUE"""),"Active")</f>
        <v>Active</v>
      </c>
      <c r="E503" s="166">
        <f>IFERROR(__xludf.DUMMYFUNCTION("""COMPUTED_VALUE"""),45344.0)</f>
        <v>45344</v>
      </c>
      <c r="F503" s="206"/>
      <c r="G503" s="167">
        <f>IFERROR(__xludf.DUMMYFUNCTION("""COMPUTED_VALUE"""),19.766666666666666)</f>
        <v>19.76666667</v>
      </c>
      <c r="H503" s="166">
        <f>IFERROR(__xludf.DUMMYFUNCTION("""COMPUTED_VALUE"""),45247.0)</f>
        <v>45247</v>
      </c>
      <c r="I503" s="167">
        <f>IFERROR(__xludf.DUMMYFUNCTION("""COMPUTED_VALUE"""),0.2638888888888889)</f>
        <v>0.2638888889</v>
      </c>
      <c r="J503" s="168">
        <f>IFERROR(__xludf.DUMMYFUNCTION("""COMPUTED_VALUE"""),56.0)</f>
        <v>56</v>
      </c>
      <c r="K503" s="168">
        <f>IFERROR(__xludf.DUMMYFUNCTION("""COMPUTED_VALUE"""),1.0)</f>
        <v>1</v>
      </c>
      <c r="L503" s="207" t="str">
        <f>IFERROR(__xludf.DUMMYFUNCTION("""COMPUTED_VALUE"""),"Adventure")</f>
        <v>Adventure</v>
      </c>
    </row>
    <row r="504">
      <c r="A504" s="203" t="str">
        <f>IFERROR(__xludf.DUMMYFUNCTION("""COMPUTED_VALUE"""),"An Elder Scrolls Legend: Battlespire")</f>
        <v>An Elder Scrolls Legend: Battlespire</v>
      </c>
      <c r="B504" s="204" t="str">
        <f>IFERROR(__xludf.DUMMYFUNCTION("""COMPUTED_VALUE"""),"PC")</f>
        <v>PC</v>
      </c>
      <c r="C504" s="205"/>
      <c r="D504" s="205" t="str">
        <f>IFERROR(__xludf.DUMMYFUNCTION("""COMPUTED_VALUE"""),"Active")</f>
        <v>Active</v>
      </c>
      <c r="E504" s="166">
        <f>IFERROR(__xludf.DUMMYFUNCTION("""COMPUTED_VALUE"""),44791.0)</f>
        <v>44791</v>
      </c>
      <c r="F504" s="206"/>
      <c r="G504" s="167">
        <f>IFERROR(__xludf.DUMMYFUNCTION("""COMPUTED_VALUE"""),37.9)</f>
        <v>37.9</v>
      </c>
      <c r="H504" s="166">
        <f>IFERROR(__xludf.DUMMYFUNCTION("""COMPUTED_VALUE"""),35764.0)</f>
        <v>35764</v>
      </c>
      <c r="I504" s="167">
        <f>IFERROR(__xludf.DUMMYFUNCTION("""COMPUTED_VALUE"""),24.716666666666665)</f>
        <v>24.71666667</v>
      </c>
      <c r="J504" s="168">
        <f>IFERROR(__xludf.DUMMYFUNCTION("""COMPUTED_VALUE"""),56.0)</f>
        <v>56</v>
      </c>
      <c r="K504" s="168">
        <f>IFERROR(__xludf.DUMMYFUNCTION("""COMPUTED_VALUE"""),15.5)</f>
        <v>15.5</v>
      </c>
      <c r="L504" s="207" t="str">
        <f>IFERROR(__xludf.DUMMYFUNCTION("""COMPUTED_VALUE"""),"Action / RPG")</f>
        <v>Action / RPG</v>
      </c>
    </row>
    <row r="505">
      <c r="A505" s="203" t="str">
        <f>IFERROR(__xludf.DUMMYFUNCTION("""COMPUTED_VALUE"""),"Trials of the Blood Dragon")</f>
        <v>Trials of the Blood Dragon</v>
      </c>
      <c r="B505" s="204" t="str">
        <f>IFERROR(__xludf.DUMMYFUNCTION("""COMPUTED_VALUE"""),"Xbox / PC")</f>
        <v>Xbox / PC</v>
      </c>
      <c r="C505" s="205" t="str">
        <f>IFERROR(__xludf.DUMMYFUNCTION("""COMPUTED_VALUE"""),"Yes")</f>
        <v>Yes</v>
      </c>
      <c r="D505" s="205" t="str">
        <f>IFERROR(__xludf.DUMMYFUNCTION("""COMPUTED_VALUE"""),"Active")</f>
        <v>Active</v>
      </c>
      <c r="E505" s="166">
        <f>IFERROR(__xludf.DUMMYFUNCTION("""COMPUTED_VALUE"""),45931.0)</f>
        <v>45931</v>
      </c>
      <c r="F505" s="206"/>
      <c r="G505" s="167">
        <f>IFERROR(__xludf.DUMMYFUNCTION("""COMPUTED_VALUE"""),0.4666666666666667)</f>
        <v>0.4666666667</v>
      </c>
      <c r="H505" s="166">
        <f>IFERROR(__xludf.DUMMYFUNCTION("""COMPUTED_VALUE"""),42534.0)</f>
        <v>42534</v>
      </c>
      <c r="I505" s="167">
        <f>IFERROR(__xludf.DUMMYFUNCTION("""COMPUTED_VALUE"""),9.3)</f>
        <v>9.3</v>
      </c>
      <c r="J505" s="168">
        <f>IFERROR(__xludf.DUMMYFUNCTION("""COMPUTED_VALUE"""),55.0)</f>
        <v>55</v>
      </c>
      <c r="K505" s="168">
        <f>IFERROR(__xludf.DUMMYFUNCTION("""COMPUTED_VALUE"""),3.0)</f>
        <v>3</v>
      </c>
      <c r="L505" s="207" t="str">
        <f>IFERROR(__xludf.DUMMYFUNCTION("""COMPUTED_VALUE"""),"Racing")</f>
        <v>Racing</v>
      </c>
    </row>
    <row r="506">
      <c r="A506" s="203" t="str">
        <f>IFERROR(__xludf.DUMMYFUNCTION("""COMPUTED_VALUE"""),"Mad Streets")</f>
        <v>Mad Streets</v>
      </c>
      <c r="B506" s="204" t="str">
        <f>IFERROR(__xludf.DUMMYFUNCTION("""COMPUTED_VALUE"""),"Xbox / PC")</f>
        <v>Xbox / PC</v>
      </c>
      <c r="C506" s="205" t="str">
        <f>IFERROR(__xludf.DUMMYFUNCTION("""COMPUTED_VALUE"""),"Yes")</f>
        <v>Yes</v>
      </c>
      <c r="D506" s="205" t="str">
        <f>IFERROR(__xludf.DUMMYFUNCTION("""COMPUTED_VALUE"""),"Active")</f>
        <v>Active</v>
      </c>
      <c r="E506" s="166">
        <f>IFERROR(__xludf.DUMMYFUNCTION("""COMPUTED_VALUE"""),45572.0)</f>
        <v>45572</v>
      </c>
      <c r="F506" s="206"/>
      <c r="G506" s="167">
        <f>IFERROR(__xludf.DUMMYFUNCTION("""COMPUTED_VALUE"""),12.266666666666666)</f>
        <v>12.26666667</v>
      </c>
      <c r="H506" s="166">
        <f>IFERROR(__xludf.DUMMYFUNCTION("""COMPUTED_VALUE"""),44435.0)</f>
        <v>44435</v>
      </c>
      <c r="I506" s="167">
        <f>IFERROR(__xludf.DUMMYFUNCTION("""COMPUTED_VALUE"""),3.111111111111111)</f>
        <v>3.111111111</v>
      </c>
      <c r="J506" s="168">
        <f>IFERROR(__xludf.DUMMYFUNCTION("""COMPUTED_VALUE"""),55.0)</f>
        <v>55</v>
      </c>
      <c r="K506" s="168">
        <f>IFERROR(__xludf.DUMMYFUNCTION("""COMPUTED_VALUE"""),2.0)</f>
        <v>2</v>
      </c>
      <c r="L506" s="207" t="str">
        <f>IFERROR(__xludf.DUMMYFUNCTION("""COMPUTED_VALUE"""),"Beat-'Em-Up ")</f>
        <v>Beat-'Em-Up </v>
      </c>
    </row>
    <row r="507">
      <c r="A507" s="203" t="str">
        <f>IFERROR(__xludf.DUMMYFUNCTION("""COMPUTED_VALUE"""),"Redfall")</f>
        <v>Redfall</v>
      </c>
      <c r="B507" s="204" t="str">
        <f>IFERROR(__xludf.DUMMYFUNCTION("""COMPUTED_VALUE"""),"Xbox / PC")</f>
        <v>Xbox / PC</v>
      </c>
      <c r="C507" s="205" t="str">
        <f>IFERROR(__xludf.DUMMYFUNCTION("""COMPUTED_VALUE"""),"Yes")</f>
        <v>Yes</v>
      </c>
      <c r="D507" s="205" t="str">
        <f>IFERROR(__xludf.DUMMYFUNCTION("""COMPUTED_VALUE"""),"Active")</f>
        <v>Active</v>
      </c>
      <c r="E507" s="166">
        <f>IFERROR(__xludf.DUMMYFUNCTION("""COMPUTED_VALUE"""),45048.0)</f>
        <v>45048</v>
      </c>
      <c r="F507" s="206"/>
      <c r="G507" s="167">
        <f>IFERROR(__xludf.DUMMYFUNCTION("""COMPUTED_VALUE"""),29.433333333333337)</f>
        <v>29.43333333</v>
      </c>
      <c r="H507" s="166">
        <f>IFERROR(__xludf.DUMMYFUNCTION("""COMPUTED_VALUE"""),45048.0)</f>
        <v>45048</v>
      </c>
      <c r="I507" s="167">
        <f>IFERROR(__xludf.DUMMYFUNCTION("""COMPUTED_VALUE"""),0.0)</f>
        <v>0</v>
      </c>
      <c r="J507" s="168">
        <f>IFERROR(__xludf.DUMMYFUNCTION("""COMPUTED_VALUE"""),55.0)</f>
        <v>55</v>
      </c>
      <c r="K507" s="168">
        <f>IFERROR(__xludf.DUMMYFUNCTION("""COMPUTED_VALUE"""),11.0)</f>
        <v>11</v>
      </c>
      <c r="L507" s="207" t="str">
        <f>IFERROR(__xludf.DUMMYFUNCTION("""COMPUTED_VALUE"""),"First-Person Shooter")</f>
        <v>First-Person Shooter</v>
      </c>
    </row>
    <row r="508">
      <c r="A508" s="203" t="str">
        <f>IFERROR(__xludf.DUMMYFUNCTION("""COMPUTED_VALUE"""),"The Settlers: New Allies")</f>
        <v>The Settlers: New Allies</v>
      </c>
      <c r="B508" s="204" t="str">
        <f>IFERROR(__xludf.DUMMYFUNCTION("""COMPUTED_VALUE"""),"Xbox / PC")</f>
        <v>Xbox / PC</v>
      </c>
      <c r="C508" s="205" t="str">
        <f>IFERROR(__xludf.DUMMYFUNCTION("""COMPUTED_VALUE"""),"Yes")</f>
        <v>Yes</v>
      </c>
      <c r="D508" s="205" t="str">
        <f>IFERROR(__xludf.DUMMYFUNCTION("""COMPUTED_VALUE"""),"Active")</f>
        <v>Active</v>
      </c>
      <c r="E508" s="166">
        <f>IFERROR(__xludf.DUMMYFUNCTION("""COMPUTED_VALUE"""),45931.0)</f>
        <v>45931</v>
      </c>
      <c r="F508" s="206"/>
      <c r="G508" s="167">
        <f>IFERROR(__xludf.DUMMYFUNCTION("""COMPUTED_VALUE"""),0.4666666666666667)</f>
        <v>0.4666666667</v>
      </c>
      <c r="H508" s="166">
        <f>IFERROR(__xludf.DUMMYFUNCTION("""COMPUTED_VALUE"""),44974.0)</f>
        <v>44974</v>
      </c>
      <c r="I508" s="167">
        <f>IFERROR(__xludf.DUMMYFUNCTION("""COMPUTED_VALUE"""),2.6222222222222222)</f>
        <v>2.622222222</v>
      </c>
      <c r="J508" s="168">
        <f>IFERROR(__xludf.DUMMYFUNCTION("""COMPUTED_VALUE"""),54.0)</f>
        <v>54</v>
      </c>
      <c r="K508" s="168">
        <f>IFERROR(__xludf.DUMMYFUNCTION("""COMPUTED_VALUE"""),35.0)</f>
        <v>35</v>
      </c>
      <c r="L508" s="207" t="str">
        <f>IFERROR(__xludf.DUMMYFUNCTION("""COMPUTED_VALUE"""),"Management")</f>
        <v>Management</v>
      </c>
    </row>
    <row r="509">
      <c r="A509" s="203" t="str">
        <f>IFERROR(__xludf.DUMMYFUNCTION("""COMPUTED_VALUE"""),"Halo: Spartan Assault")</f>
        <v>Halo: Spartan Assault</v>
      </c>
      <c r="B509" s="204" t="str">
        <f>IFERROR(__xludf.DUMMYFUNCTION("""COMPUTED_VALUE"""),"Xbox / PC")</f>
        <v>Xbox / PC</v>
      </c>
      <c r="C509" s="205" t="str">
        <f>IFERROR(__xludf.DUMMYFUNCTION("""COMPUTED_VALUE"""),"Touch Controls")</f>
        <v>Touch Controls</v>
      </c>
      <c r="D509" s="205" t="str">
        <f>IFERROR(__xludf.DUMMYFUNCTION("""COMPUTED_VALUE"""),"Active")</f>
        <v>Active</v>
      </c>
      <c r="E509" s="166">
        <f>IFERROR(__xludf.DUMMYFUNCTION("""COMPUTED_VALUE"""),42887.0)</f>
        <v>42887</v>
      </c>
      <c r="F509" s="206"/>
      <c r="G509" s="167">
        <f>IFERROR(__xludf.DUMMYFUNCTION("""COMPUTED_VALUE"""),100.46666666666667)</f>
        <v>100.4666667</v>
      </c>
      <c r="H509" s="166">
        <f>IFERROR(__xludf.DUMMYFUNCTION("""COMPUTED_VALUE"""),41473.0)</f>
        <v>41473</v>
      </c>
      <c r="I509" s="167">
        <f>IFERROR(__xludf.DUMMYFUNCTION("""COMPUTED_VALUE"""),3.8694444444444445)</f>
        <v>3.869444444</v>
      </c>
      <c r="J509" s="168">
        <f>IFERROR(__xludf.DUMMYFUNCTION("""COMPUTED_VALUE"""),53.0)</f>
        <v>53</v>
      </c>
      <c r="K509" s="168">
        <f>IFERROR(__xludf.DUMMYFUNCTION("""COMPUTED_VALUE"""),4.0)</f>
        <v>4</v>
      </c>
      <c r="L509" s="207" t="str">
        <f>IFERROR(__xludf.DUMMYFUNCTION("""COMPUTED_VALUE"""),"Dual-Joystick Shooter")</f>
        <v>Dual-Joystick Shooter</v>
      </c>
    </row>
    <row r="510">
      <c r="A510" s="203" t="str">
        <f>IFERROR(__xludf.DUMMYFUNCTION("""COMPUTED_VALUE"""),"Generation Zero")</f>
        <v>Generation Zero</v>
      </c>
      <c r="B510" s="204" t="str">
        <f>IFERROR(__xludf.DUMMYFUNCTION("""COMPUTED_VALUE"""),"Xbox / PC")</f>
        <v>Xbox / PC</v>
      </c>
      <c r="C510" s="205" t="str">
        <f>IFERROR(__xludf.DUMMYFUNCTION("""COMPUTED_VALUE"""),"Yes")</f>
        <v>Yes</v>
      </c>
      <c r="D510" s="205" t="str">
        <f>IFERROR(__xludf.DUMMYFUNCTION("""COMPUTED_VALUE"""),"Active")</f>
        <v>Active</v>
      </c>
      <c r="E510" s="166">
        <f>IFERROR(__xludf.DUMMYFUNCTION("""COMPUTED_VALUE"""),44531.0)</f>
        <v>44531</v>
      </c>
      <c r="F510" s="206"/>
      <c r="G510" s="167">
        <f>IFERROR(__xludf.DUMMYFUNCTION("""COMPUTED_VALUE"""),46.46666666666667)</f>
        <v>46.46666667</v>
      </c>
      <c r="H510" s="166">
        <f>IFERROR(__xludf.DUMMYFUNCTION("""COMPUTED_VALUE"""),43550.0)</f>
        <v>43550</v>
      </c>
      <c r="I510" s="167">
        <f>IFERROR(__xludf.DUMMYFUNCTION("""COMPUTED_VALUE"""),2.6805555555555554)</f>
        <v>2.680555556</v>
      </c>
      <c r="J510" s="168">
        <f>IFERROR(__xludf.DUMMYFUNCTION("""COMPUTED_VALUE"""),50.5)</f>
        <v>50.5</v>
      </c>
      <c r="K510" s="168">
        <f>IFERROR(__xludf.DUMMYFUNCTION("""COMPUTED_VALUE"""),21.5)</f>
        <v>21.5</v>
      </c>
      <c r="L510" s="207" t="str">
        <f>IFERROR(__xludf.DUMMYFUNCTION("""COMPUTED_VALUE"""),"First-Person Shooter")</f>
        <v>First-Person Shooter</v>
      </c>
    </row>
    <row r="511">
      <c r="A511" s="203" t="str">
        <f>IFERROR(__xludf.DUMMYFUNCTION("""COMPUTED_VALUE"""),"The Outer Worlds 2")</f>
        <v>The Outer Worlds 2</v>
      </c>
      <c r="B511" s="204" t="str">
        <f>IFERROR(__xludf.DUMMYFUNCTION("""COMPUTED_VALUE"""),"Xbox / PC")</f>
        <v>Xbox / PC</v>
      </c>
      <c r="C511" s="205" t="str">
        <f>IFERROR(__xludf.DUMMYFUNCTION("""COMPUTED_VALUE"""),"Yes")</f>
        <v>Yes</v>
      </c>
      <c r="D511" s="205" t="str">
        <f>IFERROR(__xludf.DUMMYFUNCTION("""COMPUTED_VALUE"""),"Coming Soon")</f>
        <v>Coming Soon</v>
      </c>
      <c r="E511" s="166">
        <f>IFERROR(__xludf.DUMMYFUNCTION("""COMPUTED_VALUE"""),45959.0)</f>
        <v>45959</v>
      </c>
      <c r="F511" s="206"/>
      <c r="G511" s="167">
        <f>IFERROR(__xludf.DUMMYFUNCTION("""COMPUTED_VALUE"""),-0.4666666666666667)</f>
        <v>-0.4666666667</v>
      </c>
      <c r="H511" s="166">
        <f>IFERROR(__xludf.DUMMYFUNCTION("""COMPUTED_VALUE"""),45959.0)</f>
        <v>45959</v>
      </c>
      <c r="I511" s="167">
        <f>IFERROR(__xludf.DUMMYFUNCTION("""COMPUTED_VALUE"""),0.0)</f>
        <v>0</v>
      </c>
      <c r="J511" s="168"/>
      <c r="K511" s="168"/>
      <c r="L511" s="207" t="str">
        <f>IFERROR(__xludf.DUMMYFUNCTION("""COMPUTED_VALUE"""),"RPG")</f>
        <v>RPG</v>
      </c>
    </row>
    <row r="512">
      <c r="A512" s="203" t="str">
        <f>IFERROR(__xludf.DUMMYFUNCTION("""COMPUTED_VALUE"""),"Ninja Gaiden 4")</f>
        <v>Ninja Gaiden 4</v>
      </c>
      <c r="B512" s="204" t="str">
        <f>IFERROR(__xludf.DUMMYFUNCTION("""COMPUTED_VALUE"""),"Xbox / PC")</f>
        <v>Xbox / PC</v>
      </c>
      <c r="C512" s="205" t="str">
        <f>IFERROR(__xludf.DUMMYFUNCTION("""COMPUTED_VALUE"""),"Yes")</f>
        <v>Yes</v>
      </c>
      <c r="D512" s="205" t="str">
        <f>IFERROR(__xludf.DUMMYFUNCTION("""COMPUTED_VALUE"""),"Coming Soon")</f>
        <v>Coming Soon</v>
      </c>
      <c r="E512" s="166">
        <f>IFERROR(__xludf.DUMMYFUNCTION("""COMPUTED_VALUE"""),45951.0)</f>
        <v>45951</v>
      </c>
      <c r="F512" s="206"/>
      <c r="G512" s="167">
        <f>IFERROR(__xludf.DUMMYFUNCTION("""COMPUTED_VALUE"""),-0.2)</f>
        <v>-0.2</v>
      </c>
      <c r="H512" s="166">
        <f>IFERROR(__xludf.DUMMYFUNCTION("""COMPUTED_VALUE"""),45951.0)</f>
        <v>45951</v>
      </c>
      <c r="I512" s="167">
        <f>IFERROR(__xludf.DUMMYFUNCTION("""COMPUTED_VALUE"""),0.0)</f>
        <v>0</v>
      </c>
      <c r="J512" s="168"/>
      <c r="K512" s="168"/>
      <c r="L512" s="207" t="str">
        <f>IFERROR(__xludf.DUMMYFUNCTION("""COMPUTED_VALUE"""),"Action-Adventure")</f>
        <v>Action-Adventure</v>
      </c>
    </row>
    <row r="513">
      <c r="A513" s="203" t="str">
        <f>IFERROR(__xludf.DUMMYFUNCTION("""COMPUTED_VALUE"""),"Keeper")</f>
        <v>Keeper</v>
      </c>
      <c r="B513" s="204" t="str">
        <f>IFERROR(__xludf.DUMMYFUNCTION("""COMPUTED_VALUE"""),"Xbox / PC")</f>
        <v>Xbox / PC</v>
      </c>
      <c r="C513" s="205" t="str">
        <f>IFERROR(__xludf.DUMMYFUNCTION("""COMPUTED_VALUE"""),"Yes")</f>
        <v>Yes</v>
      </c>
      <c r="D513" s="205" t="str">
        <f>IFERROR(__xludf.DUMMYFUNCTION("""COMPUTED_VALUE"""),"Coming Soon")</f>
        <v>Coming Soon</v>
      </c>
      <c r="E513" s="166">
        <f>IFERROR(__xludf.DUMMYFUNCTION("""COMPUTED_VALUE"""),45947.0)</f>
        <v>45947</v>
      </c>
      <c r="F513" s="206"/>
      <c r="G513" s="167">
        <f>IFERROR(__xludf.DUMMYFUNCTION("""COMPUTED_VALUE"""),-0.06666666666666667)</f>
        <v>-0.06666666667</v>
      </c>
      <c r="H513" s="166">
        <f>IFERROR(__xludf.DUMMYFUNCTION("""COMPUTED_VALUE"""),45947.0)</f>
        <v>45947</v>
      </c>
      <c r="I513" s="167">
        <f>IFERROR(__xludf.DUMMYFUNCTION("""COMPUTED_VALUE"""),0.0)</f>
        <v>0</v>
      </c>
      <c r="J513" s="168"/>
      <c r="K513" s="168"/>
      <c r="L513" s="207" t="str">
        <f>IFERROR(__xludf.DUMMYFUNCTION("""COMPUTED_VALUE"""),"Action-Adventure")</f>
        <v>Action-Adventure</v>
      </c>
    </row>
    <row r="514">
      <c r="A514" s="203" t="str">
        <f>IFERROR(__xludf.DUMMYFUNCTION("""COMPUTED_VALUE"""),"Pax Dei")</f>
        <v>Pax Dei</v>
      </c>
      <c r="B514" s="204" t="str">
        <f>IFERROR(__xludf.DUMMYFUNCTION("""COMPUTED_VALUE"""),"PC")</f>
        <v>PC</v>
      </c>
      <c r="C514" s="205"/>
      <c r="D514" s="205" t="str">
        <f>IFERROR(__xludf.DUMMYFUNCTION("""COMPUTED_VALUE"""),"Coming Soon")</f>
        <v>Coming Soon</v>
      </c>
      <c r="E514" s="166">
        <f>IFERROR(__xludf.DUMMYFUNCTION("""COMPUTED_VALUE"""),45946.0)</f>
        <v>45946</v>
      </c>
      <c r="F514" s="206"/>
      <c r="G514" s="167">
        <f>IFERROR(__xludf.DUMMYFUNCTION("""COMPUTED_VALUE"""),-0.03333333333333333)</f>
        <v>-0.03333333333</v>
      </c>
      <c r="H514" s="166">
        <f>IFERROR(__xludf.DUMMYFUNCTION("""COMPUTED_VALUE"""),45946.0)</f>
        <v>45946</v>
      </c>
      <c r="I514" s="167">
        <f>IFERROR(__xludf.DUMMYFUNCTION("""COMPUTED_VALUE"""),0.0)</f>
        <v>0</v>
      </c>
      <c r="J514" s="168"/>
      <c r="K514" s="168"/>
      <c r="L514" s="207" t="str">
        <f>IFERROR(__xludf.DUMMYFUNCTION("""COMPUTED_VALUE"""),"RPG")</f>
        <v>RPG</v>
      </c>
    </row>
    <row r="515">
      <c r="A515" s="203" t="str">
        <f>IFERROR(__xludf.DUMMYFUNCTION("""COMPUTED_VALUE"""),"Ball x Pit")</f>
        <v>Ball x Pit</v>
      </c>
      <c r="B515" s="204" t="str">
        <f>IFERROR(__xludf.DUMMYFUNCTION("""COMPUTED_VALUE"""),"Xbox / PC")</f>
        <v>Xbox / PC</v>
      </c>
      <c r="C515" s="205" t="str">
        <f>IFERROR(__xludf.DUMMYFUNCTION("""COMPUTED_VALUE"""),"Yes")</f>
        <v>Yes</v>
      </c>
      <c r="D515" s="205" t="str">
        <f>IFERROR(__xludf.DUMMYFUNCTION("""COMPUTED_VALUE"""),"Active")</f>
        <v>Active</v>
      </c>
      <c r="E515" s="166">
        <f>IFERROR(__xludf.DUMMYFUNCTION("""COMPUTED_VALUE"""),45945.0)</f>
        <v>45945</v>
      </c>
      <c r="F515" s="206"/>
      <c r="G515" s="167">
        <f>IFERROR(__xludf.DUMMYFUNCTION("""COMPUTED_VALUE"""),0.0)</f>
        <v>0</v>
      </c>
      <c r="H515" s="166">
        <f>IFERROR(__xludf.DUMMYFUNCTION("""COMPUTED_VALUE"""),45945.0)</f>
        <v>45945</v>
      </c>
      <c r="I515" s="167">
        <f>IFERROR(__xludf.DUMMYFUNCTION("""COMPUTED_VALUE"""),0.0)</f>
        <v>0</v>
      </c>
      <c r="J515" s="168"/>
      <c r="K515" s="168"/>
      <c r="L515" s="207" t="str">
        <f>IFERROR(__xludf.DUMMYFUNCTION("""COMPUTED_VALUE"""),"Shoot-'Em-Up")</f>
        <v>Shoot-'Em-Up</v>
      </c>
    </row>
    <row r="516">
      <c r="A516" s="203" t="str">
        <f>IFERROR(__xludf.DUMMYFUNCTION("""COMPUTED_VALUE"""),"Supermarket Simulator")</f>
        <v>Supermarket Simulator</v>
      </c>
      <c r="B516" s="204" t="str">
        <f>IFERROR(__xludf.DUMMYFUNCTION("""COMPUTED_VALUE"""),"Xbox / PC")</f>
        <v>Xbox / PC</v>
      </c>
      <c r="C516" s="205" t="str">
        <f>IFERROR(__xludf.DUMMYFUNCTION("""COMPUTED_VALUE"""),"Yes")</f>
        <v>Yes</v>
      </c>
      <c r="D516" s="205" t="str">
        <f>IFERROR(__xludf.DUMMYFUNCTION("""COMPUTED_VALUE"""),"Active")</f>
        <v>Active</v>
      </c>
      <c r="E516" s="166">
        <f>IFERROR(__xludf.DUMMYFUNCTION("""COMPUTED_VALUE"""),45938.0)</f>
        <v>45938</v>
      </c>
      <c r="F516" s="206"/>
      <c r="G516" s="167">
        <f>IFERROR(__xludf.DUMMYFUNCTION("""COMPUTED_VALUE"""),0.23333333333333334)</f>
        <v>0.2333333333</v>
      </c>
      <c r="H516" s="166">
        <f>IFERROR(__xludf.DUMMYFUNCTION("""COMPUTED_VALUE"""),45827.0)</f>
        <v>45827</v>
      </c>
      <c r="I516" s="167">
        <f>IFERROR(__xludf.DUMMYFUNCTION("""COMPUTED_VALUE"""),0.30277777777777776)</f>
        <v>0.3027777778</v>
      </c>
      <c r="J516" s="168"/>
      <c r="K516" s="168"/>
      <c r="L516" s="207" t="str">
        <f>IFERROR(__xludf.DUMMYFUNCTION("""COMPUTED_VALUE"""),"Simulation")</f>
        <v>Simulation</v>
      </c>
    </row>
    <row r="517">
      <c r="A517" s="203" t="str">
        <f>IFERROR(__xludf.DUMMYFUNCTION("""COMPUTED_VALUE"""),"Monopoly Madness")</f>
        <v>Monopoly Madness</v>
      </c>
      <c r="B517" s="204" t="str">
        <f>IFERROR(__xludf.DUMMYFUNCTION("""COMPUTED_VALUE"""),"Xbox / PC")</f>
        <v>Xbox / PC</v>
      </c>
      <c r="C517" s="205" t="str">
        <f>IFERROR(__xludf.DUMMYFUNCTION("""COMPUTED_VALUE"""),"Yes")</f>
        <v>Yes</v>
      </c>
      <c r="D517" s="205" t="str">
        <f>IFERROR(__xludf.DUMMYFUNCTION("""COMPUTED_VALUE"""),"Active")</f>
        <v>Active</v>
      </c>
      <c r="E517" s="166">
        <f>IFERROR(__xludf.DUMMYFUNCTION("""COMPUTED_VALUE"""),45931.0)</f>
        <v>45931</v>
      </c>
      <c r="F517" s="206"/>
      <c r="G517" s="167">
        <f>IFERROR(__xludf.DUMMYFUNCTION("""COMPUTED_VALUE"""),0.4666666666666667)</f>
        <v>0.4666666667</v>
      </c>
      <c r="H517" s="166">
        <f>IFERROR(__xludf.DUMMYFUNCTION("""COMPUTED_VALUE"""),44914.0)</f>
        <v>44914</v>
      </c>
      <c r="I517" s="167">
        <f>IFERROR(__xludf.DUMMYFUNCTION("""COMPUTED_VALUE"""),2.783333333333333)</f>
        <v>2.783333333</v>
      </c>
      <c r="J517" s="168"/>
      <c r="K517" s="168">
        <f>IFERROR(__xludf.DUMMYFUNCTION("""COMPUTED_VALUE"""),6.0)</f>
        <v>6</v>
      </c>
      <c r="L517" s="207" t="str">
        <f>IFERROR(__xludf.DUMMYFUNCTION("""COMPUTED_VALUE"""),"Party")</f>
        <v>Party</v>
      </c>
    </row>
    <row r="518">
      <c r="A518" s="203" t="str">
        <f>IFERROR(__xludf.DUMMYFUNCTION("""COMPUTED_VALUE"""),"SWORN")</f>
        <v>SWORN</v>
      </c>
      <c r="B518" s="204" t="str">
        <f>IFERROR(__xludf.DUMMYFUNCTION("""COMPUTED_VALUE"""),"Xbox / PC")</f>
        <v>Xbox / PC</v>
      </c>
      <c r="C518" s="205" t="str">
        <f>IFERROR(__xludf.DUMMYFUNCTION("""COMPUTED_VALUE"""),"Yes")</f>
        <v>Yes</v>
      </c>
      <c r="D518" s="205" t="str">
        <f>IFERROR(__xludf.DUMMYFUNCTION("""COMPUTED_VALUE"""),"Active")</f>
        <v>Active</v>
      </c>
      <c r="E518" s="166">
        <f>IFERROR(__xludf.DUMMYFUNCTION("""COMPUTED_VALUE"""),45923.0)</f>
        <v>45923</v>
      </c>
      <c r="F518" s="206"/>
      <c r="G518" s="167">
        <f>IFERROR(__xludf.DUMMYFUNCTION("""COMPUTED_VALUE"""),0.7333333333333333)</f>
        <v>0.7333333333</v>
      </c>
      <c r="H518" s="166">
        <f>IFERROR(__xludf.DUMMYFUNCTION("""COMPUTED_VALUE"""),45923.0)</f>
        <v>45923</v>
      </c>
      <c r="I518" s="167">
        <f>IFERROR(__xludf.DUMMYFUNCTION("""COMPUTED_VALUE"""),0.0)</f>
        <v>0</v>
      </c>
      <c r="J518" s="168"/>
      <c r="K518" s="168"/>
      <c r="L518" s="207" t="str">
        <f>IFERROR(__xludf.DUMMYFUNCTION("""COMPUTED_VALUE"""),"RPG")</f>
        <v>RPG</v>
      </c>
    </row>
    <row r="519">
      <c r="A519" s="203" t="str">
        <f>IFERROR(__xludf.DUMMYFUNCTION("""COMPUTED_VALUE"""),"ENDLESS Legend 2 (Game Preview)")</f>
        <v>ENDLESS Legend 2 (Game Preview)</v>
      </c>
      <c r="B519" s="204" t="str">
        <f>IFERROR(__xludf.DUMMYFUNCTION("""COMPUTED_VALUE"""),"PC")</f>
        <v>PC</v>
      </c>
      <c r="C519" s="205"/>
      <c r="D519" s="205" t="str">
        <f>IFERROR(__xludf.DUMMYFUNCTION("""COMPUTED_VALUE"""),"Active")</f>
        <v>Active</v>
      </c>
      <c r="E519" s="166">
        <f>IFERROR(__xludf.DUMMYFUNCTION("""COMPUTED_VALUE"""),45922.0)</f>
        <v>45922</v>
      </c>
      <c r="F519" s="206"/>
      <c r="G519" s="167">
        <f>IFERROR(__xludf.DUMMYFUNCTION("""COMPUTED_VALUE"""),0.7666666666666666)</f>
        <v>0.7666666667</v>
      </c>
      <c r="H519" s="166">
        <f>IFERROR(__xludf.DUMMYFUNCTION("""COMPUTED_VALUE"""),45922.0)</f>
        <v>45922</v>
      </c>
      <c r="I519" s="167">
        <f>IFERROR(__xludf.DUMMYFUNCTION("""COMPUTED_VALUE"""),0.0)</f>
        <v>0</v>
      </c>
      <c r="J519" s="168"/>
      <c r="K519" s="168"/>
      <c r="L519" s="207" t="str">
        <f>IFERROR(__xludf.DUMMYFUNCTION("""COMPUTED_VALUE"""),"Strategy")</f>
        <v>Strategy</v>
      </c>
    </row>
    <row r="520">
      <c r="A520" s="203" t="str">
        <f>IFERROR(__xludf.DUMMYFUNCTION("""COMPUTED_VALUE"""),"Deep Rock Galactic: Survivor")</f>
        <v>Deep Rock Galactic: Survivor</v>
      </c>
      <c r="B520" s="204" t="str">
        <f>IFERROR(__xludf.DUMMYFUNCTION("""COMPUTED_VALUE"""),"Xbox / PC")</f>
        <v>Xbox / PC</v>
      </c>
      <c r="C520" s="205" t="str">
        <f>IFERROR(__xludf.DUMMYFUNCTION("""COMPUTED_VALUE"""),"Yes")</f>
        <v>Yes</v>
      </c>
      <c r="D520" s="205" t="str">
        <f>IFERROR(__xludf.DUMMYFUNCTION("""COMPUTED_VALUE"""),"Active")</f>
        <v>Active</v>
      </c>
      <c r="E520" s="166">
        <f>IFERROR(__xludf.DUMMYFUNCTION("""COMPUTED_VALUE"""),45917.0)</f>
        <v>45917</v>
      </c>
      <c r="F520" s="206"/>
      <c r="G520" s="167">
        <f>IFERROR(__xludf.DUMMYFUNCTION("""COMPUTED_VALUE"""),0.9333333333333333)</f>
        <v>0.9333333333</v>
      </c>
      <c r="H520" s="166">
        <f>IFERROR(__xludf.DUMMYFUNCTION("""COMPUTED_VALUE"""),45917.0)</f>
        <v>45917</v>
      </c>
      <c r="I520" s="167">
        <f>IFERROR(__xludf.DUMMYFUNCTION("""COMPUTED_VALUE"""),0.0)</f>
        <v>0</v>
      </c>
      <c r="J520" s="168"/>
      <c r="K520" s="168">
        <f>IFERROR(__xludf.DUMMYFUNCTION("""COMPUTED_VALUE"""),15.0)</f>
        <v>15</v>
      </c>
      <c r="L520" s="207" t="str">
        <f>IFERROR(__xludf.DUMMYFUNCTION("""COMPUTED_VALUE"""),"Shooter")</f>
        <v>Shooter</v>
      </c>
    </row>
    <row r="521">
      <c r="A521" s="203" t="str">
        <f>IFERROR(__xludf.DUMMYFUNCTION("""COMPUTED_VALUE"""),"Hollow Knight: Silksong")</f>
        <v>Hollow Knight: Silksong</v>
      </c>
      <c r="B521" s="204" t="str">
        <f>IFERROR(__xludf.DUMMYFUNCTION("""COMPUTED_VALUE"""),"Xbox / PC")</f>
        <v>Xbox / PC</v>
      </c>
      <c r="C521" s="205" t="str">
        <f>IFERROR(__xludf.DUMMYFUNCTION("""COMPUTED_VALUE"""),"Yes")</f>
        <v>Yes</v>
      </c>
      <c r="D521" s="205" t="str">
        <f>IFERROR(__xludf.DUMMYFUNCTION("""COMPUTED_VALUE"""),"Active")</f>
        <v>Active</v>
      </c>
      <c r="E521" s="166">
        <f>IFERROR(__xludf.DUMMYFUNCTION("""COMPUTED_VALUE"""),45904.0)</f>
        <v>45904</v>
      </c>
      <c r="F521" s="206"/>
      <c r="G521" s="167">
        <f>IFERROR(__xludf.DUMMYFUNCTION("""COMPUTED_VALUE"""),1.3666666666666667)</f>
        <v>1.366666667</v>
      </c>
      <c r="H521" s="166">
        <f>IFERROR(__xludf.DUMMYFUNCTION("""COMPUTED_VALUE"""),45904.0)</f>
        <v>45904</v>
      </c>
      <c r="I521" s="167">
        <f>IFERROR(__xludf.DUMMYFUNCTION("""COMPUTED_VALUE"""),0.0)</f>
        <v>0</v>
      </c>
      <c r="J521" s="168"/>
      <c r="K521" s="168"/>
      <c r="L521" s="207" t="str">
        <f>IFERROR(__xludf.DUMMYFUNCTION("""COMPUTED_VALUE"""),"Metroidvania")</f>
        <v>Metroidvania</v>
      </c>
    </row>
    <row r="522">
      <c r="A522" s="203" t="str">
        <f>IFERROR(__xludf.DUMMYFUNCTION("""COMPUTED_VALUE"""),"Blacksmith Master")</f>
        <v>Blacksmith Master</v>
      </c>
      <c r="B522" s="204" t="str">
        <f>IFERROR(__xludf.DUMMYFUNCTION("""COMPUTED_VALUE"""),"PC")</f>
        <v>PC</v>
      </c>
      <c r="C522" s="205"/>
      <c r="D522" s="205" t="str">
        <f>IFERROR(__xludf.DUMMYFUNCTION("""COMPUTED_VALUE"""),"Active")</f>
        <v>Active</v>
      </c>
      <c r="E522" s="166">
        <f>IFERROR(__xludf.DUMMYFUNCTION("""COMPUTED_VALUE"""),45888.0)</f>
        <v>45888</v>
      </c>
      <c r="F522" s="206"/>
      <c r="G522" s="167">
        <f>IFERROR(__xludf.DUMMYFUNCTION("""COMPUTED_VALUE"""),1.8666666666666667)</f>
        <v>1.866666667</v>
      </c>
      <c r="H522" s="166">
        <f>IFERROR(__xludf.DUMMYFUNCTION("""COMPUTED_VALUE"""),45792.0)</f>
        <v>45792</v>
      </c>
      <c r="I522" s="167">
        <f>IFERROR(__xludf.DUMMYFUNCTION("""COMPUTED_VALUE"""),0.2611111111111111)</f>
        <v>0.2611111111</v>
      </c>
      <c r="J522" s="168"/>
      <c r="K522" s="168">
        <f>IFERROR(__xludf.DUMMYFUNCTION("""COMPUTED_VALUE"""),12.0)</f>
        <v>12</v>
      </c>
      <c r="L522" s="207" t="str">
        <f>IFERROR(__xludf.DUMMYFUNCTION("""COMPUTED_VALUE"""),"Tycoon")</f>
        <v>Tycoon</v>
      </c>
    </row>
    <row r="523">
      <c r="A523" s="203" t="str">
        <f>IFERROR(__xludf.DUMMYFUNCTION("""COMPUTED_VALUE"""),"VOID/BREAKER")</f>
        <v>VOID/BREAKER</v>
      </c>
      <c r="B523" s="204" t="str">
        <f>IFERROR(__xludf.DUMMYFUNCTION("""COMPUTED_VALUE"""),"PC")</f>
        <v>PC</v>
      </c>
      <c r="C523" s="205"/>
      <c r="D523" s="205" t="str">
        <f>IFERROR(__xludf.DUMMYFUNCTION("""COMPUTED_VALUE"""),"Active")</f>
        <v>Active</v>
      </c>
      <c r="E523" s="166">
        <f>IFERROR(__xludf.DUMMYFUNCTION("""COMPUTED_VALUE"""),45888.0)</f>
        <v>45888</v>
      </c>
      <c r="F523" s="206"/>
      <c r="G523" s="167">
        <f>IFERROR(__xludf.DUMMYFUNCTION("""COMPUTED_VALUE"""),1.8666666666666667)</f>
        <v>1.866666667</v>
      </c>
      <c r="H523" s="166">
        <f>IFERROR(__xludf.DUMMYFUNCTION("""COMPUTED_VALUE"""),45888.0)</f>
        <v>45888</v>
      </c>
      <c r="I523" s="167">
        <f>IFERROR(__xludf.DUMMYFUNCTION("""COMPUTED_VALUE"""),0.0)</f>
        <v>0</v>
      </c>
      <c r="J523" s="168"/>
      <c r="K523" s="168"/>
      <c r="L523" s="207" t="str">
        <f>IFERROR(__xludf.DUMMYFUNCTION("""COMPUTED_VALUE"""),"Shooter")</f>
        <v>Shooter</v>
      </c>
    </row>
    <row r="524">
      <c r="A524" s="203" t="str">
        <f>IFERROR(__xludf.DUMMYFUNCTION("""COMPUTED_VALUE"""),"9 Kings (Game Preview)")</f>
        <v>9 Kings (Game Preview)</v>
      </c>
      <c r="B524" s="204" t="str">
        <f>IFERROR(__xludf.DUMMYFUNCTION("""COMPUTED_VALUE"""),"PC")</f>
        <v>PC</v>
      </c>
      <c r="C524" s="205"/>
      <c r="D524" s="205" t="str">
        <f>IFERROR(__xludf.DUMMYFUNCTION("""COMPUTED_VALUE"""),"Active")</f>
        <v>Active</v>
      </c>
      <c r="E524" s="166">
        <f>IFERROR(__xludf.DUMMYFUNCTION("""COMPUTED_VALUE"""),45883.0)</f>
        <v>45883</v>
      </c>
      <c r="F524" s="206"/>
      <c r="G524" s="167">
        <f>IFERROR(__xludf.DUMMYFUNCTION("""COMPUTED_VALUE"""),2.033333333333333)</f>
        <v>2.033333333</v>
      </c>
      <c r="H524" s="166">
        <f>IFERROR(__xludf.DUMMYFUNCTION("""COMPUTED_VALUE"""),45883.0)</f>
        <v>45883</v>
      </c>
      <c r="I524" s="167">
        <f>IFERROR(__xludf.DUMMYFUNCTION("""COMPUTED_VALUE"""),0.0)</f>
        <v>0</v>
      </c>
      <c r="J524" s="168"/>
      <c r="K524" s="168">
        <f>IFERROR(__xludf.DUMMYFUNCTION("""COMPUTED_VALUE"""),3.0)</f>
        <v>3</v>
      </c>
      <c r="L524" s="207" t="str">
        <f>IFERROR(__xludf.DUMMYFUNCTION("""COMPUTED_VALUE"""),"Card Battle")</f>
        <v>Card Battle</v>
      </c>
    </row>
    <row r="525">
      <c r="A525" s="203" t="str">
        <f>IFERROR(__xludf.DUMMYFUNCTION("""COMPUTED_VALUE"""),"Caesar III")</f>
        <v>Caesar III</v>
      </c>
      <c r="B525" s="204" t="str">
        <f>IFERROR(__xludf.DUMMYFUNCTION("""COMPUTED_VALUE"""),"Xbox / PC")</f>
        <v>Xbox / PC</v>
      </c>
      <c r="C525" s="205" t="str">
        <f>IFERROR(__xludf.DUMMYFUNCTION("""COMPUTED_VALUE"""),"Yes")</f>
        <v>Yes</v>
      </c>
      <c r="D525" s="205" t="str">
        <f>IFERROR(__xludf.DUMMYFUNCTION("""COMPUTED_VALUE"""),"Active")</f>
        <v>Active</v>
      </c>
      <c r="E525" s="166">
        <f>IFERROR(__xludf.DUMMYFUNCTION("""COMPUTED_VALUE"""),45883.0)</f>
        <v>45883</v>
      </c>
      <c r="F525" s="206"/>
      <c r="G525" s="167">
        <f>IFERROR(__xludf.DUMMYFUNCTION("""COMPUTED_VALUE"""),2.033333333333333)</f>
        <v>2.033333333</v>
      </c>
      <c r="H525" s="166">
        <f>IFERROR(__xludf.DUMMYFUNCTION("""COMPUTED_VALUE"""),36068.0)</f>
        <v>36068</v>
      </c>
      <c r="I525" s="167">
        <f>IFERROR(__xludf.DUMMYFUNCTION("""COMPUTED_VALUE"""),26.872222222222224)</f>
        <v>26.87222222</v>
      </c>
      <c r="J525" s="168"/>
      <c r="K525" s="168"/>
      <c r="L525" s="207"/>
    </row>
    <row r="526">
      <c r="A526" s="203" t="str">
        <f>IFERROR(__xludf.DUMMYFUNCTION("""COMPUTED_VALUE"""),"Climber 5")</f>
        <v>Climber 5</v>
      </c>
      <c r="B526" s="204" t="str">
        <f>IFERROR(__xludf.DUMMYFUNCTION("""COMPUTED_VALUE"""),"Xbox / PC")</f>
        <v>Xbox / PC</v>
      </c>
      <c r="C526" s="205" t="str">
        <f>IFERROR(__xludf.DUMMYFUNCTION("""COMPUTED_VALUE"""),"Yes")</f>
        <v>Yes</v>
      </c>
      <c r="D526" s="205" t="str">
        <f>IFERROR(__xludf.DUMMYFUNCTION("""COMPUTED_VALUE"""),"Active")</f>
        <v>Active</v>
      </c>
      <c r="E526" s="166">
        <f>IFERROR(__xludf.DUMMYFUNCTION("""COMPUTED_VALUE"""),45883.0)</f>
        <v>45883</v>
      </c>
      <c r="F526" s="206"/>
      <c r="G526" s="167">
        <f>IFERROR(__xludf.DUMMYFUNCTION("""COMPUTED_VALUE"""),2.033333333333333)</f>
        <v>2.033333333</v>
      </c>
      <c r="H526" s="166">
        <f>IFERROR(__xludf.DUMMYFUNCTION("""COMPUTED_VALUE"""),31778.0)</f>
        <v>31778</v>
      </c>
      <c r="I526" s="167">
        <f>IFERROR(__xludf.DUMMYFUNCTION("""COMPUTED_VALUE"""),38.61944444444445)</f>
        <v>38.61944444</v>
      </c>
      <c r="J526" s="168"/>
      <c r="K526" s="168"/>
      <c r="L526" s="207"/>
    </row>
    <row r="527">
      <c r="A527" s="203" t="str">
        <f>IFERROR(__xludf.DUMMYFUNCTION("""COMPUTED_VALUE"""),"The Colonel's Bequest")</f>
        <v>The Colonel's Bequest</v>
      </c>
      <c r="B527" s="204" t="str">
        <f>IFERROR(__xludf.DUMMYFUNCTION("""COMPUTED_VALUE"""),"Xbox / PC")</f>
        <v>Xbox / PC</v>
      </c>
      <c r="C527" s="205" t="str">
        <f>IFERROR(__xludf.DUMMYFUNCTION("""COMPUTED_VALUE"""),"Yes")</f>
        <v>Yes</v>
      </c>
      <c r="D527" s="205" t="str">
        <f>IFERROR(__xludf.DUMMYFUNCTION("""COMPUTED_VALUE"""),"Active")</f>
        <v>Active</v>
      </c>
      <c r="E527" s="166">
        <f>IFERROR(__xludf.DUMMYFUNCTION("""COMPUTED_VALUE"""),45883.0)</f>
        <v>45883</v>
      </c>
      <c r="F527" s="206"/>
      <c r="G527" s="167">
        <f>IFERROR(__xludf.DUMMYFUNCTION("""COMPUTED_VALUE"""),2.033333333333333)</f>
        <v>2.033333333</v>
      </c>
      <c r="H527" s="166">
        <f>IFERROR(__xludf.DUMMYFUNCTION("""COMPUTED_VALUE"""),32782.0)</f>
        <v>32782</v>
      </c>
      <c r="I527" s="167">
        <f>IFERROR(__xludf.DUMMYFUNCTION("""COMPUTED_VALUE"""),35.86944444444445)</f>
        <v>35.86944444</v>
      </c>
      <c r="J527" s="168"/>
      <c r="K527" s="168"/>
      <c r="L527" s="207"/>
    </row>
    <row r="528">
      <c r="A528" s="203" t="str">
        <f>IFERROR(__xludf.DUMMYFUNCTION("""COMPUTED_VALUE"""),"Private Eye")</f>
        <v>Private Eye</v>
      </c>
      <c r="B528" s="204" t="str">
        <f>IFERROR(__xludf.DUMMYFUNCTION("""COMPUTED_VALUE"""),"Xbox / PC")</f>
        <v>Xbox / PC</v>
      </c>
      <c r="C528" s="205" t="str">
        <f>IFERROR(__xludf.DUMMYFUNCTION("""COMPUTED_VALUE"""),"Yes")</f>
        <v>Yes</v>
      </c>
      <c r="D528" s="205" t="str">
        <f>IFERROR(__xludf.DUMMYFUNCTION("""COMPUTED_VALUE"""),"Active")</f>
        <v>Active</v>
      </c>
      <c r="E528" s="166">
        <f>IFERROR(__xludf.DUMMYFUNCTION("""COMPUTED_VALUE"""),45883.0)</f>
        <v>45883</v>
      </c>
      <c r="F528" s="206"/>
      <c r="G528" s="167">
        <f>IFERROR(__xludf.DUMMYFUNCTION("""COMPUTED_VALUE"""),2.033333333333333)</f>
        <v>2.033333333</v>
      </c>
      <c r="H528" s="166">
        <f>IFERROR(__xludf.DUMMYFUNCTION("""COMPUTED_VALUE"""),30713.0)</f>
        <v>30713</v>
      </c>
      <c r="I528" s="167">
        <f>IFERROR(__xludf.DUMMYFUNCTION("""COMPUTED_VALUE"""),41.53611111111111)</f>
        <v>41.53611111</v>
      </c>
      <c r="J528" s="168"/>
      <c r="K528" s="168"/>
      <c r="L528" s="207"/>
    </row>
    <row r="529">
      <c r="A529" s="203" t="str">
        <f>IFERROR(__xludf.DUMMYFUNCTION("""COMPUTED_VALUE"""),"Oystron")</f>
        <v>Oystron</v>
      </c>
      <c r="B529" s="204" t="str">
        <f>IFERROR(__xludf.DUMMYFUNCTION("""COMPUTED_VALUE"""),"Xbox / PC")</f>
        <v>Xbox / PC</v>
      </c>
      <c r="C529" s="205" t="str">
        <f>IFERROR(__xludf.DUMMYFUNCTION("""COMPUTED_VALUE"""),"Yes")</f>
        <v>Yes</v>
      </c>
      <c r="D529" s="205" t="str">
        <f>IFERROR(__xludf.DUMMYFUNCTION("""COMPUTED_VALUE"""),"Active")</f>
        <v>Active</v>
      </c>
      <c r="E529" s="166">
        <f>IFERROR(__xludf.DUMMYFUNCTION("""COMPUTED_VALUE"""),45883.0)</f>
        <v>45883</v>
      </c>
      <c r="F529" s="206"/>
      <c r="G529" s="167">
        <f>IFERROR(__xludf.DUMMYFUNCTION("""COMPUTED_VALUE"""),2.033333333333333)</f>
        <v>2.033333333</v>
      </c>
      <c r="H529" s="166">
        <f>IFERROR(__xludf.DUMMYFUNCTION("""COMPUTED_VALUE"""),35431.0)</f>
        <v>35431</v>
      </c>
      <c r="I529" s="167">
        <f>IFERROR(__xludf.DUMMYFUNCTION("""COMPUTED_VALUE"""),28.619444444444444)</f>
        <v>28.61944444</v>
      </c>
      <c r="J529" s="168"/>
      <c r="K529" s="168"/>
      <c r="L529" s="207"/>
    </row>
    <row r="530">
      <c r="A530" s="203" t="str">
        <f>IFERROR(__xludf.DUMMYFUNCTION("""COMPUTED_VALUE"""),"Shootin' Gallery")</f>
        <v>Shootin' Gallery</v>
      </c>
      <c r="B530" s="204" t="str">
        <f>IFERROR(__xludf.DUMMYFUNCTION("""COMPUTED_VALUE"""),"Xbox / PC")</f>
        <v>Xbox / PC</v>
      </c>
      <c r="C530" s="205" t="str">
        <f>IFERROR(__xludf.DUMMYFUNCTION("""COMPUTED_VALUE"""),"Yes")</f>
        <v>Yes</v>
      </c>
      <c r="D530" s="205" t="str">
        <f>IFERROR(__xludf.DUMMYFUNCTION("""COMPUTED_VALUE"""),"Active")</f>
        <v>Active</v>
      </c>
      <c r="E530" s="166">
        <f>IFERROR(__xludf.DUMMYFUNCTION("""COMPUTED_VALUE"""),45883.0)</f>
        <v>45883</v>
      </c>
      <c r="F530" s="206"/>
      <c r="G530" s="167">
        <f>IFERROR(__xludf.DUMMYFUNCTION("""COMPUTED_VALUE"""),2.033333333333333)</f>
        <v>2.033333333</v>
      </c>
      <c r="H530" s="166">
        <f>IFERROR(__xludf.DUMMYFUNCTION("""COMPUTED_VALUE"""),29952.0)</f>
        <v>29952</v>
      </c>
      <c r="I530" s="167">
        <f>IFERROR(__xludf.DUMMYFUNCTION("""COMPUTED_VALUE"""),43.61944444444445)</f>
        <v>43.61944444</v>
      </c>
      <c r="J530" s="168"/>
      <c r="K530" s="168"/>
      <c r="L530" s="207"/>
    </row>
    <row r="531">
      <c r="A531" s="203" t="str">
        <f>IFERROR(__xludf.DUMMYFUNCTION("""COMPUTED_VALUE"""),"Wing War")</f>
        <v>Wing War</v>
      </c>
      <c r="B531" s="204" t="str">
        <f>IFERROR(__xludf.DUMMYFUNCTION("""COMPUTED_VALUE"""),"Xbox / PC")</f>
        <v>Xbox / PC</v>
      </c>
      <c r="C531" s="205" t="str">
        <f>IFERROR(__xludf.DUMMYFUNCTION("""COMPUTED_VALUE"""),"Yes")</f>
        <v>Yes</v>
      </c>
      <c r="D531" s="205" t="str">
        <f>IFERROR(__xludf.DUMMYFUNCTION("""COMPUTED_VALUE"""),"Active")</f>
        <v>Active</v>
      </c>
      <c r="E531" s="166">
        <f>IFERROR(__xludf.DUMMYFUNCTION("""COMPUTED_VALUE"""),45883.0)</f>
        <v>45883</v>
      </c>
      <c r="F531" s="206"/>
      <c r="G531" s="167">
        <f>IFERROR(__xludf.DUMMYFUNCTION("""COMPUTED_VALUE"""),2.033333333333333)</f>
        <v>2.033333333</v>
      </c>
      <c r="H531" s="166">
        <f>IFERROR(__xludf.DUMMYFUNCTION("""COMPUTED_VALUE"""),30681.0)</f>
        <v>30681</v>
      </c>
      <c r="I531" s="167">
        <f>IFERROR(__xludf.DUMMYFUNCTION("""COMPUTED_VALUE"""),41.62222222222222)</f>
        <v>41.62222222</v>
      </c>
      <c r="J531" s="168"/>
      <c r="K531" s="168"/>
      <c r="L531" s="207"/>
    </row>
    <row r="532">
      <c r="A532" s="203" t="str">
        <f>IFERROR(__xludf.DUMMYFUNCTION("""COMPUTED_VALUE"""),"Grounded 2 (Game Preview)")</f>
        <v>Grounded 2 (Game Preview)</v>
      </c>
      <c r="B532" s="204" t="str">
        <f>IFERROR(__xludf.DUMMYFUNCTION("""COMPUTED_VALUE"""),"Xbox / PC")</f>
        <v>Xbox / PC</v>
      </c>
      <c r="C532" s="205" t="str">
        <f>IFERROR(__xludf.DUMMYFUNCTION("""COMPUTED_VALUE"""),"Yes")</f>
        <v>Yes</v>
      </c>
      <c r="D532" s="205" t="str">
        <f>IFERROR(__xludf.DUMMYFUNCTION("""COMPUTED_VALUE"""),"Active")</f>
        <v>Active</v>
      </c>
      <c r="E532" s="166">
        <f>IFERROR(__xludf.DUMMYFUNCTION("""COMPUTED_VALUE"""),45867.0)</f>
        <v>45867</v>
      </c>
      <c r="F532" s="206"/>
      <c r="G532" s="167">
        <f>IFERROR(__xludf.DUMMYFUNCTION("""COMPUTED_VALUE"""),2.533333333333333)</f>
        <v>2.533333333</v>
      </c>
      <c r="H532" s="166">
        <f>IFERROR(__xludf.DUMMYFUNCTION("""COMPUTED_VALUE"""),45867.0)</f>
        <v>45867</v>
      </c>
      <c r="I532" s="167">
        <f>IFERROR(__xludf.DUMMYFUNCTION("""COMPUTED_VALUE"""),0.0)</f>
        <v>0</v>
      </c>
      <c r="J532" s="168"/>
      <c r="K532" s="168"/>
      <c r="L532" s="207" t="str">
        <f>IFERROR(__xludf.DUMMYFUNCTION("""COMPUTED_VALUE"""),"Sandbox")</f>
        <v>Sandbox</v>
      </c>
    </row>
    <row r="533">
      <c r="A533" s="203" t="str">
        <f>IFERROR(__xludf.DUMMYFUNCTION("""COMPUTED_VALUE"""),"Descenders Next (Game Preview)")</f>
        <v>Descenders Next (Game Preview)</v>
      </c>
      <c r="B533" s="204" t="str">
        <f>IFERROR(__xludf.DUMMYFUNCTION("""COMPUTED_VALUE"""),"Xbox / PC")</f>
        <v>Xbox / PC</v>
      </c>
      <c r="C533" s="205" t="str">
        <f>IFERROR(__xludf.DUMMYFUNCTION("""COMPUTED_VALUE"""),"Yes")</f>
        <v>Yes</v>
      </c>
      <c r="D533" s="205" t="str">
        <f>IFERROR(__xludf.DUMMYFUNCTION("""COMPUTED_VALUE"""),"Active")</f>
        <v>Active</v>
      </c>
      <c r="E533" s="166">
        <f>IFERROR(__xludf.DUMMYFUNCTION("""COMPUTED_VALUE"""),45859.0)</f>
        <v>45859</v>
      </c>
      <c r="F533" s="206"/>
      <c r="G533" s="167">
        <f>IFERROR(__xludf.DUMMYFUNCTION("""COMPUTED_VALUE"""),2.8)</f>
        <v>2.8</v>
      </c>
      <c r="H533" s="166">
        <f>IFERROR(__xludf.DUMMYFUNCTION("""COMPUTED_VALUE"""),45859.0)</f>
        <v>45859</v>
      </c>
      <c r="I533" s="167">
        <f>IFERROR(__xludf.DUMMYFUNCTION("""COMPUTED_VALUE"""),0.0)</f>
        <v>0</v>
      </c>
      <c r="J533" s="168"/>
      <c r="K533" s="168"/>
      <c r="L533" s="207" t="str">
        <f>IFERROR(__xludf.DUMMYFUNCTION("""COMPUTED_VALUE"""),"Sports")</f>
        <v>Sports</v>
      </c>
    </row>
    <row r="534">
      <c r="A534" s="203" t="str">
        <f>IFERROR(__xludf.DUMMYFUNCTION("""COMPUTED_VALUE"""),"Caesar")</f>
        <v>Caesar</v>
      </c>
      <c r="B534" s="204" t="str">
        <f>IFERROR(__xludf.DUMMYFUNCTION("""COMPUTED_VALUE"""),"Xbox / PC")</f>
        <v>Xbox / PC</v>
      </c>
      <c r="C534" s="205" t="str">
        <f>IFERROR(__xludf.DUMMYFUNCTION("""COMPUTED_VALUE"""),"Yes")</f>
        <v>Yes</v>
      </c>
      <c r="D534" s="205" t="str">
        <f>IFERROR(__xludf.DUMMYFUNCTION("""COMPUTED_VALUE"""),"Active")</f>
        <v>Active</v>
      </c>
      <c r="E534" s="166">
        <f>IFERROR(__xludf.DUMMYFUNCTION("""COMPUTED_VALUE"""),45859.0)</f>
        <v>45859</v>
      </c>
      <c r="F534" s="206"/>
      <c r="G534" s="167">
        <f>IFERROR(__xludf.DUMMYFUNCTION("""COMPUTED_VALUE"""),2.8)</f>
        <v>2.8</v>
      </c>
      <c r="H534" s="166">
        <f>IFERROR(__xludf.DUMMYFUNCTION("""COMPUTED_VALUE"""),33604.0)</f>
        <v>33604</v>
      </c>
      <c r="I534" s="167">
        <f>IFERROR(__xludf.DUMMYFUNCTION("""COMPUTED_VALUE"""),33.55555555555556)</f>
        <v>33.55555556</v>
      </c>
      <c r="J534" s="168"/>
      <c r="K534" s="168"/>
      <c r="L534" s="207"/>
    </row>
    <row r="535">
      <c r="A535" s="203" t="str">
        <f>IFERROR(__xludf.DUMMYFUNCTION("""COMPUTED_VALUE"""),"Conquests of Camelot: The Search for the Grail")</f>
        <v>Conquests of Camelot: The Search for the Grail</v>
      </c>
      <c r="B535" s="204" t="str">
        <f>IFERROR(__xludf.DUMMYFUNCTION("""COMPUTED_VALUE"""),"Xbox / PC")</f>
        <v>Xbox / PC</v>
      </c>
      <c r="C535" s="205" t="str">
        <f>IFERROR(__xludf.DUMMYFUNCTION("""COMPUTED_VALUE"""),"Yes")</f>
        <v>Yes</v>
      </c>
      <c r="D535" s="205" t="str">
        <f>IFERROR(__xludf.DUMMYFUNCTION("""COMPUTED_VALUE"""),"Active")</f>
        <v>Active</v>
      </c>
      <c r="E535" s="166">
        <f>IFERROR(__xludf.DUMMYFUNCTION("""COMPUTED_VALUE"""),45859.0)</f>
        <v>45859</v>
      </c>
      <c r="F535" s="206"/>
      <c r="G535" s="167">
        <f>IFERROR(__xludf.DUMMYFUNCTION("""COMPUTED_VALUE"""),2.8)</f>
        <v>2.8</v>
      </c>
      <c r="H535" s="166">
        <f>IFERROR(__xludf.DUMMYFUNCTION("""COMPUTED_VALUE"""),32874.0)</f>
        <v>32874</v>
      </c>
      <c r="I535" s="167">
        <f>IFERROR(__xludf.DUMMYFUNCTION("""COMPUTED_VALUE"""),35.55555555555556)</f>
        <v>35.55555556</v>
      </c>
      <c r="J535" s="168"/>
      <c r="K535" s="168"/>
      <c r="L535" s="207"/>
    </row>
    <row r="536">
      <c r="A536" s="203" t="str">
        <f>IFERROR(__xludf.DUMMYFUNCTION("""COMPUTED_VALUE"""),"Gabriel Knight: Sins of the Fathers")</f>
        <v>Gabriel Knight: Sins of the Fathers</v>
      </c>
      <c r="B536" s="204" t="str">
        <f>IFERROR(__xludf.DUMMYFUNCTION("""COMPUTED_VALUE"""),"Xbox / PC")</f>
        <v>Xbox / PC</v>
      </c>
      <c r="C536" s="205" t="str">
        <f>IFERROR(__xludf.DUMMYFUNCTION("""COMPUTED_VALUE"""),"Yes")</f>
        <v>Yes</v>
      </c>
      <c r="D536" s="205" t="str">
        <f>IFERROR(__xludf.DUMMYFUNCTION("""COMPUTED_VALUE"""),"Active")</f>
        <v>Active</v>
      </c>
      <c r="E536" s="166">
        <f>IFERROR(__xludf.DUMMYFUNCTION("""COMPUTED_VALUE"""),45859.0)</f>
        <v>45859</v>
      </c>
      <c r="F536" s="206"/>
      <c r="G536" s="167">
        <f>IFERROR(__xludf.DUMMYFUNCTION("""COMPUTED_VALUE"""),2.8)</f>
        <v>2.8</v>
      </c>
      <c r="H536" s="166">
        <f>IFERROR(__xludf.DUMMYFUNCTION("""COMPUTED_VALUE"""),33970.0)</f>
        <v>33970</v>
      </c>
      <c r="I536" s="167">
        <f>IFERROR(__xludf.DUMMYFUNCTION("""COMPUTED_VALUE"""),32.55555555555556)</f>
        <v>32.55555556</v>
      </c>
      <c r="J536" s="168"/>
      <c r="K536" s="168"/>
      <c r="L536" s="207"/>
    </row>
    <row r="537">
      <c r="A537" s="203" t="str">
        <f>IFERROR(__xludf.DUMMYFUNCTION("""COMPUTED_VALUE"""),"Hard Head")</f>
        <v>Hard Head</v>
      </c>
      <c r="B537" s="204" t="str">
        <f>IFERROR(__xludf.DUMMYFUNCTION("""COMPUTED_VALUE"""),"Xbox / PC")</f>
        <v>Xbox / PC</v>
      </c>
      <c r="C537" s="205" t="str">
        <f>IFERROR(__xludf.DUMMYFUNCTION("""COMPUTED_VALUE"""),"Yes")</f>
        <v>Yes</v>
      </c>
      <c r="D537" s="205" t="str">
        <f>IFERROR(__xludf.DUMMYFUNCTION("""COMPUTED_VALUE"""),"Active")</f>
        <v>Active</v>
      </c>
      <c r="E537" s="166">
        <f>IFERROR(__xludf.DUMMYFUNCTION("""COMPUTED_VALUE"""),45859.0)</f>
        <v>45859</v>
      </c>
      <c r="F537" s="206"/>
      <c r="G537" s="167">
        <f>IFERROR(__xludf.DUMMYFUNCTION("""COMPUTED_VALUE"""),2.8)</f>
        <v>2.8</v>
      </c>
      <c r="H537" s="166">
        <f>IFERROR(__xludf.DUMMYFUNCTION("""COMPUTED_VALUE"""),30317.0)</f>
        <v>30317</v>
      </c>
      <c r="I537" s="167">
        <f>IFERROR(__xludf.DUMMYFUNCTION("""COMPUTED_VALUE"""),42.55555555555556)</f>
        <v>42.55555556</v>
      </c>
      <c r="J537" s="168"/>
      <c r="K537" s="168"/>
      <c r="L537" s="207"/>
    </row>
    <row r="538">
      <c r="A538" s="203" t="str">
        <f>IFERROR(__xludf.DUMMYFUNCTION("""COMPUTED_VALUE"""),"Okie Dokie")</f>
        <v>Okie Dokie</v>
      </c>
      <c r="B538" s="204" t="str">
        <f>IFERROR(__xludf.DUMMYFUNCTION("""COMPUTED_VALUE"""),"Xbox / PC")</f>
        <v>Xbox / PC</v>
      </c>
      <c r="C538" s="205" t="str">
        <f>IFERROR(__xludf.DUMMYFUNCTION("""COMPUTED_VALUE"""),"Yes")</f>
        <v>Yes</v>
      </c>
      <c r="D538" s="205" t="str">
        <f>IFERROR(__xludf.DUMMYFUNCTION("""COMPUTED_VALUE"""),"Active")</f>
        <v>Active</v>
      </c>
      <c r="E538" s="166">
        <f>IFERROR(__xludf.DUMMYFUNCTION("""COMPUTED_VALUE"""),45859.0)</f>
        <v>45859</v>
      </c>
      <c r="F538" s="206"/>
      <c r="G538" s="167">
        <f>IFERROR(__xludf.DUMMYFUNCTION("""COMPUTED_VALUE"""),2.8)</f>
        <v>2.8</v>
      </c>
      <c r="H538" s="166">
        <f>IFERROR(__xludf.DUMMYFUNCTION("""COMPUTED_VALUE"""),35065.0)</f>
        <v>35065</v>
      </c>
      <c r="I538" s="167">
        <f>IFERROR(__xludf.DUMMYFUNCTION("""COMPUTED_VALUE"""),29.555555555555557)</f>
        <v>29.55555556</v>
      </c>
      <c r="J538" s="168"/>
      <c r="K538" s="168"/>
      <c r="L538" s="207"/>
    </row>
    <row r="539">
      <c r="A539" s="203" t="str">
        <f>IFERROR(__xludf.DUMMYFUNCTION("""COMPUTED_VALUE"""),"Skate Boardin'")</f>
        <v>Skate Boardin'</v>
      </c>
      <c r="B539" s="204" t="str">
        <f>IFERROR(__xludf.DUMMYFUNCTION("""COMPUTED_VALUE"""),"Xbox / PC")</f>
        <v>Xbox / PC</v>
      </c>
      <c r="C539" s="205" t="str">
        <f>IFERROR(__xludf.DUMMYFUNCTION("""COMPUTED_VALUE"""),"Yes")</f>
        <v>Yes</v>
      </c>
      <c r="D539" s="205" t="str">
        <f>IFERROR(__xludf.DUMMYFUNCTION("""COMPUTED_VALUE"""),"Active")</f>
        <v>Active</v>
      </c>
      <c r="E539" s="166">
        <f>IFERROR(__xludf.DUMMYFUNCTION("""COMPUTED_VALUE"""),45859.0)</f>
        <v>45859</v>
      </c>
      <c r="F539" s="206"/>
      <c r="G539" s="167">
        <f>IFERROR(__xludf.DUMMYFUNCTION("""COMPUTED_VALUE"""),2.8)</f>
        <v>2.8</v>
      </c>
      <c r="H539" s="166">
        <f>IFERROR(__xludf.DUMMYFUNCTION("""COMPUTED_VALUE"""),31972.0)</f>
        <v>31972</v>
      </c>
      <c r="I539" s="167">
        <f>IFERROR(__xludf.DUMMYFUNCTION("""COMPUTED_VALUE"""),38.019444444444446)</f>
        <v>38.01944444</v>
      </c>
      <c r="J539" s="168"/>
      <c r="K539" s="168"/>
      <c r="L539" s="207"/>
    </row>
    <row r="540">
      <c r="A540" s="203" t="str">
        <f>IFERROR(__xludf.DUMMYFUNCTION("""COMPUTED_VALUE"""),"Skeleton+")</f>
        <v>Skeleton+</v>
      </c>
      <c r="B540" s="204" t="str">
        <f>IFERROR(__xludf.DUMMYFUNCTION("""COMPUTED_VALUE"""),"Xbox / PC")</f>
        <v>Xbox / PC</v>
      </c>
      <c r="C540" s="205" t="str">
        <f>IFERROR(__xludf.DUMMYFUNCTION("""COMPUTED_VALUE"""),"Yes")</f>
        <v>Yes</v>
      </c>
      <c r="D540" s="205" t="str">
        <f>IFERROR(__xludf.DUMMYFUNCTION("""COMPUTED_VALUE"""),"Active")</f>
        <v>Active</v>
      </c>
      <c r="E540" s="166">
        <f>IFERROR(__xludf.DUMMYFUNCTION("""COMPUTED_VALUE"""),45859.0)</f>
        <v>45859</v>
      </c>
      <c r="F540" s="206"/>
      <c r="G540" s="167">
        <f>IFERROR(__xludf.DUMMYFUNCTION("""COMPUTED_VALUE"""),2.8)</f>
        <v>2.8</v>
      </c>
      <c r="H540" s="166">
        <f>IFERROR(__xludf.DUMMYFUNCTION("""COMPUTED_VALUE"""),37622.0)</f>
        <v>37622</v>
      </c>
      <c r="I540" s="167">
        <f>IFERROR(__xludf.DUMMYFUNCTION("""COMPUTED_VALUE"""),22.555555555555557)</f>
        <v>22.55555556</v>
      </c>
      <c r="J540" s="168"/>
      <c r="K540" s="168"/>
      <c r="L540" s="207"/>
    </row>
    <row r="541">
      <c r="A541" s="203" t="str">
        <f>IFERROR(__xludf.DUMMYFUNCTION("""COMPUTED_VALUE"""),"He Is Coming (Game Preview)")</f>
        <v>He Is Coming (Game Preview)</v>
      </c>
      <c r="B541" s="204" t="str">
        <f>IFERROR(__xludf.DUMMYFUNCTION("""COMPUTED_VALUE"""),"PC")</f>
        <v>PC</v>
      </c>
      <c r="C541" s="205"/>
      <c r="D541" s="205" t="str">
        <f>IFERROR(__xludf.DUMMYFUNCTION("""COMPUTED_VALUE"""),"Active")</f>
        <v>Active</v>
      </c>
      <c r="E541" s="166">
        <f>IFERROR(__xludf.DUMMYFUNCTION("""COMPUTED_VALUE"""),45855.0)</f>
        <v>45855</v>
      </c>
      <c r="F541" s="206"/>
      <c r="G541" s="167">
        <f>IFERROR(__xludf.DUMMYFUNCTION("""COMPUTED_VALUE"""),2.933333333333333)</f>
        <v>2.933333333</v>
      </c>
      <c r="H541" s="166">
        <f>IFERROR(__xludf.DUMMYFUNCTION("""COMPUTED_VALUE"""),45855.0)</f>
        <v>45855</v>
      </c>
      <c r="I541" s="167">
        <f>IFERROR(__xludf.DUMMYFUNCTION("""COMPUTED_VALUE"""),0.0)</f>
        <v>0</v>
      </c>
      <c r="J541" s="168"/>
      <c r="K541" s="168"/>
      <c r="L541" s="207" t="str">
        <f>IFERROR(__xludf.DUMMYFUNCTION("""COMPUTED_VALUE"""),"RPG")</f>
        <v>RPG</v>
      </c>
    </row>
    <row r="542">
      <c r="A542" s="203" t="str">
        <f>IFERROR(__xludf.DUMMYFUNCTION("""COMPUTED_VALUE"""),"Cosmic Commuter")</f>
        <v>Cosmic Commuter</v>
      </c>
      <c r="B542" s="204" t="str">
        <f>IFERROR(__xludf.DUMMYFUNCTION("""COMPUTED_VALUE"""),"Xbox / PC")</f>
        <v>Xbox / PC</v>
      </c>
      <c r="C542" s="205" t="str">
        <f>IFERROR(__xludf.DUMMYFUNCTION("""COMPUTED_VALUE"""),"Yes")</f>
        <v>Yes</v>
      </c>
      <c r="D542" s="205" t="str">
        <f>IFERROR(__xludf.DUMMYFUNCTION("""COMPUTED_VALUE"""),"Active")</f>
        <v>Active</v>
      </c>
      <c r="E542" s="166">
        <f>IFERROR(__xludf.DUMMYFUNCTION("""COMPUTED_VALUE"""),45839.0)</f>
        <v>45839</v>
      </c>
      <c r="F542" s="206"/>
      <c r="G542" s="167">
        <f>IFERROR(__xludf.DUMMYFUNCTION("""COMPUTED_VALUE"""),3.4666666666666663)</f>
        <v>3.466666667</v>
      </c>
      <c r="H542" s="166">
        <f>IFERROR(__xludf.DUMMYFUNCTION("""COMPUTED_VALUE"""),31048.0)</f>
        <v>31048</v>
      </c>
      <c r="I542" s="167">
        <f>IFERROR(__xludf.DUMMYFUNCTION("""COMPUTED_VALUE"""),40.5)</f>
        <v>40.5</v>
      </c>
      <c r="J542" s="168"/>
      <c r="K542" s="168"/>
      <c r="L542" s="207"/>
    </row>
    <row r="543">
      <c r="A543" s="203" t="str">
        <f>IFERROR(__xludf.DUMMYFUNCTION("""COMPUTED_VALUE"""),"Heart of China")</f>
        <v>Heart of China</v>
      </c>
      <c r="B543" s="204" t="str">
        <f>IFERROR(__xludf.DUMMYFUNCTION("""COMPUTED_VALUE"""),"Xbox / PC")</f>
        <v>Xbox / PC</v>
      </c>
      <c r="C543" s="205" t="str">
        <f>IFERROR(__xludf.DUMMYFUNCTION("""COMPUTED_VALUE"""),"Yes")</f>
        <v>Yes</v>
      </c>
      <c r="D543" s="205" t="str">
        <f>IFERROR(__xludf.DUMMYFUNCTION("""COMPUTED_VALUE"""),"Active")</f>
        <v>Active</v>
      </c>
      <c r="E543" s="166">
        <f>IFERROR(__xludf.DUMMYFUNCTION("""COMPUTED_VALUE"""),45839.0)</f>
        <v>45839</v>
      </c>
      <c r="F543" s="206"/>
      <c r="G543" s="167">
        <f>IFERROR(__xludf.DUMMYFUNCTION("""COMPUTED_VALUE"""),3.4666666666666663)</f>
        <v>3.466666667</v>
      </c>
      <c r="H543" s="166">
        <f>IFERROR(__xludf.DUMMYFUNCTION("""COMPUTED_VALUE"""),33239.0)</f>
        <v>33239</v>
      </c>
      <c r="I543" s="167">
        <f>IFERROR(__xludf.DUMMYFUNCTION("""COMPUTED_VALUE"""),34.5)</f>
        <v>34.5</v>
      </c>
      <c r="J543" s="168"/>
      <c r="K543" s="168">
        <f>IFERROR(__xludf.DUMMYFUNCTION("""COMPUTED_VALUE"""),4.0)</f>
        <v>4</v>
      </c>
      <c r="L543" s="207"/>
    </row>
    <row r="544">
      <c r="A544" s="203" t="str">
        <f>IFERROR(__xludf.DUMMYFUNCTION("""COMPUTED_VALUE"""),"Skiing")</f>
        <v>Skiing</v>
      </c>
      <c r="B544" s="204" t="str">
        <f>IFERROR(__xludf.DUMMYFUNCTION("""COMPUTED_VALUE"""),"Xbox / PC")</f>
        <v>Xbox / PC</v>
      </c>
      <c r="C544" s="205" t="str">
        <f>IFERROR(__xludf.DUMMYFUNCTION("""COMPUTED_VALUE"""),"Yes")</f>
        <v>Yes</v>
      </c>
      <c r="D544" s="205" t="str">
        <f>IFERROR(__xludf.DUMMYFUNCTION("""COMPUTED_VALUE"""),"Active")</f>
        <v>Active</v>
      </c>
      <c r="E544" s="166">
        <f>IFERROR(__xludf.DUMMYFUNCTION("""COMPUTED_VALUE"""),45839.0)</f>
        <v>45839</v>
      </c>
      <c r="F544" s="206"/>
      <c r="G544" s="167">
        <f>IFERROR(__xludf.DUMMYFUNCTION("""COMPUTED_VALUE"""),3.4666666666666663)</f>
        <v>3.466666667</v>
      </c>
      <c r="H544" s="166">
        <f>IFERROR(__xludf.DUMMYFUNCTION("""COMPUTED_VALUE"""),29221.0)</f>
        <v>29221</v>
      </c>
      <c r="I544" s="167">
        <f>IFERROR(__xludf.DUMMYFUNCTION("""COMPUTED_VALUE"""),45.5)</f>
        <v>45.5</v>
      </c>
      <c r="J544" s="168"/>
      <c r="K544" s="168">
        <f>IFERROR(__xludf.DUMMYFUNCTION("""COMPUTED_VALUE"""),1.0)</f>
        <v>1</v>
      </c>
      <c r="L544" s="207"/>
    </row>
    <row r="545">
      <c r="A545" s="203" t="str">
        <f>IFERROR(__xludf.DUMMYFUNCTION("""COMPUTED_VALUE"""),"Solar Storm")</f>
        <v>Solar Storm</v>
      </c>
      <c r="B545" s="204" t="str">
        <f>IFERROR(__xludf.DUMMYFUNCTION("""COMPUTED_VALUE"""),"Xbox / PC")</f>
        <v>Xbox / PC</v>
      </c>
      <c r="C545" s="205" t="str">
        <f>IFERROR(__xludf.DUMMYFUNCTION("""COMPUTED_VALUE"""),"Yes")</f>
        <v>Yes</v>
      </c>
      <c r="D545" s="205" t="str">
        <f>IFERROR(__xludf.DUMMYFUNCTION("""COMPUTED_VALUE"""),"Active")</f>
        <v>Active</v>
      </c>
      <c r="E545" s="166">
        <f>IFERROR(__xludf.DUMMYFUNCTION("""COMPUTED_VALUE"""),45839.0)</f>
        <v>45839</v>
      </c>
      <c r="F545" s="206"/>
      <c r="G545" s="167">
        <f>IFERROR(__xludf.DUMMYFUNCTION("""COMPUTED_VALUE"""),3.4666666666666663)</f>
        <v>3.466666667</v>
      </c>
      <c r="H545" s="166">
        <f>IFERROR(__xludf.DUMMYFUNCTION("""COMPUTED_VALUE"""),30317.0)</f>
        <v>30317</v>
      </c>
      <c r="I545" s="167">
        <f>IFERROR(__xludf.DUMMYFUNCTION("""COMPUTED_VALUE"""),42.5)</f>
        <v>42.5</v>
      </c>
      <c r="J545" s="168"/>
      <c r="K545" s="168"/>
      <c r="L545" s="207"/>
    </row>
    <row r="546">
      <c r="A546" s="203" t="str">
        <f>IFERROR(__xludf.DUMMYFUNCTION("""COMPUTED_VALUE"""),"Subterranea")</f>
        <v>Subterranea</v>
      </c>
      <c r="B546" s="204" t="str">
        <f>IFERROR(__xludf.DUMMYFUNCTION("""COMPUTED_VALUE"""),"Xbox / PC")</f>
        <v>Xbox / PC</v>
      </c>
      <c r="C546" s="205" t="str">
        <f>IFERROR(__xludf.DUMMYFUNCTION("""COMPUTED_VALUE"""),"Yes")</f>
        <v>Yes</v>
      </c>
      <c r="D546" s="205" t="str">
        <f>IFERROR(__xludf.DUMMYFUNCTION("""COMPUTED_VALUE"""),"Active")</f>
        <v>Active</v>
      </c>
      <c r="E546" s="166">
        <f>IFERROR(__xludf.DUMMYFUNCTION("""COMPUTED_VALUE"""),45839.0)</f>
        <v>45839</v>
      </c>
      <c r="F546" s="206"/>
      <c r="G546" s="167">
        <f>IFERROR(__xludf.DUMMYFUNCTION("""COMPUTED_VALUE"""),3.4666666666666663)</f>
        <v>3.466666667</v>
      </c>
      <c r="H546" s="166">
        <f>IFERROR(__xludf.DUMMYFUNCTION("""COMPUTED_VALUE"""),30317.0)</f>
        <v>30317</v>
      </c>
      <c r="I546" s="167">
        <f>IFERROR(__xludf.DUMMYFUNCTION("""COMPUTED_VALUE"""),42.5)</f>
        <v>42.5</v>
      </c>
      <c r="J546" s="168"/>
      <c r="K546" s="168"/>
      <c r="L546" s="207"/>
    </row>
    <row r="547">
      <c r="A547" s="203" t="str">
        <f>IFERROR(__xludf.DUMMYFUNCTION("""COMPUTED_VALUE"""),"Activision Prototype #1")</f>
        <v>Activision Prototype #1</v>
      </c>
      <c r="B547" s="204" t="str">
        <f>IFERROR(__xludf.DUMMYFUNCTION("""COMPUTED_VALUE"""),"Xbox / PC")</f>
        <v>Xbox / PC</v>
      </c>
      <c r="C547" s="205" t="str">
        <f>IFERROR(__xludf.DUMMYFUNCTION("""COMPUTED_VALUE"""),"Yes")</f>
        <v>Yes</v>
      </c>
      <c r="D547" s="205" t="str">
        <f>IFERROR(__xludf.DUMMYFUNCTION("""COMPUTED_VALUE"""),"Active")</f>
        <v>Active</v>
      </c>
      <c r="E547" s="166">
        <f>IFERROR(__xludf.DUMMYFUNCTION("""COMPUTED_VALUE"""),45798.0)</f>
        <v>45798</v>
      </c>
      <c r="F547" s="206"/>
      <c r="G547" s="167">
        <f>IFERROR(__xludf.DUMMYFUNCTION("""COMPUTED_VALUE"""),4.800000000000001)</f>
        <v>4.8</v>
      </c>
      <c r="H547" s="166">
        <f>IFERROR(__xludf.DUMMYFUNCTION("""COMPUTED_VALUE"""),30317.0)</f>
        <v>30317</v>
      </c>
      <c r="I547" s="167">
        <f>IFERROR(__xludf.DUMMYFUNCTION("""COMPUTED_VALUE"""),42.388888888888886)</f>
        <v>42.38888889</v>
      </c>
      <c r="J547" s="168"/>
      <c r="K547" s="168"/>
      <c r="L547" s="207"/>
    </row>
    <row r="548">
      <c r="A548" s="203" t="str">
        <f>IFERROR(__xludf.DUMMYFUNCTION("""COMPUTED_VALUE"""),"Atlantis")</f>
        <v>Atlantis</v>
      </c>
      <c r="B548" s="204" t="str">
        <f>IFERROR(__xludf.DUMMYFUNCTION("""COMPUTED_VALUE"""),"Xbox / PC")</f>
        <v>Xbox / PC</v>
      </c>
      <c r="C548" s="205" t="str">
        <f>IFERROR(__xludf.DUMMYFUNCTION("""COMPUTED_VALUE"""),"Yes")</f>
        <v>Yes</v>
      </c>
      <c r="D548" s="205" t="str">
        <f>IFERROR(__xludf.DUMMYFUNCTION("""COMPUTED_VALUE"""),"Active")</f>
        <v>Active</v>
      </c>
      <c r="E548" s="166">
        <f>IFERROR(__xludf.DUMMYFUNCTION("""COMPUTED_VALUE"""),45798.0)</f>
        <v>45798</v>
      </c>
      <c r="F548" s="206"/>
      <c r="G548" s="167">
        <f>IFERROR(__xludf.DUMMYFUNCTION("""COMPUTED_VALUE"""),4.800000000000001)</f>
        <v>4.8</v>
      </c>
      <c r="H548" s="166">
        <f>IFERROR(__xludf.DUMMYFUNCTION("""COMPUTED_VALUE"""),32255.0)</f>
        <v>32255</v>
      </c>
      <c r="I548" s="167">
        <f>IFERROR(__xludf.DUMMYFUNCTION("""COMPUTED_VALUE"""),37.080555555555556)</f>
        <v>37.08055556</v>
      </c>
      <c r="J548" s="168"/>
      <c r="K548" s="168"/>
      <c r="L548" s="207"/>
    </row>
    <row r="549">
      <c r="A549" s="203" t="str">
        <f>IFERROR(__xludf.DUMMYFUNCTION("""COMPUTED_VALUE"""),"Atlantis II")</f>
        <v>Atlantis II</v>
      </c>
      <c r="B549" s="204" t="str">
        <f>IFERROR(__xludf.DUMMYFUNCTION("""COMPUTED_VALUE"""),"Xbox / PC")</f>
        <v>Xbox / PC</v>
      </c>
      <c r="C549" s="205" t="str">
        <f>IFERROR(__xludf.DUMMYFUNCTION("""COMPUTED_VALUE"""),"Yes")</f>
        <v>Yes</v>
      </c>
      <c r="D549" s="205" t="str">
        <f>IFERROR(__xludf.DUMMYFUNCTION("""COMPUTED_VALUE"""),"Active")</f>
        <v>Active</v>
      </c>
      <c r="E549" s="166">
        <f>IFERROR(__xludf.DUMMYFUNCTION("""COMPUTED_VALUE"""),45798.0)</f>
        <v>45798</v>
      </c>
      <c r="F549" s="206"/>
      <c r="G549" s="167">
        <f>IFERROR(__xludf.DUMMYFUNCTION("""COMPUTED_VALUE"""),4.800000000000001)</f>
        <v>4.8</v>
      </c>
      <c r="H549" s="166">
        <f>IFERROR(__xludf.DUMMYFUNCTION("""COMPUTED_VALUE"""),32255.0)</f>
        <v>32255</v>
      </c>
      <c r="I549" s="167">
        <f>IFERROR(__xludf.DUMMYFUNCTION("""COMPUTED_VALUE"""),37.080555555555556)</f>
        <v>37.08055556</v>
      </c>
      <c r="J549" s="168"/>
      <c r="K549" s="168">
        <f>IFERROR(__xludf.DUMMYFUNCTION("""COMPUTED_VALUE"""),7.0)</f>
        <v>7</v>
      </c>
      <c r="L549" s="207"/>
    </row>
    <row r="550">
      <c r="A550" s="203" t="str">
        <f>IFERROR(__xludf.DUMMYFUNCTION("""COMPUTED_VALUE"""),"Barnstorming")</f>
        <v>Barnstorming</v>
      </c>
      <c r="B550" s="204" t="str">
        <f>IFERROR(__xludf.DUMMYFUNCTION("""COMPUTED_VALUE"""),"Xbox / PC")</f>
        <v>Xbox / PC</v>
      </c>
      <c r="C550" s="205" t="str">
        <f>IFERROR(__xludf.DUMMYFUNCTION("""COMPUTED_VALUE"""),"Yes")</f>
        <v>Yes</v>
      </c>
      <c r="D550" s="205" t="str">
        <f>IFERROR(__xludf.DUMMYFUNCTION("""COMPUTED_VALUE"""),"Active")</f>
        <v>Active</v>
      </c>
      <c r="E550" s="166">
        <f>IFERROR(__xludf.DUMMYFUNCTION("""COMPUTED_VALUE"""),45798.0)</f>
        <v>45798</v>
      </c>
      <c r="F550" s="206"/>
      <c r="G550" s="167">
        <f>IFERROR(__xludf.DUMMYFUNCTION("""COMPUTED_VALUE"""),4.800000000000001)</f>
        <v>4.8</v>
      </c>
      <c r="H550" s="166">
        <f>IFERROR(__xludf.DUMMYFUNCTION("""COMPUTED_VALUE"""),30011.0)</f>
        <v>30011</v>
      </c>
      <c r="I550" s="167">
        <f>IFERROR(__xludf.DUMMYFUNCTION("""COMPUTED_VALUE"""),43.22222222222222)</f>
        <v>43.22222222</v>
      </c>
      <c r="J550" s="168"/>
      <c r="K550" s="168"/>
      <c r="L550" s="207"/>
    </row>
    <row r="551">
      <c r="A551" s="203" t="str">
        <f>IFERROR(__xludf.DUMMYFUNCTION("""COMPUTED_VALUE"""),"Baseball")</f>
        <v>Baseball</v>
      </c>
      <c r="B551" s="204" t="str">
        <f>IFERROR(__xludf.DUMMYFUNCTION("""COMPUTED_VALUE"""),"Xbox / PC")</f>
        <v>Xbox / PC</v>
      </c>
      <c r="C551" s="205" t="str">
        <f>IFERROR(__xludf.DUMMYFUNCTION("""COMPUTED_VALUE"""),"Yes")</f>
        <v>Yes</v>
      </c>
      <c r="D551" s="205" t="str">
        <f>IFERROR(__xludf.DUMMYFUNCTION("""COMPUTED_VALUE"""),"Active")</f>
        <v>Active</v>
      </c>
      <c r="E551" s="166">
        <f>IFERROR(__xludf.DUMMYFUNCTION("""COMPUTED_VALUE"""),45798.0)</f>
        <v>45798</v>
      </c>
      <c r="F551" s="206"/>
      <c r="G551" s="167">
        <f>IFERROR(__xludf.DUMMYFUNCTION("""COMPUTED_VALUE"""),4.800000000000001)</f>
        <v>4.8</v>
      </c>
      <c r="H551" s="166">
        <f>IFERROR(__xludf.DUMMYFUNCTION("""COMPUTED_VALUE"""),32214.0)</f>
        <v>32214</v>
      </c>
      <c r="I551" s="167">
        <f>IFERROR(__xludf.DUMMYFUNCTION("""COMPUTED_VALUE"""),37.19166666666667)</f>
        <v>37.19166667</v>
      </c>
      <c r="J551" s="168"/>
      <c r="K551" s="168"/>
      <c r="L551" s="207"/>
    </row>
    <row r="552">
      <c r="A552" s="203" t="str">
        <f>IFERROR(__xludf.DUMMYFUNCTION("""COMPUTED_VALUE"""),"Beamrider")</f>
        <v>Beamrider</v>
      </c>
      <c r="B552" s="204" t="str">
        <f>IFERROR(__xludf.DUMMYFUNCTION("""COMPUTED_VALUE"""),"Xbox / PC")</f>
        <v>Xbox / PC</v>
      </c>
      <c r="C552" s="205" t="str">
        <f>IFERROR(__xludf.DUMMYFUNCTION("""COMPUTED_VALUE"""),"Yes")</f>
        <v>Yes</v>
      </c>
      <c r="D552" s="205" t="str">
        <f>IFERROR(__xludf.DUMMYFUNCTION("""COMPUTED_VALUE"""),"Active")</f>
        <v>Active</v>
      </c>
      <c r="E552" s="166">
        <f>IFERROR(__xludf.DUMMYFUNCTION("""COMPUTED_VALUE"""),45798.0)</f>
        <v>45798</v>
      </c>
      <c r="F552" s="206"/>
      <c r="G552" s="167">
        <f>IFERROR(__xludf.DUMMYFUNCTION("""COMPUTED_VALUE"""),4.800000000000001)</f>
        <v>4.8</v>
      </c>
      <c r="H552" s="166">
        <f>IFERROR(__xludf.DUMMYFUNCTION("""COMPUTED_VALUE"""),30705.0)</f>
        <v>30705</v>
      </c>
      <c r="I552" s="167">
        <f>IFERROR(__xludf.DUMMYFUNCTION("""COMPUTED_VALUE"""),41.325)</f>
        <v>41.325</v>
      </c>
      <c r="J552" s="168"/>
      <c r="K552" s="168"/>
      <c r="L552" s="207"/>
    </row>
    <row r="553">
      <c r="A553" s="203" t="str">
        <f>IFERROR(__xludf.DUMMYFUNCTION("""COMPUTED_VALUE"""),"Bloody Human Freeway")</f>
        <v>Bloody Human Freeway</v>
      </c>
      <c r="B553" s="204" t="str">
        <f>IFERROR(__xludf.DUMMYFUNCTION("""COMPUTED_VALUE"""),"Xbox / PC")</f>
        <v>Xbox / PC</v>
      </c>
      <c r="C553" s="205" t="str">
        <f>IFERROR(__xludf.DUMMYFUNCTION("""COMPUTED_VALUE"""),"Yes")</f>
        <v>Yes</v>
      </c>
      <c r="D553" s="205" t="str">
        <f>IFERROR(__xludf.DUMMYFUNCTION("""COMPUTED_VALUE"""),"Active")</f>
        <v>Active</v>
      </c>
      <c r="E553" s="166">
        <f>IFERROR(__xludf.DUMMYFUNCTION("""COMPUTED_VALUE"""),45798.0)</f>
        <v>45798</v>
      </c>
      <c r="F553" s="206"/>
      <c r="G553" s="167">
        <f>IFERROR(__xludf.DUMMYFUNCTION("""COMPUTED_VALUE"""),4.800000000000001)</f>
        <v>4.8</v>
      </c>
      <c r="H553" s="166">
        <f>IFERROR(__xludf.DUMMYFUNCTION("""COMPUTED_VALUE"""),29768.0)</f>
        <v>29768</v>
      </c>
      <c r="I553" s="167">
        <f>IFERROR(__xludf.DUMMYFUNCTION("""COMPUTED_VALUE"""),43.888888888888886)</f>
        <v>43.88888889</v>
      </c>
      <c r="J553" s="168"/>
      <c r="K553" s="168"/>
      <c r="L553" s="207"/>
    </row>
    <row r="554">
      <c r="A554" s="203" t="str">
        <f>IFERROR(__xludf.DUMMYFUNCTION("""COMPUTED_VALUE"""),"Boxing")</f>
        <v>Boxing</v>
      </c>
      <c r="B554" s="204" t="str">
        <f>IFERROR(__xludf.DUMMYFUNCTION("""COMPUTED_VALUE"""),"Xbox / PC")</f>
        <v>Xbox / PC</v>
      </c>
      <c r="C554" s="205" t="str">
        <f>IFERROR(__xludf.DUMMYFUNCTION("""COMPUTED_VALUE"""),"Yes")</f>
        <v>Yes</v>
      </c>
      <c r="D554" s="205" t="str">
        <f>IFERROR(__xludf.DUMMYFUNCTION("""COMPUTED_VALUE"""),"Active")</f>
        <v>Active</v>
      </c>
      <c r="E554" s="166">
        <f>IFERROR(__xludf.DUMMYFUNCTION("""COMPUTED_VALUE"""),45798.0)</f>
        <v>45798</v>
      </c>
      <c r="F554" s="206"/>
      <c r="G554" s="167">
        <f>IFERROR(__xludf.DUMMYFUNCTION("""COMPUTED_VALUE"""),4.800000000000001)</f>
        <v>4.8</v>
      </c>
      <c r="H554" s="166">
        <f>IFERROR(__xludf.DUMMYFUNCTION("""COMPUTED_VALUE"""),29403.0)</f>
        <v>29403</v>
      </c>
      <c r="I554" s="167">
        <f>IFERROR(__xludf.DUMMYFUNCTION("""COMPUTED_VALUE"""),44.888888888888886)</f>
        <v>44.88888889</v>
      </c>
      <c r="J554" s="168"/>
      <c r="K554" s="168"/>
      <c r="L554" s="207"/>
    </row>
    <row r="555">
      <c r="A555" s="203" t="str">
        <f>IFERROR(__xludf.DUMMYFUNCTION("""COMPUTED_VALUE"""),"Bridge")</f>
        <v>Bridge</v>
      </c>
      <c r="B555" s="204" t="str">
        <f>IFERROR(__xludf.DUMMYFUNCTION("""COMPUTED_VALUE"""),"Xbox / PC")</f>
        <v>Xbox / PC</v>
      </c>
      <c r="C555" s="205" t="str">
        <f>IFERROR(__xludf.DUMMYFUNCTION("""COMPUTED_VALUE"""),"Yes")</f>
        <v>Yes</v>
      </c>
      <c r="D555" s="205" t="str">
        <f>IFERROR(__xludf.DUMMYFUNCTION("""COMPUTED_VALUE"""),"Active")</f>
        <v>Active</v>
      </c>
      <c r="E555" s="166">
        <f>IFERROR(__xludf.DUMMYFUNCTION("""COMPUTED_VALUE"""),45798.0)</f>
        <v>45798</v>
      </c>
      <c r="F555" s="206"/>
      <c r="G555" s="167">
        <f>IFERROR(__xludf.DUMMYFUNCTION("""COMPUTED_VALUE"""),4.800000000000001)</f>
        <v>4.8</v>
      </c>
      <c r="H555" s="166">
        <f>IFERROR(__xludf.DUMMYFUNCTION("""COMPUTED_VALUE"""),29556.0)</f>
        <v>29556</v>
      </c>
      <c r="I555" s="167">
        <f>IFERROR(__xludf.DUMMYFUNCTION("""COMPUTED_VALUE"""),44.47222222222222)</f>
        <v>44.47222222</v>
      </c>
      <c r="J555" s="168"/>
      <c r="K555" s="168"/>
      <c r="L555" s="207"/>
    </row>
    <row r="556">
      <c r="A556" s="203" t="str">
        <f>IFERROR(__xludf.DUMMYFUNCTION("""COMPUTED_VALUE"""),"Caesar II")</f>
        <v>Caesar II</v>
      </c>
      <c r="B556" s="204" t="str">
        <f>IFERROR(__xludf.DUMMYFUNCTION("""COMPUTED_VALUE"""),"Xbox / PC")</f>
        <v>Xbox / PC</v>
      </c>
      <c r="C556" s="205" t="str">
        <f>IFERROR(__xludf.DUMMYFUNCTION("""COMPUTED_VALUE"""),"Yes")</f>
        <v>Yes</v>
      </c>
      <c r="D556" s="205" t="str">
        <f>IFERROR(__xludf.DUMMYFUNCTION("""COMPUTED_VALUE"""),"Active")</f>
        <v>Active</v>
      </c>
      <c r="E556" s="166">
        <f>IFERROR(__xludf.DUMMYFUNCTION("""COMPUTED_VALUE"""),45798.0)</f>
        <v>45798</v>
      </c>
      <c r="F556" s="206"/>
      <c r="G556" s="167">
        <f>IFERROR(__xludf.DUMMYFUNCTION("""COMPUTED_VALUE"""),4.800000000000001)</f>
        <v>4.8</v>
      </c>
      <c r="H556" s="166">
        <f>IFERROR(__xludf.DUMMYFUNCTION("""COMPUTED_VALUE"""),34700.0)</f>
        <v>34700</v>
      </c>
      <c r="I556" s="167">
        <f>IFERROR(__xludf.DUMMYFUNCTION("""COMPUTED_VALUE"""),30.38888888888889)</f>
        <v>30.38888889</v>
      </c>
      <c r="J556" s="168"/>
      <c r="K556" s="168">
        <f>IFERROR(__xludf.DUMMYFUNCTION("""COMPUTED_VALUE"""),7.0)</f>
        <v>7</v>
      </c>
      <c r="L556" s="207"/>
    </row>
    <row r="557">
      <c r="A557" s="203" t="str">
        <f>IFERROR(__xludf.DUMMYFUNCTION("""COMPUTED_VALUE"""),"Checkers")</f>
        <v>Checkers</v>
      </c>
      <c r="B557" s="204" t="str">
        <f>IFERROR(__xludf.DUMMYFUNCTION("""COMPUTED_VALUE"""),"Xbox / PC")</f>
        <v>Xbox / PC</v>
      </c>
      <c r="C557" s="205" t="str">
        <f>IFERROR(__xludf.DUMMYFUNCTION("""COMPUTED_VALUE"""),"Yes")</f>
        <v>Yes</v>
      </c>
      <c r="D557" s="205" t="str">
        <f>IFERROR(__xludf.DUMMYFUNCTION("""COMPUTED_VALUE"""),"Active")</f>
        <v>Active</v>
      </c>
      <c r="E557" s="166">
        <f>IFERROR(__xludf.DUMMYFUNCTION("""COMPUTED_VALUE"""),45798.0)</f>
        <v>45798</v>
      </c>
      <c r="F557" s="206"/>
      <c r="G557" s="167">
        <f>IFERROR(__xludf.DUMMYFUNCTION("""COMPUTED_VALUE"""),4.800000000000001)</f>
        <v>4.8</v>
      </c>
      <c r="H557" s="166">
        <f>IFERROR(__xludf.DUMMYFUNCTION("""COMPUTED_VALUE"""),29403.0)</f>
        <v>29403</v>
      </c>
      <c r="I557" s="167">
        <f>IFERROR(__xludf.DUMMYFUNCTION("""COMPUTED_VALUE"""),44.888888888888886)</f>
        <v>44.88888889</v>
      </c>
      <c r="J557" s="168"/>
      <c r="K557" s="168"/>
      <c r="L557" s="207"/>
    </row>
    <row r="558">
      <c r="A558" s="203" t="str">
        <f>IFERROR(__xludf.DUMMYFUNCTION("""COMPUTED_VALUE"""),"Chopper Command")</f>
        <v>Chopper Command</v>
      </c>
      <c r="B558" s="204" t="str">
        <f>IFERROR(__xludf.DUMMYFUNCTION("""COMPUTED_VALUE"""),"Xbox / PC")</f>
        <v>Xbox / PC</v>
      </c>
      <c r="C558" s="205" t="str">
        <f>IFERROR(__xludf.DUMMYFUNCTION("""COMPUTED_VALUE"""),"Yes")</f>
        <v>Yes</v>
      </c>
      <c r="D558" s="205" t="str">
        <f>IFERROR(__xludf.DUMMYFUNCTION("""COMPUTED_VALUE"""),"Active")</f>
        <v>Active</v>
      </c>
      <c r="E558" s="166">
        <f>IFERROR(__xludf.DUMMYFUNCTION("""COMPUTED_VALUE"""),45798.0)</f>
        <v>45798</v>
      </c>
      <c r="F558" s="206"/>
      <c r="G558" s="167">
        <f>IFERROR(__xludf.DUMMYFUNCTION("""COMPUTED_VALUE"""),4.800000000000001)</f>
        <v>4.8</v>
      </c>
      <c r="H558" s="166">
        <f>IFERROR(__xludf.DUMMYFUNCTION("""COMPUTED_VALUE"""),30072.0)</f>
        <v>30072</v>
      </c>
      <c r="I558" s="167">
        <f>IFERROR(__xludf.DUMMYFUNCTION("""COMPUTED_VALUE"""),43.05555555555556)</f>
        <v>43.05555556</v>
      </c>
      <c r="J558" s="168"/>
      <c r="K558" s="168"/>
      <c r="L558" s="207"/>
    </row>
    <row r="559">
      <c r="A559" s="203" t="str">
        <f>IFERROR(__xludf.DUMMYFUNCTION("""COMPUTED_VALUE"""),"Commando")</f>
        <v>Commando</v>
      </c>
      <c r="B559" s="204" t="str">
        <f>IFERROR(__xludf.DUMMYFUNCTION("""COMPUTED_VALUE"""),"Xbox / PC")</f>
        <v>Xbox / PC</v>
      </c>
      <c r="C559" s="205" t="str">
        <f>IFERROR(__xludf.DUMMYFUNCTION("""COMPUTED_VALUE"""),"Yes")</f>
        <v>Yes</v>
      </c>
      <c r="D559" s="205" t="str">
        <f>IFERROR(__xludf.DUMMYFUNCTION("""COMPUTED_VALUE"""),"Active")</f>
        <v>Active</v>
      </c>
      <c r="E559" s="166">
        <f>IFERROR(__xludf.DUMMYFUNCTION("""COMPUTED_VALUE"""),45798.0)</f>
        <v>45798</v>
      </c>
      <c r="F559" s="206"/>
      <c r="G559" s="167">
        <f>IFERROR(__xludf.DUMMYFUNCTION("""COMPUTED_VALUE"""),4.800000000000001)</f>
        <v>4.8</v>
      </c>
      <c r="H559" s="166">
        <f>IFERROR(__xludf.DUMMYFUNCTION("""COMPUTED_VALUE"""),30393.0)</f>
        <v>30393</v>
      </c>
      <c r="I559" s="167">
        <f>IFERROR(__xludf.DUMMYFUNCTION("""COMPUTED_VALUE"""),42.175)</f>
        <v>42.175</v>
      </c>
      <c r="J559" s="168"/>
      <c r="K559" s="168"/>
      <c r="L559" s="207"/>
    </row>
    <row r="560">
      <c r="A560" s="203" t="str">
        <f>IFERROR(__xludf.DUMMYFUNCTION("""COMPUTED_VALUE"""),"Conquests of the Longbow: The Legend of Robin Hood")</f>
        <v>Conquests of the Longbow: The Legend of Robin Hood</v>
      </c>
      <c r="B560" s="204" t="str">
        <f>IFERROR(__xludf.DUMMYFUNCTION("""COMPUTED_VALUE"""),"Xbox / PC")</f>
        <v>Xbox / PC</v>
      </c>
      <c r="C560" s="205" t="str">
        <f>IFERROR(__xludf.DUMMYFUNCTION("""COMPUTED_VALUE"""),"Yes")</f>
        <v>Yes</v>
      </c>
      <c r="D560" s="205" t="str">
        <f>IFERROR(__xludf.DUMMYFUNCTION("""COMPUTED_VALUE"""),"Active")</f>
        <v>Active</v>
      </c>
      <c r="E560" s="166">
        <f>IFERROR(__xludf.DUMMYFUNCTION("""COMPUTED_VALUE"""),45798.0)</f>
        <v>45798</v>
      </c>
      <c r="F560" s="206"/>
      <c r="G560" s="167">
        <f>IFERROR(__xludf.DUMMYFUNCTION("""COMPUTED_VALUE"""),4.800000000000001)</f>
        <v>4.8</v>
      </c>
      <c r="H560" s="166">
        <f>IFERROR(__xludf.DUMMYFUNCTION("""COMPUTED_VALUE"""),33239.0)</f>
        <v>33239</v>
      </c>
      <c r="I560" s="167">
        <f>IFERROR(__xludf.DUMMYFUNCTION("""COMPUTED_VALUE"""),34.388888888888886)</f>
        <v>34.38888889</v>
      </c>
      <c r="J560" s="168"/>
      <c r="K560" s="168">
        <f>IFERROR(__xludf.DUMMYFUNCTION("""COMPUTED_VALUE"""),6.0)</f>
        <v>6</v>
      </c>
      <c r="L560" s="207"/>
    </row>
    <row r="561">
      <c r="A561" s="203" t="str">
        <f>IFERROR(__xludf.DUMMYFUNCTION("""COMPUTED_VALUE"""),"Cosmic Ark")</f>
        <v>Cosmic Ark</v>
      </c>
      <c r="B561" s="204" t="str">
        <f>IFERROR(__xludf.DUMMYFUNCTION("""COMPUTED_VALUE"""),"Xbox / PC")</f>
        <v>Xbox / PC</v>
      </c>
      <c r="C561" s="205" t="str">
        <f>IFERROR(__xludf.DUMMYFUNCTION("""COMPUTED_VALUE"""),"Yes")</f>
        <v>Yes</v>
      </c>
      <c r="D561" s="205" t="str">
        <f>IFERROR(__xludf.DUMMYFUNCTION("""COMPUTED_VALUE"""),"Active")</f>
        <v>Active</v>
      </c>
      <c r="E561" s="166">
        <f>IFERROR(__xludf.DUMMYFUNCTION("""COMPUTED_VALUE"""),45798.0)</f>
        <v>45798</v>
      </c>
      <c r="F561" s="206"/>
      <c r="G561" s="167">
        <f>IFERROR(__xludf.DUMMYFUNCTION("""COMPUTED_VALUE"""),4.800000000000001)</f>
        <v>4.8</v>
      </c>
      <c r="H561" s="166">
        <f>IFERROR(__xludf.DUMMYFUNCTION("""COMPUTED_VALUE"""),30164.0)</f>
        <v>30164</v>
      </c>
      <c r="I561" s="167">
        <f>IFERROR(__xludf.DUMMYFUNCTION("""COMPUTED_VALUE"""),42.80555555555556)</f>
        <v>42.80555556</v>
      </c>
      <c r="J561" s="168"/>
      <c r="K561" s="168"/>
      <c r="L561" s="207"/>
    </row>
    <row r="562">
      <c r="A562" s="203" t="str">
        <f>IFERROR(__xludf.DUMMYFUNCTION("""COMPUTED_VALUE"""),"Crackpots")</f>
        <v>Crackpots</v>
      </c>
      <c r="B562" s="204" t="str">
        <f>IFERROR(__xludf.DUMMYFUNCTION("""COMPUTED_VALUE"""),"Xbox / PC")</f>
        <v>Xbox / PC</v>
      </c>
      <c r="C562" s="205" t="str">
        <f>IFERROR(__xludf.DUMMYFUNCTION("""COMPUTED_VALUE"""),"Yes")</f>
        <v>Yes</v>
      </c>
      <c r="D562" s="205" t="str">
        <f>IFERROR(__xludf.DUMMYFUNCTION("""COMPUTED_VALUE"""),"Active")</f>
        <v>Active</v>
      </c>
      <c r="E562" s="166">
        <f>IFERROR(__xludf.DUMMYFUNCTION("""COMPUTED_VALUE"""),45798.0)</f>
        <v>45798</v>
      </c>
      <c r="F562" s="206"/>
      <c r="G562" s="167">
        <f>IFERROR(__xludf.DUMMYFUNCTION("""COMPUTED_VALUE"""),4.800000000000001)</f>
        <v>4.8</v>
      </c>
      <c r="H562" s="166">
        <f>IFERROR(__xludf.DUMMYFUNCTION("""COMPUTED_VALUE"""),30452.0)</f>
        <v>30452</v>
      </c>
      <c r="I562" s="167">
        <f>IFERROR(__xludf.DUMMYFUNCTION("""COMPUTED_VALUE"""),42.013888888888886)</f>
        <v>42.01388889</v>
      </c>
      <c r="J562" s="168"/>
      <c r="K562" s="168"/>
      <c r="L562" s="207"/>
    </row>
    <row r="563">
      <c r="A563" s="203" t="str">
        <f>IFERROR(__xludf.DUMMYFUNCTION("""COMPUTED_VALUE"""),"Decathlon")</f>
        <v>Decathlon</v>
      </c>
      <c r="B563" s="204" t="str">
        <f>IFERROR(__xludf.DUMMYFUNCTION("""COMPUTED_VALUE"""),"Xbox / PC")</f>
        <v>Xbox / PC</v>
      </c>
      <c r="C563" s="205" t="str">
        <f>IFERROR(__xludf.DUMMYFUNCTION("""COMPUTED_VALUE"""),"Yes")</f>
        <v>Yes</v>
      </c>
      <c r="D563" s="205" t="str">
        <f>IFERROR(__xludf.DUMMYFUNCTION("""COMPUTED_VALUE"""),"Active")</f>
        <v>Active</v>
      </c>
      <c r="E563" s="166">
        <f>IFERROR(__xludf.DUMMYFUNCTION("""COMPUTED_VALUE"""),45798.0)</f>
        <v>45798</v>
      </c>
      <c r="F563" s="206"/>
      <c r="G563" s="167">
        <f>IFERROR(__xludf.DUMMYFUNCTION("""COMPUTED_VALUE"""),4.800000000000001)</f>
        <v>4.8</v>
      </c>
      <c r="H563" s="166">
        <f>IFERROR(__xludf.DUMMYFUNCTION("""COMPUTED_VALUE"""),30393.0)</f>
        <v>30393</v>
      </c>
      <c r="I563" s="167">
        <f>IFERROR(__xludf.DUMMYFUNCTION("""COMPUTED_VALUE"""),42.175)</f>
        <v>42.175</v>
      </c>
      <c r="J563" s="168"/>
      <c r="K563" s="168"/>
      <c r="L563" s="207"/>
    </row>
    <row r="564">
      <c r="A564" s="203" t="str">
        <f>IFERROR(__xludf.DUMMYFUNCTION("""COMPUTED_VALUE"""),"Demon Attack")</f>
        <v>Demon Attack</v>
      </c>
      <c r="B564" s="204" t="str">
        <f>IFERROR(__xludf.DUMMYFUNCTION("""COMPUTED_VALUE"""),"Xbox / PC")</f>
        <v>Xbox / PC</v>
      </c>
      <c r="C564" s="205" t="str">
        <f>IFERROR(__xludf.DUMMYFUNCTION("""COMPUTED_VALUE"""),"Yes")</f>
        <v>Yes</v>
      </c>
      <c r="D564" s="205" t="str">
        <f>IFERROR(__xludf.DUMMYFUNCTION("""COMPUTED_VALUE"""),"Active")</f>
        <v>Active</v>
      </c>
      <c r="E564" s="166">
        <f>IFERROR(__xludf.DUMMYFUNCTION("""COMPUTED_VALUE"""),45798.0)</f>
        <v>45798</v>
      </c>
      <c r="F564" s="206"/>
      <c r="G564" s="167">
        <f>IFERROR(__xludf.DUMMYFUNCTION("""COMPUTED_VALUE"""),4.800000000000001)</f>
        <v>4.8</v>
      </c>
      <c r="H564" s="166">
        <f>IFERROR(__xludf.DUMMYFUNCTION("""COMPUTED_VALUE"""),32255.0)</f>
        <v>32255</v>
      </c>
      <c r="I564" s="167">
        <f>IFERROR(__xludf.DUMMYFUNCTION("""COMPUTED_VALUE"""),37.080555555555556)</f>
        <v>37.08055556</v>
      </c>
      <c r="J564" s="168"/>
      <c r="K564" s="168"/>
      <c r="L564" s="207"/>
    </row>
    <row r="565">
      <c r="A565" s="203" t="str">
        <f>IFERROR(__xludf.DUMMYFUNCTION("""COMPUTED_VALUE"""),"Dolphin")</f>
        <v>Dolphin</v>
      </c>
      <c r="B565" s="204" t="str">
        <f>IFERROR(__xludf.DUMMYFUNCTION("""COMPUTED_VALUE"""),"Xbox / PC")</f>
        <v>Xbox / PC</v>
      </c>
      <c r="C565" s="205" t="str">
        <f>IFERROR(__xludf.DUMMYFUNCTION("""COMPUTED_VALUE"""),"Yes")</f>
        <v>Yes</v>
      </c>
      <c r="D565" s="205" t="str">
        <f>IFERROR(__xludf.DUMMYFUNCTION("""COMPUTED_VALUE"""),"Active")</f>
        <v>Active</v>
      </c>
      <c r="E565" s="166">
        <f>IFERROR(__xludf.DUMMYFUNCTION("""COMPUTED_VALUE"""),45798.0)</f>
        <v>45798</v>
      </c>
      <c r="F565" s="206"/>
      <c r="G565" s="167">
        <f>IFERROR(__xludf.DUMMYFUNCTION("""COMPUTED_VALUE"""),4.800000000000001)</f>
        <v>4.8</v>
      </c>
      <c r="H565" s="166">
        <f>IFERROR(__xludf.DUMMYFUNCTION("""COMPUTED_VALUE"""),30677.0)</f>
        <v>30677</v>
      </c>
      <c r="I565" s="167">
        <f>IFERROR(__xludf.DUMMYFUNCTION("""COMPUTED_VALUE"""),41.4)</f>
        <v>41.4</v>
      </c>
      <c r="J565" s="168"/>
      <c r="K565" s="168"/>
      <c r="L565" s="207"/>
    </row>
    <row r="566">
      <c r="A566" s="203" t="str">
        <f>IFERROR(__xludf.DUMMYFUNCTION("""COMPUTED_VALUE"""),"Dragster")</f>
        <v>Dragster</v>
      </c>
      <c r="B566" s="204" t="str">
        <f>IFERROR(__xludf.DUMMYFUNCTION("""COMPUTED_VALUE"""),"Xbox / PC")</f>
        <v>Xbox / PC</v>
      </c>
      <c r="C566" s="205" t="str">
        <f>IFERROR(__xludf.DUMMYFUNCTION("""COMPUTED_VALUE"""),"Yes")</f>
        <v>Yes</v>
      </c>
      <c r="D566" s="205" t="str">
        <f>IFERROR(__xludf.DUMMYFUNCTION("""COMPUTED_VALUE"""),"Active")</f>
        <v>Active</v>
      </c>
      <c r="E566" s="166">
        <f>IFERROR(__xludf.DUMMYFUNCTION("""COMPUTED_VALUE"""),45798.0)</f>
        <v>45798</v>
      </c>
      <c r="F566" s="206"/>
      <c r="G566" s="167">
        <f>IFERROR(__xludf.DUMMYFUNCTION("""COMPUTED_VALUE"""),4.800000000000001)</f>
        <v>4.8</v>
      </c>
      <c r="H566" s="166">
        <f>IFERROR(__xludf.DUMMYFUNCTION("""COMPUTED_VALUE"""),29403.0)</f>
        <v>29403</v>
      </c>
      <c r="I566" s="167">
        <f>IFERROR(__xludf.DUMMYFUNCTION("""COMPUTED_VALUE"""),44.888888888888886)</f>
        <v>44.88888889</v>
      </c>
      <c r="J566" s="168"/>
      <c r="K566" s="168"/>
      <c r="L566" s="207"/>
    </row>
    <row r="567">
      <c r="A567" s="203" t="str">
        <f>IFERROR(__xludf.DUMMYFUNCTION("""COMPUTED_VALUE"""),"Enduro")</f>
        <v>Enduro</v>
      </c>
      <c r="B567" s="204" t="str">
        <f>IFERROR(__xludf.DUMMYFUNCTION("""COMPUTED_VALUE"""),"Xbox / PC")</f>
        <v>Xbox / PC</v>
      </c>
      <c r="C567" s="205" t="str">
        <f>IFERROR(__xludf.DUMMYFUNCTION("""COMPUTED_VALUE"""),"Yes")</f>
        <v>Yes</v>
      </c>
      <c r="D567" s="205" t="str">
        <f>IFERROR(__xludf.DUMMYFUNCTION("""COMPUTED_VALUE"""),"Active")</f>
        <v>Active</v>
      </c>
      <c r="E567" s="166">
        <f>IFERROR(__xludf.DUMMYFUNCTION("""COMPUTED_VALUE"""),45798.0)</f>
        <v>45798</v>
      </c>
      <c r="F567" s="206"/>
      <c r="G567" s="167">
        <f>IFERROR(__xludf.DUMMYFUNCTION("""COMPUTED_VALUE"""),4.800000000000001)</f>
        <v>4.8</v>
      </c>
      <c r="H567" s="166">
        <f>IFERROR(__xludf.DUMMYFUNCTION("""COMPUTED_VALUE"""),30348.0)</f>
        <v>30348</v>
      </c>
      <c r="I567" s="167">
        <f>IFERROR(__xludf.DUMMYFUNCTION("""COMPUTED_VALUE"""),42.30555555555556)</f>
        <v>42.30555556</v>
      </c>
      <c r="J567" s="168"/>
      <c r="K567" s="168"/>
      <c r="L567" s="207"/>
    </row>
    <row r="568">
      <c r="A568" s="203" t="str">
        <f>IFERROR(__xludf.DUMMYFUNCTION("""COMPUTED_VALUE"""),"Fathom")</f>
        <v>Fathom</v>
      </c>
      <c r="B568" s="204" t="str">
        <f>IFERROR(__xludf.DUMMYFUNCTION("""COMPUTED_VALUE"""),"Xbox / PC")</f>
        <v>Xbox / PC</v>
      </c>
      <c r="C568" s="205" t="str">
        <f>IFERROR(__xludf.DUMMYFUNCTION("""COMPUTED_VALUE"""),"Yes")</f>
        <v>Yes</v>
      </c>
      <c r="D568" s="205" t="str">
        <f>IFERROR(__xludf.DUMMYFUNCTION("""COMPUTED_VALUE"""),"Active")</f>
        <v>Active</v>
      </c>
      <c r="E568" s="166">
        <f>IFERROR(__xludf.DUMMYFUNCTION("""COMPUTED_VALUE"""),45798.0)</f>
        <v>45798</v>
      </c>
      <c r="F568" s="206"/>
      <c r="G568" s="167">
        <f>IFERROR(__xludf.DUMMYFUNCTION("""COMPUTED_VALUE"""),4.800000000000001)</f>
        <v>4.8</v>
      </c>
      <c r="H568" s="166">
        <f>IFERROR(__xludf.DUMMYFUNCTION("""COMPUTED_VALUE"""),30529.0)</f>
        <v>30529</v>
      </c>
      <c r="I568" s="167">
        <f>IFERROR(__xludf.DUMMYFUNCTION("""COMPUTED_VALUE"""),41.80555555555556)</f>
        <v>41.80555556</v>
      </c>
      <c r="J568" s="168"/>
      <c r="K568" s="168"/>
      <c r="L568" s="207"/>
    </row>
    <row r="569">
      <c r="A569" s="203" t="str">
        <f>IFERROR(__xludf.DUMMYFUNCTION("""COMPUTED_VALUE"""),"Fire Fighter")</f>
        <v>Fire Fighter</v>
      </c>
      <c r="B569" s="204" t="str">
        <f>IFERROR(__xludf.DUMMYFUNCTION("""COMPUTED_VALUE"""),"Xbox / PC")</f>
        <v>Xbox / PC</v>
      </c>
      <c r="C569" s="205" t="str">
        <f>IFERROR(__xludf.DUMMYFUNCTION("""COMPUTED_VALUE"""),"Yes")</f>
        <v>Yes</v>
      </c>
      <c r="D569" s="205" t="str">
        <f>IFERROR(__xludf.DUMMYFUNCTION("""COMPUTED_VALUE"""),"Active")</f>
        <v>Active</v>
      </c>
      <c r="E569" s="166">
        <f>IFERROR(__xludf.DUMMYFUNCTION("""COMPUTED_VALUE"""),45798.0)</f>
        <v>45798</v>
      </c>
      <c r="F569" s="206"/>
      <c r="G569" s="167">
        <f>IFERROR(__xludf.DUMMYFUNCTION("""COMPUTED_VALUE"""),4.800000000000001)</f>
        <v>4.8</v>
      </c>
      <c r="H569" s="166">
        <f>IFERROR(__xludf.DUMMYFUNCTION("""COMPUTED_VALUE"""),30195.0)</f>
        <v>30195</v>
      </c>
      <c r="I569" s="167">
        <f>IFERROR(__xludf.DUMMYFUNCTION("""COMPUTED_VALUE"""),42.72222222222222)</f>
        <v>42.72222222</v>
      </c>
      <c r="J569" s="168"/>
      <c r="K569" s="168"/>
      <c r="L569" s="207"/>
    </row>
    <row r="570">
      <c r="A570" s="203" t="str">
        <f>IFERROR(__xludf.DUMMYFUNCTION("""COMPUTED_VALUE"""),"Fishing Derby")</f>
        <v>Fishing Derby</v>
      </c>
      <c r="B570" s="204" t="str">
        <f>IFERROR(__xludf.DUMMYFUNCTION("""COMPUTED_VALUE"""),"Xbox / PC")</f>
        <v>Xbox / PC</v>
      </c>
      <c r="C570" s="205" t="str">
        <f>IFERROR(__xludf.DUMMYFUNCTION("""COMPUTED_VALUE"""),"Yes")</f>
        <v>Yes</v>
      </c>
      <c r="D570" s="205" t="str">
        <f>IFERROR(__xludf.DUMMYFUNCTION("""COMPUTED_VALUE"""),"Active")</f>
        <v>Active</v>
      </c>
      <c r="E570" s="166">
        <f>IFERROR(__xludf.DUMMYFUNCTION("""COMPUTED_VALUE"""),45798.0)</f>
        <v>45798</v>
      </c>
      <c r="F570" s="206"/>
      <c r="G570" s="167">
        <f>IFERROR(__xludf.DUMMYFUNCTION("""COMPUTED_VALUE"""),4.800000000000001)</f>
        <v>4.8</v>
      </c>
      <c r="H570" s="166">
        <f>IFERROR(__xludf.DUMMYFUNCTION("""COMPUTED_VALUE"""),29403.0)</f>
        <v>29403</v>
      </c>
      <c r="I570" s="167">
        <f>IFERROR(__xludf.DUMMYFUNCTION("""COMPUTED_VALUE"""),44.888888888888886)</f>
        <v>44.88888889</v>
      </c>
      <c r="J570" s="168"/>
      <c r="K570" s="168"/>
      <c r="L570" s="207"/>
    </row>
    <row r="571">
      <c r="A571" s="203" t="str">
        <f>IFERROR(__xludf.DUMMYFUNCTION("""COMPUTED_VALUE"""),"Freddy Pharkas: Frontier Pharmacist")</f>
        <v>Freddy Pharkas: Frontier Pharmacist</v>
      </c>
      <c r="B571" s="204" t="str">
        <f>IFERROR(__xludf.DUMMYFUNCTION("""COMPUTED_VALUE"""),"Xbox / PC")</f>
        <v>Xbox / PC</v>
      </c>
      <c r="C571" s="205" t="str">
        <f>IFERROR(__xludf.DUMMYFUNCTION("""COMPUTED_VALUE"""),"Yes")</f>
        <v>Yes</v>
      </c>
      <c r="D571" s="205" t="str">
        <f>IFERROR(__xludf.DUMMYFUNCTION("""COMPUTED_VALUE"""),"Active")</f>
        <v>Active</v>
      </c>
      <c r="E571" s="166">
        <f>IFERROR(__xludf.DUMMYFUNCTION("""COMPUTED_VALUE"""),45798.0)</f>
        <v>45798</v>
      </c>
      <c r="F571" s="206"/>
      <c r="G571" s="167">
        <f>IFERROR(__xludf.DUMMYFUNCTION("""COMPUTED_VALUE"""),4.800000000000001)</f>
        <v>4.8</v>
      </c>
      <c r="H571" s="166">
        <f>IFERROR(__xludf.DUMMYFUNCTION("""COMPUTED_VALUE"""),33970.0)</f>
        <v>33970</v>
      </c>
      <c r="I571" s="167">
        <f>IFERROR(__xludf.DUMMYFUNCTION("""COMPUTED_VALUE"""),32.388888888888886)</f>
        <v>32.38888889</v>
      </c>
      <c r="J571" s="168"/>
      <c r="K571" s="168"/>
      <c r="L571" s="207"/>
    </row>
    <row r="572">
      <c r="A572" s="203" t="str">
        <f>IFERROR(__xludf.DUMMYFUNCTION("""COMPUTED_VALUE"""),"Freeway")</f>
        <v>Freeway</v>
      </c>
      <c r="B572" s="204" t="str">
        <f>IFERROR(__xludf.DUMMYFUNCTION("""COMPUTED_VALUE"""),"Xbox / PC")</f>
        <v>Xbox / PC</v>
      </c>
      <c r="C572" s="205" t="str">
        <f>IFERROR(__xludf.DUMMYFUNCTION("""COMPUTED_VALUE"""),"Yes")</f>
        <v>Yes</v>
      </c>
      <c r="D572" s="205" t="str">
        <f>IFERROR(__xludf.DUMMYFUNCTION("""COMPUTED_VALUE"""),"Active")</f>
        <v>Active</v>
      </c>
      <c r="E572" s="166">
        <f>IFERROR(__xludf.DUMMYFUNCTION("""COMPUTED_VALUE"""),45798.0)</f>
        <v>45798</v>
      </c>
      <c r="F572" s="206"/>
      <c r="G572" s="167">
        <f>IFERROR(__xludf.DUMMYFUNCTION("""COMPUTED_VALUE"""),4.800000000000001)</f>
        <v>4.8</v>
      </c>
      <c r="H572" s="166">
        <f>IFERROR(__xludf.DUMMYFUNCTION("""COMPUTED_VALUE"""),29768.0)</f>
        <v>29768</v>
      </c>
      <c r="I572" s="167">
        <f>IFERROR(__xludf.DUMMYFUNCTION("""COMPUTED_VALUE"""),43.888888888888886)</f>
        <v>43.88888889</v>
      </c>
      <c r="J572" s="168"/>
      <c r="K572" s="168"/>
      <c r="L572" s="207"/>
    </row>
    <row r="573">
      <c r="A573" s="203" t="str">
        <f>IFERROR(__xludf.DUMMYFUNCTION("""COMPUTED_VALUE"""),"Frostbite")</f>
        <v>Frostbite</v>
      </c>
      <c r="B573" s="204" t="str">
        <f>IFERROR(__xludf.DUMMYFUNCTION("""COMPUTED_VALUE"""),"Xbox / PC")</f>
        <v>Xbox / PC</v>
      </c>
      <c r="C573" s="205" t="str">
        <f>IFERROR(__xludf.DUMMYFUNCTION("""COMPUTED_VALUE"""),"Yes")</f>
        <v>Yes</v>
      </c>
      <c r="D573" s="205" t="str">
        <f>IFERROR(__xludf.DUMMYFUNCTION("""COMPUTED_VALUE"""),"Active")</f>
        <v>Active</v>
      </c>
      <c r="E573" s="166">
        <f>IFERROR(__xludf.DUMMYFUNCTION("""COMPUTED_VALUE"""),45798.0)</f>
        <v>45798</v>
      </c>
      <c r="F573" s="206"/>
      <c r="G573" s="167">
        <f>IFERROR(__xludf.DUMMYFUNCTION("""COMPUTED_VALUE"""),4.800000000000001)</f>
        <v>4.8</v>
      </c>
      <c r="H573" s="166">
        <f>IFERROR(__xludf.DUMMYFUNCTION("""COMPUTED_VALUE"""),30542.0)</f>
        <v>30542</v>
      </c>
      <c r="I573" s="167">
        <f>IFERROR(__xludf.DUMMYFUNCTION("""COMPUTED_VALUE"""),41.769444444444446)</f>
        <v>41.76944444</v>
      </c>
      <c r="J573" s="168"/>
      <c r="K573" s="168"/>
      <c r="L573" s="207"/>
    </row>
    <row r="574">
      <c r="A574" s="203" t="str">
        <f>IFERROR(__xludf.DUMMYFUNCTION("""COMPUTED_VALUE"""),"Grand Prix")</f>
        <v>Grand Prix</v>
      </c>
      <c r="B574" s="204" t="str">
        <f>IFERROR(__xludf.DUMMYFUNCTION("""COMPUTED_VALUE"""),"Xbox / PC")</f>
        <v>Xbox / PC</v>
      </c>
      <c r="C574" s="205" t="str">
        <f>IFERROR(__xludf.DUMMYFUNCTION("""COMPUTED_VALUE"""),"Yes")</f>
        <v>Yes</v>
      </c>
      <c r="D574" s="205" t="str">
        <f>IFERROR(__xludf.DUMMYFUNCTION("""COMPUTED_VALUE"""),"Active")</f>
        <v>Active</v>
      </c>
      <c r="E574" s="166">
        <f>IFERROR(__xludf.DUMMYFUNCTION("""COMPUTED_VALUE"""),45798.0)</f>
        <v>45798</v>
      </c>
      <c r="F574" s="206"/>
      <c r="G574" s="167">
        <f>IFERROR(__xludf.DUMMYFUNCTION("""COMPUTED_VALUE"""),4.800000000000001)</f>
        <v>4.8</v>
      </c>
      <c r="H574" s="166">
        <f>IFERROR(__xludf.DUMMYFUNCTION("""COMPUTED_VALUE"""),30011.0)</f>
        <v>30011</v>
      </c>
      <c r="I574" s="167">
        <f>IFERROR(__xludf.DUMMYFUNCTION("""COMPUTED_VALUE"""),43.22222222222222)</f>
        <v>43.22222222</v>
      </c>
      <c r="J574" s="168"/>
      <c r="K574" s="168"/>
      <c r="L574" s="207"/>
    </row>
    <row r="575">
      <c r="A575" s="203" t="str">
        <f>IFERROR(__xludf.DUMMYFUNCTION("""COMPUTED_VALUE"""),"H.E.R.O.")</f>
        <v>H.E.R.O.</v>
      </c>
      <c r="B575" s="204" t="str">
        <f>IFERROR(__xludf.DUMMYFUNCTION("""COMPUTED_VALUE"""),"Xbox / PC")</f>
        <v>Xbox / PC</v>
      </c>
      <c r="C575" s="205" t="str">
        <f>IFERROR(__xludf.DUMMYFUNCTION("""COMPUTED_VALUE"""),"Yes")</f>
        <v>Yes</v>
      </c>
      <c r="D575" s="205" t="str">
        <f>IFERROR(__xludf.DUMMYFUNCTION("""COMPUTED_VALUE"""),"Active")</f>
        <v>Active</v>
      </c>
      <c r="E575" s="166">
        <f>IFERROR(__xludf.DUMMYFUNCTION("""COMPUTED_VALUE"""),45798.0)</f>
        <v>45798</v>
      </c>
      <c r="F575" s="206"/>
      <c r="G575" s="167">
        <f>IFERROR(__xludf.DUMMYFUNCTION("""COMPUTED_VALUE"""),4.800000000000001)</f>
        <v>4.8</v>
      </c>
      <c r="H575" s="166">
        <f>IFERROR(__xludf.DUMMYFUNCTION("""COMPUTED_VALUE"""),30764.0)</f>
        <v>30764</v>
      </c>
      <c r="I575" s="167">
        <f>IFERROR(__xludf.DUMMYFUNCTION("""COMPUTED_VALUE"""),41.16111111111111)</f>
        <v>41.16111111</v>
      </c>
      <c r="J575" s="168"/>
      <c r="K575" s="168"/>
      <c r="L575" s="207"/>
    </row>
    <row r="576">
      <c r="A576" s="203" t="str">
        <f>IFERROR(__xludf.DUMMYFUNCTION("""COMPUTED_VALUE"""),"Kaboom!")</f>
        <v>Kaboom!</v>
      </c>
      <c r="B576" s="204" t="str">
        <f>IFERROR(__xludf.DUMMYFUNCTION("""COMPUTED_VALUE"""),"Xbox / PC")</f>
        <v>Xbox / PC</v>
      </c>
      <c r="C576" s="205" t="str">
        <f>IFERROR(__xludf.DUMMYFUNCTION("""COMPUTED_VALUE"""),"Yes")</f>
        <v>Yes</v>
      </c>
      <c r="D576" s="205" t="str">
        <f>IFERROR(__xludf.DUMMYFUNCTION("""COMPUTED_VALUE"""),"Active")</f>
        <v>Active</v>
      </c>
      <c r="E576" s="166">
        <f>IFERROR(__xludf.DUMMYFUNCTION("""COMPUTED_VALUE"""),45798.0)</f>
        <v>45798</v>
      </c>
      <c r="F576" s="206"/>
      <c r="G576" s="167">
        <f>IFERROR(__xludf.DUMMYFUNCTION("""COMPUTED_VALUE"""),4.800000000000001)</f>
        <v>4.8</v>
      </c>
      <c r="H576" s="166">
        <f>IFERROR(__xludf.DUMMYFUNCTION("""COMPUTED_VALUE"""),30682.0)</f>
        <v>30682</v>
      </c>
      <c r="I576" s="167">
        <f>IFERROR(__xludf.DUMMYFUNCTION("""COMPUTED_VALUE"""),41.388888888888886)</f>
        <v>41.38888889</v>
      </c>
      <c r="J576" s="168"/>
      <c r="K576" s="168"/>
      <c r="L576" s="207"/>
    </row>
    <row r="577">
      <c r="A577" s="203" t="str">
        <f>IFERROR(__xludf.DUMMYFUNCTION("""COMPUTED_VALUE"""),"Laser Blast")</f>
        <v>Laser Blast</v>
      </c>
      <c r="B577" s="204" t="str">
        <f>IFERROR(__xludf.DUMMYFUNCTION("""COMPUTED_VALUE"""),"Xbox / PC")</f>
        <v>Xbox / PC</v>
      </c>
      <c r="C577" s="205" t="str">
        <f>IFERROR(__xludf.DUMMYFUNCTION("""COMPUTED_VALUE"""),"Yes")</f>
        <v>Yes</v>
      </c>
      <c r="D577" s="205" t="str">
        <f>IFERROR(__xludf.DUMMYFUNCTION("""COMPUTED_VALUE"""),"Active")</f>
        <v>Active</v>
      </c>
      <c r="E577" s="166">
        <f>IFERROR(__xludf.DUMMYFUNCTION("""COMPUTED_VALUE"""),45798.0)</f>
        <v>45798</v>
      </c>
      <c r="F577" s="206"/>
      <c r="G577" s="167">
        <f>IFERROR(__xludf.DUMMYFUNCTION("""COMPUTED_VALUE"""),4.800000000000001)</f>
        <v>4.8</v>
      </c>
      <c r="H577" s="166">
        <f>IFERROR(__xludf.DUMMYFUNCTION("""COMPUTED_VALUE"""),29646.0)</f>
        <v>29646</v>
      </c>
      <c r="I577" s="167">
        <f>IFERROR(__xludf.DUMMYFUNCTION("""COMPUTED_VALUE"""),44.22222222222222)</f>
        <v>44.22222222</v>
      </c>
      <c r="J577" s="168"/>
      <c r="K577" s="168"/>
      <c r="L577" s="207"/>
    </row>
    <row r="578">
      <c r="A578" s="203" t="str">
        <f>IFERROR(__xludf.DUMMYFUNCTION("""COMPUTED_VALUE"""),"MechWarrior")</f>
        <v>MechWarrior</v>
      </c>
      <c r="B578" s="204" t="str">
        <f>IFERROR(__xludf.DUMMYFUNCTION("""COMPUTED_VALUE"""),"Xbox / PC")</f>
        <v>Xbox / PC</v>
      </c>
      <c r="C578" s="205" t="str">
        <f>IFERROR(__xludf.DUMMYFUNCTION("""COMPUTED_VALUE"""),"Yes")</f>
        <v>Yes</v>
      </c>
      <c r="D578" s="205" t="str">
        <f>IFERROR(__xludf.DUMMYFUNCTION("""COMPUTED_VALUE"""),"Active")</f>
        <v>Active</v>
      </c>
      <c r="E578" s="166">
        <f>IFERROR(__xludf.DUMMYFUNCTION("""COMPUTED_VALUE"""),45798.0)</f>
        <v>45798</v>
      </c>
      <c r="F578" s="206"/>
      <c r="G578" s="167">
        <f>IFERROR(__xludf.DUMMYFUNCTION("""COMPUTED_VALUE"""),4.800000000000001)</f>
        <v>4.8</v>
      </c>
      <c r="H578" s="166">
        <f>IFERROR(__xludf.DUMMYFUNCTION("""COMPUTED_VALUE"""),32843.0)</f>
        <v>32843</v>
      </c>
      <c r="I578" s="167">
        <f>IFERROR(__xludf.DUMMYFUNCTION("""COMPUTED_VALUE"""),35.47222222222222)</f>
        <v>35.47222222</v>
      </c>
      <c r="J578" s="168"/>
      <c r="K578" s="168"/>
      <c r="L578" s="207"/>
    </row>
    <row r="579">
      <c r="A579" s="203" t="str">
        <f>IFERROR(__xludf.DUMMYFUNCTION("""COMPUTED_VALUE"""),"MechWarrior 2: 31st Century Combat")</f>
        <v>MechWarrior 2: 31st Century Combat</v>
      </c>
      <c r="B579" s="204" t="str">
        <f>IFERROR(__xludf.DUMMYFUNCTION("""COMPUTED_VALUE"""),"Xbox / PC")</f>
        <v>Xbox / PC</v>
      </c>
      <c r="C579" s="205" t="str">
        <f>IFERROR(__xludf.DUMMYFUNCTION("""COMPUTED_VALUE"""),"Yes")</f>
        <v>Yes</v>
      </c>
      <c r="D579" s="205" t="str">
        <f>IFERROR(__xludf.DUMMYFUNCTION("""COMPUTED_VALUE"""),"Active")</f>
        <v>Active</v>
      </c>
      <c r="E579" s="166">
        <f>IFERROR(__xludf.DUMMYFUNCTION("""COMPUTED_VALUE"""),45798.0)</f>
        <v>45798</v>
      </c>
      <c r="F579" s="206"/>
      <c r="G579" s="167">
        <f>IFERROR(__xludf.DUMMYFUNCTION("""COMPUTED_VALUE"""),4.800000000000001)</f>
        <v>4.8</v>
      </c>
      <c r="H579" s="166">
        <f>IFERROR(__xludf.DUMMYFUNCTION("""COMPUTED_VALUE"""),34904.0)</f>
        <v>34904</v>
      </c>
      <c r="I579" s="167">
        <f>IFERROR(__xludf.DUMMYFUNCTION("""COMPUTED_VALUE"""),29.825)</f>
        <v>29.825</v>
      </c>
      <c r="J579" s="168"/>
      <c r="K579" s="168"/>
      <c r="L579" s="207"/>
    </row>
    <row r="580">
      <c r="A580" s="203" t="str">
        <f>IFERROR(__xludf.DUMMYFUNCTION("""COMPUTED_VALUE"""),"Megamania")</f>
        <v>Megamania</v>
      </c>
      <c r="B580" s="204" t="str">
        <f>IFERROR(__xludf.DUMMYFUNCTION("""COMPUTED_VALUE"""),"Xbox / PC")</f>
        <v>Xbox / PC</v>
      </c>
      <c r="C580" s="205" t="str">
        <f>IFERROR(__xludf.DUMMYFUNCTION("""COMPUTED_VALUE"""),"Yes")</f>
        <v>Yes</v>
      </c>
      <c r="D580" s="205" t="str">
        <f>IFERROR(__xludf.DUMMYFUNCTION("""COMPUTED_VALUE"""),"Active")</f>
        <v>Active</v>
      </c>
      <c r="E580" s="166">
        <f>IFERROR(__xludf.DUMMYFUNCTION("""COMPUTED_VALUE"""),45798.0)</f>
        <v>45798</v>
      </c>
      <c r="F580" s="206"/>
      <c r="G580" s="167">
        <f>IFERROR(__xludf.DUMMYFUNCTION("""COMPUTED_VALUE"""),4.800000000000001)</f>
        <v>4.8</v>
      </c>
      <c r="H580" s="166">
        <f>IFERROR(__xludf.DUMMYFUNCTION("""COMPUTED_VALUE"""),30050.0)</f>
        <v>30050</v>
      </c>
      <c r="I580" s="167">
        <f>IFERROR(__xludf.DUMMYFUNCTION("""COMPUTED_VALUE"""),43.11666666666667)</f>
        <v>43.11666667</v>
      </c>
      <c r="J580" s="168"/>
      <c r="K580" s="168"/>
      <c r="L580" s="207"/>
    </row>
    <row r="581">
      <c r="A581" s="203" t="str">
        <f>IFERROR(__xludf.DUMMYFUNCTION("""COMPUTED_VALUE"""),"Pitfall II: Lost Caverns")</f>
        <v>Pitfall II: Lost Caverns</v>
      </c>
      <c r="B581" s="204" t="str">
        <f>IFERROR(__xludf.DUMMYFUNCTION("""COMPUTED_VALUE"""),"Xbox / PC")</f>
        <v>Xbox / PC</v>
      </c>
      <c r="C581" s="205" t="str">
        <f>IFERROR(__xludf.DUMMYFUNCTION("""COMPUTED_VALUE"""),"Yes")</f>
        <v>Yes</v>
      </c>
      <c r="D581" s="205" t="str">
        <f>IFERROR(__xludf.DUMMYFUNCTION("""COMPUTED_VALUE"""),"Active")</f>
        <v>Active</v>
      </c>
      <c r="E581" s="166">
        <f>IFERROR(__xludf.DUMMYFUNCTION("""COMPUTED_VALUE"""),45798.0)</f>
        <v>45798</v>
      </c>
      <c r="F581" s="206"/>
      <c r="G581" s="167">
        <f>IFERROR(__xludf.DUMMYFUNCTION("""COMPUTED_VALUE"""),4.800000000000001)</f>
        <v>4.8</v>
      </c>
      <c r="H581" s="166">
        <f>IFERROR(__xludf.DUMMYFUNCTION("""COMPUTED_VALUE"""),30575.0)</f>
        <v>30575</v>
      </c>
      <c r="I581" s="167">
        <f>IFERROR(__xludf.DUMMYFUNCTION("""COMPUTED_VALUE"""),41.68055555555556)</f>
        <v>41.68055556</v>
      </c>
      <c r="J581" s="168"/>
      <c r="K581" s="168"/>
      <c r="L581" s="207"/>
    </row>
    <row r="582">
      <c r="A582" s="203" t="str">
        <f>IFERROR(__xludf.DUMMYFUNCTION("""COMPUTED_VALUE"""),"Pitfall!")</f>
        <v>Pitfall!</v>
      </c>
      <c r="B582" s="204" t="str">
        <f>IFERROR(__xludf.DUMMYFUNCTION("""COMPUTED_VALUE"""),"Xbox / PC")</f>
        <v>Xbox / PC</v>
      </c>
      <c r="C582" s="205" t="str">
        <f>IFERROR(__xludf.DUMMYFUNCTION("""COMPUTED_VALUE"""),"Yes")</f>
        <v>Yes</v>
      </c>
      <c r="D582" s="205" t="str">
        <f>IFERROR(__xludf.DUMMYFUNCTION("""COMPUTED_VALUE"""),"Active")</f>
        <v>Active</v>
      </c>
      <c r="E582" s="166">
        <f>IFERROR(__xludf.DUMMYFUNCTION("""COMPUTED_VALUE"""),45798.0)</f>
        <v>45798</v>
      </c>
      <c r="F582" s="206"/>
      <c r="G582" s="167">
        <f>IFERROR(__xludf.DUMMYFUNCTION("""COMPUTED_VALUE"""),4.800000000000001)</f>
        <v>4.8</v>
      </c>
      <c r="H582" s="166">
        <f>IFERROR(__xludf.DUMMYFUNCTION("""COMPUTED_VALUE"""),30061.0)</f>
        <v>30061</v>
      </c>
      <c r="I582" s="167">
        <f>IFERROR(__xludf.DUMMYFUNCTION("""COMPUTED_VALUE"""),43.08611111111111)</f>
        <v>43.08611111</v>
      </c>
      <c r="J582" s="168"/>
      <c r="K582" s="168"/>
      <c r="L582" s="207"/>
    </row>
    <row r="583">
      <c r="A583" s="203" t="str">
        <f>IFERROR(__xludf.DUMMYFUNCTION("""COMPUTED_VALUE"""),"Police Quest")</f>
        <v>Police Quest</v>
      </c>
      <c r="B583" s="204" t="str">
        <f>IFERROR(__xludf.DUMMYFUNCTION("""COMPUTED_VALUE"""),"Xbox / PC")</f>
        <v>Xbox / PC</v>
      </c>
      <c r="C583" s="205" t="str">
        <f>IFERROR(__xludf.DUMMYFUNCTION("""COMPUTED_VALUE"""),"Yes")</f>
        <v>Yes</v>
      </c>
      <c r="D583" s="205" t="str">
        <f>IFERROR(__xludf.DUMMYFUNCTION("""COMPUTED_VALUE"""),"Active")</f>
        <v>Active</v>
      </c>
      <c r="E583" s="166">
        <f>IFERROR(__xludf.DUMMYFUNCTION("""COMPUTED_VALUE"""),45798.0)</f>
        <v>45798</v>
      </c>
      <c r="F583" s="206"/>
      <c r="G583" s="167">
        <f>IFERROR(__xludf.DUMMYFUNCTION("""COMPUTED_VALUE"""),4.800000000000001)</f>
        <v>4.8</v>
      </c>
      <c r="H583" s="166">
        <f>IFERROR(__xludf.DUMMYFUNCTION("""COMPUTED_VALUE"""),31778.0)</f>
        <v>31778</v>
      </c>
      <c r="I583" s="167">
        <f>IFERROR(__xludf.DUMMYFUNCTION("""COMPUTED_VALUE"""),38.388888888888886)</f>
        <v>38.38888889</v>
      </c>
      <c r="J583" s="168"/>
      <c r="K583" s="168"/>
      <c r="L583" s="207"/>
    </row>
    <row r="584">
      <c r="A584" s="203" t="str">
        <f>IFERROR(__xludf.DUMMYFUNCTION("""COMPUTED_VALUE"""),"Pressure Cooker")</f>
        <v>Pressure Cooker</v>
      </c>
      <c r="B584" s="204" t="str">
        <f>IFERROR(__xludf.DUMMYFUNCTION("""COMPUTED_VALUE"""),"Xbox / PC")</f>
        <v>Xbox / PC</v>
      </c>
      <c r="C584" s="205" t="str">
        <f>IFERROR(__xludf.DUMMYFUNCTION("""COMPUTED_VALUE"""),"Yes")</f>
        <v>Yes</v>
      </c>
      <c r="D584" s="205" t="str">
        <f>IFERROR(__xludf.DUMMYFUNCTION("""COMPUTED_VALUE"""),"Active")</f>
        <v>Active</v>
      </c>
      <c r="E584" s="166">
        <f>IFERROR(__xludf.DUMMYFUNCTION("""COMPUTED_VALUE"""),45798.0)</f>
        <v>45798</v>
      </c>
      <c r="F584" s="206"/>
      <c r="G584" s="167">
        <f>IFERROR(__xludf.DUMMYFUNCTION("""COMPUTED_VALUE"""),4.800000000000001)</f>
        <v>4.8</v>
      </c>
      <c r="H584" s="166">
        <f>IFERROR(__xludf.DUMMYFUNCTION("""COMPUTED_VALUE"""),30369.0)</f>
        <v>30369</v>
      </c>
      <c r="I584" s="167">
        <f>IFERROR(__xludf.DUMMYFUNCTION("""COMPUTED_VALUE"""),42.24722222222222)</f>
        <v>42.24722222</v>
      </c>
      <c r="J584" s="168"/>
      <c r="K584" s="168"/>
      <c r="L584" s="207"/>
    </row>
    <row r="585">
      <c r="A585" s="203" t="str">
        <f>IFERROR(__xludf.DUMMYFUNCTION("""COMPUTED_VALUE"""),"Quest for Glory: So You Want to Be a Hero")</f>
        <v>Quest for Glory: So You Want to Be a Hero</v>
      </c>
      <c r="B585" s="204" t="str">
        <f>IFERROR(__xludf.DUMMYFUNCTION("""COMPUTED_VALUE"""),"Xbox / PC")</f>
        <v>Xbox / PC</v>
      </c>
      <c r="C585" s="205" t="str">
        <f>IFERROR(__xludf.DUMMYFUNCTION("""COMPUTED_VALUE"""),"Yes")</f>
        <v>Yes</v>
      </c>
      <c r="D585" s="205" t="str">
        <f>IFERROR(__xludf.DUMMYFUNCTION("""COMPUTED_VALUE"""),"Active")</f>
        <v>Active</v>
      </c>
      <c r="E585" s="166">
        <f>IFERROR(__xludf.DUMMYFUNCTION("""COMPUTED_VALUE"""),45798.0)</f>
        <v>45798</v>
      </c>
      <c r="F585" s="206"/>
      <c r="G585" s="167">
        <f>IFERROR(__xludf.DUMMYFUNCTION("""COMPUTED_VALUE"""),4.800000000000001)</f>
        <v>4.8</v>
      </c>
      <c r="H585" s="166">
        <f>IFERROR(__xludf.DUMMYFUNCTION("""COMPUTED_VALUE"""),32782.0)</f>
        <v>32782</v>
      </c>
      <c r="I585" s="167">
        <f>IFERROR(__xludf.DUMMYFUNCTION("""COMPUTED_VALUE"""),35.638888888888886)</f>
        <v>35.63888889</v>
      </c>
      <c r="J585" s="168"/>
      <c r="K585" s="168"/>
      <c r="L585" s="207"/>
    </row>
    <row r="586">
      <c r="A586" s="203" t="str">
        <f>IFERROR(__xludf.DUMMYFUNCTION("""COMPUTED_VALUE"""),"Riddle of the Sphinx")</f>
        <v>Riddle of the Sphinx</v>
      </c>
      <c r="B586" s="204" t="str">
        <f>IFERROR(__xludf.DUMMYFUNCTION("""COMPUTED_VALUE"""),"Xbox / PC")</f>
        <v>Xbox / PC</v>
      </c>
      <c r="C586" s="205" t="str">
        <f>IFERROR(__xludf.DUMMYFUNCTION("""COMPUTED_VALUE"""),"Yes")</f>
        <v>Yes</v>
      </c>
      <c r="D586" s="205" t="str">
        <f>IFERROR(__xludf.DUMMYFUNCTION("""COMPUTED_VALUE"""),"Active")</f>
        <v>Active</v>
      </c>
      <c r="E586" s="166">
        <f>IFERROR(__xludf.DUMMYFUNCTION("""COMPUTED_VALUE"""),45798.0)</f>
        <v>45798</v>
      </c>
      <c r="F586" s="206"/>
      <c r="G586" s="167">
        <f>IFERROR(__xludf.DUMMYFUNCTION("""COMPUTED_VALUE"""),4.800000000000001)</f>
        <v>4.8</v>
      </c>
      <c r="H586" s="166">
        <f>IFERROR(__xludf.DUMMYFUNCTION("""COMPUTED_VALUE"""),29952.0)</f>
        <v>29952</v>
      </c>
      <c r="I586" s="167">
        <f>IFERROR(__xludf.DUMMYFUNCTION("""COMPUTED_VALUE"""),43.388888888888886)</f>
        <v>43.38888889</v>
      </c>
      <c r="J586" s="168"/>
      <c r="K586" s="168"/>
      <c r="L586" s="207"/>
    </row>
    <row r="587">
      <c r="A587" s="203" t="str">
        <f>IFERROR(__xludf.DUMMYFUNCTION("""COMPUTED_VALUE"""),"River Raid")</f>
        <v>River Raid</v>
      </c>
      <c r="B587" s="204" t="str">
        <f>IFERROR(__xludf.DUMMYFUNCTION("""COMPUTED_VALUE"""),"Xbox / PC")</f>
        <v>Xbox / PC</v>
      </c>
      <c r="C587" s="205" t="str">
        <f>IFERROR(__xludf.DUMMYFUNCTION("""COMPUTED_VALUE"""),"Yes")</f>
        <v>Yes</v>
      </c>
      <c r="D587" s="205" t="str">
        <f>IFERROR(__xludf.DUMMYFUNCTION("""COMPUTED_VALUE"""),"Active")</f>
        <v>Active</v>
      </c>
      <c r="E587" s="166">
        <f>IFERROR(__xludf.DUMMYFUNCTION("""COMPUTED_VALUE"""),45798.0)</f>
        <v>45798</v>
      </c>
      <c r="F587" s="206"/>
      <c r="G587" s="167">
        <f>IFERROR(__xludf.DUMMYFUNCTION("""COMPUTED_VALUE"""),4.800000000000001)</f>
        <v>4.8</v>
      </c>
      <c r="H587" s="166">
        <f>IFERROR(__xludf.DUMMYFUNCTION("""COMPUTED_VALUE"""),30164.0)</f>
        <v>30164</v>
      </c>
      <c r="I587" s="167">
        <f>IFERROR(__xludf.DUMMYFUNCTION("""COMPUTED_VALUE"""),42.80555555555556)</f>
        <v>42.80555556</v>
      </c>
      <c r="J587" s="168"/>
      <c r="K587" s="168"/>
      <c r="L587" s="207"/>
    </row>
    <row r="588">
      <c r="A588" s="203" t="str">
        <f>IFERROR(__xludf.DUMMYFUNCTION("""COMPUTED_VALUE"""),"River Raid II")</f>
        <v>River Raid II</v>
      </c>
      <c r="B588" s="204" t="str">
        <f>IFERROR(__xludf.DUMMYFUNCTION("""COMPUTED_VALUE"""),"Xbox / PC")</f>
        <v>Xbox / PC</v>
      </c>
      <c r="C588" s="205" t="str">
        <f>IFERROR(__xludf.DUMMYFUNCTION("""COMPUTED_VALUE"""),"Yes")</f>
        <v>Yes</v>
      </c>
      <c r="D588" s="205" t="str">
        <f>IFERROR(__xludf.DUMMYFUNCTION("""COMPUTED_VALUE"""),"Active")</f>
        <v>Active</v>
      </c>
      <c r="E588" s="166">
        <f>IFERROR(__xludf.DUMMYFUNCTION("""COMPUTED_VALUE"""),45798.0)</f>
        <v>45798</v>
      </c>
      <c r="F588" s="206"/>
      <c r="G588" s="167">
        <f>IFERROR(__xludf.DUMMYFUNCTION("""COMPUTED_VALUE"""),4.800000000000001)</f>
        <v>4.8</v>
      </c>
      <c r="H588" s="166">
        <f>IFERROR(__xludf.DUMMYFUNCTION("""COMPUTED_VALUE"""),32352.0)</f>
        <v>32352</v>
      </c>
      <c r="I588" s="167">
        <f>IFERROR(__xludf.DUMMYFUNCTION("""COMPUTED_VALUE"""),36.81388888888889)</f>
        <v>36.81388889</v>
      </c>
      <c r="J588" s="168"/>
      <c r="K588" s="168"/>
      <c r="L588" s="207"/>
    </row>
    <row r="589">
      <c r="A589" s="203" t="str">
        <f>IFERROR(__xludf.DUMMYFUNCTION("""COMPUTED_VALUE"""),"Robot Tank")</f>
        <v>Robot Tank</v>
      </c>
      <c r="B589" s="204" t="str">
        <f>IFERROR(__xludf.DUMMYFUNCTION("""COMPUTED_VALUE"""),"Xbox / PC")</f>
        <v>Xbox / PC</v>
      </c>
      <c r="C589" s="205" t="str">
        <f>IFERROR(__xludf.DUMMYFUNCTION("""COMPUTED_VALUE"""),"Yes")</f>
        <v>Yes</v>
      </c>
      <c r="D589" s="205" t="str">
        <f>IFERROR(__xludf.DUMMYFUNCTION("""COMPUTED_VALUE"""),"Active")</f>
        <v>Active</v>
      </c>
      <c r="E589" s="166">
        <f>IFERROR(__xludf.DUMMYFUNCTION("""COMPUTED_VALUE"""),45798.0)</f>
        <v>45798</v>
      </c>
      <c r="F589" s="206"/>
      <c r="G589" s="167">
        <f>IFERROR(__xludf.DUMMYFUNCTION("""COMPUTED_VALUE"""),4.800000000000001)</f>
        <v>4.8</v>
      </c>
      <c r="H589" s="166">
        <f>IFERROR(__xludf.DUMMYFUNCTION("""COMPUTED_VALUE"""),30399.0)</f>
        <v>30399</v>
      </c>
      <c r="I589" s="167">
        <f>IFERROR(__xludf.DUMMYFUNCTION("""COMPUTED_VALUE"""),42.15833333333333)</f>
        <v>42.15833333</v>
      </c>
      <c r="J589" s="168"/>
      <c r="K589" s="168"/>
      <c r="L589" s="207"/>
    </row>
    <row r="590">
      <c r="A590" s="203" t="str">
        <f>IFERROR(__xludf.DUMMYFUNCTION("""COMPUTED_VALUE"""),"Sky Jinks")</f>
        <v>Sky Jinks</v>
      </c>
      <c r="B590" s="204" t="str">
        <f>IFERROR(__xludf.DUMMYFUNCTION("""COMPUTED_VALUE"""),"Xbox / PC")</f>
        <v>Xbox / PC</v>
      </c>
      <c r="C590" s="205" t="str">
        <f>IFERROR(__xludf.DUMMYFUNCTION("""COMPUTED_VALUE"""),"Yes")</f>
        <v>Yes</v>
      </c>
      <c r="D590" s="205" t="str">
        <f>IFERROR(__xludf.DUMMYFUNCTION("""COMPUTED_VALUE"""),"Active")</f>
        <v>Active</v>
      </c>
      <c r="E590" s="166">
        <f>IFERROR(__xludf.DUMMYFUNCTION("""COMPUTED_VALUE"""),45798.0)</f>
        <v>45798</v>
      </c>
      <c r="F590" s="206"/>
      <c r="G590" s="167">
        <f>IFERROR(__xludf.DUMMYFUNCTION("""COMPUTED_VALUE"""),4.800000000000001)</f>
        <v>4.8</v>
      </c>
      <c r="H590" s="166">
        <f>IFERROR(__xludf.DUMMYFUNCTION("""COMPUTED_VALUE"""),30256.0)</f>
        <v>30256</v>
      </c>
      <c r="I590" s="167">
        <f>IFERROR(__xludf.DUMMYFUNCTION("""COMPUTED_VALUE"""),42.55555555555556)</f>
        <v>42.55555556</v>
      </c>
      <c r="J590" s="168"/>
      <c r="K590" s="168"/>
      <c r="L590" s="207"/>
    </row>
    <row r="591">
      <c r="A591" s="203" t="str">
        <f>IFERROR(__xludf.DUMMYFUNCTION("""COMPUTED_VALUE"""),"Space Quest 2")</f>
        <v>Space Quest 2</v>
      </c>
      <c r="B591" s="204" t="str">
        <f>IFERROR(__xludf.DUMMYFUNCTION("""COMPUTED_VALUE"""),"Xbox / PC")</f>
        <v>Xbox / PC</v>
      </c>
      <c r="C591" s="205" t="str">
        <f>IFERROR(__xludf.DUMMYFUNCTION("""COMPUTED_VALUE"""),"Yes")</f>
        <v>Yes</v>
      </c>
      <c r="D591" s="205" t="str">
        <f>IFERROR(__xludf.DUMMYFUNCTION("""COMPUTED_VALUE"""),"Active")</f>
        <v>Active</v>
      </c>
      <c r="E591" s="166">
        <f>IFERROR(__xludf.DUMMYFUNCTION("""COMPUTED_VALUE"""),45798.0)</f>
        <v>45798</v>
      </c>
      <c r="F591" s="206"/>
      <c r="G591" s="167">
        <f>IFERROR(__xludf.DUMMYFUNCTION("""COMPUTED_VALUE"""),4.800000000000001)</f>
        <v>4.8</v>
      </c>
      <c r="H591" s="166">
        <f>IFERROR(__xludf.DUMMYFUNCTION("""COMPUTED_VALUE"""),31778.0)</f>
        <v>31778</v>
      </c>
      <c r="I591" s="167">
        <f>IFERROR(__xludf.DUMMYFUNCTION("""COMPUTED_VALUE"""),38.388888888888886)</f>
        <v>38.38888889</v>
      </c>
      <c r="J591" s="168"/>
      <c r="K591" s="168"/>
      <c r="L591" s="207"/>
    </row>
    <row r="592">
      <c r="A592" s="203" t="str">
        <f>IFERROR(__xludf.DUMMYFUNCTION("""COMPUTED_VALUE"""),"Space Quest 6")</f>
        <v>Space Quest 6</v>
      </c>
      <c r="B592" s="204" t="str">
        <f>IFERROR(__xludf.DUMMYFUNCTION("""COMPUTED_VALUE"""),"Xbox / PC")</f>
        <v>Xbox / PC</v>
      </c>
      <c r="C592" s="205" t="str">
        <f>IFERROR(__xludf.DUMMYFUNCTION("""COMPUTED_VALUE"""),"Yes")</f>
        <v>Yes</v>
      </c>
      <c r="D592" s="205" t="str">
        <f>IFERROR(__xludf.DUMMYFUNCTION("""COMPUTED_VALUE"""),"Active")</f>
        <v>Active</v>
      </c>
      <c r="E592" s="166">
        <f>IFERROR(__xludf.DUMMYFUNCTION("""COMPUTED_VALUE"""),45798.0)</f>
        <v>45798</v>
      </c>
      <c r="F592" s="206"/>
      <c r="G592" s="167">
        <f>IFERROR(__xludf.DUMMYFUNCTION("""COMPUTED_VALUE"""),4.800000000000001)</f>
        <v>4.8</v>
      </c>
      <c r="H592" s="166">
        <f>IFERROR(__xludf.DUMMYFUNCTION("""COMPUTED_VALUE"""),34700.0)</f>
        <v>34700</v>
      </c>
      <c r="I592" s="167">
        <f>IFERROR(__xludf.DUMMYFUNCTION("""COMPUTED_VALUE"""),30.38888888888889)</f>
        <v>30.38888889</v>
      </c>
      <c r="J592" s="168"/>
      <c r="K592" s="168"/>
      <c r="L592" s="207"/>
    </row>
    <row r="593">
      <c r="A593" s="203" t="str">
        <f>IFERROR(__xludf.DUMMYFUNCTION("""COMPUTED_VALUE"""),"Space Treat Deluxe")</f>
        <v>Space Treat Deluxe</v>
      </c>
      <c r="B593" s="204" t="str">
        <f>IFERROR(__xludf.DUMMYFUNCTION("""COMPUTED_VALUE"""),"Xbox / PC")</f>
        <v>Xbox / PC</v>
      </c>
      <c r="C593" s="205" t="str">
        <f>IFERROR(__xludf.DUMMYFUNCTION("""COMPUTED_VALUE"""),"Yes")</f>
        <v>Yes</v>
      </c>
      <c r="D593" s="205" t="str">
        <f>IFERROR(__xludf.DUMMYFUNCTION("""COMPUTED_VALUE"""),"Active")</f>
        <v>Active</v>
      </c>
      <c r="E593" s="166">
        <f>IFERROR(__xludf.DUMMYFUNCTION("""COMPUTED_VALUE"""),45798.0)</f>
        <v>45798</v>
      </c>
      <c r="F593" s="206"/>
      <c r="G593" s="167">
        <f>IFERROR(__xludf.DUMMYFUNCTION("""COMPUTED_VALUE"""),4.800000000000001)</f>
        <v>4.8</v>
      </c>
      <c r="H593" s="166">
        <f>IFERROR(__xludf.DUMMYFUNCTION("""COMPUTED_VALUE"""),37714.0)</f>
        <v>37714</v>
      </c>
      <c r="I593" s="167">
        <f>IFERROR(__xludf.DUMMYFUNCTION("""COMPUTED_VALUE"""),22.133333333333333)</f>
        <v>22.13333333</v>
      </c>
      <c r="J593" s="168"/>
      <c r="K593" s="168"/>
      <c r="L593" s="207"/>
    </row>
    <row r="594">
      <c r="A594" s="203" t="str">
        <f>IFERROR(__xludf.DUMMYFUNCTION("""COMPUTED_VALUE"""),"Spider Fighter")</f>
        <v>Spider Fighter</v>
      </c>
      <c r="B594" s="204" t="str">
        <f>IFERROR(__xludf.DUMMYFUNCTION("""COMPUTED_VALUE"""),"Xbox / PC")</f>
        <v>Xbox / PC</v>
      </c>
      <c r="C594" s="205" t="str">
        <f>IFERROR(__xludf.DUMMYFUNCTION("""COMPUTED_VALUE"""),"Yes")</f>
        <v>Yes</v>
      </c>
      <c r="D594" s="205" t="str">
        <f>IFERROR(__xludf.DUMMYFUNCTION("""COMPUTED_VALUE"""),"Active")</f>
        <v>Active</v>
      </c>
      <c r="E594" s="166">
        <f>IFERROR(__xludf.DUMMYFUNCTION("""COMPUTED_VALUE"""),45798.0)</f>
        <v>45798</v>
      </c>
      <c r="F594" s="206"/>
      <c r="G594" s="167">
        <f>IFERROR(__xludf.DUMMYFUNCTION("""COMPUTED_VALUE"""),4.800000000000001)</f>
        <v>4.8</v>
      </c>
      <c r="H594" s="166">
        <f>IFERROR(__xludf.DUMMYFUNCTION("""COMPUTED_VALUE"""),30317.0)</f>
        <v>30317</v>
      </c>
      <c r="I594" s="167">
        <f>IFERROR(__xludf.DUMMYFUNCTION("""COMPUTED_VALUE"""),42.388888888888886)</f>
        <v>42.38888889</v>
      </c>
      <c r="J594" s="168"/>
      <c r="K594" s="168"/>
      <c r="L594" s="207"/>
    </row>
    <row r="595">
      <c r="A595" s="203" t="str">
        <f>IFERROR(__xludf.DUMMYFUNCTION("""COMPUTED_VALUE"""),"Star Voyager")</f>
        <v>Star Voyager</v>
      </c>
      <c r="B595" s="204" t="str">
        <f>IFERROR(__xludf.DUMMYFUNCTION("""COMPUTED_VALUE"""),"Xbox / PC")</f>
        <v>Xbox / PC</v>
      </c>
      <c r="C595" s="205" t="str">
        <f>IFERROR(__xludf.DUMMYFUNCTION("""COMPUTED_VALUE"""),"Yes")</f>
        <v>Yes</v>
      </c>
      <c r="D595" s="205" t="str">
        <f>IFERROR(__xludf.DUMMYFUNCTION("""COMPUTED_VALUE"""),"Active")</f>
        <v>Active</v>
      </c>
      <c r="E595" s="166">
        <f>IFERROR(__xludf.DUMMYFUNCTION("""COMPUTED_VALUE"""),45798.0)</f>
        <v>45798</v>
      </c>
      <c r="F595" s="206"/>
      <c r="G595" s="167">
        <f>IFERROR(__xludf.DUMMYFUNCTION("""COMPUTED_VALUE"""),4.800000000000001)</f>
        <v>4.8</v>
      </c>
      <c r="H595" s="166">
        <f>IFERROR(__xludf.DUMMYFUNCTION("""COMPUTED_VALUE"""),30042.0)</f>
        <v>30042</v>
      </c>
      <c r="I595" s="167">
        <f>IFERROR(__xludf.DUMMYFUNCTION("""COMPUTED_VALUE"""),43.138888888888886)</f>
        <v>43.13888889</v>
      </c>
      <c r="J595" s="168"/>
      <c r="K595" s="168"/>
      <c r="L595" s="207"/>
    </row>
    <row r="596">
      <c r="A596" s="203" t="str">
        <f>IFERROR(__xludf.DUMMYFUNCTION("""COMPUTED_VALUE"""),"Tennis")</f>
        <v>Tennis</v>
      </c>
      <c r="B596" s="204" t="str">
        <f>IFERROR(__xludf.DUMMYFUNCTION("""COMPUTED_VALUE"""),"Xbox / PC")</f>
        <v>Xbox / PC</v>
      </c>
      <c r="C596" s="205" t="str">
        <f>IFERROR(__xludf.DUMMYFUNCTION("""COMPUTED_VALUE"""),"Yes")</f>
        <v>Yes</v>
      </c>
      <c r="D596" s="205" t="str">
        <f>IFERROR(__xludf.DUMMYFUNCTION("""COMPUTED_VALUE"""),"Active")</f>
        <v>Active</v>
      </c>
      <c r="E596" s="166">
        <f>IFERROR(__xludf.DUMMYFUNCTION("""COMPUTED_VALUE"""),45798.0)</f>
        <v>45798</v>
      </c>
      <c r="F596" s="206"/>
      <c r="G596" s="167">
        <f>IFERROR(__xludf.DUMMYFUNCTION("""COMPUTED_VALUE"""),4.800000000000001)</f>
        <v>4.8</v>
      </c>
      <c r="H596" s="166">
        <f>IFERROR(__xludf.DUMMYFUNCTION("""COMPUTED_VALUE"""),29646.0)</f>
        <v>29646</v>
      </c>
      <c r="I596" s="167">
        <f>IFERROR(__xludf.DUMMYFUNCTION("""COMPUTED_VALUE"""),44.22222222222222)</f>
        <v>44.22222222</v>
      </c>
      <c r="J596" s="168"/>
      <c r="K596" s="168"/>
      <c r="L596" s="207"/>
    </row>
    <row r="597">
      <c r="A597" s="203" t="str">
        <f>IFERROR(__xludf.DUMMYFUNCTION("""COMPUTED_VALUE"""),"The Adventures of Willy Beamish")</f>
        <v>The Adventures of Willy Beamish</v>
      </c>
      <c r="B597" s="204" t="str">
        <f>IFERROR(__xludf.DUMMYFUNCTION("""COMPUTED_VALUE"""),"Xbox / PC")</f>
        <v>Xbox / PC</v>
      </c>
      <c r="C597" s="205" t="str">
        <f>IFERROR(__xludf.DUMMYFUNCTION("""COMPUTED_VALUE"""),"Yes")</f>
        <v>Yes</v>
      </c>
      <c r="D597" s="205" t="str">
        <f>IFERROR(__xludf.DUMMYFUNCTION("""COMPUTED_VALUE"""),"Active")</f>
        <v>Active</v>
      </c>
      <c r="E597" s="166">
        <f>IFERROR(__xludf.DUMMYFUNCTION("""COMPUTED_VALUE"""),45798.0)</f>
        <v>45798</v>
      </c>
      <c r="F597" s="206"/>
      <c r="G597" s="167">
        <f>IFERROR(__xludf.DUMMYFUNCTION("""COMPUTED_VALUE"""),4.800000000000001)</f>
        <v>4.8</v>
      </c>
      <c r="H597" s="166">
        <f>IFERROR(__xludf.DUMMYFUNCTION("""COMPUTED_VALUE"""),33239.0)</f>
        <v>33239</v>
      </c>
      <c r="I597" s="167">
        <f>IFERROR(__xludf.DUMMYFUNCTION("""COMPUTED_VALUE"""),34.388888888888886)</f>
        <v>34.38888889</v>
      </c>
      <c r="J597" s="168"/>
      <c r="K597" s="168"/>
      <c r="L597" s="207"/>
    </row>
    <row r="598">
      <c r="A598" s="203" t="str">
        <f>IFERROR(__xludf.DUMMYFUNCTION("""COMPUTED_VALUE"""),"The Dagger of Amon Ra")</f>
        <v>The Dagger of Amon Ra</v>
      </c>
      <c r="B598" s="204" t="str">
        <f>IFERROR(__xludf.DUMMYFUNCTION("""COMPUTED_VALUE"""),"Xbox / PC")</f>
        <v>Xbox / PC</v>
      </c>
      <c r="C598" s="205" t="str">
        <f>IFERROR(__xludf.DUMMYFUNCTION("""COMPUTED_VALUE"""),"Yes")</f>
        <v>Yes</v>
      </c>
      <c r="D598" s="205" t="str">
        <f>IFERROR(__xludf.DUMMYFUNCTION("""COMPUTED_VALUE"""),"Active")</f>
        <v>Active</v>
      </c>
      <c r="E598" s="166">
        <f>IFERROR(__xludf.DUMMYFUNCTION("""COMPUTED_VALUE"""),45798.0)</f>
        <v>45798</v>
      </c>
      <c r="F598" s="206"/>
      <c r="G598" s="167">
        <f>IFERROR(__xludf.DUMMYFUNCTION("""COMPUTED_VALUE"""),4.800000000000001)</f>
        <v>4.8</v>
      </c>
      <c r="H598" s="166">
        <f>IFERROR(__xludf.DUMMYFUNCTION("""COMPUTED_VALUE"""),33604.0)</f>
        <v>33604</v>
      </c>
      <c r="I598" s="167">
        <f>IFERROR(__xludf.DUMMYFUNCTION("""COMPUTED_VALUE"""),33.388888888888886)</f>
        <v>33.38888889</v>
      </c>
      <c r="J598" s="168"/>
      <c r="K598" s="168"/>
      <c r="L598" s="207"/>
    </row>
    <row r="599">
      <c r="A599" s="203" t="str">
        <f>IFERROR(__xludf.DUMMYFUNCTION("""COMPUTED_VALUE"""),"Thwocker")</f>
        <v>Thwocker</v>
      </c>
      <c r="B599" s="204" t="str">
        <f>IFERROR(__xludf.DUMMYFUNCTION("""COMPUTED_VALUE"""),"Xbox / PC")</f>
        <v>Xbox / PC</v>
      </c>
      <c r="C599" s="205" t="str">
        <f>IFERROR(__xludf.DUMMYFUNCTION("""COMPUTED_VALUE"""),"Yes")</f>
        <v>Yes</v>
      </c>
      <c r="D599" s="205" t="str">
        <f>IFERROR(__xludf.DUMMYFUNCTION("""COMPUTED_VALUE"""),"Active")</f>
        <v>Active</v>
      </c>
      <c r="E599" s="166">
        <f>IFERROR(__xludf.DUMMYFUNCTION("""COMPUTED_VALUE"""),45798.0)</f>
        <v>45798</v>
      </c>
      <c r="F599" s="206"/>
      <c r="G599" s="167">
        <f>IFERROR(__xludf.DUMMYFUNCTION("""COMPUTED_VALUE"""),4.800000000000001)</f>
        <v>4.8</v>
      </c>
      <c r="H599" s="166">
        <f>IFERROR(__xludf.DUMMYFUNCTION("""COMPUTED_VALUE"""),30682.0)</f>
        <v>30682</v>
      </c>
      <c r="I599" s="167">
        <f>IFERROR(__xludf.DUMMYFUNCTION("""COMPUTED_VALUE"""),41.388888888888886)</f>
        <v>41.38888889</v>
      </c>
      <c r="J599" s="168"/>
      <c r="K599" s="168"/>
      <c r="L599" s="207"/>
    </row>
    <row r="600">
      <c r="A600" s="203" t="str">
        <f>IFERROR(__xludf.DUMMYFUNCTION("""COMPUTED_VALUE"""),"Title Match Pro Wrestling")</f>
        <v>Title Match Pro Wrestling</v>
      </c>
      <c r="B600" s="204" t="str">
        <f>IFERROR(__xludf.DUMMYFUNCTION("""COMPUTED_VALUE"""),"Xbox / PC")</f>
        <v>Xbox / PC</v>
      </c>
      <c r="C600" s="205" t="str">
        <f>IFERROR(__xludf.DUMMYFUNCTION("""COMPUTED_VALUE"""),"Yes")</f>
        <v>Yes</v>
      </c>
      <c r="D600" s="205" t="str">
        <f>IFERROR(__xludf.DUMMYFUNCTION("""COMPUTED_VALUE"""),"Active")</f>
        <v>Active</v>
      </c>
      <c r="E600" s="166">
        <f>IFERROR(__xludf.DUMMYFUNCTION("""COMPUTED_VALUE"""),45798.0)</f>
        <v>45798</v>
      </c>
      <c r="F600" s="206"/>
      <c r="G600" s="167">
        <f>IFERROR(__xludf.DUMMYFUNCTION("""COMPUTED_VALUE"""),4.800000000000001)</f>
        <v>4.8</v>
      </c>
      <c r="H600" s="166">
        <f>IFERROR(__xludf.DUMMYFUNCTION("""COMPUTED_VALUE"""),31972.0)</f>
        <v>31972</v>
      </c>
      <c r="I600" s="167">
        <f>IFERROR(__xludf.DUMMYFUNCTION("""COMPUTED_VALUE"""),37.852777777777774)</f>
        <v>37.85277778</v>
      </c>
      <c r="J600" s="168"/>
      <c r="K600" s="168"/>
      <c r="L600" s="207"/>
    </row>
    <row r="601">
      <c r="A601" s="203" t="str">
        <f>IFERROR(__xludf.DUMMYFUNCTION("""COMPUTED_VALUE"""),"Torin's Passage")</f>
        <v>Torin's Passage</v>
      </c>
      <c r="B601" s="204" t="str">
        <f>IFERROR(__xludf.DUMMYFUNCTION("""COMPUTED_VALUE"""),"Xbox / PC")</f>
        <v>Xbox / PC</v>
      </c>
      <c r="C601" s="205" t="str">
        <f>IFERROR(__xludf.DUMMYFUNCTION("""COMPUTED_VALUE"""),"Yes")</f>
        <v>Yes</v>
      </c>
      <c r="D601" s="205" t="str">
        <f>IFERROR(__xludf.DUMMYFUNCTION("""COMPUTED_VALUE"""),"Active")</f>
        <v>Active</v>
      </c>
      <c r="E601" s="166">
        <f>IFERROR(__xludf.DUMMYFUNCTION("""COMPUTED_VALUE"""),45798.0)</f>
        <v>45798</v>
      </c>
      <c r="F601" s="206"/>
      <c r="G601" s="167">
        <f>IFERROR(__xludf.DUMMYFUNCTION("""COMPUTED_VALUE"""),4.800000000000001)</f>
        <v>4.8</v>
      </c>
      <c r="H601" s="166">
        <f>IFERROR(__xludf.DUMMYFUNCTION("""COMPUTED_VALUE"""),35003.0)</f>
        <v>35003</v>
      </c>
      <c r="I601" s="167">
        <f>IFERROR(__xludf.DUMMYFUNCTION("""COMPUTED_VALUE"""),29.558333333333334)</f>
        <v>29.55833333</v>
      </c>
      <c r="J601" s="168"/>
      <c r="K601" s="168"/>
      <c r="L601" s="207"/>
    </row>
    <row r="602">
      <c r="A602" s="203" t="str">
        <f>IFERROR(__xludf.DUMMYFUNCTION("""COMPUTED_VALUE"""),"Trick Shot")</f>
        <v>Trick Shot</v>
      </c>
      <c r="B602" s="204" t="str">
        <f>IFERROR(__xludf.DUMMYFUNCTION("""COMPUTED_VALUE"""),"Xbox / PC")</f>
        <v>Xbox / PC</v>
      </c>
      <c r="C602" s="205" t="str">
        <f>IFERROR(__xludf.DUMMYFUNCTION("""COMPUTED_VALUE"""),"Yes")</f>
        <v>Yes</v>
      </c>
      <c r="D602" s="205" t="str">
        <f>IFERROR(__xludf.DUMMYFUNCTION("""COMPUTED_VALUE"""),"Active")</f>
        <v>Active</v>
      </c>
      <c r="E602" s="166">
        <f>IFERROR(__xludf.DUMMYFUNCTION("""COMPUTED_VALUE"""),45798.0)</f>
        <v>45798</v>
      </c>
      <c r="F602" s="206"/>
      <c r="G602" s="167">
        <f>IFERROR(__xludf.DUMMYFUNCTION("""COMPUTED_VALUE"""),4.800000000000001)</f>
        <v>4.8</v>
      </c>
      <c r="H602" s="166">
        <f>IFERROR(__xludf.DUMMYFUNCTION("""COMPUTED_VALUE"""),29952.0)</f>
        <v>29952</v>
      </c>
      <c r="I602" s="167">
        <f>IFERROR(__xludf.DUMMYFUNCTION("""COMPUTED_VALUE"""),43.388888888888886)</f>
        <v>43.38888889</v>
      </c>
      <c r="J602" s="168"/>
      <c r="K602" s="168"/>
      <c r="L602" s="207"/>
    </row>
    <row r="603">
      <c r="A603" s="203" t="str">
        <f>IFERROR(__xludf.DUMMYFUNCTION("""COMPUTED_VALUE"""),"Vault Assault")</f>
        <v>Vault Assault</v>
      </c>
      <c r="B603" s="204" t="str">
        <f>IFERROR(__xludf.DUMMYFUNCTION("""COMPUTED_VALUE"""),"Xbox / PC")</f>
        <v>Xbox / PC</v>
      </c>
      <c r="C603" s="205" t="str">
        <f>IFERROR(__xludf.DUMMYFUNCTION("""COMPUTED_VALUE"""),"Yes")</f>
        <v>Yes</v>
      </c>
      <c r="D603" s="205" t="str">
        <f>IFERROR(__xludf.DUMMYFUNCTION("""COMPUTED_VALUE"""),"Active")</f>
        <v>Active</v>
      </c>
      <c r="E603" s="166">
        <f>IFERROR(__xludf.DUMMYFUNCTION("""COMPUTED_VALUE"""),45798.0)</f>
        <v>45798</v>
      </c>
      <c r="F603" s="206"/>
      <c r="G603" s="167">
        <f>IFERROR(__xludf.DUMMYFUNCTION("""COMPUTED_VALUE"""),4.800000000000001)</f>
        <v>4.8</v>
      </c>
      <c r="H603" s="166">
        <f>IFERROR(__xludf.DUMMYFUNCTION("""COMPUTED_VALUE"""),37114.0)</f>
        <v>37114</v>
      </c>
      <c r="I603" s="167">
        <f>IFERROR(__xludf.DUMMYFUNCTION("""COMPUTED_VALUE"""),23.77777777777778)</f>
        <v>23.77777778</v>
      </c>
      <c r="J603" s="168"/>
      <c r="K603" s="168"/>
      <c r="L603" s="207"/>
    </row>
    <row r="604">
      <c r="A604" s="203" t="str">
        <f>IFERROR(__xludf.DUMMYFUNCTION("""COMPUTED_VALUE"""),"Venetian Blinds")</f>
        <v>Venetian Blinds</v>
      </c>
      <c r="B604" s="204" t="str">
        <f>IFERROR(__xludf.DUMMYFUNCTION("""COMPUTED_VALUE"""),"Xbox / PC")</f>
        <v>Xbox / PC</v>
      </c>
      <c r="C604" s="205" t="str">
        <f>IFERROR(__xludf.DUMMYFUNCTION("""COMPUTED_VALUE"""),"Yes")</f>
        <v>Yes</v>
      </c>
      <c r="D604" s="205" t="str">
        <f>IFERROR(__xludf.DUMMYFUNCTION("""COMPUTED_VALUE"""),"Active")</f>
        <v>Active</v>
      </c>
      <c r="E604" s="166">
        <f>IFERROR(__xludf.DUMMYFUNCTION("""COMPUTED_VALUE"""),45798.0)</f>
        <v>45798</v>
      </c>
      <c r="F604" s="206"/>
      <c r="G604" s="167">
        <f>IFERROR(__xludf.DUMMYFUNCTION("""COMPUTED_VALUE"""),4.800000000000001)</f>
        <v>4.8</v>
      </c>
      <c r="H604" s="166">
        <f>IFERROR(__xludf.DUMMYFUNCTION("""COMPUTED_VALUE"""),29587.0)</f>
        <v>29587</v>
      </c>
      <c r="I604" s="167">
        <f>IFERROR(__xludf.DUMMYFUNCTION("""COMPUTED_VALUE"""),44.388888888888886)</f>
        <v>44.38888889</v>
      </c>
      <c r="J604" s="168"/>
      <c r="K604" s="168"/>
      <c r="L604" s="207"/>
    </row>
    <row r="605">
      <c r="A605" s="203" t="str">
        <f>IFERROR(__xludf.DUMMYFUNCTION("""COMPUTED_VALUE"""),"Zork I: The Great Underground ")</f>
        <v>Zork I: The Great Underground </v>
      </c>
      <c r="B605" s="204" t="str">
        <f>IFERROR(__xludf.DUMMYFUNCTION("""COMPUTED_VALUE"""),"Xbox / PC")</f>
        <v>Xbox / PC</v>
      </c>
      <c r="C605" s="205" t="str">
        <f>IFERROR(__xludf.DUMMYFUNCTION("""COMPUTED_VALUE"""),"Yes")</f>
        <v>Yes</v>
      </c>
      <c r="D605" s="205" t="str">
        <f>IFERROR(__xludf.DUMMYFUNCTION("""COMPUTED_VALUE"""),"Active")</f>
        <v>Active</v>
      </c>
      <c r="E605" s="166">
        <f>IFERROR(__xludf.DUMMYFUNCTION("""COMPUTED_VALUE"""),45798.0)</f>
        <v>45798</v>
      </c>
      <c r="F605" s="206"/>
      <c r="G605" s="167">
        <f>IFERROR(__xludf.DUMMYFUNCTION("""COMPUTED_VALUE"""),4.800000000000001)</f>
        <v>4.8</v>
      </c>
      <c r="H605" s="166">
        <f>IFERROR(__xludf.DUMMYFUNCTION("""COMPUTED_VALUE"""),29221.0)</f>
        <v>29221</v>
      </c>
      <c r="I605" s="167">
        <f>IFERROR(__xludf.DUMMYFUNCTION("""COMPUTED_VALUE"""),45.388888888888886)</f>
        <v>45.38888889</v>
      </c>
      <c r="J605" s="168"/>
      <c r="K605" s="168"/>
      <c r="L605" s="207" t="str">
        <f>IFERROR(__xludf.DUMMYFUNCTION("""COMPUTED_VALUE"""),"Text Adventure")</f>
        <v>Text Adventure</v>
      </c>
    </row>
    <row r="606">
      <c r="A606" s="203" t="str">
        <f>IFERROR(__xludf.DUMMYFUNCTION("""COMPUTED_VALUE"""),"Zork Zero: The Revenge of Megaboz")</f>
        <v>Zork Zero: The Revenge of Megaboz</v>
      </c>
      <c r="B606" s="204" t="str">
        <f>IFERROR(__xludf.DUMMYFUNCTION("""COMPUTED_VALUE"""),"Xbox / PC")</f>
        <v>Xbox / PC</v>
      </c>
      <c r="C606" s="205" t="str">
        <f>IFERROR(__xludf.DUMMYFUNCTION("""COMPUTED_VALUE"""),"Yes")</f>
        <v>Yes</v>
      </c>
      <c r="D606" s="205" t="str">
        <f>IFERROR(__xludf.DUMMYFUNCTION("""COMPUTED_VALUE"""),"Active")</f>
        <v>Active</v>
      </c>
      <c r="E606" s="166">
        <f>IFERROR(__xludf.DUMMYFUNCTION("""COMPUTED_VALUE"""),45798.0)</f>
        <v>45798</v>
      </c>
      <c r="F606" s="206"/>
      <c r="G606" s="167">
        <f>IFERROR(__xludf.DUMMYFUNCTION("""COMPUTED_VALUE"""),4.800000000000001)</f>
        <v>4.8</v>
      </c>
      <c r="H606" s="166">
        <f>IFERROR(__xludf.DUMMYFUNCTION("""COMPUTED_VALUE"""),32435.0)</f>
        <v>32435</v>
      </c>
      <c r="I606" s="167">
        <f>IFERROR(__xludf.DUMMYFUNCTION("""COMPUTED_VALUE"""),36.58888888888889)</f>
        <v>36.58888889</v>
      </c>
      <c r="J606" s="168"/>
      <c r="K606" s="168"/>
      <c r="L606" s="207" t="str">
        <f>IFERROR(__xludf.DUMMYFUNCTION("""COMPUTED_VALUE"""),"Text Adventure")</f>
        <v>Text Adventure</v>
      </c>
    </row>
    <row r="607">
      <c r="A607" s="203" t="str">
        <f>IFERROR(__xludf.DUMMYFUNCTION("""COMPUTED_VALUE"""),"Towerborne (Game Preview)")</f>
        <v>Towerborne (Game Preview)</v>
      </c>
      <c r="B607" s="204" t="str">
        <f>IFERROR(__xludf.DUMMYFUNCTION("""COMPUTED_VALUE"""),"Xbox / PC")</f>
        <v>Xbox / PC</v>
      </c>
      <c r="C607" s="205" t="str">
        <f>IFERROR(__xludf.DUMMYFUNCTION("""COMPUTED_VALUE"""),"Yes")</f>
        <v>Yes</v>
      </c>
      <c r="D607" s="205" t="str">
        <f>IFERROR(__xludf.DUMMYFUNCTION("""COMPUTED_VALUE"""),"Active")</f>
        <v>Active</v>
      </c>
      <c r="E607" s="166">
        <f>IFERROR(__xludf.DUMMYFUNCTION("""COMPUTED_VALUE"""),45776.0)</f>
        <v>45776</v>
      </c>
      <c r="F607" s="206"/>
      <c r="G607" s="167">
        <f>IFERROR(__xludf.DUMMYFUNCTION("""COMPUTED_VALUE"""),5.533333333333333)</f>
        <v>5.533333333</v>
      </c>
      <c r="H607" s="166">
        <f>IFERROR(__xludf.DUMMYFUNCTION("""COMPUTED_VALUE"""),45776.0)</f>
        <v>45776</v>
      </c>
      <c r="I607" s="167">
        <f>IFERROR(__xludf.DUMMYFUNCTION("""COMPUTED_VALUE"""),0.0)</f>
        <v>0</v>
      </c>
      <c r="J607" s="168"/>
      <c r="K607" s="168"/>
      <c r="L607" s="207" t="str">
        <f>IFERROR(__xludf.DUMMYFUNCTION("""COMPUTED_VALUE"""),"Beat-'Em-Up ")</f>
        <v>Beat-'Em-Up </v>
      </c>
    </row>
    <row r="608">
      <c r="A608" s="203" t="str">
        <f>IFERROR(__xludf.DUMMYFUNCTION("""COMPUTED_VALUE"""),"33 Immortals (Game Preview)")</f>
        <v>33 Immortals (Game Preview)</v>
      </c>
      <c r="B608" s="204" t="str">
        <f>IFERROR(__xludf.DUMMYFUNCTION("""COMPUTED_VALUE"""),"Xbox / PC")</f>
        <v>Xbox / PC</v>
      </c>
      <c r="C608" s="205" t="str">
        <f>IFERROR(__xludf.DUMMYFUNCTION("""COMPUTED_VALUE"""),"Yes")</f>
        <v>Yes</v>
      </c>
      <c r="D608" s="205" t="str">
        <f>IFERROR(__xludf.DUMMYFUNCTION("""COMPUTED_VALUE"""),"Active")</f>
        <v>Active</v>
      </c>
      <c r="E608" s="166">
        <f>IFERROR(__xludf.DUMMYFUNCTION("""COMPUTED_VALUE"""),45734.0)</f>
        <v>45734</v>
      </c>
      <c r="F608" s="206"/>
      <c r="G608" s="167">
        <f>IFERROR(__xludf.DUMMYFUNCTION("""COMPUTED_VALUE"""),6.8999999999999995)</f>
        <v>6.9</v>
      </c>
      <c r="H608" s="166">
        <f>IFERROR(__xludf.DUMMYFUNCTION("""COMPUTED_VALUE"""),45734.0)</f>
        <v>45734</v>
      </c>
      <c r="I608" s="167">
        <f>IFERROR(__xludf.DUMMYFUNCTION("""COMPUTED_VALUE"""),0.0)</f>
        <v>0</v>
      </c>
      <c r="J608" s="168"/>
      <c r="K608" s="168">
        <f>IFERROR(__xludf.DUMMYFUNCTION("""COMPUTED_VALUE"""),5.0)</f>
        <v>5</v>
      </c>
      <c r="L608" s="207" t="str">
        <f>IFERROR(__xludf.DUMMYFUNCTION("""COMPUTED_VALUE"""),"RPG")</f>
        <v>RPG</v>
      </c>
    </row>
    <row r="609">
      <c r="A609" s="203" t="str">
        <f>IFERROR(__xludf.DUMMYFUNCTION("""COMPUTED_VALUE"""),"Overthrown (Game Preview)")</f>
        <v>Overthrown (Game Preview)</v>
      </c>
      <c r="B609" s="204" t="str">
        <f>IFERROR(__xludf.DUMMYFUNCTION("""COMPUTED_VALUE"""),"Xbox / PC")</f>
        <v>Xbox / PC</v>
      </c>
      <c r="C609" s="205" t="str">
        <f>IFERROR(__xludf.DUMMYFUNCTION("""COMPUTED_VALUE"""),"Yes")</f>
        <v>Yes</v>
      </c>
      <c r="D609" s="205" t="str">
        <f>IFERROR(__xludf.DUMMYFUNCTION("""COMPUTED_VALUE"""),"Active")</f>
        <v>Active</v>
      </c>
      <c r="E609" s="166">
        <f>IFERROR(__xludf.DUMMYFUNCTION("""COMPUTED_VALUE"""),45631.0)</f>
        <v>45631</v>
      </c>
      <c r="F609" s="206"/>
      <c r="G609" s="167">
        <f>IFERROR(__xludf.DUMMYFUNCTION("""COMPUTED_VALUE"""),10.333333333333334)</f>
        <v>10.33333333</v>
      </c>
      <c r="H609" s="166">
        <f>IFERROR(__xludf.DUMMYFUNCTION("""COMPUTED_VALUE"""),45631.0)</f>
        <v>45631</v>
      </c>
      <c r="I609" s="167">
        <f>IFERROR(__xludf.DUMMYFUNCTION("""COMPUTED_VALUE"""),0.0)</f>
        <v>0</v>
      </c>
      <c r="J609" s="168"/>
      <c r="K609" s="168"/>
      <c r="L609" s="207" t="str">
        <f>IFERROR(__xludf.DUMMYFUNCTION("""COMPUTED_VALUE"""),"Sandbox")</f>
        <v>Sandbox</v>
      </c>
    </row>
    <row r="610">
      <c r="A610" s="203" t="str">
        <f>IFERROR(__xludf.DUMMYFUNCTION("""COMPUTED_VALUE"""),"Manor Lords (Game Preview)")</f>
        <v>Manor Lords (Game Preview)</v>
      </c>
      <c r="B610" s="204" t="str">
        <f>IFERROR(__xludf.DUMMYFUNCTION("""COMPUTED_VALUE"""),"PC")</f>
        <v>PC</v>
      </c>
      <c r="C610" s="205"/>
      <c r="D610" s="205" t="str">
        <f>IFERROR(__xludf.DUMMYFUNCTION("""COMPUTED_VALUE"""),"Active")</f>
        <v>Active</v>
      </c>
      <c r="E610" s="166">
        <f>IFERROR(__xludf.DUMMYFUNCTION("""COMPUTED_VALUE"""),45408.0)</f>
        <v>45408</v>
      </c>
      <c r="F610" s="206"/>
      <c r="G610" s="167">
        <f>IFERROR(__xludf.DUMMYFUNCTION("""COMPUTED_VALUE"""),17.633333333333333)</f>
        <v>17.63333333</v>
      </c>
      <c r="H610" s="166">
        <f>IFERROR(__xludf.DUMMYFUNCTION("""COMPUTED_VALUE"""),45408.0)</f>
        <v>45408</v>
      </c>
      <c r="I610" s="167">
        <f>IFERROR(__xludf.DUMMYFUNCTION("""COMPUTED_VALUE"""),0.0)</f>
        <v>0</v>
      </c>
      <c r="J610" s="168"/>
      <c r="K610" s="168">
        <f>IFERROR(__xludf.DUMMYFUNCTION("""COMPUTED_VALUE"""),7.0)</f>
        <v>7</v>
      </c>
      <c r="L610" s="207" t="str">
        <f>IFERROR(__xludf.DUMMYFUNCTION("""COMPUTED_VALUE"""),"Strategy")</f>
        <v>Strategy</v>
      </c>
    </row>
    <row r="611">
      <c r="A611" s="203" t="str">
        <f>IFERROR(__xludf.DUMMYFUNCTION("""COMPUTED_VALUE"""),"Terra Invicta (Game Preview)")</f>
        <v>Terra Invicta (Game Preview)</v>
      </c>
      <c r="B611" s="204" t="str">
        <f>IFERROR(__xludf.DUMMYFUNCTION("""COMPUTED_VALUE"""),"PC")</f>
        <v>PC</v>
      </c>
      <c r="C611" s="205"/>
      <c r="D611" s="205" t="str">
        <f>IFERROR(__xludf.DUMMYFUNCTION("""COMPUTED_VALUE"""),"Active")</f>
        <v>Active</v>
      </c>
      <c r="E611" s="166">
        <f>IFERROR(__xludf.DUMMYFUNCTION("""COMPUTED_VALUE"""),45377.0)</f>
        <v>45377</v>
      </c>
      <c r="F611" s="206"/>
      <c r="G611" s="167">
        <f>IFERROR(__xludf.DUMMYFUNCTION("""COMPUTED_VALUE"""),18.633333333333333)</f>
        <v>18.63333333</v>
      </c>
      <c r="H611" s="166">
        <f>IFERROR(__xludf.DUMMYFUNCTION("""COMPUTED_VALUE"""),45260.0)</f>
        <v>45260</v>
      </c>
      <c r="I611" s="167">
        <f>IFERROR(__xludf.DUMMYFUNCTION("""COMPUTED_VALUE"""),0.32222222222222224)</f>
        <v>0.3222222222</v>
      </c>
      <c r="J611" s="168"/>
      <c r="K611" s="168">
        <f>IFERROR(__xludf.DUMMYFUNCTION("""COMPUTED_VALUE"""),60.0)</f>
        <v>60</v>
      </c>
      <c r="L611" s="207" t="str">
        <f>IFERROR(__xludf.DUMMYFUNCTION("""COMPUTED_VALUE"""),"Strategy")</f>
        <v>Strategy</v>
      </c>
    </row>
    <row r="612">
      <c r="A612" s="203" t="str">
        <f>IFERROR(__xludf.DUMMYFUNCTION("""COMPUTED_VALUE"""),"Lightyear Frontier (Game Preview)")</f>
        <v>Lightyear Frontier (Game Preview)</v>
      </c>
      <c r="B612" s="204" t="str">
        <f>IFERROR(__xludf.DUMMYFUNCTION("""COMPUTED_VALUE"""),"Xbox / PC")</f>
        <v>Xbox / PC</v>
      </c>
      <c r="C612" s="205" t="str">
        <f>IFERROR(__xludf.DUMMYFUNCTION("""COMPUTED_VALUE"""),"Yes")</f>
        <v>Yes</v>
      </c>
      <c r="D612" s="205" t="str">
        <f>IFERROR(__xludf.DUMMYFUNCTION("""COMPUTED_VALUE"""),"Active")</f>
        <v>Active</v>
      </c>
      <c r="E612" s="166">
        <f>IFERROR(__xludf.DUMMYFUNCTION("""COMPUTED_VALUE"""),45370.0)</f>
        <v>45370</v>
      </c>
      <c r="F612" s="206"/>
      <c r="G612" s="167">
        <f>IFERROR(__xludf.DUMMYFUNCTION("""COMPUTED_VALUE"""),18.866666666666667)</f>
        <v>18.86666667</v>
      </c>
      <c r="H612" s="166">
        <f>IFERROR(__xludf.DUMMYFUNCTION("""COMPUTED_VALUE"""),45370.0)</f>
        <v>45370</v>
      </c>
      <c r="I612" s="167">
        <f>IFERROR(__xludf.DUMMYFUNCTION("""COMPUTED_VALUE"""),0.0)</f>
        <v>0</v>
      </c>
      <c r="J612" s="168"/>
      <c r="K612" s="168"/>
      <c r="L612" s="207" t="str">
        <f>IFERROR(__xludf.DUMMYFUNCTION("""COMPUTED_VALUE"""),"Sandbox")</f>
        <v>Sandbox</v>
      </c>
    </row>
    <row r="613">
      <c r="A613" s="203" t="str">
        <f>IFERROR(__xludf.DUMMYFUNCTION("""COMPUTED_VALUE"""),"Palworld (Game Preview)")</f>
        <v>Palworld (Game Preview)</v>
      </c>
      <c r="B613" s="204" t="str">
        <f>IFERROR(__xludf.DUMMYFUNCTION("""COMPUTED_VALUE"""),"Xbox / PC")</f>
        <v>Xbox / PC</v>
      </c>
      <c r="C613" s="205" t="str">
        <f>IFERROR(__xludf.DUMMYFUNCTION("""COMPUTED_VALUE"""),"Yes")</f>
        <v>Yes</v>
      </c>
      <c r="D613" s="205" t="str">
        <f>IFERROR(__xludf.DUMMYFUNCTION("""COMPUTED_VALUE"""),"Active")</f>
        <v>Active</v>
      </c>
      <c r="E613" s="166">
        <f>IFERROR(__xludf.DUMMYFUNCTION("""COMPUTED_VALUE"""),45310.0)</f>
        <v>45310</v>
      </c>
      <c r="F613" s="206"/>
      <c r="G613" s="167">
        <f>IFERROR(__xludf.DUMMYFUNCTION("""COMPUTED_VALUE"""),20.866666666666667)</f>
        <v>20.86666667</v>
      </c>
      <c r="H613" s="166">
        <f>IFERROR(__xludf.DUMMYFUNCTION("""COMPUTED_VALUE"""),45310.0)</f>
        <v>45310</v>
      </c>
      <c r="I613" s="167">
        <f>IFERROR(__xludf.DUMMYFUNCTION("""COMPUTED_VALUE"""),0.0)</f>
        <v>0</v>
      </c>
      <c r="J613" s="168"/>
      <c r="K613" s="168">
        <f>IFERROR(__xludf.DUMMYFUNCTION("""COMPUTED_VALUE"""),31.0)</f>
        <v>31</v>
      </c>
      <c r="L613" s="207" t="str">
        <f>IFERROR(__xludf.DUMMYFUNCTION("""COMPUTED_VALUE"""),"Action")</f>
        <v>Action</v>
      </c>
    </row>
    <row r="614">
      <c r="A614" s="203" t="str">
        <f>IFERROR(__xludf.DUMMYFUNCTION("""COMPUTED_VALUE"""),"Techtonica (Game Preview)")</f>
        <v>Techtonica (Game Preview)</v>
      </c>
      <c r="B614" s="204" t="str">
        <f>IFERROR(__xludf.DUMMYFUNCTION("""COMPUTED_VALUE"""),"Xbox / PC")</f>
        <v>Xbox / PC</v>
      </c>
      <c r="C614" s="205" t="str">
        <f>IFERROR(__xludf.DUMMYFUNCTION("""COMPUTED_VALUE"""),"Yes")</f>
        <v>Yes</v>
      </c>
      <c r="D614" s="205" t="str">
        <f>IFERROR(__xludf.DUMMYFUNCTION("""COMPUTED_VALUE"""),"Active")</f>
        <v>Active</v>
      </c>
      <c r="E614" s="166">
        <f>IFERROR(__xludf.DUMMYFUNCTION("""COMPUTED_VALUE"""),45125.0)</f>
        <v>45125</v>
      </c>
      <c r="F614" s="206"/>
      <c r="G614" s="167">
        <f>IFERROR(__xludf.DUMMYFUNCTION("""COMPUTED_VALUE"""),26.9)</f>
        <v>26.9</v>
      </c>
      <c r="H614" s="166">
        <f>IFERROR(__xludf.DUMMYFUNCTION("""COMPUTED_VALUE"""),45125.0)</f>
        <v>45125</v>
      </c>
      <c r="I614" s="167">
        <f>IFERROR(__xludf.DUMMYFUNCTION("""COMPUTED_VALUE"""),0.0)</f>
        <v>0</v>
      </c>
      <c r="J614" s="168"/>
      <c r="K614" s="168"/>
      <c r="L614" s="207" t="str">
        <f>IFERROR(__xludf.DUMMYFUNCTION("""COMPUTED_VALUE"""),"Strategy / Simulation")</f>
        <v>Strategy / Simulation</v>
      </c>
    </row>
    <row r="615">
      <c r="A615" s="203" t="str">
        <f>IFERROR(__xludf.DUMMYFUNCTION("""COMPUTED_VALUE"""),"Roboquest (2020)")</f>
        <v>Roboquest (2020)</v>
      </c>
      <c r="B615" s="204" t="str">
        <f>IFERROR(__xludf.DUMMYFUNCTION("""COMPUTED_VALUE"""),"Xbox / PC")</f>
        <v>Xbox / PC</v>
      </c>
      <c r="C615" s="205"/>
      <c r="D615" s="205" t="str">
        <f>IFERROR(__xludf.DUMMYFUNCTION("""COMPUTED_VALUE"""),"Active")</f>
        <v>Active</v>
      </c>
      <c r="E615" s="166">
        <f>IFERROR(__xludf.DUMMYFUNCTION("""COMPUTED_VALUE"""),44614.0)</f>
        <v>44614</v>
      </c>
      <c r="F615" s="206"/>
      <c r="G615" s="167">
        <f>IFERROR(__xludf.DUMMYFUNCTION("""COMPUTED_VALUE"""),43.766666666666666)</f>
        <v>43.76666667</v>
      </c>
      <c r="H615" s="166">
        <f>IFERROR(__xludf.DUMMYFUNCTION("""COMPUTED_VALUE"""),44063.0)</f>
        <v>44063</v>
      </c>
      <c r="I615" s="167">
        <f>IFERROR(__xludf.DUMMYFUNCTION("""COMPUTED_VALUE"""),1.5055555555555555)</f>
        <v>1.505555556</v>
      </c>
      <c r="J615" s="168"/>
      <c r="K615" s="168">
        <f>IFERROR(__xludf.DUMMYFUNCTION("""COMPUTED_VALUE"""),6.0)</f>
        <v>6</v>
      </c>
      <c r="L615" s="207" t="str">
        <f>IFERROR(__xludf.DUMMYFUNCTION("""COMPUTED_VALUE"""),"Action / First-Person Shooter")</f>
        <v>Action / First-Person Shooter</v>
      </c>
    </row>
    <row r="616">
      <c r="A616" s="203"/>
      <c r="B616" s="204"/>
      <c r="C616" s="205"/>
      <c r="D616" s="205"/>
      <c r="E616" s="166"/>
      <c r="F616" s="206"/>
      <c r="G616" s="167"/>
      <c r="H616" s="166"/>
      <c r="I616" s="167"/>
      <c r="J616" s="168"/>
      <c r="K616" s="169"/>
      <c r="L616" s="207"/>
    </row>
    <row r="617">
      <c r="A617" s="203"/>
      <c r="B617" s="204"/>
      <c r="C617" s="205"/>
      <c r="D617" s="205"/>
      <c r="E617" s="166"/>
      <c r="F617" s="206"/>
      <c r="G617" s="167"/>
      <c r="H617" s="166"/>
      <c r="I617" s="167"/>
      <c r="J617" s="168"/>
      <c r="K617" s="169"/>
      <c r="L617" s="207"/>
    </row>
    <row r="618">
      <c r="A618" s="203"/>
      <c r="B618" s="204"/>
      <c r="C618" s="205"/>
      <c r="D618" s="205"/>
      <c r="E618" s="166"/>
      <c r="F618" s="206"/>
      <c r="G618" s="167"/>
      <c r="H618" s="166"/>
      <c r="I618" s="167"/>
      <c r="J618" s="168"/>
      <c r="K618" s="169"/>
      <c r="L618" s="207"/>
    </row>
    <row r="619">
      <c r="A619" s="203"/>
      <c r="B619" s="204"/>
      <c r="C619" s="205"/>
      <c r="D619" s="205"/>
      <c r="E619" s="166"/>
      <c r="F619" s="206"/>
      <c r="G619" s="167"/>
      <c r="H619" s="166"/>
      <c r="I619" s="167"/>
      <c r="J619" s="168"/>
      <c r="K619" s="169"/>
      <c r="L619" s="207"/>
    </row>
    <row r="620">
      <c r="A620" s="203"/>
      <c r="B620" s="204"/>
      <c r="C620" s="205"/>
      <c r="D620" s="205"/>
      <c r="E620" s="166"/>
      <c r="F620" s="206"/>
      <c r="G620" s="167"/>
      <c r="H620" s="166"/>
      <c r="I620" s="167"/>
      <c r="J620" s="168"/>
      <c r="K620" s="169"/>
      <c r="L620" s="207"/>
    </row>
    <row r="621">
      <c r="A621" s="203"/>
      <c r="B621" s="204"/>
      <c r="C621" s="205"/>
      <c r="D621" s="205"/>
      <c r="E621" s="166"/>
      <c r="F621" s="206"/>
      <c r="G621" s="167"/>
      <c r="H621" s="166"/>
      <c r="I621" s="167"/>
      <c r="J621" s="168"/>
      <c r="K621" s="169"/>
      <c r="L621" s="207"/>
    </row>
    <row r="622">
      <c r="A622" s="203"/>
      <c r="B622" s="204"/>
      <c r="C622" s="205"/>
      <c r="D622" s="205"/>
      <c r="E622" s="166"/>
      <c r="F622" s="206"/>
      <c r="G622" s="167"/>
      <c r="H622" s="166"/>
      <c r="I622" s="167"/>
      <c r="J622" s="168"/>
      <c r="K622" s="169"/>
      <c r="L622" s="207"/>
    </row>
    <row r="623">
      <c r="A623" s="203"/>
      <c r="B623" s="204"/>
      <c r="C623" s="205"/>
      <c r="D623" s="205"/>
      <c r="E623" s="166"/>
      <c r="F623" s="206"/>
      <c r="G623" s="167"/>
      <c r="H623" s="166"/>
      <c r="I623" s="167"/>
      <c r="J623" s="168"/>
      <c r="K623" s="169"/>
      <c r="L623" s="207"/>
    </row>
    <row r="624">
      <c r="A624" s="203"/>
      <c r="B624" s="204"/>
      <c r="C624" s="205"/>
      <c r="D624" s="205"/>
      <c r="E624" s="166"/>
      <c r="F624" s="206"/>
      <c r="G624" s="167"/>
      <c r="H624" s="166"/>
      <c r="I624" s="167"/>
      <c r="J624" s="168"/>
      <c r="K624" s="169"/>
      <c r="L624" s="207"/>
    </row>
    <row r="625">
      <c r="A625" s="203"/>
      <c r="B625" s="204"/>
      <c r="C625" s="205"/>
      <c r="D625" s="205"/>
      <c r="E625" s="166"/>
      <c r="F625" s="206"/>
      <c r="G625" s="167"/>
      <c r="H625" s="166"/>
      <c r="I625" s="167"/>
      <c r="J625" s="168"/>
      <c r="K625" s="169"/>
      <c r="L625" s="207"/>
    </row>
    <row r="626">
      <c r="A626" s="203"/>
      <c r="B626" s="204"/>
      <c r="C626" s="205"/>
      <c r="D626" s="205"/>
      <c r="E626" s="166"/>
      <c r="F626" s="206"/>
      <c r="G626" s="167"/>
      <c r="H626" s="166"/>
      <c r="I626" s="167"/>
      <c r="J626" s="168"/>
      <c r="K626" s="169"/>
      <c r="L626" s="207"/>
    </row>
    <row r="627">
      <c r="A627" s="203"/>
      <c r="B627" s="204"/>
      <c r="C627" s="205"/>
      <c r="D627" s="205"/>
      <c r="E627" s="166"/>
      <c r="F627" s="206"/>
      <c r="G627" s="167"/>
      <c r="H627" s="166"/>
      <c r="I627" s="167"/>
      <c r="J627" s="168"/>
      <c r="K627" s="169"/>
      <c r="L627" s="207"/>
    </row>
    <row r="628">
      <c r="A628" s="203"/>
      <c r="B628" s="204"/>
      <c r="C628" s="205"/>
      <c r="D628" s="205"/>
      <c r="E628" s="166"/>
      <c r="F628" s="206"/>
      <c r="G628" s="167"/>
      <c r="H628" s="166"/>
      <c r="I628" s="167"/>
      <c r="J628" s="168"/>
      <c r="K628" s="169"/>
      <c r="L628" s="207"/>
    </row>
    <row r="629">
      <c r="A629" s="203"/>
      <c r="B629" s="204"/>
      <c r="C629" s="205"/>
      <c r="D629" s="205"/>
      <c r="E629" s="166"/>
      <c r="F629" s="206"/>
      <c r="G629" s="167"/>
      <c r="H629" s="166"/>
      <c r="I629" s="167"/>
      <c r="J629" s="168"/>
      <c r="K629" s="169"/>
      <c r="L629" s="207"/>
    </row>
    <row r="630">
      <c r="A630" s="203"/>
      <c r="B630" s="204"/>
      <c r="C630" s="205"/>
      <c r="D630" s="205"/>
      <c r="E630" s="166"/>
      <c r="F630" s="206"/>
      <c r="G630" s="167"/>
      <c r="H630" s="166"/>
      <c r="I630" s="167"/>
      <c r="J630" s="168"/>
      <c r="K630" s="169"/>
      <c r="L630" s="207"/>
    </row>
    <row r="631">
      <c r="A631" s="203"/>
      <c r="B631" s="204"/>
      <c r="C631" s="205"/>
      <c r="D631" s="205"/>
      <c r="E631" s="166"/>
      <c r="F631" s="206"/>
      <c r="G631" s="167"/>
      <c r="H631" s="166"/>
      <c r="I631" s="167"/>
      <c r="J631" s="168"/>
      <c r="K631" s="169"/>
      <c r="L631" s="207"/>
    </row>
    <row r="632">
      <c r="A632" s="203"/>
      <c r="B632" s="204"/>
      <c r="C632" s="205"/>
      <c r="D632" s="205"/>
      <c r="E632" s="166"/>
      <c r="F632" s="206"/>
      <c r="G632" s="167"/>
      <c r="H632" s="166"/>
      <c r="I632" s="167"/>
      <c r="J632" s="168"/>
      <c r="K632" s="169"/>
      <c r="L632" s="207"/>
    </row>
    <row r="633">
      <c r="A633" s="203"/>
      <c r="B633" s="204"/>
      <c r="C633" s="205"/>
      <c r="D633" s="205"/>
      <c r="E633" s="166"/>
      <c r="F633" s="206"/>
      <c r="G633" s="167"/>
      <c r="H633" s="166"/>
      <c r="I633" s="167"/>
      <c r="J633" s="168"/>
      <c r="K633" s="169"/>
      <c r="L633" s="207"/>
    </row>
    <row r="634">
      <c r="A634" s="203"/>
      <c r="B634" s="204"/>
      <c r="C634" s="205"/>
      <c r="D634" s="205"/>
      <c r="E634" s="166"/>
      <c r="F634" s="206"/>
      <c r="G634" s="167"/>
      <c r="H634" s="166"/>
      <c r="I634" s="167"/>
      <c r="J634" s="168"/>
      <c r="K634" s="169"/>
      <c r="L634" s="207"/>
    </row>
    <row r="635">
      <c r="A635" s="203"/>
      <c r="B635" s="204"/>
      <c r="C635" s="205"/>
      <c r="D635" s="205"/>
      <c r="E635" s="166"/>
      <c r="F635" s="206"/>
      <c r="G635" s="167"/>
      <c r="H635" s="166"/>
      <c r="I635" s="167"/>
      <c r="J635" s="168"/>
      <c r="K635" s="169"/>
      <c r="L635" s="207"/>
    </row>
    <row r="636">
      <c r="A636" s="203"/>
      <c r="B636" s="204"/>
      <c r="C636" s="205"/>
      <c r="D636" s="205"/>
      <c r="E636" s="166"/>
      <c r="F636" s="206"/>
      <c r="G636" s="167"/>
      <c r="H636" s="166"/>
      <c r="I636" s="167"/>
      <c r="J636" s="168"/>
      <c r="K636" s="169"/>
      <c r="L636" s="207"/>
    </row>
    <row r="637">
      <c r="A637" s="203"/>
      <c r="B637" s="204"/>
      <c r="C637" s="205"/>
      <c r="D637" s="205"/>
      <c r="E637" s="166"/>
      <c r="F637" s="206"/>
      <c r="G637" s="167"/>
      <c r="H637" s="166"/>
      <c r="I637" s="167"/>
      <c r="J637" s="168"/>
      <c r="K637" s="169"/>
      <c r="L637" s="207"/>
    </row>
    <row r="638">
      <c r="A638" s="203"/>
      <c r="B638" s="204"/>
      <c r="C638" s="205"/>
      <c r="D638" s="205"/>
      <c r="E638" s="166"/>
      <c r="F638" s="206"/>
      <c r="G638" s="167"/>
      <c r="H638" s="166"/>
      <c r="I638" s="167"/>
      <c r="J638" s="168"/>
      <c r="K638" s="169"/>
      <c r="L638" s="207"/>
    </row>
    <row r="639">
      <c r="A639" s="203"/>
      <c r="B639" s="204"/>
      <c r="C639" s="205"/>
      <c r="D639" s="205"/>
      <c r="E639" s="166"/>
      <c r="F639" s="206"/>
      <c r="G639" s="167"/>
      <c r="H639" s="166"/>
      <c r="I639" s="167"/>
      <c r="J639" s="168"/>
      <c r="K639" s="169"/>
      <c r="L639" s="207"/>
    </row>
    <row r="640">
      <c r="A640" s="203"/>
      <c r="B640" s="204"/>
      <c r="C640" s="205"/>
      <c r="D640" s="205"/>
      <c r="E640" s="166"/>
      <c r="F640" s="206"/>
      <c r="G640" s="167"/>
      <c r="H640" s="166"/>
      <c r="I640" s="167"/>
      <c r="J640" s="168"/>
      <c r="K640" s="169"/>
      <c r="L640" s="207"/>
    </row>
    <row r="641">
      <c r="A641" s="203"/>
      <c r="B641" s="204"/>
      <c r="C641" s="205"/>
      <c r="D641" s="205"/>
      <c r="E641" s="166"/>
      <c r="F641" s="206"/>
      <c r="G641" s="167"/>
      <c r="H641" s="166"/>
      <c r="I641" s="167"/>
      <c r="J641" s="168"/>
      <c r="K641" s="169"/>
      <c r="L641" s="207"/>
    </row>
    <row r="642">
      <c r="A642" s="203"/>
      <c r="B642" s="204"/>
      <c r="C642" s="205"/>
      <c r="D642" s="205"/>
      <c r="E642" s="166"/>
      <c r="F642" s="206"/>
      <c r="G642" s="167"/>
      <c r="H642" s="166"/>
      <c r="I642" s="167"/>
      <c r="J642" s="168"/>
      <c r="K642" s="169"/>
      <c r="L642" s="207"/>
    </row>
    <row r="643">
      <c r="A643" s="203"/>
      <c r="B643" s="204"/>
      <c r="C643" s="205"/>
      <c r="D643" s="205"/>
      <c r="E643" s="166"/>
      <c r="F643" s="206"/>
      <c r="G643" s="167"/>
      <c r="H643" s="166"/>
      <c r="I643" s="167"/>
      <c r="J643" s="168"/>
      <c r="K643" s="169"/>
      <c r="L643" s="207"/>
    </row>
    <row r="644">
      <c r="A644" s="203"/>
      <c r="B644" s="204"/>
      <c r="C644" s="205"/>
      <c r="D644" s="205"/>
      <c r="E644" s="166"/>
      <c r="F644" s="206"/>
      <c r="G644" s="167"/>
      <c r="H644" s="166"/>
      <c r="I644" s="167"/>
      <c r="J644" s="168"/>
      <c r="K644" s="169"/>
      <c r="L644" s="207"/>
    </row>
    <row r="645">
      <c r="A645" s="203"/>
      <c r="B645" s="204"/>
      <c r="C645" s="205"/>
      <c r="D645" s="205"/>
      <c r="E645" s="166"/>
      <c r="F645" s="206"/>
      <c r="G645" s="167"/>
      <c r="H645" s="166"/>
      <c r="I645" s="167"/>
      <c r="J645" s="168"/>
      <c r="K645" s="169"/>
      <c r="L645" s="207"/>
    </row>
    <row r="646">
      <c r="A646" s="203"/>
      <c r="B646" s="204"/>
      <c r="C646" s="205"/>
      <c r="D646" s="205"/>
      <c r="E646" s="166"/>
      <c r="F646" s="206"/>
      <c r="G646" s="167"/>
      <c r="H646" s="166"/>
      <c r="I646" s="167"/>
      <c r="J646" s="168"/>
      <c r="K646" s="169"/>
      <c r="L646" s="207"/>
    </row>
    <row r="647">
      <c r="A647" s="203"/>
      <c r="B647" s="204"/>
      <c r="C647" s="205"/>
      <c r="D647" s="205"/>
      <c r="E647" s="166"/>
      <c r="F647" s="206"/>
      <c r="G647" s="167"/>
      <c r="H647" s="166"/>
      <c r="I647" s="167"/>
      <c r="J647" s="168"/>
      <c r="K647" s="169"/>
      <c r="L647" s="207"/>
    </row>
    <row r="648">
      <c r="A648" s="203"/>
      <c r="B648" s="204"/>
      <c r="C648" s="205"/>
      <c r="D648" s="205"/>
      <c r="E648" s="166"/>
      <c r="F648" s="206"/>
      <c r="G648" s="167"/>
      <c r="H648" s="166"/>
      <c r="I648" s="167"/>
      <c r="J648" s="168"/>
      <c r="K648" s="169"/>
      <c r="L648" s="207"/>
    </row>
    <row r="649">
      <c r="A649" s="203"/>
      <c r="B649" s="204"/>
      <c r="C649" s="205"/>
      <c r="D649" s="205"/>
      <c r="E649" s="166"/>
      <c r="F649" s="206"/>
      <c r="G649" s="167"/>
      <c r="H649" s="166"/>
      <c r="I649" s="167"/>
      <c r="J649" s="168"/>
      <c r="K649" s="169"/>
      <c r="L649" s="207"/>
    </row>
    <row r="650">
      <c r="A650" s="203"/>
      <c r="B650" s="204"/>
      <c r="C650" s="205"/>
      <c r="D650" s="205"/>
      <c r="E650" s="166"/>
      <c r="F650" s="206"/>
      <c r="G650" s="167"/>
      <c r="H650" s="166"/>
      <c r="I650" s="167"/>
      <c r="J650" s="168"/>
      <c r="K650" s="169"/>
      <c r="L650" s="207"/>
    </row>
    <row r="651">
      <c r="A651" s="203"/>
      <c r="B651" s="204"/>
      <c r="C651" s="205"/>
      <c r="D651" s="205"/>
      <c r="E651" s="166"/>
      <c r="F651" s="206"/>
      <c r="G651" s="167"/>
      <c r="H651" s="166"/>
      <c r="I651" s="167"/>
      <c r="J651" s="168"/>
      <c r="K651" s="169"/>
      <c r="L651" s="207"/>
    </row>
    <row r="652">
      <c r="A652" s="203"/>
      <c r="B652" s="204"/>
      <c r="C652" s="205"/>
      <c r="D652" s="205"/>
      <c r="E652" s="166"/>
      <c r="F652" s="206"/>
      <c r="G652" s="167"/>
      <c r="H652" s="166"/>
      <c r="I652" s="167"/>
      <c r="J652" s="168"/>
      <c r="K652" s="169"/>
      <c r="L652" s="207"/>
    </row>
    <row r="653">
      <c r="A653" s="203"/>
      <c r="B653" s="204"/>
      <c r="C653" s="205"/>
      <c r="D653" s="205"/>
      <c r="E653" s="166"/>
      <c r="F653" s="206"/>
      <c r="G653" s="167"/>
      <c r="H653" s="166"/>
      <c r="I653" s="167"/>
      <c r="J653" s="168"/>
      <c r="K653" s="169"/>
      <c r="L653" s="207"/>
    </row>
    <row r="654">
      <c r="A654" s="203"/>
      <c r="B654" s="204"/>
      <c r="C654" s="205"/>
      <c r="D654" s="205"/>
      <c r="E654" s="166"/>
      <c r="F654" s="206"/>
      <c r="G654" s="167"/>
      <c r="H654" s="166"/>
      <c r="I654" s="167"/>
      <c r="J654" s="168"/>
      <c r="K654" s="169"/>
      <c r="L654" s="207"/>
    </row>
    <row r="655">
      <c r="A655" s="203"/>
      <c r="B655" s="204"/>
      <c r="C655" s="205"/>
      <c r="D655" s="205"/>
      <c r="E655" s="166"/>
      <c r="F655" s="206"/>
      <c r="G655" s="167"/>
      <c r="H655" s="166"/>
      <c r="I655" s="167"/>
      <c r="J655" s="168"/>
      <c r="K655" s="169"/>
      <c r="L655" s="207"/>
    </row>
    <row r="656">
      <c r="A656" s="203"/>
      <c r="B656" s="204"/>
      <c r="C656" s="205"/>
      <c r="D656" s="205"/>
      <c r="E656" s="166"/>
      <c r="F656" s="206"/>
      <c r="G656" s="167"/>
      <c r="H656" s="166"/>
      <c r="I656" s="167"/>
      <c r="J656" s="168"/>
      <c r="K656" s="169"/>
      <c r="L656" s="207"/>
    </row>
    <row r="657">
      <c r="A657" s="203"/>
      <c r="B657" s="204"/>
      <c r="C657" s="205"/>
      <c r="D657" s="205"/>
      <c r="E657" s="166"/>
      <c r="F657" s="206"/>
      <c r="G657" s="167"/>
      <c r="H657" s="166"/>
      <c r="I657" s="167"/>
      <c r="J657" s="168"/>
      <c r="K657" s="169"/>
      <c r="L657" s="207"/>
    </row>
    <row r="658">
      <c r="A658" s="203"/>
      <c r="B658" s="204"/>
      <c r="C658" s="205"/>
      <c r="D658" s="205"/>
      <c r="E658" s="166"/>
      <c r="F658" s="206"/>
      <c r="G658" s="167"/>
      <c r="H658" s="166"/>
      <c r="I658" s="167"/>
      <c r="J658" s="168"/>
      <c r="K658" s="169"/>
      <c r="L658" s="207"/>
    </row>
    <row r="659">
      <c r="A659" s="203"/>
      <c r="B659" s="204"/>
      <c r="C659" s="205"/>
      <c r="D659" s="205"/>
      <c r="E659" s="166"/>
      <c r="F659" s="206"/>
      <c r="G659" s="167"/>
      <c r="H659" s="166"/>
      <c r="I659" s="167"/>
      <c r="J659" s="168"/>
      <c r="K659" s="169"/>
      <c r="L659" s="207"/>
    </row>
    <row r="660">
      <c r="A660" s="203"/>
      <c r="B660" s="204"/>
      <c r="C660" s="205"/>
      <c r="D660" s="205"/>
      <c r="E660" s="166"/>
      <c r="F660" s="206"/>
      <c r="G660" s="167"/>
      <c r="H660" s="166"/>
      <c r="I660" s="167"/>
      <c r="J660" s="168"/>
      <c r="K660" s="169"/>
      <c r="L660" s="207"/>
    </row>
    <row r="661">
      <c r="A661" s="203"/>
      <c r="B661" s="204"/>
      <c r="C661" s="205"/>
      <c r="D661" s="205"/>
      <c r="E661" s="166"/>
      <c r="F661" s="206"/>
      <c r="G661" s="167"/>
      <c r="H661" s="166"/>
      <c r="I661" s="167"/>
      <c r="J661" s="168"/>
      <c r="K661" s="169"/>
      <c r="L661" s="207"/>
    </row>
    <row r="662">
      <c r="A662" s="203"/>
      <c r="B662" s="204"/>
      <c r="C662" s="205"/>
      <c r="D662" s="205"/>
      <c r="E662" s="166"/>
      <c r="F662" s="206"/>
      <c r="G662" s="167"/>
      <c r="H662" s="166"/>
      <c r="I662" s="167"/>
      <c r="J662" s="168"/>
      <c r="K662" s="169"/>
      <c r="L662" s="207"/>
    </row>
    <row r="663">
      <c r="A663" s="203"/>
      <c r="B663" s="204"/>
      <c r="C663" s="205"/>
      <c r="D663" s="205"/>
      <c r="E663" s="166"/>
      <c r="F663" s="206"/>
      <c r="G663" s="167"/>
      <c r="H663" s="166"/>
      <c r="I663" s="167"/>
      <c r="J663" s="168"/>
      <c r="K663" s="169"/>
      <c r="L663" s="207"/>
    </row>
    <row r="664">
      <c r="A664" s="203"/>
      <c r="B664" s="204"/>
      <c r="C664" s="205"/>
      <c r="D664" s="205"/>
      <c r="E664" s="166"/>
      <c r="F664" s="206"/>
      <c r="G664" s="167"/>
      <c r="H664" s="166"/>
      <c r="I664" s="167"/>
      <c r="J664" s="168"/>
      <c r="K664" s="169"/>
      <c r="L664" s="207"/>
    </row>
    <row r="665">
      <c r="A665" s="203"/>
      <c r="B665" s="204"/>
      <c r="C665" s="205"/>
      <c r="D665" s="205"/>
      <c r="E665" s="166"/>
      <c r="F665" s="206"/>
      <c r="G665" s="167"/>
      <c r="H665" s="166"/>
      <c r="I665" s="167"/>
      <c r="J665" s="168"/>
      <c r="K665" s="169"/>
      <c r="L665" s="207"/>
    </row>
    <row r="666">
      <c r="A666" s="203"/>
      <c r="B666" s="204"/>
      <c r="C666" s="205"/>
      <c r="D666" s="205"/>
      <c r="E666" s="166"/>
      <c r="F666" s="206"/>
      <c r="G666" s="167"/>
      <c r="H666" s="166"/>
      <c r="I666" s="167"/>
      <c r="J666" s="168"/>
      <c r="K666" s="169"/>
      <c r="L666" s="207"/>
    </row>
    <row r="667">
      <c r="A667" s="203"/>
      <c r="B667" s="204"/>
      <c r="C667" s="205"/>
      <c r="D667" s="205"/>
      <c r="E667" s="166"/>
      <c r="F667" s="206"/>
      <c r="G667" s="167"/>
      <c r="H667" s="166"/>
      <c r="I667" s="167"/>
      <c r="J667" s="168"/>
      <c r="K667" s="169"/>
      <c r="L667" s="207"/>
    </row>
    <row r="668">
      <c r="A668" s="203"/>
      <c r="B668" s="204"/>
      <c r="C668" s="205"/>
      <c r="D668" s="205"/>
      <c r="E668" s="166"/>
      <c r="F668" s="206"/>
      <c r="G668" s="167"/>
      <c r="H668" s="166"/>
      <c r="I668" s="167"/>
      <c r="J668" s="168"/>
      <c r="K668" s="169"/>
      <c r="L668" s="207"/>
    </row>
    <row r="669">
      <c r="A669" s="203"/>
      <c r="B669" s="204"/>
      <c r="C669" s="205"/>
      <c r="D669" s="205"/>
      <c r="E669" s="166"/>
      <c r="F669" s="206"/>
      <c r="G669" s="167"/>
      <c r="H669" s="166"/>
      <c r="I669" s="167"/>
      <c r="J669" s="168"/>
      <c r="K669" s="169"/>
      <c r="L669" s="207"/>
    </row>
    <row r="670">
      <c r="A670" s="203"/>
      <c r="B670" s="204"/>
      <c r="C670" s="205"/>
      <c r="D670" s="205"/>
      <c r="E670" s="166"/>
      <c r="F670" s="206"/>
      <c r="G670" s="167"/>
      <c r="H670" s="166"/>
      <c r="I670" s="167"/>
      <c r="J670" s="168"/>
      <c r="K670" s="169"/>
      <c r="L670" s="207"/>
    </row>
    <row r="671">
      <c r="A671" s="203"/>
      <c r="B671" s="204"/>
      <c r="C671" s="205"/>
      <c r="D671" s="205"/>
      <c r="E671" s="166"/>
      <c r="F671" s="206"/>
      <c r="G671" s="167"/>
      <c r="H671" s="166"/>
      <c r="I671" s="167"/>
      <c r="J671" s="168"/>
      <c r="K671" s="169"/>
      <c r="L671" s="207"/>
    </row>
    <row r="672">
      <c r="A672" s="203"/>
      <c r="B672" s="204"/>
      <c r="C672" s="205"/>
      <c r="D672" s="205"/>
      <c r="E672" s="166"/>
      <c r="F672" s="206"/>
      <c r="G672" s="167"/>
      <c r="H672" s="166"/>
      <c r="I672" s="167"/>
      <c r="J672" s="168"/>
      <c r="K672" s="169"/>
      <c r="L672" s="207"/>
    </row>
    <row r="673">
      <c r="A673" s="203"/>
      <c r="B673" s="204"/>
      <c r="C673" s="205"/>
      <c r="D673" s="205"/>
      <c r="E673" s="166"/>
      <c r="F673" s="206"/>
      <c r="G673" s="167"/>
      <c r="H673" s="166"/>
      <c r="I673" s="167"/>
      <c r="J673" s="168"/>
      <c r="K673" s="169"/>
      <c r="L673" s="207"/>
    </row>
    <row r="674">
      <c r="A674" s="203"/>
      <c r="B674" s="204"/>
      <c r="C674" s="205"/>
      <c r="D674" s="205"/>
      <c r="E674" s="166"/>
      <c r="F674" s="206"/>
      <c r="G674" s="167"/>
      <c r="H674" s="166"/>
      <c r="I674" s="167"/>
      <c r="J674" s="168"/>
      <c r="K674" s="169"/>
      <c r="L674" s="207"/>
    </row>
    <row r="675">
      <c r="A675" s="203"/>
      <c r="B675" s="204"/>
      <c r="C675" s="205"/>
      <c r="D675" s="205"/>
      <c r="E675" s="166"/>
      <c r="F675" s="206"/>
      <c r="G675" s="167"/>
      <c r="H675" s="166"/>
      <c r="I675" s="167"/>
      <c r="J675" s="168"/>
      <c r="K675" s="169"/>
      <c r="L675" s="207"/>
    </row>
    <row r="676">
      <c r="A676" s="203"/>
      <c r="B676" s="204"/>
      <c r="C676" s="205"/>
      <c r="D676" s="205"/>
      <c r="E676" s="166"/>
      <c r="F676" s="206"/>
      <c r="G676" s="167"/>
      <c r="H676" s="166"/>
      <c r="I676" s="167"/>
      <c r="J676" s="168"/>
      <c r="K676" s="169"/>
      <c r="L676" s="207"/>
    </row>
    <row r="677">
      <c r="A677" s="203"/>
      <c r="B677" s="204"/>
      <c r="C677" s="205"/>
      <c r="D677" s="205"/>
      <c r="E677" s="166"/>
      <c r="F677" s="206"/>
      <c r="G677" s="167"/>
      <c r="H677" s="166"/>
      <c r="I677" s="167"/>
      <c r="J677" s="168"/>
      <c r="K677" s="169"/>
      <c r="L677" s="207"/>
    </row>
    <row r="678">
      <c r="A678" s="203"/>
      <c r="B678" s="204"/>
      <c r="C678" s="205"/>
      <c r="D678" s="205"/>
      <c r="E678" s="166"/>
      <c r="F678" s="206"/>
      <c r="G678" s="167"/>
      <c r="H678" s="166"/>
      <c r="I678" s="167"/>
      <c r="J678" s="168"/>
      <c r="K678" s="169"/>
      <c r="L678" s="207"/>
    </row>
    <row r="679">
      <c r="A679" s="203"/>
      <c r="B679" s="204"/>
      <c r="C679" s="205"/>
      <c r="D679" s="205"/>
      <c r="E679" s="166"/>
      <c r="F679" s="206"/>
      <c r="G679" s="167"/>
      <c r="H679" s="166"/>
      <c r="I679" s="167"/>
      <c r="J679" s="168"/>
      <c r="K679" s="169"/>
      <c r="L679" s="207"/>
    </row>
    <row r="680">
      <c r="A680" s="203"/>
      <c r="B680" s="204"/>
      <c r="C680" s="205"/>
      <c r="D680" s="205"/>
      <c r="E680" s="166"/>
      <c r="F680" s="206"/>
      <c r="G680" s="167"/>
      <c r="H680" s="166"/>
      <c r="I680" s="167"/>
      <c r="J680" s="168"/>
      <c r="K680" s="169"/>
      <c r="L680" s="207"/>
    </row>
    <row r="681">
      <c r="A681" s="203"/>
      <c r="B681" s="204"/>
      <c r="C681" s="205"/>
      <c r="D681" s="205"/>
      <c r="E681" s="166"/>
      <c r="F681" s="206"/>
      <c r="G681" s="167"/>
      <c r="H681" s="166"/>
      <c r="I681" s="167"/>
      <c r="J681" s="168"/>
      <c r="K681" s="169"/>
      <c r="L681" s="207"/>
    </row>
    <row r="682">
      <c r="A682" s="203"/>
      <c r="B682" s="204"/>
      <c r="C682" s="205"/>
      <c r="D682" s="205"/>
      <c r="E682" s="166"/>
      <c r="F682" s="206"/>
      <c r="G682" s="167"/>
      <c r="H682" s="166"/>
      <c r="I682" s="167"/>
      <c r="J682" s="168"/>
      <c r="K682" s="169"/>
      <c r="L682" s="207"/>
    </row>
    <row r="683">
      <c r="A683" s="203"/>
      <c r="B683" s="204"/>
      <c r="C683" s="205"/>
      <c r="D683" s="205"/>
      <c r="E683" s="166"/>
      <c r="F683" s="206"/>
      <c r="G683" s="167"/>
      <c r="H683" s="166"/>
      <c r="I683" s="167"/>
      <c r="J683" s="168"/>
      <c r="K683" s="169"/>
      <c r="L683" s="207"/>
    </row>
    <row r="684">
      <c r="A684" s="203"/>
      <c r="B684" s="204"/>
      <c r="C684" s="205"/>
      <c r="D684" s="205"/>
      <c r="E684" s="166"/>
      <c r="F684" s="206"/>
      <c r="G684" s="167"/>
      <c r="H684" s="166"/>
      <c r="I684" s="167"/>
      <c r="J684" s="168"/>
      <c r="K684" s="169"/>
      <c r="L684" s="207"/>
    </row>
    <row r="685">
      <c r="A685" s="203"/>
      <c r="B685" s="204"/>
      <c r="C685" s="205"/>
      <c r="D685" s="205"/>
      <c r="E685" s="166"/>
      <c r="F685" s="206"/>
      <c r="G685" s="167"/>
      <c r="H685" s="166"/>
      <c r="I685" s="167"/>
      <c r="J685" s="168"/>
      <c r="K685" s="169"/>
      <c r="L685" s="207"/>
    </row>
    <row r="686">
      <c r="A686" s="203"/>
      <c r="B686" s="204"/>
      <c r="C686" s="205"/>
      <c r="D686" s="205"/>
      <c r="E686" s="166"/>
      <c r="F686" s="206"/>
      <c r="G686" s="167"/>
      <c r="H686" s="166"/>
      <c r="I686" s="167"/>
      <c r="J686" s="168"/>
      <c r="K686" s="169"/>
      <c r="L686" s="207"/>
    </row>
    <row r="687">
      <c r="A687" s="203"/>
      <c r="B687" s="204"/>
      <c r="C687" s="205"/>
      <c r="D687" s="205"/>
      <c r="E687" s="166"/>
      <c r="F687" s="206"/>
      <c r="G687" s="167"/>
      <c r="H687" s="166"/>
      <c r="I687" s="167"/>
      <c r="J687" s="168"/>
      <c r="K687" s="169"/>
      <c r="L687" s="207"/>
    </row>
    <row r="688">
      <c r="A688" s="203"/>
      <c r="B688" s="204"/>
      <c r="C688" s="205"/>
      <c r="D688" s="205"/>
      <c r="E688" s="166"/>
      <c r="F688" s="206"/>
      <c r="G688" s="167"/>
      <c r="H688" s="166"/>
      <c r="I688" s="167"/>
      <c r="J688" s="168"/>
      <c r="K688" s="169"/>
      <c r="L688" s="207"/>
    </row>
    <row r="689">
      <c r="A689" s="203"/>
      <c r="B689" s="204"/>
      <c r="C689" s="205"/>
      <c r="D689" s="205"/>
      <c r="E689" s="166"/>
      <c r="F689" s="206"/>
      <c r="G689" s="167"/>
      <c r="H689" s="166"/>
      <c r="I689" s="167"/>
      <c r="J689" s="168"/>
      <c r="K689" s="169"/>
      <c r="L689" s="207"/>
    </row>
    <row r="690">
      <c r="A690" s="203"/>
      <c r="B690" s="204"/>
      <c r="C690" s="205"/>
      <c r="D690" s="205"/>
      <c r="E690" s="166"/>
      <c r="F690" s="206"/>
      <c r="G690" s="167"/>
      <c r="H690" s="166"/>
      <c r="I690" s="167"/>
      <c r="J690" s="168"/>
      <c r="K690" s="169"/>
      <c r="L690" s="207"/>
    </row>
    <row r="691">
      <c r="A691" s="203"/>
      <c r="B691" s="204"/>
      <c r="C691" s="205"/>
      <c r="D691" s="205"/>
      <c r="E691" s="166"/>
      <c r="F691" s="206"/>
      <c r="G691" s="167"/>
      <c r="H691" s="166"/>
      <c r="I691" s="167"/>
      <c r="J691" s="168"/>
      <c r="K691" s="169"/>
      <c r="L691" s="207"/>
    </row>
    <row r="692">
      <c r="A692" s="203"/>
      <c r="B692" s="204"/>
      <c r="C692" s="205"/>
      <c r="D692" s="205"/>
      <c r="E692" s="166"/>
      <c r="F692" s="206"/>
      <c r="G692" s="167"/>
      <c r="H692" s="166"/>
      <c r="I692" s="167"/>
      <c r="J692" s="168"/>
      <c r="K692" s="169"/>
      <c r="L692" s="207"/>
    </row>
    <row r="693">
      <c r="A693" s="203"/>
      <c r="B693" s="204"/>
      <c r="C693" s="205"/>
      <c r="D693" s="205"/>
      <c r="E693" s="166"/>
      <c r="F693" s="206"/>
      <c r="G693" s="167"/>
      <c r="H693" s="166"/>
      <c r="I693" s="167"/>
      <c r="J693" s="168"/>
      <c r="K693" s="169"/>
      <c r="L693" s="207"/>
    </row>
    <row r="694">
      <c r="A694" s="203"/>
      <c r="B694" s="204"/>
      <c r="C694" s="205"/>
      <c r="D694" s="205"/>
      <c r="E694" s="166"/>
      <c r="F694" s="206"/>
      <c r="G694" s="167"/>
      <c r="H694" s="166"/>
      <c r="I694" s="167"/>
      <c r="J694" s="168"/>
      <c r="K694" s="169"/>
      <c r="L694" s="207"/>
    </row>
    <row r="695">
      <c r="A695" s="203"/>
      <c r="B695" s="204"/>
      <c r="C695" s="205"/>
      <c r="D695" s="205"/>
      <c r="E695" s="166"/>
      <c r="F695" s="206"/>
      <c r="G695" s="167"/>
      <c r="H695" s="166"/>
      <c r="I695" s="167"/>
      <c r="J695" s="168"/>
      <c r="K695" s="169"/>
      <c r="L695" s="207"/>
    </row>
    <row r="696">
      <c r="A696" s="203"/>
      <c r="B696" s="204"/>
      <c r="C696" s="205"/>
      <c r="D696" s="205"/>
      <c r="E696" s="166"/>
      <c r="F696" s="206"/>
      <c r="G696" s="167"/>
      <c r="H696" s="166"/>
      <c r="I696" s="167"/>
      <c r="J696" s="168"/>
      <c r="K696" s="169"/>
      <c r="L696" s="207"/>
    </row>
    <row r="697">
      <c r="A697" s="203"/>
      <c r="B697" s="204"/>
      <c r="C697" s="205"/>
      <c r="D697" s="205"/>
      <c r="E697" s="166"/>
      <c r="F697" s="206"/>
      <c r="G697" s="167"/>
      <c r="H697" s="166"/>
      <c r="I697" s="167"/>
      <c r="J697" s="168"/>
      <c r="K697" s="169"/>
      <c r="L697" s="207"/>
    </row>
    <row r="698">
      <c r="A698" s="203"/>
      <c r="B698" s="204"/>
      <c r="C698" s="205"/>
      <c r="D698" s="205"/>
      <c r="E698" s="166"/>
      <c r="F698" s="206"/>
      <c r="G698" s="167"/>
      <c r="H698" s="166"/>
      <c r="I698" s="167"/>
      <c r="J698" s="168"/>
      <c r="K698" s="169"/>
      <c r="L698" s="207"/>
    </row>
    <row r="699">
      <c r="A699" s="203"/>
      <c r="B699" s="204"/>
      <c r="C699" s="205"/>
      <c r="D699" s="205"/>
      <c r="E699" s="166"/>
      <c r="F699" s="206"/>
      <c r="G699" s="167"/>
      <c r="H699" s="166"/>
      <c r="I699" s="167"/>
      <c r="J699" s="168"/>
      <c r="K699" s="169"/>
      <c r="L699" s="207"/>
    </row>
    <row r="700">
      <c r="A700" s="203"/>
      <c r="B700" s="204"/>
      <c r="C700" s="205"/>
      <c r="D700" s="205"/>
      <c r="E700" s="166"/>
      <c r="F700" s="206"/>
      <c r="G700" s="167"/>
      <c r="H700" s="166"/>
      <c r="I700" s="167"/>
      <c r="J700" s="168"/>
      <c r="K700" s="169"/>
      <c r="L700" s="207"/>
    </row>
    <row r="701">
      <c r="A701" s="203"/>
      <c r="B701" s="204"/>
      <c r="C701" s="205"/>
      <c r="D701" s="205"/>
      <c r="E701" s="166"/>
      <c r="F701" s="206"/>
      <c r="G701" s="167"/>
      <c r="H701" s="166"/>
      <c r="I701" s="167"/>
      <c r="J701" s="168"/>
      <c r="K701" s="169"/>
      <c r="L701" s="207"/>
    </row>
    <row r="702">
      <c r="A702" s="203"/>
      <c r="B702" s="204"/>
      <c r="C702" s="205"/>
      <c r="D702" s="205"/>
      <c r="E702" s="166"/>
      <c r="F702" s="206"/>
      <c r="G702" s="167"/>
      <c r="H702" s="166"/>
      <c r="I702" s="167"/>
      <c r="J702" s="168"/>
      <c r="K702" s="169"/>
      <c r="L702" s="207"/>
    </row>
    <row r="703">
      <c r="A703" s="203"/>
      <c r="B703" s="204"/>
      <c r="C703" s="205"/>
      <c r="D703" s="205"/>
      <c r="E703" s="166"/>
      <c r="F703" s="206"/>
      <c r="G703" s="167"/>
      <c r="H703" s="166"/>
      <c r="I703" s="167"/>
      <c r="J703" s="168"/>
      <c r="K703" s="169"/>
      <c r="L703" s="207"/>
    </row>
    <row r="704">
      <c r="A704" s="203"/>
      <c r="B704" s="204"/>
      <c r="C704" s="205"/>
      <c r="D704" s="205"/>
      <c r="E704" s="166"/>
      <c r="F704" s="206"/>
      <c r="G704" s="167"/>
      <c r="H704" s="166"/>
      <c r="I704" s="167"/>
      <c r="J704" s="168"/>
      <c r="K704" s="169"/>
      <c r="L704" s="207"/>
    </row>
    <row r="705">
      <c r="A705" s="203"/>
      <c r="B705" s="204"/>
      <c r="C705" s="205"/>
      <c r="D705" s="205"/>
      <c r="E705" s="166"/>
      <c r="F705" s="206"/>
      <c r="G705" s="167"/>
      <c r="H705" s="166"/>
      <c r="I705" s="167"/>
      <c r="J705" s="168"/>
      <c r="K705" s="169"/>
      <c r="L705" s="207"/>
    </row>
    <row r="706">
      <c r="A706" s="203"/>
      <c r="B706" s="204"/>
      <c r="C706" s="205"/>
      <c r="D706" s="205"/>
      <c r="E706" s="166"/>
      <c r="F706" s="206"/>
      <c r="G706" s="167"/>
      <c r="H706" s="166"/>
      <c r="I706" s="167"/>
      <c r="J706" s="168"/>
      <c r="K706" s="169"/>
      <c r="L706" s="207"/>
    </row>
    <row r="707">
      <c r="A707" s="203"/>
      <c r="B707" s="204"/>
      <c r="C707" s="205"/>
      <c r="D707" s="205"/>
      <c r="E707" s="166"/>
      <c r="F707" s="206"/>
      <c r="G707" s="167"/>
      <c r="H707" s="166"/>
      <c r="I707" s="167"/>
      <c r="J707" s="168"/>
      <c r="K707" s="169"/>
      <c r="L707" s="207"/>
    </row>
    <row r="708">
      <c r="A708" s="203"/>
      <c r="B708" s="204"/>
      <c r="C708" s="205"/>
      <c r="D708" s="205"/>
      <c r="E708" s="166"/>
      <c r="F708" s="206"/>
      <c r="G708" s="167"/>
      <c r="H708" s="166"/>
      <c r="I708" s="167"/>
      <c r="J708" s="168"/>
      <c r="K708" s="169"/>
      <c r="L708" s="207"/>
    </row>
    <row r="709">
      <c r="A709" s="203"/>
      <c r="B709" s="204"/>
      <c r="C709" s="205"/>
      <c r="D709" s="205"/>
      <c r="E709" s="166"/>
      <c r="F709" s="206"/>
      <c r="G709" s="167"/>
      <c r="H709" s="166"/>
      <c r="I709" s="167"/>
      <c r="J709" s="168"/>
      <c r="K709" s="169"/>
      <c r="L709" s="207"/>
    </row>
    <row r="710">
      <c r="A710" s="203"/>
      <c r="B710" s="204"/>
      <c r="C710" s="205"/>
      <c r="D710" s="205"/>
      <c r="E710" s="166"/>
      <c r="F710" s="206"/>
      <c r="G710" s="167"/>
      <c r="H710" s="166"/>
      <c r="I710" s="167"/>
      <c r="J710" s="168"/>
      <c r="K710" s="169"/>
      <c r="L710" s="207"/>
    </row>
    <row r="711">
      <c r="A711" s="203"/>
      <c r="B711" s="204"/>
      <c r="C711" s="205"/>
      <c r="D711" s="205"/>
      <c r="E711" s="166"/>
      <c r="F711" s="206"/>
      <c r="G711" s="167"/>
      <c r="H711" s="166"/>
      <c r="I711" s="167"/>
      <c r="J711" s="168"/>
      <c r="K711" s="169"/>
      <c r="L711" s="207"/>
    </row>
    <row r="712">
      <c r="A712" s="203"/>
      <c r="B712" s="204"/>
      <c r="C712" s="205"/>
      <c r="D712" s="205"/>
      <c r="E712" s="166"/>
      <c r="F712" s="206"/>
      <c r="G712" s="167"/>
      <c r="H712" s="166"/>
      <c r="I712" s="167"/>
      <c r="J712" s="168"/>
      <c r="K712" s="169"/>
      <c r="L712" s="207"/>
    </row>
    <row r="713">
      <c r="A713" s="203"/>
      <c r="B713" s="204"/>
      <c r="C713" s="205"/>
      <c r="D713" s="205"/>
      <c r="E713" s="166"/>
      <c r="F713" s="206"/>
      <c r="G713" s="167"/>
      <c r="H713" s="166"/>
      <c r="I713" s="167"/>
      <c r="J713" s="168"/>
      <c r="K713" s="169"/>
      <c r="L713" s="207"/>
    </row>
    <row r="714">
      <c r="A714" s="203"/>
      <c r="B714" s="204"/>
      <c r="C714" s="205"/>
      <c r="D714" s="205"/>
      <c r="E714" s="166"/>
      <c r="F714" s="206"/>
      <c r="G714" s="167"/>
      <c r="H714" s="166"/>
      <c r="I714" s="167"/>
      <c r="J714" s="168"/>
      <c r="K714" s="169"/>
      <c r="L714" s="207"/>
    </row>
    <row r="715">
      <c r="A715" s="203"/>
      <c r="B715" s="204"/>
      <c r="C715" s="205"/>
      <c r="D715" s="205"/>
      <c r="E715" s="166"/>
      <c r="F715" s="206"/>
      <c r="G715" s="167"/>
      <c r="H715" s="166"/>
      <c r="I715" s="167"/>
      <c r="J715" s="168"/>
      <c r="K715" s="169"/>
      <c r="L715" s="207"/>
    </row>
    <row r="716">
      <c r="A716" s="203"/>
      <c r="B716" s="204"/>
      <c r="C716" s="205"/>
      <c r="D716" s="205"/>
      <c r="E716" s="166"/>
      <c r="F716" s="206"/>
      <c r="G716" s="167"/>
      <c r="H716" s="166"/>
      <c r="I716" s="167"/>
      <c r="J716" s="168"/>
      <c r="K716" s="169"/>
      <c r="L716" s="207"/>
    </row>
    <row r="717">
      <c r="A717" s="203"/>
      <c r="B717" s="204"/>
      <c r="C717" s="205"/>
      <c r="D717" s="205"/>
      <c r="E717" s="166"/>
      <c r="F717" s="206"/>
      <c r="G717" s="167"/>
      <c r="H717" s="166"/>
      <c r="I717" s="167"/>
      <c r="J717" s="168"/>
      <c r="K717" s="169"/>
      <c r="L717" s="207"/>
    </row>
    <row r="718">
      <c r="A718" s="203"/>
      <c r="B718" s="204"/>
      <c r="C718" s="205"/>
      <c r="D718" s="205"/>
      <c r="E718" s="166"/>
      <c r="F718" s="206"/>
      <c r="G718" s="167"/>
      <c r="H718" s="166"/>
      <c r="I718" s="167"/>
      <c r="J718" s="168"/>
      <c r="K718" s="169"/>
      <c r="L718" s="207"/>
    </row>
    <row r="719">
      <c r="A719" s="203"/>
      <c r="B719" s="204"/>
      <c r="C719" s="205"/>
      <c r="D719" s="205"/>
      <c r="E719" s="166"/>
      <c r="F719" s="206"/>
      <c r="G719" s="167"/>
      <c r="H719" s="166"/>
      <c r="I719" s="167"/>
      <c r="J719" s="168"/>
      <c r="K719" s="169"/>
      <c r="L719" s="207"/>
    </row>
    <row r="720">
      <c r="A720" s="203"/>
      <c r="B720" s="204"/>
      <c r="C720" s="205"/>
      <c r="D720" s="205"/>
      <c r="E720" s="166"/>
      <c r="F720" s="206"/>
      <c r="G720" s="167"/>
      <c r="H720" s="166"/>
      <c r="I720" s="167"/>
      <c r="J720" s="168"/>
      <c r="K720" s="169"/>
      <c r="L720" s="207"/>
    </row>
    <row r="721">
      <c r="A721" s="203"/>
      <c r="B721" s="204"/>
      <c r="C721" s="205"/>
      <c r="D721" s="205"/>
      <c r="E721" s="166"/>
      <c r="F721" s="206"/>
      <c r="G721" s="167"/>
      <c r="H721" s="166"/>
      <c r="I721" s="167"/>
      <c r="J721" s="168"/>
      <c r="K721" s="169"/>
      <c r="L721" s="207"/>
    </row>
    <row r="722">
      <c r="A722" s="203"/>
      <c r="B722" s="204"/>
      <c r="C722" s="205"/>
      <c r="D722" s="205"/>
      <c r="E722" s="166"/>
      <c r="F722" s="206"/>
      <c r="G722" s="167"/>
      <c r="H722" s="166"/>
      <c r="I722" s="167"/>
      <c r="J722" s="168"/>
      <c r="K722" s="169"/>
      <c r="L722" s="207"/>
    </row>
    <row r="723">
      <c r="A723" s="203"/>
      <c r="B723" s="204"/>
      <c r="C723" s="205"/>
      <c r="D723" s="205"/>
      <c r="E723" s="166"/>
      <c r="F723" s="206"/>
      <c r="G723" s="167"/>
      <c r="H723" s="166"/>
      <c r="I723" s="167"/>
      <c r="J723" s="168"/>
      <c r="K723" s="169"/>
      <c r="L723" s="207"/>
    </row>
    <row r="724">
      <c r="A724" s="203"/>
      <c r="B724" s="204"/>
      <c r="C724" s="205"/>
      <c r="D724" s="205"/>
      <c r="E724" s="166"/>
      <c r="F724" s="206"/>
      <c r="G724" s="167"/>
      <c r="H724" s="166"/>
      <c r="I724" s="167"/>
      <c r="J724" s="168"/>
      <c r="K724" s="169"/>
      <c r="L724" s="207"/>
    </row>
    <row r="725">
      <c r="A725" s="203"/>
      <c r="B725" s="204"/>
      <c r="C725" s="205"/>
      <c r="D725" s="205"/>
      <c r="E725" s="166"/>
      <c r="F725" s="206"/>
      <c r="G725" s="167"/>
      <c r="H725" s="166"/>
      <c r="I725" s="167"/>
      <c r="J725" s="168"/>
      <c r="K725" s="169"/>
      <c r="L725" s="207"/>
    </row>
    <row r="726">
      <c r="A726" s="203"/>
      <c r="B726" s="204"/>
      <c r="C726" s="205"/>
      <c r="D726" s="205"/>
      <c r="E726" s="166"/>
      <c r="F726" s="206"/>
      <c r="G726" s="167"/>
      <c r="H726" s="166"/>
      <c r="I726" s="167"/>
      <c r="J726" s="168"/>
      <c r="K726" s="169"/>
      <c r="L726" s="207"/>
    </row>
    <row r="727">
      <c r="A727" s="203"/>
      <c r="B727" s="204"/>
      <c r="C727" s="205"/>
      <c r="D727" s="205"/>
      <c r="E727" s="166"/>
      <c r="F727" s="206"/>
      <c r="G727" s="167"/>
      <c r="H727" s="166"/>
      <c r="I727" s="167"/>
      <c r="J727" s="168"/>
      <c r="K727" s="169"/>
      <c r="L727" s="207"/>
    </row>
    <row r="728">
      <c r="A728" s="203"/>
      <c r="B728" s="204"/>
      <c r="C728" s="205"/>
      <c r="D728" s="205"/>
      <c r="E728" s="166"/>
      <c r="F728" s="206"/>
      <c r="G728" s="167"/>
      <c r="H728" s="166"/>
      <c r="I728" s="167"/>
      <c r="J728" s="168"/>
      <c r="K728" s="169"/>
      <c r="L728" s="207"/>
    </row>
    <row r="729">
      <c r="A729" s="203"/>
      <c r="B729" s="204"/>
      <c r="C729" s="205"/>
      <c r="D729" s="205"/>
      <c r="E729" s="166"/>
      <c r="F729" s="206"/>
      <c r="G729" s="167"/>
      <c r="H729" s="166"/>
      <c r="I729" s="167"/>
      <c r="J729" s="168"/>
      <c r="K729" s="169"/>
      <c r="L729" s="207"/>
    </row>
    <row r="730">
      <c r="A730" s="203"/>
      <c r="B730" s="204"/>
      <c r="C730" s="205"/>
      <c r="D730" s="205"/>
      <c r="E730" s="166"/>
      <c r="F730" s="206"/>
      <c r="G730" s="167"/>
      <c r="H730" s="166"/>
      <c r="I730" s="167"/>
      <c r="J730" s="168"/>
      <c r="K730" s="169"/>
      <c r="L730" s="207"/>
    </row>
    <row r="731">
      <c r="A731" s="203"/>
      <c r="B731" s="204"/>
      <c r="C731" s="205"/>
      <c r="D731" s="205"/>
      <c r="E731" s="166"/>
      <c r="F731" s="206"/>
      <c r="G731" s="167"/>
      <c r="H731" s="166"/>
      <c r="I731" s="167"/>
      <c r="J731" s="168"/>
      <c r="K731" s="169"/>
      <c r="L731" s="207"/>
    </row>
    <row r="732">
      <c r="A732" s="203"/>
      <c r="B732" s="204"/>
      <c r="C732" s="205"/>
      <c r="D732" s="205"/>
      <c r="E732" s="166"/>
      <c r="F732" s="206"/>
      <c r="G732" s="167"/>
      <c r="H732" s="166"/>
      <c r="I732" s="167"/>
      <c r="J732" s="168"/>
      <c r="K732" s="169"/>
      <c r="L732" s="207"/>
    </row>
    <row r="733">
      <c r="A733" s="203"/>
      <c r="B733" s="204"/>
      <c r="C733" s="205"/>
      <c r="D733" s="205"/>
      <c r="E733" s="166"/>
      <c r="F733" s="206"/>
      <c r="G733" s="167"/>
      <c r="H733" s="166"/>
      <c r="I733" s="167"/>
      <c r="J733" s="168"/>
      <c r="K733" s="169"/>
      <c r="L733" s="207"/>
    </row>
    <row r="734">
      <c r="A734" s="203"/>
      <c r="B734" s="204"/>
      <c r="C734" s="205"/>
      <c r="D734" s="205"/>
      <c r="E734" s="166"/>
      <c r="F734" s="206"/>
      <c r="G734" s="167"/>
      <c r="H734" s="166"/>
      <c r="I734" s="167"/>
      <c r="J734" s="168"/>
      <c r="K734" s="169"/>
      <c r="L734" s="207"/>
    </row>
    <row r="735">
      <c r="A735" s="203"/>
      <c r="B735" s="204"/>
      <c r="C735" s="205"/>
      <c r="D735" s="205"/>
      <c r="E735" s="166"/>
      <c r="F735" s="206"/>
      <c r="G735" s="167"/>
      <c r="H735" s="166"/>
      <c r="I735" s="167"/>
      <c r="J735" s="168"/>
      <c r="K735" s="169"/>
      <c r="L735" s="207"/>
    </row>
    <row r="736">
      <c r="A736" s="203"/>
      <c r="B736" s="204"/>
      <c r="C736" s="205"/>
      <c r="D736" s="205"/>
      <c r="E736" s="166"/>
      <c r="F736" s="206"/>
      <c r="G736" s="167"/>
      <c r="H736" s="166"/>
      <c r="I736" s="167"/>
      <c r="J736" s="168"/>
      <c r="K736" s="169"/>
      <c r="L736" s="207"/>
    </row>
    <row r="737">
      <c r="A737" s="203"/>
      <c r="B737" s="204"/>
      <c r="C737" s="205"/>
      <c r="D737" s="205"/>
      <c r="E737" s="166"/>
      <c r="F737" s="206"/>
      <c r="G737" s="167"/>
      <c r="H737" s="166"/>
      <c r="I737" s="167"/>
      <c r="J737" s="168"/>
      <c r="K737" s="169"/>
      <c r="L737" s="207"/>
    </row>
    <row r="738">
      <c r="A738" s="203"/>
      <c r="B738" s="204"/>
      <c r="C738" s="205"/>
      <c r="D738" s="205"/>
      <c r="E738" s="166"/>
      <c r="F738" s="206"/>
      <c r="G738" s="167"/>
      <c r="H738" s="166"/>
      <c r="I738" s="167"/>
      <c r="J738" s="168"/>
      <c r="K738" s="169"/>
      <c r="L738" s="207"/>
    </row>
    <row r="739">
      <c r="A739" s="203"/>
      <c r="B739" s="204"/>
      <c r="C739" s="205"/>
      <c r="D739" s="205"/>
      <c r="E739" s="166"/>
      <c r="F739" s="206"/>
      <c r="G739" s="167"/>
      <c r="H739" s="166"/>
      <c r="I739" s="167"/>
      <c r="J739" s="168"/>
      <c r="K739" s="169"/>
      <c r="L739" s="207"/>
    </row>
    <row r="740">
      <c r="A740" s="203"/>
      <c r="B740" s="204"/>
      <c r="C740" s="205"/>
      <c r="D740" s="205"/>
      <c r="E740" s="166"/>
      <c r="F740" s="206"/>
      <c r="G740" s="167"/>
      <c r="H740" s="166"/>
      <c r="I740" s="167"/>
      <c r="J740" s="168"/>
      <c r="K740" s="169"/>
      <c r="L740" s="207"/>
    </row>
    <row r="741">
      <c r="A741" s="203"/>
      <c r="B741" s="204"/>
      <c r="C741" s="205"/>
      <c r="D741" s="205"/>
      <c r="E741" s="166"/>
      <c r="F741" s="206"/>
      <c r="G741" s="167"/>
      <c r="H741" s="166"/>
      <c r="I741" s="167"/>
      <c r="J741" s="168"/>
      <c r="K741" s="169"/>
      <c r="L741" s="207"/>
    </row>
    <row r="742">
      <c r="A742" s="203"/>
      <c r="B742" s="204"/>
      <c r="C742" s="205"/>
      <c r="D742" s="205"/>
      <c r="E742" s="166"/>
      <c r="F742" s="206"/>
      <c r="G742" s="167"/>
      <c r="H742" s="166"/>
      <c r="I742" s="167"/>
      <c r="J742" s="168"/>
      <c r="K742" s="169"/>
      <c r="L742" s="207"/>
    </row>
    <row r="743">
      <c r="A743" s="203"/>
      <c r="B743" s="204"/>
      <c r="C743" s="205"/>
      <c r="D743" s="205"/>
      <c r="E743" s="166"/>
      <c r="F743" s="206"/>
      <c r="G743" s="167"/>
      <c r="H743" s="166"/>
      <c r="I743" s="167"/>
      <c r="J743" s="168"/>
      <c r="K743" s="169"/>
      <c r="L743" s="207"/>
    </row>
    <row r="744">
      <c r="A744" s="203"/>
      <c r="B744" s="204"/>
      <c r="C744" s="205"/>
      <c r="D744" s="205"/>
      <c r="E744" s="166"/>
      <c r="F744" s="206"/>
      <c r="G744" s="167"/>
      <c r="H744" s="166"/>
      <c r="I744" s="167"/>
      <c r="J744" s="168"/>
      <c r="K744" s="169"/>
      <c r="L744" s="207"/>
    </row>
    <row r="745">
      <c r="A745" s="203"/>
      <c r="B745" s="204"/>
      <c r="C745" s="205"/>
      <c r="D745" s="205"/>
      <c r="E745" s="166"/>
      <c r="F745" s="206"/>
      <c r="G745" s="167"/>
      <c r="H745" s="166"/>
      <c r="I745" s="167"/>
      <c r="J745" s="168"/>
      <c r="K745" s="169"/>
      <c r="L745" s="207"/>
    </row>
    <row r="746">
      <c r="A746" s="203"/>
      <c r="B746" s="204"/>
      <c r="C746" s="205"/>
      <c r="D746" s="205"/>
      <c r="E746" s="166"/>
      <c r="F746" s="206"/>
      <c r="G746" s="167"/>
      <c r="H746" s="166"/>
      <c r="I746" s="167"/>
      <c r="J746" s="168"/>
      <c r="K746" s="169"/>
      <c r="L746" s="207"/>
    </row>
    <row r="747">
      <c r="A747" s="203"/>
      <c r="B747" s="204"/>
      <c r="C747" s="205"/>
      <c r="D747" s="205"/>
      <c r="E747" s="166"/>
      <c r="F747" s="206"/>
      <c r="G747" s="167"/>
      <c r="H747" s="166"/>
      <c r="I747" s="167"/>
      <c r="J747" s="168"/>
      <c r="K747" s="169"/>
      <c r="L747" s="207"/>
    </row>
    <row r="748">
      <c r="A748" s="203"/>
      <c r="B748" s="204"/>
      <c r="C748" s="205"/>
      <c r="D748" s="205"/>
      <c r="E748" s="166"/>
      <c r="F748" s="206"/>
      <c r="G748" s="167"/>
      <c r="H748" s="166"/>
      <c r="I748" s="167"/>
      <c r="J748" s="168"/>
      <c r="K748" s="169"/>
      <c r="L748" s="207"/>
    </row>
    <row r="749">
      <c r="A749" s="203"/>
      <c r="B749" s="204"/>
      <c r="C749" s="205"/>
      <c r="D749" s="205"/>
      <c r="E749" s="166"/>
      <c r="F749" s="206"/>
      <c r="G749" s="167"/>
      <c r="H749" s="166"/>
      <c r="I749" s="167"/>
      <c r="J749" s="168"/>
      <c r="K749" s="169"/>
      <c r="L749" s="207"/>
    </row>
    <row r="750">
      <c r="A750" s="203"/>
      <c r="B750" s="204"/>
      <c r="C750" s="205"/>
      <c r="D750" s="205"/>
      <c r="E750" s="166"/>
      <c r="F750" s="206"/>
      <c r="G750" s="167"/>
      <c r="H750" s="166"/>
      <c r="I750" s="167"/>
      <c r="J750" s="168"/>
      <c r="K750" s="169"/>
      <c r="L750" s="207"/>
    </row>
    <row r="751">
      <c r="A751" s="203"/>
      <c r="B751" s="204"/>
      <c r="C751" s="205"/>
      <c r="D751" s="205"/>
      <c r="E751" s="166"/>
      <c r="F751" s="206"/>
      <c r="G751" s="167"/>
      <c r="H751" s="166"/>
      <c r="I751" s="167"/>
      <c r="J751" s="168"/>
      <c r="K751" s="169"/>
      <c r="L751" s="207"/>
    </row>
    <row r="752">
      <c r="A752" s="203"/>
      <c r="B752" s="204"/>
      <c r="C752" s="205"/>
      <c r="D752" s="205"/>
      <c r="E752" s="166"/>
      <c r="F752" s="206"/>
      <c r="G752" s="167"/>
      <c r="H752" s="166"/>
      <c r="I752" s="167"/>
      <c r="J752" s="168"/>
      <c r="K752" s="169"/>
      <c r="L752" s="207"/>
    </row>
    <row r="753">
      <c r="A753" s="203"/>
      <c r="B753" s="204"/>
      <c r="C753" s="205"/>
      <c r="D753" s="205"/>
      <c r="E753" s="166"/>
      <c r="F753" s="206"/>
      <c r="G753" s="167"/>
      <c r="H753" s="166"/>
      <c r="I753" s="167"/>
      <c r="J753" s="168"/>
      <c r="K753" s="169"/>
      <c r="L753" s="207"/>
    </row>
    <row r="754">
      <c r="A754" s="203"/>
      <c r="B754" s="204"/>
      <c r="C754" s="205"/>
      <c r="D754" s="205"/>
      <c r="E754" s="166"/>
      <c r="F754" s="206"/>
      <c r="G754" s="167"/>
      <c r="H754" s="166"/>
      <c r="I754" s="167"/>
      <c r="J754" s="168"/>
      <c r="K754" s="169"/>
      <c r="L754" s="207"/>
    </row>
    <row r="755">
      <c r="A755" s="203"/>
      <c r="B755" s="204"/>
      <c r="C755" s="205"/>
      <c r="D755" s="205"/>
      <c r="E755" s="166"/>
      <c r="F755" s="206"/>
      <c r="G755" s="167"/>
      <c r="H755" s="166"/>
      <c r="I755" s="167"/>
      <c r="J755" s="168"/>
      <c r="K755" s="169"/>
      <c r="L755" s="207"/>
    </row>
    <row r="756">
      <c r="A756" s="203"/>
      <c r="B756" s="204"/>
      <c r="C756" s="205"/>
      <c r="D756" s="205"/>
      <c r="E756" s="166"/>
      <c r="F756" s="206"/>
      <c r="G756" s="167"/>
      <c r="H756" s="166"/>
      <c r="I756" s="167"/>
      <c r="J756" s="168"/>
      <c r="K756" s="169"/>
      <c r="L756" s="207"/>
    </row>
    <row r="757">
      <c r="A757" s="203"/>
      <c r="B757" s="204"/>
      <c r="C757" s="205"/>
      <c r="D757" s="205"/>
      <c r="E757" s="166"/>
      <c r="F757" s="206"/>
      <c r="G757" s="167"/>
      <c r="H757" s="166"/>
      <c r="I757" s="167"/>
      <c r="J757" s="168"/>
      <c r="K757" s="169"/>
      <c r="L757" s="207"/>
    </row>
    <row r="758">
      <c r="A758" s="203"/>
      <c r="B758" s="204"/>
      <c r="C758" s="205"/>
      <c r="D758" s="205"/>
      <c r="E758" s="166"/>
      <c r="F758" s="206"/>
      <c r="G758" s="167"/>
      <c r="H758" s="166"/>
      <c r="I758" s="167"/>
      <c r="J758" s="168"/>
      <c r="K758" s="169"/>
      <c r="L758" s="207"/>
    </row>
    <row r="759">
      <c r="A759" s="203"/>
      <c r="B759" s="204"/>
      <c r="C759" s="205"/>
      <c r="D759" s="205"/>
      <c r="E759" s="166"/>
      <c r="F759" s="206"/>
      <c r="G759" s="167"/>
      <c r="H759" s="166"/>
      <c r="I759" s="167"/>
      <c r="J759" s="168"/>
      <c r="K759" s="169"/>
      <c r="L759" s="207"/>
    </row>
    <row r="760">
      <c r="A760" s="203"/>
      <c r="B760" s="204"/>
      <c r="C760" s="205"/>
      <c r="D760" s="205"/>
      <c r="E760" s="166"/>
      <c r="F760" s="206"/>
      <c r="G760" s="167"/>
      <c r="H760" s="166"/>
      <c r="I760" s="167"/>
      <c r="J760" s="168"/>
      <c r="K760" s="169"/>
      <c r="L760" s="207"/>
    </row>
    <row r="761">
      <c r="A761" s="203"/>
      <c r="B761" s="204"/>
      <c r="C761" s="205"/>
      <c r="D761" s="205"/>
      <c r="E761" s="166"/>
      <c r="F761" s="206"/>
      <c r="G761" s="167"/>
      <c r="H761" s="166"/>
      <c r="I761" s="167"/>
      <c r="J761" s="168"/>
      <c r="K761" s="169"/>
      <c r="L761" s="207"/>
    </row>
    <row r="762">
      <c r="A762" s="203"/>
      <c r="B762" s="204"/>
      <c r="C762" s="205"/>
      <c r="D762" s="205"/>
      <c r="E762" s="166"/>
      <c r="F762" s="206"/>
      <c r="G762" s="167"/>
      <c r="H762" s="166"/>
      <c r="I762" s="167"/>
      <c r="J762" s="168"/>
      <c r="K762" s="169"/>
      <c r="L762" s="207"/>
    </row>
    <row r="763">
      <c r="A763" s="203"/>
      <c r="B763" s="204"/>
      <c r="C763" s="205"/>
      <c r="D763" s="205"/>
      <c r="E763" s="166"/>
      <c r="F763" s="206"/>
      <c r="G763" s="167"/>
      <c r="H763" s="166"/>
      <c r="I763" s="167"/>
      <c r="J763" s="168"/>
      <c r="K763" s="169"/>
      <c r="L763" s="207"/>
    </row>
    <row r="764">
      <c r="A764" s="203"/>
      <c r="B764" s="204"/>
      <c r="C764" s="205"/>
      <c r="D764" s="205"/>
      <c r="E764" s="166"/>
      <c r="F764" s="206"/>
      <c r="G764" s="167"/>
      <c r="H764" s="166"/>
      <c r="I764" s="167"/>
      <c r="J764" s="168"/>
      <c r="K764" s="169"/>
      <c r="L764" s="207"/>
    </row>
    <row r="765">
      <c r="A765" s="203"/>
      <c r="B765" s="204"/>
      <c r="C765" s="205"/>
      <c r="D765" s="205"/>
      <c r="E765" s="166"/>
      <c r="F765" s="206"/>
      <c r="G765" s="167"/>
      <c r="H765" s="166"/>
      <c r="I765" s="167"/>
      <c r="J765" s="168"/>
      <c r="K765" s="169"/>
      <c r="L765" s="207"/>
    </row>
    <row r="766">
      <c r="A766" s="203"/>
      <c r="B766" s="204"/>
      <c r="C766" s="205"/>
      <c r="D766" s="205"/>
      <c r="E766" s="166"/>
      <c r="F766" s="206"/>
      <c r="G766" s="167"/>
      <c r="H766" s="166"/>
      <c r="I766" s="167"/>
      <c r="J766" s="168"/>
      <c r="K766" s="169"/>
      <c r="L766" s="207"/>
    </row>
    <row r="767">
      <c r="A767" s="203"/>
      <c r="B767" s="204"/>
      <c r="C767" s="205"/>
      <c r="D767" s="205"/>
      <c r="E767" s="166"/>
      <c r="F767" s="206"/>
      <c r="G767" s="167"/>
      <c r="H767" s="166"/>
      <c r="I767" s="167"/>
      <c r="J767" s="168"/>
      <c r="K767" s="169"/>
      <c r="L767" s="207"/>
    </row>
    <row r="768">
      <c r="A768" s="203"/>
      <c r="B768" s="204"/>
      <c r="C768" s="205"/>
      <c r="D768" s="205"/>
      <c r="E768" s="166"/>
      <c r="F768" s="206"/>
      <c r="G768" s="167"/>
      <c r="H768" s="166"/>
      <c r="I768" s="167"/>
      <c r="J768" s="168"/>
      <c r="K768" s="169"/>
      <c r="L768" s="207"/>
    </row>
    <row r="769">
      <c r="A769" s="203"/>
      <c r="B769" s="204"/>
      <c r="C769" s="205"/>
      <c r="D769" s="205"/>
      <c r="E769" s="166"/>
      <c r="F769" s="206"/>
      <c r="G769" s="167"/>
      <c r="H769" s="166"/>
      <c r="I769" s="167"/>
      <c r="J769" s="168"/>
      <c r="K769" s="169"/>
      <c r="L769" s="207"/>
    </row>
    <row r="770">
      <c r="A770" s="203"/>
      <c r="B770" s="204"/>
      <c r="C770" s="205"/>
      <c r="D770" s="205"/>
      <c r="E770" s="166"/>
      <c r="F770" s="206"/>
      <c r="G770" s="167"/>
      <c r="H770" s="166"/>
      <c r="I770" s="167"/>
      <c r="J770" s="168"/>
      <c r="K770" s="169"/>
      <c r="L770" s="207"/>
    </row>
    <row r="771">
      <c r="A771" s="203"/>
      <c r="B771" s="204"/>
      <c r="C771" s="205"/>
      <c r="D771" s="205"/>
      <c r="E771" s="166"/>
      <c r="F771" s="206"/>
      <c r="G771" s="167"/>
      <c r="H771" s="166"/>
      <c r="I771" s="167"/>
      <c r="J771" s="168"/>
      <c r="K771" s="169"/>
      <c r="L771" s="207"/>
    </row>
    <row r="772">
      <c r="A772" s="203"/>
      <c r="B772" s="204"/>
      <c r="C772" s="205"/>
      <c r="D772" s="205"/>
      <c r="E772" s="166"/>
      <c r="F772" s="206"/>
      <c r="G772" s="167"/>
      <c r="H772" s="166"/>
      <c r="I772" s="167"/>
      <c r="J772" s="168"/>
      <c r="K772" s="169"/>
      <c r="L772" s="207"/>
    </row>
    <row r="773">
      <c r="A773" s="203"/>
      <c r="B773" s="204"/>
      <c r="C773" s="205"/>
      <c r="D773" s="205"/>
      <c r="E773" s="166"/>
      <c r="F773" s="206"/>
      <c r="G773" s="167"/>
      <c r="H773" s="166"/>
      <c r="I773" s="167"/>
      <c r="J773" s="168"/>
      <c r="K773" s="169"/>
      <c r="L773" s="207"/>
    </row>
    <row r="774">
      <c r="A774" s="203"/>
      <c r="B774" s="204"/>
      <c r="C774" s="205"/>
      <c r="D774" s="205"/>
      <c r="E774" s="166"/>
      <c r="F774" s="206"/>
      <c r="G774" s="167"/>
      <c r="H774" s="166"/>
      <c r="I774" s="167"/>
      <c r="J774" s="168"/>
      <c r="K774" s="169"/>
      <c r="L774" s="207"/>
    </row>
    <row r="775">
      <c r="A775" s="203"/>
      <c r="B775" s="204"/>
      <c r="C775" s="205"/>
      <c r="D775" s="205"/>
      <c r="E775" s="166"/>
      <c r="F775" s="206"/>
      <c r="G775" s="167"/>
      <c r="H775" s="166"/>
      <c r="I775" s="167"/>
      <c r="J775" s="168"/>
      <c r="K775" s="169"/>
      <c r="L775" s="207"/>
    </row>
    <row r="776">
      <c r="A776" s="203"/>
      <c r="B776" s="204"/>
      <c r="C776" s="205"/>
      <c r="D776" s="205"/>
      <c r="E776" s="166"/>
      <c r="F776" s="206"/>
      <c r="G776" s="167"/>
      <c r="H776" s="166"/>
      <c r="I776" s="167"/>
      <c r="J776" s="168"/>
      <c r="K776" s="169"/>
      <c r="L776" s="207"/>
    </row>
    <row r="777">
      <c r="A777" s="203"/>
      <c r="B777" s="204"/>
      <c r="C777" s="205"/>
      <c r="D777" s="205"/>
      <c r="E777" s="166"/>
      <c r="F777" s="206"/>
      <c r="G777" s="167"/>
      <c r="H777" s="166"/>
      <c r="I777" s="167"/>
      <c r="J777" s="168"/>
      <c r="K777" s="169"/>
      <c r="L777" s="207"/>
    </row>
    <row r="778">
      <c r="A778" s="203"/>
      <c r="B778" s="204"/>
      <c r="C778" s="205"/>
      <c r="D778" s="205"/>
      <c r="E778" s="166"/>
      <c r="F778" s="206"/>
      <c r="G778" s="167"/>
      <c r="H778" s="166"/>
      <c r="I778" s="167"/>
      <c r="J778" s="168"/>
      <c r="K778" s="169"/>
      <c r="L778" s="207"/>
    </row>
    <row r="779">
      <c r="A779" s="203"/>
      <c r="B779" s="204"/>
      <c r="C779" s="205"/>
      <c r="D779" s="205"/>
      <c r="E779" s="166"/>
      <c r="F779" s="206"/>
      <c r="G779" s="167"/>
      <c r="H779" s="166"/>
      <c r="I779" s="167"/>
      <c r="J779" s="168"/>
      <c r="K779" s="169"/>
      <c r="L779" s="207"/>
    </row>
    <row r="780">
      <c r="A780" s="203"/>
      <c r="B780" s="204"/>
      <c r="C780" s="205"/>
      <c r="D780" s="205"/>
      <c r="E780" s="166"/>
      <c r="F780" s="206"/>
      <c r="G780" s="167"/>
      <c r="H780" s="166"/>
      <c r="I780" s="167"/>
      <c r="J780" s="168"/>
      <c r="K780" s="169"/>
      <c r="L780" s="207"/>
    </row>
    <row r="781">
      <c r="A781" s="203"/>
      <c r="B781" s="204"/>
      <c r="C781" s="205"/>
      <c r="D781" s="205"/>
      <c r="E781" s="166"/>
      <c r="F781" s="206"/>
      <c r="G781" s="167"/>
      <c r="H781" s="166"/>
      <c r="I781" s="167"/>
      <c r="J781" s="168"/>
      <c r="K781" s="169"/>
      <c r="L781" s="207"/>
    </row>
    <row r="782">
      <c r="A782" s="203"/>
      <c r="B782" s="204"/>
      <c r="C782" s="205"/>
      <c r="D782" s="205"/>
      <c r="E782" s="166"/>
      <c r="F782" s="206"/>
      <c r="G782" s="167"/>
      <c r="H782" s="166"/>
      <c r="I782" s="167"/>
      <c r="J782" s="168"/>
      <c r="K782" s="169"/>
      <c r="L782" s="207"/>
    </row>
    <row r="783">
      <c r="A783" s="203"/>
      <c r="B783" s="204"/>
      <c r="C783" s="205"/>
      <c r="D783" s="205"/>
      <c r="E783" s="166"/>
      <c r="F783" s="206"/>
      <c r="G783" s="167"/>
      <c r="H783" s="166"/>
      <c r="I783" s="167"/>
      <c r="J783" s="168"/>
      <c r="K783" s="169"/>
      <c r="L783" s="207"/>
    </row>
    <row r="784">
      <c r="A784" s="203"/>
      <c r="B784" s="204"/>
      <c r="C784" s="205"/>
      <c r="D784" s="205"/>
      <c r="E784" s="166"/>
      <c r="F784" s="206"/>
      <c r="G784" s="167"/>
      <c r="H784" s="166"/>
      <c r="I784" s="167"/>
      <c r="J784" s="168"/>
      <c r="K784" s="169"/>
      <c r="L784" s="207"/>
    </row>
    <row r="785">
      <c r="A785" s="203"/>
      <c r="B785" s="204"/>
      <c r="C785" s="205"/>
      <c r="D785" s="205"/>
      <c r="E785" s="166"/>
      <c r="F785" s="206"/>
      <c r="G785" s="167"/>
      <c r="H785" s="166"/>
      <c r="I785" s="167"/>
      <c r="J785" s="168"/>
      <c r="K785" s="169"/>
      <c r="L785" s="207"/>
    </row>
    <row r="786">
      <c r="A786" s="203"/>
      <c r="B786" s="204"/>
      <c r="C786" s="205"/>
      <c r="D786" s="205"/>
      <c r="E786" s="166"/>
      <c r="F786" s="206"/>
      <c r="G786" s="167"/>
      <c r="H786" s="166"/>
      <c r="I786" s="167"/>
      <c r="J786" s="168"/>
      <c r="K786" s="169"/>
      <c r="L786" s="207"/>
    </row>
    <row r="787">
      <c r="A787" s="203"/>
      <c r="B787" s="204"/>
      <c r="C787" s="205"/>
      <c r="D787" s="205"/>
      <c r="E787" s="166"/>
      <c r="F787" s="206"/>
      <c r="G787" s="167"/>
      <c r="H787" s="166"/>
      <c r="I787" s="167"/>
      <c r="J787" s="168"/>
      <c r="K787" s="169"/>
      <c r="L787" s="207"/>
    </row>
    <row r="788">
      <c r="A788" s="203"/>
      <c r="B788" s="204"/>
      <c r="C788" s="205"/>
      <c r="D788" s="205"/>
      <c r="E788" s="166"/>
      <c r="F788" s="206"/>
      <c r="G788" s="167"/>
      <c r="H788" s="166"/>
      <c r="I788" s="167"/>
      <c r="J788" s="168"/>
      <c r="K788" s="169"/>
      <c r="L788" s="207"/>
    </row>
    <row r="789">
      <c r="A789" s="203"/>
      <c r="B789" s="204"/>
      <c r="C789" s="205"/>
      <c r="D789" s="205"/>
      <c r="E789" s="166"/>
      <c r="F789" s="206"/>
      <c r="G789" s="167"/>
      <c r="H789" s="166"/>
      <c r="I789" s="167"/>
      <c r="J789" s="168"/>
      <c r="K789" s="169"/>
      <c r="L789" s="207"/>
    </row>
    <row r="790">
      <c r="A790" s="203"/>
      <c r="B790" s="204"/>
      <c r="C790" s="205"/>
      <c r="D790" s="205"/>
      <c r="E790" s="166"/>
      <c r="F790" s="206"/>
      <c r="G790" s="167"/>
      <c r="H790" s="166"/>
      <c r="I790" s="167"/>
      <c r="J790" s="168"/>
      <c r="K790" s="169"/>
      <c r="L790" s="207"/>
    </row>
    <row r="791">
      <c r="A791" s="203"/>
      <c r="B791" s="204"/>
      <c r="C791" s="205"/>
      <c r="D791" s="205"/>
      <c r="E791" s="166"/>
      <c r="F791" s="206"/>
      <c r="G791" s="167"/>
      <c r="H791" s="166"/>
      <c r="I791" s="167"/>
      <c r="J791" s="168"/>
      <c r="K791" s="169"/>
      <c r="L791" s="207"/>
    </row>
    <row r="792">
      <c r="A792" s="203"/>
      <c r="B792" s="204"/>
      <c r="C792" s="205"/>
      <c r="D792" s="205"/>
      <c r="E792" s="166"/>
      <c r="F792" s="206"/>
      <c r="G792" s="167"/>
      <c r="H792" s="166"/>
      <c r="I792" s="167"/>
      <c r="J792" s="168"/>
      <c r="K792" s="169"/>
      <c r="L792" s="207"/>
    </row>
    <row r="793">
      <c r="A793" s="203"/>
      <c r="B793" s="204"/>
      <c r="C793" s="205"/>
      <c r="D793" s="205"/>
      <c r="E793" s="166"/>
      <c r="F793" s="206"/>
      <c r="G793" s="167"/>
      <c r="H793" s="166"/>
      <c r="I793" s="167"/>
      <c r="J793" s="168"/>
      <c r="K793" s="169"/>
      <c r="L793" s="207"/>
    </row>
    <row r="794">
      <c r="A794" s="203"/>
      <c r="B794" s="204"/>
      <c r="C794" s="205"/>
      <c r="D794" s="205"/>
      <c r="E794" s="166"/>
      <c r="F794" s="206"/>
      <c r="G794" s="167"/>
      <c r="H794" s="166"/>
      <c r="I794" s="167"/>
      <c r="J794" s="168"/>
      <c r="K794" s="169"/>
      <c r="L794" s="207"/>
    </row>
    <row r="795">
      <c r="A795" s="203"/>
      <c r="B795" s="204"/>
      <c r="C795" s="205"/>
      <c r="D795" s="205"/>
      <c r="E795" s="166"/>
      <c r="F795" s="206"/>
      <c r="G795" s="167"/>
      <c r="H795" s="166"/>
      <c r="I795" s="167"/>
      <c r="J795" s="168"/>
      <c r="K795" s="169"/>
      <c r="L795" s="207"/>
    </row>
    <row r="796">
      <c r="A796" s="203"/>
      <c r="B796" s="204"/>
      <c r="C796" s="205"/>
      <c r="D796" s="205"/>
      <c r="E796" s="166"/>
      <c r="F796" s="206"/>
      <c r="G796" s="167"/>
      <c r="H796" s="166"/>
      <c r="I796" s="167"/>
      <c r="J796" s="168"/>
      <c r="K796" s="169"/>
      <c r="L796" s="207"/>
    </row>
    <row r="797">
      <c r="A797" s="203"/>
      <c r="B797" s="204"/>
      <c r="C797" s="205"/>
      <c r="D797" s="205"/>
      <c r="E797" s="166"/>
      <c r="F797" s="206"/>
      <c r="G797" s="167"/>
      <c r="H797" s="166"/>
      <c r="I797" s="167"/>
      <c r="J797" s="168"/>
      <c r="K797" s="169"/>
      <c r="L797" s="207"/>
    </row>
    <row r="798">
      <c r="A798" s="203"/>
      <c r="B798" s="204"/>
      <c r="C798" s="205"/>
      <c r="D798" s="205"/>
      <c r="E798" s="166"/>
      <c r="F798" s="206"/>
      <c r="G798" s="167"/>
      <c r="H798" s="166"/>
      <c r="I798" s="167"/>
      <c r="J798" s="168"/>
      <c r="K798" s="169"/>
      <c r="L798" s="207"/>
    </row>
    <row r="799">
      <c r="A799" s="203"/>
      <c r="B799" s="204"/>
      <c r="C799" s="205"/>
      <c r="D799" s="205"/>
      <c r="E799" s="166"/>
      <c r="F799" s="206"/>
      <c r="G799" s="167"/>
      <c r="H799" s="166"/>
      <c r="I799" s="167"/>
      <c r="J799" s="168"/>
      <c r="K799" s="169"/>
      <c r="L799" s="207"/>
    </row>
    <row r="800">
      <c r="A800" s="203"/>
      <c r="B800" s="204"/>
      <c r="C800" s="205"/>
      <c r="D800" s="205"/>
      <c r="E800" s="166"/>
      <c r="F800" s="206"/>
      <c r="G800" s="167"/>
      <c r="H800" s="166"/>
      <c r="I800" s="167"/>
      <c r="J800" s="168"/>
      <c r="K800" s="169"/>
      <c r="L800" s="207"/>
    </row>
    <row r="801">
      <c r="A801" s="203"/>
      <c r="B801" s="204"/>
      <c r="C801" s="205"/>
      <c r="D801" s="205"/>
      <c r="E801" s="166"/>
      <c r="F801" s="206"/>
      <c r="G801" s="167"/>
      <c r="H801" s="166"/>
      <c r="I801" s="167"/>
      <c r="J801" s="168"/>
      <c r="K801" s="169"/>
      <c r="L801" s="207"/>
    </row>
    <row r="802">
      <c r="A802" s="203"/>
      <c r="B802" s="204"/>
      <c r="C802" s="205"/>
      <c r="D802" s="205"/>
      <c r="E802" s="166"/>
      <c r="F802" s="206"/>
      <c r="G802" s="167"/>
      <c r="H802" s="166"/>
      <c r="I802" s="167"/>
      <c r="J802" s="168"/>
      <c r="K802" s="169"/>
      <c r="L802" s="207"/>
    </row>
    <row r="803">
      <c r="A803" s="203"/>
      <c r="B803" s="204"/>
      <c r="C803" s="205"/>
      <c r="D803" s="205"/>
      <c r="E803" s="166"/>
      <c r="F803" s="206"/>
      <c r="G803" s="167"/>
      <c r="H803" s="166"/>
      <c r="I803" s="167"/>
      <c r="J803" s="168"/>
      <c r="K803" s="169"/>
      <c r="L803" s="207"/>
    </row>
    <row r="804">
      <c r="A804" s="203"/>
      <c r="B804" s="204"/>
      <c r="C804" s="205"/>
      <c r="D804" s="205"/>
      <c r="E804" s="166"/>
      <c r="F804" s="206"/>
      <c r="G804" s="167"/>
      <c r="H804" s="166"/>
      <c r="I804" s="167"/>
      <c r="J804" s="168"/>
      <c r="K804" s="169"/>
      <c r="L804" s="207"/>
    </row>
    <row r="805">
      <c r="A805" s="203"/>
      <c r="B805" s="204"/>
      <c r="C805" s="205"/>
      <c r="D805" s="205"/>
      <c r="E805" s="166"/>
      <c r="F805" s="206"/>
      <c r="G805" s="167"/>
      <c r="H805" s="166"/>
      <c r="I805" s="167"/>
      <c r="J805" s="168"/>
      <c r="K805" s="169"/>
      <c r="L805" s="207"/>
    </row>
    <row r="806">
      <c r="A806" s="203"/>
      <c r="B806" s="204"/>
      <c r="C806" s="205"/>
      <c r="D806" s="205"/>
      <c r="E806" s="166"/>
      <c r="F806" s="206"/>
      <c r="G806" s="167"/>
      <c r="H806" s="166"/>
      <c r="I806" s="167"/>
      <c r="J806" s="168"/>
      <c r="K806" s="169"/>
      <c r="L806" s="207"/>
    </row>
    <row r="807">
      <c r="A807" s="203"/>
      <c r="B807" s="204"/>
      <c r="C807" s="205"/>
      <c r="D807" s="205"/>
      <c r="E807" s="166"/>
      <c r="F807" s="206"/>
      <c r="G807" s="167"/>
      <c r="H807" s="166"/>
      <c r="I807" s="167"/>
      <c r="J807" s="168"/>
      <c r="K807" s="169"/>
      <c r="L807" s="207"/>
    </row>
    <row r="808">
      <c r="A808" s="203"/>
      <c r="B808" s="204"/>
      <c r="C808" s="205"/>
      <c r="D808" s="205"/>
      <c r="E808" s="166"/>
      <c r="F808" s="206"/>
      <c r="G808" s="167"/>
      <c r="H808" s="166"/>
      <c r="I808" s="167"/>
      <c r="J808" s="168"/>
      <c r="K808" s="169"/>
      <c r="L808" s="207"/>
    </row>
    <row r="809">
      <c r="A809" s="203"/>
      <c r="B809" s="204"/>
      <c r="C809" s="205"/>
      <c r="D809" s="205"/>
      <c r="E809" s="166"/>
      <c r="F809" s="206"/>
      <c r="G809" s="167"/>
      <c r="H809" s="166"/>
      <c r="I809" s="167"/>
      <c r="J809" s="168"/>
      <c r="K809" s="169"/>
      <c r="L809" s="207"/>
    </row>
    <row r="810">
      <c r="A810" s="203"/>
      <c r="B810" s="204"/>
      <c r="C810" s="205"/>
      <c r="D810" s="205"/>
      <c r="E810" s="166"/>
      <c r="F810" s="206"/>
      <c r="G810" s="167"/>
      <c r="H810" s="166"/>
      <c r="I810" s="167"/>
      <c r="J810" s="168"/>
      <c r="K810" s="169"/>
      <c r="L810" s="207"/>
    </row>
    <row r="811">
      <c r="A811" s="203"/>
      <c r="B811" s="204"/>
      <c r="C811" s="205"/>
      <c r="D811" s="205"/>
      <c r="E811" s="166"/>
      <c r="F811" s="206"/>
      <c r="G811" s="167"/>
      <c r="H811" s="166"/>
      <c r="I811" s="167"/>
      <c r="J811" s="168"/>
      <c r="K811" s="169"/>
      <c r="L811" s="207"/>
    </row>
    <row r="812">
      <c r="A812" s="203"/>
      <c r="B812" s="204"/>
      <c r="C812" s="205"/>
      <c r="D812" s="205"/>
      <c r="E812" s="166"/>
      <c r="F812" s="206"/>
      <c r="G812" s="167"/>
      <c r="H812" s="166"/>
      <c r="I812" s="167"/>
      <c r="J812" s="168"/>
      <c r="K812" s="169"/>
      <c r="L812" s="207"/>
    </row>
    <row r="813">
      <c r="A813" s="203"/>
      <c r="B813" s="204"/>
      <c r="C813" s="205"/>
      <c r="D813" s="205"/>
      <c r="E813" s="166"/>
      <c r="F813" s="206"/>
      <c r="G813" s="167"/>
      <c r="H813" s="166"/>
      <c r="I813" s="167"/>
      <c r="J813" s="168"/>
      <c r="K813" s="169"/>
      <c r="L813" s="207"/>
    </row>
    <row r="814">
      <c r="A814" s="203"/>
      <c r="B814" s="204"/>
      <c r="C814" s="205"/>
      <c r="D814" s="205"/>
      <c r="E814" s="166"/>
      <c r="F814" s="206"/>
      <c r="G814" s="167"/>
      <c r="H814" s="166"/>
      <c r="I814" s="167"/>
      <c r="J814" s="168"/>
      <c r="K814" s="169"/>
      <c r="L814" s="207"/>
    </row>
    <row r="815">
      <c r="A815" s="203"/>
      <c r="B815" s="204"/>
      <c r="C815" s="205"/>
      <c r="D815" s="205"/>
      <c r="E815" s="166"/>
      <c r="F815" s="206"/>
      <c r="G815" s="167"/>
      <c r="H815" s="166"/>
      <c r="I815" s="167"/>
      <c r="J815" s="168"/>
      <c r="K815" s="169"/>
      <c r="L815" s="207"/>
    </row>
    <row r="816">
      <c r="A816" s="203"/>
      <c r="B816" s="204"/>
      <c r="C816" s="205"/>
      <c r="D816" s="205"/>
      <c r="E816" s="166"/>
      <c r="F816" s="206"/>
      <c r="G816" s="167"/>
      <c r="H816" s="166"/>
      <c r="I816" s="167"/>
      <c r="J816" s="168"/>
      <c r="K816" s="169"/>
      <c r="L816" s="207"/>
    </row>
    <row r="817">
      <c r="A817" s="203"/>
      <c r="B817" s="204"/>
      <c r="C817" s="205"/>
      <c r="D817" s="205"/>
      <c r="E817" s="166"/>
      <c r="F817" s="206"/>
      <c r="G817" s="167"/>
      <c r="H817" s="166"/>
      <c r="I817" s="167"/>
      <c r="J817" s="168"/>
      <c r="K817" s="169"/>
      <c r="L817" s="207"/>
    </row>
    <row r="818">
      <c r="A818" s="203"/>
      <c r="B818" s="204"/>
      <c r="C818" s="205"/>
      <c r="D818" s="205"/>
      <c r="E818" s="166"/>
      <c r="F818" s="206"/>
      <c r="G818" s="167"/>
      <c r="H818" s="166"/>
      <c r="I818" s="167"/>
      <c r="J818" s="168"/>
      <c r="K818" s="169"/>
      <c r="L818" s="207"/>
    </row>
    <row r="819">
      <c r="A819" s="203"/>
      <c r="B819" s="204"/>
      <c r="C819" s="205"/>
      <c r="D819" s="205"/>
      <c r="E819" s="166"/>
      <c r="F819" s="206"/>
      <c r="G819" s="167"/>
      <c r="H819" s="166"/>
      <c r="I819" s="167"/>
      <c r="J819" s="168"/>
      <c r="K819" s="169"/>
      <c r="L819" s="207"/>
    </row>
    <row r="820">
      <c r="A820" s="203"/>
      <c r="B820" s="204"/>
      <c r="C820" s="205"/>
      <c r="D820" s="205"/>
      <c r="E820" s="166"/>
      <c r="F820" s="206"/>
      <c r="G820" s="167"/>
      <c r="H820" s="166"/>
      <c r="I820" s="167"/>
      <c r="J820" s="168"/>
      <c r="K820" s="169"/>
      <c r="L820" s="207"/>
    </row>
    <row r="821">
      <c r="A821" s="203"/>
      <c r="B821" s="204"/>
      <c r="C821" s="205"/>
      <c r="D821" s="205"/>
      <c r="E821" s="166"/>
      <c r="F821" s="206"/>
      <c r="G821" s="167"/>
      <c r="H821" s="166"/>
      <c r="I821" s="167"/>
      <c r="J821" s="168"/>
      <c r="K821" s="169"/>
      <c r="L821" s="207"/>
    </row>
    <row r="822">
      <c r="A822" s="203"/>
      <c r="B822" s="204"/>
      <c r="C822" s="205"/>
      <c r="D822" s="205"/>
      <c r="E822" s="166"/>
      <c r="F822" s="206"/>
      <c r="G822" s="167"/>
      <c r="H822" s="166"/>
      <c r="I822" s="167"/>
      <c r="J822" s="168"/>
      <c r="K822" s="169"/>
      <c r="L822" s="207"/>
    </row>
    <row r="823">
      <c r="A823" s="203"/>
      <c r="B823" s="204"/>
      <c r="C823" s="205"/>
      <c r="D823" s="205"/>
      <c r="E823" s="166"/>
      <c r="F823" s="206"/>
      <c r="G823" s="167"/>
      <c r="H823" s="166"/>
      <c r="I823" s="167"/>
      <c r="J823" s="168"/>
      <c r="K823" s="169"/>
      <c r="L823" s="207"/>
    </row>
    <row r="824">
      <c r="A824" s="203"/>
      <c r="B824" s="204"/>
      <c r="C824" s="205"/>
      <c r="D824" s="205"/>
      <c r="E824" s="166"/>
      <c r="F824" s="206"/>
      <c r="G824" s="167"/>
      <c r="H824" s="166"/>
      <c r="I824" s="167"/>
      <c r="J824" s="168"/>
      <c r="K824" s="169"/>
      <c r="L824" s="207"/>
    </row>
    <row r="825">
      <c r="A825" s="203"/>
      <c r="B825" s="204"/>
      <c r="C825" s="205"/>
      <c r="D825" s="205"/>
      <c r="E825" s="166"/>
      <c r="F825" s="206"/>
      <c r="G825" s="167"/>
      <c r="H825" s="166"/>
      <c r="I825" s="167"/>
      <c r="J825" s="168"/>
      <c r="K825" s="169"/>
      <c r="L825" s="207"/>
    </row>
    <row r="826">
      <c r="A826" s="203"/>
      <c r="B826" s="204"/>
      <c r="C826" s="205"/>
      <c r="D826" s="205"/>
      <c r="E826" s="166"/>
      <c r="F826" s="206"/>
      <c r="G826" s="167"/>
      <c r="H826" s="166"/>
      <c r="I826" s="167"/>
      <c r="J826" s="168"/>
      <c r="K826" s="169"/>
      <c r="L826" s="207"/>
    </row>
    <row r="827">
      <c r="A827" s="203"/>
      <c r="B827" s="204"/>
      <c r="C827" s="205"/>
      <c r="D827" s="205"/>
      <c r="E827" s="166"/>
      <c r="F827" s="206"/>
      <c r="G827" s="167"/>
      <c r="H827" s="166"/>
      <c r="I827" s="167"/>
      <c r="J827" s="168"/>
      <c r="K827" s="169"/>
      <c r="L827" s="207"/>
    </row>
    <row r="828">
      <c r="A828" s="203"/>
      <c r="B828" s="204"/>
      <c r="C828" s="205"/>
      <c r="D828" s="205"/>
      <c r="E828" s="166"/>
      <c r="F828" s="206"/>
      <c r="G828" s="167"/>
      <c r="H828" s="166"/>
      <c r="I828" s="167"/>
      <c r="J828" s="168"/>
      <c r="K828" s="169"/>
      <c r="L828" s="207"/>
    </row>
    <row r="829">
      <c r="A829" s="203"/>
      <c r="B829" s="204"/>
      <c r="C829" s="205"/>
      <c r="D829" s="205"/>
      <c r="E829" s="166"/>
      <c r="F829" s="206"/>
      <c r="G829" s="167"/>
      <c r="H829" s="166"/>
      <c r="I829" s="167"/>
      <c r="J829" s="168"/>
      <c r="K829" s="169"/>
      <c r="L829" s="207"/>
    </row>
    <row r="830">
      <c r="A830" s="203"/>
      <c r="B830" s="204"/>
      <c r="C830" s="205"/>
      <c r="D830" s="205"/>
      <c r="E830" s="166"/>
      <c r="F830" s="206"/>
      <c r="G830" s="167"/>
      <c r="H830" s="166"/>
      <c r="I830" s="167"/>
      <c r="J830" s="168"/>
      <c r="K830" s="169"/>
      <c r="L830" s="207"/>
    </row>
    <row r="831">
      <c r="A831" s="203"/>
      <c r="B831" s="204"/>
      <c r="C831" s="205"/>
      <c r="D831" s="205"/>
      <c r="E831" s="166"/>
      <c r="F831" s="206"/>
      <c r="G831" s="167"/>
      <c r="H831" s="166"/>
      <c r="I831" s="167"/>
      <c r="J831" s="168"/>
      <c r="K831" s="169"/>
      <c r="L831" s="207"/>
    </row>
    <row r="832">
      <c r="A832" s="203"/>
      <c r="B832" s="204"/>
      <c r="C832" s="205"/>
      <c r="D832" s="205"/>
      <c r="E832" s="166"/>
      <c r="F832" s="206"/>
      <c r="G832" s="167"/>
      <c r="H832" s="166"/>
      <c r="I832" s="167"/>
      <c r="J832" s="168"/>
      <c r="K832" s="169"/>
      <c r="L832" s="207"/>
    </row>
    <row r="833">
      <c r="A833" s="203"/>
      <c r="B833" s="204"/>
      <c r="C833" s="205"/>
      <c r="D833" s="205"/>
      <c r="E833" s="166"/>
      <c r="F833" s="206"/>
      <c r="G833" s="167"/>
      <c r="H833" s="166"/>
      <c r="I833" s="167"/>
      <c r="J833" s="168"/>
      <c r="K833" s="169"/>
      <c r="L833" s="207"/>
    </row>
    <row r="834">
      <c r="A834" s="203"/>
      <c r="B834" s="204"/>
      <c r="C834" s="205"/>
      <c r="D834" s="205"/>
      <c r="E834" s="166"/>
      <c r="F834" s="206"/>
      <c r="G834" s="167"/>
      <c r="H834" s="166"/>
      <c r="I834" s="167"/>
      <c r="J834" s="168"/>
      <c r="K834" s="169"/>
      <c r="L834" s="207"/>
    </row>
    <row r="835">
      <c r="A835" s="203"/>
      <c r="B835" s="204"/>
      <c r="C835" s="205"/>
      <c r="D835" s="205"/>
      <c r="E835" s="166"/>
      <c r="F835" s="206"/>
      <c r="G835" s="167"/>
      <c r="H835" s="166"/>
      <c r="I835" s="167"/>
      <c r="J835" s="168"/>
      <c r="K835" s="169"/>
      <c r="L835" s="207"/>
    </row>
    <row r="836">
      <c r="A836" s="203"/>
      <c r="B836" s="204"/>
      <c r="C836" s="205"/>
      <c r="D836" s="205"/>
      <c r="E836" s="166"/>
      <c r="F836" s="206"/>
      <c r="G836" s="167"/>
      <c r="H836" s="166"/>
      <c r="I836" s="167"/>
      <c r="J836" s="168"/>
      <c r="K836" s="169"/>
      <c r="L836" s="207"/>
    </row>
    <row r="837">
      <c r="A837" s="203"/>
      <c r="B837" s="204"/>
      <c r="C837" s="205"/>
      <c r="D837" s="205"/>
      <c r="E837" s="166"/>
      <c r="F837" s="206"/>
      <c r="G837" s="167"/>
      <c r="H837" s="166"/>
      <c r="I837" s="167"/>
      <c r="J837" s="168"/>
      <c r="K837" s="169"/>
      <c r="L837" s="207"/>
    </row>
    <row r="838">
      <c r="A838" s="203"/>
      <c r="B838" s="204"/>
      <c r="C838" s="205"/>
      <c r="D838" s="205"/>
      <c r="E838" s="166"/>
      <c r="F838" s="206"/>
      <c r="G838" s="167"/>
      <c r="H838" s="166"/>
      <c r="I838" s="167"/>
      <c r="J838" s="168"/>
      <c r="K838" s="169"/>
      <c r="L838" s="207"/>
    </row>
    <row r="839">
      <c r="A839" s="203"/>
      <c r="B839" s="204"/>
      <c r="C839" s="205"/>
      <c r="D839" s="205"/>
      <c r="E839" s="166"/>
      <c r="F839" s="206"/>
      <c r="G839" s="167"/>
      <c r="H839" s="166"/>
      <c r="I839" s="167"/>
      <c r="J839" s="168"/>
      <c r="K839" s="169"/>
      <c r="L839" s="207"/>
    </row>
    <row r="840">
      <c r="A840" s="203"/>
      <c r="B840" s="204"/>
      <c r="C840" s="205"/>
      <c r="D840" s="205"/>
      <c r="E840" s="166"/>
      <c r="F840" s="206"/>
      <c r="G840" s="167"/>
      <c r="H840" s="166"/>
      <c r="I840" s="167"/>
      <c r="J840" s="168"/>
      <c r="K840" s="169"/>
      <c r="L840" s="207"/>
    </row>
    <row r="841">
      <c r="A841" s="203"/>
      <c r="B841" s="204"/>
      <c r="C841" s="205"/>
      <c r="D841" s="205"/>
      <c r="E841" s="166"/>
      <c r="F841" s="206"/>
      <c r="G841" s="167"/>
      <c r="H841" s="166"/>
      <c r="I841" s="167"/>
      <c r="J841" s="168"/>
      <c r="K841" s="169"/>
      <c r="L841" s="207"/>
    </row>
    <row r="842">
      <c r="A842" s="203"/>
      <c r="B842" s="204"/>
      <c r="C842" s="205"/>
      <c r="D842" s="205"/>
      <c r="E842" s="166"/>
      <c r="F842" s="206"/>
      <c r="G842" s="167"/>
      <c r="H842" s="166"/>
      <c r="I842" s="167"/>
      <c r="J842" s="168"/>
      <c r="K842" s="169"/>
      <c r="L842" s="207"/>
    </row>
    <row r="843">
      <c r="A843" s="203"/>
      <c r="B843" s="204"/>
      <c r="C843" s="205"/>
      <c r="D843" s="205"/>
      <c r="E843" s="166"/>
      <c r="F843" s="206"/>
      <c r="G843" s="167"/>
      <c r="H843" s="166"/>
      <c r="I843" s="167"/>
      <c r="J843" s="168"/>
      <c r="K843" s="169"/>
      <c r="L843" s="207"/>
    </row>
    <row r="844">
      <c r="A844" s="203"/>
      <c r="B844" s="204"/>
      <c r="C844" s="205"/>
      <c r="D844" s="205"/>
      <c r="E844" s="166"/>
      <c r="F844" s="206"/>
      <c r="G844" s="167"/>
      <c r="H844" s="166"/>
      <c r="I844" s="167"/>
      <c r="J844" s="168"/>
      <c r="K844" s="169"/>
      <c r="L844" s="207"/>
    </row>
    <row r="845">
      <c r="A845" s="203"/>
      <c r="B845" s="204"/>
      <c r="C845" s="205"/>
      <c r="D845" s="205"/>
      <c r="E845" s="166"/>
      <c r="F845" s="206"/>
      <c r="G845" s="167"/>
      <c r="H845" s="166"/>
      <c r="I845" s="167"/>
      <c r="J845" s="168"/>
      <c r="K845" s="169"/>
      <c r="L845" s="207"/>
    </row>
    <row r="846">
      <c r="A846" s="203"/>
      <c r="B846" s="204"/>
      <c r="C846" s="205"/>
      <c r="D846" s="205"/>
      <c r="E846" s="166"/>
      <c r="F846" s="206"/>
      <c r="G846" s="167"/>
      <c r="H846" s="166"/>
      <c r="I846" s="167"/>
      <c r="J846" s="168"/>
      <c r="K846" s="169"/>
      <c r="L846" s="207"/>
    </row>
    <row r="847">
      <c r="A847" s="203"/>
      <c r="B847" s="204"/>
      <c r="C847" s="205"/>
      <c r="D847" s="205"/>
      <c r="E847" s="166"/>
      <c r="F847" s="206"/>
      <c r="G847" s="167"/>
      <c r="H847" s="166"/>
      <c r="I847" s="167"/>
      <c r="J847" s="168"/>
      <c r="K847" s="169"/>
      <c r="L847" s="207"/>
    </row>
    <row r="848">
      <c r="A848" s="203"/>
      <c r="B848" s="204"/>
      <c r="C848" s="205"/>
      <c r="D848" s="205"/>
      <c r="E848" s="166"/>
      <c r="F848" s="206"/>
      <c r="G848" s="167"/>
      <c r="H848" s="166"/>
      <c r="I848" s="167"/>
      <c r="J848" s="168"/>
      <c r="K848" s="169"/>
      <c r="L848" s="207"/>
    </row>
    <row r="849">
      <c r="A849" s="203"/>
      <c r="B849" s="204"/>
      <c r="C849" s="205"/>
      <c r="D849" s="205"/>
      <c r="E849" s="166"/>
      <c r="F849" s="206"/>
      <c r="G849" s="167"/>
      <c r="H849" s="166"/>
      <c r="I849" s="167"/>
      <c r="J849" s="168"/>
      <c r="K849" s="169"/>
      <c r="L849" s="207"/>
    </row>
    <row r="850">
      <c r="A850" s="203"/>
      <c r="B850" s="204"/>
      <c r="C850" s="205"/>
      <c r="D850" s="205"/>
      <c r="E850" s="166"/>
      <c r="F850" s="206"/>
      <c r="G850" s="167"/>
      <c r="H850" s="166"/>
      <c r="I850" s="167"/>
      <c r="J850" s="168"/>
      <c r="K850" s="169"/>
      <c r="L850" s="207"/>
    </row>
    <row r="851">
      <c r="A851" s="203"/>
      <c r="B851" s="204"/>
      <c r="C851" s="205"/>
      <c r="D851" s="205"/>
      <c r="E851" s="166"/>
      <c r="F851" s="206"/>
      <c r="G851" s="167"/>
      <c r="H851" s="166"/>
      <c r="I851" s="167"/>
      <c r="J851" s="168"/>
      <c r="K851" s="169"/>
      <c r="L851" s="207"/>
    </row>
    <row r="852">
      <c r="A852" s="203"/>
      <c r="B852" s="204"/>
      <c r="C852" s="205"/>
      <c r="D852" s="205"/>
      <c r="E852" s="166"/>
      <c r="F852" s="206"/>
      <c r="G852" s="167"/>
      <c r="H852" s="166"/>
      <c r="I852" s="167"/>
      <c r="J852" s="168"/>
      <c r="K852" s="169"/>
      <c r="L852" s="207"/>
    </row>
    <row r="853">
      <c r="A853" s="203"/>
      <c r="B853" s="204"/>
      <c r="C853" s="205"/>
      <c r="D853" s="205"/>
      <c r="E853" s="166"/>
      <c r="F853" s="206"/>
      <c r="G853" s="167"/>
      <c r="H853" s="166"/>
      <c r="I853" s="167"/>
      <c r="J853" s="168"/>
      <c r="K853" s="169"/>
      <c r="L853" s="207"/>
    </row>
    <row r="854">
      <c r="A854" s="203"/>
      <c r="B854" s="204"/>
      <c r="C854" s="205"/>
      <c r="D854" s="205"/>
      <c r="E854" s="166"/>
      <c r="F854" s="206"/>
      <c r="G854" s="167"/>
      <c r="H854" s="166"/>
      <c r="I854" s="167"/>
      <c r="J854" s="168"/>
      <c r="K854" s="169"/>
      <c r="L854" s="207"/>
    </row>
    <row r="855">
      <c r="A855" s="203"/>
      <c r="B855" s="204"/>
      <c r="C855" s="205"/>
      <c r="D855" s="205"/>
      <c r="E855" s="166"/>
      <c r="F855" s="206"/>
      <c r="G855" s="167"/>
      <c r="H855" s="166"/>
      <c r="I855" s="167"/>
      <c r="J855" s="168"/>
      <c r="K855" s="169"/>
      <c r="L855" s="207"/>
    </row>
    <row r="856">
      <c r="A856" s="203"/>
      <c r="B856" s="204"/>
      <c r="C856" s="205"/>
      <c r="D856" s="205"/>
      <c r="E856" s="166"/>
      <c r="F856" s="206"/>
      <c r="G856" s="167"/>
      <c r="H856" s="166"/>
      <c r="I856" s="167"/>
      <c r="J856" s="168"/>
      <c r="K856" s="169"/>
      <c r="L856" s="207"/>
    </row>
    <row r="857">
      <c r="A857" s="203"/>
      <c r="B857" s="204"/>
      <c r="C857" s="205"/>
      <c r="D857" s="205"/>
      <c r="E857" s="166"/>
      <c r="F857" s="206"/>
      <c r="G857" s="167"/>
      <c r="H857" s="166"/>
      <c r="I857" s="167"/>
      <c r="J857" s="168"/>
      <c r="K857" s="169"/>
      <c r="L857" s="207"/>
    </row>
    <row r="858">
      <c r="A858" s="203"/>
      <c r="B858" s="204"/>
      <c r="C858" s="205"/>
      <c r="D858" s="205"/>
      <c r="E858" s="166"/>
      <c r="F858" s="206"/>
      <c r="G858" s="167"/>
      <c r="H858" s="166"/>
      <c r="I858" s="167"/>
      <c r="J858" s="168"/>
      <c r="K858" s="169"/>
      <c r="L858" s="207"/>
    </row>
    <row r="859">
      <c r="A859" s="203"/>
      <c r="B859" s="204"/>
      <c r="C859" s="205"/>
      <c r="D859" s="205"/>
      <c r="E859" s="166"/>
      <c r="F859" s="206"/>
      <c r="G859" s="167"/>
      <c r="H859" s="166"/>
      <c r="I859" s="167"/>
      <c r="J859" s="168"/>
      <c r="K859" s="169"/>
      <c r="L859" s="207"/>
    </row>
    <row r="860">
      <c r="A860" s="203"/>
      <c r="B860" s="204"/>
      <c r="C860" s="205"/>
      <c r="D860" s="205"/>
      <c r="E860" s="166"/>
      <c r="F860" s="206"/>
      <c r="G860" s="167"/>
      <c r="H860" s="166"/>
      <c r="I860" s="167"/>
      <c r="J860" s="168"/>
      <c r="K860" s="169"/>
      <c r="L860" s="207"/>
    </row>
    <row r="861">
      <c r="A861" s="203"/>
      <c r="B861" s="204"/>
      <c r="C861" s="205"/>
      <c r="D861" s="205"/>
      <c r="E861" s="166"/>
      <c r="F861" s="206"/>
      <c r="G861" s="167"/>
      <c r="H861" s="166"/>
      <c r="I861" s="167"/>
      <c r="J861" s="168"/>
      <c r="K861" s="169"/>
      <c r="L861" s="207"/>
    </row>
    <row r="862">
      <c r="A862" s="203"/>
      <c r="B862" s="204"/>
      <c r="C862" s="205"/>
      <c r="D862" s="205"/>
      <c r="E862" s="166"/>
      <c r="F862" s="206"/>
      <c r="G862" s="167"/>
      <c r="H862" s="166"/>
      <c r="I862" s="167"/>
      <c r="J862" s="168"/>
      <c r="K862" s="169"/>
      <c r="L862" s="207"/>
    </row>
    <row r="863">
      <c r="A863" s="203"/>
      <c r="B863" s="204"/>
      <c r="C863" s="205"/>
      <c r="D863" s="205"/>
      <c r="E863" s="166"/>
      <c r="F863" s="206"/>
      <c r="G863" s="167"/>
      <c r="H863" s="166"/>
      <c r="I863" s="167"/>
      <c r="J863" s="168"/>
      <c r="K863" s="169"/>
      <c r="L863" s="207"/>
    </row>
    <row r="864">
      <c r="A864" s="203"/>
      <c r="B864" s="204"/>
      <c r="C864" s="205"/>
      <c r="D864" s="205"/>
      <c r="E864" s="166"/>
      <c r="F864" s="206"/>
      <c r="G864" s="167"/>
      <c r="H864" s="166"/>
      <c r="I864" s="167"/>
      <c r="J864" s="168"/>
      <c r="K864" s="169"/>
      <c r="L864" s="207"/>
    </row>
    <row r="865">
      <c r="A865" s="203"/>
      <c r="B865" s="204"/>
      <c r="C865" s="205"/>
      <c r="D865" s="205"/>
      <c r="E865" s="166"/>
      <c r="F865" s="206"/>
      <c r="G865" s="167"/>
      <c r="H865" s="166"/>
      <c r="I865" s="167"/>
      <c r="J865" s="168"/>
      <c r="K865" s="169"/>
      <c r="L865" s="207"/>
    </row>
    <row r="866">
      <c r="A866" s="203"/>
      <c r="B866" s="204"/>
      <c r="C866" s="205"/>
      <c r="D866" s="205"/>
      <c r="E866" s="166"/>
      <c r="F866" s="206"/>
      <c r="G866" s="167"/>
      <c r="H866" s="166"/>
      <c r="I866" s="167"/>
      <c r="J866" s="168"/>
      <c r="K866" s="169"/>
      <c r="L866" s="207"/>
    </row>
    <row r="867">
      <c r="A867" s="203"/>
      <c r="B867" s="204"/>
      <c r="C867" s="205"/>
      <c r="D867" s="205"/>
      <c r="E867" s="166"/>
      <c r="F867" s="206"/>
      <c r="G867" s="167"/>
      <c r="H867" s="166"/>
      <c r="I867" s="167"/>
      <c r="J867" s="168"/>
      <c r="K867" s="169"/>
      <c r="L867" s="207"/>
    </row>
    <row r="868">
      <c r="A868" s="203"/>
      <c r="B868" s="204"/>
      <c r="C868" s="205"/>
      <c r="D868" s="205"/>
      <c r="E868" s="166"/>
      <c r="F868" s="206"/>
      <c r="G868" s="167"/>
      <c r="H868" s="166"/>
      <c r="I868" s="167"/>
      <c r="J868" s="168"/>
      <c r="K868" s="169"/>
      <c r="L868" s="207"/>
    </row>
    <row r="869">
      <c r="A869" s="203"/>
      <c r="B869" s="204"/>
      <c r="C869" s="205"/>
      <c r="D869" s="205"/>
      <c r="E869" s="166"/>
      <c r="F869" s="206"/>
      <c r="G869" s="167"/>
      <c r="H869" s="166"/>
      <c r="I869" s="167"/>
      <c r="J869" s="168"/>
      <c r="K869" s="169"/>
      <c r="L869" s="207"/>
    </row>
    <row r="870">
      <c r="A870" s="203"/>
      <c r="B870" s="204"/>
      <c r="C870" s="205"/>
      <c r="D870" s="205"/>
      <c r="E870" s="166"/>
      <c r="F870" s="206"/>
      <c r="G870" s="167"/>
      <c r="H870" s="166"/>
      <c r="I870" s="167"/>
      <c r="J870" s="168"/>
      <c r="K870" s="169"/>
      <c r="L870" s="207"/>
    </row>
    <row r="871">
      <c r="A871" s="203"/>
      <c r="B871" s="204"/>
      <c r="C871" s="205"/>
      <c r="D871" s="205"/>
      <c r="E871" s="166"/>
      <c r="F871" s="206"/>
      <c r="G871" s="167"/>
      <c r="H871" s="166"/>
      <c r="I871" s="167"/>
      <c r="J871" s="168"/>
      <c r="K871" s="169"/>
      <c r="L871" s="207"/>
    </row>
    <row r="872">
      <c r="A872" s="203"/>
      <c r="B872" s="204"/>
      <c r="C872" s="205"/>
      <c r="D872" s="205"/>
      <c r="E872" s="166"/>
      <c r="F872" s="206"/>
      <c r="G872" s="167"/>
      <c r="H872" s="166"/>
      <c r="I872" s="167"/>
      <c r="J872" s="168"/>
      <c r="K872" s="169"/>
      <c r="L872" s="207"/>
    </row>
    <row r="873">
      <c r="A873" s="203"/>
      <c r="B873" s="204"/>
      <c r="C873" s="205"/>
      <c r="D873" s="205"/>
      <c r="E873" s="166"/>
      <c r="F873" s="206"/>
      <c r="G873" s="167"/>
      <c r="H873" s="166"/>
      <c r="I873" s="167"/>
      <c r="J873" s="168"/>
      <c r="K873" s="169"/>
      <c r="L873" s="207"/>
    </row>
    <row r="874">
      <c r="A874" s="203"/>
      <c r="B874" s="204"/>
      <c r="C874" s="205"/>
      <c r="D874" s="205"/>
      <c r="E874" s="166"/>
      <c r="F874" s="206"/>
      <c r="G874" s="167"/>
      <c r="H874" s="166"/>
      <c r="I874" s="167"/>
      <c r="J874" s="168"/>
      <c r="K874" s="169"/>
      <c r="L874" s="207"/>
    </row>
    <row r="875">
      <c r="A875" s="203"/>
      <c r="B875" s="204"/>
      <c r="C875" s="205"/>
      <c r="D875" s="205"/>
      <c r="E875" s="166"/>
      <c r="F875" s="206"/>
      <c r="G875" s="167"/>
      <c r="H875" s="166"/>
      <c r="I875" s="167"/>
      <c r="J875" s="168"/>
      <c r="K875" s="169"/>
      <c r="L875" s="207"/>
    </row>
    <row r="876">
      <c r="A876" s="203"/>
      <c r="B876" s="204"/>
      <c r="C876" s="205"/>
      <c r="D876" s="205"/>
      <c r="E876" s="166"/>
      <c r="F876" s="206"/>
      <c r="G876" s="167"/>
      <c r="H876" s="166"/>
      <c r="I876" s="167"/>
      <c r="J876" s="168"/>
      <c r="K876" s="169"/>
      <c r="L876" s="207"/>
    </row>
    <row r="877">
      <c r="A877" s="203"/>
      <c r="B877" s="204"/>
      <c r="C877" s="205"/>
      <c r="D877" s="205"/>
      <c r="E877" s="166"/>
      <c r="F877" s="206"/>
      <c r="G877" s="167"/>
      <c r="H877" s="166"/>
      <c r="I877" s="167"/>
      <c r="J877" s="168"/>
      <c r="K877" s="169"/>
      <c r="L877" s="207"/>
    </row>
    <row r="878">
      <c r="A878" s="203"/>
      <c r="B878" s="204"/>
      <c r="C878" s="205"/>
      <c r="D878" s="205"/>
      <c r="E878" s="166"/>
      <c r="F878" s="206"/>
      <c r="G878" s="167"/>
      <c r="H878" s="166"/>
      <c r="I878" s="167"/>
      <c r="J878" s="168"/>
      <c r="K878" s="169"/>
      <c r="L878" s="207"/>
    </row>
    <row r="879">
      <c r="A879" s="203"/>
      <c r="B879" s="204"/>
      <c r="C879" s="205"/>
      <c r="D879" s="205"/>
      <c r="E879" s="166"/>
      <c r="F879" s="206"/>
      <c r="G879" s="167"/>
      <c r="H879" s="166"/>
      <c r="I879" s="167"/>
      <c r="J879" s="168"/>
      <c r="K879" s="169"/>
      <c r="L879" s="207"/>
    </row>
    <row r="880">
      <c r="A880" s="203"/>
      <c r="B880" s="204"/>
      <c r="C880" s="205"/>
      <c r="D880" s="205"/>
      <c r="E880" s="166"/>
      <c r="F880" s="206"/>
      <c r="G880" s="167"/>
      <c r="H880" s="166"/>
      <c r="I880" s="167"/>
      <c r="J880" s="168"/>
      <c r="K880" s="169"/>
      <c r="L880" s="207"/>
    </row>
    <row r="881">
      <c r="A881" s="203"/>
      <c r="B881" s="204"/>
      <c r="C881" s="205"/>
      <c r="D881" s="205"/>
      <c r="E881" s="166"/>
      <c r="F881" s="206"/>
      <c r="G881" s="167"/>
      <c r="H881" s="166"/>
      <c r="I881" s="167"/>
      <c r="J881" s="168"/>
      <c r="K881" s="169"/>
      <c r="L881" s="207"/>
    </row>
    <row r="882">
      <c r="A882" s="203"/>
      <c r="B882" s="204"/>
      <c r="C882" s="205"/>
      <c r="D882" s="205"/>
      <c r="E882" s="166"/>
      <c r="F882" s="206"/>
      <c r="G882" s="167"/>
      <c r="H882" s="166"/>
      <c r="I882" s="167"/>
      <c r="J882" s="168"/>
      <c r="K882" s="169"/>
      <c r="L882" s="207"/>
    </row>
    <row r="883">
      <c r="A883" s="203"/>
      <c r="B883" s="204"/>
      <c r="C883" s="205"/>
      <c r="D883" s="205"/>
      <c r="E883" s="166"/>
      <c r="F883" s="206"/>
      <c r="G883" s="167"/>
      <c r="H883" s="166"/>
      <c r="I883" s="167"/>
      <c r="J883" s="168"/>
      <c r="K883" s="169"/>
      <c r="L883" s="207"/>
    </row>
    <row r="884">
      <c r="A884" s="203"/>
      <c r="B884" s="204"/>
      <c r="C884" s="205"/>
      <c r="D884" s="205"/>
      <c r="E884" s="166"/>
      <c r="F884" s="206"/>
      <c r="G884" s="167"/>
      <c r="H884" s="166"/>
      <c r="I884" s="167"/>
      <c r="J884" s="168"/>
      <c r="K884" s="169"/>
      <c r="L884" s="207"/>
    </row>
    <row r="885">
      <c r="A885" s="203"/>
      <c r="B885" s="204"/>
      <c r="C885" s="205"/>
      <c r="D885" s="205"/>
      <c r="E885" s="166"/>
      <c r="F885" s="206"/>
      <c r="G885" s="167"/>
      <c r="H885" s="166"/>
      <c r="I885" s="167"/>
      <c r="J885" s="168"/>
      <c r="K885" s="169"/>
      <c r="L885" s="207"/>
    </row>
    <row r="886">
      <c r="A886" s="203"/>
      <c r="B886" s="204"/>
      <c r="C886" s="205"/>
      <c r="D886" s="205"/>
      <c r="E886" s="166"/>
      <c r="F886" s="206"/>
      <c r="G886" s="167"/>
      <c r="H886" s="166"/>
      <c r="I886" s="167"/>
      <c r="J886" s="168"/>
      <c r="K886" s="169"/>
      <c r="L886" s="207"/>
    </row>
    <row r="887">
      <c r="A887" s="203"/>
      <c r="B887" s="204"/>
      <c r="C887" s="205"/>
      <c r="D887" s="205"/>
      <c r="E887" s="166"/>
      <c r="F887" s="206"/>
      <c r="G887" s="167"/>
      <c r="H887" s="166"/>
      <c r="I887" s="167"/>
      <c r="J887" s="168"/>
      <c r="K887" s="169"/>
      <c r="L887" s="207"/>
    </row>
    <row r="888">
      <c r="A888" s="203"/>
      <c r="B888" s="204"/>
      <c r="C888" s="205"/>
      <c r="D888" s="205"/>
      <c r="E888" s="166"/>
      <c r="F888" s="206"/>
      <c r="G888" s="167"/>
      <c r="H888" s="166"/>
      <c r="I888" s="167"/>
      <c r="J888" s="168"/>
      <c r="K888" s="169"/>
      <c r="L888" s="207"/>
    </row>
    <row r="889">
      <c r="A889" s="203"/>
      <c r="B889" s="204"/>
      <c r="C889" s="205"/>
      <c r="D889" s="205"/>
      <c r="E889" s="166"/>
      <c r="F889" s="206"/>
      <c r="G889" s="167"/>
      <c r="H889" s="166"/>
      <c r="I889" s="167"/>
      <c r="J889" s="168"/>
      <c r="K889" s="169"/>
      <c r="L889" s="207"/>
    </row>
    <row r="890">
      <c r="A890" s="203"/>
      <c r="B890" s="204"/>
      <c r="C890" s="205"/>
      <c r="D890" s="205"/>
      <c r="E890" s="166"/>
      <c r="F890" s="206"/>
      <c r="G890" s="167"/>
      <c r="H890" s="166"/>
      <c r="I890" s="167"/>
      <c r="J890" s="168"/>
      <c r="K890" s="169"/>
      <c r="L890" s="207"/>
    </row>
    <row r="891">
      <c r="A891" s="203"/>
      <c r="B891" s="204"/>
      <c r="C891" s="205"/>
      <c r="D891" s="205"/>
      <c r="E891" s="166"/>
      <c r="F891" s="206"/>
      <c r="G891" s="167"/>
      <c r="H891" s="166"/>
      <c r="I891" s="167"/>
      <c r="J891" s="168"/>
      <c r="K891" s="169"/>
      <c r="L891" s="207"/>
    </row>
    <row r="892">
      <c r="A892" s="203"/>
      <c r="B892" s="204"/>
      <c r="C892" s="205"/>
      <c r="D892" s="205"/>
      <c r="E892" s="166"/>
      <c r="F892" s="206"/>
      <c r="G892" s="167"/>
      <c r="H892" s="166"/>
      <c r="I892" s="167"/>
      <c r="J892" s="168"/>
      <c r="K892" s="169"/>
      <c r="L892" s="207"/>
    </row>
    <row r="893">
      <c r="A893" s="203"/>
      <c r="B893" s="204"/>
      <c r="C893" s="205"/>
      <c r="D893" s="205"/>
      <c r="E893" s="166"/>
      <c r="F893" s="206"/>
      <c r="G893" s="167"/>
      <c r="H893" s="166"/>
      <c r="I893" s="167"/>
      <c r="J893" s="168"/>
      <c r="K893" s="169"/>
      <c r="L893" s="207"/>
    </row>
    <row r="894">
      <c r="A894" s="203"/>
      <c r="B894" s="204"/>
      <c r="C894" s="205"/>
      <c r="D894" s="205"/>
      <c r="E894" s="166"/>
      <c r="F894" s="206"/>
      <c r="G894" s="167"/>
      <c r="H894" s="166"/>
      <c r="I894" s="167"/>
      <c r="J894" s="168"/>
      <c r="K894" s="169"/>
      <c r="L894" s="207"/>
    </row>
    <row r="895">
      <c r="A895" s="203"/>
      <c r="B895" s="204"/>
      <c r="C895" s="205"/>
      <c r="D895" s="205"/>
      <c r="E895" s="166"/>
      <c r="F895" s="206"/>
      <c r="G895" s="167"/>
      <c r="H895" s="166"/>
      <c r="I895" s="167"/>
      <c r="J895" s="168"/>
      <c r="K895" s="169"/>
      <c r="L895" s="207"/>
    </row>
    <row r="896">
      <c r="A896" s="203"/>
      <c r="B896" s="204"/>
      <c r="C896" s="205"/>
      <c r="D896" s="205"/>
      <c r="E896" s="166"/>
      <c r="F896" s="206"/>
      <c r="G896" s="167"/>
      <c r="H896" s="166"/>
      <c r="I896" s="167"/>
      <c r="J896" s="168"/>
      <c r="K896" s="169"/>
      <c r="L896" s="207"/>
    </row>
    <row r="897">
      <c r="A897" s="203"/>
      <c r="B897" s="204"/>
      <c r="C897" s="205"/>
      <c r="D897" s="205"/>
      <c r="E897" s="166"/>
      <c r="F897" s="206"/>
      <c r="G897" s="167"/>
      <c r="H897" s="166"/>
      <c r="I897" s="167"/>
      <c r="J897" s="168"/>
      <c r="K897" s="169"/>
      <c r="L897" s="207"/>
    </row>
    <row r="898">
      <c r="A898" s="203"/>
      <c r="B898" s="204"/>
      <c r="C898" s="205"/>
      <c r="D898" s="205"/>
      <c r="E898" s="166"/>
      <c r="F898" s="206"/>
      <c r="G898" s="167"/>
      <c r="H898" s="166"/>
      <c r="I898" s="167"/>
      <c r="J898" s="168"/>
      <c r="K898" s="169"/>
      <c r="L898" s="207"/>
    </row>
    <row r="899">
      <c r="A899" s="203"/>
      <c r="B899" s="204"/>
      <c r="C899" s="205"/>
      <c r="D899" s="205"/>
      <c r="E899" s="166"/>
      <c r="F899" s="206"/>
      <c r="G899" s="167"/>
      <c r="H899" s="166"/>
      <c r="I899" s="167"/>
      <c r="J899" s="168"/>
      <c r="K899" s="169"/>
      <c r="L899" s="207"/>
    </row>
    <row r="900">
      <c r="A900" s="203"/>
      <c r="B900" s="204"/>
      <c r="C900" s="205"/>
      <c r="D900" s="205"/>
      <c r="E900" s="166"/>
      <c r="F900" s="206"/>
      <c r="G900" s="167"/>
      <c r="H900" s="166"/>
      <c r="I900" s="167"/>
      <c r="J900" s="168"/>
      <c r="K900" s="169"/>
      <c r="L900" s="207"/>
    </row>
    <row r="901">
      <c r="A901" s="203"/>
      <c r="B901" s="204"/>
      <c r="C901" s="205"/>
      <c r="D901" s="205"/>
      <c r="E901" s="166"/>
      <c r="F901" s="206"/>
      <c r="G901" s="167"/>
      <c r="H901" s="166"/>
      <c r="I901" s="167"/>
      <c r="J901" s="168"/>
      <c r="K901" s="169"/>
      <c r="L901" s="207"/>
    </row>
    <row r="902">
      <c r="A902" s="203"/>
      <c r="B902" s="204"/>
      <c r="C902" s="205"/>
      <c r="D902" s="205"/>
      <c r="E902" s="166"/>
      <c r="F902" s="206"/>
      <c r="G902" s="167"/>
      <c r="H902" s="166"/>
      <c r="I902" s="167"/>
      <c r="J902" s="168"/>
      <c r="K902" s="169"/>
      <c r="L902" s="207"/>
    </row>
    <row r="903">
      <c r="A903" s="203"/>
      <c r="B903" s="204"/>
      <c r="C903" s="205"/>
      <c r="D903" s="205"/>
      <c r="E903" s="166"/>
      <c r="F903" s="206"/>
      <c r="G903" s="167"/>
      <c r="H903" s="166"/>
      <c r="I903" s="167"/>
      <c r="J903" s="168"/>
      <c r="K903" s="169"/>
      <c r="L903" s="207"/>
    </row>
    <row r="904">
      <c r="A904" s="203"/>
      <c r="B904" s="204"/>
      <c r="C904" s="205"/>
      <c r="D904" s="205"/>
      <c r="E904" s="166"/>
      <c r="F904" s="206"/>
      <c r="G904" s="167"/>
      <c r="H904" s="166"/>
      <c r="I904" s="167"/>
      <c r="J904" s="168"/>
      <c r="K904" s="169"/>
      <c r="L904" s="207"/>
    </row>
    <row r="905">
      <c r="A905" s="203"/>
      <c r="B905" s="204"/>
      <c r="C905" s="205"/>
      <c r="D905" s="205"/>
      <c r="E905" s="166"/>
      <c r="F905" s="206"/>
      <c r="G905" s="167"/>
      <c r="H905" s="166"/>
      <c r="I905" s="167"/>
      <c r="J905" s="168"/>
      <c r="K905" s="169"/>
      <c r="L905" s="207"/>
    </row>
    <row r="906">
      <c r="A906" s="203"/>
      <c r="B906" s="204"/>
      <c r="C906" s="205"/>
      <c r="D906" s="205"/>
      <c r="E906" s="166"/>
      <c r="F906" s="206"/>
      <c r="G906" s="167"/>
      <c r="H906" s="166"/>
      <c r="I906" s="167"/>
      <c r="J906" s="168"/>
      <c r="K906" s="169"/>
      <c r="L906" s="207"/>
    </row>
    <row r="907">
      <c r="A907" s="203"/>
      <c r="B907" s="204"/>
      <c r="C907" s="205"/>
      <c r="D907" s="205"/>
      <c r="E907" s="166"/>
      <c r="F907" s="206"/>
      <c r="G907" s="167"/>
      <c r="H907" s="166"/>
      <c r="I907" s="167"/>
      <c r="J907" s="168"/>
      <c r="K907" s="169"/>
      <c r="L907" s="207"/>
    </row>
    <row r="908">
      <c r="A908" s="203"/>
      <c r="B908" s="204"/>
      <c r="C908" s="205"/>
      <c r="D908" s="205"/>
      <c r="E908" s="166"/>
      <c r="F908" s="206"/>
      <c r="G908" s="167"/>
      <c r="H908" s="166"/>
      <c r="I908" s="167"/>
      <c r="J908" s="168"/>
      <c r="K908" s="169"/>
      <c r="L908" s="207"/>
    </row>
    <row r="909">
      <c r="A909" s="203"/>
      <c r="B909" s="204"/>
      <c r="C909" s="205"/>
      <c r="D909" s="205"/>
      <c r="E909" s="166"/>
      <c r="F909" s="206"/>
      <c r="G909" s="167"/>
      <c r="H909" s="166"/>
      <c r="I909" s="167"/>
      <c r="J909" s="168"/>
      <c r="K909" s="169"/>
      <c r="L909" s="207"/>
    </row>
    <row r="910">
      <c r="A910" s="203"/>
      <c r="B910" s="204"/>
      <c r="C910" s="205"/>
      <c r="D910" s="205"/>
      <c r="E910" s="166"/>
      <c r="F910" s="206"/>
      <c r="G910" s="167"/>
      <c r="H910" s="166"/>
      <c r="I910" s="167"/>
      <c r="J910" s="168"/>
      <c r="K910" s="169"/>
      <c r="L910" s="207"/>
    </row>
    <row r="911">
      <c r="A911" s="203"/>
      <c r="B911" s="204"/>
      <c r="C911" s="205"/>
      <c r="D911" s="205"/>
      <c r="E911" s="166"/>
      <c r="F911" s="206"/>
      <c r="G911" s="167"/>
      <c r="H911" s="166"/>
      <c r="I911" s="167"/>
      <c r="J911" s="168"/>
      <c r="K911" s="169"/>
      <c r="L911" s="207"/>
    </row>
    <row r="912">
      <c r="A912" s="203"/>
      <c r="B912" s="204"/>
      <c r="C912" s="205"/>
      <c r="D912" s="205"/>
      <c r="E912" s="166"/>
      <c r="F912" s="206"/>
      <c r="G912" s="167"/>
      <c r="H912" s="166"/>
      <c r="I912" s="167"/>
      <c r="J912" s="168"/>
      <c r="K912" s="169"/>
      <c r="L912" s="207"/>
    </row>
    <row r="913">
      <c r="A913" s="203"/>
      <c r="B913" s="204"/>
      <c r="C913" s="205"/>
      <c r="D913" s="205"/>
      <c r="E913" s="166"/>
      <c r="F913" s="206"/>
      <c r="G913" s="167"/>
      <c r="H913" s="166"/>
      <c r="I913" s="167"/>
      <c r="J913" s="168"/>
      <c r="K913" s="169"/>
      <c r="L913" s="207"/>
    </row>
    <row r="914">
      <c r="A914" s="203"/>
      <c r="B914" s="204"/>
      <c r="C914" s="205"/>
      <c r="D914" s="205"/>
      <c r="E914" s="166"/>
      <c r="F914" s="206"/>
      <c r="G914" s="167"/>
      <c r="H914" s="166"/>
      <c r="I914" s="167"/>
      <c r="J914" s="168"/>
      <c r="K914" s="169"/>
      <c r="L914" s="207"/>
    </row>
    <row r="915">
      <c r="A915" s="203"/>
      <c r="B915" s="204"/>
      <c r="C915" s="205"/>
      <c r="D915" s="205"/>
      <c r="E915" s="166"/>
      <c r="F915" s="206"/>
      <c r="G915" s="167"/>
      <c r="H915" s="166"/>
      <c r="I915" s="167"/>
      <c r="J915" s="168"/>
      <c r="K915" s="169"/>
      <c r="L915" s="207"/>
    </row>
    <row r="916">
      <c r="A916" s="203"/>
      <c r="B916" s="204"/>
      <c r="C916" s="205"/>
      <c r="D916" s="205"/>
      <c r="E916" s="166"/>
      <c r="F916" s="206"/>
      <c r="G916" s="167"/>
      <c r="H916" s="166"/>
      <c r="I916" s="167"/>
      <c r="J916" s="168"/>
      <c r="K916" s="169"/>
      <c r="L916" s="207"/>
    </row>
    <row r="917">
      <c r="A917" s="203"/>
      <c r="B917" s="204"/>
      <c r="C917" s="205"/>
      <c r="D917" s="205"/>
      <c r="E917" s="166"/>
      <c r="F917" s="206"/>
      <c r="G917" s="167"/>
      <c r="H917" s="166"/>
      <c r="I917" s="167"/>
      <c r="J917" s="168"/>
      <c r="K917" s="169"/>
      <c r="L917" s="207"/>
    </row>
    <row r="918">
      <c r="A918" s="203"/>
      <c r="B918" s="204"/>
      <c r="C918" s="205"/>
      <c r="D918" s="205"/>
      <c r="E918" s="166"/>
      <c r="F918" s="206"/>
      <c r="G918" s="167"/>
      <c r="H918" s="166"/>
      <c r="I918" s="167"/>
      <c r="J918" s="168"/>
      <c r="K918" s="169"/>
      <c r="L918" s="207"/>
    </row>
    <row r="919">
      <c r="A919" s="203"/>
      <c r="B919" s="204"/>
      <c r="C919" s="205"/>
      <c r="D919" s="205"/>
      <c r="E919" s="166"/>
      <c r="F919" s="206"/>
      <c r="G919" s="167"/>
      <c r="H919" s="166"/>
      <c r="I919" s="167"/>
      <c r="J919" s="168"/>
      <c r="K919" s="169"/>
      <c r="L919" s="207"/>
    </row>
    <row r="920">
      <c r="A920" s="203"/>
      <c r="B920" s="204"/>
      <c r="C920" s="205"/>
      <c r="D920" s="205"/>
      <c r="E920" s="166"/>
      <c r="F920" s="206"/>
      <c r="G920" s="167"/>
      <c r="H920" s="166"/>
      <c r="I920" s="167"/>
      <c r="J920" s="168"/>
      <c r="K920" s="169"/>
      <c r="L920" s="207"/>
    </row>
    <row r="921">
      <c r="A921" s="203"/>
      <c r="B921" s="204"/>
      <c r="C921" s="205"/>
      <c r="D921" s="205"/>
      <c r="E921" s="166"/>
      <c r="F921" s="206"/>
      <c r="G921" s="167"/>
      <c r="H921" s="166"/>
      <c r="I921" s="167"/>
      <c r="J921" s="168"/>
      <c r="K921" s="169"/>
      <c r="L921" s="207"/>
    </row>
    <row r="922">
      <c r="A922" s="203"/>
      <c r="B922" s="204"/>
      <c r="C922" s="205"/>
      <c r="D922" s="205"/>
      <c r="E922" s="166"/>
      <c r="F922" s="206"/>
      <c r="G922" s="167"/>
      <c r="H922" s="166"/>
      <c r="I922" s="167"/>
      <c r="J922" s="168"/>
      <c r="K922" s="169"/>
      <c r="L922" s="207"/>
    </row>
    <row r="923">
      <c r="A923" s="203"/>
      <c r="B923" s="204"/>
      <c r="C923" s="205"/>
      <c r="D923" s="205"/>
      <c r="E923" s="166"/>
      <c r="F923" s="206"/>
      <c r="G923" s="167"/>
      <c r="H923" s="166"/>
      <c r="I923" s="167"/>
      <c r="J923" s="168"/>
      <c r="K923" s="169"/>
      <c r="L923" s="207"/>
    </row>
    <row r="924">
      <c r="A924" s="203"/>
      <c r="B924" s="204"/>
      <c r="C924" s="205"/>
      <c r="D924" s="205"/>
      <c r="E924" s="166"/>
      <c r="F924" s="206"/>
      <c r="G924" s="167"/>
      <c r="H924" s="166"/>
      <c r="I924" s="167"/>
      <c r="J924" s="168"/>
      <c r="K924" s="169"/>
      <c r="L924" s="207"/>
    </row>
    <row r="925">
      <c r="A925" s="203"/>
      <c r="B925" s="204"/>
      <c r="C925" s="205"/>
      <c r="D925" s="205"/>
      <c r="E925" s="166"/>
      <c r="F925" s="206"/>
      <c r="G925" s="167"/>
      <c r="H925" s="166"/>
      <c r="I925" s="167"/>
      <c r="J925" s="168"/>
      <c r="K925" s="169"/>
      <c r="L925" s="207"/>
    </row>
    <row r="926">
      <c r="A926" s="203"/>
      <c r="B926" s="204"/>
      <c r="C926" s="205"/>
      <c r="D926" s="205"/>
      <c r="E926" s="166"/>
      <c r="F926" s="206"/>
      <c r="G926" s="167"/>
      <c r="H926" s="166"/>
      <c r="I926" s="167"/>
      <c r="J926" s="168"/>
      <c r="K926" s="169"/>
      <c r="L926" s="207"/>
    </row>
    <row r="927">
      <c r="A927" s="203"/>
      <c r="B927" s="204"/>
      <c r="C927" s="205"/>
      <c r="D927" s="205"/>
      <c r="E927" s="166"/>
      <c r="F927" s="206"/>
      <c r="G927" s="167"/>
      <c r="H927" s="166"/>
      <c r="I927" s="167"/>
      <c r="J927" s="168"/>
      <c r="K927" s="169"/>
      <c r="L927" s="207"/>
    </row>
    <row r="928">
      <c r="A928" s="203"/>
      <c r="B928" s="204"/>
      <c r="C928" s="205"/>
      <c r="D928" s="205"/>
      <c r="E928" s="166"/>
      <c r="F928" s="206"/>
      <c r="G928" s="167"/>
      <c r="H928" s="166"/>
      <c r="I928" s="167"/>
      <c r="J928" s="168"/>
      <c r="K928" s="169"/>
      <c r="L928" s="207"/>
    </row>
    <row r="929">
      <c r="A929" s="203"/>
      <c r="B929" s="204"/>
      <c r="C929" s="205"/>
      <c r="D929" s="205"/>
      <c r="E929" s="166"/>
      <c r="F929" s="206"/>
      <c r="G929" s="167"/>
      <c r="H929" s="166"/>
      <c r="I929" s="167"/>
      <c r="J929" s="168"/>
      <c r="K929" s="169"/>
      <c r="L929" s="207"/>
    </row>
    <row r="930">
      <c r="A930" s="203"/>
      <c r="B930" s="204"/>
      <c r="C930" s="205"/>
      <c r="D930" s="205"/>
      <c r="E930" s="166"/>
      <c r="F930" s="206"/>
      <c r="G930" s="167"/>
      <c r="H930" s="166"/>
      <c r="I930" s="167"/>
      <c r="J930" s="168"/>
      <c r="K930" s="169"/>
      <c r="L930" s="207"/>
    </row>
    <row r="931">
      <c r="A931" s="203"/>
      <c r="B931" s="204"/>
      <c r="C931" s="205"/>
      <c r="D931" s="205"/>
      <c r="E931" s="166"/>
      <c r="F931" s="206"/>
      <c r="G931" s="167"/>
      <c r="H931" s="166"/>
      <c r="I931" s="167"/>
      <c r="J931" s="168"/>
      <c r="K931" s="169"/>
      <c r="L931" s="207"/>
    </row>
    <row r="932">
      <c r="A932" s="203"/>
      <c r="B932" s="204"/>
      <c r="C932" s="205"/>
      <c r="D932" s="205"/>
      <c r="E932" s="166"/>
      <c r="F932" s="206"/>
      <c r="G932" s="167"/>
      <c r="H932" s="166"/>
      <c r="I932" s="167"/>
      <c r="J932" s="168"/>
      <c r="K932" s="169"/>
      <c r="L932" s="207"/>
    </row>
    <row r="933">
      <c r="A933" s="203"/>
      <c r="B933" s="204"/>
      <c r="C933" s="205"/>
      <c r="D933" s="205"/>
      <c r="E933" s="166"/>
      <c r="F933" s="206"/>
      <c r="G933" s="167"/>
      <c r="H933" s="166"/>
      <c r="I933" s="167"/>
      <c r="J933" s="168"/>
      <c r="K933" s="169"/>
      <c r="L933" s="207"/>
    </row>
    <row r="934">
      <c r="A934" s="203"/>
      <c r="B934" s="204"/>
      <c r="C934" s="205"/>
      <c r="D934" s="205"/>
      <c r="E934" s="166"/>
      <c r="F934" s="206"/>
      <c r="G934" s="167"/>
      <c r="H934" s="166"/>
      <c r="I934" s="167"/>
      <c r="J934" s="168"/>
      <c r="K934" s="169"/>
      <c r="L934" s="207"/>
    </row>
    <row r="935">
      <c r="A935" s="203"/>
      <c r="B935" s="204"/>
      <c r="C935" s="205"/>
      <c r="D935" s="205"/>
      <c r="E935" s="166"/>
      <c r="F935" s="206"/>
      <c r="G935" s="167"/>
      <c r="H935" s="166"/>
      <c r="I935" s="167"/>
      <c r="J935" s="168"/>
      <c r="K935" s="169"/>
      <c r="L935" s="207"/>
    </row>
    <row r="936">
      <c r="A936" s="203"/>
      <c r="B936" s="204"/>
      <c r="C936" s="205"/>
      <c r="D936" s="205"/>
      <c r="E936" s="166"/>
      <c r="F936" s="206"/>
      <c r="G936" s="167"/>
      <c r="H936" s="166"/>
      <c r="I936" s="167"/>
      <c r="J936" s="168"/>
      <c r="K936" s="169"/>
      <c r="L936" s="207"/>
    </row>
    <row r="937">
      <c r="A937" s="203"/>
      <c r="B937" s="204"/>
      <c r="C937" s="205"/>
      <c r="D937" s="205"/>
      <c r="E937" s="166"/>
      <c r="F937" s="206"/>
      <c r="G937" s="167"/>
      <c r="H937" s="166"/>
      <c r="I937" s="167"/>
      <c r="J937" s="168"/>
      <c r="K937" s="169"/>
      <c r="L937" s="207"/>
    </row>
    <row r="938">
      <c r="A938" s="203"/>
      <c r="B938" s="204"/>
      <c r="C938" s="205"/>
      <c r="D938" s="205"/>
      <c r="E938" s="166"/>
      <c r="F938" s="206"/>
      <c r="G938" s="167"/>
      <c r="H938" s="166"/>
      <c r="I938" s="167"/>
      <c r="J938" s="168"/>
      <c r="K938" s="169"/>
      <c r="L938" s="207"/>
    </row>
    <row r="939">
      <c r="A939" s="203"/>
      <c r="B939" s="204"/>
      <c r="C939" s="205"/>
      <c r="D939" s="205"/>
      <c r="E939" s="166"/>
      <c r="F939" s="206"/>
      <c r="G939" s="167"/>
      <c r="H939" s="166"/>
      <c r="I939" s="167"/>
      <c r="J939" s="168"/>
      <c r="K939" s="169"/>
      <c r="L939" s="207"/>
    </row>
    <row r="940">
      <c r="A940" s="203"/>
      <c r="B940" s="204"/>
      <c r="C940" s="205"/>
      <c r="D940" s="205"/>
      <c r="E940" s="166"/>
      <c r="F940" s="206"/>
      <c r="G940" s="167"/>
      <c r="H940" s="166"/>
      <c r="I940" s="167"/>
      <c r="J940" s="168"/>
      <c r="K940" s="169"/>
      <c r="L940" s="207"/>
    </row>
    <row r="941">
      <c r="A941" s="203"/>
      <c r="B941" s="204"/>
      <c r="C941" s="205"/>
      <c r="D941" s="205"/>
      <c r="E941" s="166"/>
      <c r="F941" s="206"/>
      <c r="G941" s="167"/>
      <c r="H941" s="166"/>
      <c r="I941" s="167"/>
      <c r="J941" s="168"/>
      <c r="K941" s="169"/>
      <c r="L941" s="207"/>
    </row>
    <row r="942">
      <c r="A942" s="203"/>
      <c r="B942" s="204"/>
      <c r="C942" s="205"/>
      <c r="D942" s="205"/>
      <c r="E942" s="166"/>
      <c r="F942" s="206"/>
      <c r="G942" s="167"/>
      <c r="H942" s="166"/>
      <c r="I942" s="167"/>
      <c r="J942" s="168"/>
      <c r="K942" s="169"/>
      <c r="L942" s="207"/>
    </row>
    <row r="943">
      <c r="A943" s="203"/>
      <c r="B943" s="204"/>
      <c r="C943" s="205"/>
      <c r="D943" s="205"/>
      <c r="E943" s="166"/>
      <c r="F943" s="206"/>
      <c r="G943" s="167"/>
      <c r="H943" s="166"/>
      <c r="I943" s="167"/>
      <c r="J943" s="168"/>
      <c r="K943" s="169"/>
      <c r="L943" s="207"/>
    </row>
    <row r="944">
      <c r="A944" s="203"/>
      <c r="B944" s="204"/>
      <c r="C944" s="205"/>
      <c r="D944" s="205"/>
      <c r="E944" s="166"/>
      <c r="F944" s="206"/>
      <c r="G944" s="167"/>
      <c r="H944" s="166"/>
      <c r="I944" s="167"/>
      <c r="J944" s="168"/>
      <c r="K944" s="169"/>
      <c r="L944" s="207"/>
    </row>
    <row r="945">
      <c r="A945" s="203"/>
      <c r="B945" s="204"/>
      <c r="C945" s="205"/>
      <c r="D945" s="205"/>
      <c r="E945" s="166"/>
      <c r="F945" s="206"/>
      <c r="G945" s="167"/>
      <c r="H945" s="166"/>
      <c r="I945" s="167"/>
      <c r="J945" s="168"/>
      <c r="K945" s="169"/>
      <c r="L945" s="207"/>
    </row>
    <row r="946">
      <c r="A946" s="203"/>
      <c r="B946" s="204"/>
      <c r="C946" s="205"/>
      <c r="D946" s="205"/>
      <c r="E946" s="166"/>
      <c r="F946" s="206"/>
      <c r="G946" s="167"/>
      <c r="H946" s="166"/>
      <c r="I946" s="167"/>
      <c r="J946" s="168"/>
      <c r="K946" s="169"/>
      <c r="L946" s="207"/>
    </row>
    <row r="947">
      <c r="A947" s="203"/>
      <c r="B947" s="204"/>
      <c r="C947" s="205"/>
      <c r="D947" s="205"/>
      <c r="E947" s="166"/>
      <c r="F947" s="206"/>
      <c r="G947" s="167"/>
      <c r="H947" s="166"/>
      <c r="I947" s="167"/>
      <c r="J947" s="168"/>
      <c r="K947" s="169"/>
      <c r="L947" s="207"/>
    </row>
    <row r="948">
      <c r="A948" s="203"/>
      <c r="B948" s="204"/>
      <c r="C948" s="205"/>
      <c r="D948" s="205"/>
      <c r="E948" s="166"/>
      <c r="F948" s="206"/>
      <c r="G948" s="167"/>
      <c r="H948" s="166"/>
      <c r="I948" s="167"/>
      <c r="J948" s="168"/>
      <c r="K948" s="169"/>
      <c r="L948" s="207"/>
    </row>
    <row r="949">
      <c r="A949" s="203"/>
      <c r="B949" s="204"/>
      <c r="C949" s="205"/>
      <c r="D949" s="205"/>
      <c r="E949" s="166"/>
      <c r="F949" s="206"/>
      <c r="G949" s="167"/>
      <c r="H949" s="166"/>
      <c r="I949" s="167"/>
      <c r="J949" s="168"/>
      <c r="K949" s="169"/>
      <c r="L949" s="207"/>
    </row>
    <row r="950">
      <c r="A950" s="203"/>
      <c r="B950" s="204"/>
      <c r="C950" s="205"/>
      <c r="D950" s="205"/>
      <c r="E950" s="166"/>
      <c r="F950" s="206"/>
      <c r="G950" s="167"/>
      <c r="H950" s="166"/>
      <c r="I950" s="167"/>
      <c r="J950" s="168"/>
      <c r="K950" s="169"/>
      <c r="L950" s="207"/>
    </row>
    <row r="951">
      <c r="A951" s="203"/>
      <c r="B951" s="204"/>
      <c r="C951" s="205"/>
      <c r="D951" s="205"/>
      <c r="E951" s="166"/>
      <c r="F951" s="206"/>
      <c r="G951" s="167"/>
      <c r="H951" s="166"/>
      <c r="I951" s="167"/>
      <c r="J951" s="168"/>
      <c r="K951" s="169"/>
      <c r="L951" s="207"/>
    </row>
    <row r="952">
      <c r="A952" s="203"/>
      <c r="B952" s="204"/>
      <c r="C952" s="205"/>
      <c r="D952" s="205"/>
      <c r="E952" s="166"/>
      <c r="F952" s="206"/>
      <c r="G952" s="167"/>
      <c r="H952" s="166"/>
      <c r="I952" s="167"/>
      <c r="J952" s="168"/>
      <c r="K952" s="169"/>
      <c r="L952" s="207"/>
    </row>
    <row r="953">
      <c r="A953" s="203"/>
      <c r="B953" s="204"/>
      <c r="C953" s="205"/>
      <c r="D953" s="205"/>
      <c r="E953" s="166"/>
      <c r="F953" s="206"/>
      <c r="G953" s="167"/>
      <c r="H953" s="166"/>
      <c r="I953" s="167"/>
      <c r="J953" s="168"/>
      <c r="K953" s="169"/>
      <c r="L953" s="207"/>
    </row>
    <row r="954">
      <c r="A954" s="203"/>
      <c r="B954" s="204"/>
      <c r="C954" s="205"/>
      <c r="D954" s="205"/>
      <c r="E954" s="166"/>
      <c r="F954" s="206"/>
      <c r="G954" s="167"/>
      <c r="H954" s="166"/>
      <c r="I954" s="167"/>
      <c r="J954" s="168"/>
      <c r="K954" s="169"/>
      <c r="L954" s="207"/>
    </row>
    <row r="955">
      <c r="A955" s="203"/>
      <c r="B955" s="204"/>
      <c r="C955" s="205"/>
      <c r="D955" s="205"/>
      <c r="E955" s="166"/>
      <c r="F955" s="206"/>
      <c r="G955" s="167"/>
      <c r="H955" s="166"/>
      <c r="I955" s="167"/>
      <c r="J955" s="168"/>
      <c r="K955" s="169"/>
      <c r="L955" s="207"/>
    </row>
    <row r="956">
      <c r="A956" s="203"/>
      <c r="B956" s="204"/>
      <c r="C956" s="205"/>
      <c r="D956" s="205"/>
      <c r="E956" s="166"/>
      <c r="F956" s="206"/>
      <c r="G956" s="167"/>
      <c r="H956" s="166"/>
      <c r="I956" s="167"/>
      <c r="J956" s="168"/>
      <c r="K956" s="169"/>
      <c r="L956" s="207"/>
    </row>
    <row r="957">
      <c r="A957" s="203"/>
      <c r="B957" s="204"/>
      <c r="C957" s="205"/>
      <c r="D957" s="205"/>
      <c r="E957" s="166"/>
      <c r="F957" s="206"/>
      <c r="G957" s="167"/>
      <c r="H957" s="166"/>
      <c r="I957" s="167"/>
      <c r="J957" s="168"/>
      <c r="K957" s="169"/>
      <c r="L957" s="207"/>
    </row>
    <row r="958">
      <c r="A958" s="203"/>
      <c r="B958" s="204"/>
      <c r="C958" s="205"/>
      <c r="D958" s="205"/>
      <c r="E958" s="166"/>
      <c r="F958" s="206"/>
      <c r="G958" s="167"/>
      <c r="H958" s="166"/>
      <c r="I958" s="167"/>
      <c r="J958" s="168"/>
      <c r="K958" s="169"/>
      <c r="L958" s="207"/>
    </row>
    <row r="959">
      <c r="A959" s="203"/>
      <c r="B959" s="204"/>
      <c r="C959" s="205"/>
      <c r="D959" s="205"/>
      <c r="E959" s="166"/>
      <c r="F959" s="206"/>
      <c r="G959" s="167"/>
      <c r="H959" s="166"/>
      <c r="I959" s="167"/>
      <c r="J959" s="168"/>
      <c r="K959" s="169"/>
      <c r="L959" s="207"/>
    </row>
    <row r="960">
      <c r="A960" s="203"/>
      <c r="B960" s="204"/>
      <c r="C960" s="205"/>
      <c r="D960" s="205"/>
      <c r="E960" s="166"/>
      <c r="F960" s="206"/>
      <c r="G960" s="167"/>
      <c r="H960" s="166"/>
      <c r="I960" s="167"/>
      <c r="J960" s="168"/>
      <c r="K960" s="169"/>
      <c r="L960" s="207"/>
    </row>
    <row r="961">
      <c r="A961" s="203"/>
      <c r="B961" s="204"/>
      <c r="C961" s="205"/>
      <c r="D961" s="205"/>
      <c r="E961" s="166"/>
      <c r="F961" s="206"/>
      <c r="G961" s="167"/>
      <c r="H961" s="166"/>
      <c r="I961" s="167"/>
      <c r="J961" s="168"/>
      <c r="K961" s="169"/>
      <c r="L961" s="207"/>
    </row>
    <row r="962">
      <c r="A962" s="203"/>
      <c r="B962" s="204"/>
      <c r="C962" s="205"/>
      <c r="D962" s="205"/>
      <c r="E962" s="166"/>
      <c r="F962" s="206"/>
      <c r="G962" s="167"/>
      <c r="H962" s="166"/>
      <c r="I962" s="167"/>
      <c r="J962" s="168"/>
      <c r="K962" s="169"/>
      <c r="L962" s="207"/>
    </row>
    <row r="963">
      <c r="A963" s="203"/>
      <c r="B963" s="204"/>
      <c r="C963" s="205"/>
      <c r="D963" s="205"/>
      <c r="E963" s="166"/>
      <c r="F963" s="206"/>
      <c r="G963" s="167"/>
      <c r="H963" s="166"/>
      <c r="I963" s="167"/>
      <c r="J963" s="168"/>
      <c r="K963" s="169"/>
      <c r="L963" s="207"/>
    </row>
    <row r="964">
      <c r="A964" s="203"/>
      <c r="B964" s="204"/>
      <c r="C964" s="205"/>
      <c r="D964" s="205"/>
      <c r="E964" s="166"/>
      <c r="F964" s="206"/>
      <c r="G964" s="167"/>
      <c r="H964" s="166"/>
      <c r="I964" s="167"/>
      <c r="J964" s="168"/>
      <c r="K964" s="169"/>
      <c r="L964" s="207"/>
    </row>
    <row r="965">
      <c r="A965" s="203"/>
      <c r="B965" s="204"/>
      <c r="C965" s="205"/>
      <c r="D965" s="205"/>
      <c r="E965" s="166"/>
      <c r="F965" s="206"/>
      <c r="G965" s="167"/>
      <c r="H965" s="166"/>
      <c r="I965" s="167"/>
      <c r="J965" s="168"/>
      <c r="K965" s="169"/>
      <c r="L965" s="207"/>
    </row>
    <row r="966">
      <c r="A966" s="203"/>
      <c r="B966" s="204"/>
      <c r="C966" s="205"/>
      <c r="D966" s="205"/>
      <c r="E966" s="166"/>
      <c r="F966" s="206"/>
      <c r="G966" s="167"/>
      <c r="H966" s="166"/>
      <c r="I966" s="167"/>
      <c r="J966" s="168"/>
      <c r="K966" s="169"/>
      <c r="L966" s="207"/>
    </row>
    <row r="967">
      <c r="A967" s="203"/>
      <c r="B967" s="204"/>
      <c r="C967" s="205"/>
      <c r="D967" s="205"/>
      <c r="E967" s="166"/>
      <c r="F967" s="206"/>
      <c r="G967" s="167"/>
      <c r="H967" s="166"/>
      <c r="I967" s="167"/>
      <c r="J967" s="168"/>
      <c r="K967" s="169"/>
      <c r="L967" s="207"/>
    </row>
    <row r="968">
      <c r="A968" s="203"/>
      <c r="B968" s="204"/>
      <c r="C968" s="205"/>
      <c r="D968" s="205"/>
      <c r="E968" s="166"/>
      <c r="F968" s="206"/>
      <c r="G968" s="167"/>
      <c r="H968" s="166"/>
      <c r="I968" s="167"/>
      <c r="J968" s="168"/>
      <c r="K968" s="169"/>
      <c r="L968" s="207"/>
    </row>
    <row r="969">
      <c r="A969" s="203"/>
      <c r="B969" s="204"/>
      <c r="C969" s="205"/>
      <c r="D969" s="205"/>
      <c r="E969" s="166"/>
      <c r="F969" s="206"/>
      <c r="G969" s="167"/>
      <c r="H969" s="166"/>
      <c r="I969" s="167"/>
      <c r="J969" s="168"/>
      <c r="K969" s="169"/>
      <c r="L969" s="207"/>
    </row>
    <row r="970">
      <c r="A970" s="203"/>
      <c r="B970" s="204"/>
      <c r="C970" s="205"/>
      <c r="D970" s="205"/>
      <c r="E970" s="166"/>
      <c r="F970" s="206"/>
      <c r="G970" s="167"/>
      <c r="H970" s="166"/>
      <c r="I970" s="167"/>
      <c r="J970" s="168"/>
      <c r="K970" s="169"/>
      <c r="L970" s="207"/>
    </row>
    <row r="971">
      <c r="A971" s="203"/>
      <c r="B971" s="204"/>
      <c r="C971" s="205"/>
      <c r="D971" s="205"/>
      <c r="E971" s="166"/>
      <c r="F971" s="206"/>
      <c r="G971" s="167"/>
      <c r="H971" s="166"/>
      <c r="I971" s="167"/>
      <c r="J971" s="168"/>
      <c r="K971" s="169"/>
      <c r="L971" s="207"/>
    </row>
    <row r="972">
      <c r="A972" s="203"/>
      <c r="B972" s="204"/>
      <c r="C972" s="205"/>
      <c r="D972" s="205"/>
      <c r="E972" s="166"/>
      <c r="F972" s="206"/>
      <c r="G972" s="167"/>
      <c r="H972" s="166"/>
      <c r="I972" s="167"/>
      <c r="J972" s="168"/>
      <c r="K972" s="169"/>
      <c r="L972" s="207"/>
    </row>
    <row r="973">
      <c r="A973" s="203"/>
      <c r="B973" s="204"/>
      <c r="C973" s="205"/>
      <c r="D973" s="205"/>
      <c r="E973" s="166"/>
      <c r="F973" s="206"/>
      <c r="G973" s="167"/>
      <c r="H973" s="166"/>
      <c r="I973" s="167"/>
      <c r="J973" s="168"/>
      <c r="K973" s="169"/>
      <c r="L973" s="207"/>
    </row>
    <row r="974">
      <c r="A974" s="203"/>
      <c r="B974" s="204"/>
      <c r="C974" s="205"/>
      <c r="D974" s="205"/>
      <c r="E974" s="166"/>
      <c r="F974" s="206"/>
      <c r="G974" s="167"/>
      <c r="H974" s="166"/>
      <c r="I974" s="167"/>
      <c r="J974" s="168"/>
      <c r="K974" s="169"/>
      <c r="L974" s="207"/>
    </row>
    <row r="975">
      <c r="A975" s="203"/>
      <c r="B975" s="204"/>
      <c r="C975" s="205"/>
      <c r="D975" s="205"/>
      <c r="E975" s="166"/>
      <c r="F975" s="206"/>
      <c r="G975" s="167"/>
      <c r="H975" s="166"/>
      <c r="I975" s="167"/>
      <c r="J975" s="168"/>
      <c r="K975" s="169"/>
      <c r="L975" s="207"/>
    </row>
  </sheetData>
  <autoFilter ref="$A$2:$K$474"/>
  <conditionalFormatting sqref="B1">
    <cfRule type="cellIs" dxfId="0" priority="1" operator="equal">
      <formula>"Xbox"</formula>
    </cfRule>
  </conditionalFormatting>
  <conditionalFormatting sqref="E3:E975 I3:I975">
    <cfRule type="expression" dxfId="2" priority="2">
      <formula>AND($E3&lt;&gt;"",(($E3-$H3)/365*12)&lt;1)</formula>
    </cfRule>
  </conditionalFormatting>
  <conditionalFormatting sqref="A2:A975 D2:D975">
    <cfRule type="expression" dxfId="3" priority="3">
      <formula>$D2="Coming Soon"</formula>
    </cfRule>
  </conditionalFormatting>
  <conditionalFormatting sqref="A2:A975 D2:D975">
    <cfRule type="expression" dxfId="4" priority="4">
      <formula>$D2="Removed"</formula>
    </cfRule>
  </conditionalFormatting>
  <conditionalFormatting sqref="A2:A975 D2:D975">
    <cfRule type="expression" dxfId="1" priority="5">
      <formula>MATCH(A2,INDIRECT("'Xbox Game Studios'!A:A"),0)</formula>
    </cfRule>
  </conditionalFormatting>
  <conditionalFormatting sqref="A2:A975 D2:D975">
    <cfRule type="expression" dxfId="5" priority="6">
      <formula>$D2="Leaving Soon"</formula>
    </cfRule>
  </conditionalFormatting>
  <conditionalFormatting sqref="D3:D975 H3:H975 G4:G5 G208:G209">
    <cfRule type="expression" dxfId="2" priority="7">
      <formula>AND($D3&lt;&gt;"",(($D3-$G3)/365*12)&lt;1)</formula>
    </cfRule>
  </conditionalFormatting>
  <conditionalFormatting sqref="J2:J975">
    <cfRule type="cellIs" dxfId="2" priority="8" operator="between">
      <formula>75</formula>
      <formula>100</formula>
    </cfRule>
  </conditionalFormatting>
  <conditionalFormatting sqref="J2:J975">
    <cfRule type="cellIs" dxfId="1" priority="9" operator="between">
      <formula>50</formula>
      <formula>74</formula>
    </cfRule>
  </conditionalFormatting>
  <conditionalFormatting sqref="J2:J975">
    <cfRule type="cellIs" dxfId="4" priority="10" operator="between">
      <formula>1</formula>
      <formula>49</formula>
    </cfRule>
  </conditionalFormatting>
  <conditionalFormatting sqref="B3:B975">
    <cfRule type="expression" dxfId="6" priority="11">
      <formula>AND(MATCH(A3,INDIRECT("'Cross Play'!D2:D"),0),MATCH(A3,INDIRECT("'Cross Play'!A2:A"),0))</formula>
    </cfRule>
  </conditionalFormatting>
  <conditionalFormatting sqref="B3:B975">
    <cfRule type="expression" dxfId="7" priority="12">
      <formula>MATCH(A3,INDIRECT("'Cross Play'!A2:A"),0)</formula>
    </cfRule>
  </conditionalFormatting>
  <conditionalFormatting sqref="B3:B975">
    <cfRule type="expression" dxfId="8" priority="13">
      <formula>MATCH(A3,INDIRECT("'Cross Play'!D2:D"),0)</formula>
    </cfRule>
  </conditionalFormatting>
  <conditionalFormatting sqref="B1:B975">
    <cfRule type="cellIs" dxfId="17" priority="14" operator="equal">
      <formula>"PC"</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9.88"/>
    <col customWidth="1" min="2" max="2" width="9.38"/>
    <col customWidth="1" min="3" max="3" width="12.13"/>
    <col customWidth="1" min="4" max="4" width="11.13"/>
    <col customWidth="1" min="5" max="5" width="11.5"/>
    <col customWidth="1" min="6" max="6" width="17.38"/>
    <col customWidth="1" min="7" max="7" width="9.63"/>
    <col customWidth="1" min="8" max="8" width="9.75"/>
    <col customWidth="1" min="9" max="9" width="7.75"/>
    <col customWidth="1" min="10" max="10" width="11.88"/>
    <col customWidth="1" min="11" max="11" width="12.63"/>
    <col customWidth="1" min="12" max="13" width="42.25"/>
  </cols>
  <sheetData>
    <row r="1">
      <c r="A1" s="191" t="s">
        <v>2955</v>
      </c>
      <c r="B1" s="192">
        <f>COUNTA(A3:A801)</f>
        <v>538</v>
      </c>
      <c r="C1" s="191"/>
      <c r="D1" s="191"/>
      <c r="E1" s="191"/>
      <c r="F1" s="191"/>
      <c r="G1" s="191"/>
      <c r="H1" s="191"/>
      <c r="I1" s="191"/>
      <c r="J1" s="191"/>
      <c r="K1" s="191"/>
      <c r="L1" s="191"/>
      <c r="M1" s="191"/>
    </row>
    <row r="2">
      <c r="A2" s="193" t="str">
        <f>IFERROR(__xludf.DUMMYFUNCTION("SORT(FILTER('Master List'!A2:M801, NOT(ISBLANK('Master List'!C2:C801)), NOT(REGEXMATCH('Master List'!D2:D801, ""Removed"")) ), 10, false)"),"Game")</f>
        <v>Game</v>
      </c>
      <c r="B2" s="171" t="str">
        <f>IFERROR(__xludf.DUMMYFUNCTION("""COMPUTED_VALUE"""),"System")</f>
        <v>System</v>
      </c>
      <c r="C2" s="170" t="str">
        <f>IFERROR(__xludf.DUMMYFUNCTION("""COMPUTED_VALUE"""),"xCloud")</f>
        <v>xCloud</v>
      </c>
      <c r="D2" s="171" t="str">
        <f>IFERROR(__xludf.DUMMYFUNCTION("""COMPUTED_VALUE"""),"Status")</f>
        <v>Status</v>
      </c>
      <c r="E2" s="171" t="str">
        <f>IFERROR(__xludf.DUMMYFUNCTION("""COMPUTED_VALUE"""),"Added")</f>
        <v>Added</v>
      </c>
      <c r="F2" s="170" t="str">
        <f>IFERROR(__xludf.DUMMYFUNCTION("""COMPUTED_VALUE"""),"Removed")</f>
        <v>Removed</v>
      </c>
      <c r="G2" s="194" t="str">
        <f>IFERROR(__xludf.DUMMYFUNCTION("""COMPUTED_VALUE"""),"Months")</f>
        <v>Months</v>
      </c>
      <c r="H2" s="172" t="str">
        <f>IFERROR(__xludf.DUMMYFUNCTION("""COMPUTED_VALUE"""),"Release")</f>
        <v>Release</v>
      </c>
      <c r="I2" s="172" t="str">
        <f>IFERROR(__xludf.DUMMYFUNCTION("""COMPUTED_VALUE"""),"Age")</f>
        <v>Age</v>
      </c>
      <c r="J2" s="172" t="str">
        <f>IFERROR(__xludf.DUMMYFUNCTION("""COMPUTED_VALUE"""),"Metacritic")</f>
        <v>Metacritic</v>
      </c>
      <c r="K2" s="172" t="str">
        <f>IFERROR(__xludf.DUMMYFUNCTION("""COMPUTED_VALUE"""),"Completion")</f>
        <v>Completion</v>
      </c>
      <c r="L2" s="172" t="str">
        <f>IFERROR(__xludf.DUMMYFUNCTION("""COMPUTED_VALUE"""),"Genre")</f>
        <v>Genre</v>
      </c>
      <c r="M2" s="172" t="str">
        <f>IFERROR(__xludf.DUMMYFUNCTION("""COMPUTED_VALUE"""),"Series X|S")</f>
        <v>Series X|S</v>
      </c>
    </row>
    <row r="3">
      <c r="A3" s="190" t="str">
        <f>IFERROR(__xludf.DUMMYFUNCTION("""COMPUTED_VALUE"""),"Grand Theft Auto V")</f>
        <v>Grand Theft Auto V</v>
      </c>
      <c r="B3" s="195" t="str">
        <f>IFERROR(__xludf.DUMMYFUNCTION("""COMPUTED_VALUE"""),"Xbox / PC")</f>
        <v>Xbox / PC</v>
      </c>
      <c r="C3" s="196" t="str">
        <f>IFERROR(__xludf.DUMMYFUNCTION("""COMPUTED_VALUE"""),"Yes")</f>
        <v>Yes</v>
      </c>
      <c r="D3" s="196" t="str">
        <f>IFERROR(__xludf.DUMMYFUNCTION("""COMPUTED_VALUE"""),"Active")</f>
        <v>Active</v>
      </c>
      <c r="E3" s="197">
        <f>IFERROR(__xludf.DUMMYFUNCTION("""COMPUTED_VALUE"""),45762.0)</f>
        <v>45762</v>
      </c>
      <c r="F3" s="198"/>
      <c r="G3" s="199">
        <f>IFERROR(__xludf.DUMMYFUNCTION("""COMPUTED_VALUE"""),6.0)</f>
        <v>6</v>
      </c>
      <c r="H3" s="197">
        <f>IFERROR(__xludf.DUMMYFUNCTION("""COMPUTED_VALUE"""),41534.0)</f>
        <v>41534</v>
      </c>
      <c r="I3" s="199">
        <f>IFERROR(__xludf.DUMMYFUNCTION("""COMPUTED_VALUE"""),11.577777777777778)</f>
        <v>11.57777778</v>
      </c>
      <c r="J3" s="200">
        <f>IFERROR(__xludf.DUMMYFUNCTION("""COMPUTED_VALUE"""),97.0)</f>
        <v>97</v>
      </c>
      <c r="K3" s="200">
        <f>IFERROR(__xludf.DUMMYFUNCTION("""COMPUTED_VALUE"""),31.5)</f>
        <v>31.5</v>
      </c>
      <c r="L3" s="201" t="str">
        <f>IFERROR(__xludf.DUMMYFUNCTION("""COMPUTED_VALUE"""),"Driving/Racing / Action-Adventure")</f>
        <v>Driving/Racing / Action-Adventure</v>
      </c>
      <c r="M3" s="201"/>
    </row>
    <row r="4">
      <c r="A4" s="190" t="str">
        <f>IFERROR(__xludf.DUMMYFUNCTION("""COMPUTED_VALUE"""),"GoldenEye 007 (2023)")</f>
        <v>GoldenEye 007 (2023)</v>
      </c>
      <c r="B4" s="195" t="str">
        <f>IFERROR(__xludf.DUMMYFUNCTION("""COMPUTED_VALUE"""),"Xbox")</f>
        <v>Xbox</v>
      </c>
      <c r="C4" s="196" t="str">
        <f>IFERROR(__xludf.DUMMYFUNCTION("""COMPUTED_VALUE"""),"Yes")</f>
        <v>Yes</v>
      </c>
      <c r="D4" s="196" t="str">
        <f>IFERROR(__xludf.DUMMYFUNCTION("""COMPUTED_VALUE"""),"Active")</f>
        <v>Active</v>
      </c>
      <c r="E4" s="197">
        <f>IFERROR(__xludf.DUMMYFUNCTION("""COMPUTED_VALUE"""),44953.0)</f>
        <v>44953</v>
      </c>
      <c r="F4" s="198"/>
      <c r="G4" s="199">
        <f>IFERROR(__xludf.DUMMYFUNCTION("""COMPUTED_VALUE"""),32.6)</f>
        <v>32.6</v>
      </c>
      <c r="H4" s="197">
        <f>IFERROR(__xludf.DUMMYFUNCTION("""COMPUTED_VALUE"""),44953.0)</f>
        <v>44953</v>
      </c>
      <c r="I4" s="199">
        <f>IFERROR(__xludf.DUMMYFUNCTION("""COMPUTED_VALUE"""),0.0)</f>
        <v>0</v>
      </c>
      <c r="J4" s="200">
        <f>IFERROR(__xludf.DUMMYFUNCTION("""COMPUTED_VALUE"""),96.0)</f>
        <v>96</v>
      </c>
      <c r="K4" s="200">
        <f>IFERROR(__xludf.DUMMYFUNCTION("""COMPUTED_VALUE"""),10.0)</f>
        <v>10</v>
      </c>
      <c r="L4" s="201" t="str">
        <f>IFERROR(__xludf.DUMMYFUNCTION("""COMPUTED_VALUE"""),"First-Person Shooter")</f>
        <v>First-Person Shooter</v>
      </c>
      <c r="M4" s="201"/>
    </row>
    <row r="5">
      <c r="A5" s="190" t="str">
        <f>IFERROR(__xludf.DUMMYFUNCTION("""COMPUTED_VALUE"""),"Metaphor: ReFantazio")</f>
        <v>Metaphor: ReFantazio</v>
      </c>
      <c r="B5" s="195" t="str">
        <f>IFERROR(__xludf.DUMMYFUNCTION("""COMPUTED_VALUE"""),"Xbox / PC")</f>
        <v>Xbox / PC</v>
      </c>
      <c r="C5" s="196" t="str">
        <f>IFERROR(__xludf.DUMMYFUNCTION("""COMPUTED_VALUE"""),"Yes")</f>
        <v>Yes</v>
      </c>
      <c r="D5" s="196" t="str">
        <f>IFERROR(__xludf.DUMMYFUNCTION("""COMPUTED_VALUE"""),"Active")</f>
        <v>Active</v>
      </c>
      <c r="E5" s="197">
        <f>IFERROR(__xludf.DUMMYFUNCTION("""COMPUTED_VALUE"""),45806.0)</f>
        <v>45806</v>
      </c>
      <c r="F5" s="198"/>
      <c r="G5" s="199">
        <f>IFERROR(__xludf.DUMMYFUNCTION("""COMPUTED_VALUE"""),4.533333333333333)</f>
        <v>4.533333333</v>
      </c>
      <c r="H5" s="197">
        <f>IFERROR(__xludf.DUMMYFUNCTION("""COMPUTED_VALUE"""),45576.0)</f>
        <v>45576</v>
      </c>
      <c r="I5" s="199">
        <f>IFERROR(__xludf.DUMMYFUNCTION("""COMPUTED_VALUE"""),0.6333333333333333)</f>
        <v>0.6333333333</v>
      </c>
      <c r="J5" s="200">
        <f>IFERROR(__xludf.DUMMYFUNCTION("""COMPUTED_VALUE"""),94.0)</f>
        <v>94</v>
      </c>
      <c r="K5" s="200">
        <f>IFERROR(__xludf.DUMMYFUNCTION("""COMPUTED_VALUE"""),66.0)</f>
        <v>66</v>
      </c>
      <c r="L5" s="201" t="str">
        <f>IFERROR(__xludf.DUMMYFUNCTION("""COMPUTED_VALUE"""),"RPG")</f>
        <v>RPG</v>
      </c>
      <c r="M5" s="201" t="str">
        <f>IFERROR(__xludf.DUMMYFUNCTION("""COMPUTED_VALUE"""),"Exclusive")</f>
        <v>Exclusive</v>
      </c>
    </row>
    <row r="6">
      <c r="A6" s="190" t="str">
        <f>IFERROR(__xludf.DUMMYFUNCTION("""COMPUTED_VALUE"""),"Quake")</f>
        <v>Quake</v>
      </c>
      <c r="B6" s="195" t="str">
        <f>IFERROR(__xludf.DUMMYFUNCTION("""COMPUTED_VALUE"""),"Xbox / PC")</f>
        <v>Xbox / PC</v>
      </c>
      <c r="C6" s="196" t="str">
        <f>IFERROR(__xludf.DUMMYFUNCTION("""COMPUTED_VALUE"""),"M+KB")</f>
        <v>M+KB</v>
      </c>
      <c r="D6" s="196" t="str">
        <f>IFERROR(__xludf.DUMMYFUNCTION("""COMPUTED_VALUE"""),"Active")</f>
        <v>Active</v>
      </c>
      <c r="E6" s="197">
        <f>IFERROR(__xludf.DUMMYFUNCTION("""COMPUTED_VALUE"""),44427.0)</f>
        <v>44427</v>
      </c>
      <c r="F6" s="198"/>
      <c r="G6" s="199">
        <f>IFERROR(__xludf.DUMMYFUNCTION("""COMPUTED_VALUE"""),49.866666666666674)</f>
        <v>49.86666667</v>
      </c>
      <c r="H6" s="197">
        <f>IFERROR(__xludf.DUMMYFUNCTION("""COMPUTED_VALUE"""),35269.0)</f>
        <v>35269</v>
      </c>
      <c r="I6" s="199">
        <f>IFERROR(__xludf.DUMMYFUNCTION("""COMPUTED_VALUE"""),25.072222222222223)</f>
        <v>25.07222222</v>
      </c>
      <c r="J6" s="200">
        <f>IFERROR(__xludf.DUMMYFUNCTION("""COMPUTED_VALUE"""),94.0)</f>
        <v>94</v>
      </c>
      <c r="K6" s="200">
        <f>IFERROR(__xludf.DUMMYFUNCTION("""COMPUTED_VALUE"""),5.5)</f>
        <v>5.5</v>
      </c>
      <c r="L6" s="201" t="str">
        <f>IFERROR(__xludf.DUMMYFUNCTION("""COMPUTED_VALUE"""),"First-Person Shooter")</f>
        <v>First-Person Shooter</v>
      </c>
      <c r="M6" s="201"/>
    </row>
    <row r="7">
      <c r="A7" s="190" t="str">
        <f>IFERROR(__xludf.DUMMYFUNCTION("""COMPUTED_VALUE"""),"The Elder Scrolls IV: Oblivion")</f>
        <v>The Elder Scrolls IV: Oblivion</v>
      </c>
      <c r="B7" s="195" t="str">
        <f>IFERROR(__xludf.DUMMYFUNCTION("""COMPUTED_VALUE"""),"Xbox / PC")</f>
        <v>Xbox / PC</v>
      </c>
      <c r="C7" s="196" t="str">
        <f>IFERROR(__xludf.DUMMYFUNCTION("""COMPUTED_VALUE"""),"Yes")</f>
        <v>Yes</v>
      </c>
      <c r="D7" s="196" t="str">
        <f>IFERROR(__xludf.DUMMYFUNCTION("""COMPUTED_VALUE"""),"Active")</f>
        <v>Active</v>
      </c>
      <c r="E7" s="197">
        <f>IFERROR(__xludf.DUMMYFUNCTION("""COMPUTED_VALUE"""),43282.0)</f>
        <v>43282</v>
      </c>
      <c r="F7" s="198"/>
      <c r="G7" s="199">
        <f>IFERROR(__xludf.DUMMYFUNCTION("""COMPUTED_VALUE"""),87.46666666666667)</f>
        <v>87.46666667</v>
      </c>
      <c r="H7" s="197">
        <f>IFERROR(__xludf.DUMMYFUNCTION("""COMPUTED_VALUE"""),38796.0)</f>
        <v>38796</v>
      </c>
      <c r="I7" s="199">
        <f>IFERROR(__xludf.DUMMYFUNCTION("""COMPUTED_VALUE"""),12.280555555555555)</f>
        <v>12.28055556</v>
      </c>
      <c r="J7" s="200">
        <f>IFERROR(__xludf.DUMMYFUNCTION("""COMPUTED_VALUE"""),94.0)</f>
        <v>94</v>
      </c>
      <c r="K7" s="200">
        <f>IFERROR(__xludf.DUMMYFUNCTION("""COMPUTED_VALUE"""),27.5)</f>
        <v>27.5</v>
      </c>
      <c r="L7" s="201" t="str">
        <f>IFERROR(__xludf.DUMMYFUNCTION("""COMPUTED_VALUE"""),"Action / RPG")</f>
        <v>Action / RPG</v>
      </c>
      <c r="M7" s="201" t="str">
        <f>IFERROR(__xludf.DUMMYFUNCTION("""COMPUTED_VALUE"""),"FPS Boost")</f>
        <v>FPS Boost</v>
      </c>
    </row>
    <row r="8">
      <c r="A8" s="190" t="str">
        <f>IFERROR(__xludf.DUMMYFUNCTION("""COMPUTED_VALUE"""),"Hades")</f>
        <v>Hades</v>
      </c>
      <c r="B8" s="195" t="str">
        <f>IFERROR(__xludf.DUMMYFUNCTION("""COMPUTED_VALUE"""),"Xbox / PC")</f>
        <v>Xbox / PC</v>
      </c>
      <c r="C8" s="196" t="str">
        <f>IFERROR(__xludf.DUMMYFUNCTION("""COMPUTED_VALUE"""),"Touch Controls")</f>
        <v>Touch Controls</v>
      </c>
      <c r="D8" s="196" t="str">
        <f>IFERROR(__xludf.DUMMYFUNCTION("""COMPUTED_VALUE"""),"Active")</f>
        <v>Active</v>
      </c>
      <c r="E8" s="197">
        <f>IFERROR(__xludf.DUMMYFUNCTION("""COMPUTED_VALUE"""),45919.0)</f>
        <v>45919</v>
      </c>
      <c r="F8" s="198"/>
      <c r="G8" s="199">
        <f>IFERROR(__xludf.DUMMYFUNCTION("""COMPUTED_VALUE"""),0.8666666666666666)</f>
        <v>0.8666666667</v>
      </c>
      <c r="H8" s="197">
        <f>IFERROR(__xludf.DUMMYFUNCTION("""COMPUTED_VALUE"""),43441.0)</f>
        <v>43441</v>
      </c>
      <c r="I8" s="199">
        <f>IFERROR(__xludf.DUMMYFUNCTION("""COMPUTED_VALUE"""),6.783333333333333)</f>
        <v>6.783333333</v>
      </c>
      <c r="J8" s="200">
        <f>IFERROR(__xludf.DUMMYFUNCTION("""COMPUTED_VALUE"""),93.5)</f>
        <v>93.5</v>
      </c>
      <c r="K8" s="200">
        <f>IFERROR(__xludf.DUMMYFUNCTION("""COMPUTED_VALUE"""),21.0)</f>
        <v>21</v>
      </c>
      <c r="L8" s="201" t="str">
        <f>IFERROR(__xludf.DUMMYFUNCTION("""COMPUTED_VALUE"""),"Action / RPG")</f>
        <v>Action / RPG</v>
      </c>
      <c r="M8" s="201" t="str">
        <f>IFERROR(__xludf.DUMMYFUNCTION("""COMPUTED_VALUE"""),"Optimized")</f>
        <v>Optimized</v>
      </c>
    </row>
    <row r="9">
      <c r="A9" s="190" t="str">
        <f>IFERROR(__xludf.DUMMYFUNCTION("""COMPUTED_VALUE"""),"Blue Prince")</f>
        <v>Blue Prince</v>
      </c>
      <c r="B9" s="195" t="str">
        <f>IFERROR(__xludf.DUMMYFUNCTION("""COMPUTED_VALUE"""),"Xbox / PC")</f>
        <v>Xbox / PC</v>
      </c>
      <c r="C9" s="196" t="str">
        <f>IFERROR(__xludf.DUMMYFUNCTION("""COMPUTED_VALUE"""),"Yes")</f>
        <v>Yes</v>
      </c>
      <c r="D9" s="196" t="str">
        <f>IFERROR(__xludf.DUMMYFUNCTION("""COMPUTED_VALUE"""),"Active")</f>
        <v>Active</v>
      </c>
      <c r="E9" s="197">
        <f>IFERROR(__xludf.DUMMYFUNCTION("""COMPUTED_VALUE"""),45757.0)</f>
        <v>45757</v>
      </c>
      <c r="F9" s="198"/>
      <c r="G9" s="199">
        <f>IFERROR(__xludf.DUMMYFUNCTION("""COMPUTED_VALUE"""),6.166666666666666)</f>
        <v>6.166666667</v>
      </c>
      <c r="H9" s="197">
        <f>IFERROR(__xludf.DUMMYFUNCTION("""COMPUTED_VALUE"""),45757.0)</f>
        <v>45757</v>
      </c>
      <c r="I9" s="199">
        <f>IFERROR(__xludf.DUMMYFUNCTION("""COMPUTED_VALUE"""),0.0)</f>
        <v>0</v>
      </c>
      <c r="J9" s="200">
        <f>IFERROR(__xludf.DUMMYFUNCTION("""COMPUTED_VALUE"""),93.0)</f>
        <v>93</v>
      </c>
      <c r="K9" s="200">
        <f>IFERROR(__xludf.DUMMYFUNCTION("""COMPUTED_VALUE"""),14.0)</f>
        <v>14</v>
      </c>
      <c r="L9" s="201" t="str">
        <f>IFERROR(__xludf.DUMMYFUNCTION("""COMPUTED_VALUE"""),"Action-Adventure")</f>
        <v>Action-Adventure</v>
      </c>
      <c r="M9" s="201" t="str">
        <f>IFERROR(__xludf.DUMMYFUNCTION("""COMPUTED_VALUE"""),"Exclusive")</f>
        <v>Exclusive</v>
      </c>
    </row>
    <row r="10">
      <c r="A10" s="190" t="str">
        <f>IFERROR(__xludf.DUMMYFUNCTION("""COMPUTED_VALUE"""),"Inside")</f>
        <v>Inside</v>
      </c>
      <c r="B10" s="195" t="str">
        <f>IFERROR(__xludf.DUMMYFUNCTION("""COMPUTED_VALUE"""),"Xbox / PC")</f>
        <v>Xbox / PC</v>
      </c>
      <c r="C10" s="196" t="str">
        <f>IFERROR(__xludf.DUMMYFUNCTION("""COMPUTED_VALUE"""),"Yes")</f>
        <v>Yes</v>
      </c>
      <c r="D10" s="196" t="str">
        <f>IFERROR(__xludf.DUMMYFUNCTION("""COMPUTED_VALUE"""),"Active")</f>
        <v>Active</v>
      </c>
      <c r="E10" s="197">
        <f>IFERROR(__xludf.DUMMYFUNCTION("""COMPUTED_VALUE"""),44763.0)</f>
        <v>44763</v>
      </c>
      <c r="F10" s="198"/>
      <c r="G10" s="199">
        <f>IFERROR(__xludf.DUMMYFUNCTION("""COMPUTED_VALUE"""),38.8)</f>
        <v>38.8</v>
      </c>
      <c r="H10" s="197">
        <f>IFERROR(__xludf.DUMMYFUNCTION("""COMPUTED_VALUE"""),42550.0)</f>
        <v>42550</v>
      </c>
      <c r="I10" s="199">
        <f>IFERROR(__xludf.DUMMYFUNCTION("""COMPUTED_VALUE"""),6.061111111111111)</f>
        <v>6.061111111</v>
      </c>
      <c r="J10" s="200">
        <f>IFERROR(__xludf.DUMMYFUNCTION("""COMPUTED_VALUE"""),93.0)</f>
        <v>93</v>
      </c>
      <c r="K10" s="200">
        <f>IFERROR(__xludf.DUMMYFUNCTION("""COMPUTED_VALUE"""),3.5)</f>
        <v>3.5</v>
      </c>
      <c r="L10" s="201" t="str">
        <f>IFERROR(__xludf.DUMMYFUNCTION("""COMPUTED_VALUE"""),"Puzzle / Platformer")</f>
        <v>Puzzle / Platformer</v>
      </c>
      <c r="M10" s="201"/>
    </row>
    <row r="11">
      <c r="A11" s="190" t="str">
        <f>IFERROR(__xludf.DUMMYFUNCTION("""COMPUTED_VALUE"""),"Fallout 3: Game of the Year Edition")</f>
        <v>Fallout 3: Game of the Year Edition</v>
      </c>
      <c r="B11" s="195" t="str">
        <f>IFERROR(__xludf.DUMMYFUNCTION("""COMPUTED_VALUE"""),"Xbox / PC")</f>
        <v>Xbox / PC</v>
      </c>
      <c r="C11" s="196" t="str">
        <f>IFERROR(__xludf.DUMMYFUNCTION("""COMPUTED_VALUE"""),"Yes")</f>
        <v>Yes</v>
      </c>
      <c r="D11" s="196" t="str">
        <f>IFERROR(__xludf.DUMMYFUNCTION("""COMPUTED_VALUE"""),"Active")</f>
        <v>Active</v>
      </c>
      <c r="E11" s="197">
        <f>IFERROR(__xludf.DUMMYFUNCTION("""COMPUTED_VALUE"""),43282.0)</f>
        <v>43282</v>
      </c>
      <c r="F11" s="198"/>
      <c r="G11" s="199">
        <f>IFERROR(__xludf.DUMMYFUNCTION("""COMPUTED_VALUE"""),87.46666666666667)</f>
        <v>87.46666667</v>
      </c>
      <c r="H11" s="197">
        <f>IFERROR(__xludf.DUMMYFUNCTION("""COMPUTED_VALUE"""),39749.0)</f>
        <v>39749</v>
      </c>
      <c r="I11" s="199">
        <f>IFERROR(__xludf.DUMMYFUNCTION("""COMPUTED_VALUE"""),9.675)</f>
        <v>9.675</v>
      </c>
      <c r="J11" s="200">
        <f>IFERROR(__xludf.DUMMYFUNCTION("""COMPUTED_VALUE"""),93.0)</f>
        <v>93</v>
      </c>
      <c r="K11" s="200">
        <f>IFERROR(__xludf.DUMMYFUNCTION("""COMPUTED_VALUE"""),22.5)</f>
        <v>22.5</v>
      </c>
      <c r="L11" s="201" t="str">
        <f>IFERROR(__xludf.DUMMYFUNCTION("""COMPUTED_VALUE"""),"RPG / First-Person Shooter")</f>
        <v>RPG / First-Person Shooter</v>
      </c>
      <c r="M11" s="201" t="str">
        <f>IFERROR(__xludf.DUMMYFUNCTION("""COMPUTED_VALUE"""),"FPS Boost")</f>
        <v>FPS Boost</v>
      </c>
    </row>
    <row r="12">
      <c r="A12" s="190" t="str">
        <f>IFERROR(__xludf.DUMMYFUNCTION("""COMPUTED_VALUE"""),"Gears of War 2")</f>
        <v>Gears of War 2</v>
      </c>
      <c r="B12" s="195" t="str">
        <f>IFERROR(__xludf.DUMMYFUNCTION("""COMPUTED_VALUE"""),"Xbox")</f>
        <v>Xbox</v>
      </c>
      <c r="C12" s="196" t="str">
        <f>IFERROR(__xludf.DUMMYFUNCTION("""COMPUTED_VALUE"""),"Yes")</f>
        <v>Yes</v>
      </c>
      <c r="D12" s="196" t="str">
        <f>IFERROR(__xludf.DUMMYFUNCTION("""COMPUTED_VALUE"""),"Active")</f>
        <v>Active</v>
      </c>
      <c r="E12" s="197">
        <f>IFERROR(__xludf.DUMMYFUNCTION("""COMPUTED_VALUE"""),42887.0)</f>
        <v>42887</v>
      </c>
      <c r="F12" s="198"/>
      <c r="G12" s="199">
        <f>IFERROR(__xludf.DUMMYFUNCTION("""COMPUTED_VALUE"""),100.46666666666667)</f>
        <v>100.4666667</v>
      </c>
      <c r="H12" s="197">
        <f>IFERROR(__xludf.DUMMYFUNCTION("""COMPUTED_VALUE"""),39759.0)</f>
        <v>39759</v>
      </c>
      <c r="I12" s="199">
        <f>IFERROR(__xludf.DUMMYFUNCTION("""COMPUTED_VALUE"""),8.566666666666666)</f>
        <v>8.566666667</v>
      </c>
      <c r="J12" s="200">
        <f>IFERROR(__xludf.DUMMYFUNCTION("""COMPUTED_VALUE"""),93.0)</f>
        <v>93</v>
      </c>
      <c r="K12" s="200">
        <f>IFERROR(__xludf.DUMMYFUNCTION("""COMPUTED_VALUE"""),10.0)</f>
        <v>10</v>
      </c>
      <c r="L12" s="201" t="str">
        <f>IFERROR(__xludf.DUMMYFUNCTION("""COMPUTED_VALUE"""),"Action / Shooter")</f>
        <v>Action / Shooter</v>
      </c>
      <c r="M12" s="201" t="str">
        <f>IFERROR(__xludf.DUMMYFUNCTION("""COMPUTED_VALUE"""),"FPS Boost")</f>
        <v>FPS Boost</v>
      </c>
    </row>
    <row r="13">
      <c r="A13" s="190" t="str">
        <f>IFERROR(__xludf.DUMMYFUNCTION("""COMPUTED_VALUE"""),"Rayman Legends")</f>
        <v>Rayman Legends</v>
      </c>
      <c r="B13" s="195" t="str">
        <f>IFERROR(__xludf.DUMMYFUNCTION("""COMPUTED_VALUE"""),"Xbox / PC")</f>
        <v>Xbox / PC</v>
      </c>
      <c r="C13" s="196" t="str">
        <f>IFERROR(__xludf.DUMMYFUNCTION("""COMPUTED_VALUE"""),"Yes")</f>
        <v>Yes</v>
      </c>
      <c r="D13" s="196" t="str">
        <f>IFERROR(__xludf.DUMMYFUNCTION("""COMPUTED_VALUE"""),"Active")</f>
        <v>Active</v>
      </c>
      <c r="E13" s="197">
        <f>IFERROR(__xludf.DUMMYFUNCTION("""COMPUTED_VALUE"""),45931.0)</f>
        <v>45931</v>
      </c>
      <c r="F13" s="198"/>
      <c r="G13" s="199">
        <f>IFERROR(__xludf.DUMMYFUNCTION("""COMPUTED_VALUE"""),0.4666666666666667)</f>
        <v>0.4666666667</v>
      </c>
      <c r="H13" s="197">
        <f>IFERROR(__xludf.DUMMYFUNCTION("""COMPUTED_VALUE"""),41520.0)</f>
        <v>41520</v>
      </c>
      <c r="I13" s="199">
        <f>IFERROR(__xludf.DUMMYFUNCTION("""COMPUTED_VALUE"""),12.077777777777778)</f>
        <v>12.07777778</v>
      </c>
      <c r="J13" s="200">
        <f>IFERROR(__xludf.DUMMYFUNCTION("""COMPUTED_VALUE"""),92.0)</f>
        <v>92</v>
      </c>
      <c r="K13" s="200">
        <f>IFERROR(__xludf.DUMMYFUNCTION("""COMPUTED_VALUE"""),10.0)</f>
        <v>10</v>
      </c>
      <c r="L13" s="201" t="str">
        <f>IFERROR(__xludf.DUMMYFUNCTION("""COMPUTED_VALUE"""),"Platformer")</f>
        <v>Platformer</v>
      </c>
      <c r="M13" s="201"/>
    </row>
    <row r="14">
      <c r="A14" s="190" t="str">
        <f>IFERROR(__xludf.DUMMYFUNCTION("""COMPUTED_VALUE"""),"Clair Obscur: Expedition 33")</f>
        <v>Clair Obscur: Expedition 33</v>
      </c>
      <c r="B14" s="195" t="str">
        <f>IFERROR(__xludf.DUMMYFUNCTION("""COMPUTED_VALUE"""),"Xbox / PC")</f>
        <v>Xbox / PC</v>
      </c>
      <c r="C14" s="196" t="str">
        <f>IFERROR(__xludf.DUMMYFUNCTION("""COMPUTED_VALUE"""),"Yes")</f>
        <v>Yes</v>
      </c>
      <c r="D14" s="196" t="str">
        <f>IFERROR(__xludf.DUMMYFUNCTION("""COMPUTED_VALUE"""),"Active")</f>
        <v>Active</v>
      </c>
      <c r="E14" s="197">
        <f>IFERROR(__xludf.DUMMYFUNCTION("""COMPUTED_VALUE"""),45771.0)</f>
        <v>45771</v>
      </c>
      <c r="F14" s="198"/>
      <c r="G14" s="199">
        <f>IFERROR(__xludf.DUMMYFUNCTION("""COMPUTED_VALUE"""),5.699999999999999)</f>
        <v>5.7</v>
      </c>
      <c r="H14" s="197">
        <f>IFERROR(__xludf.DUMMYFUNCTION("""COMPUTED_VALUE"""),45771.0)</f>
        <v>45771</v>
      </c>
      <c r="I14" s="199">
        <f>IFERROR(__xludf.DUMMYFUNCTION("""COMPUTED_VALUE"""),0.0)</f>
        <v>0</v>
      </c>
      <c r="J14" s="200">
        <f>IFERROR(__xludf.DUMMYFUNCTION("""COMPUTED_VALUE"""),92.0)</f>
        <v>92</v>
      </c>
      <c r="K14" s="200">
        <f>IFERROR(__xludf.DUMMYFUNCTION("""COMPUTED_VALUE"""),26.0)</f>
        <v>26</v>
      </c>
      <c r="L14" s="201" t="str">
        <f>IFERROR(__xludf.DUMMYFUNCTION("""COMPUTED_VALUE"""),"RPG")</f>
        <v>RPG</v>
      </c>
      <c r="M14" s="201" t="str">
        <f>IFERROR(__xludf.DUMMYFUNCTION("""COMPUTED_VALUE"""),"Exclusive")</f>
        <v>Exclusive</v>
      </c>
    </row>
    <row r="15">
      <c r="A15" s="190" t="str">
        <f>IFERROR(__xludf.DUMMYFUNCTION("""COMPUTED_VALUE"""),"Microsoft Flight Simulator (2020): Game of the Year Edition")</f>
        <v>Microsoft Flight Simulator (2020): Game of the Year Edition</v>
      </c>
      <c r="B15" s="195" t="str">
        <f>IFERROR(__xludf.DUMMYFUNCTION("""COMPUTED_VALUE"""),"Xbox / PC")</f>
        <v>Xbox / PC</v>
      </c>
      <c r="C15" s="196" t="str">
        <f>IFERROR(__xludf.DUMMYFUNCTION("""COMPUTED_VALUE"""),"Yes")</f>
        <v>Yes</v>
      </c>
      <c r="D15" s="196" t="str">
        <f>IFERROR(__xludf.DUMMYFUNCTION("""COMPUTED_VALUE"""),"Active")</f>
        <v>Active</v>
      </c>
      <c r="E15" s="197">
        <f>IFERROR(__xludf.DUMMYFUNCTION("""COMPUTED_VALUE"""),44061.0)</f>
        <v>44061</v>
      </c>
      <c r="F15" s="198"/>
      <c r="G15" s="199">
        <f>IFERROR(__xludf.DUMMYFUNCTION("""COMPUTED_VALUE"""),61.9)</f>
        <v>61.9</v>
      </c>
      <c r="H15" s="197">
        <f>IFERROR(__xludf.DUMMYFUNCTION("""COMPUTED_VALUE"""),44061.0)</f>
        <v>44061</v>
      </c>
      <c r="I15" s="199">
        <f>IFERROR(__xludf.DUMMYFUNCTION("""COMPUTED_VALUE"""),0.0)</f>
        <v>0</v>
      </c>
      <c r="J15" s="200">
        <f>IFERROR(__xludf.DUMMYFUNCTION("""COMPUTED_VALUE"""),92.0)</f>
        <v>92</v>
      </c>
      <c r="K15" s="200">
        <f>IFERROR(__xludf.DUMMYFUNCTION("""COMPUTED_VALUE"""),41.5)</f>
        <v>41.5</v>
      </c>
      <c r="L15" s="201" t="str">
        <f>IFERROR(__xludf.DUMMYFUNCTION("""COMPUTED_VALUE"""),"Simulation / Flight Simulator")</f>
        <v>Simulation / Flight Simulator</v>
      </c>
      <c r="M15" s="201" t="str">
        <f>IFERROR(__xludf.DUMMYFUNCTION("""COMPUTED_VALUE"""),"Exclusive, Optimized")</f>
        <v>Exclusive, Optimized</v>
      </c>
    </row>
    <row r="16">
      <c r="A16" s="190" t="str">
        <f>IFERROR(__xludf.DUMMYFUNCTION("""COMPUTED_VALUE"""),"Forza Horizon 5")</f>
        <v>Forza Horizon 5</v>
      </c>
      <c r="B16" s="195" t="str">
        <f>IFERROR(__xludf.DUMMYFUNCTION("""COMPUTED_VALUE"""),"Xbox / PC")</f>
        <v>Xbox / PC</v>
      </c>
      <c r="C16" s="196" t="str">
        <f>IFERROR(__xludf.DUMMYFUNCTION("""COMPUTED_VALUE"""),"Yes")</f>
        <v>Yes</v>
      </c>
      <c r="D16" s="196" t="str">
        <f>IFERROR(__xludf.DUMMYFUNCTION("""COMPUTED_VALUE"""),"Active")</f>
        <v>Active</v>
      </c>
      <c r="E16" s="197">
        <f>IFERROR(__xludf.DUMMYFUNCTION("""COMPUTED_VALUE"""),44509.0)</f>
        <v>44509</v>
      </c>
      <c r="F16" s="198"/>
      <c r="G16" s="199">
        <f>IFERROR(__xludf.DUMMYFUNCTION("""COMPUTED_VALUE"""),47.199999999999996)</f>
        <v>47.2</v>
      </c>
      <c r="H16" s="197">
        <f>IFERROR(__xludf.DUMMYFUNCTION("""COMPUTED_VALUE"""),44509.0)</f>
        <v>44509</v>
      </c>
      <c r="I16" s="199">
        <f>IFERROR(__xludf.DUMMYFUNCTION("""COMPUTED_VALUE"""),0.0)</f>
        <v>0</v>
      </c>
      <c r="J16" s="200">
        <f>IFERROR(__xludf.DUMMYFUNCTION("""COMPUTED_VALUE"""),91.5)</f>
        <v>91.5</v>
      </c>
      <c r="K16" s="200">
        <f>IFERROR(__xludf.DUMMYFUNCTION("""COMPUTED_VALUE"""),17.0)</f>
        <v>17</v>
      </c>
      <c r="L16" s="201" t="str">
        <f>IFERROR(__xludf.DUMMYFUNCTION("""COMPUTED_VALUE"""),"Driving/Racing")</f>
        <v>Driving/Racing</v>
      </c>
      <c r="M16" s="201"/>
    </row>
    <row r="17">
      <c r="A17" s="190" t="str">
        <f>IFERROR(__xludf.DUMMYFUNCTION("""COMPUTED_VALUE"""),"Resident Evil 2 (2019)")</f>
        <v>Resident Evil 2 (2019)</v>
      </c>
      <c r="B17" s="195" t="str">
        <f>IFERROR(__xludf.DUMMYFUNCTION("""COMPUTED_VALUE"""),"Xbox / PC")</f>
        <v>Xbox / PC</v>
      </c>
      <c r="C17" s="196" t="str">
        <f>IFERROR(__xludf.DUMMYFUNCTION("""COMPUTED_VALUE"""),"Yes")</f>
        <v>Yes</v>
      </c>
      <c r="D17" s="196" t="str">
        <f>IFERROR(__xludf.DUMMYFUNCTION("""COMPUTED_VALUE"""),"Active")</f>
        <v>Active</v>
      </c>
      <c r="E17" s="197">
        <f>IFERROR(__xludf.DUMMYFUNCTION("""COMPUTED_VALUE"""),45307.0)</f>
        <v>45307</v>
      </c>
      <c r="F17" s="198"/>
      <c r="G17" s="199">
        <f>IFERROR(__xludf.DUMMYFUNCTION("""COMPUTED_VALUE"""),20.96666666666667)</f>
        <v>20.96666667</v>
      </c>
      <c r="H17" s="197">
        <f>IFERROR(__xludf.DUMMYFUNCTION("""COMPUTED_VALUE"""),43480.0)</f>
        <v>43480</v>
      </c>
      <c r="I17" s="199">
        <f>IFERROR(__xludf.DUMMYFUNCTION("""COMPUTED_VALUE"""),5.002777777777778)</f>
        <v>5.002777778</v>
      </c>
      <c r="J17" s="200">
        <f>IFERROR(__xludf.DUMMYFUNCTION("""COMPUTED_VALUE"""),91.0)</f>
        <v>91</v>
      </c>
      <c r="K17" s="200">
        <f>IFERROR(__xludf.DUMMYFUNCTION("""COMPUTED_VALUE"""),9.0)</f>
        <v>9</v>
      </c>
      <c r="L17" s="201" t="str">
        <f>IFERROR(__xludf.DUMMYFUNCTION("""COMPUTED_VALUE"""),"Shooter / Action-Adventure")</f>
        <v>Shooter / Action-Adventure</v>
      </c>
      <c r="M17" s="201"/>
    </row>
    <row r="18">
      <c r="A18" s="190" t="str">
        <f>IFERROR(__xludf.DUMMYFUNCTION("""COMPUTED_VALUE"""),"Celeste")</f>
        <v>Celeste</v>
      </c>
      <c r="B18" s="195" t="str">
        <f>IFERROR(__xludf.DUMMYFUNCTION("""COMPUTED_VALUE"""),"Xbox / PC")</f>
        <v>Xbox / PC</v>
      </c>
      <c r="C18" s="196" t="str">
        <f>IFERROR(__xludf.DUMMYFUNCTION("""COMPUTED_VALUE"""),"Touch Controls")</f>
        <v>Touch Controls</v>
      </c>
      <c r="D18" s="196" t="str">
        <f>IFERROR(__xludf.DUMMYFUNCTION("""COMPUTED_VALUE"""),"Active")</f>
        <v>Active</v>
      </c>
      <c r="E18" s="197">
        <f>IFERROR(__xludf.DUMMYFUNCTION("""COMPUTED_VALUE"""),45139.0)</f>
        <v>45139</v>
      </c>
      <c r="F18" s="198"/>
      <c r="G18" s="199">
        <f>IFERROR(__xludf.DUMMYFUNCTION("""COMPUTED_VALUE"""),26.46666666666667)</f>
        <v>26.46666667</v>
      </c>
      <c r="H18" s="197">
        <f>IFERROR(__xludf.DUMMYFUNCTION("""COMPUTED_VALUE"""),43125.0)</f>
        <v>43125</v>
      </c>
      <c r="I18" s="199">
        <f>IFERROR(__xludf.DUMMYFUNCTION("""COMPUTED_VALUE"""),5.516666666666667)</f>
        <v>5.516666667</v>
      </c>
      <c r="J18" s="200">
        <f>IFERROR(__xludf.DUMMYFUNCTION("""COMPUTED_VALUE"""),91.0)</f>
        <v>91</v>
      </c>
      <c r="K18" s="200">
        <f>IFERROR(__xludf.DUMMYFUNCTION("""COMPUTED_VALUE"""),8.0)</f>
        <v>8</v>
      </c>
      <c r="L18" s="201" t="str">
        <f>IFERROR(__xludf.DUMMYFUNCTION("""COMPUTED_VALUE"""),"Platformer")</f>
        <v>Platformer</v>
      </c>
      <c r="M18" s="201"/>
    </row>
    <row r="19">
      <c r="A19" s="190" t="str">
        <f>IFERROR(__xludf.DUMMYFUNCTION("""COMPUTED_VALUE"""),"Crusader Kings III")</f>
        <v>Crusader Kings III</v>
      </c>
      <c r="B19" s="195" t="str">
        <f>IFERROR(__xludf.DUMMYFUNCTION("""COMPUTED_VALUE"""),"Xbox / PC")</f>
        <v>Xbox / PC</v>
      </c>
      <c r="C19" s="196" t="str">
        <f>IFERROR(__xludf.DUMMYFUNCTION("""COMPUTED_VALUE"""),"Yes")</f>
        <v>Yes</v>
      </c>
      <c r="D19" s="196" t="str">
        <f>IFERROR(__xludf.DUMMYFUNCTION("""COMPUTED_VALUE"""),"Active")</f>
        <v>Active</v>
      </c>
      <c r="E19" s="197">
        <f>IFERROR(__xludf.DUMMYFUNCTION("""COMPUTED_VALUE"""),44075.0)</f>
        <v>44075</v>
      </c>
      <c r="F19" s="198"/>
      <c r="G19" s="199">
        <f>IFERROR(__xludf.DUMMYFUNCTION("""COMPUTED_VALUE"""),61.46666666666666)</f>
        <v>61.46666667</v>
      </c>
      <c r="H19" s="197">
        <f>IFERROR(__xludf.DUMMYFUNCTION("""COMPUTED_VALUE"""),44075.0)</f>
        <v>44075</v>
      </c>
      <c r="I19" s="199">
        <f>IFERROR(__xludf.DUMMYFUNCTION("""COMPUTED_VALUE"""),0.0)</f>
        <v>0</v>
      </c>
      <c r="J19" s="200">
        <f>IFERROR(__xludf.DUMMYFUNCTION("""COMPUTED_VALUE"""),91.0)</f>
        <v>91</v>
      </c>
      <c r="K19" s="200">
        <f>IFERROR(__xludf.DUMMYFUNCTION("""COMPUTED_VALUE"""),12.5)</f>
        <v>12.5</v>
      </c>
      <c r="L19" s="201" t="str">
        <f>IFERROR(__xludf.DUMMYFUNCTION("""COMPUTED_VALUE"""),"Strategy")</f>
        <v>Strategy</v>
      </c>
      <c r="M19" s="201" t="str">
        <f>IFERROR(__xludf.DUMMYFUNCTION("""COMPUTED_VALUE"""),"Exclusive")</f>
        <v>Exclusive</v>
      </c>
    </row>
    <row r="20">
      <c r="A20" s="190" t="str">
        <f>IFERROR(__xludf.DUMMYFUNCTION("""COMPUTED_VALUE"""),"Dead Cells")</f>
        <v>Dead Cells</v>
      </c>
      <c r="B20" s="195" t="str">
        <f>IFERROR(__xludf.DUMMYFUNCTION("""COMPUTED_VALUE"""),"Xbox / PC")</f>
        <v>Xbox / PC</v>
      </c>
      <c r="C20" s="196" t="str">
        <f>IFERROR(__xludf.DUMMYFUNCTION("""COMPUTED_VALUE"""),"Touch Controls")</f>
        <v>Touch Controls</v>
      </c>
      <c r="D20" s="196" t="str">
        <f>IFERROR(__xludf.DUMMYFUNCTION("""COMPUTED_VALUE"""),"Active")</f>
        <v>Active</v>
      </c>
      <c r="E20" s="197">
        <f>IFERROR(__xludf.DUMMYFUNCTION("""COMPUTED_VALUE"""),43713.0)</f>
        <v>43713</v>
      </c>
      <c r="F20" s="198"/>
      <c r="G20" s="199">
        <f>IFERROR(__xludf.DUMMYFUNCTION("""COMPUTED_VALUE"""),73.33333333333333)</f>
        <v>73.33333333</v>
      </c>
      <c r="H20" s="197">
        <f>IFERROR(__xludf.DUMMYFUNCTION("""COMPUTED_VALUE"""),42865.0)</f>
        <v>42865</v>
      </c>
      <c r="I20" s="199">
        <f>IFERROR(__xludf.DUMMYFUNCTION("""COMPUTED_VALUE"""),2.3194444444444446)</f>
        <v>2.319444444</v>
      </c>
      <c r="J20" s="200">
        <f>IFERROR(__xludf.DUMMYFUNCTION("""COMPUTED_VALUE"""),91.0)</f>
        <v>91</v>
      </c>
      <c r="K20" s="200">
        <f>IFERROR(__xludf.DUMMYFUNCTION("""COMPUTED_VALUE"""),13.0)</f>
        <v>13</v>
      </c>
      <c r="L20" s="201" t="str">
        <f>IFERROR(__xludf.DUMMYFUNCTION("""COMPUTED_VALUE"""),"Platformer / Action-Adventure")</f>
        <v>Platformer / Action-Adventure</v>
      </c>
      <c r="M20" s="201"/>
    </row>
    <row r="21">
      <c r="A21" s="190" t="str">
        <f>IFERROR(__xludf.DUMMYFUNCTION("""COMPUTED_VALUE"""),"Gears of War 3")</f>
        <v>Gears of War 3</v>
      </c>
      <c r="B21" s="195" t="str">
        <f>IFERROR(__xludf.DUMMYFUNCTION("""COMPUTED_VALUE"""),"Xbox")</f>
        <v>Xbox</v>
      </c>
      <c r="C21" s="196" t="str">
        <f>IFERROR(__xludf.DUMMYFUNCTION("""COMPUTED_VALUE"""),"Yes")</f>
        <v>Yes</v>
      </c>
      <c r="D21" s="196" t="str">
        <f>IFERROR(__xludf.DUMMYFUNCTION("""COMPUTED_VALUE"""),"Active")</f>
        <v>Active</v>
      </c>
      <c r="E21" s="197">
        <f>IFERROR(__xludf.DUMMYFUNCTION("""COMPUTED_VALUE"""),42887.0)</f>
        <v>42887</v>
      </c>
      <c r="F21" s="198"/>
      <c r="G21" s="199">
        <f>IFERROR(__xludf.DUMMYFUNCTION("""COMPUTED_VALUE"""),100.46666666666667)</f>
        <v>100.4666667</v>
      </c>
      <c r="H21" s="197">
        <f>IFERROR(__xludf.DUMMYFUNCTION("""COMPUTED_VALUE"""),40806.0)</f>
        <v>40806</v>
      </c>
      <c r="I21" s="199">
        <f>IFERROR(__xludf.DUMMYFUNCTION("""COMPUTED_VALUE"""),5.697222222222222)</f>
        <v>5.697222222</v>
      </c>
      <c r="J21" s="200">
        <f>IFERROR(__xludf.DUMMYFUNCTION("""COMPUTED_VALUE"""),91.0)</f>
        <v>91</v>
      </c>
      <c r="K21" s="200">
        <f>IFERROR(__xludf.DUMMYFUNCTION("""COMPUTED_VALUE"""),9.5)</f>
        <v>9.5</v>
      </c>
      <c r="L21" s="201" t="str">
        <f>IFERROR(__xludf.DUMMYFUNCTION("""COMPUTED_VALUE"""),"Action / Shooter")</f>
        <v>Action / Shooter</v>
      </c>
      <c r="M21" s="201" t="str">
        <f>IFERROR(__xludf.DUMMYFUNCTION("""COMPUTED_VALUE"""),"FPS Boost")</f>
        <v>FPS Boost</v>
      </c>
    </row>
    <row r="22">
      <c r="A22" s="190" t="str">
        <f>IFERROR(__xludf.DUMMYFUNCTION("""COMPUTED_VALUE"""),"Persona 4: Golden")</f>
        <v>Persona 4: Golden</v>
      </c>
      <c r="B22" s="195" t="str">
        <f>IFERROR(__xludf.DUMMYFUNCTION("""COMPUTED_VALUE"""),"Xbox / PC")</f>
        <v>Xbox / PC</v>
      </c>
      <c r="C22" s="196" t="str">
        <f>IFERROR(__xludf.DUMMYFUNCTION("""COMPUTED_VALUE"""),"Yes")</f>
        <v>Yes</v>
      </c>
      <c r="D22" s="196" t="str">
        <f>IFERROR(__xludf.DUMMYFUNCTION("""COMPUTED_VALUE"""),"Active")</f>
        <v>Active</v>
      </c>
      <c r="E22" s="197">
        <f>IFERROR(__xludf.DUMMYFUNCTION("""COMPUTED_VALUE"""),45889.0)</f>
        <v>45889</v>
      </c>
      <c r="F22" s="198"/>
      <c r="G22" s="199">
        <f>IFERROR(__xludf.DUMMYFUNCTION("""COMPUTED_VALUE"""),1.8333333333333335)</f>
        <v>1.833333333</v>
      </c>
      <c r="H22" s="197">
        <f>IFERROR(__xludf.DUMMYFUNCTION("""COMPUTED_VALUE"""),41074.0)</f>
        <v>41074</v>
      </c>
      <c r="I22" s="199">
        <f>IFERROR(__xludf.DUMMYFUNCTION("""COMPUTED_VALUE"""),13.183333333333334)</f>
        <v>13.18333333</v>
      </c>
      <c r="J22" s="200">
        <f>IFERROR(__xludf.DUMMYFUNCTION("""COMPUTED_VALUE"""),90.0)</f>
        <v>90</v>
      </c>
      <c r="K22" s="200">
        <f>IFERROR(__xludf.DUMMYFUNCTION("""COMPUTED_VALUE"""),68.5)</f>
        <v>68.5</v>
      </c>
      <c r="L22" s="201" t="str">
        <f>IFERROR(__xludf.DUMMYFUNCTION("""COMPUTED_VALUE"""),"RPG")</f>
        <v>RPG</v>
      </c>
      <c r="M22" s="201"/>
    </row>
    <row r="23">
      <c r="A23" s="190" t="str">
        <f>IFERROR(__xludf.DUMMYFUNCTION("""COMPUTED_VALUE"""),"Monster Train 2")</f>
        <v>Monster Train 2</v>
      </c>
      <c r="B23" s="195" t="str">
        <f>IFERROR(__xludf.DUMMYFUNCTION("""COMPUTED_VALUE"""),"Xbox / PC")</f>
        <v>Xbox / PC</v>
      </c>
      <c r="C23" s="196" t="str">
        <f>IFERROR(__xludf.DUMMYFUNCTION("""COMPUTED_VALUE"""),"Yes")</f>
        <v>Yes</v>
      </c>
      <c r="D23" s="196" t="str">
        <f>IFERROR(__xludf.DUMMYFUNCTION("""COMPUTED_VALUE"""),"Active")</f>
        <v>Active</v>
      </c>
      <c r="E23" s="197">
        <f>IFERROR(__xludf.DUMMYFUNCTION("""COMPUTED_VALUE"""),45798.0)</f>
        <v>45798</v>
      </c>
      <c r="F23" s="198"/>
      <c r="G23" s="199">
        <f>IFERROR(__xludf.DUMMYFUNCTION("""COMPUTED_VALUE"""),4.800000000000001)</f>
        <v>4.8</v>
      </c>
      <c r="H23" s="197">
        <f>IFERROR(__xludf.DUMMYFUNCTION("""COMPUTED_VALUE"""),45798.0)</f>
        <v>45798</v>
      </c>
      <c r="I23" s="199">
        <f>IFERROR(__xludf.DUMMYFUNCTION("""COMPUTED_VALUE"""),0.0)</f>
        <v>0</v>
      </c>
      <c r="J23" s="200">
        <f>IFERROR(__xludf.DUMMYFUNCTION("""COMPUTED_VALUE"""),90.0)</f>
        <v>90</v>
      </c>
      <c r="K23" s="200">
        <f>IFERROR(__xludf.DUMMYFUNCTION("""COMPUTED_VALUE"""),6.0)</f>
        <v>6</v>
      </c>
      <c r="L23" s="201" t="str">
        <f>IFERROR(__xludf.DUMMYFUNCTION("""COMPUTED_VALUE"""),"Card Battle")</f>
        <v>Card Battle</v>
      </c>
      <c r="M23" s="201" t="str">
        <f>IFERROR(__xludf.DUMMYFUNCTION("""COMPUTED_VALUE"""),"Exclusive")</f>
        <v>Exclusive</v>
      </c>
    </row>
    <row r="24">
      <c r="A24" s="190" t="str">
        <f>IFERROR(__xludf.DUMMYFUNCTION("""COMPUTED_VALUE"""),"Balatro")</f>
        <v>Balatro</v>
      </c>
      <c r="B24" s="195" t="str">
        <f>IFERROR(__xludf.DUMMYFUNCTION("""COMPUTED_VALUE"""),"Xbox / PC")</f>
        <v>Xbox / PC</v>
      </c>
      <c r="C24" s="196" t="str">
        <f>IFERROR(__xludf.DUMMYFUNCTION("""COMPUTED_VALUE"""),"Yes")</f>
        <v>Yes</v>
      </c>
      <c r="D24" s="196" t="str">
        <f>IFERROR(__xludf.DUMMYFUNCTION("""COMPUTED_VALUE"""),"Active")</f>
        <v>Active</v>
      </c>
      <c r="E24" s="197">
        <f>IFERROR(__xludf.DUMMYFUNCTION("""COMPUTED_VALUE"""),45712.0)</f>
        <v>45712</v>
      </c>
      <c r="F24" s="198"/>
      <c r="G24" s="199">
        <f>IFERROR(__xludf.DUMMYFUNCTION("""COMPUTED_VALUE"""),7.700000000000001)</f>
        <v>7.7</v>
      </c>
      <c r="H24" s="197">
        <f>IFERROR(__xludf.DUMMYFUNCTION("""COMPUTED_VALUE"""),45616.0)</f>
        <v>45616</v>
      </c>
      <c r="I24" s="199">
        <f>IFERROR(__xludf.DUMMYFUNCTION("""COMPUTED_VALUE"""),0.2611111111111111)</f>
        <v>0.2611111111</v>
      </c>
      <c r="J24" s="200">
        <f>IFERROR(__xludf.DUMMYFUNCTION("""COMPUTED_VALUE"""),90.0)</f>
        <v>90</v>
      </c>
      <c r="K24" s="200">
        <f>IFERROR(__xludf.DUMMYFUNCTION("""COMPUTED_VALUE"""),7.0)</f>
        <v>7</v>
      </c>
      <c r="L24" s="201" t="str">
        <f>IFERROR(__xludf.DUMMYFUNCTION("""COMPUTED_VALUE"""),"Card Battle")</f>
        <v>Card Battle</v>
      </c>
      <c r="M24" s="201"/>
    </row>
    <row r="25">
      <c r="A25" s="190" t="str">
        <f>IFERROR(__xludf.DUMMYFUNCTION("""COMPUTED_VALUE"""),"Dead Space 2")</f>
        <v>Dead Space 2</v>
      </c>
      <c r="B25" s="195" t="str">
        <f>IFERROR(__xludf.DUMMYFUNCTION("""COMPUTED_VALUE"""),"Xbox / PC")</f>
        <v>Xbox / PC</v>
      </c>
      <c r="C25" s="196" t="str">
        <f>IFERROR(__xludf.DUMMYFUNCTION("""COMPUTED_VALUE"""),"Yes")</f>
        <v>Yes</v>
      </c>
      <c r="D25" s="196" t="str">
        <f>IFERROR(__xludf.DUMMYFUNCTION("""COMPUTED_VALUE"""),"Active")</f>
        <v>Active</v>
      </c>
      <c r="E25" s="197">
        <f>IFERROR(__xludf.DUMMYFUNCTION("""COMPUTED_VALUE"""),44145.0)</f>
        <v>44145</v>
      </c>
      <c r="F25" s="198"/>
      <c r="G25" s="199">
        <f>IFERROR(__xludf.DUMMYFUNCTION("""COMPUTED_VALUE"""),59.166666666666664)</f>
        <v>59.16666667</v>
      </c>
      <c r="H25" s="197">
        <f>IFERROR(__xludf.DUMMYFUNCTION("""COMPUTED_VALUE"""),40568.0)</f>
        <v>40568</v>
      </c>
      <c r="I25" s="199">
        <f>IFERROR(__xludf.DUMMYFUNCTION("""COMPUTED_VALUE"""),9.791666666666666)</f>
        <v>9.791666667</v>
      </c>
      <c r="J25" s="200">
        <f>IFERROR(__xludf.DUMMYFUNCTION("""COMPUTED_VALUE"""),90.0)</f>
        <v>90</v>
      </c>
      <c r="K25" s="200">
        <f>IFERROR(__xludf.DUMMYFUNCTION("""COMPUTED_VALUE"""),9.0)</f>
        <v>9</v>
      </c>
      <c r="L25" s="201" t="str">
        <f>IFERROR(__xludf.DUMMYFUNCTION("""COMPUTED_VALUE"""),"Action / Shooter")</f>
        <v>Action / Shooter</v>
      </c>
      <c r="M25" s="201" t="str">
        <f>IFERROR(__xludf.DUMMYFUNCTION("""COMPUTED_VALUE"""),"FPS Boost")</f>
        <v>FPS Boost</v>
      </c>
    </row>
    <row r="26">
      <c r="A26" s="190" t="str">
        <f>IFERROR(__xludf.DUMMYFUNCTION("""COMPUTED_VALUE"""),"The Bard's Tale ARPG: Remastered and Resnarkled")</f>
        <v>The Bard's Tale ARPG: Remastered and Resnarkled</v>
      </c>
      <c r="B26" s="195" t="str">
        <f>IFERROR(__xludf.DUMMYFUNCTION("""COMPUTED_VALUE"""),"Xbox / PC")</f>
        <v>Xbox / PC</v>
      </c>
      <c r="C26" s="196" t="str">
        <f>IFERROR(__xludf.DUMMYFUNCTION("""COMPUTED_VALUE"""),"Touch Controls")</f>
        <v>Touch Controls</v>
      </c>
      <c r="D26" s="196" t="str">
        <f>IFERROR(__xludf.DUMMYFUNCTION("""COMPUTED_VALUE"""),"Active")</f>
        <v>Active</v>
      </c>
      <c r="E26" s="197">
        <f>IFERROR(__xludf.DUMMYFUNCTION("""COMPUTED_VALUE"""),44000.0)</f>
        <v>44000</v>
      </c>
      <c r="F26" s="198"/>
      <c r="G26" s="199">
        <f>IFERROR(__xludf.DUMMYFUNCTION("""COMPUTED_VALUE"""),63.900000000000006)</f>
        <v>63.9</v>
      </c>
      <c r="H26" s="197">
        <f>IFERROR(__xludf.DUMMYFUNCTION("""COMPUTED_VALUE"""),44000.0)</f>
        <v>44000</v>
      </c>
      <c r="I26" s="199">
        <f>IFERROR(__xludf.DUMMYFUNCTION("""COMPUTED_VALUE"""),0.0)</f>
        <v>0</v>
      </c>
      <c r="J26" s="200">
        <f>IFERROR(__xludf.DUMMYFUNCTION("""COMPUTED_VALUE"""),90.0)</f>
        <v>90</v>
      </c>
      <c r="K26" s="200">
        <f>IFERROR(__xludf.DUMMYFUNCTION("""COMPUTED_VALUE"""),14.0)</f>
        <v>14</v>
      </c>
      <c r="L26" s="201" t="str">
        <f>IFERROR(__xludf.DUMMYFUNCTION("""COMPUTED_VALUE"""),"RPG")</f>
        <v>RPG</v>
      </c>
      <c r="M26" s="201"/>
    </row>
    <row r="27">
      <c r="A27" s="190" t="str">
        <f>IFERROR(__xludf.DUMMYFUNCTION("""COMPUTED_VALUE"""),"Ori and the Will of the Wisps")</f>
        <v>Ori and the Will of the Wisps</v>
      </c>
      <c r="B27" s="195" t="str">
        <f>IFERROR(__xludf.DUMMYFUNCTION("""COMPUTED_VALUE"""),"Xbox / PC")</f>
        <v>Xbox / PC</v>
      </c>
      <c r="C27" s="196" t="str">
        <f>IFERROR(__xludf.DUMMYFUNCTION("""COMPUTED_VALUE"""),"Yes")</f>
        <v>Yes</v>
      </c>
      <c r="D27" s="196" t="str">
        <f>IFERROR(__xludf.DUMMYFUNCTION("""COMPUTED_VALUE"""),"Active")</f>
        <v>Active</v>
      </c>
      <c r="E27" s="197">
        <f>IFERROR(__xludf.DUMMYFUNCTION("""COMPUTED_VALUE"""),43901.0)</f>
        <v>43901</v>
      </c>
      <c r="F27" s="198"/>
      <c r="G27" s="199">
        <f>IFERROR(__xludf.DUMMYFUNCTION("""COMPUTED_VALUE"""),67.13333333333333)</f>
        <v>67.13333333</v>
      </c>
      <c r="H27" s="197">
        <f>IFERROR(__xludf.DUMMYFUNCTION("""COMPUTED_VALUE"""),43901.0)</f>
        <v>43901</v>
      </c>
      <c r="I27" s="199">
        <f>IFERROR(__xludf.DUMMYFUNCTION("""COMPUTED_VALUE"""),0.0)</f>
        <v>0</v>
      </c>
      <c r="J27" s="200">
        <f>IFERROR(__xludf.DUMMYFUNCTION("""COMPUTED_VALUE"""),90.0)</f>
        <v>90</v>
      </c>
      <c r="K27" s="200">
        <f>IFERROR(__xludf.DUMMYFUNCTION("""COMPUTED_VALUE"""),11.0)</f>
        <v>11</v>
      </c>
      <c r="L27" s="201" t="str">
        <f>IFERROR(__xludf.DUMMYFUNCTION("""COMPUTED_VALUE"""),"Action / Platformer")</f>
        <v>Action / Platformer</v>
      </c>
      <c r="M27" s="201" t="str">
        <f>IFERROR(__xludf.DUMMYFUNCTION("""COMPUTED_VALUE"""),"Optimized")</f>
        <v>Optimized</v>
      </c>
    </row>
    <row r="28">
      <c r="A28" s="190" t="str">
        <f>IFERROR(__xludf.DUMMYFUNCTION("""COMPUTED_VALUE"""),"Hollow Knight: Voidheart Edition")</f>
        <v>Hollow Knight: Voidheart Edition</v>
      </c>
      <c r="B28" s="195" t="str">
        <f>IFERROR(__xludf.DUMMYFUNCTION("""COMPUTED_VALUE"""),"Xbox / PC")</f>
        <v>Xbox / PC</v>
      </c>
      <c r="C28" s="196" t="str">
        <f>IFERROR(__xludf.DUMMYFUNCTION("""COMPUTED_VALUE"""),"Yes")</f>
        <v>Yes</v>
      </c>
      <c r="D28" s="196" t="str">
        <f>IFERROR(__xludf.DUMMYFUNCTION("""COMPUTED_VALUE"""),"Active")</f>
        <v>Active</v>
      </c>
      <c r="E28" s="197">
        <f>IFERROR(__xludf.DUMMYFUNCTION("""COMPUTED_VALUE"""),43625.0)</f>
        <v>43625</v>
      </c>
      <c r="F28" s="198"/>
      <c r="G28" s="199">
        <f>IFERROR(__xludf.DUMMYFUNCTION("""COMPUTED_VALUE"""),76.19999999999999)</f>
        <v>76.2</v>
      </c>
      <c r="H28" s="197">
        <f>IFERROR(__xludf.DUMMYFUNCTION("""COMPUTED_VALUE"""),42790.0)</f>
        <v>42790</v>
      </c>
      <c r="I28" s="199">
        <f>IFERROR(__xludf.DUMMYFUNCTION("""COMPUTED_VALUE"""),2.2916666666666665)</f>
        <v>2.291666667</v>
      </c>
      <c r="J28" s="200">
        <f>IFERROR(__xludf.DUMMYFUNCTION("""COMPUTED_VALUE"""),90.0)</f>
        <v>90</v>
      </c>
      <c r="K28" s="200">
        <f>IFERROR(__xludf.DUMMYFUNCTION("""COMPUTED_VALUE"""),25.0)</f>
        <v>25</v>
      </c>
      <c r="L28" s="201" t="str">
        <f>IFERROR(__xludf.DUMMYFUNCTION("""COMPUTED_VALUE"""),"Platformer / Action-Adventure")</f>
        <v>Platformer / Action-Adventure</v>
      </c>
      <c r="M28" s="201" t="str">
        <f>IFERROR(__xludf.DUMMYFUNCTION("""COMPUTED_VALUE"""),"FPS Boost")</f>
        <v>FPS Boost</v>
      </c>
    </row>
    <row r="29">
      <c r="A29" s="190" t="str">
        <f>IFERROR(__xludf.DUMMYFUNCTION("""COMPUTED_VALUE"""),"Neon White")</f>
        <v>Neon White</v>
      </c>
      <c r="B29" s="195" t="str">
        <f>IFERROR(__xludf.DUMMYFUNCTION("""COMPUTED_VALUE"""),"Xbox / PC")</f>
        <v>Xbox / PC</v>
      </c>
      <c r="C29" s="196" t="str">
        <f>IFERROR(__xludf.DUMMYFUNCTION("""COMPUTED_VALUE"""),"Yes")</f>
        <v>Yes</v>
      </c>
      <c r="D29" s="196" t="str">
        <f>IFERROR(__xludf.DUMMYFUNCTION("""COMPUTED_VALUE"""),"Active")</f>
        <v>Active</v>
      </c>
      <c r="E29" s="197">
        <f>IFERROR(__xludf.DUMMYFUNCTION("""COMPUTED_VALUE"""),45484.0)</f>
        <v>45484</v>
      </c>
      <c r="F29" s="198"/>
      <c r="G29" s="199">
        <f>IFERROR(__xludf.DUMMYFUNCTION("""COMPUTED_VALUE"""),15.133333333333333)</f>
        <v>15.13333333</v>
      </c>
      <c r="H29" s="197">
        <f>IFERROR(__xludf.DUMMYFUNCTION("""COMPUTED_VALUE"""),44728.0)</f>
        <v>44728</v>
      </c>
      <c r="I29" s="199">
        <f>IFERROR(__xludf.DUMMYFUNCTION("""COMPUTED_VALUE"""),2.0694444444444446)</f>
        <v>2.069444444</v>
      </c>
      <c r="J29" s="200">
        <f>IFERROR(__xludf.DUMMYFUNCTION("""COMPUTED_VALUE"""),89.0)</f>
        <v>89</v>
      </c>
      <c r="K29" s="200">
        <f>IFERROR(__xludf.DUMMYFUNCTION("""COMPUTED_VALUE"""),11.0)</f>
        <v>11</v>
      </c>
      <c r="L29" s="201" t="str">
        <f>IFERROR(__xludf.DUMMYFUNCTION("""COMPUTED_VALUE"""),"First-Person Shooter")</f>
        <v>First-Person Shooter</v>
      </c>
      <c r="M29" s="201"/>
    </row>
    <row r="30">
      <c r="A30" s="190" t="str">
        <f>IFERROR(__xludf.DUMMYFUNCTION("""COMPUTED_VALUE"""),"Hi-Fi RUSH")</f>
        <v>Hi-Fi RUSH</v>
      </c>
      <c r="B30" s="195" t="str">
        <f>IFERROR(__xludf.DUMMYFUNCTION("""COMPUTED_VALUE"""),"Xbox / PC")</f>
        <v>Xbox / PC</v>
      </c>
      <c r="C30" s="196" t="str">
        <f>IFERROR(__xludf.DUMMYFUNCTION("""COMPUTED_VALUE"""),"Yes")</f>
        <v>Yes</v>
      </c>
      <c r="D30" s="196" t="str">
        <f>IFERROR(__xludf.DUMMYFUNCTION("""COMPUTED_VALUE"""),"Active")</f>
        <v>Active</v>
      </c>
      <c r="E30" s="197">
        <f>IFERROR(__xludf.DUMMYFUNCTION("""COMPUTED_VALUE"""),44951.0)</f>
        <v>44951</v>
      </c>
      <c r="F30" s="198"/>
      <c r="G30" s="199">
        <f>IFERROR(__xludf.DUMMYFUNCTION("""COMPUTED_VALUE"""),32.66666666666667)</f>
        <v>32.66666667</v>
      </c>
      <c r="H30" s="197">
        <f>IFERROR(__xludf.DUMMYFUNCTION("""COMPUTED_VALUE"""),44951.0)</f>
        <v>44951</v>
      </c>
      <c r="I30" s="199">
        <f>IFERROR(__xludf.DUMMYFUNCTION("""COMPUTED_VALUE"""),0.0)</f>
        <v>0</v>
      </c>
      <c r="J30" s="200">
        <f>IFERROR(__xludf.DUMMYFUNCTION("""COMPUTED_VALUE"""),89.0)</f>
        <v>89</v>
      </c>
      <c r="K30" s="200">
        <f>IFERROR(__xludf.DUMMYFUNCTION("""COMPUTED_VALUE"""),10.0)</f>
        <v>10</v>
      </c>
      <c r="L30" s="201" t="str">
        <f>IFERROR(__xludf.DUMMYFUNCTION("""COMPUTED_VALUE"""),"Action / Music/Rhythm")</f>
        <v>Action / Music/Rhythm</v>
      </c>
      <c r="M30" s="201" t="str">
        <f>IFERROR(__xludf.DUMMYFUNCTION("""COMPUTED_VALUE"""),"Exclusive")</f>
        <v>Exclusive</v>
      </c>
    </row>
    <row r="31">
      <c r="A31" s="190" t="str">
        <f>IFERROR(__xludf.DUMMYFUNCTION("""COMPUTED_VALUE"""),"DEATHLOOP")</f>
        <v>DEATHLOOP</v>
      </c>
      <c r="B31" s="195" t="str">
        <f>IFERROR(__xludf.DUMMYFUNCTION("""COMPUTED_VALUE"""),"Xbox / PC")</f>
        <v>Xbox / PC</v>
      </c>
      <c r="C31" s="196" t="str">
        <f>IFERROR(__xludf.DUMMYFUNCTION("""COMPUTED_VALUE"""),"Yes")</f>
        <v>Yes</v>
      </c>
      <c r="D31" s="196" t="str">
        <f>IFERROR(__xludf.DUMMYFUNCTION("""COMPUTED_VALUE"""),"Active")</f>
        <v>Active</v>
      </c>
      <c r="E31" s="197">
        <f>IFERROR(__xludf.DUMMYFUNCTION("""COMPUTED_VALUE"""),44824.0)</f>
        <v>44824</v>
      </c>
      <c r="F31" s="198"/>
      <c r="G31" s="199">
        <f>IFERROR(__xludf.DUMMYFUNCTION("""COMPUTED_VALUE"""),36.833333333333336)</f>
        <v>36.83333333</v>
      </c>
      <c r="H31" s="197">
        <f>IFERROR(__xludf.DUMMYFUNCTION("""COMPUTED_VALUE"""),44453.0)</f>
        <v>44453</v>
      </c>
      <c r="I31" s="199">
        <f>IFERROR(__xludf.DUMMYFUNCTION("""COMPUTED_VALUE"""),1.0166666666666666)</f>
        <v>1.016666667</v>
      </c>
      <c r="J31" s="200">
        <f>IFERROR(__xludf.DUMMYFUNCTION("""COMPUTED_VALUE"""),89.0)</f>
        <v>89</v>
      </c>
      <c r="K31" s="200">
        <f>IFERROR(__xludf.DUMMYFUNCTION("""COMPUTED_VALUE"""),16.0)</f>
        <v>16</v>
      </c>
      <c r="L31" s="201" t="str">
        <f>IFERROR(__xludf.DUMMYFUNCTION("""COMPUTED_VALUE"""),"Action / Strategy")</f>
        <v>Action / Strategy</v>
      </c>
      <c r="M31" s="201" t="str">
        <f>IFERROR(__xludf.DUMMYFUNCTION("""COMPUTED_VALUE"""),"Exclusive")</f>
        <v>Exclusive</v>
      </c>
    </row>
    <row r="32">
      <c r="A32" s="190" t="str">
        <f>IFERROR(__xludf.DUMMYFUNCTION("""COMPUTED_VALUE"""),"Stardew Valley")</f>
        <v>Stardew Valley</v>
      </c>
      <c r="B32" s="195" t="str">
        <f>IFERROR(__xludf.DUMMYFUNCTION("""COMPUTED_VALUE"""),"Xbox / PC")</f>
        <v>Xbox / PC</v>
      </c>
      <c r="C32" s="196" t="str">
        <f>IFERROR(__xludf.DUMMYFUNCTION("""COMPUTED_VALUE"""),"Touch Controls")</f>
        <v>Touch Controls</v>
      </c>
      <c r="D32" s="196" t="str">
        <f>IFERROR(__xludf.DUMMYFUNCTION("""COMPUTED_VALUE"""),"Active")</f>
        <v>Active</v>
      </c>
      <c r="E32" s="197">
        <f>IFERROR(__xludf.DUMMYFUNCTION("""COMPUTED_VALUE"""),44532.0)</f>
        <v>44532</v>
      </c>
      <c r="F32" s="198"/>
      <c r="G32" s="199">
        <f>IFERROR(__xludf.DUMMYFUNCTION("""COMPUTED_VALUE"""),46.43333333333334)</f>
        <v>46.43333333</v>
      </c>
      <c r="H32" s="197">
        <f>IFERROR(__xludf.DUMMYFUNCTION("""COMPUTED_VALUE"""),42426.0)</f>
        <v>42426</v>
      </c>
      <c r="I32" s="199">
        <f>IFERROR(__xludf.DUMMYFUNCTION("""COMPUTED_VALUE"""),5.766666666666667)</f>
        <v>5.766666667</v>
      </c>
      <c r="J32" s="200">
        <f>IFERROR(__xludf.DUMMYFUNCTION("""COMPUTED_VALUE"""),89.0)</f>
        <v>89</v>
      </c>
      <c r="K32" s="200">
        <f>IFERROR(__xludf.DUMMYFUNCTION("""COMPUTED_VALUE"""),52.5)</f>
        <v>52.5</v>
      </c>
      <c r="L32" s="201" t="str">
        <f>IFERROR(__xludf.DUMMYFUNCTION("""COMPUTED_VALUE"""),"RPG / Simulation / Fishing / Action-Adventure")</f>
        <v>RPG / Simulation / Fishing / Action-Adventure</v>
      </c>
      <c r="M32" s="201"/>
    </row>
    <row r="33">
      <c r="A33" s="190" t="str">
        <f>IFERROR(__xludf.DUMMYFUNCTION("""COMPUTED_VALUE"""),"Psychonauts 2")</f>
        <v>Psychonauts 2</v>
      </c>
      <c r="B33" s="195" t="str">
        <f>IFERROR(__xludf.DUMMYFUNCTION("""COMPUTED_VALUE"""),"Xbox / PC")</f>
        <v>Xbox / PC</v>
      </c>
      <c r="C33" s="196" t="str">
        <f>IFERROR(__xludf.DUMMYFUNCTION("""COMPUTED_VALUE"""),"Touch Controls")</f>
        <v>Touch Controls</v>
      </c>
      <c r="D33" s="196" t="str">
        <f>IFERROR(__xludf.DUMMYFUNCTION("""COMPUTED_VALUE"""),"Active")</f>
        <v>Active</v>
      </c>
      <c r="E33" s="197">
        <f>IFERROR(__xludf.DUMMYFUNCTION("""COMPUTED_VALUE"""),44433.0)</f>
        <v>44433</v>
      </c>
      <c r="F33" s="198"/>
      <c r="G33" s="199">
        <f>IFERROR(__xludf.DUMMYFUNCTION("""COMPUTED_VALUE"""),49.66666666666667)</f>
        <v>49.66666667</v>
      </c>
      <c r="H33" s="197">
        <f>IFERROR(__xludf.DUMMYFUNCTION("""COMPUTED_VALUE"""),44433.0)</f>
        <v>44433</v>
      </c>
      <c r="I33" s="199">
        <f>IFERROR(__xludf.DUMMYFUNCTION("""COMPUTED_VALUE"""),0.0)</f>
        <v>0</v>
      </c>
      <c r="J33" s="200">
        <f>IFERROR(__xludf.DUMMYFUNCTION("""COMPUTED_VALUE"""),89.0)</f>
        <v>89</v>
      </c>
      <c r="K33" s="200">
        <f>IFERROR(__xludf.DUMMYFUNCTION("""COMPUTED_VALUE"""),14.0)</f>
        <v>14</v>
      </c>
      <c r="L33" s="201" t="str">
        <f>IFERROR(__xludf.DUMMYFUNCTION("""COMPUTED_VALUE"""),"Platformer / Action-Adventure")</f>
        <v>Platformer / Action-Adventure</v>
      </c>
      <c r="M33" s="201"/>
    </row>
    <row r="34">
      <c r="A34" s="190" t="str">
        <f>IFERROR(__xludf.DUMMYFUNCTION("""COMPUTED_VALUE"""),"Quake II")</f>
        <v>Quake II</v>
      </c>
      <c r="B34" s="195" t="str">
        <f>IFERROR(__xludf.DUMMYFUNCTION("""COMPUTED_VALUE"""),"Xbox / PC")</f>
        <v>Xbox / PC</v>
      </c>
      <c r="C34" s="196" t="str">
        <f>IFERROR(__xludf.DUMMYFUNCTION("""COMPUTED_VALUE"""),"M+KB")</f>
        <v>M+KB</v>
      </c>
      <c r="D34" s="196" t="str">
        <f>IFERROR(__xludf.DUMMYFUNCTION("""COMPUTED_VALUE"""),"Active")</f>
        <v>Active</v>
      </c>
      <c r="E34" s="197">
        <f>IFERROR(__xludf.DUMMYFUNCTION("""COMPUTED_VALUE"""),44427.0)</f>
        <v>44427</v>
      </c>
      <c r="F34" s="198"/>
      <c r="G34" s="199">
        <f>IFERROR(__xludf.DUMMYFUNCTION("""COMPUTED_VALUE"""),49.866666666666674)</f>
        <v>49.86666667</v>
      </c>
      <c r="H34" s="197">
        <f>IFERROR(__xludf.DUMMYFUNCTION("""COMPUTED_VALUE"""),35773.0)</f>
        <v>35773</v>
      </c>
      <c r="I34" s="199">
        <f>IFERROR(__xludf.DUMMYFUNCTION("""COMPUTED_VALUE"""),23.694444444444443)</f>
        <v>23.69444444</v>
      </c>
      <c r="J34" s="200">
        <f>IFERROR(__xludf.DUMMYFUNCTION("""COMPUTED_VALUE"""),89.0)</f>
        <v>89</v>
      </c>
      <c r="K34" s="200">
        <f>IFERROR(__xludf.DUMMYFUNCTION("""COMPUTED_VALUE"""),8.0)</f>
        <v>8</v>
      </c>
      <c r="L34" s="201" t="str">
        <f>IFERROR(__xludf.DUMMYFUNCTION("""COMPUTED_VALUE"""),"Action / First-Person Shooter")</f>
        <v>Action / First-Person Shooter</v>
      </c>
      <c r="M34" s="201"/>
    </row>
    <row r="35">
      <c r="A35" s="190" t="str">
        <f>IFERROR(__xludf.DUMMYFUNCTION("""COMPUTED_VALUE"""),"Dead Space")</f>
        <v>Dead Space</v>
      </c>
      <c r="B35" s="195" t="str">
        <f>IFERROR(__xludf.DUMMYFUNCTION("""COMPUTED_VALUE"""),"Xbox / PC")</f>
        <v>Xbox / PC</v>
      </c>
      <c r="C35" s="196" t="str">
        <f>IFERROR(__xludf.DUMMYFUNCTION("""COMPUTED_VALUE"""),"Yes")</f>
        <v>Yes</v>
      </c>
      <c r="D35" s="196" t="str">
        <f>IFERROR(__xludf.DUMMYFUNCTION("""COMPUTED_VALUE"""),"Active")</f>
        <v>Active</v>
      </c>
      <c r="E35" s="197">
        <f>IFERROR(__xludf.DUMMYFUNCTION("""COMPUTED_VALUE"""),44145.0)</f>
        <v>44145</v>
      </c>
      <c r="F35" s="198"/>
      <c r="G35" s="199">
        <f>IFERROR(__xludf.DUMMYFUNCTION("""COMPUTED_VALUE"""),59.166666666666664)</f>
        <v>59.16666667</v>
      </c>
      <c r="H35" s="197">
        <f>IFERROR(__xludf.DUMMYFUNCTION("""COMPUTED_VALUE"""),39735.0)</f>
        <v>39735</v>
      </c>
      <c r="I35" s="199">
        <f>IFERROR(__xludf.DUMMYFUNCTION("""COMPUTED_VALUE"""),12.072222222222223)</f>
        <v>12.07222222</v>
      </c>
      <c r="J35" s="200">
        <f>IFERROR(__xludf.DUMMYFUNCTION("""COMPUTED_VALUE"""),89.0)</f>
        <v>89</v>
      </c>
      <c r="K35" s="200">
        <f>IFERROR(__xludf.DUMMYFUNCTION("""COMPUTED_VALUE"""),11.0)</f>
        <v>11</v>
      </c>
      <c r="L35" s="201" t="str">
        <f>IFERROR(__xludf.DUMMYFUNCTION("""COMPUTED_VALUE"""),"Action")</f>
        <v>Action</v>
      </c>
      <c r="M35" s="201"/>
    </row>
    <row r="36">
      <c r="A36" s="190" t="str">
        <f>IFERROR(__xludf.DUMMYFUNCTION("""COMPUTED_VALUE"""),"Peggle 2")</f>
        <v>Peggle 2</v>
      </c>
      <c r="B36" s="195" t="str">
        <f>IFERROR(__xludf.DUMMYFUNCTION("""COMPUTED_VALUE"""),"Xbox")</f>
        <v>Xbox</v>
      </c>
      <c r="C36" s="196" t="str">
        <f>IFERROR(__xludf.DUMMYFUNCTION("""COMPUTED_VALUE"""),"Touch Controls")</f>
        <v>Touch Controls</v>
      </c>
      <c r="D36" s="196" t="str">
        <f>IFERROR(__xludf.DUMMYFUNCTION("""COMPUTED_VALUE"""),"Active")</f>
        <v>Active</v>
      </c>
      <c r="E36" s="197">
        <f>IFERROR(__xludf.DUMMYFUNCTION("""COMPUTED_VALUE"""),44145.0)</f>
        <v>44145</v>
      </c>
      <c r="F36" s="198"/>
      <c r="G36" s="199">
        <f>IFERROR(__xludf.DUMMYFUNCTION("""COMPUTED_VALUE"""),59.166666666666664)</f>
        <v>59.16666667</v>
      </c>
      <c r="H36" s="197">
        <f>IFERROR(__xludf.DUMMYFUNCTION("""COMPUTED_VALUE"""),41529.0)</f>
        <v>41529</v>
      </c>
      <c r="I36" s="199">
        <f>IFERROR(__xludf.DUMMYFUNCTION("""COMPUTED_VALUE"""),7.161111111111111)</f>
        <v>7.161111111</v>
      </c>
      <c r="J36" s="200">
        <f>IFERROR(__xludf.DUMMYFUNCTION("""COMPUTED_VALUE"""),89.0)</f>
        <v>89</v>
      </c>
      <c r="K36" s="200">
        <f>IFERROR(__xludf.DUMMYFUNCTION("""COMPUTED_VALUE"""),6.0)</f>
        <v>6</v>
      </c>
      <c r="L36" s="201" t="str">
        <f>IFERROR(__xludf.DUMMYFUNCTION("""COMPUTED_VALUE"""),"Puzzle")</f>
        <v>Puzzle</v>
      </c>
      <c r="M36" s="201"/>
    </row>
    <row r="37">
      <c r="A37" s="190" t="str">
        <f>IFERROR(__xludf.DUMMYFUNCTION("""COMPUTED_VALUE"""),"The Walking Dead: The Complete First Season")</f>
        <v>The Walking Dead: The Complete First Season</v>
      </c>
      <c r="B37" s="195" t="str">
        <f>IFERROR(__xludf.DUMMYFUNCTION("""COMPUTED_VALUE"""),"Xbox / PC")</f>
        <v>Xbox / PC</v>
      </c>
      <c r="C37" s="196" t="str">
        <f>IFERROR(__xludf.DUMMYFUNCTION("""COMPUTED_VALUE"""),"Touch Controls")</f>
        <v>Touch Controls</v>
      </c>
      <c r="D37" s="196" t="str">
        <f>IFERROR(__xludf.DUMMYFUNCTION("""COMPUTED_VALUE"""),"Active")</f>
        <v>Active</v>
      </c>
      <c r="E37" s="197">
        <f>IFERROR(__xludf.DUMMYFUNCTION("""COMPUTED_VALUE"""),43503.0)</f>
        <v>43503</v>
      </c>
      <c r="F37" s="198"/>
      <c r="G37" s="199">
        <f>IFERROR(__xludf.DUMMYFUNCTION("""COMPUTED_VALUE"""),80.26666666666667)</f>
        <v>80.26666667</v>
      </c>
      <c r="H37" s="197">
        <f>IFERROR(__xludf.DUMMYFUNCTION("""COMPUTED_VALUE"""),43074.0)</f>
        <v>43074</v>
      </c>
      <c r="I37" s="199">
        <f>IFERROR(__xludf.DUMMYFUNCTION("""COMPUTED_VALUE"""),1.1722222222222223)</f>
        <v>1.172222222</v>
      </c>
      <c r="J37" s="200">
        <f>IFERROR(__xludf.DUMMYFUNCTION("""COMPUTED_VALUE"""),89.0)</f>
        <v>89</v>
      </c>
      <c r="K37" s="200">
        <f>IFERROR(__xludf.DUMMYFUNCTION("""COMPUTED_VALUE"""),13.0)</f>
        <v>13</v>
      </c>
      <c r="L37" s="201" t="str">
        <f>IFERROR(__xludf.DUMMYFUNCTION("""COMPUTED_VALUE"""),"Light-Gun Shooter")</f>
        <v>Light-Gun Shooter</v>
      </c>
      <c r="M37" s="201"/>
    </row>
    <row r="38">
      <c r="A38" s="190" t="str">
        <f>IFERROR(__xludf.DUMMYFUNCTION("""COMPUTED_VALUE"""),"Fable II")</f>
        <v>Fable II</v>
      </c>
      <c r="B38" s="195" t="str">
        <f>IFERROR(__xludf.DUMMYFUNCTION("""COMPUTED_VALUE"""),"Xbox")</f>
        <v>Xbox</v>
      </c>
      <c r="C38" s="196" t="str">
        <f>IFERROR(__xludf.DUMMYFUNCTION("""COMPUTED_VALUE"""),"Touch Controls")</f>
        <v>Touch Controls</v>
      </c>
      <c r="D38" s="196" t="str">
        <f>IFERROR(__xludf.DUMMYFUNCTION("""COMPUTED_VALUE"""),"Active")</f>
        <v>Active</v>
      </c>
      <c r="E38" s="197">
        <f>IFERROR(__xludf.DUMMYFUNCTION("""COMPUTED_VALUE"""),42979.0)</f>
        <v>42979</v>
      </c>
      <c r="F38" s="198"/>
      <c r="G38" s="199">
        <f>IFERROR(__xludf.DUMMYFUNCTION("""COMPUTED_VALUE"""),97.46666666666667)</f>
        <v>97.46666667</v>
      </c>
      <c r="H38" s="197">
        <f>IFERROR(__xludf.DUMMYFUNCTION("""COMPUTED_VALUE"""),39742.0)</f>
        <v>39742</v>
      </c>
      <c r="I38" s="199">
        <f>IFERROR(__xludf.DUMMYFUNCTION("""COMPUTED_VALUE"""),8.86111111111111)</f>
        <v>8.861111111</v>
      </c>
      <c r="J38" s="200">
        <f>IFERROR(__xludf.DUMMYFUNCTION("""COMPUTED_VALUE"""),89.0)</f>
        <v>89</v>
      </c>
      <c r="K38" s="200">
        <f>IFERROR(__xludf.DUMMYFUNCTION("""COMPUTED_VALUE"""),13.0)</f>
        <v>13</v>
      </c>
      <c r="L38" s="201" t="str">
        <f>IFERROR(__xludf.DUMMYFUNCTION("""COMPUTED_VALUE"""),"Adventure")</f>
        <v>Adventure</v>
      </c>
      <c r="M38" s="201"/>
    </row>
    <row r="39">
      <c r="A39" s="190" t="str">
        <f>IFERROR(__xludf.DUMMYFUNCTION("""COMPUTED_VALUE"""),"It Takes Two")</f>
        <v>It Takes Two</v>
      </c>
      <c r="B39" s="195" t="str">
        <f>IFERROR(__xludf.DUMMYFUNCTION("""COMPUTED_VALUE"""),"Xbox / PC")</f>
        <v>Xbox / PC</v>
      </c>
      <c r="C39" s="196" t="str">
        <f>IFERROR(__xludf.DUMMYFUNCTION("""COMPUTED_VALUE"""),"Yes")</f>
        <v>Yes</v>
      </c>
      <c r="D39" s="196" t="str">
        <f>IFERROR(__xludf.DUMMYFUNCTION("""COMPUTED_VALUE"""),"Active")</f>
        <v>Active</v>
      </c>
      <c r="E39" s="197">
        <f>IFERROR(__xludf.DUMMYFUNCTION("""COMPUTED_VALUE"""),44504.0)</f>
        <v>44504</v>
      </c>
      <c r="F39" s="198"/>
      <c r="G39" s="199">
        <f>IFERROR(__xludf.DUMMYFUNCTION("""COMPUTED_VALUE"""),47.36666666666667)</f>
        <v>47.36666667</v>
      </c>
      <c r="H39" s="197">
        <f>IFERROR(__xludf.DUMMYFUNCTION("""COMPUTED_VALUE"""),44281.0)</f>
        <v>44281</v>
      </c>
      <c r="I39" s="199">
        <f>IFERROR(__xludf.DUMMYFUNCTION("""COMPUTED_VALUE"""),0.6055555555555555)</f>
        <v>0.6055555556</v>
      </c>
      <c r="J39" s="200">
        <f>IFERROR(__xludf.DUMMYFUNCTION("""COMPUTED_VALUE"""),88.5)</f>
        <v>88.5</v>
      </c>
      <c r="K39" s="200">
        <f>IFERROR(__xludf.DUMMYFUNCTION("""COMPUTED_VALUE"""),12.0)</f>
        <v>12</v>
      </c>
      <c r="L39" s="201" t="str">
        <f>IFERROR(__xludf.DUMMYFUNCTION("""COMPUTED_VALUE"""),"Platformer / Action-Adventure")</f>
        <v>Platformer / Action-Adventure</v>
      </c>
      <c r="M39" s="201" t="str">
        <f>IFERROR(__xludf.DUMMYFUNCTION("""COMPUTED_VALUE"""),"Optimized")</f>
        <v>Optimized</v>
      </c>
    </row>
    <row r="40">
      <c r="A40" s="190" t="str">
        <f>IFERROR(__xludf.DUMMYFUNCTION("""COMPUTED_VALUE"""),"Assassin's Creed IV Black Flag")</f>
        <v>Assassin's Creed IV Black Flag</v>
      </c>
      <c r="B40" s="195" t="str">
        <f>IFERROR(__xludf.DUMMYFUNCTION("""COMPUTED_VALUE"""),"Xbox / PC")</f>
        <v>Xbox / PC</v>
      </c>
      <c r="C40" s="196" t="str">
        <f>IFERROR(__xludf.DUMMYFUNCTION("""COMPUTED_VALUE"""),"Yes")</f>
        <v>Yes</v>
      </c>
      <c r="D40" s="196" t="str">
        <f>IFERROR(__xludf.DUMMYFUNCTION("""COMPUTED_VALUE"""),"Active")</f>
        <v>Active</v>
      </c>
      <c r="E40" s="197">
        <f>IFERROR(__xludf.DUMMYFUNCTION("""COMPUTED_VALUE"""),45931.0)</f>
        <v>45931</v>
      </c>
      <c r="F40" s="198"/>
      <c r="G40" s="199">
        <f>IFERROR(__xludf.DUMMYFUNCTION("""COMPUTED_VALUE"""),0.4666666666666667)</f>
        <v>0.4666666667</v>
      </c>
      <c r="H40" s="197">
        <f>IFERROR(__xludf.DUMMYFUNCTION("""COMPUTED_VALUE"""),41576.0)</f>
        <v>41576</v>
      </c>
      <c r="I40" s="199">
        <f>IFERROR(__xludf.DUMMYFUNCTION("""COMPUTED_VALUE"""),11.922222222222222)</f>
        <v>11.92222222</v>
      </c>
      <c r="J40" s="200">
        <f>IFERROR(__xludf.DUMMYFUNCTION("""COMPUTED_VALUE"""),88.0)</f>
        <v>88</v>
      </c>
      <c r="K40" s="200">
        <f>IFERROR(__xludf.DUMMYFUNCTION("""COMPUTED_VALUE"""),24.0)</f>
        <v>24</v>
      </c>
      <c r="L40" s="201" t="str">
        <f>IFERROR(__xludf.DUMMYFUNCTION("""COMPUTED_VALUE"""),"Action-Adventure")</f>
        <v>Action-Adventure</v>
      </c>
      <c r="M40" s="201"/>
    </row>
    <row r="41">
      <c r="A41" s="190" t="str">
        <f>IFERROR(__xludf.DUMMYFUNCTION("""COMPUTED_VALUE"""),"Far Cry 3")</f>
        <v>Far Cry 3</v>
      </c>
      <c r="B41" s="195" t="str">
        <f>IFERROR(__xludf.DUMMYFUNCTION("""COMPUTED_VALUE"""),"Xbox / PC")</f>
        <v>Xbox / PC</v>
      </c>
      <c r="C41" s="196" t="str">
        <f>IFERROR(__xludf.DUMMYFUNCTION("""COMPUTED_VALUE"""),"Yes")</f>
        <v>Yes</v>
      </c>
      <c r="D41" s="196" t="str">
        <f>IFERROR(__xludf.DUMMYFUNCTION("""COMPUTED_VALUE"""),"Active")</f>
        <v>Active</v>
      </c>
      <c r="E41" s="197">
        <f>IFERROR(__xludf.DUMMYFUNCTION("""COMPUTED_VALUE"""),45931.0)</f>
        <v>45931</v>
      </c>
      <c r="F41" s="198"/>
      <c r="G41" s="199">
        <f>IFERROR(__xludf.DUMMYFUNCTION("""COMPUTED_VALUE"""),0.4666666666666667)</f>
        <v>0.4666666667</v>
      </c>
      <c r="H41" s="197">
        <f>IFERROR(__xludf.DUMMYFUNCTION("""COMPUTED_VALUE"""),41247.0)</f>
        <v>41247</v>
      </c>
      <c r="I41" s="199">
        <f>IFERROR(__xludf.DUMMYFUNCTION("""COMPUTED_VALUE"""),12.825)</f>
        <v>12.825</v>
      </c>
      <c r="J41" s="200">
        <f>IFERROR(__xludf.DUMMYFUNCTION("""COMPUTED_VALUE"""),88.0)</f>
        <v>88</v>
      </c>
      <c r="K41" s="200">
        <f>IFERROR(__xludf.DUMMYFUNCTION("""COMPUTED_VALUE"""),16.0)</f>
        <v>16</v>
      </c>
      <c r="L41" s="201" t="str">
        <f>IFERROR(__xludf.DUMMYFUNCTION("""COMPUTED_VALUE"""),"Action-Adventure")</f>
        <v>Action-Adventure</v>
      </c>
      <c r="M41" s="201"/>
    </row>
    <row r="42">
      <c r="A42" s="190" t="str">
        <f>IFERROR(__xludf.DUMMYFUNCTION("""COMPUTED_VALUE"""),"Abiotic Factor")</f>
        <v>Abiotic Factor</v>
      </c>
      <c r="B42" s="195" t="str">
        <f>IFERROR(__xludf.DUMMYFUNCTION("""COMPUTED_VALUE"""),"Xbox / PC")</f>
        <v>Xbox / PC</v>
      </c>
      <c r="C42" s="196" t="str">
        <f>IFERROR(__xludf.DUMMYFUNCTION("""COMPUTED_VALUE"""),"Yes")</f>
        <v>Yes</v>
      </c>
      <c r="D42" s="196" t="str">
        <f>IFERROR(__xludf.DUMMYFUNCTION("""COMPUTED_VALUE"""),"Active")</f>
        <v>Active</v>
      </c>
      <c r="E42" s="197">
        <f>IFERROR(__xludf.DUMMYFUNCTION("""COMPUTED_VALUE"""),45860.0)</f>
        <v>45860</v>
      </c>
      <c r="F42" s="198"/>
      <c r="G42" s="199">
        <f>IFERROR(__xludf.DUMMYFUNCTION("""COMPUTED_VALUE"""),2.7666666666666666)</f>
        <v>2.766666667</v>
      </c>
      <c r="H42" s="197">
        <f>IFERROR(__xludf.DUMMYFUNCTION("""COMPUTED_VALUE"""),45860.0)</f>
        <v>45860</v>
      </c>
      <c r="I42" s="199">
        <f>IFERROR(__xludf.DUMMYFUNCTION("""COMPUTED_VALUE"""),0.0)</f>
        <v>0</v>
      </c>
      <c r="J42" s="200">
        <f>IFERROR(__xludf.DUMMYFUNCTION("""COMPUTED_VALUE"""),88.0)</f>
        <v>88</v>
      </c>
      <c r="K42" s="200">
        <f>IFERROR(__xludf.DUMMYFUNCTION("""COMPUTED_VALUE"""),33.0)</f>
        <v>33</v>
      </c>
      <c r="L42" s="201" t="str">
        <f>IFERROR(__xludf.DUMMYFUNCTION("""COMPUTED_VALUE"""),"Survival")</f>
        <v>Survival</v>
      </c>
      <c r="M42" s="201" t="str">
        <f>IFERROR(__xludf.DUMMYFUNCTION("""COMPUTED_VALUE"""),"Exclusive")</f>
        <v>Exclusive</v>
      </c>
    </row>
    <row r="43">
      <c r="A43" s="190" t="str">
        <f>IFERROR(__xludf.DUMMYFUNCTION("""COMPUTED_VALUE"""),"Mullet Madjack")</f>
        <v>Mullet Madjack</v>
      </c>
      <c r="B43" s="195" t="str">
        <f>IFERROR(__xludf.DUMMYFUNCTION("""COMPUTED_VALUE"""),"Xbox / PC")</f>
        <v>Xbox / PC</v>
      </c>
      <c r="C43" s="196" t="str">
        <f>IFERROR(__xludf.DUMMYFUNCTION("""COMPUTED_VALUE"""),"Yes")</f>
        <v>Yes</v>
      </c>
      <c r="D43" s="196" t="str">
        <f>IFERROR(__xludf.DUMMYFUNCTION("""COMPUTED_VALUE"""),"Active")</f>
        <v>Active</v>
      </c>
      <c r="E43" s="197">
        <f>IFERROR(__xludf.DUMMYFUNCTION("""COMPUTED_VALUE"""),45729.0)</f>
        <v>45729</v>
      </c>
      <c r="F43" s="198"/>
      <c r="G43" s="199">
        <f>IFERROR(__xludf.DUMMYFUNCTION("""COMPUTED_VALUE"""),7.066666666666666)</f>
        <v>7.066666667</v>
      </c>
      <c r="H43" s="197">
        <f>IFERROR(__xludf.DUMMYFUNCTION("""COMPUTED_VALUE"""),45427.0)</f>
        <v>45427</v>
      </c>
      <c r="I43" s="199">
        <f>IFERROR(__xludf.DUMMYFUNCTION("""COMPUTED_VALUE"""),0.8277777777777777)</f>
        <v>0.8277777778</v>
      </c>
      <c r="J43" s="200">
        <f>IFERROR(__xludf.DUMMYFUNCTION("""COMPUTED_VALUE"""),88.0)</f>
        <v>88</v>
      </c>
      <c r="K43" s="200">
        <f>IFERROR(__xludf.DUMMYFUNCTION("""COMPUTED_VALUE"""),4.0)</f>
        <v>4</v>
      </c>
      <c r="L43" s="201" t="str">
        <f>IFERROR(__xludf.DUMMYFUNCTION("""COMPUTED_VALUE"""),"Shooter")</f>
        <v>Shooter</v>
      </c>
      <c r="M43" s="201" t="str">
        <f>IFERROR(__xludf.DUMMYFUNCTION("""COMPUTED_VALUE"""),"Exclusive")</f>
        <v>Exclusive</v>
      </c>
    </row>
    <row r="44">
      <c r="A44" s="190" t="str">
        <f>IFERROR(__xludf.DUMMYFUNCTION("""COMPUTED_VALUE"""),"Dead Space (2023)")</f>
        <v>Dead Space (2023)</v>
      </c>
      <c r="B44" s="195" t="str">
        <f>IFERROR(__xludf.DUMMYFUNCTION("""COMPUTED_VALUE"""),"Xbox / PC")</f>
        <v>Xbox / PC</v>
      </c>
      <c r="C44" s="196" t="str">
        <f>IFERROR(__xludf.DUMMYFUNCTION("""COMPUTED_VALUE"""),"Yes")</f>
        <v>Yes</v>
      </c>
      <c r="D44" s="196" t="str">
        <f>IFERROR(__xludf.DUMMYFUNCTION("""COMPUTED_VALUE"""),"Active")</f>
        <v>Active</v>
      </c>
      <c r="E44" s="197">
        <f>IFERROR(__xludf.DUMMYFUNCTION("""COMPUTED_VALUE"""),45225.0)</f>
        <v>45225</v>
      </c>
      <c r="F44" s="198"/>
      <c r="G44" s="199">
        <f>IFERROR(__xludf.DUMMYFUNCTION("""COMPUTED_VALUE"""),23.633333333333333)</f>
        <v>23.63333333</v>
      </c>
      <c r="H44" s="197">
        <f>IFERROR(__xludf.DUMMYFUNCTION("""COMPUTED_VALUE"""),44953.0)</f>
        <v>44953</v>
      </c>
      <c r="I44" s="199">
        <f>IFERROR(__xludf.DUMMYFUNCTION("""COMPUTED_VALUE"""),0.7472222222222222)</f>
        <v>0.7472222222</v>
      </c>
      <c r="J44" s="200">
        <f>IFERROR(__xludf.DUMMYFUNCTION("""COMPUTED_VALUE"""),88.0)</f>
        <v>88</v>
      </c>
      <c r="K44" s="200">
        <f>IFERROR(__xludf.DUMMYFUNCTION("""COMPUTED_VALUE"""),12.0)</f>
        <v>12</v>
      </c>
      <c r="L44" s="201" t="str">
        <f>IFERROR(__xludf.DUMMYFUNCTION("""COMPUTED_VALUE"""),"Shooter / Action-Adventure")</f>
        <v>Shooter / Action-Adventure</v>
      </c>
      <c r="M44" s="201" t="str">
        <f>IFERROR(__xludf.DUMMYFUNCTION("""COMPUTED_VALUE"""),"Exclusive")</f>
        <v>Exclusive</v>
      </c>
    </row>
    <row r="45">
      <c r="A45" s="190" t="str">
        <f>IFERROR(__xludf.DUMMYFUNCTION("""COMPUTED_VALUE"""),"Mass Effect: Legendary Edition")</f>
        <v>Mass Effect: Legendary Edition</v>
      </c>
      <c r="B45" s="195" t="str">
        <f>IFERROR(__xludf.DUMMYFUNCTION("""COMPUTED_VALUE"""),"Xbox / PC")</f>
        <v>Xbox / PC</v>
      </c>
      <c r="C45" s="196" t="str">
        <f>IFERROR(__xludf.DUMMYFUNCTION("""COMPUTED_VALUE"""),"Yes")</f>
        <v>Yes</v>
      </c>
      <c r="D45" s="196" t="str">
        <f>IFERROR(__xludf.DUMMYFUNCTION("""COMPUTED_VALUE"""),"Active")</f>
        <v>Active</v>
      </c>
      <c r="E45" s="197">
        <f>IFERROR(__xludf.DUMMYFUNCTION("""COMPUTED_VALUE"""),44567.0)</f>
        <v>44567</v>
      </c>
      <c r="F45" s="198"/>
      <c r="G45" s="199">
        <f>IFERROR(__xludf.DUMMYFUNCTION("""COMPUTED_VALUE"""),45.3)</f>
        <v>45.3</v>
      </c>
      <c r="H45" s="197">
        <f>IFERROR(__xludf.DUMMYFUNCTION("""COMPUTED_VALUE"""),44330.0)</f>
        <v>44330</v>
      </c>
      <c r="I45" s="199">
        <f>IFERROR(__xludf.DUMMYFUNCTION("""COMPUTED_VALUE"""),0.6444444444444445)</f>
        <v>0.6444444444</v>
      </c>
      <c r="J45" s="200">
        <f>IFERROR(__xludf.DUMMYFUNCTION("""COMPUTED_VALUE"""),88.0)</f>
        <v>88</v>
      </c>
      <c r="K45" s="200">
        <f>IFERROR(__xludf.DUMMYFUNCTION("""COMPUTED_VALUE"""),106.0)</f>
        <v>106</v>
      </c>
      <c r="L45" s="201" t="str">
        <f>IFERROR(__xludf.DUMMYFUNCTION("""COMPUTED_VALUE"""),"RPG / Shooter / Compilation")</f>
        <v>RPG / Shooter / Compilation</v>
      </c>
      <c r="M45" s="201"/>
    </row>
    <row r="46">
      <c r="A46" s="190" t="str">
        <f>IFERROR(__xludf.DUMMYFUNCTION("""COMPUTED_VALUE"""),"Crimson Skies: High Road to Revenge")</f>
        <v>Crimson Skies: High Road to Revenge</v>
      </c>
      <c r="B46" s="195" t="str">
        <f>IFERROR(__xludf.DUMMYFUNCTION("""COMPUTED_VALUE"""),"Xbox")</f>
        <v>Xbox</v>
      </c>
      <c r="C46" s="196" t="str">
        <f>IFERROR(__xludf.DUMMYFUNCTION("""COMPUTED_VALUE"""),"Touch Controls")</f>
        <v>Touch Controls</v>
      </c>
      <c r="D46" s="196" t="str">
        <f>IFERROR(__xludf.DUMMYFUNCTION("""COMPUTED_VALUE"""),"Active")</f>
        <v>Active</v>
      </c>
      <c r="E46" s="197">
        <f>IFERROR(__xludf.DUMMYFUNCTION("""COMPUTED_VALUE"""),44403.0)</f>
        <v>44403</v>
      </c>
      <c r="F46" s="198"/>
      <c r="G46" s="199">
        <f>IFERROR(__xludf.DUMMYFUNCTION("""COMPUTED_VALUE"""),50.633333333333326)</f>
        <v>50.63333333</v>
      </c>
      <c r="H46" s="197">
        <f>IFERROR(__xludf.DUMMYFUNCTION("""COMPUTED_VALUE"""),37915.0)</f>
        <v>37915</v>
      </c>
      <c r="I46" s="199">
        <f>IFERROR(__xludf.DUMMYFUNCTION("""COMPUTED_VALUE"""),17.76388888888889)</f>
        <v>17.76388889</v>
      </c>
      <c r="J46" s="200">
        <f>IFERROR(__xludf.DUMMYFUNCTION("""COMPUTED_VALUE"""),88.0)</f>
        <v>88</v>
      </c>
      <c r="K46" s="200">
        <f>IFERROR(__xludf.DUMMYFUNCTION("""COMPUTED_VALUE"""),8.0)</f>
        <v>8</v>
      </c>
      <c r="L46" s="201" t="str">
        <f>IFERROR(__xludf.DUMMYFUNCTION("""COMPUTED_VALUE"""),"Flight Simulator / Vehicular Combat")</f>
        <v>Flight Simulator / Vehicular Combat</v>
      </c>
      <c r="M46" s="201"/>
    </row>
    <row r="47">
      <c r="A47" s="190" t="str">
        <f>IFERROR(__xludf.DUMMYFUNCTION("""COMPUTED_VALUE"""),"DOOM 3")</f>
        <v>DOOM 3</v>
      </c>
      <c r="B47" s="195" t="str">
        <f>IFERROR(__xludf.DUMMYFUNCTION("""COMPUTED_VALUE"""),"Xbox / PC")</f>
        <v>Xbox / PC</v>
      </c>
      <c r="C47" s="196" t="str">
        <f>IFERROR(__xludf.DUMMYFUNCTION("""COMPUTED_VALUE"""),"Yes")</f>
        <v>Yes</v>
      </c>
      <c r="D47" s="196" t="str">
        <f>IFERROR(__xludf.DUMMYFUNCTION("""COMPUTED_VALUE"""),"Active")</f>
        <v>Active</v>
      </c>
      <c r="E47" s="197">
        <f>IFERROR(__xludf.DUMMYFUNCTION("""COMPUTED_VALUE"""),44267.0)</f>
        <v>44267</v>
      </c>
      <c r="F47" s="198"/>
      <c r="G47" s="199">
        <f>IFERROR(__xludf.DUMMYFUNCTION("""COMPUTED_VALUE"""),55.1)</f>
        <v>55.1</v>
      </c>
      <c r="H47" s="197">
        <f>IFERROR(__xludf.DUMMYFUNCTION("""COMPUTED_VALUE"""),38202.0)</f>
        <v>38202</v>
      </c>
      <c r="I47" s="199">
        <f>IFERROR(__xludf.DUMMYFUNCTION("""COMPUTED_VALUE"""),16.608333333333334)</f>
        <v>16.60833333</v>
      </c>
      <c r="J47" s="200">
        <f>IFERROR(__xludf.DUMMYFUNCTION("""COMPUTED_VALUE"""),88.0)</f>
        <v>88</v>
      </c>
      <c r="K47" s="200">
        <f>IFERROR(__xludf.DUMMYFUNCTION("""COMPUTED_VALUE"""),11.0)</f>
        <v>11</v>
      </c>
      <c r="L47" s="201" t="str">
        <f>IFERROR(__xludf.DUMMYFUNCTION("""COMPUTED_VALUE"""),"First-Person Shooter")</f>
        <v>First-Person Shooter</v>
      </c>
      <c r="M47" s="201"/>
    </row>
    <row r="48">
      <c r="A48" s="190" t="str">
        <f>IFERROR(__xludf.DUMMYFUNCTION("""COMPUTED_VALUE"""),"The Elder Scrolls III: Morrowind")</f>
        <v>The Elder Scrolls III: Morrowind</v>
      </c>
      <c r="B48" s="195" t="str">
        <f>IFERROR(__xludf.DUMMYFUNCTION("""COMPUTED_VALUE"""),"Xbox / PC")</f>
        <v>Xbox / PC</v>
      </c>
      <c r="C48" s="196" t="str">
        <f>IFERROR(__xludf.DUMMYFUNCTION("""COMPUTED_VALUE"""),"Yes")</f>
        <v>Yes</v>
      </c>
      <c r="D48" s="196" t="str">
        <f>IFERROR(__xludf.DUMMYFUNCTION("""COMPUTED_VALUE"""),"Active")</f>
        <v>Active</v>
      </c>
      <c r="E48" s="197">
        <f>IFERROR(__xludf.DUMMYFUNCTION("""COMPUTED_VALUE"""),44267.0)</f>
        <v>44267</v>
      </c>
      <c r="F48" s="198"/>
      <c r="G48" s="199">
        <f>IFERROR(__xludf.DUMMYFUNCTION("""COMPUTED_VALUE"""),55.1)</f>
        <v>55.1</v>
      </c>
      <c r="H48" s="197">
        <f>IFERROR(__xludf.DUMMYFUNCTION("""COMPUTED_VALUE"""),37377.0)</f>
        <v>37377</v>
      </c>
      <c r="I48" s="199">
        <f>IFERROR(__xludf.DUMMYFUNCTION("""COMPUTED_VALUE"""),18.863888888888887)</f>
        <v>18.86388889</v>
      </c>
      <c r="J48" s="200">
        <f>IFERROR(__xludf.DUMMYFUNCTION("""COMPUTED_VALUE"""),88.0)</f>
        <v>88</v>
      </c>
      <c r="K48" s="200">
        <f>IFERROR(__xludf.DUMMYFUNCTION("""COMPUTED_VALUE"""),44.5)</f>
        <v>44.5</v>
      </c>
      <c r="L48" s="201" t="str">
        <f>IFERROR(__xludf.DUMMYFUNCTION("""COMPUTED_VALUE"""),"RPG")</f>
        <v>RPG</v>
      </c>
      <c r="M48" s="201"/>
    </row>
    <row r="49">
      <c r="A49" s="190" t="str">
        <f>IFERROR(__xludf.DUMMYFUNCTION("""COMPUTED_VALUE"""),"Pillars of Eternity II: Deadfire - Ultimate Edition")</f>
        <v>Pillars of Eternity II: Deadfire - Ultimate Edition</v>
      </c>
      <c r="B49" s="195" t="str">
        <f>IFERROR(__xludf.DUMMYFUNCTION("""COMPUTED_VALUE"""),"Xbox / PC")</f>
        <v>Xbox / PC</v>
      </c>
      <c r="C49" s="196" t="str">
        <f>IFERROR(__xludf.DUMMYFUNCTION("""COMPUTED_VALUE"""),"Touch Controls")</f>
        <v>Touch Controls</v>
      </c>
      <c r="D49" s="196" t="str">
        <f>IFERROR(__xludf.DUMMYFUNCTION("""COMPUTED_VALUE"""),"Active")</f>
        <v>Active</v>
      </c>
      <c r="E49" s="197">
        <f>IFERROR(__xludf.DUMMYFUNCTION("""COMPUTED_VALUE"""),44245.0)</f>
        <v>44245</v>
      </c>
      <c r="F49" s="198"/>
      <c r="G49" s="199">
        <f>IFERROR(__xludf.DUMMYFUNCTION("""COMPUTED_VALUE"""),55.9)</f>
        <v>55.9</v>
      </c>
      <c r="H49" s="197">
        <f>IFERROR(__xludf.DUMMYFUNCTION("""COMPUTED_VALUE"""),43228.0)</f>
        <v>43228</v>
      </c>
      <c r="I49" s="199">
        <f>IFERROR(__xludf.DUMMYFUNCTION("""COMPUTED_VALUE"""),2.7777777777777777)</f>
        <v>2.777777778</v>
      </c>
      <c r="J49" s="200">
        <f>IFERROR(__xludf.DUMMYFUNCTION("""COMPUTED_VALUE"""),88.0)</f>
        <v>88</v>
      </c>
      <c r="K49" s="200">
        <f>IFERROR(__xludf.DUMMYFUNCTION("""COMPUTED_VALUE"""),42.0)</f>
        <v>42</v>
      </c>
      <c r="L49" s="201" t="str">
        <f>IFERROR(__xludf.DUMMYFUNCTION("""COMPUTED_VALUE"""),"RPG")</f>
        <v>RPG</v>
      </c>
      <c r="M49" s="201"/>
    </row>
    <row r="50">
      <c r="A50" s="190" t="str">
        <f>IFERROR(__xludf.DUMMYFUNCTION("""COMPUTED_VALUE"""),"DOOM Eternal")</f>
        <v>DOOM Eternal</v>
      </c>
      <c r="B50" s="195" t="str">
        <f>IFERROR(__xludf.DUMMYFUNCTION("""COMPUTED_VALUE"""),"Xbox / PC")</f>
        <v>Xbox / PC</v>
      </c>
      <c r="C50" s="196" t="str">
        <f>IFERROR(__xludf.DUMMYFUNCTION("""COMPUTED_VALUE"""),"Yes")</f>
        <v>Yes</v>
      </c>
      <c r="D50" s="196" t="str">
        <f>IFERROR(__xludf.DUMMYFUNCTION("""COMPUTED_VALUE"""),"Active")</f>
        <v>Active</v>
      </c>
      <c r="E50" s="197">
        <f>IFERROR(__xludf.DUMMYFUNCTION("""COMPUTED_VALUE"""),44105.0)</f>
        <v>44105</v>
      </c>
      <c r="F50" s="198"/>
      <c r="G50" s="199">
        <f>IFERROR(__xludf.DUMMYFUNCTION("""COMPUTED_VALUE"""),60.46666666666667)</f>
        <v>60.46666667</v>
      </c>
      <c r="H50" s="197">
        <f>IFERROR(__xludf.DUMMYFUNCTION("""COMPUTED_VALUE"""),43910.0)</f>
        <v>43910</v>
      </c>
      <c r="I50" s="199">
        <f>IFERROR(__xludf.DUMMYFUNCTION("""COMPUTED_VALUE"""),0.5305555555555556)</f>
        <v>0.5305555556</v>
      </c>
      <c r="J50" s="200">
        <f>IFERROR(__xludf.DUMMYFUNCTION("""COMPUTED_VALUE"""),88.0)</f>
        <v>88</v>
      </c>
      <c r="K50" s="200">
        <f>IFERROR(__xludf.DUMMYFUNCTION("""COMPUTED_VALUE"""),13.5)</f>
        <v>13.5</v>
      </c>
      <c r="L50" s="201" t="str">
        <f>IFERROR(__xludf.DUMMYFUNCTION("""COMPUTED_VALUE"""),"First-Person Shooter")</f>
        <v>First-Person Shooter</v>
      </c>
      <c r="M50" s="201" t="str">
        <f>IFERROR(__xludf.DUMMYFUNCTION("""COMPUTED_VALUE"""),"Optimized")</f>
        <v>Optimized</v>
      </c>
    </row>
    <row r="51">
      <c r="A51" s="190" t="str">
        <f>IFERROR(__xludf.DUMMYFUNCTION("""COMPUTED_VALUE"""),"Dishonored 2")</f>
        <v>Dishonored 2</v>
      </c>
      <c r="B51" s="195" t="str">
        <f>IFERROR(__xludf.DUMMYFUNCTION("""COMPUTED_VALUE"""),"Xbox / PC")</f>
        <v>Xbox / PC</v>
      </c>
      <c r="C51" s="196" t="str">
        <f>IFERROR(__xludf.DUMMYFUNCTION("""COMPUTED_VALUE"""),"Yes")</f>
        <v>Yes</v>
      </c>
      <c r="D51" s="196" t="str">
        <f>IFERROR(__xludf.DUMMYFUNCTION("""COMPUTED_VALUE"""),"Active")</f>
        <v>Active</v>
      </c>
      <c r="E51" s="197">
        <f>IFERROR(__xludf.DUMMYFUNCTION("""COMPUTED_VALUE"""),43741.0)</f>
        <v>43741</v>
      </c>
      <c r="F51" s="198"/>
      <c r="G51" s="199">
        <f>IFERROR(__xludf.DUMMYFUNCTION("""COMPUTED_VALUE"""),72.4)</f>
        <v>72.4</v>
      </c>
      <c r="H51" s="197">
        <f>IFERROR(__xludf.DUMMYFUNCTION("""COMPUTED_VALUE"""),42685.0)</f>
        <v>42685</v>
      </c>
      <c r="I51" s="199">
        <f>IFERROR(__xludf.DUMMYFUNCTION("""COMPUTED_VALUE"""),2.8944444444444444)</f>
        <v>2.894444444</v>
      </c>
      <c r="J51" s="200">
        <f>IFERROR(__xludf.DUMMYFUNCTION("""COMPUTED_VALUE"""),88.0)</f>
        <v>88</v>
      </c>
      <c r="K51" s="200">
        <f>IFERROR(__xludf.DUMMYFUNCTION("""COMPUTED_VALUE"""),12.5)</f>
        <v>12.5</v>
      </c>
      <c r="L51" s="201" t="str">
        <f>IFERROR(__xludf.DUMMYFUNCTION("""COMPUTED_VALUE"""),"Action-Adventure")</f>
        <v>Action-Adventure</v>
      </c>
      <c r="M51" s="201"/>
    </row>
    <row r="52">
      <c r="A52" s="190" t="str">
        <f>IFERROR(__xludf.DUMMYFUNCTION("""COMPUTED_VALUE"""),"Slay the Spire")</f>
        <v>Slay the Spire</v>
      </c>
      <c r="B52" s="195" t="str">
        <f>IFERROR(__xludf.DUMMYFUNCTION("""COMPUTED_VALUE"""),"Xbox / PC")</f>
        <v>Xbox / PC</v>
      </c>
      <c r="C52" s="196" t="str">
        <f>IFERROR(__xludf.DUMMYFUNCTION("""COMPUTED_VALUE"""),"Touch Controls")</f>
        <v>Touch Controls</v>
      </c>
      <c r="D52" s="196" t="str">
        <f>IFERROR(__xludf.DUMMYFUNCTION("""COMPUTED_VALUE"""),"Active")</f>
        <v>Active</v>
      </c>
      <c r="E52" s="197">
        <f>IFERROR(__xludf.DUMMYFUNCTION("""COMPUTED_VALUE"""),43691.0)</f>
        <v>43691</v>
      </c>
      <c r="F52" s="198"/>
      <c r="G52" s="199">
        <f>IFERROR(__xludf.DUMMYFUNCTION("""COMPUTED_VALUE"""),74.03333333333333)</f>
        <v>74.03333333</v>
      </c>
      <c r="H52" s="197">
        <f>IFERROR(__xludf.DUMMYFUNCTION("""COMPUTED_VALUE"""),43054.0)</f>
        <v>43054</v>
      </c>
      <c r="I52" s="199">
        <f>IFERROR(__xludf.DUMMYFUNCTION("""COMPUTED_VALUE"""),1.7472222222222222)</f>
        <v>1.747222222</v>
      </c>
      <c r="J52" s="200">
        <f>IFERROR(__xludf.DUMMYFUNCTION("""COMPUTED_VALUE"""),88.0)</f>
        <v>88</v>
      </c>
      <c r="K52" s="200">
        <f>IFERROR(__xludf.DUMMYFUNCTION("""COMPUTED_VALUE"""),10.5)</f>
        <v>10.5</v>
      </c>
      <c r="L52" s="201" t="str">
        <f>IFERROR(__xludf.DUMMYFUNCTION("""COMPUTED_VALUE"""),"Strategy / Card Game")</f>
        <v>Strategy / Card Game</v>
      </c>
      <c r="M52" s="201"/>
    </row>
    <row r="53">
      <c r="A53" s="190" t="str">
        <f>IFERROR(__xludf.DUMMYFUNCTION("""COMPUTED_VALUE"""),"Wolfenstein II: The New Colossus")</f>
        <v>Wolfenstein II: The New Colossus</v>
      </c>
      <c r="B53" s="195" t="str">
        <f>IFERROR(__xludf.DUMMYFUNCTION("""COMPUTED_VALUE"""),"Xbox / PC")</f>
        <v>Xbox / PC</v>
      </c>
      <c r="C53" s="196" t="str">
        <f>IFERROR(__xludf.DUMMYFUNCTION("""COMPUTED_VALUE"""),"Yes")</f>
        <v>Yes</v>
      </c>
      <c r="D53" s="196" t="str">
        <f>IFERROR(__xludf.DUMMYFUNCTION("""COMPUTED_VALUE"""),"Active")</f>
        <v>Active</v>
      </c>
      <c r="E53" s="197">
        <f>IFERROR(__xludf.DUMMYFUNCTION("""COMPUTED_VALUE"""),43587.0)</f>
        <v>43587</v>
      </c>
      <c r="F53" s="198"/>
      <c r="G53" s="199">
        <f>IFERROR(__xludf.DUMMYFUNCTION("""COMPUTED_VALUE"""),77.43333333333334)</f>
        <v>77.43333333</v>
      </c>
      <c r="H53" s="197">
        <f>IFERROR(__xludf.DUMMYFUNCTION("""COMPUTED_VALUE"""),43035.0)</f>
        <v>43035</v>
      </c>
      <c r="I53" s="199">
        <f>IFERROR(__xludf.DUMMYFUNCTION("""COMPUTED_VALUE"""),1.5138888888888888)</f>
        <v>1.513888889</v>
      </c>
      <c r="J53" s="200">
        <f>IFERROR(__xludf.DUMMYFUNCTION("""COMPUTED_VALUE"""),88.0)</f>
        <v>88</v>
      </c>
      <c r="K53" s="200">
        <f>IFERROR(__xludf.DUMMYFUNCTION("""COMPUTED_VALUE"""),10.5)</f>
        <v>10.5</v>
      </c>
      <c r="L53" s="201" t="str">
        <f>IFERROR(__xludf.DUMMYFUNCTION("""COMPUTED_VALUE"""),"First-Person Shooter")</f>
        <v>First-Person Shooter</v>
      </c>
      <c r="M53" s="201"/>
    </row>
    <row r="54">
      <c r="A54" s="190" t="str">
        <f>IFERROR(__xludf.DUMMYFUNCTION("""COMPUTED_VALUE"""),"Fallout 4")</f>
        <v>Fallout 4</v>
      </c>
      <c r="B54" s="195" t="str">
        <f>IFERROR(__xludf.DUMMYFUNCTION("""COMPUTED_VALUE"""),"Xbox / PC")</f>
        <v>Xbox / PC</v>
      </c>
      <c r="C54" s="196" t="str">
        <f>IFERROR(__xludf.DUMMYFUNCTION("""COMPUTED_VALUE"""),"Yes")</f>
        <v>Yes</v>
      </c>
      <c r="D54" s="196" t="str">
        <f>IFERROR(__xludf.DUMMYFUNCTION("""COMPUTED_VALUE"""),"Active")</f>
        <v>Active</v>
      </c>
      <c r="E54" s="197">
        <f>IFERROR(__xludf.DUMMYFUNCTION("""COMPUTED_VALUE"""),43538.0)</f>
        <v>43538</v>
      </c>
      <c r="F54" s="198"/>
      <c r="G54" s="199">
        <f>IFERROR(__xludf.DUMMYFUNCTION("""COMPUTED_VALUE"""),79.03333333333333)</f>
        <v>79.03333333</v>
      </c>
      <c r="H54" s="197">
        <f>IFERROR(__xludf.DUMMYFUNCTION("""COMPUTED_VALUE"""),42318.0)</f>
        <v>42318</v>
      </c>
      <c r="I54" s="199">
        <f>IFERROR(__xludf.DUMMYFUNCTION("""COMPUTED_VALUE"""),3.3444444444444446)</f>
        <v>3.344444444</v>
      </c>
      <c r="J54" s="200">
        <f>IFERROR(__xludf.DUMMYFUNCTION("""COMPUTED_VALUE"""),88.0)</f>
        <v>88</v>
      </c>
      <c r="K54" s="200">
        <f>IFERROR(__xludf.DUMMYFUNCTION("""COMPUTED_VALUE"""),26.5)</f>
        <v>26.5</v>
      </c>
      <c r="L54" s="201" t="str">
        <f>IFERROR(__xludf.DUMMYFUNCTION("""COMPUTED_VALUE"""),"RPG / Shooter")</f>
        <v>RPG / Shooter</v>
      </c>
      <c r="M54" s="201" t="str">
        <f>IFERROR(__xludf.DUMMYFUNCTION("""COMPUTED_VALUE"""),"FPS Boost")</f>
        <v>FPS Boost</v>
      </c>
    </row>
    <row r="55">
      <c r="A55" s="190" t="str">
        <f>IFERROR(__xludf.DUMMYFUNCTION("""COMPUTED_VALUE"""),"Ori and the Blind Forest: Definitive Edition")</f>
        <v>Ori and the Blind Forest: Definitive Edition</v>
      </c>
      <c r="B55" s="195" t="str">
        <f>IFERROR(__xludf.DUMMYFUNCTION("""COMPUTED_VALUE"""),"Xbox / PC")</f>
        <v>Xbox / PC</v>
      </c>
      <c r="C55" s="196" t="str">
        <f>IFERROR(__xludf.DUMMYFUNCTION("""COMPUTED_VALUE"""),"Yes")</f>
        <v>Yes</v>
      </c>
      <c r="D55" s="196" t="str">
        <f>IFERROR(__xludf.DUMMYFUNCTION("""COMPUTED_VALUE"""),"Active")</f>
        <v>Active</v>
      </c>
      <c r="E55" s="197">
        <f>IFERROR(__xludf.DUMMYFUNCTION("""COMPUTED_VALUE"""),43454.0)</f>
        <v>43454</v>
      </c>
      <c r="F55" s="198"/>
      <c r="G55" s="199">
        <f>IFERROR(__xludf.DUMMYFUNCTION("""COMPUTED_VALUE"""),81.83333333333334)</f>
        <v>81.83333333</v>
      </c>
      <c r="H55" s="197">
        <f>IFERROR(__xludf.DUMMYFUNCTION("""COMPUTED_VALUE"""),42074.0)</f>
        <v>42074</v>
      </c>
      <c r="I55" s="199">
        <f>IFERROR(__xludf.DUMMYFUNCTION("""COMPUTED_VALUE"""),3.775)</f>
        <v>3.775</v>
      </c>
      <c r="J55" s="200">
        <f>IFERROR(__xludf.DUMMYFUNCTION("""COMPUTED_VALUE"""),88.0)</f>
        <v>88</v>
      </c>
      <c r="K55" s="200">
        <f>IFERROR(__xludf.DUMMYFUNCTION("""COMPUTED_VALUE"""),8.5)</f>
        <v>8.5</v>
      </c>
      <c r="L55" s="201" t="str">
        <f>IFERROR(__xludf.DUMMYFUNCTION("""COMPUTED_VALUE"""),"Puzzle / Platformer / Action-Adventure")</f>
        <v>Puzzle / Platformer / Action-Adventure</v>
      </c>
      <c r="M55" s="201"/>
    </row>
    <row r="56">
      <c r="A56" s="190" t="str">
        <f>IFERROR(__xludf.DUMMYFUNCTION("""COMPUTED_VALUE"""),"Hellblade: Senua's Sacrifice")</f>
        <v>Hellblade: Senua's Sacrifice</v>
      </c>
      <c r="B56" s="195" t="str">
        <f>IFERROR(__xludf.DUMMYFUNCTION("""COMPUTED_VALUE"""),"Xbox / PC")</f>
        <v>Xbox / PC</v>
      </c>
      <c r="C56" s="196" t="str">
        <f>IFERROR(__xludf.DUMMYFUNCTION("""COMPUTED_VALUE"""),"Touch Controls")</f>
        <v>Touch Controls</v>
      </c>
      <c r="D56" s="196" t="str">
        <f>IFERROR(__xludf.DUMMYFUNCTION("""COMPUTED_VALUE"""),"Active")</f>
        <v>Active</v>
      </c>
      <c r="E56" s="197">
        <f>IFERROR(__xludf.DUMMYFUNCTION("""COMPUTED_VALUE"""),43451.0)</f>
        <v>43451</v>
      </c>
      <c r="F56" s="198"/>
      <c r="G56" s="199">
        <f>IFERROR(__xludf.DUMMYFUNCTION("""COMPUTED_VALUE"""),81.93333333333334)</f>
        <v>81.93333333</v>
      </c>
      <c r="H56" s="197">
        <f>IFERROR(__xludf.DUMMYFUNCTION("""COMPUTED_VALUE"""),42955.0)</f>
        <v>42955</v>
      </c>
      <c r="I56" s="199">
        <f>IFERROR(__xludf.DUMMYFUNCTION("""COMPUTED_VALUE"""),1.3583333333333334)</f>
        <v>1.358333333</v>
      </c>
      <c r="J56" s="200">
        <f>IFERROR(__xludf.DUMMYFUNCTION("""COMPUTED_VALUE"""),88.0)</f>
        <v>88</v>
      </c>
      <c r="K56" s="200">
        <f>IFERROR(__xludf.DUMMYFUNCTION("""COMPUTED_VALUE"""),7.5)</f>
        <v>7.5</v>
      </c>
      <c r="L56" s="201" t="str">
        <f>IFERROR(__xludf.DUMMYFUNCTION("""COMPUTED_VALUE"""),"Action / Action-Adventure")</f>
        <v>Action / Action-Adventure</v>
      </c>
      <c r="M56" s="201" t="str">
        <f>IFERROR(__xludf.DUMMYFUNCTION("""COMPUTED_VALUE"""),"Optimized")</f>
        <v>Optimized</v>
      </c>
    </row>
    <row r="57">
      <c r="A57" s="190" t="str">
        <f>IFERROR(__xludf.DUMMYFUNCTION("""COMPUTED_VALUE"""),"Psychonauts")</f>
        <v>Psychonauts</v>
      </c>
      <c r="B57" s="195" t="str">
        <f>IFERROR(__xludf.DUMMYFUNCTION("""COMPUTED_VALUE"""),"Xbox / PC")</f>
        <v>Xbox / PC</v>
      </c>
      <c r="C57" s="196" t="str">
        <f>IFERROR(__xludf.DUMMYFUNCTION("""COMPUTED_VALUE"""),"Touch Controls")</f>
        <v>Touch Controls</v>
      </c>
      <c r="D57" s="196" t="str">
        <f>IFERROR(__xludf.DUMMYFUNCTION("""COMPUTED_VALUE"""),"Active")</f>
        <v>Active</v>
      </c>
      <c r="E57" s="197">
        <f>IFERROR(__xludf.DUMMYFUNCTION("""COMPUTED_VALUE"""),44329.0)</f>
        <v>44329</v>
      </c>
      <c r="F57" s="198"/>
      <c r="G57" s="199">
        <f>IFERROR(__xludf.DUMMYFUNCTION("""COMPUTED_VALUE"""),53.06666666666667)</f>
        <v>53.06666667</v>
      </c>
      <c r="H57" s="197">
        <f>IFERROR(__xludf.DUMMYFUNCTION("""COMPUTED_VALUE"""),38461.0)</f>
        <v>38461</v>
      </c>
      <c r="I57" s="199">
        <f>IFERROR(__xludf.DUMMYFUNCTION("""COMPUTED_VALUE"""),16.066666666666666)</f>
        <v>16.06666667</v>
      </c>
      <c r="J57" s="200">
        <f>IFERROR(__xludf.DUMMYFUNCTION("""COMPUTED_VALUE"""),87.5)</f>
        <v>87.5</v>
      </c>
      <c r="K57" s="200">
        <f>IFERROR(__xludf.DUMMYFUNCTION("""COMPUTED_VALUE"""),12.5)</f>
        <v>12.5</v>
      </c>
      <c r="L57" s="201" t="str">
        <f>IFERROR(__xludf.DUMMYFUNCTION("""COMPUTED_VALUE"""),"Platformer / Action-Adventure")</f>
        <v>Platformer / Action-Adventure</v>
      </c>
      <c r="M57" s="201"/>
    </row>
    <row r="58">
      <c r="A58" s="190" t="str">
        <f>IFERROR(__xludf.DUMMYFUNCTION("""COMPUTED_VALUE"""),"Injustice 2")</f>
        <v>Injustice 2</v>
      </c>
      <c r="B58" s="195" t="str">
        <f>IFERROR(__xludf.DUMMYFUNCTION("""COMPUTED_VALUE"""),"Xbox / PC")</f>
        <v>Xbox / PC</v>
      </c>
      <c r="C58" s="196" t="str">
        <f>IFERROR(__xludf.DUMMYFUNCTION("""COMPUTED_VALUE"""),"Yes")</f>
        <v>Yes</v>
      </c>
      <c r="D58" s="196" t="str">
        <f>IFERROR(__xludf.DUMMYFUNCTION("""COMPUTED_VALUE"""),"Active")</f>
        <v>Active</v>
      </c>
      <c r="E58" s="197">
        <f>IFERROR(__xludf.DUMMYFUNCTION("""COMPUTED_VALUE"""),44203.0)</f>
        <v>44203</v>
      </c>
      <c r="F58" s="198"/>
      <c r="G58" s="199">
        <f>IFERROR(__xludf.DUMMYFUNCTION("""COMPUTED_VALUE"""),57.266666666666666)</f>
        <v>57.26666667</v>
      </c>
      <c r="H58" s="197">
        <f>IFERROR(__xludf.DUMMYFUNCTION("""COMPUTED_VALUE"""),42871.0)</f>
        <v>42871</v>
      </c>
      <c r="I58" s="199">
        <f>IFERROR(__xludf.DUMMYFUNCTION("""COMPUTED_VALUE"""),3.6416666666666666)</f>
        <v>3.641666667</v>
      </c>
      <c r="J58" s="200">
        <f>IFERROR(__xludf.DUMMYFUNCTION("""COMPUTED_VALUE"""),87.5)</f>
        <v>87.5</v>
      </c>
      <c r="K58" s="200">
        <f>IFERROR(__xludf.DUMMYFUNCTION("""COMPUTED_VALUE"""),5.5)</f>
        <v>5.5</v>
      </c>
      <c r="L58" s="201" t="str">
        <f>IFERROR(__xludf.DUMMYFUNCTION("""COMPUTED_VALUE"""),"Fighting")</f>
        <v>Fighting</v>
      </c>
      <c r="M58" s="201"/>
    </row>
    <row r="59">
      <c r="A59" s="190" t="str">
        <f>IFERROR(__xludf.DUMMYFUNCTION("""COMPUTED_VALUE"""),"Pentiment")</f>
        <v>Pentiment</v>
      </c>
      <c r="B59" s="195" t="str">
        <f>IFERROR(__xludf.DUMMYFUNCTION("""COMPUTED_VALUE"""),"Xbox / PC")</f>
        <v>Xbox / PC</v>
      </c>
      <c r="C59" s="196" t="str">
        <f>IFERROR(__xludf.DUMMYFUNCTION("""COMPUTED_VALUE"""),"Touch Controls, M+KB")</f>
        <v>Touch Controls, M+KB</v>
      </c>
      <c r="D59" s="196" t="str">
        <f>IFERROR(__xludf.DUMMYFUNCTION("""COMPUTED_VALUE"""),"Active")</f>
        <v>Active</v>
      </c>
      <c r="E59" s="197">
        <f>IFERROR(__xludf.DUMMYFUNCTION("""COMPUTED_VALUE"""),44880.0)</f>
        <v>44880</v>
      </c>
      <c r="F59" s="198"/>
      <c r="G59" s="199">
        <f>IFERROR(__xludf.DUMMYFUNCTION("""COMPUTED_VALUE"""),35.0)</f>
        <v>35</v>
      </c>
      <c r="H59" s="197">
        <f>IFERROR(__xludf.DUMMYFUNCTION("""COMPUTED_VALUE"""),44880.0)</f>
        <v>44880</v>
      </c>
      <c r="I59" s="199">
        <f>IFERROR(__xludf.DUMMYFUNCTION("""COMPUTED_VALUE"""),0.0)</f>
        <v>0</v>
      </c>
      <c r="J59" s="200">
        <f>IFERROR(__xludf.DUMMYFUNCTION("""COMPUTED_VALUE"""),87.0)</f>
        <v>87</v>
      </c>
      <c r="K59" s="200">
        <f>IFERROR(__xludf.DUMMYFUNCTION("""COMPUTED_VALUE"""),18.5)</f>
        <v>18.5</v>
      </c>
      <c r="L59" s="201" t="str">
        <f>IFERROR(__xludf.DUMMYFUNCTION("""COMPUTED_VALUE"""),"Adventure")</f>
        <v>Adventure</v>
      </c>
      <c r="M59" s="201"/>
    </row>
    <row r="60">
      <c r="A60" s="190" t="str">
        <f>IFERROR(__xludf.DUMMYFUNCTION("""COMPUTED_VALUE"""),"Return to Monkey Island")</f>
        <v>Return to Monkey Island</v>
      </c>
      <c r="B60" s="195" t="str">
        <f>IFERROR(__xludf.DUMMYFUNCTION("""COMPUTED_VALUE"""),"Xbox / PC")</f>
        <v>Xbox / PC</v>
      </c>
      <c r="C60" s="196" t="str">
        <f>IFERROR(__xludf.DUMMYFUNCTION("""COMPUTED_VALUE"""),"Yes")</f>
        <v>Yes</v>
      </c>
      <c r="D60" s="196" t="str">
        <f>IFERROR(__xludf.DUMMYFUNCTION("""COMPUTED_VALUE"""),"Active")</f>
        <v>Active</v>
      </c>
      <c r="E60" s="197">
        <f>IFERROR(__xludf.DUMMYFUNCTION("""COMPUTED_VALUE"""),44873.0)</f>
        <v>44873</v>
      </c>
      <c r="F60" s="198"/>
      <c r="G60" s="199">
        <f>IFERROR(__xludf.DUMMYFUNCTION("""COMPUTED_VALUE"""),35.233333333333334)</f>
        <v>35.23333333</v>
      </c>
      <c r="H60" s="197">
        <f>IFERROR(__xludf.DUMMYFUNCTION("""COMPUTED_VALUE"""),44823.0)</f>
        <v>44823</v>
      </c>
      <c r="I60" s="199">
        <f>IFERROR(__xludf.DUMMYFUNCTION("""COMPUTED_VALUE"""),0.1361111111111111)</f>
        <v>0.1361111111</v>
      </c>
      <c r="J60" s="200">
        <f>IFERROR(__xludf.DUMMYFUNCTION("""COMPUTED_VALUE"""),87.0)</f>
        <v>87</v>
      </c>
      <c r="K60" s="200">
        <f>IFERROR(__xludf.DUMMYFUNCTION("""COMPUTED_VALUE"""),10.5)</f>
        <v>10.5</v>
      </c>
      <c r="L60" s="201" t="str">
        <f>IFERROR(__xludf.DUMMYFUNCTION("""COMPUTED_VALUE"""),"Adventure")</f>
        <v>Adventure</v>
      </c>
      <c r="M60" s="201" t="str">
        <f>IFERROR(__xludf.DUMMYFUNCTION("""COMPUTED_VALUE"""),"Exclusive")</f>
        <v>Exclusive</v>
      </c>
    </row>
    <row r="61">
      <c r="A61" s="190" t="str">
        <f>IFERROR(__xludf.DUMMYFUNCTION("""COMPUTED_VALUE"""),"Assassin's Creed Odyssey")</f>
        <v>Assassin's Creed Odyssey</v>
      </c>
      <c r="B61" s="195" t="str">
        <f>IFERROR(__xludf.DUMMYFUNCTION("""COMPUTED_VALUE"""),"Xbox / PC")</f>
        <v>Xbox / PC</v>
      </c>
      <c r="C61" s="196" t="str">
        <f>IFERROR(__xludf.DUMMYFUNCTION("""COMPUTED_VALUE"""),"Touch Controls")</f>
        <v>Touch Controls</v>
      </c>
      <c r="D61" s="196" t="str">
        <f>IFERROR(__xludf.DUMMYFUNCTION("""COMPUTED_VALUE"""),"Active")</f>
        <v>Active</v>
      </c>
      <c r="E61" s="197">
        <f>IFERROR(__xludf.DUMMYFUNCTION("""COMPUTED_VALUE"""),44819.0)</f>
        <v>44819</v>
      </c>
      <c r="F61" s="198"/>
      <c r="G61" s="199">
        <f>IFERROR(__xludf.DUMMYFUNCTION("""COMPUTED_VALUE"""),37.0)</f>
        <v>37</v>
      </c>
      <c r="H61" s="197">
        <f>IFERROR(__xludf.DUMMYFUNCTION("""COMPUTED_VALUE"""),43375.0)</f>
        <v>43375</v>
      </c>
      <c r="I61" s="199">
        <f>IFERROR(__xludf.DUMMYFUNCTION("""COMPUTED_VALUE"""),3.952777777777778)</f>
        <v>3.952777778</v>
      </c>
      <c r="J61" s="200">
        <f>IFERROR(__xludf.DUMMYFUNCTION("""COMPUTED_VALUE"""),87.0)</f>
        <v>87</v>
      </c>
      <c r="K61" s="200">
        <f>IFERROR(__xludf.DUMMYFUNCTION("""COMPUTED_VALUE"""),44.5)</f>
        <v>44.5</v>
      </c>
      <c r="L61" s="201" t="str">
        <f>IFERROR(__xludf.DUMMYFUNCTION("""COMPUTED_VALUE"""),"RPG / Action-Adventure")</f>
        <v>RPG / Action-Adventure</v>
      </c>
      <c r="M61" s="201"/>
    </row>
    <row r="62">
      <c r="A62" s="190" t="str">
        <f>IFERROR(__xludf.DUMMYFUNCTION("""COMPUTED_VALUE"""),"Vampire Survivors")</f>
        <v>Vampire Survivors</v>
      </c>
      <c r="B62" s="195" t="str">
        <f>IFERROR(__xludf.DUMMYFUNCTION("""COMPUTED_VALUE"""),"Xbox / PC")</f>
        <v>Xbox / PC</v>
      </c>
      <c r="C62" s="196" t="str">
        <f>IFERROR(__xludf.DUMMYFUNCTION("""COMPUTED_VALUE"""),"Yes")</f>
        <v>Yes</v>
      </c>
      <c r="D62" s="196" t="str">
        <f>IFERROR(__xludf.DUMMYFUNCTION("""COMPUTED_VALUE"""),"Active")</f>
        <v>Active</v>
      </c>
      <c r="E62" s="197">
        <f>IFERROR(__xludf.DUMMYFUNCTION("""COMPUTED_VALUE"""),44700.0)</f>
        <v>44700</v>
      </c>
      <c r="F62" s="198"/>
      <c r="G62" s="199">
        <f>IFERROR(__xludf.DUMMYFUNCTION("""COMPUTED_VALUE"""),40.86666666666667)</f>
        <v>40.86666667</v>
      </c>
      <c r="H62" s="197">
        <f>IFERROR(__xludf.DUMMYFUNCTION("""COMPUTED_VALUE"""),44547.0)</f>
        <v>44547</v>
      </c>
      <c r="I62" s="199">
        <f>IFERROR(__xludf.DUMMYFUNCTION("""COMPUTED_VALUE"""),0.4222222222222222)</f>
        <v>0.4222222222</v>
      </c>
      <c r="J62" s="200">
        <f>IFERROR(__xludf.DUMMYFUNCTION("""COMPUTED_VALUE"""),87.0)</f>
        <v>87</v>
      </c>
      <c r="K62" s="200">
        <f>IFERROR(__xludf.DUMMYFUNCTION("""COMPUTED_VALUE"""),4.5)</f>
        <v>4.5</v>
      </c>
      <c r="L62" s="201" t="str">
        <f>IFERROR(__xludf.DUMMYFUNCTION("""COMPUTED_VALUE"""),"Action")</f>
        <v>Action</v>
      </c>
      <c r="M62" s="201"/>
    </row>
    <row r="63">
      <c r="A63" s="190" t="str">
        <f>IFERROR(__xludf.DUMMYFUNCTION("""COMPUTED_VALUE"""),"Battlefield 1: Revolution")</f>
        <v>Battlefield 1: Revolution</v>
      </c>
      <c r="B63" s="195" t="str">
        <f>IFERROR(__xludf.DUMMYFUNCTION("""COMPUTED_VALUE"""),"Xbox / PC")</f>
        <v>Xbox / PC</v>
      </c>
      <c r="C63" s="196" t="str">
        <f>IFERROR(__xludf.DUMMYFUNCTION("""COMPUTED_VALUE"""),"Yes")</f>
        <v>Yes</v>
      </c>
      <c r="D63" s="196" t="str">
        <f>IFERROR(__xludf.DUMMYFUNCTION("""COMPUTED_VALUE"""),"Active")</f>
        <v>Active</v>
      </c>
      <c r="E63" s="197">
        <f>IFERROR(__xludf.DUMMYFUNCTION("""COMPUTED_VALUE"""),44145.0)</f>
        <v>44145</v>
      </c>
      <c r="F63" s="198"/>
      <c r="G63" s="199">
        <f>IFERROR(__xludf.DUMMYFUNCTION("""COMPUTED_VALUE"""),59.166666666666664)</f>
        <v>59.16666667</v>
      </c>
      <c r="H63" s="197">
        <f>IFERROR(__xludf.DUMMYFUNCTION("""COMPUTED_VALUE"""),42664.0)</f>
        <v>42664</v>
      </c>
      <c r="I63" s="199">
        <f>IFERROR(__xludf.DUMMYFUNCTION("""COMPUTED_VALUE"""),4.052777777777778)</f>
        <v>4.052777778</v>
      </c>
      <c r="J63" s="200">
        <f>IFERROR(__xludf.DUMMYFUNCTION("""COMPUTED_VALUE"""),87.0)</f>
        <v>87</v>
      </c>
      <c r="K63" s="200">
        <f>IFERROR(__xludf.DUMMYFUNCTION("""COMPUTED_VALUE"""),6.5)</f>
        <v>6.5</v>
      </c>
      <c r="L63" s="201" t="str">
        <f>IFERROR(__xludf.DUMMYFUNCTION("""COMPUTED_VALUE"""),"First-Person Shooter")</f>
        <v>First-Person Shooter</v>
      </c>
      <c r="M63" s="201" t="str">
        <f>IFERROR(__xludf.DUMMYFUNCTION("""COMPUTED_VALUE"""),"FPS Boost X Only")</f>
        <v>FPS Boost X Only</v>
      </c>
    </row>
    <row r="64">
      <c r="A64" s="190" t="str">
        <f>IFERROR(__xludf.DUMMYFUNCTION("""COMPUTED_VALUE"""),"DOOM (2016)")</f>
        <v>DOOM (2016)</v>
      </c>
      <c r="B64" s="195" t="str">
        <f>IFERROR(__xludf.DUMMYFUNCTION("""COMPUTED_VALUE"""),"Xbox")</f>
        <v>Xbox</v>
      </c>
      <c r="C64" s="196" t="str">
        <f>IFERROR(__xludf.DUMMYFUNCTION("""COMPUTED_VALUE"""),"Yes")</f>
        <v>Yes</v>
      </c>
      <c r="D64" s="196" t="str">
        <f>IFERROR(__xludf.DUMMYFUNCTION("""COMPUTED_VALUE"""),"Active")</f>
        <v>Active</v>
      </c>
      <c r="E64" s="197">
        <f>IFERROR(__xludf.DUMMYFUNCTION("""COMPUTED_VALUE"""),43322.0)</f>
        <v>43322</v>
      </c>
      <c r="F64" s="198"/>
      <c r="G64" s="199">
        <f>IFERROR(__xludf.DUMMYFUNCTION("""COMPUTED_VALUE"""),86.16666666666666)</f>
        <v>86.16666667</v>
      </c>
      <c r="H64" s="197">
        <f>IFERROR(__xludf.DUMMYFUNCTION("""COMPUTED_VALUE"""),42503.0)</f>
        <v>42503</v>
      </c>
      <c r="I64" s="199">
        <f>IFERROR(__xludf.DUMMYFUNCTION("""COMPUTED_VALUE"""),2.2416666666666667)</f>
        <v>2.241666667</v>
      </c>
      <c r="J64" s="200">
        <f>IFERROR(__xludf.DUMMYFUNCTION("""COMPUTED_VALUE"""),87.0)</f>
        <v>87</v>
      </c>
      <c r="K64" s="200">
        <f>IFERROR(__xludf.DUMMYFUNCTION("""COMPUTED_VALUE"""),11.5)</f>
        <v>11.5</v>
      </c>
      <c r="L64" s="201" t="str">
        <f>IFERROR(__xludf.DUMMYFUNCTION("""COMPUTED_VALUE"""),"First-Person Shooter")</f>
        <v>First-Person Shooter</v>
      </c>
      <c r="M64" s="201"/>
    </row>
    <row r="65">
      <c r="A65" s="190" t="str">
        <f>IFERROR(__xludf.DUMMYFUNCTION("""COMPUTED_VALUE"""),"Prince of Persia: The Lost Crown")</f>
        <v>Prince of Persia: The Lost Crown</v>
      </c>
      <c r="B65" s="195" t="str">
        <f>IFERROR(__xludf.DUMMYFUNCTION("""COMPUTED_VALUE"""),"Xbox / PC")</f>
        <v>Xbox / PC</v>
      </c>
      <c r="C65" s="196" t="str">
        <f>IFERROR(__xludf.DUMMYFUNCTION("""COMPUTED_VALUE"""),"Yes")</f>
        <v>Yes</v>
      </c>
      <c r="D65" s="196" t="str">
        <f>IFERROR(__xludf.DUMMYFUNCTION("""COMPUTED_VALUE"""),"Active")</f>
        <v>Active</v>
      </c>
      <c r="E65" s="197">
        <f>IFERROR(__xludf.DUMMYFUNCTION("""COMPUTED_VALUE"""),45931.0)</f>
        <v>45931</v>
      </c>
      <c r="F65" s="198"/>
      <c r="G65" s="199">
        <f>IFERROR(__xludf.DUMMYFUNCTION("""COMPUTED_VALUE"""),0.4666666666666667)</f>
        <v>0.4666666667</v>
      </c>
      <c r="H65" s="197">
        <f>IFERROR(__xludf.DUMMYFUNCTION("""COMPUTED_VALUE"""),45309.0)</f>
        <v>45309</v>
      </c>
      <c r="I65" s="199">
        <f>IFERROR(__xludf.DUMMYFUNCTION("""COMPUTED_VALUE"""),1.7027777777777777)</f>
        <v>1.702777778</v>
      </c>
      <c r="J65" s="200">
        <f>IFERROR(__xludf.DUMMYFUNCTION("""COMPUTED_VALUE"""),86.0)</f>
        <v>86</v>
      </c>
      <c r="K65" s="200">
        <f>IFERROR(__xludf.DUMMYFUNCTION("""COMPUTED_VALUE"""),17.0)</f>
        <v>17</v>
      </c>
      <c r="L65" s="201" t="str">
        <f>IFERROR(__xludf.DUMMYFUNCTION("""COMPUTED_VALUE"""),"Metroidvania")</f>
        <v>Metroidvania</v>
      </c>
      <c r="M65" s="201"/>
    </row>
    <row r="66">
      <c r="A66" s="190" t="str">
        <f>IFERROR(__xludf.DUMMYFUNCTION("""COMPUTED_VALUE"""),"Rise of the Tomb Raider")</f>
        <v>Rise of the Tomb Raider</v>
      </c>
      <c r="B66" s="195" t="str">
        <f>IFERROR(__xludf.DUMMYFUNCTION("""COMPUTED_VALUE"""),"Xbox / PC")</f>
        <v>Xbox / PC</v>
      </c>
      <c r="C66" s="196" t="str">
        <f>IFERROR(__xludf.DUMMYFUNCTION("""COMPUTED_VALUE"""),"Yes")</f>
        <v>Yes</v>
      </c>
      <c r="D66" s="196" t="str">
        <f>IFERROR(__xludf.DUMMYFUNCTION("""COMPUTED_VALUE"""),"Active")</f>
        <v>Active</v>
      </c>
      <c r="E66" s="197">
        <f>IFERROR(__xludf.DUMMYFUNCTION("""COMPUTED_VALUE"""),45839.0)</f>
        <v>45839</v>
      </c>
      <c r="F66" s="198"/>
      <c r="G66" s="199">
        <f>IFERROR(__xludf.DUMMYFUNCTION("""COMPUTED_VALUE"""),3.4666666666666663)</f>
        <v>3.466666667</v>
      </c>
      <c r="H66" s="197">
        <f>IFERROR(__xludf.DUMMYFUNCTION("""COMPUTED_VALUE"""),42318.0)</f>
        <v>42318</v>
      </c>
      <c r="I66" s="199">
        <f>IFERROR(__xludf.DUMMYFUNCTION("""COMPUTED_VALUE"""),9.641666666666667)</f>
        <v>9.641666667</v>
      </c>
      <c r="J66" s="200">
        <f>IFERROR(__xludf.DUMMYFUNCTION("""COMPUTED_VALUE"""),86.0)</f>
        <v>86</v>
      </c>
      <c r="K66" s="200">
        <f>IFERROR(__xludf.DUMMYFUNCTION("""COMPUTED_VALUE"""),13.5)</f>
        <v>13.5</v>
      </c>
      <c r="L66" s="201" t="str">
        <f>IFERROR(__xludf.DUMMYFUNCTION("""COMPUTED_VALUE"""),"Shooter / Action-Adventure")</f>
        <v>Shooter / Action-Adventure</v>
      </c>
      <c r="M66" s="201"/>
    </row>
    <row r="67">
      <c r="A67" s="190" t="str">
        <f>IFERROR(__xludf.DUMMYFUNCTION("""COMPUTED_VALUE"""),"Warhammer 40,000: Rogue Trader")</f>
        <v>Warhammer 40,000: Rogue Trader</v>
      </c>
      <c r="B67" s="195" t="str">
        <f>IFERROR(__xludf.DUMMYFUNCTION("""COMPUTED_VALUE"""),"Xbox / PC")</f>
        <v>Xbox / PC</v>
      </c>
      <c r="C67" s="196" t="str">
        <f>IFERROR(__xludf.DUMMYFUNCTION("""COMPUTED_VALUE"""),"Yes")</f>
        <v>Yes</v>
      </c>
      <c r="D67" s="196" t="str">
        <f>IFERROR(__xludf.DUMMYFUNCTION("""COMPUTED_VALUE"""),"Active")</f>
        <v>Active</v>
      </c>
      <c r="E67" s="197">
        <f>IFERROR(__xludf.DUMMYFUNCTION("""COMPUTED_VALUE"""),45708.0)</f>
        <v>45708</v>
      </c>
      <c r="F67" s="198"/>
      <c r="G67" s="199">
        <f>IFERROR(__xludf.DUMMYFUNCTION("""COMPUTED_VALUE"""),7.833333333333334)</f>
        <v>7.833333333</v>
      </c>
      <c r="H67" s="197">
        <f>IFERROR(__xludf.DUMMYFUNCTION("""COMPUTED_VALUE"""),45559.0)</f>
        <v>45559</v>
      </c>
      <c r="I67" s="199">
        <f>IFERROR(__xludf.DUMMYFUNCTION("""COMPUTED_VALUE"""),0.40555555555555556)</f>
        <v>0.4055555556</v>
      </c>
      <c r="J67" s="200">
        <f>IFERROR(__xludf.DUMMYFUNCTION("""COMPUTED_VALUE"""),86.0)</f>
        <v>86</v>
      </c>
      <c r="K67" s="200">
        <f>IFERROR(__xludf.DUMMYFUNCTION("""COMPUTED_VALUE"""),65.0)</f>
        <v>65</v>
      </c>
      <c r="L67" s="201" t="str">
        <f>IFERROR(__xludf.DUMMYFUNCTION("""COMPUTED_VALUE"""),"RPG")</f>
        <v>RPG</v>
      </c>
      <c r="M67" s="201" t="str">
        <f>IFERROR(__xludf.DUMMYFUNCTION("""COMPUTED_VALUE"""),"Exclusive")</f>
        <v>Exclusive</v>
      </c>
    </row>
    <row r="68">
      <c r="A68" s="190" t="str">
        <f>IFERROR(__xludf.DUMMYFUNCTION("""COMPUTED_VALUE"""),"Indiana Jones and the Great Circle")</f>
        <v>Indiana Jones and the Great Circle</v>
      </c>
      <c r="B68" s="195" t="str">
        <f>IFERROR(__xludf.DUMMYFUNCTION("""COMPUTED_VALUE"""),"Xbox / PC")</f>
        <v>Xbox / PC</v>
      </c>
      <c r="C68" s="196" t="str">
        <f>IFERROR(__xludf.DUMMYFUNCTION("""COMPUTED_VALUE"""),"Yes")</f>
        <v>Yes</v>
      </c>
      <c r="D68" s="196" t="str">
        <f>IFERROR(__xludf.DUMMYFUNCTION("""COMPUTED_VALUE"""),"Active")</f>
        <v>Active</v>
      </c>
      <c r="E68" s="197">
        <f>IFERROR(__xludf.DUMMYFUNCTION("""COMPUTED_VALUE"""),45635.0)</f>
        <v>45635</v>
      </c>
      <c r="F68" s="198"/>
      <c r="G68" s="199">
        <f>IFERROR(__xludf.DUMMYFUNCTION("""COMPUTED_VALUE"""),10.2)</f>
        <v>10.2</v>
      </c>
      <c r="H68" s="197">
        <f>IFERROR(__xludf.DUMMYFUNCTION("""COMPUTED_VALUE"""),45635.0)</f>
        <v>45635</v>
      </c>
      <c r="I68" s="199">
        <f>IFERROR(__xludf.DUMMYFUNCTION("""COMPUTED_VALUE"""),0.0)</f>
        <v>0</v>
      </c>
      <c r="J68" s="200">
        <f>IFERROR(__xludf.DUMMYFUNCTION("""COMPUTED_VALUE"""),86.0)</f>
        <v>86</v>
      </c>
      <c r="K68" s="200">
        <f>IFERROR(__xludf.DUMMYFUNCTION("""COMPUTED_VALUE"""),15.0)</f>
        <v>15</v>
      </c>
      <c r="L68" s="201" t="str">
        <f>IFERROR(__xludf.DUMMYFUNCTION("""COMPUTED_VALUE"""),"Action-Adventure")</f>
        <v>Action-Adventure</v>
      </c>
      <c r="M68" s="201" t="str">
        <f>IFERROR(__xludf.DUMMYFUNCTION("""COMPUTED_VALUE"""),"Exclusive")</f>
        <v>Exclusive</v>
      </c>
    </row>
    <row r="69">
      <c r="A69" s="190" t="str">
        <f>IFERROR(__xludf.DUMMYFUNCTION("""COMPUTED_VALUE"""),"Frostpunk 2")</f>
        <v>Frostpunk 2</v>
      </c>
      <c r="B69" s="195" t="str">
        <f>IFERROR(__xludf.DUMMYFUNCTION("""COMPUTED_VALUE"""),"Xbox / PC")</f>
        <v>Xbox / PC</v>
      </c>
      <c r="C69" s="196" t="str">
        <f>IFERROR(__xludf.DUMMYFUNCTION("""COMPUTED_VALUE"""),"Yes")</f>
        <v>Yes</v>
      </c>
      <c r="D69" s="196" t="str">
        <f>IFERROR(__xludf.DUMMYFUNCTION("""COMPUTED_VALUE"""),"Active")</f>
        <v>Active</v>
      </c>
      <c r="E69" s="197">
        <f>IFERROR(__xludf.DUMMYFUNCTION("""COMPUTED_VALUE"""),45555.0)</f>
        <v>45555</v>
      </c>
      <c r="F69" s="198"/>
      <c r="G69" s="199">
        <f>IFERROR(__xludf.DUMMYFUNCTION("""COMPUTED_VALUE"""),12.833333333333332)</f>
        <v>12.83333333</v>
      </c>
      <c r="H69" s="197">
        <f>IFERROR(__xludf.DUMMYFUNCTION("""COMPUTED_VALUE"""),45555.0)</f>
        <v>45555</v>
      </c>
      <c r="I69" s="199">
        <f>IFERROR(__xludf.DUMMYFUNCTION("""COMPUTED_VALUE"""),0.0)</f>
        <v>0</v>
      </c>
      <c r="J69" s="200">
        <f>IFERROR(__xludf.DUMMYFUNCTION("""COMPUTED_VALUE"""),86.0)</f>
        <v>86</v>
      </c>
      <c r="K69" s="200">
        <f>IFERROR(__xludf.DUMMYFUNCTION("""COMPUTED_VALUE"""),11.0)</f>
        <v>11</v>
      </c>
      <c r="L69" s="201" t="str">
        <f>IFERROR(__xludf.DUMMYFUNCTION("""COMPUTED_VALUE"""),"Simulation")</f>
        <v>Simulation</v>
      </c>
      <c r="M69" s="201" t="str">
        <f>IFERROR(__xludf.DUMMYFUNCTION("""COMPUTED_VALUE"""),"Exclusive")</f>
        <v>Exclusive</v>
      </c>
    </row>
    <row r="70">
      <c r="A70" s="190" t="str">
        <f>IFERROR(__xludf.DUMMYFUNCTION("""COMPUTED_VALUE"""),"Tomb Raider: Definitive Edition")</f>
        <v>Tomb Raider: Definitive Edition</v>
      </c>
      <c r="B70" s="195" t="str">
        <f>IFERROR(__xludf.DUMMYFUNCTION("""COMPUTED_VALUE"""),"Xbox / PC")</f>
        <v>Xbox / PC</v>
      </c>
      <c r="C70" s="196" t="str">
        <f>IFERROR(__xludf.DUMMYFUNCTION("""COMPUTED_VALUE"""),"Yes")</f>
        <v>Yes</v>
      </c>
      <c r="D70" s="196" t="str">
        <f>IFERROR(__xludf.DUMMYFUNCTION("""COMPUTED_VALUE"""),"Active")</f>
        <v>Active</v>
      </c>
      <c r="E70" s="197">
        <f>IFERROR(__xludf.DUMMYFUNCTION("""COMPUTED_VALUE"""),45414.0)</f>
        <v>45414</v>
      </c>
      <c r="F70" s="198"/>
      <c r="G70" s="199">
        <f>IFERROR(__xludf.DUMMYFUNCTION("""COMPUTED_VALUE"""),17.433333333333334)</f>
        <v>17.43333333</v>
      </c>
      <c r="H70" s="197">
        <f>IFERROR(__xludf.DUMMYFUNCTION("""COMPUTED_VALUE"""),41338.0)</f>
        <v>41338</v>
      </c>
      <c r="I70" s="199">
        <f>IFERROR(__xludf.DUMMYFUNCTION("""COMPUTED_VALUE"""),11.158333333333333)</f>
        <v>11.15833333</v>
      </c>
      <c r="J70" s="200">
        <f>IFERROR(__xludf.DUMMYFUNCTION("""COMPUTED_VALUE"""),86.0)</f>
        <v>86</v>
      </c>
      <c r="K70" s="200">
        <f>IFERROR(__xludf.DUMMYFUNCTION("""COMPUTED_VALUE"""),11.5)</f>
        <v>11.5</v>
      </c>
      <c r="L70" s="201" t="str">
        <f>IFERROR(__xludf.DUMMYFUNCTION("""COMPUTED_VALUE"""),"Shooter / Platformer / Action-Adventure")</f>
        <v>Shooter / Platformer / Action-Adventure</v>
      </c>
      <c r="M70" s="201" t="str">
        <f>IFERROR(__xludf.DUMMYFUNCTION("""COMPUTED_VALUE"""),"FPS Boost")</f>
        <v>FPS Boost</v>
      </c>
    </row>
    <row r="71">
      <c r="A71" s="190" t="str">
        <f>IFERROR(__xludf.DUMMYFUNCTION("""COMPUTED_VALUE"""),"Spiritfarer")</f>
        <v>Spiritfarer</v>
      </c>
      <c r="B71" s="195" t="str">
        <f>IFERROR(__xludf.DUMMYFUNCTION("""COMPUTED_VALUE"""),"Xbox / PC")</f>
        <v>Xbox / PC</v>
      </c>
      <c r="C71" s="196" t="str">
        <f>IFERROR(__xludf.DUMMYFUNCTION("""COMPUTED_VALUE"""),"Touch Controls")</f>
        <v>Touch Controls</v>
      </c>
      <c r="D71" s="196" t="str">
        <f>IFERROR(__xludf.DUMMYFUNCTION("""COMPUTED_VALUE"""),"Active")</f>
        <v>Active</v>
      </c>
      <c r="E71" s="197">
        <f>IFERROR(__xludf.DUMMYFUNCTION("""COMPUTED_VALUE"""),45182.0)</f>
        <v>45182</v>
      </c>
      <c r="F71" s="198"/>
      <c r="G71" s="199">
        <f>IFERROR(__xludf.DUMMYFUNCTION("""COMPUTED_VALUE"""),25.06666666666667)</f>
        <v>25.06666667</v>
      </c>
      <c r="H71" s="197">
        <f>IFERROR(__xludf.DUMMYFUNCTION("""COMPUTED_VALUE"""),44061.0)</f>
        <v>44061</v>
      </c>
      <c r="I71" s="199">
        <f>IFERROR(__xludf.DUMMYFUNCTION("""COMPUTED_VALUE"""),3.0694444444444446)</f>
        <v>3.069444444</v>
      </c>
      <c r="J71" s="200">
        <f>IFERROR(__xludf.DUMMYFUNCTION("""COMPUTED_VALUE"""),86.0)</f>
        <v>86</v>
      </c>
      <c r="K71" s="200">
        <f>IFERROR(__xludf.DUMMYFUNCTION("""COMPUTED_VALUE"""),21.0)</f>
        <v>21</v>
      </c>
      <c r="L71" s="201" t="str">
        <f>IFERROR(__xludf.DUMMYFUNCTION("""COMPUTED_VALUE"""),"Adventure")</f>
        <v>Adventure</v>
      </c>
      <c r="M71" s="201"/>
    </row>
    <row r="72">
      <c r="A72" s="190" t="str">
        <f>IFERROR(__xludf.DUMMYFUNCTION("""COMPUTED_VALUE"""),"Teenage Mutant Ninja Turtles: Shredder's Revenge")</f>
        <v>Teenage Mutant Ninja Turtles: Shredder's Revenge</v>
      </c>
      <c r="B72" s="195" t="str">
        <f>IFERROR(__xludf.DUMMYFUNCTION("""COMPUTED_VALUE"""),"Xbox / PC")</f>
        <v>Xbox / PC</v>
      </c>
      <c r="C72" s="196" t="str">
        <f>IFERROR(__xludf.DUMMYFUNCTION("""COMPUTED_VALUE"""),"Touch Controls")</f>
        <v>Touch Controls</v>
      </c>
      <c r="D72" s="196" t="str">
        <f>IFERROR(__xludf.DUMMYFUNCTION("""COMPUTED_VALUE"""),"Active")</f>
        <v>Active</v>
      </c>
      <c r="E72" s="197">
        <f>IFERROR(__xludf.DUMMYFUNCTION("""COMPUTED_VALUE"""),44728.0)</f>
        <v>44728</v>
      </c>
      <c r="F72" s="198"/>
      <c r="G72" s="199">
        <f>IFERROR(__xludf.DUMMYFUNCTION("""COMPUTED_VALUE"""),39.96666666666667)</f>
        <v>39.96666667</v>
      </c>
      <c r="H72" s="197">
        <f>IFERROR(__xludf.DUMMYFUNCTION("""COMPUTED_VALUE"""),44728.0)</f>
        <v>44728</v>
      </c>
      <c r="I72" s="199">
        <f>IFERROR(__xludf.DUMMYFUNCTION("""COMPUTED_VALUE"""),0.0)</f>
        <v>0</v>
      </c>
      <c r="J72" s="200">
        <f>IFERROR(__xludf.DUMMYFUNCTION("""COMPUTED_VALUE"""),86.0)</f>
        <v>86</v>
      </c>
      <c r="K72" s="200">
        <f>IFERROR(__xludf.DUMMYFUNCTION("""COMPUTED_VALUE"""),2.5)</f>
        <v>2.5</v>
      </c>
      <c r="L72" s="201" t="str">
        <f>IFERROR(__xludf.DUMMYFUNCTION("""COMPUTED_VALUE"""),"Brawler")</f>
        <v>Brawler</v>
      </c>
      <c r="M72" s="201"/>
    </row>
    <row r="73">
      <c r="A73" s="190" t="str">
        <f>IFERROR(__xludf.DUMMYFUNCTION("""COMPUTED_VALUE"""),"Skate")</f>
        <v>Skate</v>
      </c>
      <c r="B73" s="195" t="str">
        <f>IFERROR(__xludf.DUMMYFUNCTION("""COMPUTED_VALUE"""),"Xbox")</f>
        <v>Xbox</v>
      </c>
      <c r="C73" s="196" t="str">
        <f>IFERROR(__xludf.DUMMYFUNCTION("""COMPUTED_VALUE"""),"Touch Controls")</f>
        <v>Touch Controls</v>
      </c>
      <c r="D73" s="196" t="str">
        <f>IFERROR(__xludf.DUMMYFUNCTION("""COMPUTED_VALUE"""),"Active")</f>
        <v>Active</v>
      </c>
      <c r="E73" s="197">
        <f>IFERROR(__xludf.DUMMYFUNCTION("""COMPUTED_VALUE"""),44413.0)</f>
        <v>44413</v>
      </c>
      <c r="F73" s="198"/>
      <c r="G73" s="199">
        <f>IFERROR(__xludf.DUMMYFUNCTION("""COMPUTED_VALUE"""),50.333333333333336)</f>
        <v>50.33333333</v>
      </c>
      <c r="H73" s="197">
        <f>IFERROR(__xludf.DUMMYFUNCTION("""COMPUTED_VALUE"""),39339.0)</f>
        <v>39339</v>
      </c>
      <c r="I73" s="199">
        <f>IFERROR(__xludf.DUMMYFUNCTION("""COMPUTED_VALUE"""),13.891666666666667)</f>
        <v>13.89166667</v>
      </c>
      <c r="J73" s="200">
        <f>IFERROR(__xludf.DUMMYFUNCTION("""COMPUTED_VALUE"""),86.0)</f>
        <v>86</v>
      </c>
      <c r="K73" s="200">
        <f>IFERROR(__xludf.DUMMYFUNCTION("""COMPUTED_VALUE"""),11.5)</f>
        <v>11.5</v>
      </c>
      <c r="L73" s="201" t="str">
        <f>IFERROR(__xludf.DUMMYFUNCTION("""COMPUTED_VALUE"""),"Sports / Simulation / Skateboarding")</f>
        <v>Sports / Simulation / Skateboarding</v>
      </c>
      <c r="M73" s="201"/>
    </row>
    <row r="74">
      <c r="A74" s="190" t="str">
        <f>IFERROR(__xludf.DUMMYFUNCTION("""COMPUTED_VALUE"""),"Dragon Age: Inquisition - Game of the Year Edition")</f>
        <v>Dragon Age: Inquisition - Game of the Year Edition</v>
      </c>
      <c r="B74" s="195" t="str">
        <f>IFERROR(__xludf.DUMMYFUNCTION("""COMPUTED_VALUE"""),"Xbox / PC")</f>
        <v>Xbox / PC</v>
      </c>
      <c r="C74" s="196" t="str">
        <f>IFERROR(__xludf.DUMMYFUNCTION("""COMPUTED_VALUE"""),"Yes")</f>
        <v>Yes</v>
      </c>
      <c r="D74" s="196" t="str">
        <f>IFERROR(__xludf.DUMMYFUNCTION("""COMPUTED_VALUE"""),"Active")</f>
        <v>Active</v>
      </c>
      <c r="E74" s="197">
        <f>IFERROR(__xludf.DUMMYFUNCTION("""COMPUTED_VALUE"""),44145.0)</f>
        <v>44145</v>
      </c>
      <c r="F74" s="198"/>
      <c r="G74" s="199">
        <f>IFERROR(__xludf.DUMMYFUNCTION("""COMPUTED_VALUE"""),59.166666666666664)</f>
        <v>59.16666667</v>
      </c>
      <c r="H74" s="197">
        <f>IFERROR(__xludf.DUMMYFUNCTION("""COMPUTED_VALUE"""),41961.0)</f>
        <v>41961</v>
      </c>
      <c r="I74" s="199">
        <f>IFERROR(__xludf.DUMMYFUNCTION("""COMPUTED_VALUE"""),5.977777777777778)</f>
        <v>5.977777778</v>
      </c>
      <c r="J74" s="200">
        <f>IFERROR(__xludf.DUMMYFUNCTION("""COMPUTED_VALUE"""),86.0)</f>
        <v>86</v>
      </c>
      <c r="K74" s="200">
        <f>IFERROR(__xludf.DUMMYFUNCTION("""COMPUTED_VALUE"""),46.5)</f>
        <v>46.5</v>
      </c>
      <c r="L74" s="201" t="str">
        <f>IFERROR(__xludf.DUMMYFUNCTION("""COMPUTED_VALUE"""),"Action / RPG")</f>
        <v>Action / RPG</v>
      </c>
      <c r="M74" s="201" t="str">
        <f>IFERROR(__xludf.DUMMYFUNCTION("""COMPUTED_VALUE"""),"FPS Boost")</f>
        <v>FPS Boost</v>
      </c>
    </row>
    <row r="75">
      <c r="A75" s="190" t="str">
        <f>IFERROR(__xludf.DUMMYFUNCTION("""COMPUTED_VALUE"""),"Dragon Age: Origins - Ultimate Edition")</f>
        <v>Dragon Age: Origins - Ultimate Edition</v>
      </c>
      <c r="B75" s="195" t="str">
        <f>IFERROR(__xludf.DUMMYFUNCTION("""COMPUTED_VALUE"""),"Xbox / PC")</f>
        <v>Xbox / PC</v>
      </c>
      <c r="C75" s="196" t="str">
        <f>IFERROR(__xludf.DUMMYFUNCTION("""COMPUTED_VALUE"""),"Touch Controls")</f>
        <v>Touch Controls</v>
      </c>
      <c r="D75" s="196" t="str">
        <f>IFERROR(__xludf.DUMMYFUNCTION("""COMPUTED_VALUE"""),"Active")</f>
        <v>Active</v>
      </c>
      <c r="E75" s="197">
        <f>IFERROR(__xludf.DUMMYFUNCTION("""COMPUTED_VALUE"""),44145.0)</f>
        <v>44145</v>
      </c>
      <c r="F75" s="198"/>
      <c r="G75" s="199">
        <f>IFERROR(__xludf.DUMMYFUNCTION("""COMPUTED_VALUE"""),59.166666666666664)</f>
        <v>59.16666667</v>
      </c>
      <c r="H75" s="197">
        <f>IFERROR(__xludf.DUMMYFUNCTION("""COMPUTED_VALUE"""),40120.0)</f>
        <v>40120</v>
      </c>
      <c r="I75" s="199">
        <f>IFERROR(__xludf.DUMMYFUNCTION("""COMPUTED_VALUE"""),11.019444444444444)</f>
        <v>11.01944444</v>
      </c>
      <c r="J75" s="200">
        <f>IFERROR(__xludf.DUMMYFUNCTION("""COMPUTED_VALUE"""),86.0)</f>
        <v>86</v>
      </c>
      <c r="K75" s="200">
        <f>IFERROR(__xludf.DUMMYFUNCTION("""COMPUTED_VALUE"""),40.5)</f>
        <v>40.5</v>
      </c>
      <c r="L75" s="201" t="str">
        <f>IFERROR(__xludf.DUMMYFUNCTION("""COMPUTED_VALUE"""),"RPG")</f>
        <v>RPG</v>
      </c>
      <c r="M75" s="201" t="str">
        <f>IFERROR(__xludf.DUMMYFUNCTION("""COMPUTED_VALUE"""),"FPS Boost")</f>
        <v>FPS Boost</v>
      </c>
    </row>
    <row r="76">
      <c r="A76" s="190" t="str">
        <f>IFERROR(__xludf.DUMMYFUNCTION("""COMPUTED_VALUE"""),"Wasteland 3")</f>
        <v>Wasteland 3</v>
      </c>
      <c r="B76" s="195" t="str">
        <f>IFERROR(__xludf.DUMMYFUNCTION("""COMPUTED_VALUE"""),"Xbox / PC")</f>
        <v>Xbox / PC</v>
      </c>
      <c r="C76" s="196" t="str">
        <f>IFERROR(__xludf.DUMMYFUNCTION("""COMPUTED_VALUE"""),"Touch Controls")</f>
        <v>Touch Controls</v>
      </c>
      <c r="D76" s="196" t="str">
        <f>IFERROR(__xludf.DUMMYFUNCTION("""COMPUTED_VALUE"""),"Active")</f>
        <v>Active</v>
      </c>
      <c r="E76" s="197">
        <f>IFERROR(__xludf.DUMMYFUNCTION("""COMPUTED_VALUE"""),44071.0)</f>
        <v>44071</v>
      </c>
      <c r="F76" s="198"/>
      <c r="G76" s="199">
        <f>IFERROR(__xludf.DUMMYFUNCTION("""COMPUTED_VALUE"""),61.56666666666666)</f>
        <v>61.56666667</v>
      </c>
      <c r="H76" s="197">
        <f>IFERROR(__xludf.DUMMYFUNCTION("""COMPUTED_VALUE"""),44071.0)</f>
        <v>44071</v>
      </c>
      <c r="I76" s="199">
        <f>IFERROR(__xludf.DUMMYFUNCTION("""COMPUTED_VALUE"""),0.0)</f>
        <v>0</v>
      </c>
      <c r="J76" s="200">
        <f>IFERROR(__xludf.DUMMYFUNCTION("""COMPUTED_VALUE"""),86.0)</f>
        <v>86</v>
      </c>
      <c r="K76" s="200">
        <f>IFERROR(__xludf.DUMMYFUNCTION("""COMPUTED_VALUE"""),36.5)</f>
        <v>36.5</v>
      </c>
      <c r="L76" s="201" t="str">
        <f>IFERROR(__xludf.DUMMYFUNCTION("""COMPUTED_VALUE"""),"RPG")</f>
        <v>RPG</v>
      </c>
      <c r="M76" s="201" t="str">
        <f>IFERROR(__xludf.DUMMYFUNCTION("""COMPUTED_VALUE"""),"FPS Boost")</f>
        <v>FPS Boost</v>
      </c>
    </row>
    <row r="77">
      <c r="A77" s="190" t="str">
        <f>IFERROR(__xludf.DUMMYFUNCTION("""COMPUTED_VALUE"""),"Pillars of Eternity: Definitive Edition")</f>
        <v>Pillars of Eternity: Definitive Edition</v>
      </c>
      <c r="B77" s="195" t="str">
        <f>IFERROR(__xludf.DUMMYFUNCTION("""COMPUTED_VALUE"""),"Xbox / PC")</f>
        <v>Xbox / PC</v>
      </c>
      <c r="C77" s="196" t="str">
        <f>IFERROR(__xludf.DUMMYFUNCTION("""COMPUTED_VALUE"""),"Touch Controls")</f>
        <v>Touch Controls</v>
      </c>
      <c r="D77" s="196" t="str">
        <f>IFERROR(__xludf.DUMMYFUNCTION("""COMPUTED_VALUE"""),"Active")</f>
        <v>Active</v>
      </c>
      <c r="E77" s="197">
        <f>IFERROR(__xludf.DUMMYFUNCTION("""COMPUTED_VALUE"""),43818.0)</f>
        <v>43818</v>
      </c>
      <c r="F77" s="198"/>
      <c r="G77" s="199">
        <f>IFERROR(__xludf.DUMMYFUNCTION("""COMPUTED_VALUE"""),69.86666666666666)</f>
        <v>69.86666667</v>
      </c>
      <c r="H77" s="197">
        <f>IFERROR(__xludf.DUMMYFUNCTION("""COMPUTED_VALUE"""),42089.0)</f>
        <v>42089</v>
      </c>
      <c r="I77" s="199">
        <f>IFERROR(__xludf.DUMMYFUNCTION("""COMPUTED_VALUE"""),4.730555555555555)</f>
        <v>4.730555556</v>
      </c>
      <c r="J77" s="200">
        <f>IFERROR(__xludf.DUMMYFUNCTION("""COMPUTED_VALUE"""),86.0)</f>
        <v>86</v>
      </c>
      <c r="K77" s="200">
        <f>IFERROR(__xludf.DUMMYFUNCTION("""COMPUTED_VALUE"""),35.5)</f>
        <v>35.5</v>
      </c>
      <c r="L77" s="201" t="str">
        <f>IFERROR(__xludf.DUMMYFUNCTION("""COMPUTED_VALUE"""),"RPG")</f>
        <v>RPG</v>
      </c>
      <c r="M77" s="201"/>
    </row>
    <row r="78">
      <c r="A78" s="190" t="str">
        <f>IFERROR(__xludf.DUMMYFUNCTION("""COMPUTED_VALUE"""),"Killer Instinct (2013): Anniversary Edition")</f>
        <v>Killer Instinct (2013): Anniversary Edition</v>
      </c>
      <c r="B78" s="195" t="str">
        <f>IFERROR(__xludf.DUMMYFUNCTION("""COMPUTED_VALUE"""),"Xbox / PC")</f>
        <v>Xbox / PC</v>
      </c>
      <c r="C78" s="196" t="str">
        <f>IFERROR(__xludf.DUMMYFUNCTION("""COMPUTED_VALUE"""),"Touch Controls")</f>
        <v>Touch Controls</v>
      </c>
      <c r="D78" s="196" t="str">
        <f>IFERROR(__xludf.DUMMYFUNCTION("""COMPUTED_VALUE"""),"Active")</f>
        <v>Active</v>
      </c>
      <c r="E78" s="197">
        <f>IFERROR(__xludf.DUMMYFUNCTION("""COMPUTED_VALUE"""),43671.0)</f>
        <v>43671</v>
      </c>
      <c r="F78" s="198"/>
      <c r="G78" s="199">
        <f>IFERROR(__xludf.DUMMYFUNCTION("""COMPUTED_VALUE"""),74.66666666666667)</f>
        <v>74.66666667</v>
      </c>
      <c r="H78" s="197">
        <f>IFERROR(__xludf.DUMMYFUNCTION("""COMPUTED_VALUE"""),41600.0)</f>
        <v>41600</v>
      </c>
      <c r="I78" s="199">
        <f>IFERROR(__xludf.DUMMYFUNCTION("""COMPUTED_VALUE"""),5.675)</f>
        <v>5.675</v>
      </c>
      <c r="J78" s="200">
        <f>IFERROR(__xludf.DUMMYFUNCTION("""COMPUTED_VALUE"""),86.0)</f>
        <v>86</v>
      </c>
      <c r="K78" s="200">
        <f>IFERROR(__xludf.DUMMYFUNCTION("""COMPUTED_VALUE"""),2.0)</f>
        <v>2</v>
      </c>
      <c r="L78" s="201" t="str">
        <f>IFERROR(__xludf.DUMMYFUNCTION("""COMPUTED_VALUE"""),"Fighting")</f>
        <v>Fighting</v>
      </c>
      <c r="M78" s="201"/>
    </row>
    <row r="79">
      <c r="A79" s="190" t="str">
        <f>IFERROR(__xludf.DUMMYFUNCTION("""COMPUTED_VALUE"""),"South Park: The Stick of Truth")</f>
        <v>South Park: The Stick of Truth</v>
      </c>
      <c r="B79" s="195" t="str">
        <f>IFERROR(__xludf.DUMMYFUNCTION("""COMPUTED_VALUE"""),"Xbox / PC")</f>
        <v>Xbox / PC</v>
      </c>
      <c r="C79" s="196" t="str">
        <f>IFERROR(__xludf.DUMMYFUNCTION("""COMPUTED_VALUE"""),"Yes")</f>
        <v>Yes</v>
      </c>
      <c r="D79" s="196" t="str">
        <f>IFERROR(__xludf.DUMMYFUNCTION("""COMPUTED_VALUE"""),"Active")</f>
        <v>Active</v>
      </c>
      <c r="E79" s="197">
        <f>IFERROR(__xludf.DUMMYFUNCTION("""COMPUTED_VALUE"""),45931.0)</f>
        <v>45931</v>
      </c>
      <c r="F79" s="198"/>
      <c r="G79" s="199">
        <f>IFERROR(__xludf.DUMMYFUNCTION("""COMPUTED_VALUE"""),0.4666666666666667)</f>
        <v>0.4666666667</v>
      </c>
      <c r="H79" s="197">
        <f>IFERROR(__xludf.DUMMYFUNCTION("""COMPUTED_VALUE"""),41702.0)</f>
        <v>41702</v>
      </c>
      <c r="I79" s="199">
        <f>IFERROR(__xludf.DUMMYFUNCTION("""COMPUTED_VALUE"""),11.575)</f>
        <v>11.575</v>
      </c>
      <c r="J79" s="200">
        <f>IFERROR(__xludf.DUMMYFUNCTION("""COMPUTED_VALUE"""),85.0)</f>
        <v>85</v>
      </c>
      <c r="K79" s="200">
        <f>IFERROR(__xludf.DUMMYFUNCTION("""COMPUTED_VALUE"""),12.0)</f>
        <v>12</v>
      </c>
      <c r="L79" s="201" t="str">
        <f>IFERROR(__xludf.DUMMYFUNCTION("""COMPUTED_VALUE"""),"RPG")</f>
        <v>RPG</v>
      </c>
      <c r="M79" s="201"/>
    </row>
    <row r="80">
      <c r="A80" s="190" t="str">
        <f>IFERROR(__xludf.DUMMYFUNCTION("""COMPUTED_VALUE"""),"Symphonia (2024)")</f>
        <v>Symphonia (2024)</v>
      </c>
      <c r="B80" s="195" t="str">
        <f>IFERROR(__xludf.DUMMYFUNCTION("""COMPUTED_VALUE"""),"Xbox / PC")</f>
        <v>Xbox / PC</v>
      </c>
      <c r="C80" s="196" t="str">
        <f>IFERROR(__xludf.DUMMYFUNCTION("""COMPUTED_VALUE"""),"Yes")</f>
        <v>Yes</v>
      </c>
      <c r="D80" s="196" t="str">
        <f>IFERROR(__xludf.DUMMYFUNCTION("""COMPUTED_VALUE"""),"Active")</f>
        <v>Active</v>
      </c>
      <c r="E80" s="197">
        <f>IFERROR(__xludf.DUMMYFUNCTION("""COMPUTED_VALUE"""),45811.0)</f>
        <v>45811</v>
      </c>
      <c r="F80" s="198"/>
      <c r="G80" s="199">
        <f>IFERROR(__xludf.DUMMYFUNCTION("""COMPUTED_VALUE"""),4.3999999999999995)</f>
        <v>4.4</v>
      </c>
      <c r="H80" s="197">
        <f>IFERROR(__xludf.DUMMYFUNCTION("""COMPUTED_VALUE"""),45631.0)</f>
        <v>45631</v>
      </c>
      <c r="I80" s="199">
        <f>IFERROR(__xludf.DUMMYFUNCTION("""COMPUTED_VALUE"""),0.49444444444444446)</f>
        <v>0.4944444444</v>
      </c>
      <c r="J80" s="200">
        <f>IFERROR(__xludf.DUMMYFUNCTION("""COMPUTED_VALUE"""),85.0)</f>
        <v>85</v>
      </c>
      <c r="K80" s="200">
        <f>IFERROR(__xludf.DUMMYFUNCTION("""COMPUTED_VALUE"""),5.0)</f>
        <v>5</v>
      </c>
      <c r="L80" s="201" t="str">
        <f>IFERROR(__xludf.DUMMYFUNCTION("""COMPUTED_VALUE"""),"Platformer")</f>
        <v>Platformer</v>
      </c>
      <c r="M80" s="201"/>
    </row>
    <row r="81">
      <c r="A81" s="190" t="str">
        <f>IFERROR(__xludf.DUMMYFUNCTION("""COMPUTED_VALUE"""),"DOOM: The Dark Ages")</f>
        <v>DOOM: The Dark Ages</v>
      </c>
      <c r="B81" s="195" t="str">
        <f>IFERROR(__xludf.DUMMYFUNCTION("""COMPUTED_VALUE"""),"Xbox / PC")</f>
        <v>Xbox / PC</v>
      </c>
      <c r="C81" s="196" t="str">
        <f>IFERROR(__xludf.DUMMYFUNCTION("""COMPUTED_VALUE"""),"Yes")</f>
        <v>Yes</v>
      </c>
      <c r="D81" s="196" t="str">
        <f>IFERROR(__xludf.DUMMYFUNCTION("""COMPUTED_VALUE"""),"Active")</f>
        <v>Active</v>
      </c>
      <c r="E81" s="197">
        <f>IFERROR(__xludf.DUMMYFUNCTION("""COMPUTED_VALUE"""),45792.0)</f>
        <v>45792</v>
      </c>
      <c r="F81" s="198"/>
      <c r="G81" s="199">
        <f>IFERROR(__xludf.DUMMYFUNCTION("""COMPUTED_VALUE"""),5.0)</f>
        <v>5</v>
      </c>
      <c r="H81" s="197">
        <f>IFERROR(__xludf.DUMMYFUNCTION("""COMPUTED_VALUE"""),45792.0)</f>
        <v>45792</v>
      </c>
      <c r="I81" s="199">
        <f>IFERROR(__xludf.DUMMYFUNCTION("""COMPUTED_VALUE"""),0.0)</f>
        <v>0</v>
      </c>
      <c r="J81" s="200">
        <f>IFERROR(__xludf.DUMMYFUNCTION("""COMPUTED_VALUE"""),85.0)</f>
        <v>85</v>
      </c>
      <c r="K81" s="200">
        <f>IFERROR(__xludf.DUMMYFUNCTION("""COMPUTED_VALUE"""),13.0)</f>
        <v>13</v>
      </c>
      <c r="L81" s="201" t="str">
        <f>IFERROR(__xludf.DUMMYFUNCTION("""COMPUTED_VALUE"""),"Shooter")</f>
        <v>Shooter</v>
      </c>
      <c r="M81" s="201" t="str">
        <f>IFERROR(__xludf.DUMMYFUNCTION("""COMPUTED_VALUE"""),"Exclusive")</f>
        <v>Exclusive</v>
      </c>
    </row>
    <row r="82">
      <c r="A82" s="190" t="str">
        <f>IFERROR(__xludf.DUMMYFUNCTION("""COMPUTED_VALUE"""),"Far Cry 4")</f>
        <v>Far Cry 4</v>
      </c>
      <c r="B82" s="195" t="str">
        <f>IFERROR(__xludf.DUMMYFUNCTION("""COMPUTED_VALUE"""),"Xbox / PC")</f>
        <v>Xbox / PC</v>
      </c>
      <c r="C82" s="196" t="str">
        <f>IFERROR(__xludf.DUMMYFUNCTION("""COMPUTED_VALUE"""),"Yes")</f>
        <v>Yes</v>
      </c>
      <c r="D82" s="196" t="str">
        <f>IFERROR(__xludf.DUMMYFUNCTION("""COMPUTED_VALUE"""),"Active")</f>
        <v>Active</v>
      </c>
      <c r="E82" s="197">
        <f>IFERROR(__xludf.DUMMYFUNCTION("""COMPUTED_VALUE"""),45777.0)</f>
        <v>45777</v>
      </c>
      <c r="F82" s="198"/>
      <c r="G82" s="199">
        <f>IFERROR(__xludf.DUMMYFUNCTION("""COMPUTED_VALUE"""),5.5)</f>
        <v>5.5</v>
      </c>
      <c r="H82" s="197">
        <f>IFERROR(__xludf.DUMMYFUNCTION("""COMPUTED_VALUE"""),41961.0)</f>
        <v>41961</v>
      </c>
      <c r="I82" s="199">
        <f>IFERROR(__xludf.DUMMYFUNCTION("""COMPUTED_VALUE"""),10.45)</f>
        <v>10.45</v>
      </c>
      <c r="J82" s="200">
        <f>IFERROR(__xludf.DUMMYFUNCTION("""COMPUTED_VALUE"""),85.0)</f>
        <v>85</v>
      </c>
      <c r="K82" s="200">
        <f>IFERROR(__xludf.DUMMYFUNCTION("""COMPUTED_VALUE"""),18.0)</f>
        <v>18</v>
      </c>
      <c r="L82" s="201" t="str">
        <f>IFERROR(__xludf.DUMMYFUNCTION("""COMPUTED_VALUE"""),"Shooter")</f>
        <v>Shooter</v>
      </c>
      <c r="M82" s="201"/>
    </row>
    <row r="83">
      <c r="A83" s="190" t="str">
        <f>IFERROR(__xludf.DUMMYFUNCTION("""COMPUTED_VALUE"""),"Enter the Gungeon")</f>
        <v>Enter the Gungeon</v>
      </c>
      <c r="B83" s="195" t="str">
        <f>IFERROR(__xludf.DUMMYFUNCTION("""COMPUTED_VALUE"""),"Xbox / PC")</f>
        <v>Xbox / PC</v>
      </c>
      <c r="C83" s="196" t="str">
        <f>IFERROR(__xludf.DUMMYFUNCTION("""COMPUTED_VALUE"""),"Touch Controls")</f>
        <v>Touch Controls</v>
      </c>
      <c r="D83" s="196" t="str">
        <f>IFERROR(__xludf.DUMMYFUNCTION("""COMPUTED_VALUE"""),"Active")</f>
        <v>Active</v>
      </c>
      <c r="E83" s="197">
        <f>IFERROR(__xludf.DUMMYFUNCTION("""COMPUTED_VALUE"""),45727.0)</f>
        <v>45727</v>
      </c>
      <c r="F83" s="198"/>
      <c r="G83" s="199">
        <f>IFERROR(__xludf.DUMMYFUNCTION("""COMPUTED_VALUE"""),7.133333333333333)</f>
        <v>7.133333333</v>
      </c>
      <c r="H83" s="197">
        <f>IFERROR(__xludf.DUMMYFUNCTION("""COMPUTED_VALUE"""),42465.0)</f>
        <v>42465</v>
      </c>
      <c r="I83" s="199">
        <f>IFERROR(__xludf.DUMMYFUNCTION("""COMPUTED_VALUE"""),8.933333333333334)</f>
        <v>8.933333333</v>
      </c>
      <c r="J83" s="200">
        <f>IFERROR(__xludf.DUMMYFUNCTION("""COMPUTED_VALUE"""),85.0)</f>
        <v>85</v>
      </c>
      <c r="K83" s="200">
        <f>IFERROR(__xludf.DUMMYFUNCTION("""COMPUTED_VALUE"""),18.5)</f>
        <v>18.5</v>
      </c>
      <c r="L83" s="201" t="str">
        <f>IFERROR(__xludf.DUMMYFUNCTION("""COMPUTED_VALUE"""),"Action-Adventure")</f>
        <v>Action-Adventure</v>
      </c>
      <c r="M83" s="201"/>
    </row>
    <row r="84">
      <c r="A84" s="190" t="str">
        <f>IFERROR(__xludf.DUMMYFUNCTION("""COMPUTED_VALUE"""),"Monster Train")</f>
        <v>Monster Train</v>
      </c>
      <c r="B84" s="195" t="str">
        <f>IFERROR(__xludf.DUMMYFUNCTION("""COMPUTED_VALUE"""),"Xbox / PC")</f>
        <v>Xbox / PC</v>
      </c>
      <c r="C84" s="196" t="str">
        <f>IFERROR(__xludf.DUMMYFUNCTION("""COMPUTED_VALUE"""),"Touch Controls")</f>
        <v>Touch Controls</v>
      </c>
      <c r="D84" s="196" t="str">
        <f>IFERROR(__xludf.DUMMYFUNCTION("""COMPUTED_VALUE"""),"Active")</f>
        <v>Active</v>
      </c>
      <c r="E84" s="197">
        <f>IFERROR(__xludf.DUMMYFUNCTION("""COMPUTED_VALUE"""),45720.0)</f>
        <v>45720</v>
      </c>
      <c r="F84" s="198"/>
      <c r="G84" s="199">
        <f>IFERROR(__xludf.DUMMYFUNCTION("""COMPUTED_VALUE"""),7.366666666666667)</f>
        <v>7.366666667</v>
      </c>
      <c r="H84" s="197">
        <f>IFERROR(__xludf.DUMMYFUNCTION("""COMPUTED_VALUE"""),43972.0)</f>
        <v>43972</v>
      </c>
      <c r="I84" s="199">
        <f>IFERROR(__xludf.DUMMYFUNCTION("""COMPUTED_VALUE"""),4.786111111111111)</f>
        <v>4.786111111</v>
      </c>
      <c r="J84" s="200">
        <f>IFERROR(__xludf.DUMMYFUNCTION("""COMPUTED_VALUE"""),85.0)</f>
        <v>85</v>
      </c>
      <c r="K84" s="200">
        <f>IFERROR(__xludf.DUMMYFUNCTION("""COMPUTED_VALUE"""),1.5)</f>
        <v>1.5</v>
      </c>
      <c r="L84" s="201" t="str">
        <f>IFERROR(__xludf.DUMMYFUNCTION("""COMPUTED_VALUE"""),"Strategy")</f>
        <v>Strategy</v>
      </c>
      <c r="M84" s="201"/>
    </row>
    <row r="85">
      <c r="A85" s="190" t="str">
        <f>IFERROR(__xludf.DUMMYFUNCTION("""COMPUTED_VALUE"""),"Citizen Sleeper 2: Starward Vector")</f>
        <v>Citizen Sleeper 2: Starward Vector</v>
      </c>
      <c r="B85" s="195" t="str">
        <f>IFERROR(__xludf.DUMMYFUNCTION("""COMPUTED_VALUE"""),"Xbox / PC")</f>
        <v>Xbox / PC</v>
      </c>
      <c r="C85" s="196" t="str">
        <f>IFERROR(__xludf.DUMMYFUNCTION("""COMPUTED_VALUE"""),"Yes")</f>
        <v>Yes</v>
      </c>
      <c r="D85" s="196" t="str">
        <f>IFERROR(__xludf.DUMMYFUNCTION("""COMPUTED_VALUE"""),"Active")</f>
        <v>Active</v>
      </c>
      <c r="E85" s="197">
        <f>IFERROR(__xludf.DUMMYFUNCTION("""COMPUTED_VALUE"""),45688.0)</f>
        <v>45688</v>
      </c>
      <c r="F85" s="198"/>
      <c r="G85" s="199">
        <f>IFERROR(__xludf.DUMMYFUNCTION("""COMPUTED_VALUE"""),8.5)</f>
        <v>8.5</v>
      </c>
      <c r="H85" s="197">
        <f>IFERROR(__xludf.DUMMYFUNCTION("""COMPUTED_VALUE"""),45688.0)</f>
        <v>45688</v>
      </c>
      <c r="I85" s="199">
        <f>IFERROR(__xludf.DUMMYFUNCTION("""COMPUTED_VALUE"""),0.0)</f>
        <v>0</v>
      </c>
      <c r="J85" s="200">
        <f>IFERROR(__xludf.DUMMYFUNCTION("""COMPUTED_VALUE"""),85.0)</f>
        <v>85</v>
      </c>
      <c r="K85" s="200">
        <f>IFERROR(__xludf.DUMMYFUNCTION("""COMPUTED_VALUE"""),10.0)</f>
        <v>10</v>
      </c>
      <c r="L85" s="201" t="str">
        <f>IFERROR(__xludf.DUMMYFUNCTION("""COMPUTED_VALUE"""),"RPG")</f>
        <v>RPG</v>
      </c>
      <c r="M85" s="201" t="str">
        <f>IFERROR(__xludf.DUMMYFUNCTION("""COMPUTED_VALUE"""),"Exclusive")</f>
        <v>Exclusive</v>
      </c>
    </row>
    <row r="86">
      <c r="A86" s="190" t="str">
        <f>IFERROR(__xludf.DUMMYFUNCTION("""COMPUTED_VALUE"""),"Inscryption")</f>
        <v>Inscryption</v>
      </c>
      <c r="B86" s="195" t="str">
        <f>IFERROR(__xludf.DUMMYFUNCTION("""COMPUTED_VALUE"""),"Xbox / PC")</f>
        <v>Xbox / PC</v>
      </c>
      <c r="C86" s="196" t="str">
        <f>IFERROR(__xludf.DUMMYFUNCTION("""COMPUTED_VALUE"""),"Yes")</f>
        <v>Yes</v>
      </c>
      <c r="D86" s="196" t="str">
        <f>IFERROR(__xludf.DUMMYFUNCTION("""COMPUTED_VALUE"""),"Active")</f>
        <v>Active</v>
      </c>
      <c r="E86" s="197">
        <f>IFERROR(__xludf.DUMMYFUNCTION("""COMPUTED_VALUE"""),45575.0)</f>
        <v>45575</v>
      </c>
      <c r="F86" s="198"/>
      <c r="G86" s="199">
        <f>IFERROR(__xludf.DUMMYFUNCTION("""COMPUTED_VALUE"""),12.166666666666666)</f>
        <v>12.16666667</v>
      </c>
      <c r="H86" s="197">
        <f>IFERROR(__xludf.DUMMYFUNCTION("""COMPUTED_VALUE"""),44488.0)</f>
        <v>44488</v>
      </c>
      <c r="I86" s="199">
        <f>IFERROR(__xludf.DUMMYFUNCTION("""COMPUTED_VALUE"""),2.975)</f>
        <v>2.975</v>
      </c>
      <c r="J86" s="200">
        <f>IFERROR(__xludf.DUMMYFUNCTION("""COMPUTED_VALUE"""),85.0)</f>
        <v>85</v>
      </c>
      <c r="K86" s="200">
        <f>IFERROR(__xludf.DUMMYFUNCTION("""COMPUTED_VALUE"""),13.0)</f>
        <v>13</v>
      </c>
      <c r="L86" s="201" t="str">
        <f>IFERROR(__xludf.DUMMYFUNCTION("""COMPUTED_VALUE"""),"Card Battle")</f>
        <v>Card Battle</v>
      </c>
      <c r="M86" s="201"/>
    </row>
    <row r="87">
      <c r="A87" s="190" t="str">
        <f>IFERROR(__xludf.DUMMYFUNCTION("""COMPUTED_VALUE"""),"Octopath Traveler II")</f>
        <v>Octopath Traveler II</v>
      </c>
      <c r="B87" s="195" t="str">
        <f>IFERROR(__xludf.DUMMYFUNCTION("""COMPUTED_VALUE"""),"Xbox / PC")</f>
        <v>Xbox / PC</v>
      </c>
      <c r="C87" s="196" t="str">
        <f>IFERROR(__xludf.DUMMYFUNCTION("""COMPUTED_VALUE"""),"Yes")</f>
        <v>Yes</v>
      </c>
      <c r="D87" s="196" t="str">
        <f>IFERROR(__xludf.DUMMYFUNCTION("""COMPUTED_VALUE"""),"Active")</f>
        <v>Active</v>
      </c>
      <c r="E87" s="197">
        <f>IFERROR(__xludf.DUMMYFUNCTION("""COMPUTED_VALUE"""),45449.0)</f>
        <v>45449</v>
      </c>
      <c r="F87" s="198"/>
      <c r="G87" s="199">
        <f>IFERROR(__xludf.DUMMYFUNCTION("""COMPUTED_VALUE"""),16.3)</f>
        <v>16.3</v>
      </c>
      <c r="H87" s="197">
        <f>IFERROR(__xludf.DUMMYFUNCTION("""COMPUTED_VALUE"""),44981.0)</f>
        <v>44981</v>
      </c>
      <c r="I87" s="199">
        <f>IFERROR(__xludf.DUMMYFUNCTION("""COMPUTED_VALUE"""),1.2833333333333334)</f>
        <v>1.283333333</v>
      </c>
      <c r="J87" s="200">
        <f>IFERROR(__xludf.DUMMYFUNCTION("""COMPUTED_VALUE"""),85.0)</f>
        <v>85</v>
      </c>
      <c r="K87" s="200">
        <f>IFERROR(__xludf.DUMMYFUNCTION("""COMPUTED_VALUE"""),61.0)</f>
        <v>61</v>
      </c>
      <c r="L87" s="201" t="str">
        <f>IFERROR(__xludf.DUMMYFUNCTION("""COMPUTED_VALUE"""),"RPG")</f>
        <v>RPG</v>
      </c>
      <c r="M87" s="201" t="str">
        <f>IFERROR(__xludf.DUMMYFUNCTION("""COMPUTED_VALUE"""),"Exclusive")</f>
        <v>Exclusive</v>
      </c>
    </row>
    <row r="88">
      <c r="A88" s="190" t="str">
        <f>IFERROR(__xludf.DUMMYFUNCTION("""COMPUTED_VALUE"""),"Control: Ultimate Edition")</f>
        <v>Control: Ultimate Edition</v>
      </c>
      <c r="B88" s="195" t="str">
        <f>IFERROR(__xludf.DUMMYFUNCTION("""COMPUTED_VALUE"""),"Xbox / PC")</f>
        <v>Xbox / PC</v>
      </c>
      <c r="C88" s="196" t="str">
        <f>IFERROR(__xludf.DUMMYFUNCTION("""COMPUTED_VALUE"""),"Yes")</f>
        <v>Yes</v>
      </c>
      <c r="D88" s="196" t="str">
        <f>IFERROR(__xludf.DUMMYFUNCTION("""COMPUTED_VALUE"""),"Active")</f>
        <v>Active</v>
      </c>
      <c r="E88" s="197">
        <f>IFERROR(__xludf.DUMMYFUNCTION("""COMPUTED_VALUE"""),45364.0)</f>
        <v>45364</v>
      </c>
      <c r="F88" s="198"/>
      <c r="G88" s="199">
        <f>IFERROR(__xludf.DUMMYFUNCTION("""COMPUTED_VALUE"""),19.066666666666666)</f>
        <v>19.06666667</v>
      </c>
      <c r="H88" s="197">
        <f>IFERROR(__xludf.DUMMYFUNCTION("""COMPUTED_VALUE"""),44229.0)</f>
        <v>44229</v>
      </c>
      <c r="I88" s="199">
        <f>IFERROR(__xludf.DUMMYFUNCTION("""COMPUTED_VALUE"""),3.113888888888889)</f>
        <v>3.113888889</v>
      </c>
      <c r="J88" s="200">
        <f>IFERROR(__xludf.DUMMYFUNCTION("""COMPUTED_VALUE"""),85.0)</f>
        <v>85</v>
      </c>
      <c r="K88" s="200">
        <f>IFERROR(__xludf.DUMMYFUNCTION("""COMPUTED_VALUE"""),13.0)</f>
        <v>13</v>
      </c>
      <c r="L88" s="201" t="str">
        <f>IFERROR(__xludf.DUMMYFUNCTION("""COMPUTED_VALUE"""),"Action")</f>
        <v>Action</v>
      </c>
      <c r="M88" s="201"/>
    </row>
    <row r="89">
      <c r="A89" s="190" t="str">
        <f>IFERROR(__xludf.DUMMYFUNCTION("""COMPUTED_VALUE"""),"Forza Motorsport (2023)")</f>
        <v>Forza Motorsport (2023)</v>
      </c>
      <c r="B89" s="195" t="str">
        <f>IFERROR(__xludf.DUMMYFUNCTION("""COMPUTED_VALUE"""),"Xbox / PC")</f>
        <v>Xbox / PC</v>
      </c>
      <c r="C89" s="196" t="str">
        <f>IFERROR(__xludf.DUMMYFUNCTION("""COMPUTED_VALUE"""),"Yes")</f>
        <v>Yes</v>
      </c>
      <c r="D89" s="196" t="str">
        <f>IFERROR(__xludf.DUMMYFUNCTION("""COMPUTED_VALUE"""),"Active")</f>
        <v>Active</v>
      </c>
      <c r="E89" s="197">
        <f>IFERROR(__xludf.DUMMYFUNCTION("""COMPUTED_VALUE"""),45209.0)</f>
        <v>45209</v>
      </c>
      <c r="F89" s="198"/>
      <c r="G89" s="199">
        <f>IFERROR(__xludf.DUMMYFUNCTION("""COMPUTED_VALUE"""),24.166666666666664)</f>
        <v>24.16666667</v>
      </c>
      <c r="H89" s="197">
        <f>IFERROR(__xludf.DUMMYFUNCTION("""COMPUTED_VALUE"""),45209.0)</f>
        <v>45209</v>
      </c>
      <c r="I89" s="199">
        <f>IFERROR(__xludf.DUMMYFUNCTION("""COMPUTED_VALUE"""),0.0)</f>
        <v>0</v>
      </c>
      <c r="J89" s="200">
        <f>IFERROR(__xludf.DUMMYFUNCTION("""COMPUTED_VALUE"""),85.0)</f>
        <v>85</v>
      </c>
      <c r="K89" s="200">
        <f>IFERROR(__xludf.DUMMYFUNCTION("""COMPUTED_VALUE"""),8.0)</f>
        <v>8</v>
      </c>
      <c r="L89" s="201" t="str">
        <f>IFERROR(__xludf.DUMMYFUNCTION("""COMPUTED_VALUE"""),"Driving/Racing")</f>
        <v>Driving/Racing</v>
      </c>
      <c r="M89" s="201" t="str">
        <f>IFERROR(__xludf.DUMMYFUNCTION("""COMPUTED_VALUE"""),"Exclusive")</f>
        <v>Exclusive</v>
      </c>
    </row>
    <row r="90">
      <c r="A90" s="190" t="str">
        <f>IFERROR(__xludf.DUMMYFUNCTION("""COMPUTED_VALUE"""),"Limbo")</f>
        <v>Limbo</v>
      </c>
      <c r="B90" s="195" t="str">
        <f>IFERROR(__xludf.DUMMYFUNCTION("""COMPUTED_VALUE"""),"Xbox / PC")</f>
        <v>Xbox / PC</v>
      </c>
      <c r="C90" s="196" t="str">
        <f>IFERROR(__xludf.DUMMYFUNCTION("""COMPUTED_VALUE"""),"Yes")</f>
        <v>Yes</v>
      </c>
      <c r="D90" s="196" t="str">
        <f>IFERROR(__xludf.DUMMYFUNCTION("""COMPUTED_VALUE"""),"Active")</f>
        <v>Active</v>
      </c>
      <c r="E90" s="197">
        <f>IFERROR(__xludf.DUMMYFUNCTION("""COMPUTED_VALUE"""),45147.0)</f>
        <v>45147</v>
      </c>
      <c r="F90" s="198"/>
      <c r="G90" s="199">
        <f>IFERROR(__xludf.DUMMYFUNCTION("""COMPUTED_VALUE"""),26.199999999999996)</f>
        <v>26.2</v>
      </c>
      <c r="H90" s="197">
        <f>IFERROR(__xludf.DUMMYFUNCTION("""COMPUTED_VALUE"""),40380.0)</f>
        <v>40380</v>
      </c>
      <c r="I90" s="199">
        <f>IFERROR(__xludf.DUMMYFUNCTION("""COMPUTED_VALUE"""),13.05)</f>
        <v>13.05</v>
      </c>
      <c r="J90" s="200">
        <f>IFERROR(__xludf.DUMMYFUNCTION("""COMPUTED_VALUE"""),85.0)</f>
        <v>85</v>
      </c>
      <c r="K90" s="200">
        <f>IFERROR(__xludf.DUMMYFUNCTION("""COMPUTED_VALUE"""),3.5)</f>
        <v>3.5</v>
      </c>
      <c r="L90" s="201" t="str">
        <f>IFERROR(__xludf.DUMMYFUNCTION("""COMPUTED_VALUE"""),"Puzzle / Platformer")</f>
        <v>Puzzle / Platformer</v>
      </c>
      <c r="M90" s="201"/>
    </row>
    <row r="91">
      <c r="A91" s="190" t="str">
        <f>IFERROR(__xludf.DUMMYFUNCTION("""COMPUTED_VALUE"""),"A Plague Tale: Requiem")</f>
        <v>A Plague Tale: Requiem</v>
      </c>
      <c r="B91" s="195" t="str">
        <f>IFERROR(__xludf.DUMMYFUNCTION("""COMPUTED_VALUE"""),"Xbox / PC")</f>
        <v>Xbox / PC</v>
      </c>
      <c r="C91" s="196" t="str">
        <f>IFERROR(__xludf.DUMMYFUNCTION("""COMPUTED_VALUE"""),"Yes")</f>
        <v>Yes</v>
      </c>
      <c r="D91" s="196" t="str">
        <f>IFERROR(__xludf.DUMMYFUNCTION("""COMPUTED_VALUE"""),"Active")</f>
        <v>Active</v>
      </c>
      <c r="E91" s="197">
        <f>IFERROR(__xludf.DUMMYFUNCTION("""COMPUTED_VALUE"""),44852.0)</f>
        <v>44852</v>
      </c>
      <c r="F91" s="198"/>
      <c r="G91" s="199">
        <f>IFERROR(__xludf.DUMMYFUNCTION("""COMPUTED_VALUE"""),35.9)</f>
        <v>35.9</v>
      </c>
      <c r="H91" s="197">
        <f>IFERROR(__xludf.DUMMYFUNCTION("""COMPUTED_VALUE"""),44852.0)</f>
        <v>44852</v>
      </c>
      <c r="I91" s="199">
        <f>IFERROR(__xludf.DUMMYFUNCTION("""COMPUTED_VALUE"""),0.0)</f>
        <v>0</v>
      </c>
      <c r="J91" s="200">
        <f>IFERROR(__xludf.DUMMYFUNCTION("""COMPUTED_VALUE"""),85.0)</f>
        <v>85</v>
      </c>
      <c r="K91" s="200">
        <f>IFERROR(__xludf.DUMMYFUNCTION("""COMPUTED_VALUE"""),15.0)</f>
        <v>15</v>
      </c>
      <c r="L91" s="201" t="str">
        <f>IFERROR(__xludf.DUMMYFUNCTION("""COMPUTED_VALUE"""),"Action-Adventure")</f>
        <v>Action-Adventure</v>
      </c>
      <c r="M91" s="201" t="str">
        <f>IFERROR(__xludf.DUMMYFUNCTION("""COMPUTED_VALUE"""),"Exclusive")</f>
        <v>Exclusive</v>
      </c>
    </row>
    <row r="92">
      <c r="A92" s="190" t="str">
        <f>IFERROR(__xludf.DUMMYFUNCTION("""COMPUTED_VALUE"""),"Among Us")</f>
        <v>Among Us</v>
      </c>
      <c r="B92" s="195" t="str">
        <f>IFERROR(__xludf.DUMMYFUNCTION("""COMPUTED_VALUE"""),"Xbox / PC")</f>
        <v>Xbox / PC</v>
      </c>
      <c r="C92" s="196" t="str">
        <f>IFERROR(__xludf.DUMMYFUNCTION("""COMPUTED_VALUE"""),"Touch Controls")</f>
        <v>Touch Controls</v>
      </c>
      <c r="D92" s="196" t="str">
        <f>IFERROR(__xludf.DUMMYFUNCTION("""COMPUTED_VALUE"""),"Active")</f>
        <v>Active</v>
      </c>
      <c r="E92" s="197">
        <f>IFERROR(__xludf.DUMMYFUNCTION("""COMPUTED_VALUE"""),44182.0)</f>
        <v>44182</v>
      </c>
      <c r="F92" s="198"/>
      <c r="G92" s="199">
        <f>IFERROR(__xludf.DUMMYFUNCTION("""COMPUTED_VALUE"""),57.93333333333333)</f>
        <v>57.93333333</v>
      </c>
      <c r="H92" s="197">
        <f>IFERROR(__xludf.DUMMYFUNCTION("""COMPUTED_VALUE"""),43267.0)</f>
        <v>43267</v>
      </c>
      <c r="I92" s="199">
        <f>IFERROR(__xludf.DUMMYFUNCTION("""COMPUTED_VALUE"""),2.5027777777777778)</f>
        <v>2.502777778</v>
      </c>
      <c r="J92" s="200">
        <f>IFERROR(__xludf.DUMMYFUNCTION("""COMPUTED_VALUE"""),85.0)</f>
        <v>85</v>
      </c>
      <c r="K92" s="200">
        <f>IFERROR(__xludf.DUMMYFUNCTION("""COMPUTED_VALUE"""),14.0)</f>
        <v>14</v>
      </c>
      <c r="L92" s="201" t="str">
        <f>IFERROR(__xludf.DUMMYFUNCTION("""COMPUTED_VALUE"""),"Strategy")</f>
        <v>Strategy</v>
      </c>
      <c r="M92" s="201"/>
    </row>
    <row r="93">
      <c r="A93" s="190" t="str">
        <f>IFERROR(__xludf.DUMMYFUNCTION("""COMPUTED_VALUE"""),"The Outer Worlds")</f>
        <v>The Outer Worlds</v>
      </c>
      <c r="B93" s="195" t="str">
        <f>IFERROR(__xludf.DUMMYFUNCTION("""COMPUTED_VALUE"""),"Xbox / PC")</f>
        <v>Xbox / PC</v>
      </c>
      <c r="C93" s="196" t="str">
        <f>IFERROR(__xludf.DUMMYFUNCTION("""COMPUTED_VALUE"""),"Yes")</f>
        <v>Yes</v>
      </c>
      <c r="D93" s="196" t="str">
        <f>IFERROR(__xludf.DUMMYFUNCTION("""COMPUTED_VALUE"""),"Active")</f>
        <v>Active</v>
      </c>
      <c r="E93" s="197">
        <f>IFERROR(__xludf.DUMMYFUNCTION("""COMPUTED_VALUE"""),43763.0)</f>
        <v>43763</v>
      </c>
      <c r="F93" s="198"/>
      <c r="G93" s="199">
        <f>IFERROR(__xludf.DUMMYFUNCTION("""COMPUTED_VALUE"""),71.66666666666667)</f>
        <v>71.66666667</v>
      </c>
      <c r="H93" s="197">
        <f>IFERROR(__xludf.DUMMYFUNCTION("""COMPUTED_VALUE"""),43763.0)</f>
        <v>43763</v>
      </c>
      <c r="I93" s="199">
        <f>IFERROR(__xludf.DUMMYFUNCTION("""COMPUTED_VALUE"""),0.0)</f>
        <v>0</v>
      </c>
      <c r="J93" s="200">
        <f>IFERROR(__xludf.DUMMYFUNCTION("""COMPUTED_VALUE"""),85.0)</f>
        <v>85</v>
      </c>
      <c r="K93" s="200">
        <f>IFERROR(__xludf.DUMMYFUNCTION("""COMPUTED_VALUE"""),12.0)</f>
        <v>12</v>
      </c>
      <c r="L93" s="201" t="str">
        <f>IFERROR(__xludf.DUMMYFUNCTION("""COMPUTED_VALUE"""),"RPG / First-Person Shooter")</f>
        <v>RPG / First-Person Shooter</v>
      </c>
      <c r="M93" s="201"/>
    </row>
    <row r="94">
      <c r="A94" s="190" t="str">
        <f>IFERROR(__xludf.DUMMYFUNCTION("""COMPUTED_VALUE"""),"Batman: Arkham Knight")</f>
        <v>Batman: Arkham Knight</v>
      </c>
      <c r="B94" s="195" t="str">
        <f>IFERROR(__xludf.DUMMYFUNCTION("""COMPUTED_VALUE"""),"Xbox")</f>
        <v>Xbox</v>
      </c>
      <c r="C94" s="196" t="str">
        <f>IFERROR(__xludf.DUMMYFUNCTION("""COMPUTED_VALUE"""),"Yes")</f>
        <v>Yes</v>
      </c>
      <c r="D94" s="196" t="str">
        <f>IFERROR(__xludf.DUMMYFUNCTION("""COMPUTED_VALUE"""),"Active")</f>
        <v>Active</v>
      </c>
      <c r="E94" s="197">
        <f>IFERROR(__xludf.DUMMYFUNCTION("""COMPUTED_VALUE"""),43625.0)</f>
        <v>43625</v>
      </c>
      <c r="F94" s="198"/>
      <c r="G94" s="199">
        <f>IFERROR(__xludf.DUMMYFUNCTION("""COMPUTED_VALUE"""),76.19999999999999)</f>
        <v>76.2</v>
      </c>
      <c r="H94" s="197">
        <f>IFERROR(__xludf.DUMMYFUNCTION("""COMPUTED_VALUE"""),42178.0)</f>
        <v>42178</v>
      </c>
      <c r="I94" s="199">
        <f>IFERROR(__xludf.DUMMYFUNCTION("""COMPUTED_VALUE"""),3.9611111111111112)</f>
        <v>3.961111111</v>
      </c>
      <c r="J94" s="200">
        <f>IFERROR(__xludf.DUMMYFUNCTION("""COMPUTED_VALUE"""),85.0)</f>
        <v>85</v>
      </c>
      <c r="K94" s="200">
        <f>IFERROR(__xludf.DUMMYFUNCTION("""COMPUTED_VALUE"""),16.5)</f>
        <v>16.5</v>
      </c>
      <c r="L94" s="201" t="str">
        <f>IFERROR(__xludf.DUMMYFUNCTION("""COMPUTED_VALUE"""),"Action-Adventure")</f>
        <v>Action-Adventure</v>
      </c>
      <c r="M94" s="201"/>
    </row>
    <row r="95">
      <c r="A95" s="190" t="str">
        <f>IFERROR(__xludf.DUMMYFUNCTION("""COMPUTED_VALUE"""),"Halo: The Master Chief Collection")</f>
        <v>Halo: The Master Chief Collection</v>
      </c>
      <c r="B95" s="195" t="str">
        <f>IFERROR(__xludf.DUMMYFUNCTION("""COMPUTED_VALUE"""),"Xbox / PC")</f>
        <v>Xbox / PC</v>
      </c>
      <c r="C95" s="196" t="str">
        <f>IFERROR(__xludf.DUMMYFUNCTION("""COMPUTED_VALUE"""),"Yes")</f>
        <v>Yes</v>
      </c>
      <c r="D95" s="196" t="str">
        <f>IFERROR(__xludf.DUMMYFUNCTION("""COMPUTED_VALUE"""),"Active")</f>
        <v>Active</v>
      </c>
      <c r="E95" s="197">
        <f>IFERROR(__xludf.DUMMYFUNCTION("""COMPUTED_VALUE"""),43344.0)</f>
        <v>43344</v>
      </c>
      <c r="F95" s="198"/>
      <c r="G95" s="199">
        <f>IFERROR(__xludf.DUMMYFUNCTION("""COMPUTED_VALUE"""),85.46666666666667)</f>
        <v>85.46666667</v>
      </c>
      <c r="H95" s="197">
        <f>IFERROR(__xludf.DUMMYFUNCTION("""COMPUTED_VALUE"""),41954.0)</f>
        <v>41954</v>
      </c>
      <c r="I95" s="199">
        <f>IFERROR(__xludf.DUMMYFUNCTION("""COMPUTED_VALUE"""),3.8055555555555554)</f>
        <v>3.805555556</v>
      </c>
      <c r="J95" s="200">
        <f>IFERROR(__xludf.DUMMYFUNCTION("""COMPUTED_VALUE"""),85.0)</f>
        <v>85</v>
      </c>
      <c r="K95" s="200">
        <f>IFERROR(__xludf.DUMMYFUNCTION("""COMPUTED_VALUE"""),52.5)</f>
        <v>52.5</v>
      </c>
      <c r="L95" s="201" t="str">
        <f>IFERROR(__xludf.DUMMYFUNCTION("""COMPUTED_VALUE"""),"Compilation / First-Person Shooter")</f>
        <v>Compilation / First-Person Shooter</v>
      </c>
      <c r="M95" s="201" t="str">
        <f>IFERROR(__xludf.DUMMYFUNCTION("""COMPUTED_VALUE"""),"Optimized")</f>
        <v>Optimized</v>
      </c>
    </row>
    <row r="96">
      <c r="A96" s="190" t="str">
        <f>IFERROR(__xludf.DUMMYFUNCTION("""COMPUTED_VALUE"""),"Assassin's Creed Origins")</f>
        <v>Assassin's Creed Origins</v>
      </c>
      <c r="B96" s="195" t="str">
        <f>IFERROR(__xludf.DUMMYFUNCTION("""COMPUTED_VALUE"""),"Xbox / PC")</f>
        <v>Xbox / PC</v>
      </c>
      <c r="C96" s="196" t="str">
        <f>IFERROR(__xludf.DUMMYFUNCTION("""COMPUTED_VALUE"""),"Touch Controls")</f>
        <v>Touch Controls</v>
      </c>
      <c r="D96" s="196" t="str">
        <f>IFERROR(__xludf.DUMMYFUNCTION("""COMPUTED_VALUE"""),"Active")</f>
        <v>Active</v>
      </c>
      <c r="E96" s="197">
        <f>IFERROR(__xludf.DUMMYFUNCTION("""COMPUTED_VALUE"""),44719.0)</f>
        <v>44719</v>
      </c>
      <c r="F96" s="198"/>
      <c r="G96" s="199">
        <f>IFERROR(__xludf.DUMMYFUNCTION("""COMPUTED_VALUE"""),40.266666666666666)</f>
        <v>40.26666667</v>
      </c>
      <c r="H96" s="197">
        <f>IFERROR(__xludf.DUMMYFUNCTION("""COMPUTED_VALUE"""),43035.0)</f>
        <v>43035</v>
      </c>
      <c r="I96" s="199">
        <f>IFERROR(__xludf.DUMMYFUNCTION("""COMPUTED_VALUE"""),4.611111111111111)</f>
        <v>4.611111111</v>
      </c>
      <c r="J96" s="200">
        <f>IFERROR(__xludf.DUMMYFUNCTION("""COMPUTED_VALUE"""),84.5)</f>
        <v>84.5</v>
      </c>
      <c r="K96" s="200">
        <f>IFERROR(__xludf.DUMMYFUNCTION("""COMPUTED_VALUE"""),30.0)</f>
        <v>30</v>
      </c>
      <c r="L96" s="201" t="str">
        <f>IFERROR(__xludf.DUMMYFUNCTION("""COMPUTED_VALUE"""),"RPG / Action-Adventure")</f>
        <v>RPG / Action-Adventure</v>
      </c>
      <c r="M96" s="201"/>
    </row>
    <row r="97">
      <c r="A97" s="190" t="str">
        <f>IFERROR(__xludf.DUMMYFUNCTION("""COMPUTED_VALUE"""),"Hogwarts Legacy")</f>
        <v>Hogwarts Legacy</v>
      </c>
      <c r="B97" s="195" t="str">
        <f>IFERROR(__xludf.DUMMYFUNCTION("""COMPUTED_VALUE"""),"Xbox / PC")</f>
        <v>Xbox / PC</v>
      </c>
      <c r="C97" s="196" t="str">
        <f>IFERROR(__xludf.DUMMYFUNCTION("""COMPUTED_VALUE"""),"Yes")</f>
        <v>Yes</v>
      </c>
      <c r="D97" s="196" t="str">
        <f>IFERROR(__xludf.DUMMYFUNCTION("""COMPUTED_VALUE"""),"Active")</f>
        <v>Active</v>
      </c>
      <c r="E97" s="197">
        <f>IFERROR(__xludf.DUMMYFUNCTION("""COMPUTED_VALUE"""),45931.0)</f>
        <v>45931</v>
      </c>
      <c r="F97" s="198"/>
      <c r="G97" s="199">
        <f>IFERROR(__xludf.DUMMYFUNCTION("""COMPUTED_VALUE"""),0.4666666666666667)</f>
        <v>0.4666666667</v>
      </c>
      <c r="H97" s="197">
        <f>IFERROR(__xludf.DUMMYFUNCTION("""COMPUTED_VALUE"""),44964.0)</f>
        <v>44964</v>
      </c>
      <c r="I97" s="199">
        <f>IFERROR(__xludf.DUMMYFUNCTION("""COMPUTED_VALUE"""),2.65)</f>
        <v>2.65</v>
      </c>
      <c r="J97" s="200">
        <f>IFERROR(__xludf.DUMMYFUNCTION("""COMPUTED_VALUE"""),84.0)</f>
        <v>84</v>
      </c>
      <c r="K97" s="200">
        <f>IFERROR(__xludf.DUMMYFUNCTION("""COMPUTED_VALUE"""),27.0)</f>
        <v>27</v>
      </c>
      <c r="L97" s="201" t="str">
        <f>IFERROR(__xludf.DUMMYFUNCTION("""COMPUTED_VALUE"""),"Action-Adventure")</f>
        <v>Action-Adventure</v>
      </c>
      <c r="M97" s="201"/>
    </row>
    <row r="98">
      <c r="A98" s="190" t="str">
        <f>IFERROR(__xludf.DUMMYFUNCTION("""COMPUTED_VALUE"""),"Lara Croft and the Guardian of Light")</f>
        <v>Lara Croft and the Guardian of Light</v>
      </c>
      <c r="B98" s="195" t="str">
        <f>IFERROR(__xludf.DUMMYFUNCTION("""COMPUTED_VALUE"""),"Xbox / PC")</f>
        <v>Xbox / PC</v>
      </c>
      <c r="C98" s="196" t="str">
        <f>IFERROR(__xludf.DUMMYFUNCTION("""COMPUTED_VALUE"""),"Yes")</f>
        <v>Yes</v>
      </c>
      <c r="D98" s="196" t="str">
        <f>IFERROR(__xludf.DUMMYFUNCTION("""COMPUTED_VALUE"""),"Active")</f>
        <v>Active</v>
      </c>
      <c r="E98" s="197">
        <f>IFERROR(__xludf.DUMMYFUNCTION("""COMPUTED_VALUE"""),45930.0)</f>
        <v>45930</v>
      </c>
      <c r="F98" s="198"/>
      <c r="G98" s="199">
        <f>IFERROR(__xludf.DUMMYFUNCTION("""COMPUTED_VALUE"""),0.5)</f>
        <v>0.5</v>
      </c>
      <c r="H98" s="197">
        <f>IFERROR(__xludf.DUMMYFUNCTION("""COMPUTED_VALUE"""),42062.0)</f>
        <v>42062</v>
      </c>
      <c r="I98" s="199">
        <f>IFERROR(__xludf.DUMMYFUNCTION("""COMPUTED_VALUE"""),10.591666666666667)</f>
        <v>10.59166667</v>
      </c>
      <c r="J98" s="200">
        <f>IFERROR(__xludf.DUMMYFUNCTION("""COMPUTED_VALUE"""),84.0)</f>
        <v>84</v>
      </c>
      <c r="K98" s="200">
        <f>IFERROR(__xludf.DUMMYFUNCTION("""COMPUTED_VALUE"""),7.0)</f>
        <v>7</v>
      </c>
      <c r="L98" s="201" t="str">
        <f>IFERROR(__xludf.DUMMYFUNCTION("""COMPUTED_VALUE"""),"Action-Adventure")</f>
        <v>Action-Adventure</v>
      </c>
      <c r="M98" s="201"/>
    </row>
    <row r="99">
      <c r="A99" s="190" t="str">
        <f>IFERROR(__xludf.DUMMYFUNCTION("""COMPUTED_VALUE"""),"The Alters")</f>
        <v>The Alters</v>
      </c>
      <c r="B99" s="195" t="str">
        <f>IFERROR(__xludf.DUMMYFUNCTION("""COMPUTED_VALUE"""),"Xbox / PC")</f>
        <v>Xbox / PC</v>
      </c>
      <c r="C99" s="196" t="str">
        <f>IFERROR(__xludf.DUMMYFUNCTION("""COMPUTED_VALUE"""),"Yes")</f>
        <v>Yes</v>
      </c>
      <c r="D99" s="196" t="str">
        <f>IFERROR(__xludf.DUMMYFUNCTION("""COMPUTED_VALUE"""),"Active")</f>
        <v>Active</v>
      </c>
      <c r="E99" s="197">
        <f>IFERROR(__xludf.DUMMYFUNCTION("""COMPUTED_VALUE"""),45821.0)</f>
        <v>45821</v>
      </c>
      <c r="F99" s="198"/>
      <c r="G99" s="199">
        <f>IFERROR(__xludf.DUMMYFUNCTION("""COMPUTED_VALUE"""),4.066666666666666)</f>
        <v>4.066666667</v>
      </c>
      <c r="H99" s="197">
        <f>IFERROR(__xludf.DUMMYFUNCTION("""COMPUTED_VALUE"""),45821.0)</f>
        <v>45821</v>
      </c>
      <c r="I99" s="199">
        <f>IFERROR(__xludf.DUMMYFUNCTION("""COMPUTED_VALUE"""),0.0)</f>
        <v>0</v>
      </c>
      <c r="J99" s="200">
        <f>IFERROR(__xludf.DUMMYFUNCTION("""COMPUTED_VALUE"""),84.0)</f>
        <v>84</v>
      </c>
      <c r="K99" s="200">
        <f>IFERROR(__xludf.DUMMYFUNCTION("""COMPUTED_VALUE"""),19.0)</f>
        <v>19</v>
      </c>
      <c r="L99" s="201" t="str">
        <f>IFERROR(__xludf.DUMMYFUNCTION("""COMPUTED_VALUE"""),"Survival")</f>
        <v>Survival</v>
      </c>
      <c r="M99" s="201" t="str">
        <f>IFERROR(__xludf.DUMMYFUNCTION("""COMPUTED_VALUE"""),"Exclusive")</f>
        <v>Exclusive</v>
      </c>
    </row>
    <row r="100">
      <c r="A100" s="190" t="str">
        <f>IFERROR(__xludf.DUMMYFUNCTION("""COMPUTED_VALUE"""),"Kingdom: Two Crowns")</f>
        <v>Kingdom: Two Crowns</v>
      </c>
      <c r="B100" s="195" t="str">
        <f>IFERROR(__xludf.DUMMYFUNCTION("""COMPUTED_VALUE"""),"Xbox / PC")</f>
        <v>Xbox / PC</v>
      </c>
      <c r="C100" s="196" t="str">
        <f>IFERROR(__xludf.DUMMYFUNCTION("""COMPUTED_VALUE"""),"Yes")</f>
        <v>Yes</v>
      </c>
      <c r="D100" s="196" t="str">
        <f>IFERROR(__xludf.DUMMYFUNCTION("""COMPUTED_VALUE"""),"Active")</f>
        <v>Active</v>
      </c>
      <c r="E100" s="197">
        <f>IFERROR(__xludf.DUMMYFUNCTION("""COMPUTED_VALUE"""),45701.0)</f>
        <v>45701</v>
      </c>
      <c r="F100" s="198"/>
      <c r="G100" s="199">
        <f>IFERROR(__xludf.DUMMYFUNCTION("""COMPUTED_VALUE"""),8.066666666666666)</f>
        <v>8.066666667</v>
      </c>
      <c r="H100" s="197">
        <f>IFERROR(__xludf.DUMMYFUNCTION("""COMPUTED_VALUE"""),43445.0)</f>
        <v>43445</v>
      </c>
      <c r="I100" s="199">
        <f>IFERROR(__xludf.DUMMYFUNCTION("""COMPUTED_VALUE"""),6.1722222222222225)</f>
        <v>6.172222222</v>
      </c>
      <c r="J100" s="200">
        <f>IFERROR(__xludf.DUMMYFUNCTION("""COMPUTED_VALUE"""),84.0)</f>
        <v>84</v>
      </c>
      <c r="K100" s="200">
        <f>IFERROR(__xludf.DUMMYFUNCTION("""COMPUTED_VALUE"""),28.5)</f>
        <v>28.5</v>
      </c>
      <c r="L100" s="201" t="str">
        <f>IFERROR(__xludf.DUMMYFUNCTION("""COMPUTED_VALUE"""),"Strategy")</f>
        <v>Strategy</v>
      </c>
      <c r="M100" s="201"/>
    </row>
    <row r="101">
      <c r="A101" s="190" t="str">
        <f>IFERROR(__xludf.DUMMYFUNCTION("""COMPUTED_VALUE"""),"Lonely Mountain: Snow Riders")</f>
        <v>Lonely Mountain: Snow Riders</v>
      </c>
      <c r="B101" s="195" t="str">
        <f>IFERROR(__xludf.DUMMYFUNCTION("""COMPUTED_VALUE"""),"Xbox / PC")</f>
        <v>Xbox / PC</v>
      </c>
      <c r="C101" s="196" t="str">
        <f>IFERROR(__xludf.DUMMYFUNCTION("""COMPUTED_VALUE"""),"Yes")</f>
        <v>Yes</v>
      </c>
      <c r="D101" s="196" t="str">
        <f>IFERROR(__xludf.DUMMYFUNCTION("""COMPUTED_VALUE"""),"Active")</f>
        <v>Active</v>
      </c>
      <c r="E101" s="197">
        <f>IFERROR(__xludf.DUMMYFUNCTION("""COMPUTED_VALUE"""),45678.0)</f>
        <v>45678</v>
      </c>
      <c r="F101" s="198"/>
      <c r="G101" s="199">
        <f>IFERROR(__xludf.DUMMYFUNCTION("""COMPUTED_VALUE"""),8.799999999999999)</f>
        <v>8.8</v>
      </c>
      <c r="H101" s="197">
        <f>IFERROR(__xludf.DUMMYFUNCTION("""COMPUTED_VALUE"""),43958.0)</f>
        <v>43958</v>
      </c>
      <c r="I101" s="199">
        <f>IFERROR(__xludf.DUMMYFUNCTION("""COMPUTED_VALUE"""),4.705555555555556)</f>
        <v>4.705555556</v>
      </c>
      <c r="J101" s="200">
        <f>IFERROR(__xludf.DUMMYFUNCTION("""COMPUTED_VALUE"""),84.0)</f>
        <v>84</v>
      </c>
      <c r="K101" s="200">
        <f>IFERROR(__xludf.DUMMYFUNCTION("""COMPUTED_VALUE"""),3.0)</f>
        <v>3</v>
      </c>
      <c r="L101" s="201" t="str">
        <f>IFERROR(__xludf.DUMMYFUNCTION("""COMPUTED_VALUE"""),"Biking")</f>
        <v>Biking</v>
      </c>
      <c r="M101" s="201" t="str">
        <f>IFERROR(__xludf.DUMMYFUNCTION("""COMPUTED_VALUE"""),"Exclusive")</f>
        <v>Exclusive</v>
      </c>
    </row>
    <row r="102">
      <c r="A102" s="190" t="str">
        <f>IFERROR(__xludf.DUMMYFUNCTION("""COMPUTED_VALUE"""),"Age of Mythology: Retold")</f>
        <v>Age of Mythology: Retold</v>
      </c>
      <c r="B102" s="195" t="str">
        <f>IFERROR(__xludf.DUMMYFUNCTION("""COMPUTED_VALUE"""),"Xbox / PC")</f>
        <v>Xbox / PC</v>
      </c>
      <c r="C102" s="196" t="str">
        <f>IFERROR(__xludf.DUMMYFUNCTION("""COMPUTED_VALUE"""),"Yes")</f>
        <v>Yes</v>
      </c>
      <c r="D102" s="196" t="str">
        <f>IFERROR(__xludf.DUMMYFUNCTION("""COMPUTED_VALUE"""),"Active")</f>
        <v>Active</v>
      </c>
      <c r="E102" s="197">
        <f>IFERROR(__xludf.DUMMYFUNCTION("""COMPUTED_VALUE"""),45539.0)</f>
        <v>45539</v>
      </c>
      <c r="F102" s="198"/>
      <c r="G102" s="199">
        <f>IFERROR(__xludf.DUMMYFUNCTION("""COMPUTED_VALUE"""),13.366666666666667)</f>
        <v>13.36666667</v>
      </c>
      <c r="H102" s="197">
        <f>IFERROR(__xludf.DUMMYFUNCTION("""COMPUTED_VALUE"""),45539.0)</f>
        <v>45539</v>
      </c>
      <c r="I102" s="199">
        <f>IFERROR(__xludf.DUMMYFUNCTION("""COMPUTED_VALUE"""),0.0)</f>
        <v>0</v>
      </c>
      <c r="J102" s="200">
        <f>IFERROR(__xludf.DUMMYFUNCTION("""COMPUTED_VALUE"""),84.0)</f>
        <v>84</v>
      </c>
      <c r="K102" s="200">
        <f>IFERROR(__xludf.DUMMYFUNCTION("""COMPUTED_VALUE"""),21.0)</f>
        <v>21</v>
      </c>
      <c r="L102" s="201" t="str">
        <f>IFERROR(__xludf.DUMMYFUNCTION("""COMPUTED_VALUE"""),"Strategy")</f>
        <v>Strategy</v>
      </c>
      <c r="M102" s="201" t="str">
        <f>IFERROR(__xludf.DUMMYFUNCTION("""COMPUTED_VALUE"""),"Exclusive")</f>
        <v>Exclusive</v>
      </c>
    </row>
    <row r="103">
      <c r="A103" s="190" t="str">
        <f>IFERROR(__xludf.DUMMYFUNCTION("""COMPUTED_VALUE"""),"Football Manager 2024")</f>
        <v>Football Manager 2024</v>
      </c>
      <c r="B103" s="195" t="str">
        <f>IFERROR(__xludf.DUMMYFUNCTION("""COMPUTED_VALUE"""),"Xbox / PC")</f>
        <v>Xbox / PC</v>
      </c>
      <c r="C103" s="196" t="str">
        <f>IFERROR(__xludf.DUMMYFUNCTION("""COMPUTED_VALUE"""),"Yes")</f>
        <v>Yes</v>
      </c>
      <c r="D103" s="196" t="str">
        <f>IFERROR(__xludf.DUMMYFUNCTION("""COMPUTED_VALUE"""),"Active")</f>
        <v>Active</v>
      </c>
      <c r="E103" s="197">
        <f>IFERROR(__xludf.DUMMYFUNCTION("""COMPUTED_VALUE"""),45236.0)</f>
        <v>45236</v>
      </c>
      <c r="F103" s="198"/>
      <c r="G103" s="199">
        <f>IFERROR(__xludf.DUMMYFUNCTION("""COMPUTED_VALUE"""),23.3)</f>
        <v>23.3</v>
      </c>
      <c r="H103" s="197">
        <f>IFERROR(__xludf.DUMMYFUNCTION("""COMPUTED_VALUE"""),45236.0)</f>
        <v>45236</v>
      </c>
      <c r="I103" s="199">
        <f>IFERROR(__xludf.DUMMYFUNCTION("""COMPUTED_VALUE"""),0.0)</f>
        <v>0</v>
      </c>
      <c r="J103" s="200">
        <f>IFERROR(__xludf.DUMMYFUNCTION("""COMPUTED_VALUE"""),84.0)</f>
        <v>84</v>
      </c>
      <c r="K103" s="200">
        <f>IFERROR(__xludf.DUMMYFUNCTION("""COMPUTED_VALUE"""),11.0)</f>
        <v>11</v>
      </c>
      <c r="L103" s="201" t="str">
        <f>IFERROR(__xludf.DUMMYFUNCTION("""COMPUTED_VALUE"""),"Simulation / Soccer")</f>
        <v>Simulation / Soccer</v>
      </c>
      <c r="M103" s="201"/>
    </row>
    <row r="104">
      <c r="A104" s="190" t="str">
        <f>IFERROR(__xludf.DUMMYFUNCTION("""COMPUTED_VALUE"""),"Starfield")</f>
        <v>Starfield</v>
      </c>
      <c r="B104" s="195" t="str">
        <f>IFERROR(__xludf.DUMMYFUNCTION("""COMPUTED_VALUE"""),"Xbox / PC")</f>
        <v>Xbox / PC</v>
      </c>
      <c r="C104" s="196" t="str">
        <f>IFERROR(__xludf.DUMMYFUNCTION("""COMPUTED_VALUE"""),"Yes")</f>
        <v>Yes</v>
      </c>
      <c r="D104" s="196" t="str">
        <f>IFERROR(__xludf.DUMMYFUNCTION("""COMPUTED_VALUE"""),"Active")</f>
        <v>Active</v>
      </c>
      <c r="E104" s="197">
        <f>IFERROR(__xludf.DUMMYFUNCTION("""COMPUTED_VALUE"""),45175.0)</f>
        <v>45175</v>
      </c>
      <c r="F104" s="198"/>
      <c r="G104" s="199">
        <f>IFERROR(__xludf.DUMMYFUNCTION("""COMPUTED_VALUE"""),25.3)</f>
        <v>25.3</v>
      </c>
      <c r="H104" s="197">
        <f>IFERROR(__xludf.DUMMYFUNCTION("""COMPUTED_VALUE"""),45175.0)</f>
        <v>45175</v>
      </c>
      <c r="I104" s="199">
        <f>IFERROR(__xludf.DUMMYFUNCTION("""COMPUTED_VALUE"""),0.0)</f>
        <v>0</v>
      </c>
      <c r="J104" s="200">
        <f>IFERROR(__xludf.DUMMYFUNCTION("""COMPUTED_VALUE"""),84.0)</f>
        <v>84</v>
      </c>
      <c r="K104" s="200">
        <f>IFERROR(__xludf.DUMMYFUNCTION("""COMPUTED_VALUE"""),20.0)</f>
        <v>20</v>
      </c>
      <c r="L104" s="201" t="str">
        <f>IFERROR(__xludf.DUMMYFUNCTION("""COMPUTED_VALUE"""),"RPG / Action-Adventure")</f>
        <v>RPG / Action-Adventure</v>
      </c>
      <c r="M104" s="201" t="str">
        <f>IFERROR(__xludf.DUMMYFUNCTION("""COMPUTED_VALUE"""),"Exclusive")</f>
        <v>Exclusive</v>
      </c>
    </row>
    <row r="105">
      <c r="A105" s="190" t="str">
        <f>IFERROR(__xludf.DUMMYFUNCTION("""COMPUTED_VALUE"""),"Mortal Kombat 11")</f>
        <v>Mortal Kombat 11</v>
      </c>
      <c r="B105" s="195" t="str">
        <f>IFERROR(__xludf.DUMMYFUNCTION("""COMPUTED_VALUE"""),"Xbox / PC")</f>
        <v>Xbox / PC</v>
      </c>
      <c r="C105" s="196" t="str">
        <f>IFERROR(__xludf.DUMMYFUNCTION("""COMPUTED_VALUE"""),"Yes")</f>
        <v>Yes</v>
      </c>
      <c r="D105" s="196" t="str">
        <f>IFERROR(__xludf.DUMMYFUNCTION("""COMPUTED_VALUE"""),"Active")</f>
        <v>Active</v>
      </c>
      <c r="E105" s="197">
        <f>IFERROR(__xludf.DUMMYFUNCTION("""COMPUTED_VALUE"""),44546.0)</f>
        <v>44546</v>
      </c>
      <c r="F105" s="198"/>
      <c r="G105" s="199">
        <f>IFERROR(__xludf.DUMMYFUNCTION("""COMPUTED_VALUE"""),45.96666666666667)</f>
        <v>45.96666667</v>
      </c>
      <c r="H105" s="197">
        <f>IFERROR(__xludf.DUMMYFUNCTION("""COMPUTED_VALUE"""),43578.0)</f>
        <v>43578</v>
      </c>
      <c r="I105" s="199">
        <f>IFERROR(__xludf.DUMMYFUNCTION("""COMPUTED_VALUE"""),2.647222222222222)</f>
        <v>2.647222222</v>
      </c>
      <c r="J105" s="200">
        <f>IFERROR(__xludf.DUMMYFUNCTION("""COMPUTED_VALUE"""),84.0)</f>
        <v>84</v>
      </c>
      <c r="K105" s="200">
        <f>IFERROR(__xludf.DUMMYFUNCTION("""COMPUTED_VALUE"""),6.0)</f>
        <v>6</v>
      </c>
      <c r="L105" s="201" t="str">
        <f>IFERROR(__xludf.DUMMYFUNCTION("""COMPUTED_VALUE"""),"Fighting")</f>
        <v>Fighting</v>
      </c>
      <c r="M105" s="201"/>
    </row>
    <row r="106">
      <c r="A106" s="190" t="str">
        <f>IFERROR(__xludf.DUMMYFUNCTION("""COMPUTED_VALUE"""),"Deep Rock Galactic")</f>
        <v>Deep Rock Galactic</v>
      </c>
      <c r="B106" s="195" t="str">
        <f>IFERROR(__xludf.DUMMYFUNCTION("""COMPUTED_VALUE"""),"Xbox / PC")</f>
        <v>Xbox / PC</v>
      </c>
      <c r="C106" s="196" t="str">
        <f>IFERROR(__xludf.DUMMYFUNCTION("""COMPUTED_VALUE"""),"M+KB")</f>
        <v>M+KB</v>
      </c>
      <c r="D106" s="196" t="str">
        <f>IFERROR(__xludf.DUMMYFUNCTION("""COMPUTED_VALUE"""),"Active")</f>
        <v>Active</v>
      </c>
      <c r="E106" s="197">
        <f>IFERROR(__xludf.DUMMYFUNCTION("""COMPUTED_VALUE"""),44140.0)</f>
        <v>44140</v>
      </c>
      <c r="F106" s="198"/>
      <c r="G106" s="199">
        <f>IFERROR(__xludf.DUMMYFUNCTION("""COMPUTED_VALUE"""),59.333333333333336)</f>
        <v>59.33333333</v>
      </c>
      <c r="H106" s="197">
        <f>IFERROR(__xludf.DUMMYFUNCTION("""COMPUTED_VALUE"""),43964.0)</f>
        <v>43964</v>
      </c>
      <c r="I106" s="199">
        <f>IFERROR(__xludf.DUMMYFUNCTION("""COMPUTED_VALUE"""),0.4777777777777778)</f>
        <v>0.4777777778</v>
      </c>
      <c r="J106" s="200">
        <f>IFERROR(__xludf.DUMMYFUNCTION("""COMPUTED_VALUE"""),84.0)</f>
        <v>84</v>
      </c>
      <c r="K106" s="200">
        <f>IFERROR(__xludf.DUMMYFUNCTION("""COMPUTED_VALUE"""),119.0)</f>
        <v>119</v>
      </c>
      <c r="L106" s="201" t="str">
        <f>IFERROR(__xludf.DUMMYFUNCTION("""COMPUTED_VALUE"""),"First-Person Shooter")</f>
        <v>First-Person Shooter</v>
      </c>
      <c r="M106" s="201"/>
    </row>
    <row r="107">
      <c r="A107" s="190" t="str">
        <f>IFERROR(__xludf.DUMMYFUNCTION("""COMPUTED_VALUE"""),"Frostpunk")</f>
        <v>Frostpunk</v>
      </c>
      <c r="B107" s="195" t="str">
        <f>IFERROR(__xludf.DUMMYFUNCTION("""COMPUTED_VALUE"""),"Xbox / PC")</f>
        <v>Xbox / PC</v>
      </c>
      <c r="C107" s="196" t="str">
        <f>IFERROR(__xludf.DUMMYFUNCTION("""COMPUTED_VALUE"""),"Touch Controls")</f>
        <v>Touch Controls</v>
      </c>
      <c r="D107" s="196" t="str">
        <f>IFERROR(__xludf.DUMMYFUNCTION("""COMPUTED_VALUE"""),"Active")</f>
        <v>Active</v>
      </c>
      <c r="E107" s="197">
        <f>IFERROR(__xludf.DUMMYFUNCTION("""COMPUTED_VALUE"""),43839.0)</f>
        <v>43839</v>
      </c>
      <c r="F107" s="198"/>
      <c r="G107" s="199">
        <f>IFERROR(__xludf.DUMMYFUNCTION("""COMPUTED_VALUE"""),69.2)</f>
        <v>69.2</v>
      </c>
      <c r="H107" s="197">
        <f>IFERROR(__xludf.DUMMYFUNCTION("""COMPUTED_VALUE"""),43214.0)</f>
        <v>43214</v>
      </c>
      <c r="I107" s="199">
        <f>IFERROR(__xludf.DUMMYFUNCTION("""COMPUTED_VALUE"""),1.7083333333333333)</f>
        <v>1.708333333</v>
      </c>
      <c r="J107" s="200">
        <f>IFERROR(__xludf.DUMMYFUNCTION("""COMPUTED_VALUE"""),84.0)</f>
        <v>84</v>
      </c>
      <c r="K107" s="200">
        <f>IFERROR(__xludf.DUMMYFUNCTION("""COMPUTED_VALUE"""),10.0)</f>
        <v>10</v>
      </c>
      <c r="L107" s="201" t="str">
        <f>IFERROR(__xludf.DUMMYFUNCTION("""COMPUTED_VALUE"""),"Simulation")</f>
        <v>Simulation</v>
      </c>
      <c r="M107" s="201"/>
    </row>
    <row r="108">
      <c r="A108" s="190" t="str">
        <f>IFERROR(__xludf.DUMMYFUNCTION("""COMPUTED_VALUE"""),"Fallout: New Vegas - Ultimate Edition")</f>
        <v>Fallout: New Vegas - Ultimate Edition</v>
      </c>
      <c r="B108" s="195" t="str">
        <f>IFERROR(__xludf.DUMMYFUNCTION("""COMPUTED_VALUE"""),"Xbox / PC")</f>
        <v>Xbox / PC</v>
      </c>
      <c r="C108" s="196" t="str">
        <f>IFERROR(__xludf.DUMMYFUNCTION("""COMPUTED_VALUE"""),"Yes")</f>
        <v>Yes</v>
      </c>
      <c r="D108" s="196" t="str">
        <f>IFERROR(__xludf.DUMMYFUNCTION("""COMPUTED_VALUE"""),"Active")</f>
        <v>Active</v>
      </c>
      <c r="E108" s="197">
        <f>IFERROR(__xludf.DUMMYFUNCTION("""COMPUTED_VALUE"""),43755.0)</f>
        <v>43755</v>
      </c>
      <c r="F108" s="198"/>
      <c r="G108" s="199">
        <f>IFERROR(__xludf.DUMMYFUNCTION("""COMPUTED_VALUE"""),71.93333333333334)</f>
        <v>71.93333333</v>
      </c>
      <c r="H108" s="197">
        <f>IFERROR(__xludf.DUMMYFUNCTION("""COMPUTED_VALUE"""),40470.0)</f>
        <v>40470</v>
      </c>
      <c r="I108" s="199">
        <f>IFERROR(__xludf.DUMMYFUNCTION("""COMPUTED_VALUE"""),8.994444444444444)</f>
        <v>8.994444444</v>
      </c>
      <c r="J108" s="200">
        <f>IFERROR(__xludf.DUMMYFUNCTION("""COMPUTED_VALUE"""),84.0)</f>
        <v>84</v>
      </c>
      <c r="K108" s="200">
        <f>IFERROR(__xludf.DUMMYFUNCTION("""COMPUTED_VALUE"""),27.5)</f>
        <v>27.5</v>
      </c>
      <c r="L108" s="201" t="str">
        <f>IFERROR(__xludf.DUMMYFUNCTION("""COMPUTED_VALUE"""),"RPG / First-Person Shooter")</f>
        <v>RPG / First-Person Shooter</v>
      </c>
      <c r="M108" s="201" t="str">
        <f>IFERROR(__xludf.DUMMYFUNCTION("""COMPUTED_VALUE"""),"FPS Boost")</f>
        <v>FPS Boost</v>
      </c>
    </row>
    <row r="109">
      <c r="A109" s="190" t="str">
        <f>IFERROR(__xludf.DUMMYFUNCTION("""COMPUTED_VALUE"""),"Moonlighter")</f>
        <v>Moonlighter</v>
      </c>
      <c r="B109" s="195" t="str">
        <f>IFERROR(__xludf.DUMMYFUNCTION("""COMPUTED_VALUE"""),"Xbox / PC")</f>
        <v>Xbox / PC</v>
      </c>
      <c r="C109" s="196" t="str">
        <f>IFERROR(__xludf.DUMMYFUNCTION("""COMPUTED_VALUE"""),"Yes")</f>
        <v>Yes</v>
      </c>
      <c r="D109" s="196" t="str">
        <f>IFERROR(__xludf.DUMMYFUNCTION("""COMPUTED_VALUE"""),"Active")</f>
        <v>Active</v>
      </c>
      <c r="E109" s="197">
        <f>IFERROR(__xludf.DUMMYFUNCTION("""COMPUTED_VALUE"""),43625.0)</f>
        <v>43625</v>
      </c>
      <c r="F109" s="198"/>
      <c r="G109" s="199">
        <f>IFERROR(__xludf.DUMMYFUNCTION("""COMPUTED_VALUE"""),76.19999999999999)</f>
        <v>76.2</v>
      </c>
      <c r="H109" s="197">
        <f>IFERROR(__xludf.DUMMYFUNCTION("""COMPUTED_VALUE"""),43249.0)</f>
        <v>43249</v>
      </c>
      <c r="I109" s="199">
        <f>IFERROR(__xludf.DUMMYFUNCTION("""COMPUTED_VALUE"""),1.0277777777777777)</f>
        <v>1.027777778</v>
      </c>
      <c r="J109" s="200">
        <f>IFERROR(__xludf.DUMMYFUNCTION("""COMPUTED_VALUE"""),84.0)</f>
        <v>84</v>
      </c>
      <c r="K109" s="200">
        <f>IFERROR(__xludf.DUMMYFUNCTION("""COMPUTED_VALUE"""),14.0)</f>
        <v>14</v>
      </c>
      <c r="L109" s="201" t="str">
        <f>IFERROR(__xludf.DUMMYFUNCTION("""COMPUTED_VALUE"""),"Action / RPG")</f>
        <v>Action / RPG</v>
      </c>
      <c r="M109" s="201"/>
    </row>
    <row r="110">
      <c r="A110" s="190" t="str">
        <f>IFERROR(__xludf.DUMMYFUNCTION("""COMPUTED_VALUE"""),"Gears of War 4")</f>
        <v>Gears of War 4</v>
      </c>
      <c r="B110" s="195" t="str">
        <f>IFERROR(__xludf.DUMMYFUNCTION("""COMPUTED_VALUE"""),"Xbox / PC")</f>
        <v>Xbox / PC</v>
      </c>
      <c r="C110" s="196" t="str">
        <f>IFERROR(__xludf.DUMMYFUNCTION("""COMPUTED_VALUE"""),"Yes")</f>
        <v>Yes</v>
      </c>
      <c r="D110" s="196" t="str">
        <f>IFERROR(__xludf.DUMMYFUNCTION("""COMPUTED_VALUE"""),"Active")</f>
        <v>Active</v>
      </c>
      <c r="E110" s="197">
        <f>IFERROR(__xludf.DUMMYFUNCTION("""COMPUTED_VALUE"""),43070.0)</f>
        <v>43070</v>
      </c>
      <c r="F110" s="198"/>
      <c r="G110" s="199">
        <f>IFERROR(__xludf.DUMMYFUNCTION("""COMPUTED_VALUE"""),94.46666666666667)</f>
        <v>94.46666667</v>
      </c>
      <c r="H110" s="197">
        <f>IFERROR(__xludf.DUMMYFUNCTION("""COMPUTED_VALUE"""),42650.0)</f>
        <v>42650</v>
      </c>
      <c r="I110" s="199">
        <f>IFERROR(__xludf.DUMMYFUNCTION("""COMPUTED_VALUE"""),1.15)</f>
        <v>1.15</v>
      </c>
      <c r="J110" s="200">
        <f>IFERROR(__xludf.DUMMYFUNCTION("""COMPUTED_VALUE"""),84.0)</f>
        <v>84</v>
      </c>
      <c r="K110" s="200">
        <f>IFERROR(__xludf.DUMMYFUNCTION("""COMPUTED_VALUE"""),9.0)</f>
        <v>9</v>
      </c>
      <c r="L110" s="201" t="str">
        <f>IFERROR(__xludf.DUMMYFUNCTION("""COMPUTED_VALUE"""),"Shooter")</f>
        <v>Shooter</v>
      </c>
      <c r="M110" s="201" t="str">
        <f>IFERROR(__xludf.DUMMYFUNCTION("""COMPUTED_VALUE"""),"FPS Boost")</f>
        <v>FPS Boost</v>
      </c>
    </row>
    <row r="111">
      <c r="A111" s="190" t="str">
        <f>IFERROR(__xludf.DUMMYFUNCTION("""COMPUTED_VALUE"""),"Halo 5: Guardians")</f>
        <v>Halo 5: Guardians</v>
      </c>
      <c r="B111" s="195" t="str">
        <f>IFERROR(__xludf.DUMMYFUNCTION("""COMPUTED_VALUE"""),"Xbox")</f>
        <v>Xbox</v>
      </c>
      <c r="C111" s="196" t="str">
        <f>IFERROR(__xludf.DUMMYFUNCTION("""COMPUTED_VALUE"""),"Yes")</f>
        <v>Yes</v>
      </c>
      <c r="D111" s="196" t="str">
        <f>IFERROR(__xludf.DUMMYFUNCTION("""COMPUTED_VALUE"""),"Active")</f>
        <v>Active</v>
      </c>
      <c r="E111" s="197">
        <f>IFERROR(__xludf.DUMMYFUNCTION("""COMPUTED_VALUE"""),42887.0)</f>
        <v>42887</v>
      </c>
      <c r="F111" s="198"/>
      <c r="G111" s="199">
        <f>IFERROR(__xludf.DUMMYFUNCTION("""COMPUTED_VALUE"""),100.46666666666667)</f>
        <v>100.4666667</v>
      </c>
      <c r="H111" s="197">
        <f>IFERROR(__xludf.DUMMYFUNCTION("""COMPUTED_VALUE"""),42304.0)</f>
        <v>42304</v>
      </c>
      <c r="I111" s="199">
        <f>IFERROR(__xludf.DUMMYFUNCTION("""COMPUTED_VALUE"""),1.5944444444444446)</f>
        <v>1.594444444</v>
      </c>
      <c r="J111" s="200">
        <f>IFERROR(__xludf.DUMMYFUNCTION("""COMPUTED_VALUE"""),84.0)</f>
        <v>84</v>
      </c>
      <c r="K111" s="200">
        <f>IFERROR(__xludf.DUMMYFUNCTION("""COMPUTED_VALUE"""),8.0)</f>
        <v>8</v>
      </c>
      <c r="L111" s="201" t="str">
        <f>IFERROR(__xludf.DUMMYFUNCTION("""COMPUTED_VALUE"""),"First-Person Shooter")</f>
        <v>First-Person Shooter</v>
      </c>
      <c r="M111" s="201"/>
    </row>
    <row r="112">
      <c r="A112" s="190" t="str">
        <f>IFERROR(__xludf.DUMMYFUNCTION("""COMPUTED_VALUE"""),"Terraria")</f>
        <v>Terraria</v>
      </c>
      <c r="B112" s="195" t="str">
        <f>IFERROR(__xludf.DUMMYFUNCTION("""COMPUTED_VALUE"""),"Xbox")</f>
        <v>Xbox</v>
      </c>
      <c r="C112" s="196" t="str">
        <f>IFERROR(__xludf.DUMMYFUNCTION("""COMPUTED_VALUE"""),"M+KB")</f>
        <v>M+KB</v>
      </c>
      <c r="D112" s="196" t="str">
        <f>IFERROR(__xludf.DUMMYFUNCTION("""COMPUTED_VALUE"""),"Active")</f>
        <v>Active</v>
      </c>
      <c r="E112" s="197">
        <f>IFERROR(__xludf.DUMMYFUNCTION("""COMPUTED_VALUE"""),42887.0)</f>
        <v>42887</v>
      </c>
      <c r="F112" s="198"/>
      <c r="G112" s="199">
        <f>IFERROR(__xludf.DUMMYFUNCTION("""COMPUTED_VALUE"""),100.46666666666667)</f>
        <v>100.4666667</v>
      </c>
      <c r="H112" s="197">
        <f>IFERROR(__xludf.DUMMYFUNCTION("""COMPUTED_VALUE"""),40679.0)</f>
        <v>40679</v>
      </c>
      <c r="I112" s="199">
        <f>IFERROR(__xludf.DUMMYFUNCTION("""COMPUTED_VALUE"""),6.041666666666667)</f>
        <v>6.041666667</v>
      </c>
      <c r="J112" s="200">
        <f>IFERROR(__xludf.DUMMYFUNCTION("""COMPUTED_VALUE"""),84.0)</f>
        <v>84</v>
      </c>
      <c r="K112" s="200">
        <f>IFERROR(__xludf.DUMMYFUNCTION("""COMPUTED_VALUE"""),94.0)</f>
        <v>94</v>
      </c>
      <c r="L112" s="201" t="str">
        <f>IFERROR(__xludf.DUMMYFUNCTION("""COMPUTED_VALUE"""),"Platformer / Action-Adventure")</f>
        <v>Platformer / Action-Adventure</v>
      </c>
      <c r="M112" s="201"/>
    </row>
    <row r="113">
      <c r="A113" s="190" t="str">
        <f>IFERROR(__xludf.DUMMYFUNCTION("""COMPUTED_VALUE"""),"Viva Piñata")</f>
        <v>Viva Piñata</v>
      </c>
      <c r="B113" s="195" t="str">
        <f>IFERROR(__xludf.DUMMYFUNCTION("""COMPUTED_VALUE"""),"Xbox")</f>
        <v>Xbox</v>
      </c>
      <c r="C113" s="196" t="str">
        <f>IFERROR(__xludf.DUMMYFUNCTION("""COMPUTED_VALUE"""),"Touch Controls")</f>
        <v>Touch Controls</v>
      </c>
      <c r="D113" s="196" t="str">
        <f>IFERROR(__xludf.DUMMYFUNCTION("""COMPUTED_VALUE"""),"Active")</f>
        <v>Active</v>
      </c>
      <c r="E113" s="197">
        <f>IFERROR(__xludf.DUMMYFUNCTION("""COMPUTED_VALUE"""),42887.0)</f>
        <v>42887</v>
      </c>
      <c r="F113" s="198"/>
      <c r="G113" s="199">
        <f>IFERROR(__xludf.DUMMYFUNCTION("""COMPUTED_VALUE"""),100.46666666666667)</f>
        <v>100.4666667</v>
      </c>
      <c r="H113" s="197">
        <f>IFERROR(__xludf.DUMMYFUNCTION("""COMPUTED_VALUE"""),39030.0)</f>
        <v>39030</v>
      </c>
      <c r="I113" s="199">
        <f>IFERROR(__xludf.DUMMYFUNCTION("""COMPUTED_VALUE"""),10.561111111111112)</f>
        <v>10.56111111</v>
      </c>
      <c r="J113" s="200">
        <f>IFERROR(__xludf.DUMMYFUNCTION("""COMPUTED_VALUE"""),84.0)</f>
        <v>84</v>
      </c>
      <c r="K113" s="200">
        <f>IFERROR(__xludf.DUMMYFUNCTION("""COMPUTED_VALUE"""),19.0)</f>
        <v>19</v>
      </c>
      <c r="L113" s="201" t="str">
        <f>IFERROR(__xludf.DUMMYFUNCTION("""COMPUTED_VALUE"""),"Strategy / Simulation")</f>
        <v>Strategy / Simulation</v>
      </c>
      <c r="M113" s="201"/>
    </row>
    <row r="114">
      <c r="A114" s="190" t="str">
        <f>IFERROR(__xludf.DUMMYFUNCTION("""COMPUTED_VALUE"""),"Tunic")</f>
        <v>Tunic</v>
      </c>
      <c r="B114" s="195" t="str">
        <f>IFERROR(__xludf.DUMMYFUNCTION("""COMPUTED_VALUE"""),"Xbox / PC")</f>
        <v>Xbox / PC</v>
      </c>
      <c r="C114" s="196" t="str">
        <f>IFERROR(__xludf.DUMMYFUNCTION("""COMPUTED_VALUE"""),"Yes")</f>
        <v>Yes</v>
      </c>
      <c r="D114" s="196" t="str">
        <f>IFERROR(__xludf.DUMMYFUNCTION("""COMPUTED_VALUE"""),"Active")</f>
        <v>Active</v>
      </c>
      <c r="E114" s="197">
        <f>IFERROR(__xludf.DUMMYFUNCTION("""COMPUTED_VALUE"""),44636.0)</f>
        <v>44636</v>
      </c>
      <c r="F114" s="198"/>
      <c r="G114" s="199">
        <f>IFERROR(__xludf.DUMMYFUNCTION("""COMPUTED_VALUE"""),42.96666666666667)</f>
        <v>42.96666667</v>
      </c>
      <c r="H114" s="197">
        <f>IFERROR(__xludf.DUMMYFUNCTION("""COMPUTED_VALUE"""),44636.0)</f>
        <v>44636</v>
      </c>
      <c r="I114" s="199">
        <f>IFERROR(__xludf.DUMMYFUNCTION("""COMPUTED_VALUE"""),0.0)</f>
        <v>0</v>
      </c>
      <c r="J114" s="200">
        <f>IFERROR(__xludf.DUMMYFUNCTION("""COMPUTED_VALUE"""),83.5)</f>
        <v>83.5</v>
      </c>
      <c r="K114" s="200">
        <f>IFERROR(__xludf.DUMMYFUNCTION("""COMPUTED_VALUE"""),12.0)</f>
        <v>12</v>
      </c>
      <c r="L114" s="201" t="str">
        <f>IFERROR(__xludf.DUMMYFUNCTION("""COMPUTED_VALUE"""),"Action-Adventure")</f>
        <v>Action-Adventure</v>
      </c>
      <c r="M114" s="201"/>
    </row>
    <row r="115">
      <c r="A115" s="190" t="str">
        <f>IFERROR(__xludf.DUMMYFUNCTION("""COMPUTED_VALUE"""),"Halo: Infinite")</f>
        <v>Halo: Infinite</v>
      </c>
      <c r="B115" s="195" t="str">
        <f>IFERROR(__xludf.DUMMYFUNCTION("""COMPUTED_VALUE"""),"Xbox / PC")</f>
        <v>Xbox / PC</v>
      </c>
      <c r="C115" s="196" t="str">
        <f>IFERROR(__xludf.DUMMYFUNCTION("""COMPUTED_VALUE"""),"M+KB")</f>
        <v>M+KB</v>
      </c>
      <c r="D115" s="196" t="str">
        <f>IFERROR(__xludf.DUMMYFUNCTION("""COMPUTED_VALUE"""),"Active")</f>
        <v>Active</v>
      </c>
      <c r="E115" s="197">
        <f>IFERROR(__xludf.DUMMYFUNCTION("""COMPUTED_VALUE"""),44538.0)</f>
        <v>44538</v>
      </c>
      <c r="F115" s="198"/>
      <c r="G115" s="199">
        <f>IFERROR(__xludf.DUMMYFUNCTION("""COMPUTED_VALUE"""),46.233333333333334)</f>
        <v>46.23333333</v>
      </c>
      <c r="H115" s="197">
        <f>IFERROR(__xludf.DUMMYFUNCTION("""COMPUTED_VALUE"""),44538.0)</f>
        <v>44538</v>
      </c>
      <c r="I115" s="199">
        <f>IFERROR(__xludf.DUMMYFUNCTION("""COMPUTED_VALUE"""),0.0)</f>
        <v>0</v>
      </c>
      <c r="J115" s="200">
        <f>IFERROR(__xludf.DUMMYFUNCTION("""COMPUTED_VALUE"""),83.5)</f>
        <v>83.5</v>
      </c>
      <c r="K115" s="200">
        <f>IFERROR(__xludf.DUMMYFUNCTION("""COMPUTED_VALUE"""),10.0)</f>
        <v>10</v>
      </c>
      <c r="L115" s="201" t="str">
        <f>IFERROR(__xludf.DUMMYFUNCTION("""COMPUTED_VALUE"""),"First-Person Shooter")</f>
        <v>First-Person Shooter</v>
      </c>
      <c r="M115" s="201"/>
    </row>
    <row r="116">
      <c r="A116" s="190" t="str">
        <f>IFERROR(__xludf.DUMMYFUNCTION("""COMPUTED_VALUE"""),"Little Rocket Lab")</f>
        <v>Little Rocket Lab</v>
      </c>
      <c r="B116" s="195" t="str">
        <f>IFERROR(__xludf.DUMMYFUNCTION("""COMPUTED_VALUE"""),"Xbox / PC")</f>
        <v>Xbox / PC</v>
      </c>
      <c r="C116" s="196" t="str">
        <f>IFERROR(__xludf.DUMMYFUNCTION("""COMPUTED_VALUE"""),"Yes")</f>
        <v>Yes</v>
      </c>
      <c r="D116" s="196" t="str">
        <f>IFERROR(__xludf.DUMMYFUNCTION("""COMPUTED_VALUE"""),"Active")</f>
        <v>Active</v>
      </c>
      <c r="E116" s="197">
        <f>IFERROR(__xludf.DUMMYFUNCTION("""COMPUTED_VALUE"""),45938.0)</f>
        <v>45938</v>
      </c>
      <c r="F116" s="198"/>
      <c r="G116" s="199">
        <f>IFERROR(__xludf.DUMMYFUNCTION("""COMPUTED_VALUE"""),0.23333333333333334)</f>
        <v>0.2333333333</v>
      </c>
      <c r="H116" s="197">
        <f>IFERROR(__xludf.DUMMYFUNCTION("""COMPUTED_VALUE"""),45937.0)</f>
        <v>45937</v>
      </c>
      <c r="I116" s="199">
        <f>IFERROR(__xludf.DUMMYFUNCTION("""COMPUTED_VALUE"""),0.002777777777777778)</f>
        <v>0.002777777778</v>
      </c>
      <c r="J116" s="200">
        <f>IFERROR(__xludf.DUMMYFUNCTION("""COMPUTED_VALUE"""),83.0)</f>
        <v>83</v>
      </c>
      <c r="K116" s="200"/>
      <c r="L116" s="201" t="str">
        <f>IFERROR(__xludf.DUMMYFUNCTION("""COMPUTED_VALUE"""),"Sandbox")</f>
        <v>Sandbox</v>
      </c>
      <c r="M116" s="201"/>
    </row>
    <row r="117">
      <c r="A117" s="190" t="str">
        <f>IFERROR(__xludf.DUMMYFUNCTION("""COMPUTED_VALUE"""),"Warhammer: Vermintide 2")</f>
        <v>Warhammer: Vermintide 2</v>
      </c>
      <c r="B117" s="195" t="str">
        <f>IFERROR(__xludf.DUMMYFUNCTION("""COMPUTED_VALUE"""),"Xbox")</f>
        <v>Xbox</v>
      </c>
      <c r="C117" s="196" t="str">
        <f>IFERROR(__xludf.DUMMYFUNCTION("""COMPUTED_VALUE"""),"Yes")</f>
        <v>Yes</v>
      </c>
      <c r="D117" s="196" t="str">
        <f>IFERROR(__xludf.DUMMYFUNCTION("""COMPUTED_VALUE"""),"Active")</f>
        <v>Active</v>
      </c>
      <c r="E117" s="197">
        <f>IFERROR(__xludf.DUMMYFUNCTION("""COMPUTED_VALUE"""),45790.0)</f>
        <v>45790</v>
      </c>
      <c r="F117" s="198"/>
      <c r="G117" s="199">
        <f>IFERROR(__xludf.DUMMYFUNCTION("""COMPUTED_VALUE"""),5.066666666666666)</f>
        <v>5.066666667</v>
      </c>
      <c r="H117" s="197">
        <f>IFERROR(__xludf.DUMMYFUNCTION("""COMPUTED_VALUE"""),43167.0)</f>
        <v>43167</v>
      </c>
      <c r="I117" s="199">
        <f>IFERROR(__xludf.DUMMYFUNCTION("""COMPUTED_VALUE"""),7.180555555555555)</f>
        <v>7.180555556</v>
      </c>
      <c r="J117" s="200">
        <f>IFERROR(__xludf.DUMMYFUNCTION("""COMPUTED_VALUE"""),83.0)</f>
        <v>83</v>
      </c>
      <c r="K117" s="200">
        <f>IFERROR(__xludf.DUMMYFUNCTION("""COMPUTED_VALUE"""),20.0)</f>
        <v>20</v>
      </c>
      <c r="L117" s="201" t="str">
        <f>IFERROR(__xludf.DUMMYFUNCTION("""COMPUTED_VALUE"""),"Action / First-Person Shooter")</f>
        <v>Action / First-Person Shooter</v>
      </c>
      <c r="M117" s="201" t="str">
        <f>IFERROR(__xludf.DUMMYFUNCTION("""COMPUTED_VALUE"""),"Optimized")</f>
        <v>Optimized</v>
      </c>
    </row>
    <row r="118">
      <c r="A118" s="190" t="str">
        <f>IFERROR(__xludf.DUMMYFUNCTION("""COMPUTED_VALUE"""),"EA Sports College Football 25")</f>
        <v>EA Sports College Football 25</v>
      </c>
      <c r="B118" s="195" t="str">
        <f>IFERROR(__xludf.DUMMYFUNCTION("""COMPUTED_VALUE"""),"Xbox")</f>
        <v>Xbox</v>
      </c>
      <c r="C118" s="196" t="str">
        <f>IFERROR(__xludf.DUMMYFUNCTION("""COMPUTED_VALUE"""),"Yes")</f>
        <v>Yes</v>
      </c>
      <c r="D118" s="196" t="str">
        <f>IFERROR(__xludf.DUMMYFUNCTION("""COMPUTED_VALUE"""),"Active")</f>
        <v>Active</v>
      </c>
      <c r="E118" s="197">
        <f>IFERROR(__xludf.DUMMYFUNCTION("""COMPUTED_VALUE"""),45743.0)</f>
        <v>45743</v>
      </c>
      <c r="F118" s="198"/>
      <c r="G118" s="199">
        <f>IFERROR(__xludf.DUMMYFUNCTION("""COMPUTED_VALUE"""),6.6000000000000005)</f>
        <v>6.6</v>
      </c>
      <c r="H118" s="197">
        <f>IFERROR(__xludf.DUMMYFUNCTION("""COMPUTED_VALUE"""),45492.0)</f>
        <v>45492</v>
      </c>
      <c r="I118" s="199">
        <f>IFERROR(__xludf.DUMMYFUNCTION("""COMPUTED_VALUE"""),0.6888888888888889)</f>
        <v>0.6888888889</v>
      </c>
      <c r="J118" s="200">
        <f>IFERROR(__xludf.DUMMYFUNCTION("""COMPUTED_VALUE"""),83.0)</f>
        <v>83</v>
      </c>
      <c r="K118" s="200">
        <f>IFERROR(__xludf.DUMMYFUNCTION("""COMPUTED_VALUE"""),11.0)</f>
        <v>11</v>
      </c>
      <c r="L118" s="201" t="str">
        <f>IFERROR(__xludf.DUMMYFUNCTION("""COMPUTED_VALUE"""),"Sports")</f>
        <v>Sports</v>
      </c>
      <c r="M118" s="201" t="str">
        <f>IFERROR(__xludf.DUMMYFUNCTION("""COMPUTED_VALUE"""),"Exclusive")</f>
        <v>Exclusive</v>
      </c>
    </row>
    <row r="119">
      <c r="A119" s="190" t="str">
        <f>IFERROR(__xludf.DUMMYFUNCTION("""COMPUTED_VALUE"""),"Nine Sols")</f>
        <v>Nine Sols</v>
      </c>
      <c r="B119" s="195" t="str">
        <f>IFERROR(__xludf.DUMMYFUNCTION("""COMPUTED_VALUE"""),"Xbox / PC")</f>
        <v>Xbox / PC</v>
      </c>
      <c r="C119" s="196" t="str">
        <f>IFERROR(__xludf.DUMMYFUNCTION("""COMPUTED_VALUE"""),"Yes")</f>
        <v>Yes</v>
      </c>
      <c r="D119" s="196" t="str">
        <f>IFERROR(__xludf.DUMMYFUNCTION("""COMPUTED_VALUE"""),"Active")</f>
        <v>Active</v>
      </c>
      <c r="E119" s="197">
        <f>IFERROR(__xludf.DUMMYFUNCTION("""COMPUTED_VALUE"""),45622.0)</f>
        <v>45622</v>
      </c>
      <c r="F119" s="198"/>
      <c r="G119" s="199">
        <f>IFERROR(__xludf.DUMMYFUNCTION("""COMPUTED_VALUE"""),10.633333333333333)</f>
        <v>10.63333333</v>
      </c>
      <c r="H119" s="197">
        <f>IFERROR(__xludf.DUMMYFUNCTION("""COMPUTED_VALUE"""),45440.0)</f>
        <v>45440</v>
      </c>
      <c r="I119" s="199">
        <f>IFERROR(__xludf.DUMMYFUNCTION("""COMPUTED_VALUE"""),0.49444444444444446)</f>
        <v>0.4944444444</v>
      </c>
      <c r="J119" s="200">
        <f>IFERROR(__xludf.DUMMYFUNCTION("""COMPUTED_VALUE"""),83.0)</f>
        <v>83</v>
      </c>
      <c r="K119" s="200">
        <f>IFERROR(__xludf.DUMMYFUNCTION("""COMPUTED_VALUE"""),21.0)</f>
        <v>21</v>
      </c>
      <c r="L119" s="201" t="str">
        <f>IFERROR(__xludf.DUMMYFUNCTION("""COMPUTED_VALUE"""),"Platformer")</f>
        <v>Platformer</v>
      </c>
      <c r="M119" s="201" t="str">
        <f>IFERROR(__xludf.DUMMYFUNCTION("""COMPUTED_VALUE"""),"Exclusive")</f>
        <v>Exclusive</v>
      </c>
    </row>
    <row r="120">
      <c r="A120" s="190" t="str">
        <f>IFERROR(__xludf.DUMMYFUNCTION("""COMPUTED_VALUE"""),"Call of Duty: Black Ops 6")</f>
        <v>Call of Duty: Black Ops 6</v>
      </c>
      <c r="B120" s="195" t="str">
        <f>IFERROR(__xludf.DUMMYFUNCTION("""COMPUTED_VALUE"""),"Xbox / PC")</f>
        <v>Xbox / PC</v>
      </c>
      <c r="C120" s="196" t="str">
        <f>IFERROR(__xludf.DUMMYFUNCTION("""COMPUTED_VALUE"""),"Yes")</f>
        <v>Yes</v>
      </c>
      <c r="D120" s="196" t="str">
        <f>IFERROR(__xludf.DUMMYFUNCTION("""COMPUTED_VALUE"""),"Active")</f>
        <v>Active</v>
      </c>
      <c r="E120" s="197">
        <f>IFERROR(__xludf.DUMMYFUNCTION("""COMPUTED_VALUE"""),45590.0)</f>
        <v>45590</v>
      </c>
      <c r="F120" s="198"/>
      <c r="G120" s="199">
        <f>IFERROR(__xludf.DUMMYFUNCTION("""COMPUTED_VALUE"""),11.666666666666666)</f>
        <v>11.66666667</v>
      </c>
      <c r="H120" s="197">
        <f>IFERROR(__xludf.DUMMYFUNCTION("""COMPUTED_VALUE"""),45590.0)</f>
        <v>45590</v>
      </c>
      <c r="I120" s="199">
        <f>IFERROR(__xludf.DUMMYFUNCTION("""COMPUTED_VALUE"""),0.0)</f>
        <v>0</v>
      </c>
      <c r="J120" s="200">
        <f>IFERROR(__xludf.DUMMYFUNCTION("""COMPUTED_VALUE"""),83.0)</f>
        <v>83</v>
      </c>
      <c r="K120" s="200">
        <f>IFERROR(__xludf.DUMMYFUNCTION("""COMPUTED_VALUE"""),9.0)</f>
        <v>9</v>
      </c>
      <c r="L120" s="201" t="str">
        <f>IFERROR(__xludf.DUMMYFUNCTION("""COMPUTED_VALUE"""),"Shooter")</f>
        <v>Shooter</v>
      </c>
      <c r="M120" s="201"/>
    </row>
    <row r="121">
      <c r="A121" s="190" t="str">
        <f>IFERROR(__xludf.DUMMYFUNCTION("""COMPUTED_VALUE"""),"Octopath Traveler")</f>
        <v>Octopath Traveler</v>
      </c>
      <c r="B121" s="195" t="str">
        <f>IFERROR(__xludf.DUMMYFUNCTION("""COMPUTED_VALUE"""),"Xbox / PC")</f>
        <v>Xbox / PC</v>
      </c>
      <c r="C121" s="196" t="str">
        <f>IFERROR(__xludf.DUMMYFUNCTION("""COMPUTED_VALUE"""),"Touch Controls")</f>
        <v>Touch Controls</v>
      </c>
      <c r="D121" s="196" t="str">
        <f>IFERROR(__xludf.DUMMYFUNCTION("""COMPUTED_VALUE"""),"Active")</f>
        <v>Active</v>
      </c>
      <c r="E121" s="197">
        <f>IFERROR(__xludf.DUMMYFUNCTION("""COMPUTED_VALUE"""),45449.0)</f>
        <v>45449</v>
      </c>
      <c r="F121" s="198"/>
      <c r="G121" s="199">
        <f>IFERROR(__xludf.DUMMYFUNCTION("""COMPUTED_VALUE"""),16.3)</f>
        <v>16.3</v>
      </c>
      <c r="H121" s="197">
        <f>IFERROR(__xludf.DUMMYFUNCTION("""COMPUTED_VALUE"""),43293.0)</f>
        <v>43293</v>
      </c>
      <c r="I121" s="199">
        <f>IFERROR(__xludf.DUMMYFUNCTION("""COMPUTED_VALUE"""),5.9)</f>
        <v>5.9</v>
      </c>
      <c r="J121" s="200">
        <f>IFERROR(__xludf.DUMMYFUNCTION("""COMPUTED_VALUE"""),83.0)</f>
        <v>83</v>
      </c>
      <c r="K121" s="200">
        <f>IFERROR(__xludf.DUMMYFUNCTION("""COMPUTED_VALUE"""),61.0)</f>
        <v>61</v>
      </c>
      <c r="L121" s="201" t="str">
        <f>IFERROR(__xludf.DUMMYFUNCTION("""COMPUTED_VALUE"""),"RPG")</f>
        <v>RPG</v>
      </c>
      <c r="M121" s="201"/>
    </row>
    <row r="122">
      <c r="A122" s="190" t="str">
        <f>IFERROR(__xludf.DUMMYFUNCTION("""COMPUTED_VALUE"""),"Jusant")</f>
        <v>Jusant</v>
      </c>
      <c r="B122" s="195" t="str">
        <f>IFERROR(__xludf.DUMMYFUNCTION("""COMPUTED_VALUE"""),"Xbox / PC")</f>
        <v>Xbox / PC</v>
      </c>
      <c r="C122" s="196" t="str">
        <f>IFERROR(__xludf.DUMMYFUNCTION("""COMPUTED_VALUE"""),"Yes")</f>
        <v>Yes</v>
      </c>
      <c r="D122" s="196" t="str">
        <f>IFERROR(__xludf.DUMMYFUNCTION("""COMPUTED_VALUE"""),"Active")</f>
        <v>Active</v>
      </c>
      <c r="E122" s="197">
        <f>IFERROR(__xludf.DUMMYFUNCTION("""COMPUTED_VALUE"""),45230.0)</f>
        <v>45230</v>
      </c>
      <c r="F122" s="198"/>
      <c r="G122" s="199">
        <f>IFERROR(__xludf.DUMMYFUNCTION("""COMPUTED_VALUE"""),23.5)</f>
        <v>23.5</v>
      </c>
      <c r="H122" s="197">
        <f>IFERROR(__xludf.DUMMYFUNCTION("""COMPUTED_VALUE"""),45230.0)</f>
        <v>45230</v>
      </c>
      <c r="I122" s="199">
        <f>IFERROR(__xludf.DUMMYFUNCTION("""COMPUTED_VALUE"""),0.0)</f>
        <v>0</v>
      </c>
      <c r="J122" s="200">
        <f>IFERROR(__xludf.DUMMYFUNCTION("""COMPUTED_VALUE"""),83.0)</f>
        <v>83</v>
      </c>
      <c r="K122" s="200">
        <f>IFERROR(__xludf.DUMMYFUNCTION("""COMPUTED_VALUE"""),4.0)</f>
        <v>4</v>
      </c>
      <c r="L122" s="201" t="str">
        <f>IFERROR(__xludf.DUMMYFUNCTION("""COMPUTED_VALUE"""),"Adventure")</f>
        <v>Adventure</v>
      </c>
      <c r="M122" s="201"/>
    </row>
    <row r="123">
      <c r="A123" s="190" t="str">
        <f>IFERROR(__xludf.DUMMYFUNCTION("""COMPUTED_VALUE"""),"Firewatch")</f>
        <v>Firewatch</v>
      </c>
      <c r="B123" s="195" t="str">
        <f>IFERROR(__xludf.DUMMYFUNCTION("""COMPUTED_VALUE"""),"Xbox / PC")</f>
        <v>Xbox / PC</v>
      </c>
      <c r="C123" s="196" t="str">
        <f>IFERROR(__xludf.DUMMYFUNCTION("""COMPUTED_VALUE"""),"Touch Controls")</f>
        <v>Touch Controls</v>
      </c>
      <c r="D123" s="196" t="str">
        <f>IFERROR(__xludf.DUMMYFUNCTION("""COMPUTED_VALUE"""),"Active")</f>
        <v>Active</v>
      </c>
      <c r="E123" s="197">
        <f>IFERROR(__xludf.DUMMYFUNCTION("""COMPUTED_VALUE"""),45155.0)</f>
        <v>45155</v>
      </c>
      <c r="F123" s="198"/>
      <c r="G123" s="199">
        <f>IFERROR(__xludf.DUMMYFUNCTION("""COMPUTED_VALUE"""),25.93333333333333)</f>
        <v>25.93333333</v>
      </c>
      <c r="H123" s="197">
        <f>IFERROR(__xludf.DUMMYFUNCTION("""COMPUTED_VALUE"""),42409.0)</f>
        <v>42409</v>
      </c>
      <c r="I123" s="199">
        <f>IFERROR(__xludf.DUMMYFUNCTION("""COMPUTED_VALUE"""),7.522222222222222)</f>
        <v>7.522222222</v>
      </c>
      <c r="J123" s="200">
        <f>IFERROR(__xludf.DUMMYFUNCTION("""COMPUTED_VALUE"""),83.0)</f>
        <v>83</v>
      </c>
      <c r="K123" s="200">
        <f>IFERROR(__xludf.DUMMYFUNCTION("""COMPUTED_VALUE"""),4.0)</f>
        <v>4</v>
      </c>
      <c r="L123" s="201" t="str">
        <f>IFERROR(__xludf.DUMMYFUNCTION("""COMPUTED_VALUE"""),"Adventure")</f>
        <v>Adventure</v>
      </c>
      <c r="M123" s="201"/>
    </row>
    <row r="124">
      <c r="A124" s="190" t="str">
        <f>IFERROR(__xludf.DUMMYFUNCTION("""COMPUTED_VALUE"""),"Fortnite")</f>
        <v>Fortnite</v>
      </c>
      <c r="B124" s="195"/>
      <c r="C124" s="196" t="str">
        <f>IFERROR(__xludf.DUMMYFUNCTION("""COMPUTED_VALUE"""),"M+KB (Browser)")</f>
        <v>M+KB (Browser)</v>
      </c>
      <c r="D124" s="196" t="str">
        <f>IFERROR(__xludf.DUMMYFUNCTION("""COMPUTED_VALUE"""),"Active")</f>
        <v>Active</v>
      </c>
      <c r="E124" s="197">
        <f>IFERROR(__xludf.DUMMYFUNCTION("""COMPUTED_VALUE"""),44686.0)</f>
        <v>44686</v>
      </c>
      <c r="F124" s="198"/>
      <c r="G124" s="199">
        <f>IFERROR(__xludf.DUMMYFUNCTION("""COMPUTED_VALUE"""),41.333333333333336)</f>
        <v>41.33333333</v>
      </c>
      <c r="H124" s="197">
        <f>IFERROR(__xludf.DUMMYFUNCTION("""COMPUTED_VALUE"""),42941.0)</f>
        <v>42941</v>
      </c>
      <c r="I124" s="199">
        <f>IFERROR(__xludf.DUMMYFUNCTION("""COMPUTED_VALUE"""),4.777777777777778)</f>
        <v>4.777777778</v>
      </c>
      <c r="J124" s="200">
        <f>IFERROR(__xludf.DUMMYFUNCTION("""COMPUTED_VALUE"""),83.0)</f>
        <v>83</v>
      </c>
      <c r="K124" s="200">
        <f>IFERROR(__xludf.DUMMYFUNCTION("""COMPUTED_VALUE"""),65.5)</f>
        <v>65.5</v>
      </c>
      <c r="L124" s="201" t="str">
        <f>IFERROR(__xludf.DUMMYFUNCTION("""COMPUTED_VALUE"""),"Shooter")</f>
        <v>Shooter</v>
      </c>
      <c r="M124" s="201"/>
    </row>
    <row r="125">
      <c r="A125" s="190" t="str">
        <f>IFERROR(__xludf.DUMMYFUNCTION("""COMPUTED_VALUE"""),"Halo 3: ODST")</f>
        <v>Halo 3: ODST</v>
      </c>
      <c r="B125" s="195" t="str">
        <f>IFERROR(__xludf.DUMMYFUNCTION("""COMPUTED_VALUE"""),"Xbox / PC")</f>
        <v>Xbox / PC</v>
      </c>
      <c r="C125" s="196" t="str">
        <f>IFERROR(__xludf.DUMMYFUNCTION("""COMPUTED_VALUE"""),"Yes")</f>
        <v>Yes</v>
      </c>
      <c r="D125" s="196" t="str">
        <f>IFERROR(__xludf.DUMMYFUNCTION("""COMPUTED_VALUE"""),"Active")</f>
        <v>Active</v>
      </c>
      <c r="E125" s="197">
        <f>IFERROR(__xludf.DUMMYFUNCTION("""COMPUTED_VALUE"""),44096.0)</f>
        <v>44096</v>
      </c>
      <c r="F125" s="198"/>
      <c r="G125" s="199">
        <f>IFERROR(__xludf.DUMMYFUNCTION("""COMPUTED_VALUE"""),60.766666666666666)</f>
        <v>60.76666667</v>
      </c>
      <c r="H125" s="197">
        <f>IFERROR(__xludf.DUMMYFUNCTION("""COMPUTED_VALUE"""),40078.0)</f>
        <v>40078</v>
      </c>
      <c r="I125" s="199">
        <f>IFERROR(__xludf.DUMMYFUNCTION("""COMPUTED_VALUE"""),11.0)</f>
        <v>11</v>
      </c>
      <c r="J125" s="200">
        <f>IFERROR(__xludf.DUMMYFUNCTION("""COMPUTED_VALUE"""),83.0)</f>
        <v>83</v>
      </c>
      <c r="K125" s="200">
        <f>IFERROR(__xludf.DUMMYFUNCTION("""COMPUTED_VALUE"""),7.0)</f>
        <v>7</v>
      </c>
      <c r="L125" s="201" t="str">
        <f>IFERROR(__xludf.DUMMYFUNCTION("""COMPUTED_VALUE"""),"Action / First-Person Shooter")</f>
        <v>Action / First-Person Shooter</v>
      </c>
      <c r="M125" s="201"/>
    </row>
    <row r="126">
      <c r="A126" s="190" t="str">
        <f>IFERROR(__xludf.DUMMYFUNCTION("""COMPUTED_VALUE"""),"Overcooked! 2")</f>
        <v>Overcooked! 2</v>
      </c>
      <c r="B126" s="195" t="str">
        <f>IFERROR(__xludf.DUMMYFUNCTION("""COMPUTED_VALUE"""),"Xbox / PC")</f>
        <v>Xbox / PC</v>
      </c>
      <c r="C126" s="196" t="str">
        <f>IFERROR(__xludf.DUMMYFUNCTION("""COMPUTED_VALUE"""),"Touch Controls")</f>
        <v>Touch Controls</v>
      </c>
      <c r="D126" s="196" t="str">
        <f>IFERROR(__xludf.DUMMYFUNCTION("""COMPUTED_VALUE"""),"Active")</f>
        <v>Active</v>
      </c>
      <c r="E126" s="197">
        <f>IFERROR(__xludf.DUMMYFUNCTION("""COMPUTED_VALUE"""),43811.0)</f>
        <v>43811</v>
      </c>
      <c r="F126" s="198"/>
      <c r="G126" s="199">
        <f>IFERROR(__xludf.DUMMYFUNCTION("""COMPUTED_VALUE"""),70.1)</f>
        <v>70.1</v>
      </c>
      <c r="H126" s="197">
        <f>IFERROR(__xludf.DUMMYFUNCTION("""COMPUTED_VALUE"""),43319.0)</f>
        <v>43319</v>
      </c>
      <c r="I126" s="199">
        <f>IFERROR(__xludf.DUMMYFUNCTION("""COMPUTED_VALUE"""),1.3472222222222223)</f>
        <v>1.347222222</v>
      </c>
      <c r="J126" s="200">
        <f>IFERROR(__xludf.DUMMYFUNCTION("""COMPUTED_VALUE"""),83.0)</f>
        <v>83</v>
      </c>
      <c r="K126" s="200">
        <f>IFERROR(__xludf.DUMMYFUNCTION("""COMPUTED_VALUE"""),6.5)</f>
        <v>6.5</v>
      </c>
      <c r="L126" s="201" t="str">
        <f>IFERROR(__xludf.DUMMYFUNCTION("""COMPUTED_VALUE"""),"Simulation")</f>
        <v>Simulation</v>
      </c>
      <c r="M126" s="201" t="str">
        <f>IFERROR(__xludf.DUMMYFUNCTION("""COMPUTED_VALUE"""),"FPS Boost")</f>
        <v>FPS Boost</v>
      </c>
    </row>
    <row r="127">
      <c r="A127" s="190" t="str">
        <f>IFERROR(__xludf.DUMMYFUNCTION("""COMPUTED_VALUE"""),"Gears 5: Game of the Year Edition")</f>
        <v>Gears 5: Game of the Year Edition</v>
      </c>
      <c r="B127" s="195" t="str">
        <f>IFERROR(__xludf.DUMMYFUNCTION("""COMPUTED_VALUE"""),"Xbox / PC")</f>
        <v>Xbox / PC</v>
      </c>
      <c r="C127" s="196" t="str">
        <f>IFERROR(__xludf.DUMMYFUNCTION("""COMPUTED_VALUE"""),"Touch Controls")</f>
        <v>Touch Controls</v>
      </c>
      <c r="D127" s="196" t="str">
        <f>IFERROR(__xludf.DUMMYFUNCTION("""COMPUTED_VALUE"""),"Active")</f>
        <v>Active</v>
      </c>
      <c r="E127" s="197">
        <f>IFERROR(__xludf.DUMMYFUNCTION("""COMPUTED_VALUE"""),43718.0)</f>
        <v>43718</v>
      </c>
      <c r="F127" s="198"/>
      <c r="G127" s="199">
        <f>IFERROR(__xludf.DUMMYFUNCTION("""COMPUTED_VALUE"""),73.16666666666667)</f>
        <v>73.16666667</v>
      </c>
      <c r="H127" s="197">
        <f>IFERROR(__xludf.DUMMYFUNCTION("""COMPUTED_VALUE"""),43718.0)</f>
        <v>43718</v>
      </c>
      <c r="I127" s="199">
        <f>IFERROR(__xludf.DUMMYFUNCTION("""COMPUTED_VALUE"""),0.0)</f>
        <v>0</v>
      </c>
      <c r="J127" s="200">
        <f>IFERROR(__xludf.DUMMYFUNCTION("""COMPUTED_VALUE"""),83.0)</f>
        <v>83</v>
      </c>
      <c r="K127" s="200">
        <f>IFERROR(__xludf.DUMMYFUNCTION("""COMPUTED_VALUE"""),10.5)</f>
        <v>10.5</v>
      </c>
      <c r="L127" s="201" t="str">
        <f>IFERROR(__xludf.DUMMYFUNCTION("""COMPUTED_VALUE"""),"Action")</f>
        <v>Action</v>
      </c>
      <c r="M127" s="201" t="str">
        <f>IFERROR(__xludf.DUMMYFUNCTION("""COMPUTED_VALUE"""),"Optimized")</f>
        <v>Optimized</v>
      </c>
    </row>
    <row r="128">
      <c r="A128" s="190" t="str">
        <f>IFERROR(__xludf.DUMMYFUNCTION("""COMPUTED_VALUE"""),"Prey")</f>
        <v>Prey</v>
      </c>
      <c r="B128" s="195" t="str">
        <f>IFERROR(__xludf.DUMMYFUNCTION("""COMPUTED_VALUE"""),"Xbox / PC")</f>
        <v>Xbox / PC</v>
      </c>
      <c r="C128" s="196" t="str">
        <f>IFERROR(__xludf.DUMMYFUNCTION("""COMPUTED_VALUE"""),"Yes")</f>
        <v>Yes</v>
      </c>
      <c r="D128" s="196" t="str">
        <f>IFERROR(__xludf.DUMMYFUNCTION("""COMPUTED_VALUE"""),"Active")</f>
        <v>Active</v>
      </c>
      <c r="E128" s="197">
        <f>IFERROR(__xludf.DUMMYFUNCTION("""COMPUTED_VALUE"""),43566.0)</f>
        <v>43566</v>
      </c>
      <c r="F128" s="198"/>
      <c r="G128" s="199">
        <f>IFERROR(__xludf.DUMMYFUNCTION("""COMPUTED_VALUE"""),78.13333333333333)</f>
        <v>78.13333333</v>
      </c>
      <c r="H128" s="197">
        <f>IFERROR(__xludf.DUMMYFUNCTION("""COMPUTED_VALUE"""),42860.0)</f>
        <v>42860</v>
      </c>
      <c r="I128" s="199">
        <f>IFERROR(__xludf.DUMMYFUNCTION("""COMPUTED_VALUE"""),1.9333333333333333)</f>
        <v>1.933333333</v>
      </c>
      <c r="J128" s="200">
        <f>IFERROR(__xludf.DUMMYFUNCTION("""COMPUTED_VALUE"""),83.0)</f>
        <v>83</v>
      </c>
      <c r="K128" s="200">
        <f>IFERROR(__xludf.DUMMYFUNCTION("""COMPUTED_VALUE"""),16.0)</f>
        <v>16</v>
      </c>
      <c r="L128" s="201" t="str">
        <f>IFERROR(__xludf.DUMMYFUNCTION("""COMPUTED_VALUE"""),"First-Person Shooter / Action-Adventure")</f>
        <v>First-Person Shooter / Action-Adventure</v>
      </c>
      <c r="M128" s="201" t="str">
        <f>IFERROR(__xludf.DUMMYFUNCTION("""COMPUTED_VALUE"""),"FPS Boost")</f>
        <v>FPS Boost</v>
      </c>
    </row>
    <row r="129">
      <c r="A129" s="190" t="str">
        <f>IFERROR(__xludf.DUMMYFUNCTION("""COMPUTED_VALUE"""),"The Walking Dead: Season Two")</f>
        <v>The Walking Dead: Season Two</v>
      </c>
      <c r="B129" s="195" t="str">
        <f>IFERROR(__xludf.DUMMYFUNCTION("""COMPUTED_VALUE"""),"Xbox / PC")</f>
        <v>Xbox / PC</v>
      </c>
      <c r="C129" s="196" t="str">
        <f>IFERROR(__xludf.DUMMYFUNCTION("""COMPUTED_VALUE"""),"Touch Controls")</f>
        <v>Touch Controls</v>
      </c>
      <c r="D129" s="196" t="str">
        <f>IFERROR(__xludf.DUMMYFUNCTION("""COMPUTED_VALUE"""),"Active")</f>
        <v>Active</v>
      </c>
      <c r="E129" s="197">
        <f>IFERROR(__xludf.DUMMYFUNCTION("""COMPUTED_VALUE"""),43524.0)</f>
        <v>43524</v>
      </c>
      <c r="F129" s="198"/>
      <c r="G129" s="199">
        <f>IFERROR(__xludf.DUMMYFUNCTION("""COMPUTED_VALUE"""),79.56666666666666)</f>
        <v>79.56666667</v>
      </c>
      <c r="H129" s="197">
        <f>IFERROR(__xludf.DUMMYFUNCTION("""COMPUTED_VALUE"""),41625.0)</f>
        <v>41625</v>
      </c>
      <c r="I129" s="199">
        <f>IFERROR(__xludf.DUMMYFUNCTION("""COMPUTED_VALUE"""),5.197222222222222)</f>
        <v>5.197222222</v>
      </c>
      <c r="J129" s="200">
        <f>IFERROR(__xludf.DUMMYFUNCTION("""COMPUTED_VALUE"""),83.0)</f>
        <v>83</v>
      </c>
      <c r="K129" s="200">
        <f>IFERROR(__xludf.DUMMYFUNCTION("""COMPUTED_VALUE"""),9.5)</f>
        <v>9.5</v>
      </c>
      <c r="L129" s="201" t="str">
        <f>IFERROR(__xludf.DUMMYFUNCTION("""COMPUTED_VALUE"""),"Adventure")</f>
        <v>Adventure</v>
      </c>
      <c r="M129" s="201"/>
    </row>
    <row r="130">
      <c r="A130" s="190" t="str">
        <f>IFERROR(__xludf.DUMMYFUNCTION("""COMPUTED_VALUE"""),"Cities: Skylines - Remastered")</f>
        <v>Cities: Skylines - Remastered</v>
      </c>
      <c r="B130" s="195" t="str">
        <f>IFERROR(__xludf.DUMMYFUNCTION("""COMPUTED_VALUE"""),"Xbox / PC")</f>
        <v>Xbox / PC</v>
      </c>
      <c r="C130" s="196" t="str">
        <f>IFERROR(__xludf.DUMMYFUNCTION("""COMPUTED_VALUE"""),"M+KB")</f>
        <v>M+KB</v>
      </c>
      <c r="D130" s="196" t="str">
        <f>IFERROR(__xludf.DUMMYFUNCTION("""COMPUTED_VALUE"""),"Active")</f>
        <v>Active</v>
      </c>
      <c r="E130" s="197">
        <f>IFERROR(__xludf.DUMMYFUNCTION("""COMPUTED_VALUE"""),43191.0)</f>
        <v>43191</v>
      </c>
      <c r="F130" s="198"/>
      <c r="G130" s="199">
        <f>IFERROR(__xludf.DUMMYFUNCTION("""COMPUTED_VALUE"""),90.46666666666667)</f>
        <v>90.46666667</v>
      </c>
      <c r="H130" s="197">
        <f>IFERROR(__xludf.DUMMYFUNCTION("""COMPUTED_VALUE"""),42073.0)</f>
        <v>42073</v>
      </c>
      <c r="I130" s="199">
        <f>IFERROR(__xludf.DUMMYFUNCTION("""COMPUTED_VALUE"""),3.058333333333333)</f>
        <v>3.058333333</v>
      </c>
      <c r="J130" s="200">
        <f>IFERROR(__xludf.DUMMYFUNCTION("""COMPUTED_VALUE"""),83.0)</f>
        <v>83</v>
      </c>
      <c r="K130" s="200">
        <f>IFERROR(__xludf.DUMMYFUNCTION("""COMPUTED_VALUE"""),25.5)</f>
        <v>25.5</v>
      </c>
      <c r="L130" s="201" t="str">
        <f>IFERROR(__xludf.DUMMYFUNCTION("""COMPUTED_VALUE"""),"Simulation")</f>
        <v>Simulation</v>
      </c>
      <c r="M130" s="201"/>
    </row>
    <row r="131">
      <c r="A131" s="190" t="str">
        <f>IFERROR(__xludf.DUMMYFUNCTION("""COMPUTED_VALUE"""),"theHunter: Call of the Wild")</f>
        <v>theHunter: Call of the Wild</v>
      </c>
      <c r="B131" s="195" t="str">
        <f>IFERROR(__xludf.DUMMYFUNCTION("""COMPUTED_VALUE"""),"Xbox / PC")</f>
        <v>Xbox / PC</v>
      </c>
      <c r="C131" s="196" t="str">
        <f>IFERROR(__xludf.DUMMYFUNCTION("""COMPUTED_VALUE"""),"Yes")</f>
        <v>Yes</v>
      </c>
      <c r="D131" s="196" t="str">
        <f>IFERROR(__xludf.DUMMYFUNCTION("""COMPUTED_VALUE"""),"Active")</f>
        <v>Active</v>
      </c>
      <c r="E131" s="197">
        <f>IFERROR(__xludf.DUMMYFUNCTION("""COMPUTED_VALUE"""),43191.0)</f>
        <v>43191</v>
      </c>
      <c r="F131" s="198"/>
      <c r="G131" s="199">
        <f>IFERROR(__xludf.DUMMYFUNCTION("""COMPUTED_VALUE"""),90.46666666666667)</f>
        <v>90.46666667</v>
      </c>
      <c r="H131" s="197">
        <f>IFERROR(__xludf.DUMMYFUNCTION("""COMPUTED_VALUE"""),42781.0)</f>
        <v>42781</v>
      </c>
      <c r="I131" s="199">
        <f>IFERROR(__xludf.DUMMYFUNCTION("""COMPUTED_VALUE"""),1.1277777777777778)</f>
        <v>1.127777778</v>
      </c>
      <c r="J131" s="200">
        <f>IFERROR(__xludf.DUMMYFUNCTION("""COMPUTED_VALUE"""),83.0)</f>
        <v>83</v>
      </c>
      <c r="K131" s="200">
        <f>IFERROR(__xludf.DUMMYFUNCTION("""COMPUTED_VALUE"""),20.5)</f>
        <v>20.5</v>
      </c>
      <c r="L131" s="201" t="str">
        <f>IFERROR(__xludf.DUMMYFUNCTION("""COMPUTED_VALUE"""),"Simulation / First-Person Shooter")</f>
        <v>Simulation / First-Person Shooter</v>
      </c>
      <c r="M131" s="201"/>
    </row>
    <row r="132">
      <c r="A132" s="190" t="str">
        <f>IFERROR(__xludf.DUMMYFUNCTION("""COMPUTED_VALUE"""),"Dishonored: Death of the Outsider")</f>
        <v>Dishonored: Death of the Outsider</v>
      </c>
      <c r="B132" s="195" t="str">
        <f>IFERROR(__xludf.DUMMYFUNCTION("""COMPUTED_VALUE"""),"Xbox / PC")</f>
        <v>Xbox / PC</v>
      </c>
      <c r="C132" s="196" t="str">
        <f>IFERROR(__xludf.DUMMYFUNCTION("""COMPUTED_VALUE"""),"Yes")</f>
        <v>Yes</v>
      </c>
      <c r="D132" s="196" t="str">
        <f>IFERROR(__xludf.DUMMYFUNCTION("""COMPUTED_VALUE"""),"Active")</f>
        <v>Active</v>
      </c>
      <c r="E132" s="197">
        <f>IFERROR(__xludf.DUMMYFUNCTION("""COMPUTED_VALUE"""),44360.0)</f>
        <v>44360</v>
      </c>
      <c r="F132" s="198"/>
      <c r="G132" s="199">
        <f>IFERROR(__xludf.DUMMYFUNCTION("""COMPUTED_VALUE"""),52.06666666666666)</f>
        <v>52.06666667</v>
      </c>
      <c r="H132" s="197">
        <f>IFERROR(__xludf.DUMMYFUNCTION("""COMPUTED_VALUE"""),42993.0)</f>
        <v>42993</v>
      </c>
      <c r="I132" s="199">
        <f>IFERROR(__xludf.DUMMYFUNCTION("""COMPUTED_VALUE"""),3.7444444444444445)</f>
        <v>3.744444444</v>
      </c>
      <c r="J132" s="200">
        <f>IFERROR(__xludf.DUMMYFUNCTION("""COMPUTED_VALUE"""),82.5)</f>
        <v>82.5</v>
      </c>
      <c r="K132" s="200">
        <f>IFERROR(__xludf.DUMMYFUNCTION("""COMPUTED_VALUE"""),6.5)</f>
        <v>6.5</v>
      </c>
      <c r="L132" s="201" t="str">
        <f>IFERROR(__xludf.DUMMYFUNCTION("""COMPUTED_VALUE"""),"Action-Adventure")</f>
        <v>Action-Adventure</v>
      </c>
      <c r="M132" s="201" t="str">
        <f>IFERROR(__xludf.DUMMYFUNCTION("""COMPUTED_VALUE"""),"FPS Boost")</f>
        <v>FPS Boost</v>
      </c>
    </row>
    <row r="133">
      <c r="A133" s="190" t="str">
        <f>IFERROR(__xludf.DUMMYFUNCTION("""COMPUTED_VALUE"""),"Child of Light")</f>
        <v>Child of Light</v>
      </c>
      <c r="B133" s="195" t="str">
        <f>IFERROR(__xludf.DUMMYFUNCTION("""COMPUTED_VALUE"""),"Xbox / PC")</f>
        <v>Xbox / PC</v>
      </c>
      <c r="C133" s="196" t="str">
        <f>IFERROR(__xludf.DUMMYFUNCTION("""COMPUTED_VALUE"""),"Yes")</f>
        <v>Yes</v>
      </c>
      <c r="D133" s="196" t="str">
        <f>IFERROR(__xludf.DUMMYFUNCTION("""COMPUTED_VALUE"""),"Active")</f>
        <v>Active</v>
      </c>
      <c r="E133" s="197">
        <f>IFERROR(__xludf.DUMMYFUNCTION("""COMPUTED_VALUE"""),45931.0)</f>
        <v>45931</v>
      </c>
      <c r="F133" s="198"/>
      <c r="G133" s="199">
        <f>IFERROR(__xludf.DUMMYFUNCTION("""COMPUTED_VALUE"""),0.4666666666666667)</f>
        <v>0.4666666667</v>
      </c>
      <c r="H133" s="197">
        <f>IFERROR(__xludf.DUMMYFUNCTION("""COMPUTED_VALUE"""),41758.0)</f>
        <v>41758</v>
      </c>
      <c r="I133" s="199">
        <f>IFERROR(__xludf.DUMMYFUNCTION("""COMPUTED_VALUE"""),11.422222222222222)</f>
        <v>11.42222222</v>
      </c>
      <c r="J133" s="200">
        <f>IFERROR(__xludf.DUMMYFUNCTION("""COMPUTED_VALUE"""),82.0)</f>
        <v>82</v>
      </c>
      <c r="K133" s="200">
        <f>IFERROR(__xludf.DUMMYFUNCTION("""COMPUTED_VALUE"""),11.0)</f>
        <v>11</v>
      </c>
      <c r="L133" s="201" t="str">
        <f>IFERROR(__xludf.DUMMYFUNCTION("""COMPUTED_VALUE"""),"RPG")</f>
        <v>RPG</v>
      </c>
      <c r="M133" s="201"/>
    </row>
    <row r="134">
      <c r="A134" s="190" t="str">
        <f>IFERROR(__xludf.DUMMYFUNCTION("""COMPUTED_VALUE"""),"Dragon Age: The Veilguard")</f>
        <v>Dragon Age: The Veilguard</v>
      </c>
      <c r="B134" s="195" t="str">
        <f>IFERROR(__xludf.DUMMYFUNCTION("""COMPUTED_VALUE"""),"Xbox / PC")</f>
        <v>Xbox / PC</v>
      </c>
      <c r="C134" s="196" t="str">
        <f>IFERROR(__xludf.DUMMYFUNCTION("""COMPUTED_VALUE"""),"Yes")</f>
        <v>Yes</v>
      </c>
      <c r="D134" s="196" t="str">
        <f>IFERROR(__xludf.DUMMYFUNCTION("""COMPUTED_VALUE"""),"Active")</f>
        <v>Active</v>
      </c>
      <c r="E134" s="197">
        <f>IFERROR(__xludf.DUMMYFUNCTION("""COMPUTED_VALUE"""),45897.0)</f>
        <v>45897</v>
      </c>
      <c r="F134" s="198"/>
      <c r="G134" s="199">
        <f>IFERROR(__xludf.DUMMYFUNCTION("""COMPUTED_VALUE"""),1.5666666666666669)</f>
        <v>1.566666667</v>
      </c>
      <c r="H134" s="197">
        <f>IFERROR(__xludf.DUMMYFUNCTION("""COMPUTED_VALUE"""),45596.0)</f>
        <v>45596</v>
      </c>
      <c r="I134" s="199">
        <f>IFERROR(__xludf.DUMMYFUNCTION("""COMPUTED_VALUE"""),0.8277777777777777)</f>
        <v>0.8277777778</v>
      </c>
      <c r="J134" s="200">
        <f>IFERROR(__xludf.DUMMYFUNCTION("""COMPUTED_VALUE"""),82.0)</f>
        <v>82</v>
      </c>
      <c r="K134" s="200">
        <f>IFERROR(__xludf.DUMMYFUNCTION("""COMPUTED_VALUE"""),29.0)</f>
        <v>29</v>
      </c>
      <c r="L134" s="201" t="str">
        <f>IFERROR(__xludf.DUMMYFUNCTION("""COMPUTED_VALUE"""),"RPG")</f>
        <v>RPG</v>
      </c>
      <c r="M134" s="201" t="str">
        <f>IFERROR(__xludf.DUMMYFUNCTION("""COMPUTED_VALUE"""),"Exclusive")</f>
        <v>Exclusive</v>
      </c>
    </row>
    <row r="135">
      <c r="A135" s="190" t="str">
        <f>IFERROR(__xludf.DUMMYFUNCTION("""COMPUTED_VALUE"""),"Heretic + Hexen")</f>
        <v>Heretic + Hexen</v>
      </c>
      <c r="B135" s="195" t="str">
        <f>IFERROR(__xludf.DUMMYFUNCTION("""COMPUTED_VALUE"""),"Xbox / PC")</f>
        <v>Xbox / PC</v>
      </c>
      <c r="C135" s="196" t="str">
        <f>IFERROR(__xludf.DUMMYFUNCTION("""COMPUTED_VALUE"""),"Yes")</f>
        <v>Yes</v>
      </c>
      <c r="D135" s="196" t="str">
        <f>IFERROR(__xludf.DUMMYFUNCTION("""COMPUTED_VALUE"""),"Active")</f>
        <v>Active</v>
      </c>
      <c r="E135" s="197">
        <f>IFERROR(__xludf.DUMMYFUNCTION("""COMPUTED_VALUE"""),45876.0)</f>
        <v>45876</v>
      </c>
      <c r="F135" s="198"/>
      <c r="G135" s="199">
        <f>IFERROR(__xludf.DUMMYFUNCTION("""COMPUTED_VALUE"""),2.2666666666666666)</f>
        <v>2.266666667</v>
      </c>
      <c r="H135" s="197">
        <f>IFERROR(__xludf.DUMMYFUNCTION("""COMPUTED_VALUE"""),45876.0)</f>
        <v>45876</v>
      </c>
      <c r="I135" s="199">
        <f>IFERROR(__xludf.DUMMYFUNCTION("""COMPUTED_VALUE"""),0.0)</f>
        <v>0</v>
      </c>
      <c r="J135" s="200">
        <f>IFERROR(__xludf.DUMMYFUNCTION("""COMPUTED_VALUE"""),82.0)</f>
        <v>82</v>
      </c>
      <c r="K135" s="200">
        <f>IFERROR(__xludf.DUMMYFUNCTION("""COMPUTED_VALUE"""),27.0)</f>
        <v>27</v>
      </c>
      <c r="L135" s="201" t="str">
        <f>IFERROR(__xludf.DUMMYFUNCTION("""COMPUTED_VALUE"""),"Compilation")</f>
        <v>Compilation</v>
      </c>
      <c r="M135" s="201"/>
    </row>
    <row r="136">
      <c r="A136" s="190" t="str">
        <f>IFERROR(__xludf.DUMMYFUNCTION("""COMPUTED_VALUE"""),"Tony Hawk's Pro Skater 3 + 4")</f>
        <v>Tony Hawk's Pro Skater 3 + 4</v>
      </c>
      <c r="B136" s="195" t="str">
        <f>IFERROR(__xludf.DUMMYFUNCTION("""COMPUTED_VALUE"""),"Xbox / PC")</f>
        <v>Xbox / PC</v>
      </c>
      <c r="C136" s="196" t="str">
        <f>IFERROR(__xludf.DUMMYFUNCTION("""COMPUTED_VALUE"""),"Yes")</f>
        <v>Yes</v>
      </c>
      <c r="D136" s="196" t="str">
        <f>IFERROR(__xludf.DUMMYFUNCTION("""COMPUTED_VALUE"""),"Active")</f>
        <v>Active</v>
      </c>
      <c r="E136" s="197">
        <f>IFERROR(__xludf.DUMMYFUNCTION("""COMPUTED_VALUE"""),45849.0)</f>
        <v>45849</v>
      </c>
      <c r="F136" s="198"/>
      <c r="G136" s="199">
        <f>IFERROR(__xludf.DUMMYFUNCTION("""COMPUTED_VALUE"""),3.1333333333333337)</f>
        <v>3.133333333</v>
      </c>
      <c r="H136" s="197">
        <f>IFERROR(__xludf.DUMMYFUNCTION("""COMPUTED_VALUE"""),45849.0)</f>
        <v>45849</v>
      </c>
      <c r="I136" s="199">
        <f>IFERROR(__xludf.DUMMYFUNCTION("""COMPUTED_VALUE"""),0.0)</f>
        <v>0</v>
      </c>
      <c r="J136" s="200">
        <f>IFERROR(__xludf.DUMMYFUNCTION("""COMPUTED_VALUE"""),82.0)</f>
        <v>82</v>
      </c>
      <c r="K136" s="200">
        <f>IFERROR(__xludf.DUMMYFUNCTION("""COMPUTED_VALUE"""),18.0)</f>
        <v>18</v>
      </c>
      <c r="L136" s="201" t="str">
        <f>IFERROR(__xludf.DUMMYFUNCTION("""COMPUTED_VALUE"""),"Skating")</f>
        <v>Skating</v>
      </c>
      <c r="M136" s="201"/>
    </row>
    <row r="137">
      <c r="A137" s="190" t="str">
        <f>IFERROR(__xludf.DUMMYFUNCTION("""COMPUTED_VALUE"""),"Little Nightmares II")</f>
        <v>Little Nightmares II</v>
      </c>
      <c r="B137" s="195" t="str">
        <f>IFERROR(__xludf.DUMMYFUNCTION("""COMPUTED_VALUE"""),"Xbox / PC")</f>
        <v>Xbox / PC</v>
      </c>
      <c r="C137" s="196" t="str">
        <f>IFERROR(__xludf.DUMMYFUNCTION("""COMPUTED_VALUE"""),"Yes")</f>
        <v>Yes</v>
      </c>
      <c r="D137" s="196" t="str">
        <f>IFERROR(__xludf.DUMMYFUNCTION("""COMPUTED_VALUE"""),"Active")</f>
        <v>Active</v>
      </c>
      <c r="E137" s="197">
        <f>IFERROR(__xludf.DUMMYFUNCTION("""COMPUTED_VALUE"""),45839.0)</f>
        <v>45839</v>
      </c>
      <c r="F137" s="198"/>
      <c r="G137" s="199">
        <f>IFERROR(__xludf.DUMMYFUNCTION("""COMPUTED_VALUE"""),3.4666666666666663)</f>
        <v>3.466666667</v>
      </c>
      <c r="H137" s="197">
        <f>IFERROR(__xludf.DUMMYFUNCTION("""COMPUTED_VALUE"""),44238.0)</f>
        <v>44238</v>
      </c>
      <c r="I137" s="199">
        <f>IFERROR(__xludf.DUMMYFUNCTION("""COMPUTED_VALUE"""),4.388888888888889)</f>
        <v>4.388888889</v>
      </c>
      <c r="J137" s="200">
        <f>IFERROR(__xludf.DUMMYFUNCTION("""COMPUTED_VALUE"""),82.0)</f>
        <v>82</v>
      </c>
      <c r="K137" s="200">
        <f>IFERROR(__xludf.DUMMYFUNCTION("""COMPUTED_VALUE"""),6.0)</f>
        <v>6</v>
      </c>
      <c r="L137" s="201" t="str">
        <f>IFERROR(__xludf.DUMMYFUNCTION("""COMPUTED_VALUE"""),"Action-Adventure")</f>
        <v>Action-Adventure</v>
      </c>
      <c r="M137" s="201"/>
    </row>
    <row r="138">
      <c r="A138" s="190" t="str">
        <f>IFERROR(__xludf.DUMMYFUNCTION("""COMPUTED_VALUE"""),"Crypt Custodian")</f>
        <v>Crypt Custodian</v>
      </c>
      <c r="B138" s="195" t="str">
        <f>IFERROR(__xludf.DUMMYFUNCTION("""COMPUTED_VALUE"""),"Xbox / PC")</f>
        <v>Xbox / PC</v>
      </c>
      <c r="C138" s="196" t="str">
        <f>IFERROR(__xludf.DUMMYFUNCTION("""COMPUTED_VALUE"""),"Yes")</f>
        <v>Yes</v>
      </c>
      <c r="D138" s="196" t="str">
        <f>IFERROR(__xludf.DUMMYFUNCTION("""COMPUTED_VALUE"""),"Active")</f>
        <v>Active</v>
      </c>
      <c r="E138" s="197">
        <f>IFERROR(__xludf.DUMMYFUNCTION("""COMPUTED_VALUE"""),45811.0)</f>
        <v>45811</v>
      </c>
      <c r="F138" s="198"/>
      <c r="G138" s="199">
        <f>IFERROR(__xludf.DUMMYFUNCTION("""COMPUTED_VALUE"""),4.3999999999999995)</f>
        <v>4.4</v>
      </c>
      <c r="H138" s="197">
        <f>IFERROR(__xludf.DUMMYFUNCTION("""COMPUTED_VALUE"""),45531.0)</f>
        <v>45531</v>
      </c>
      <c r="I138" s="199">
        <f>IFERROR(__xludf.DUMMYFUNCTION("""COMPUTED_VALUE"""),0.7666666666666667)</f>
        <v>0.7666666667</v>
      </c>
      <c r="J138" s="200">
        <f>IFERROR(__xludf.DUMMYFUNCTION("""COMPUTED_VALUE"""),82.0)</f>
        <v>82</v>
      </c>
      <c r="K138" s="200">
        <f>IFERROR(__xludf.DUMMYFUNCTION("""COMPUTED_VALUE"""),10.0)</f>
        <v>10</v>
      </c>
      <c r="L138" s="201" t="str">
        <f>IFERROR(__xludf.DUMMYFUNCTION("""COMPUTED_VALUE"""),"Action-Adventure")</f>
        <v>Action-Adventure</v>
      </c>
      <c r="M138" s="201"/>
    </row>
    <row r="139">
      <c r="A139" s="190" t="str">
        <f>IFERROR(__xludf.DUMMYFUNCTION("""COMPUTED_VALUE"""),"Tom Clancy's The Division 2")</f>
        <v>Tom Clancy's The Division 2</v>
      </c>
      <c r="B139" s="195" t="str">
        <f>IFERROR(__xludf.DUMMYFUNCTION("""COMPUTED_VALUE"""),"Xbox / PC")</f>
        <v>Xbox / PC</v>
      </c>
      <c r="C139" s="196" t="str">
        <f>IFERROR(__xludf.DUMMYFUNCTION("""COMPUTED_VALUE"""),"Yes")</f>
        <v>Yes</v>
      </c>
      <c r="D139" s="196" t="str">
        <f>IFERROR(__xludf.DUMMYFUNCTION("""COMPUTED_VALUE"""),"Active")</f>
        <v>Active</v>
      </c>
      <c r="E139" s="197">
        <f>IFERROR(__xludf.DUMMYFUNCTION("""COMPUTED_VALUE"""),45804.0)</f>
        <v>45804</v>
      </c>
      <c r="F139" s="198"/>
      <c r="G139" s="199">
        <f>IFERROR(__xludf.DUMMYFUNCTION("""COMPUTED_VALUE"""),4.6000000000000005)</f>
        <v>4.6</v>
      </c>
      <c r="H139" s="197">
        <f>IFERROR(__xludf.DUMMYFUNCTION("""COMPUTED_VALUE"""),43536.0)</f>
        <v>43536</v>
      </c>
      <c r="I139" s="199">
        <f>IFERROR(__xludf.DUMMYFUNCTION("""COMPUTED_VALUE"""),6.208333333333333)</f>
        <v>6.208333333</v>
      </c>
      <c r="J139" s="200">
        <f>IFERROR(__xludf.DUMMYFUNCTION("""COMPUTED_VALUE"""),82.0)</f>
        <v>82</v>
      </c>
      <c r="K139" s="200">
        <f>IFERROR(__xludf.DUMMYFUNCTION("""COMPUTED_VALUE"""),26.0)</f>
        <v>26</v>
      </c>
      <c r="L139" s="201" t="str">
        <f>IFERROR(__xludf.DUMMYFUNCTION("""COMPUTED_VALUE"""),"Shooter")</f>
        <v>Shooter</v>
      </c>
      <c r="M139" s="201"/>
    </row>
    <row r="140">
      <c r="A140" s="190" t="str">
        <f>IFERROR(__xludf.DUMMYFUNCTION("""COMPUTED_VALUE"""),"The Elder Scrolls IV: Oblivion - Remastered")</f>
        <v>The Elder Scrolls IV: Oblivion - Remastered</v>
      </c>
      <c r="B140" s="195" t="str">
        <f>IFERROR(__xludf.DUMMYFUNCTION("""COMPUTED_VALUE"""),"Xbox / PC")</f>
        <v>Xbox / PC</v>
      </c>
      <c r="C140" s="196" t="str">
        <f>IFERROR(__xludf.DUMMYFUNCTION("""COMPUTED_VALUE"""),"Yes")</f>
        <v>Yes</v>
      </c>
      <c r="D140" s="196" t="str">
        <f>IFERROR(__xludf.DUMMYFUNCTION("""COMPUTED_VALUE"""),"Active")</f>
        <v>Active</v>
      </c>
      <c r="E140" s="197">
        <f>IFERROR(__xludf.DUMMYFUNCTION("""COMPUTED_VALUE"""),45769.0)</f>
        <v>45769</v>
      </c>
      <c r="F140" s="198"/>
      <c r="G140" s="199">
        <f>IFERROR(__xludf.DUMMYFUNCTION("""COMPUTED_VALUE"""),5.766666666666667)</f>
        <v>5.766666667</v>
      </c>
      <c r="H140" s="197">
        <f>IFERROR(__xludf.DUMMYFUNCTION("""COMPUTED_VALUE"""),45769.0)</f>
        <v>45769</v>
      </c>
      <c r="I140" s="199">
        <f>IFERROR(__xludf.DUMMYFUNCTION("""COMPUTED_VALUE"""),0.0)</f>
        <v>0</v>
      </c>
      <c r="J140" s="200">
        <f>IFERROR(__xludf.DUMMYFUNCTION("""COMPUTED_VALUE"""),82.0)</f>
        <v>82</v>
      </c>
      <c r="K140" s="200">
        <f>IFERROR(__xludf.DUMMYFUNCTION("""COMPUTED_VALUE"""),14.0)</f>
        <v>14</v>
      </c>
      <c r="L140" s="201" t="str">
        <f>IFERROR(__xludf.DUMMYFUNCTION("""COMPUTED_VALUE"""),"RPG")</f>
        <v>RPG</v>
      </c>
      <c r="M140" s="201" t="str">
        <f>IFERROR(__xludf.DUMMYFUNCTION("""COMPUTED_VALUE"""),"Exclusive")</f>
        <v>Exclusive</v>
      </c>
    </row>
    <row r="141">
      <c r="A141" s="190" t="str">
        <f>IFERROR(__xludf.DUMMYFUNCTION("""COMPUTED_VALUE"""),"Donut County")</f>
        <v>Donut County</v>
      </c>
      <c r="B141" s="195" t="str">
        <f>IFERROR(__xludf.DUMMYFUNCTION("""COMPUTED_VALUE"""),"Xbox / PC")</f>
        <v>Xbox / PC</v>
      </c>
      <c r="C141" s="196" t="str">
        <f>IFERROR(__xludf.DUMMYFUNCTION("""COMPUTED_VALUE"""),"Touch Controls")</f>
        <v>Touch Controls</v>
      </c>
      <c r="D141" s="196" t="str">
        <f>IFERROR(__xludf.DUMMYFUNCTION("""COMPUTED_VALUE"""),"Active")</f>
        <v>Active</v>
      </c>
      <c r="E141" s="197">
        <f>IFERROR(__xludf.DUMMYFUNCTION("""COMPUTED_VALUE"""),45582.0)</f>
        <v>45582</v>
      </c>
      <c r="F141" s="198"/>
      <c r="G141" s="199">
        <f>IFERROR(__xludf.DUMMYFUNCTION("""COMPUTED_VALUE"""),11.933333333333334)</f>
        <v>11.93333333</v>
      </c>
      <c r="H141" s="197">
        <f>IFERROR(__xludf.DUMMYFUNCTION("""COMPUTED_VALUE"""),43340.0)</f>
        <v>43340</v>
      </c>
      <c r="I141" s="199">
        <f>IFERROR(__xludf.DUMMYFUNCTION("""COMPUTED_VALUE"""),6.136111111111111)</f>
        <v>6.136111111</v>
      </c>
      <c r="J141" s="200">
        <f>IFERROR(__xludf.DUMMYFUNCTION("""COMPUTED_VALUE"""),82.0)</f>
        <v>82</v>
      </c>
      <c r="K141" s="200">
        <f>IFERROR(__xludf.DUMMYFUNCTION("""COMPUTED_VALUE"""),2.0)</f>
        <v>2</v>
      </c>
      <c r="L141" s="201" t="str">
        <f>IFERROR(__xludf.DUMMYFUNCTION("""COMPUTED_VALUE"""),"Action")</f>
        <v>Action</v>
      </c>
      <c r="M141" s="201"/>
    </row>
    <row r="142">
      <c r="A142" s="190" t="str">
        <f>IFERROR(__xludf.DUMMYFUNCTION("""COMPUTED_VALUE"""),"DOOM + DOOM II: Enhanced")</f>
        <v>DOOM + DOOM II: Enhanced</v>
      </c>
      <c r="B142" s="195" t="str">
        <f>IFERROR(__xludf.DUMMYFUNCTION("""COMPUTED_VALUE"""),"Xbox / PC")</f>
        <v>Xbox / PC</v>
      </c>
      <c r="C142" s="196" t="str">
        <f>IFERROR(__xludf.DUMMYFUNCTION("""COMPUTED_VALUE"""),"Yes")</f>
        <v>Yes</v>
      </c>
      <c r="D142" s="196" t="str">
        <f>IFERROR(__xludf.DUMMYFUNCTION("""COMPUTED_VALUE"""),"Active")</f>
        <v>Active</v>
      </c>
      <c r="E142" s="197">
        <f>IFERROR(__xludf.DUMMYFUNCTION("""COMPUTED_VALUE"""),45512.0)</f>
        <v>45512</v>
      </c>
      <c r="F142" s="198"/>
      <c r="G142" s="199">
        <f>IFERROR(__xludf.DUMMYFUNCTION("""COMPUTED_VALUE"""),14.233333333333334)</f>
        <v>14.23333333</v>
      </c>
      <c r="H142" s="197">
        <f>IFERROR(__xludf.DUMMYFUNCTION("""COMPUTED_VALUE"""),45512.0)</f>
        <v>45512</v>
      </c>
      <c r="I142" s="199">
        <f>IFERROR(__xludf.DUMMYFUNCTION("""COMPUTED_VALUE"""),0.0)</f>
        <v>0</v>
      </c>
      <c r="J142" s="200">
        <f>IFERROR(__xludf.DUMMYFUNCTION("""COMPUTED_VALUE"""),82.0)</f>
        <v>82</v>
      </c>
      <c r="K142" s="200">
        <f>IFERROR(__xludf.DUMMYFUNCTION("""COMPUTED_VALUE"""),12.0)</f>
        <v>12</v>
      </c>
      <c r="L142" s="201" t="str">
        <f>IFERROR(__xludf.DUMMYFUNCTION("""COMPUTED_VALUE"""),"Shooter")</f>
        <v>Shooter</v>
      </c>
      <c r="M142" s="201"/>
    </row>
    <row r="143">
      <c r="A143" s="190" t="str">
        <f>IFERROR(__xludf.DUMMYFUNCTION("""COMPUTED_VALUE"""),"Dungeons Of Hinterberg")</f>
        <v>Dungeons Of Hinterberg</v>
      </c>
      <c r="B143" s="195" t="str">
        <f>IFERROR(__xludf.DUMMYFUNCTION("""COMPUTED_VALUE"""),"Xbox / PC")</f>
        <v>Xbox / PC</v>
      </c>
      <c r="C143" s="196" t="str">
        <f>IFERROR(__xludf.DUMMYFUNCTION("""COMPUTED_VALUE"""),"Yes")</f>
        <v>Yes</v>
      </c>
      <c r="D143" s="196" t="str">
        <f>IFERROR(__xludf.DUMMYFUNCTION("""COMPUTED_VALUE"""),"Active")</f>
        <v>Active</v>
      </c>
      <c r="E143" s="197">
        <f>IFERROR(__xludf.DUMMYFUNCTION("""COMPUTED_VALUE"""),45491.0)</f>
        <v>45491</v>
      </c>
      <c r="F143" s="198"/>
      <c r="G143" s="199">
        <f>IFERROR(__xludf.DUMMYFUNCTION("""COMPUTED_VALUE"""),14.9)</f>
        <v>14.9</v>
      </c>
      <c r="H143" s="197">
        <f>IFERROR(__xludf.DUMMYFUNCTION("""COMPUTED_VALUE"""),45491.0)</f>
        <v>45491</v>
      </c>
      <c r="I143" s="199">
        <f>IFERROR(__xludf.DUMMYFUNCTION("""COMPUTED_VALUE"""),0.0)</f>
        <v>0</v>
      </c>
      <c r="J143" s="200">
        <f>IFERROR(__xludf.DUMMYFUNCTION("""COMPUTED_VALUE"""),82.0)</f>
        <v>82</v>
      </c>
      <c r="K143" s="200">
        <f>IFERROR(__xludf.DUMMYFUNCTION("""COMPUTED_VALUE"""),13.0)</f>
        <v>13</v>
      </c>
      <c r="L143" s="201" t="str">
        <f>IFERROR(__xludf.DUMMYFUNCTION("""COMPUTED_VALUE"""),"Action-Adventure")</f>
        <v>Action-Adventure</v>
      </c>
      <c r="M143" s="201" t="str">
        <f>IFERROR(__xludf.DUMMYFUNCTION("""COMPUTED_VALUE"""),"Exclusive")</f>
        <v>Exclusive</v>
      </c>
    </row>
    <row r="144">
      <c r="A144" s="190" t="str">
        <f>IFERROR(__xludf.DUMMYFUNCTION("""COMPUTED_VALUE"""),"Shadow of the Tomb Raider: Definitive Edition")</f>
        <v>Shadow of the Tomb Raider: Definitive Edition</v>
      </c>
      <c r="B144" s="195" t="str">
        <f>IFERROR(__xludf.DUMMYFUNCTION("""COMPUTED_VALUE"""),"Xbox / PC")</f>
        <v>Xbox / PC</v>
      </c>
      <c r="C144" s="196" t="str">
        <f>IFERROR(__xludf.DUMMYFUNCTION("""COMPUTED_VALUE"""),"Yes")</f>
        <v>Yes</v>
      </c>
      <c r="D144" s="196" t="str">
        <f>IFERROR(__xludf.DUMMYFUNCTION("""COMPUTED_VALUE"""),"Active")</f>
        <v>Active</v>
      </c>
      <c r="E144" s="197">
        <f>IFERROR(__xludf.DUMMYFUNCTION("""COMPUTED_VALUE"""),45393.0)</f>
        <v>45393</v>
      </c>
      <c r="F144" s="198"/>
      <c r="G144" s="199">
        <f>IFERROR(__xludf.DUMMYFUNCTION("""COMPUTED_VALUE"""),18.133333333333333)</f>
        <v>18.13333333</v>
      </c>
      <c r="H144" s="197">
        <f>IFERROR(__xludf.DUMMYFUNCTION("""COMPUTED_VALUE"""),43357.0)</f>
        <v>43357</v>
      </c>
      <c r="I144" s="199">
        <f>IFERROR(__xludf.DUMMYFUNCTION("""COMPUTED_VALUE"""),5.575)</f>
        <v>5.575</v>
      </c>
      <c r="J144" s="200">
        <f>IFERROR(__xludf.DUMMYFUNCTION("""COMPUTED_VALUE"""),82.0)</f>
        <v>82</v>
      </c>
      <c r="K144" s="200">
        <f>IFERROR(__xludf.DUMMYFUNCTION("""COMPUTED_VALUE"""),13.0)</f>
        <v>13</v>
      </c>
      <c r="L144" s="201" t="str">
        <f>IFERROR(__xludf.DUMMYFUNCTION("""COMPUTED_VALUE"""),"Action-Adventure")</f>
        <v>Action-Adventure</v>
      </c>
      <c r="M144" s="201"/>
    </row>
    <row r="145">
      <c r="A145" s="190" t="str">
        <f>IFERROR(__xludf.DUMMYFUNCTION("""COMPUTED_VALUE"""),"Superhot: Mind Control Delete")</f>
        <v>Superhot: Mind Control Delete</v>
      </c>
      <c r="B145" s="195" t="str">
        <f>IFERROR(__xludf.DUMMYFUNCTION("""COMPUTED_VALUE"""),"Xbox / PC")</f>
        <v>Xbox / PC</v>
      </c>
      <c r="C145" s="196" t="str">
        <f>IFERROR(__xludf.DUMMYFUNCTION("""COMPUTED_VALUE"""),"Yes")</f>
        <v>Yes</v>
      </c>
      <c r="D145" s="196" t="str">
        <f>IFERROR(__xludf.DUMMYFUNCTION("""COMPUTED_VALUE"""),"Active")</f>
        <v>Active</v>
      </c>
      <c r="E145" s="197">
        <f>IFERROR(__xludf.DUMMYFUNCTION("""COMPUTED_VALUE"""),45384.0)</f>
        <v>45384</v>
      </c>
      <c r="F145" s="198"/>
      <c r="G145" s="199">
        <f>IFERROR(__xludf.DUMMYFUNCTION("""COMPUTED_VALUE"""),18.433333333333334)</f>
        <v>18.43333333</v>
      </c>
      <c r="H145" s="197">
        <f>IFERROR(__xludf.DUMMYFUNCTION("""COMPUTED_VALUE"""),44028.0)</f>
        <v>44028</v>
      </c>
      <c r="I145" s="199">
        <f>IFERROR(__xludf.DUMMYFUNCTION("""COMPUTED_VALUE"""),3.7111111111111112)</f>
        <v>3.711111111</v>
      </c>
      <c r="J145" s="200">
        <f>IFERROR(__xludf.DUMMYFUNCTION("""COMPUTED_VALUE"""),82.0)</f>
        <v>82</v>
      </c>
      <c r="K145" s="200">
        <f>IFERROR(__xludf.DUMMYFUNCTION("""COMPUTED_VALUE"""),5.5)</f>
        <v>5.5</v>
      </c>
      <c r="L145" s="201" t="str">
        <f>IFERROR(__xludf.DUMMYFUNCTION("""COMPUTED_VALUE"""),"First-Person Shooter")</f>
        <v>First-Person Shooter</v>
      </c>
      <c r="M145" s="201" t="str">
        <f>IFERROR(__xludf.DUMMYFUNCTION("""COMPUTED_VALUE"""),"Optimized")</f>
        <v>Optimized</v>
      </c>
    </row>
    <row r="146">
      <c r="A146" s="190" t="str">
        <f>IFERROR(__xludf.DUMMYFUNCTION("""COMPUTED_VALUE"""),"F1 23")</f>
        <v>F1 23</v>
      </c>
      <c r="B146" s="195" t="str">
        <f>IFERROR(__xludf.DUMMYFUNCTION("""COMPUTED_VALUE"""),"Xbox / PC")</f>
        <v>Xbox / PC</v>
      </c>
      <c r="C146" s="196" t="str">
        <f>IFERROR(__xludf.DUMMYFUNCTION("""COMPUTED_VALUE"""),"Yes")</f>
        <v>Yes</v>
      </c>
      <c r="D146" s="196" t="str">
        <f>IFERROR(__xludf.DUMMYFUNCTION("""COMPUTED_VALUE"""),"Active")</f>
        <v>Active</v>
      </c>
      <c r="E146" s="197">
        <f>IFERROR(__xludf.DUMMYFUNCTION("""COMPUTED_VALUE"""),45309.0)</f>
        <v>45309</v>
      </c>
      <c r="F146" s="198"/>
      <c r="G146" s="199">
        <f>IFERROR(__xludf.DUMMYFUNCTION("""COMPUTED_VALUE"""),20.9)</f>
        <v>20.9</v>
      </c>
      <c r="H146" s="197">
        <f>IFERROR(__xludf.DUMMYFUNCTION("""COMPUTED_VALUE"""),45093.0)</f>
        <v>45093</v>
      </c>
      <c r="I146" s="199">
        <f>IFERROR(__xludf.DUMMYFUNCTION("""COMPUTED_VALUE"""),0.5888888888888889)</f>
        <v>0.5888888889</v>
      </c>
      <c r="J146" s="200">
        <f>IFERROR(__xludf.DUMMYFUNCTION("""COMPUTED_VALUE"""),82.0)</f>
        <v>82</v>
      </c>
      <c r="K146" s="200">
        <f>IFERROR(__xludf.DUMMYFUNCTION("""COMPUTED_VALUE"""),8.0)</f>
        <v>8</v>
      </c>
      <c r="L146" s="201" t="str">
        <f>IFERROR(__xludf.DUMMYFUNCTION("""COMPUTED_VALUE"""),"Driving/Racing")</f>
        <v>Driving/Racing</v>
      </c>
      <c r="M146" s="201"/>
    </row>
    <row r="147">
      <c r="A147" s="202" t="str">
        <f>IFERROR(__xludf.DUMMYFUNCTION("""COMPUTED_VALUE"""),"Clone Drone in the Danger Zone")</f>
        <v>Clone Drone in the Danger Zone</v>
      </c>
      <c r="B147" s="195" t="str">
        <f>IFERROR(__xludf.DUMMYFUNCTION("""COMPUTED_VALUE"""),"Xbox / PC")</f>
        <v>Xbox / PC</v>
      </c>
      <c r="C147" s="196" t="str">
        <f>IFERROR(__xludf.DUMMYFUNCTION("""COMPUTED_VALUE"""),"Yes")</f>
        <v>Yes</v>
      </c>
      <c r="D147" s="196" t="str">
        <f>IFERROR(__xludf.DUMMYFUNCTION("""COMPUTED_VALUE"""),"Active")</f>
        <v>Active</v>
      </c>
      <c r="E147" s="197">
        <f>IFERROR(__xludf.DUMMYFUNCTION("""COMPUTED_VALUE"""),45265.0)</f>
        <v>45265</v>
      </c>
      <c r="F147" s="198"/>
      <c r="G147" s="199">
        <f>IFERROR(__xludf.DUMMYFUNCTION("""COMPUTED_VALUE"""),22.333333333333336)</f>
        <v>22.33333333</v>
      </c>
      <c r="H147" s="197">
        <f>IFERROR(__xludf.DUMMYFUNCTION("""COMPUTED_VALUE"""),42702.0)</f>
        <v>42702</v>
      </c>
      <c r="I147" s="199">
        <f>IFERROR(__xludf.DUMMYFUNCTION("""COMPUTED_VALUE"""),7.019444444444445)</f>
        <v>7.019444444</v>
      </c>
      <c r="J147" s="200">
        <f>IFERROR(__xludf.DUMMYFUNCTION("""COMPUTED_VALUE"""),82.0)</f>
        <v>82</v>
      </c>
      <c r="K147" s="200">
        <f>IFERROR(__xludf.DUMMYFUNCTION("""COMPUTED_VALUE"""),2.0)</f>
        <v>2</v>
      </c>
      <c r="L147" s="201" t="str">
        <f>IFERROR(__xludf.DUMMYFUNCTION("""COMPUTED_VALUE"""),"Action / Simulation / Fighting / Brawler")</f>
        <v>Action / Simulation / Fighting / Brawler</v>
      </c>
      <c r="M147" s="201" t="str">
        <f>IFERROR(__xludf.DUMMYFUNCTION("""COMPUTED_VALUE"""),"Exclusive")</f>
        <v>Exclusive</v>
      </c>
    </row>
    <row r="148">
      <c r="A148" s="190" t="str">
        <f>IFERROR(__xludf.DUMMYFUNCTION("""COMPUTED_VALUE"""),"Stacking")</f>
        <v>Stacking</v>
      </c>
      <c r="B148" s="195" t="str">
        <f>IFERROR(__xludf.DUMMYFUNCTION("""COMPUTED_VALUE"""),"Xbox")</f>
        <v>Xbox</v>
      </c>
      <c r="C148" s="196" t="str">
        <f>IFERROR(__xludf.DUMMYFUNCTION("""COMPUTED_VALUE"""),"Yes")</f>
        <v>Yes</v>
      </c>
      <c r="D148" s="196" t="str">
        <f>IFERROR(__xludf.DUMMYFUNCTION("""COMPUTED_VALUE"""),"Active")</f>
        <v>Active</v>
      </c>
      <c r="E148" s="197">
        <f>IFERROR(__xludf.DUMMYFUNCTION("""COMPUTED_VALUE"""),45085.0)</f>
        <v>45085</v>
      </c>
      <c r="F148" s="198"/>
      <c r="G148" s="199">
        <f>IFERROR(__xludf.DUMMYFUNCTION("""COMPUTED_VALUE"""),28.233333333333334)</f>
        <v>28.23333333</v>
      </c>
      <c r="H148" s="197">
        <f>IFERROR(__xludf.DUMMYFUNCTION("""COMPUTED_VALUE"""),40582.0)</f>
        <v>40582</v>
      </c>
      <c r="I148" s="199">
        <f>IFERROR(__xludf.DUMMYFUNCTION("""COMPUTED_VALUE"""),12.333333333333334)</f>
        <v>12.33333333</v>
      </c>
      <c r="J148" s="200">
        <f>IFERROR(__xludf.DUMMYFUNCTION("""COMPUTED_VALUE"""),82.0)</f>
        <v>82</v>
      </c>
      <c r="K148" s="200">
        <f>IFERROR(__xludf.DUMMYFUNCTION("""COMPUTED_VALUE"""),4.0)</f>
        <v>4</v>
      </c>
      <c r="L148" s="201" t="str">
        <f>IFERROR(__xludf.DUMMYFUNCTION("""COMPUTED_VALUE"""),"Adventure / Puzzle")</f>
        <v>Adventure / Puzzle</v>
      </c>
      <c r="M148" s="201"/>
    </row>
    <row r="149">
      <c r="A149" s="190" t="str">
        <f>IFERROR(__xludf.DUMMYFUNCTION("""COMPUTED_VALUE"""),"Chivalry II")</f>
        <v>Chivalry II</v>
      </c>
      <c r="B149" s="195" t="str">
        <f>IFERROR(__xludf.DUMMYFUNCTION("""COMPUTED_VALUE"""),"Xbox / PC")</f>
        <v>Xbox / PC</v>
      </c>
      <c r="C149" s="196" t="str">
        <f>IFERROR(__xludf.DUMMYFUNCTION("""COMPUTED_VALUE"""),"Yes")</f>
        <v>Yes</v>
      </c>
      <c r="D149" s="196" t="str">
        <f>IFERROR(__xludf.DUMMYFUNCTION("""COMPUTED_VALUE"""),"Active")</f>
        <v>Active</v>
      </c>
      <c r="E149" s="197">
        <f>IFERROR(__xludf.DUMMYFUNCTION("""COMPUTED_VALUE"""),44838.0)</f>
        <v>44838</v>
      </c>
      <c r="F149" s="198"/>
      <c r="G149" s="199">
        <f>IFERROR(__xludf.DUMMYFUNCTION("""COMPUTED_VALUE"""),36.36666666666667)</f>
        <v>36.36666667</v>
      </c>
      <c r="H149" s="197">
        <f>IFERROR(__xludf.DUMMYFUNCTION("""COMPUTED_VALUE"""),44355.0)</f>
        <v>44355</v>
      </c>
      <c r="I149" s="199">
        <f>IFERROR(__xludf.DUMMYFUNCTION("""COMPUTED_VALUE"""),1.3222222222222222)</f>
        <v>1.322222222</v>
      </c>
      <c r="J149" s="200">
        <f>IFERROR(__xludf.DUMMYFUNCTION("""COMPUTED_VALUE"""),82.0)</f>
        <v>82</v>
      </c>
      <c r="K149" s="200">
        <f>IFERROR(__xludf.DUMMYFUNCTION("""COMPUTED_VALUE"""),42.5)</f>
        <v>42.5</v>
      </c>
      <c r="L149" s="201" t="str">
        <f>IFERROR(__xludf.DUMMYFUNCTION("""COMPUTED_VALUE"""),"Action")</f>
        <v>Action</v>
      </c>
      <c r="M149" s="201"/>
    </row>
    <row r="150">
      <c r="A150" s="190" t="str">
        <f>IFERROR(__xludf.DUMMYFUNCTION("""COMPUTED_VALUE"""),"Ni no Kuni: Wrath of the White Witch - Remastered")</f>
        <v>Ni no Kuni: Wrath of the White Witch - Remastered</v>
      </c>
      <c r="B150" s="195" t="str">
        <f>IFERROR(__xludf.DUMMYFUNCTION("""COMPUTED_VALUE"""),"Xbox / PC")</f>
        <v>Xbox / PC</v>
      </c>
      <c r="C150" s="196" t="str">
        <f>IFERROR(__xludf.DUMMYFUNCTION("""COMPUTED_VALUE"""),"Touch Controls")</f>
        <v>Touch Controls</v>
      </c>
      <c r="D150" s="196" t="str">
        <f>IFERROR(__xludf.DUMMYFUNCTION("""COMPUTED_VALUE"""),"Active")</f>
        <v>Active</v>
      </c>
      <c r="E150" s="197">
        <f>IFERROR(__xludf.DUMMYFUNCTION("""COMPUTED_VALUE"""),44819.0)</f>
        <v>44819</v>
      </c>
      <c r="F150" s="198"/>
      <c r="G150" s="199">
        <f>IFERROR(__xludf.DUMMYFUNCTION("""COMPUTED_VALUE"""),37.0)</f>
        <v>37</v>
      </c>
      <c r="H150" s="197">
        <f>IFERROR(__xludf.DUMMYFUNCTION("""COMPUTED_VALUE"""),43728.0)</f>
        <v>43728</v>
      </c>
      <c r="I150" s="199">
        <f>IFERROR(__xludf.DUMMYFUNCTION("""COMPUTED_VALUE"""),2.986111111111111)</f>
        <v>2.986111111</v>
      </c>
      <c r="J150" s="200">
        <f>IFERROR(__xludf.DUMMYFUNCTION("""COMPUTED_VALUE"""),82.0)</f>
        <v>82</v>
      </c>
      <c r="K150" s="200">
        <f>IFERROR(__xludf.DUMMYFUNCTION("""COMPUTED_VALUE"""),44.5)</f>
        <v>44.5</v>
      </c>
      <c r="L150" s="201" t="str">
        <f>IFERROR(__xludf.DUMMYFUNCTION("""COMPUTED_VALUE"""),"RPG / Action-Adventure")</f>
        <v>RPG / Action-Adventure</v>
      </c>
      <c r="M150" s="201"/>
    </row>
    <row r="151">
      <c r="A151" s="190" t="str">
        <f>IFERROR(__xludf.DUMMYFUNCTION("""COMPUTED_VALUE"""),"Citizen Sleeper")</f>
        <v>Citizen Sleeper</v>
      </c>
      <c r="B151" s="195" t="str">
        <f>IFERROR(__xludf.DUMMYFUNCTION("""COMPUTED_VALUE"""),"Xbox / PC")</f>
        <v>Xbox / PC</v>
      </c>
      <c r="C151" s="196" t="str">
        <f>IFERROR(__xludf.DUMMYFUNCTION("""COMPUTED_VALUE"""),"Touch Controls")</f>
        <v>Touch Controls</v>
      </c>
      <c r="D151" s="196" t="str">
        <f>IFERROR(__xludf.DUMMYFUNCTION("""COMPUTED_VALUE"""),"Active")</f>
        <v>Active</v>
      </c>
      <c r="E151" s="197">
        <f>IFERROR(__xludf.DUMMYFUNCTION("""COMPUTED_VALUE"""),44686.0)</f>
        <v>44686</v>
      </c>
      <c r="F151" s="198"/>
      <c r="G151" s="199">
        <f>IFERROR(__xludf.DUMMYFUNCTION("""COMPUTED_VALUE"""),41.333333333333336)</f>
        <v>41.33333333</v>
      </c>
      <c r="H151" s="197">
        <f>IFERROR(__xludf.DUMMYFUNCTION("""COMPUTED_VALUE"""),44686.0)</f>
        <v>44686</v>
      </c>
      <c r="I151" s="199">
        <f>IFERROR(__xludf.DUMMYFUNCTION("""COMPUTED_VALUE"""),0.0)</f>
        <v>0</v>
      </c>
      <c r="J151" s="200">
        <f>IFERROR(__xludf.DUMMYFUNCTION("""COMPUTED_VALUE"""),82.0)</f>
        <v>82</v>
      </c>
      <c r="K151" s="200">
        <f>IFERROR(__xludf.DUMMYFUNCTION("""COMPUTED_VALUE"""),6.0)</f>
        <v>6</v>
      </c>
      <c r="L151" s="201" t="str">
        <f>IFERROR(__xludf.DUMMYFUNCTION("""COMPUTED_VALUE"""),"Adventure / RPG")</f>
        <v>Adventure / RPG</v>
      </c>
      <c r="M151" s="201"/>
    </row>
    <row r="152">
      <c r="A152" s="190" t="str">
        <f>IFERROR(__xludf.DUMMYFUNCTION("""COMPUTED_VALUE"""),"Unpacking")</f>
        <v>Unpacking</v>
      </c>
      <c r="B152" s="195" t="str">
        <f>IFERROR(__xludf.DUMMYFUNCTION("""COMPUTED_VALUE"""),"Xbox / PC")</f>
        <v>Xbox / PC</v>
      </c>
      <c r="C152" s="196" t="str">
        <f>IFERROR(__xludf.DUMMYFUNCTION("""COMPUTED_VALUE"""),"Touch Controls")</f>
        <v>Touch Controls</v>
      </c>
      <c r="D152" s="196" t="str">
        <f>IFERROR(__xludf.DUMMYFUNCTION("""COMPUTED_VALUE"""),"Active")</f>
        <v>Active</v>
      </c>
      <c r="E152" s="197">
        <f>IFERROR(__xludf.DUMMYFUNCTION("""COMPUTED_VALUE"""),44502.0)</f>
        <v>44502</v>
      </c>
      <c r="F152" s="198"/>
      <c r="G152" s="199">
        <f>IFERROR(__xludf.DUMMYFUNCTION("""COMPUTED_VALUE"""),47.43333333333334)</f>
        <v>47.43333333</v>
      </c>
      <c r="H152" s="197">
        <f>IFERROR(__xludf.DUMMYFUNCTION("""COMPUTED_VALUE"""),44502.0)</f>
        <v>44502</v>
      </c>
      <c r="I152" s="199">
        <f>IFERROR(__xludf.DUMMYFUNCTION("""COMPUTED_VALUE"""),0.0)</f>
        <v>0</v>
      </c>
      <c r="J152" s="200">
        <f>IFERROR(__xludf.DUMMYFUNCTION("""COMPUTED_VALUE"""),82.0)</f>
        <v>82</v>
      </c>
      <c r="K152" s="200">
        <f>IFERROR(__xludf.DUMMYFUNCTION("""COMPUTED_VALUE"""),3.5)</f>
        <v>3.5</v>
      </c>
      <c r="L152" s="201" t="str">
        <f>IFERROR(__xludf.DUMMYFUNCTION("""COMPUTED_VALUE"""),"Simulation / Puzzle")</f>
        <v>Simulation / Puzzle</v>
      </c>
      <c r="M152" s="201"/>
    </row>
    <row r="153">
      <c r="A153" s="190" t="str">
        <f>IFERROR(__xludf.DUMMYFUNCTION("""COMPUTED_VALUE"""),"Wreckfest")</f>
        <v>Wreckfest</v>
      </c>
      <c r="B153" s="195" t="str">
        <f>IFERROR(__xludf.DUMMYFUNCTION("""COMPUTED_VALUE"""),"Xbox / PC")</f>
        <v>Xbox / PC</v>
      </c>
      <c r="C153" s="196" t="str">
        <f>IFERROR(__xludf.DUMMYFUNCTION("""COMPUTED_VALUE"""),"Touch Controls")</f>
        <v>Touch Controls</v>
      </c>
      <c r="D153" s="196" t="str">
        <f>IFERROR(__xludf.DUMMYFUNCTION("""COMPUTED_VALUE"""),"Active")</f>
        <v>Active</v>
      </c>
      <c r="E153" s="197">
        <f>IFERROR(__xludf.DUMMYFUNCTION("""COMPUTED_VALUE"""),44245.0)</f>
        <v>44245</v>
      </c>
      <c r="F153" s="198"/>
      <c r="G153" s="199">
        <f>IFERROR(__xludf.DUMMYFUNCTION("""COMPUTED_VALUE"""),55.9)</f>
        <v>55.9</v>
      </c>
      <c r="H153" s="197">
        <f>IFERROR(__xludf.DUMMYFUNCTION("""COMPUTED_VALUE"""),43265.0)</f>
        <v>43265</v>
      </c>
      <c r="I153" s="199">
        <f>IFERROR(__xludf.DUMMYFUNCTION("""COMPUTED_VALUE"""),2.6777777777777776)</f>
        <v>2.677777778</v>
      </c>
      <c r="J153" s="200">
        <f>IFERROR(__xludf.DUMMYFUNCTION("""COMPUTED_VALUE"""),82.0)</f>
        <v>82</v>
      </c>
      <c r="K153" s="200">
        <f>IFERROR(__xludf.DUMMYFUNCTION("""COMPUTED_VALUE"""),19.5)</f>
        <v>19.5</v>
      </c>
      <c r="L153" s="201" t="str">
        <f>IFERROR(__xludf.DUMMYFUNCTION("""COMPUTED_VALUE"""),"Driving/Racing")</f>
        <v>Driving/Racing</v>
      </c>
      <c r="M153" s="201"/>
    </row>
    <row r="154">
      <c r="A154" s="190" t="str">
        <f>IFERROR(__xludf.DUMMYFUNCTION("""COMPUTED_VALUE"""),"The Elder Scrolls V: Skyrim Special Edition")</f>
        <v>The Elder Scrolls V: Skyrim Special Edition</v>
      </c>
      <c r="B154" s="195" t="str">
        <f>IFERROR(__xludf.DUMMYFUNCTION("""COMPUTED_VALUE"""),"Xbox / PC")</f>
        <v>Xbox / PC</v>
      </c>
      <c r="C154" s="196" t="str">
        <f>IFERROR(__xludf.DUMMYFUNCTION("""COMPUTED_VALUE"""),"Yes")</f>
        <v>Yes</v>
      </c>
      <c r="D154" s="196" t="str">
        <f>IFERROR(__xludf.DUMMYFUNCTION("""COMPUTED_VALUE"""),"Active")</f>
        <v>Active</v>
      </c>
      <c r="E154" s="197">
        <f>IFERROR(__xludf.DUMMYFUNCTION("""COMPUTED_VALUE"""),44180.0)</f>
        <v>44180</v>
      </c>
      <c r="F154" s="198"/>
      <c r="G154" s="199">
        <f>IFERROR(__xludf.DUMMYFUNCTION("""COMPUTED_VALUE"""),58.0)</f>
        <v>58</v>
      </c>
      <c r="H154" s="197">
        <f>IFERROR(__xludf.DUMMYFUNCTION("""COMPUTED_VALUE"""),42671.0)</f>
        <v>42671</v>
      </c>
      <c r="I154" s="199">
        <f>IFERROR(__xludf.DUMMYFUNCTION("""COMPUTED_VALUE"""),4.1305555555555555)</f>
        <v>4.130555556</v>
      </c>
      <c r="J154" s="200">
        <f>IFERROR(__xludf.DUMMYFUNCTION("""COMPUTED_VALUE"""),82.0)</f>
        <v>82</v>
      </c>
      <c r="K154" s="200">
        <f>IFERROR(__xludf.DUMMYFUNCTION("""COMPUTED_VALUE"""),25.5)</f>
        <v>25.5</v>
      </c>
      <c r="L154" s="201" t="str">
        <f>IFERROR(__xludf.DUMMYFUNCTION("""COMPUTED_VALUE"""),"RPG")</f>
        <v>RPG</v>
      </c>
      <c r="M154" s="201" t="str">
        <f>IFERROR(__xludf.DUMMYFUNCTION("""COMPUTED_VALUE"""),"FPS Boost")</f>
        <v>FPS Boost</v>
      </c>
    </row>
    <row r="155">
      <c r="A155" s="190" t="str">
        <f>IFERROR(__xludf.DUMMYFUNCTION("""COMPUTED_VALUE"""),"Monster Sanctuary")</f>
        <v>Monster Sanctuary</v>
      </c>
      <c r="B155" s="195" t="str">
        <f>IFERROR(__xludf.DUMMYFUNCTION("""COMPUTED_VALUE"""),"Xbox / PC")</f>
        <v>Xbox / PC</v>
      </c>
      <c r="C155" s="196" t="str">
        <f>IFERROR(__xludf.DUMMYFUNCTION("""COMPUTED_VALUE"""),"Touch Controls")</f>
        <v>Touch Controls</v>
      </c>
      <c r="D155" s="196" t="str">
        <f>IFERROR(__xludf.DUMMYFUNCTION("""COMPUTED_VALUE"""),"Active")</f>
        <v>Active</v>
      </c>
      <c r="E155" s="197">
        <f>IFERROR(__xludf.DUMMYFUNCTION("""COMPUTED_VALUE"""),44173.0)</f>
        <v>44173</v>
      </c>
      <c r="F155" s="198"/>
      <c r="G155" s="199">
        <f>IFERROR(__xludf.DUMMYFUNCTION("""COMPUTED_VALUE"""),58.233333333333334)</f>
        <v>58.23333333</v>
      </c>
      <c r="H155" s="197">
        <f>IFERROR(__xludf.DUMMYFUNCTION("""COMPUTED_VALUE"""),43705.0)</f>
        <v>43705</v>
      </c>
      <c r="I155" s="199">
        <f>IFERROR(__xludf.DUMMYFUNCTION("""COMPUTED_VALUE"""),1.2777777777777777)</f>
        <v>1.277777778</v>
      </c>
      <c r="J155" s="200">
        <f>IFERROR(__xludf.DUMMYFUNCTION("""COMPUTED_VALUE"""),82.0)</f>
        <v>82</v>
      </c>
      <c r="K155" s="200">
        <f>IFERROR(__xludf.DUMMYFUNCTION("""COMPUTED_VALUE"""),27.0)</f>
        <v>27</v>
      </c>
      <c r="L155" s="201" t="str">
        <f>IFERROR(__xludf.DUMMYFUNCTION("""COMPUTED_VALUE"""),"Adventure / Platformer")</f>
        <v>Adventure / Platformer</v>
      </c>
      <c r="M155" s="201"/>
    </row>
    <row r="156">
      <c r="A156" s="190" t="str">
        <f>IFERROR(__xludf.DUMMYFUNCTION("""COMPUTED_VALUE"""),"Gears of War: Ultimate Edition")</f>
        <v>Gears of War: Ultimate Edition</v>
      </c>
      <c r="B156" s="195" t="str">
        <f>IFERROR(__xludf.DUMMYFUNCTION("""COMPUTED_VALUE"""),"Xbox / PC")</f>
        <v>Xbox / PC</v>
      </c>
      <c r="C156" s="196" t="str">
        <f>IFERROR(__xludf.DUMMYFUNCTION("""COMPUTED_VALUE"""),"Yes")</f>
        <v>Yes</v>
      </c>
      <c r="D156" s="196" t="str">
        <f>IFERROR(__xludf.DUMMYFUNCTION("""COMPUTED_VALUE"""),"Active")</f>
        <v>Active</v>
      </c>
      <c r="E156" s="197">
        <f>IFERROR(__xludf.DUMMYFUNCTION("""COMPUTED_VALUE"""),42887.0)</f>
        <v>42887</v>
      </c>
      <c r="F156" s="198"/>
      <c r="G156" s="199">
        <f>IFERROR(__xludf.DUMMYFUNCTION("""COMPUTED_VALUE"""),100.46666666666667)</f>
        <v>100.4666667</v>
      </c>
      <c r="H156" s="197">
        <f>IFERROR(__xludf.DUMMYFUNCTION("""COMPUTED_VALUE"""),39028.0)</f>
        <v>39028</v>
      </c>
      <c r="I156" s="199">
        <f>IFERROR(__xludf.DUMMYFUNCTION("""COMPUTED_VALUE"""),10.566666666666666)</f>
        <v>10.56666667</v>
      </c>
      <c r="J156" s="200">
        <f>IFERROR(__xludf.DUMMYFUNCTION("""COMPUTED_VALUE"""),82.0)</f>
        <v>82</v>
      </c>
      <c r="K156" s="200">
        <f>IFERROR(__xludf.DUMMYFUNCTION("""COMPUTED_VALUE"""),9.0)</f>
        <v>9</v>
      </c>
      <c r="L156" s="201" t="str">
        <f>IFERROR(__xludf.DUMMYFUNCTION("""COMPUTED_VALUE"""),"Shooter")</f>
        <v>Shooter</v>
      </c>
      <c r="M156" s="201" t="str">
        <f>IFERROR(__xludf.DUMMYFUNCTION("""COMPUTED_VALUE"""),"FPS Boost")</f>
        <v>FPS Boost</v>
      </c>
    </row>
    <row r="157">
      <c r="A157" s="190" t="str">
        <f>IFERROR(__xludf.DUMMYFUNCTION("""COMPUTED_VALUE"""),"Viva Piñata: Trouble in Paradise")</f>
        <v>Viva Piñata: Trouble in Paradise</v>
      </c>
      <c r="B157" s="195" t="str">
        <f>IFERROR(__xludf.DUMMYFUNCTION("""COMPUTED_VALUE"""),"Xbox")</f>
        <v>Xbox</v>
      </c>
      <c r="C157" s="196" t="str">
        <f>IFERROR(__xludf.DUMMYFUNCTION("""COMPUTED_VALUE"""),"Touch Controls")</f>
        <v>Touch Controls</v>
      </c>
      <c r="D157" s="196" t="str">
        <f>IFERROR(__xludf.DUMMYFUNCTION("""COMPUTED_VALUE"""),"Active")</f>
        <v>Active</v>
      </c>
      <c r="E157" s="197">
        <f>IFERROR(__xludf.DUMMYFUNCTION("""COMPUTED_VALUE"""),42887.0)</f>
        <v>42887</v>
      </c>
      <c r="F157" s="198"/>
      <c r="G157" s="199">
        <f>IFERROR(__xludf.DUMMYFUNCTION("""COMPUTED_VALUE"""),100.46666666666667)</f>
        <v>100.4666667</v>
      </c>
      <c r="H157" s="197">
        <f>IFERROR(__xludf.DUMMYFUNCTION("""COMPUTED_VALUE"""),39693.0)</f>
        <v>39693</v>
      </c>
      <c r="I157" s="199">
        <f>IFERROR(__xludf.DUMMYFUNCTION("""COMPUTED_VALUE"""),8.747222222222222)</f>
        <v>8.747222222</v>
      </c>
      <c r="J157" s="200">
        <f>IFERROR(__xludf.DUMMYFUNCTION("""COMPUTED_VALUE"""),82.0)</f>
        <v>82</v>
      </c>
      <c r="K157" s="200">
        <f>IFERROR(__xludf.DUMMYFUNCTION("""COMPUTED_VALUE"""),26.5)</f>
        <v>26.5</v>
      </c>
      <c r="L157" s="201" t="str">
        <f>IFERROR(__xludf.DUMMYFUNCTION("""COMPUTED_VALUE"""),"Strategy / Simulation")</f>
        <v>Strategy / Simulation</v>
      </c>
      <c r="M157" s="201"/>
    </row>
    <row r="158">
      <c r="A158" s="190" t="str">
        <f>IFERROR(__xludf.DUMMYFUNCTION("""COMPUTED_VALUE"""),"Super Mega Baseball 3")</f>
        <v>Super Mega Baseball 3</v>
      </c>
      <c r="B158" s="195" t="str">
        <f>IFERROR(__xludf.DUMMYFUNCTION("""COMPUTED_VALUE"""),"Xbox / PC")</f>
        <v>Xbox / PC</v>
      </c>
      <c r="C158" s="196" t="str">
        <f>IFERROR(__xludf.DUMMYFUNCTION("""COMPUTED_VALUE"""),"Touch Controls")</f>
        <v>Touch Controls</v>
      </c>
      <c r="D158" s="196" t="str">
        <f>IFERROR(__xludf.DUMMYFUNCTION("""COMPUTED_VALUE"""),"Active")</f>
        <v>Active</v>
      </c>
      <c r="E158" s="197">
        <f>IFERROR(__xludf.DUMMYFUNCTION("""COMPUTED_VALUE"""),44616.0)</f>
        <v>44616</v>
      </c>
      <c r="F158" s="198"/>
      <c r="G158" s="199">
        <f>IFERROR(__xludf.DUMMYFUNCTION("""COMPUTED_VALUE"""),43.7)</f>
        <v>43.7</v>
      </c>
      <c r="H158" s="197">
        <f>IFERROR(__xludf.DUMMYFUNCTION("""COMPUTED_VALUE"""),43964.0)</f>
        <v>43964</v>
      </c>
      <c r="I158" s="199">
        <f>IFERROR(__xludf.DUMMYFUNCTION("""COMPUTED_VALUE"""),1.7805555555555554)</f>
        <v>1.780555556</v>
      </c>
      <c r="J158" s="200">
        <f>IFERROR(__xludf.DUMMYFUNCTION("""COMPUTED_VALUE"""),81.5)</f>
        <v>81.5</v>
      </c>
      <c r="K158" s="200">
        <f>IFERROR(__xludf.DUMMYFUNCTION("""COMPUTED_VALUE"""),24.0)</f>
        <v>24</v>
      </c>
      <c r="L158" s="201" t="str">
        <f>IFERROR(__xludf.DUMMYFUNCTION("""COMPUTED_VALUE"""),"Sports / Baseball")</f>
        <v>Sports / Baseball</v>
      </c>
      <c r="M158" s="201"/>
    </row>
    <row r="159">
      <c r="A159" s="190" t="str">
        <f>IFERROR(__xludf.DUMMYFUNCTION("""COMPUTED_VALUE"""),"Trackmania Turbo")</f>
        <v>Trackmania Turbo</v>
      </c>
      <c r="B159" s="195" t="str">
        <f>IFERROR(__xludf.DUMMYFUNCTION("""COMPUTED_VALUE"""),"Xbox / PC")</f>
        <v>Xbox / PC</v>
      </c>
      <c r="C159" s="196" t="str">
        <f>IFERROR(__xludf.DUMMYFUNCTION("""COMPUTED_VALUE"""),"Yes")</f>
        <v>Yes</v>
      </c>
      <c r="D159" s="196" t="str">
        <f>IFERROR(__xludf.DUMMYFUNCTION("""COMPUTED_VALUE"""),"Active")</f>
        <v>Active</v>
      </c>
      <c r="E159" s="197">
        <f>IFERROR(__xludf.DUMMYFUNCTION("""COMPUTED_VALUE"""),45931.0)</f>
        <v>45931</v>
      </c>
      <c r="F159" s="198"/>
      <c r="G159" s="199">
        <f>IFERROR(__xludf.DUMMYFUNCTION("""COMPUTED_VALUE"""),0.4666666666666667)</f>
        <v>0.4666666667</v>
      </c>
      <c r="H159" s="197">
        <f>IFERROR(__xludf.DUMMYFUNCTION("""COMPUTED_VALUE"""),42451.0)</f>
        <v>42451</v>
      </c>
      <c r="I159" s="199">
        <f>IFERROR(__xludf.DUMMYFUNCTION("""COMPUTED_VALUE"""),9.525)</f>
        <v>9.525</v>
      </c>
      <c r="J159" s="200">
        <f>IFERROR(__xludf.DUMMYFUNCTION("""COMPUTED_VALUE"""),81.0)</f>
        <v>81</v>
      </c>
      <c r="K159" s="200">
        <f>IFERROR(__xludf.DUMMYFUNCTION("""COMPUTED_VALUE"""),13.0)</f>
        <v>13</v>
      </c>
      <c r="L159" s="201" t="str">
        <f>IFERROR(__xludf.DUMMYFUNCTION("""COMPUTED_VALUE"""),"Racing")</f>
        <v>Racing</v>
      </c>
      <c r="M159" s="201"/>
    </row>
    <row r="160">
      <c r="A160" s="190" t="str">
        <f>IFERROR(__xludf.DUMMYFUNCTION("""COMPUTED_VALUE"""),"Uno")</f>
        <v>Uno</v>
      </c>
      <c r="B160" s="195" t="str">
        <f>IFERROR(__xludf.DUMMYFUNCTION("""COMPUTED_VALUE"""),"Xbox / PC")</f>
        <v>Xbox / PC</v>
      </c>
      <c r="C160" s="196" t="str">
        <f>IFERROR(__xludf.DUMMYFUNCTION("""COMPUTED_VALUE"""),"Yes")</f>
        <v>Yes</v>
      </c>
      <c r="D160" s="196" t="str">
        <f>IFERROR(__xludf.DUMMYFUNCTION("""COMPUTED_VALUE"""),"Active")</f>
        <v>Active</v>
      </c>
      <c r="E160" s="197">
        <f>IFERROR(__xludf.DUMMYFUNCTION("""COMPUTED_VALUE"""),45931.0)</f>
        <v>45931</v>
      </c>
      <c r="F160" s="198"/>
      <c r="G160" s="199">
        <f>IFERROR(__xludf.DUMMYFUNCTION("""COMPUTED_VALUE"""),0.4666666666666667)</f>
        <v>0.4666666667</v>
      </c>
      <c r="H160" s="197">
        <f>IFERROR(__xludf.DUMMYFUNCTION("""COMPUTED_VALUE"""),38846.0)</f>
        <v>38846</v>
      </c>
      <c r="I160" s="199">
        <f>IFERROR(__xludf.DUMMYFUNCTION("""COMPUTED_VALUE"""),19.394444444444446)</f>
        <v>19.39444444</v>
      </c>
      <c r="J160" s="200">
        <f>IFERROR(__xludf.DUMMYFUNCTION("""COMPUTED_VALUE"""),81.0)</f>
        <v>81</v>
      </c>
      <c r="K160" s="200">
        <f>IFERROR(__xludf.DUMMYFUNCTION("""COMPUTED_VALUE"""),3.0)</f>
        <v>3</v>
      </c>
      <c r="L160" s="201" t="str">
        <f>IFERROR(__xludf.DUMMYFUNCTION("""COMPUTED_VALUE"""),"Board")</f>
        <v>Board</v>
      </c>
      <c r="M160" s="201"/>
    </row>
    <row r="161">
      <c r="A161" s="190" t="str">
        <f>IFERROR(__xludf.DUMMYFUNCTION("""COMPUTED_VALUE"""),"The Rogue Prince of Persia")</f>
        <v>The Rogue Prince of Persia</v>
      </c>
      <c r="B161" s="195" t="str">
        <f>IFERROR(__xludf.DUMMYFUNCTION("""COMPUTED_VALUE"""),"Xbox / PC")</f>
        <v>Xbox / PC</v>
      </c>
      <c r="C161" s="196" t="str">
        <f>IFERROR(__xludf.DUMMYFUNCTION("""COMPUTED_VALUE"""),"Yes")</f>
        <v>Yes</v>
      </c>
      <c r="D161" s="196" t="str">
        <f>IFERROR(__xludf.DUMMYFUNCTION("""COMPUTED_VALUE"""),"Active")</f>
        <v>Active</v>
      </c>
      <c r="E161" s="197">
        <f>IFERROR(__xludf.DUMMYFUNCTION("""COMPUTED_VALUE"""),45889.0)</f>
        <v>45889</v>
      </c>
      <c r="F161" s="198"/>
      <c r="G161" s="199">
        <f>IFERROR(__xludf.DUMMYFUNCTION("""COMPUTED_VALUE"""),1.8333333333333335)</f>
        <v>1.833333333</v>
      </c>
      <c r="H161" s="197">
        <f>IFERROR(__xludf.DUMMYFUNCTION("""COMPUTED_VALUE"""),45889.0)</f>
        <v>45889</v>
      </c>
      <c r="I161" s="199">
        <f>IFERROR(__xludf.DUMMYFUNCTION("""COMPUTED_VALUE"""),0.0)</f>
        <v>0</v>
      </c>
      <c r="J161" s="200">
        <f>IFERROR(__xludf.DUMMYFUNCTION("""COMPUTED_VALUE"""),81.0)</f>
        <v>81</v>
      </c>
      <c r="K161" s="200">
        <f>IFERROR(__xludf.DUMMYFUNCTION("""COMPUTED_VALUE"""),8.0)</f>
        <v>8</v>
      </c>
      <c r="L161" s="201" t="str">
        <f>IFERROR(__xludf.DUMMYFUNCTION("""COMPUTED_VALUE"""),"Platformer")</f>
        <v>Platformer</v>
      </c>
      <c r="M161" s="201"/>
    </row>
    <row r="162">
      <c r="A162" s="190" t="str">
        <f>IFERROR(__xludf.DUMMYFUNCTION("""COMPUTED_VALUE"""),"My Friendly Neighborhood")</f>
        <v>My Friendly Neighborhood</v>
      </c>
      <c r="B162" s="195" t="str">
        <f>IFERROR(__xludf.DUMMYFUNCTION("""COMPUTED_VALUE"""),"Xbox / PC")</f>
        <v>Xbox / PC</v>
      </c>
      <c r="C162" s="196" t="str">
        <f>IFERROR(__xludf.DUMMYFUNCTION("""COMPUTED_VALUE"""),"Yes")</f>
        <v>Yes</v>
      </c>
      <c r="D162" s="196" t="str">
        <f>IFERROR(__xludf.DUMMYFUNCTION("""COMPUTED_VALUE"""),"Active")</f>
        <v>Active</v>
      </c>
      <c r="E162" s="197">
        <f>IFERROR(__xludf.DUMMYFUNCTION("""COMPUTED_VALUE"""),45855.0)</f>
        <v>45855</v>
      </c>
      <c r="F162" s="198"/>
      <c r="G162" s="199">
        <f>IFERROR(__xludf.DUMMYFUNCTION("""COMPUTED_VALUE"""),2.933333333333333)</f>
        <v>2.933333333</v>
      </c>
      <c r="H162" s="197">
        <f>IFERROR(__xludf.DUMMYFUNCTION("""COMPUTED_VALUE"""),45125.0)</f>
        <v>45125</v>
      </c>
      <c r="I162" s="199">
        <f>IFERROR(__xludf.DUMMYFUNCTION("""COMPUTED_VALUE"""),1.9972222222222222)</f>
        <v>1.997222222</v>
      </c>
      <c r="J162" s="200">
        <f>IFERROR(__xludf.DUMMYFUNCTION("""COMPUTED_VALUE"""),81.0)</f>
        <v>81</v>
      </c>
      <c r="K162" s="200">
        <f>IFERROR(__xludf.DUMMYFUNCTION("""COMPUTED_VALUE"""),5.0)</f>
        <v>5</v>
      </c>
      <c r="L162" s="201" t="str">
        <f>IFERROR(__xludf.DUMMYFUNCTION("""COMPUTED_VALUE"""),"Survival")</f>
        <v>Survival</v>
      </c>
      <c r="M162" s="201"/>
    </row>
    <row r="163">
      <c r="A163" s="190" t="str">
        <f>IFERROR(__xludf.DUMMYFUNCTION("""COMPUTED_VALUE"""),"Anno 1800")</f>
        <v>Anno 1800</v>
      </c>
      <c r="B163" s="195" t="str">
        <f>IFERROR(__xludf.DUMMYFUNCTION("""COMPUTED_VALUE"""),"Xbox / PC")</f>
        <v>Xbox / PC</v>
      </c>
      <c r="C163" s="196" t="str">
        <f>IFERROR(__xludf.DUMMYFUNCTION("""COMPUTED_VALUE"""),"Yes")</f>
        <v>Yes</v>
      </c>
      <c r="D163" s="196" t="str">
        <f>IFERROR(__xludf.DUMMYFUNCTION("""COMPUTED_VALUE"""),"Active")</f>
        <v>Active</v>
      </c>
      <c r="E163" s="197">
        <f>IFERROR(__xludf.DUMMYFUNCTION("""COMPUTED_VALUE"""),45778.0)</f>
        <v>45778</v>
      </c>
      <c r="F163" s="198"/>
      <c r="G163" s="199">
        <f>IFERROR(__xludf.DUMMYFUNCTION("""COMPUTED_VALUE"""),5.466666666666667)</f>
        <v>5.466666667</v>
      </c>
      <c r="H163" s="197">
        <f>IFERROR(__xludf.DUMMYFUNCTION("""COMPUTED_VALUE"""),43571.0)</f>
        <v>43571</v>
      </c>
      <c r="I163" s="199">
        <f>IFERROR(__xludf.DUMMYFUNCTION("""COMPUTED_VALUE"""),6.041666666666667)</f>
        <v>6.041666667</v>
      </c>
      <c r="J163" s="200">
        <f>IFERROR(__xludf.DUMMYFUNCTION("""COMPUTED_VALUE"""),81.0)</f>
        <v>81</v>
      </c>
      <c r="K163" s="200">
        <f>IFERROR(__xludf.DUMMYFUNCTION("""COMPUTED_VALUE"""),15.0)</f>
        <v>15</v>
      </c>
      <c r="L163" s="201" t="str">
        <f>IFERROR(__xludf.DUMMYFUNCTION("""COMPUTED_VALUE"""),"Management")</f>
        <v>Management</v>
      </c>
      <c r="M163" s="201" t="str">
        <f>IFERROR(__xludf.DUMMYFUNCTION("""COMPUTED_VALUE"""),"Exclusive")</f>
        <v>Exclusive</v>
      </c>
    </row>
    <row r="164">
      <c r="A164" s="190" t="str">
        <f>IFERROR(__xludf.DUMMYFUNCTION("""COMPUTED_VALUE"""),"Avowed")</f>
        <v>Avowed</v>
      </c>
      <c r="B164" s="195" t="str">
        <f>IFERROR(__xludf.DUMMYFUNCTION("""COMPUTED_VALUE"""),"Xbox / PC")</f>
        <v>Xbox / PC</v>
      </c>
      <c r="C164" s="196" t="str">
        <f>IFERROR(__xludf.DUMMYFUNCTION("""COMPUTED_VALUE"""),"Yes")</f>
        <v>Yes</v>
      </c>
      <c r="D164" s="196" t="str">
        <f>IFERROR(__xludf.DUMMYFUNCTION("""COMPUTED_VALUE"""),"Active")</f>
        <v>Active</v>
      </c>
      <c r="E164" s="197">
        <f>IFERROR(__xludf.DUMMYFUNCTION("""COMPUTED_VALUE"""),45706.0)</f>
        <v>45706</v>
      </c>
      <c r="F164" s="198"/>
      <c r="G164" s="199">
        <f>IFERROR(__xludf.DUMMYFUNCTION("""COMPUTED_VALUE"""),7.9)</f>
        <v>7.9</v>
      </c>
      <c r="H164" s="197">
        <f>IFERROR(__xludf.DUMMYFUNCTION("""COMPUTED_VALUE"""),45706.0)</f>
        <v>45706</v>
      </c>
      <c r="I164" s="199">
        <f>IFERROR(__xludf.DUMMYFUNCTION("""COMPUTED_VALUE"""),0.0)</f>
        <v>0</v>
      </c>
      <c r="J164" s="200">
        <f>IFERROR(__xludf.DUMMYFUNCTION("""COMPUTED_VALUE"""),81.0)</f>
        <v>81</v>
      </c>
      <c r="K164" s="200">
        <f>IFERROR(__xludf.DUMMYFUNCTION("""COMPUTED_VALUE"""),17.0)</f>
        <v>17</v>
      </c>
      <c r="L164" s="201" t="str">
        <f>IFERROR(__xludf.DUMMYFUNCTION("""COMPUTED_VALUE"""),"RPG")</f>
        <v>RPG</v>
      </c>
      <c r="M164" s="201" t="str">
        <f>IFERROR(__xludf.DUMMYFUNCTION("""COMPUTED_VALUE"""),"Exclusive")</f>
        <v>Exclusive</v>
      </c>
    </row>
    <row r="165">
      <c r="A165" s="190" t="str">
        <f>IFERROR(__xludf.DUMMYFUNCTION("""COMPUTED_VALUE"""),"SIFU")</f>
        <v>SIFU</v>
      </c>
      <c r="B165" s="195" t="str">
        <f>IFERROR(__xludf.DUMMYFUNCTION("""COMPUTED_VALUE"""),"Xbox / PC")</f>
        <v>Xbox / PC</v>
      </c>
      <c r="C165" s="196" t="str">
        <f>IFERROR(__xludf.DUMMYFUNCTION("""COMPUTED_VALUE"""),"Yes")</f>
        <v>Yes</v>
      </c>
      <c r="D165" s="196" t="str">
        <f>IFERROR(__xludf.DUMMYFUNCTION("""COMPUTED_VALUE"""),"Active")</f>
        <v>Active</v>
      </c>
      <c r="E165" s="197">
        <f>IFERROR(__xludf.DUMMYFUNCTION("""COMPUTED_VALUE"""),45567.0)</f>
        <v>45567</v>
      </c>
      <c r="F165" s="198"/>
      <c r="G165" s="199">
        <f>IFERROR(__xludf.DUMMYFUNCTION("""COMPUTED_VALUE"""),12.433333333333334)</f>
        <v>12.43333333</v>
      </c>
      <c r="H165" s="197">
        <f>IFERROR(__xludf.DUMMYFUNCTION("""COMPUTED_VALUE"""),44600.0)</f>
        <v>44600</v>
      </c>
      <c r="I165" s="199">
        <f>IFERROR(__xludf.DUMMYFUNCTION("""COMPUTED_VALUE"""),2.65)</f>
        <v>2.65</v>
      </c>
      <c r="J165" s="200">
        <f>IFERROR(__xludf.DUMMYFUNCTION("""COMPUTED_VALUE"""),81.0)</f>
        <v>81</v>
      </c>
      <c r="K165" s="200">
        <f>IFERROR(__xludf.DUMMYFUNCTION("""COMPUTED_VALUE"""),9.0)</f>
        <v>9</v>
      </c>
      <c r="L165" s="201" t="str">
        <f>IFERROR(__xludf.DUMMYFUNCTION("""COMPUTED_VALUE"""),"Xbox / PC")</f>
        <v>Xbox / PC</v>
      </c>
      <c r="M165" s="201"/>
    </row>
    <row r="166">
      <c r="A166" s="190" t="str">
        <f>IFERROR(__xludf.DUMMYFUNCTION("""COMPUTED_VALUE"""),"Have A Nice Death")</f>
        <v>Have A Nice Death</v>
      </c>
      <c r="B166" s="195" t="str">
        <f>IFERROR(__xludf.DUMMYFUNCTION("""COMPUTED_VALUE"""),"Xbox / PC")</f>
        <v>Xbox / PC</v>
      </c>
      <c r="C166" s="196" t="str">
        <f>IFERROR(__xludf.DUMMYFUNCTION("""COMPUTED_VALUE"""),"Yes")</f>
        <v>Yes</v>
      </c>
      <c r="D166" s="196" t="str">
        <f>IFERROR(__xludf.DUMMYFUNCTION("""COMPUTED_VALUE"""),"Active")</f>
        <v>Active</v>
      </c>
      <c r="E166" s="197">
        <f>IFERROR(__xludf.DUMMYFUNCTION("""COMPUTED_VALUE"""),45412.0)</f>
        <v>45412</v>
      </c>
      <c r="F166" s="198"/>
      <c r="G166" s="199">
        <f>IFERROR(__xludf.DUMMYFUNCTION("""COMPUTED_VALUE"""),17.5)</f>
        <v>17.5</v>
      </c>
      <c r="H166" s="197">
        <f>IFERROR(__xludf.DUMMYFUNCTION("""COMPUTED_VALUE"""),45007.0)</f>
        <v>45007</v>
      </c>
      <c r="I166" s="199">
        <f>IFERROR(__xludf.DUMMYFUNCTION("""COMPUTED_VALUE"""),1.1055555555555556)</f>
        <v>1.105555556</v>
      </c>
      <c r="J166" s="200">
        <f>IFERROR(__xludf.DUMMYFUNCTION("""COMPUTED_VALUE"""),81.0)</f>
        <v>81</v>
      </c>
      <c r="K166" s="200">
        <f>IFERROR(__xludf.DUMMYFUNCTION("""COMPUTED_VALUE"""),9.0)</f>
        <v>9</v>
      </c>
      <c r="L166" s="201" t="str">
        <f>IFERROR(__xludf.DUMMYFUNCTION("""COMPUTED_VALUE"""),"Platformer")</f>
        <v>Platformer</v>
      </c>
      <c r="M166" s="201"/>
    </row>
    <row r="167">
      <c r="A167" s="190" t="str">
        <f>IFERROR(__xludf.DUMMYFUNCTION("""COMPUTED_VALUE"""),"Immortals Fenyx Rising")</f>
        <v>Immortals Fenyx Rising</v>
      </c>
      <c r="B167" s="195" t="str">
        <f>IFERROR(__xludf.DUMMYFUNCTION("""COMPUTED_VALUE"""),"Xbox / PC")</f>
        <v>Xbox / PC</v>
      </c>
      <c r="C167" s="196" t="str">
        <f>IFERROR(__xludf.DUMMYFUNCTION("""COMPUTED_VALUE"""),"Touch Controls")</f>
        <v>Touch Controls</v>
      </c>
      <c r="D167" s="196" t="str">
        <f>IFERROR(__xludf.DUMMYFUNCTION("""COMPUTED_VALUE"""),"Active")</f>
        <v>Active</v>
      </c>
      <c r="E167" s="197">
        <f>IFERROR(__xludf.DUMMYFUNCTION("""COMPUTED_VALUE"""),44803.0)</f>
        <v>44803</v>
      </c>
      <c r="F167" s="198"/>
      <c r="G167" s="199">
        <f>IFERROR(__xludf.DUMMYFUNCTION("""COMPUTED_VALUE"""),37.5)</f>
        <v>37.5</v>
      </c>
      <c r="H167" s="197">
        <f>IFERROR(__xludf.DUMMYFUNCTION("""COMPUTED_VALUE"""),44168.0)</f>
        <v>44168</v>
      </c>
      <c r="I167" s="199">
        <f>IFERROR(__xludf.DUMMYFUNCTION("""COMPUTED_VALUE"""),1.7416666666666667)</f>
        <v>1.741666667</v>
      </c>
      <c r="J167" s="200">
        <f>IFERROR(__xludf.DUMMYFUNCTION("""COMPUTED_VALUE"""),81.0)</f>
        <v>81</v>
      </c>
      <c r="K167" s="200">
        <f>IFERROR(__xludf.DUMMYFUNCTION("""COMPUTED_VALUE"""),25.5)</f>
        <v>25.5</v>
      </c>
      <c r="L167" s="201" t="str">
        <f>IFERROR(__xludf.DUMMYFUNCTION("""COMPUTED_VALUE"""),"RPG / Action-Adventure")</f>
        <v>RPG / Action-Adventure</v>
      </c>
      <c r="M167" s="201"/>
    </row>
    <row r="168">
      <c r="A168" s="190" t="str">
        <f>IFERROR(__xludf.DUMMYFUNCTION("""COMPUTED_VALUE"""),"Age of Empires IV: Anniversary Edition")</f>
        <v>Age of Empires IV: Anniversary Edition</v>
      </c>
      <c r="B168" s="195" t="str">
        <f>IFERROR(__xludf.DUMMYFUNCTION("""COMPUTED_VALUE"""),"Xbox / PC")</f>
        <v>Xbox / PC</v>
      </c>
      <c r="C168" s="196" t="str">
        <f>IFERROR(__xludf.DUMMYFUNCTION("""COMPUTED_VALUE"""),"Yes")</f>
        <v>Yes</v>
      </c>
      <c r="D168" s="196" t="str">
        <f>IFERROR(__xludf.DUMMYFUNCTION("""COMPUTED_VALUE"""),"Active")</f>
        <v>Active</v>
      </c>
      <c r="E168" s="197">
        <f>IFERROR(__xludf.DUMMYFUNCTION("""COMPUTED_VALUE"""),44497.0)</f>
        <v>44497</v>
      </c>
      <c r="F168" s="198"/>
      <c r="G168" s="199">
        <f>IFERROR(__xludf.DUMMYFUNCTION("""COMPUTED_VALUE"""),47.56666666666667)</f>
        <v>47.56666667</v>
      </c>
      <c r="H168" s="197">
        <f>IFERROR(__xludf.DUMMYFUNCTION("""COMPUTED_VALUE"""),44497.0)</f>
        <v>44497</v>
      </c>
      <c r="I168" s="199">
        <f>IFERROR(__xludf.DUMMYFUNCTION("""COMPUTED_VALUE"""),0.0)</f>
        <v>0</v>
      </c>
      <c r="J168" s="200">
        <f>IFERROR(__xludf.DUMMYFUNCTION("""COMPUTED_VALUE"""),81.0)</f>
        <v>81</v>
      </c>
      <c r="K168" s="200">
        <f>IFERROR(__xludf.DUMMYFUNCTION("""COMPUTED_VALUE"""),24.5)</f>
        <v>24.5</v>
      </c>
      <c r="L168" s="201" t="str">
        <f>IFERROR(__xludf.DUMMYFUNCTION("""COMPUTED_VALUE"""),"Real-Time Strategy")</f>
        <v>Real-Time Strategy</v>
      </c>
      <c r="M168" s="201"/>
    </row>
    <row r="169">
      <c r="A169" s="190" t="str">
        <f>IFERROR(__xludf.DUMMYFUNCTION("""COMPUTED_VALUE"""),"The Evil Within 2")</f>
        <v>The Evil Within 2</v>
      </c>
      <c r="B169" s="195" t="str">
        <f>IFERROR(__xludf.DUMMYFUNCTION("""COMPUTED_VALUE"""),"Xbox / PC")</f>
        <v>Xbox / PC</v>
      </c>
      <c r="C169" s="196" t="str">
        <f>IFERROR(__xludf.DUMMYFUNCTION("""COMPUTED_VALUE"""),"Yes")</f>
        <v>Yes</v>
      </c>
      <c r="D169" s="196" t="str">
        <f>IFERROR(__xludf.DUMMYFUNCTION("""COMPUTED_VALUE"""),"Active")</f>
        <v>Active</v>
      </c>
      <c r="E169" s="197">
        <f>IFERROR(__xludf.DUMMYFUNCTION("""COMPUTED_VALUE"""),44360.0)</f>
        <v>44360</v>
      </c>
      <c r="F169" s="198"/>
      <c r="G169" s="199">
        <f>IFERROR(__xludf.DUMMYFUNCTION("""COMPUTED_VALUE"""),52.06666666666666)</f>
        <v>52.06666667</v>
      </c>
      <c r="H169" s="197">
        <f>IFERROR(__xludf.DUMMYFUNCTION("""COMPUTED_VALUE"""),43021.0)</f>
        <v>43021</v>
      </c>
      <c r="I169" s="199">
        <f>IFERROR(__xludf.DUMMYFUNCTION("""COMPUTED_VALUE"""),3.6666666666666665)</f>
        <v>3.666666667</v>
      </c>
      <c r="J169" s="200">
        <f>IFERROR(__xludf.DUMMYFUNCTION("""COMPUTED_VALUE"""),81.0)</f>
        <v>81</v>
      </c>
      <c r="K169" s="200">
        <f>IFERROR(__xludf.DUMMYFUNCTION("""COMPUTED_VALUE"""),13.5)</f>
        <v>13.5</v>
      </c>
      <c r="L169" s="201" t="str">
        <f>IFERROR(__xludf.DUMMYFUNCTION("""COMPUTED_VALUE"""),"Shooter")</f>
        <v>Shooter</v>
      </c>
      <c r="M169" s="201" t="str">
        <f>IFERROR(__xludf.DUMMYFUNCTION("""COMPUTED_VALUE"""),"FPS Boost")</f>
        <v>FPS Boost</v>
      </c>
    </row>
    <row r="170">
      <c r="A170" s="190" t="str">
        <f>IFERROR(__xludf.DUMMYFUNCTION("""COMPUTED_VALUE"""),"SnowRunner")</f>
        <v>SnowRunner</v>
      </c>
      <c r="B170" s="195" t="str">
        <f>IFERROR(__xludf.DUMMYFUNCTION("""COMPUTED_VALUE"""),"Xbox / PC")</f>
        <v>Xbox / PC</v>
      </c>
      <c r="C170" s="196" t="str">
        <f>IFERROR(__xludf.DUMMYFUNCTION("""COMPUTED_VALUE"""),"Yes")</f>
        <v>Yes</v>
      </c>
      <c r="D170" s="196" t="str">
        <f>IFERROR(__xludf.DUMMYFUNCTION("""COMPUTED_VALUE"""),"Active")</f>
        <v>Active</v>
      </c>
      <c r="E170" s="197">
        <f>IFERROR(__xludf.DUMMYFUNCTION("""COMPUTED_VALUE"""),44334.0)</f>
        <v>44334</v>
      </c>
      <c r="F170" s="198"/>
      <c r="G170" s="199">
        <f>IFERROR(__xludf.DUMMYFUNCTION("""COMPUTED_VALUE"""),52.9)</f>
        <v>52.9</v>
      </c>
      <c r="H170" s="197">
        <f>IFERROR(__xludf.DUMMYFUNCTION("""COMPUTED_VALUE"""),43949.0)</f>
        <v>43949</v>
      </c>
      <c r="I170" s="199">
        <f>IFERROR(__xludf.DUMMYFUNCTION("""COMPUTED_VALUE"""),1.0555555555555556)</f>
        <v>1.055555556</v>
      </c>
      <c r="J170" s="200">
        <f>IFERROR(__xludf.DUMMYFUNCTION("""COMPUTED_VALUE"""),81.0)</f>
        <v>81</v>
      </c>
      <c r="K170" s="200">
        <f>IFERROR(__xludf.DUMMYFUNCTION("""COMPUTED_VALUE"""),90.0)</f>
        <v>90</v>
      </c>
      <c r="L170" s="201" t="str">
        <f>IFERROR(__xludf.DUMMYFUNCTION("""COMPUTED_VALUE"""),"Driving/Racing / Simulation")</f>
        <v>Driving/Racing / Simulation</v>
      </c>
      <c r="M170" s="201"/>
    </row>
    <row r="171">
      <c r="A171" s="190" t="str">
        <f>IFERROR(__xludf.DUMMYFUNCTION("""COMPUTED_VALUE"""),"Starbound")</f>
        <v>Starbound</v>
      </c>
      <c r="B171" s="195" t="str">
        <f>IFERROR(__xludf.DUMMYFUNCTION("""COMPUTED_VALUE"""),"Xbox / PC")</f>
        <v>Xbox / PC</v>
      </c>
      <c r="C171" s="196" t="str">
        <f>IFERROR(__xludf.DUMMYFUNCTION("""COMPUTED_VALUE"""),"Yes")</f>
        <v>Yes</v>
      </c>
      <c r="D171" s="196" t="str">
        <f>IFERROR(__xludf.DUMMYFUNCTION("""COMPUTED_VALUE"""),"Active")</f>
        <v>Active</v>
      </c>
      <c r="E171" s="197">
        <f>IFERROR(__xludf.DUMMYFUNCTION("""COMPUTED_VALUE"""),44173.0)</f>
        <v>44173</v>
      </c>
      <c r="F171" s="198"/>
      <c r="G171" s="199">
        <f>IFERROR(__xludf.DUMMYFUNCTION("""COMPUTED_VALUE"""),58.233333333333334)</f>
        <v>58.23333333</v>
      </c>
      <c r="H171" s="197">
        <f>IFERROR(__xludf.DUMMYFUNCTION("""COMPUTED_VALUE"""),42573.0)</f>
        <v>42573</v>
      </c>
      <c r="I171" s="199">
        <f>IFERROR(__xludf.DUMMYFUNCTION("""COMPUTED_VALUE"""),4.377777777777778)</f>
        <v>4.377777778</v>
      </c>
      <c r="J171" s="200">
        <f>IFERROR(__xludf.DUMMYFUNCTION("""COMPUTED_VALUE"""),81.0)</f>
        <v>81</v>
      </c>
      <c r="K171" s="200">
        <f>IFERROR(__xludf.DUMMYFUNCTION("""COMPUTED_VALUE"""),21.5)</f>
        <v>21.5</v>
      </c>
      <c r="L171" s="201" t="str">
        <f>IFERROR(__xludf.DUMMYFUNCTION("""COMPUTED_VALUE"""),"Platformer / Action-Adventure")</f>
        <v>Platformer / Action-Adventure</v>
      </c>
      <c r="M171" s="201"/>
    </row>
    <row r="172">
      <c r="A172" s="190" t="str">
        <f>IFERROR(__xludf.DUMMYFUNCTION("""COMPUTED_VALUE"""),"Battlefield 4: Premium Edition")</f>
        <v>Battlefield 4: Premium Edition</v>
      </c>
      <c r="B172" s="195" t="str">
        <f>IFERROR(__xludf.DUMMYFUNCTION("""COMPUTED_VALUE"""),"Xbox / PC")</f>
        <v>Xbox / PC</v>
      </c>
      <c r="C172" s="196" t="str">
        <f>IFERROR(__xludf.DUMMYFUNCTION("""COMPUTED_VALUE"""),"Yes")</f>
        <v>Yes</v>
      </c>
      <c r="D172" s="196" t="str">
        <f>IFERROR(__xludf.DUMMYFUNCTION("""COMPUTED_VALUE"""),"Active")</f>
        <v>Active</v>
      </c>
      <c r="E172" s="197">
        <f>IFERROR(__xludf.DUMMYFUNCTION("""COMPUTED_VALUE"""),44145.0)</f>
        <v>44145</v>
      </c>
      <c r="F172" s="198"/>
      <c r="G172" s="199">
        <f>IFERROR(__xludf.DUMMYFUNCTION("""COMPUTED_VALUE"""),59.166666666666664)</f>
        <v>59.16666667</v>
      </c>
      <c r="H172" s="197">
        <f>IFERROR(__xludf.DUMMYFUNCTION("""COMPUTED_VALUE"""),41576.0)</f>
        <v>41576</v>
      </c>
      <c r="I172" s="199">
        <f>IFERROR(__xludf.DUMMYFUNCTION("""COMPUTED_VALUE"""),7.030555555555556)</f>
        <v>7.030555556</v>
      </c>
      <c r="J172" s="200">
        <f>IFERROR(__xludf.DUMMYFUNCTION("""COMPUTED_VALUE"""),81.0)</f>
        <v>81</v>
      </c>
      <c r="K172" s="200">
        <f>IFERROR(__xludf.DUMMYFUNCTION("""COMPUTED_VALUE"""),6.0)</f>
        <v>6</v>
      </c>
      <c r="L172" s="201" t="str">
        <f>IFERROR(__xludf.DUMMYFUNCTION("""COMPUTED_VALUE"""),"First-Person Shooter")</f>
        <v>First-Person Shooter</v>
      </c>
      <c r="M172" s="201" t="str">
        <f>IFERROR(__xludf.DUMMYFUNCTION("""COMPUTED_VALUE"""),"FPS Boost")</f>
        <v>FPS Boost</v>
      </c>
    </row>
    <row r="173">
      <c r="A173" s="190" t="str">
        <f>IFERROR(__xludf.DUMMYFUNCTION("""COMPUTED_VALUE"""),"Star Wars Jedi: Fallen Order")</f>
        <v>Star Wars Jedi: Fallen Order</v>
      </c>
      <c r="B173" s="195" t="str">
        <f>IFERROR(__xludf.DUMMYFUNCTION("""COMPUTED_VALUE"""),"Xbox / PC")</f>
        <v>Xbox / PC</v>
      </c>
      <c r="C173" s="196" t="str">
        <f>IFERROR(__xludf.DUMMYFUNCTION("""COMPUTED_VALUE"""),"Yes")</f>
        <v>Yes</v>
      </c>
      <c r="D173" s="196" t="str">
        <f>IFERROR(__xludf.DUMMYFUNCTION("""COMPUTED_VALUE"""),"Active")</f>
        <v>Active</v>
      </c>
      <c r="E173" s="197">
        <f>IFERROR(__xludf.DUMMYFUNCTION("""COMPUTED_VALUE"""),44145.0)</f>
        <v>44145</v>
      </c>
      <c r="F173" s="198"/>
      <c r="G173" s="199">
        <f>IFERROR(__xludf.DUMMYFUNCTION("""COMPUTED_VALUE"""),59.166666666666664)</f>
        <v>59.16666667</v>
      </c>
      <c r="H173" s="197">
        <f>IFERROR(__xludf.DUMMYFUNCTION("""COMPUTED_VALUE"""),43784.0)</f>
        <v>43784</v>
      </c>
      <c r="I173" s="199">
        <f>IFERROR(__xludf.DUMMYFUNCTION("""COMPUTED_VALUE"""),0.9861111111111112)</f>
        <v>0.9861111111</v>
      </c>
      <c r="J173" s="200">
        <f>IFERROR(__xludf.DUMMYFUNCTION("""COMPUTED_VALUE"""),81.0)</f>
        <v>81</v>
      </c>
      <c r="K173" s="200">
        <f>IFERROR(__xludf.DUMMYFUNCTION("""COMPUTED_VALUE"""),24.0)</f>
        <v>24</v>
      </c>
      <c r="L173" s="201" t="str">
        <f>IFERROR(__xludf.DUMMYFUNCTION("""COMPUTED_VALUE"""),"Action-Adventure")</f>
        <v>Action-Adventure</v>
      </c>
      <c r="M173" s="201" t="str">
        <f>IFERROR(__xludf.DUMMYFUNCTION("""COMPUTED_VALUE"""),"Optimized")</f>
        <v>Optimized</v>
      </c>
    </row>
    <row r="174">
      <c r="A174" s="190" t="str">
        <f>IFERROR(__xludf.DUMMYFUNCTION("""COMPUTED_VALUE"""),"Unravel Two")</f>
        <v>Unravel Two</v>
      </c>
      <c r="B174" s="195" t="str">
        <f>IFERROR(__xludf.DUMMYFUNCTION("""COMPUTED_VALUE"""),"Xbox / PC")</f>
        <v>Xbox / PC</v>
      </c>
      <c r="C174" s="196" t="str">
        <f>IFERROR(__xludf.DUMMYFUNCTION("""COMPUTED_VALUE"""),"Yes")</f>
        <v>Yes</v>
      </c>
      <c r="D174" s="196" t="str">
        <f>IFERROR(__xludf.DUMMYFUNCTION("""COMPUTED_VALUE"""),"Active")</f>
        <v>Active</v>
      </c>
      <c r="E174" s="197">
        <f>IFERROR(__xludf.DUMMYFUNCTION("""COMPUTED_VALUE"""),44145.0)</f>
        <v>44145</v>
      </c>
      <c r="F174" s="198"/>
      <c r="G174" s="199">
        <f>IFERROR(__xludf.DUMMYFUNCTION("""COMPUTED_VALUE"""),59.166666666666664)</f>
        <v>59.16666667</v>
      </c>
      <c r="H174" s="197">
        <f>IFERROR(__xludf.DUMMYFUNCTION("""COMPUTED_VALUE"""),43260.0)</f>
        <v>43260</v>
      </c>
      <c r="I174" s="199">
        <f>IFERROR(__xludf.DUMMYFUNCTION("""COMPUTED_VALUE"""),2.4194444444444443)</f>
        <v>2.419444444</v>
      </c>
      <c r="J174" s="200">
        <f>IFERROR(__xludf.DUMMYFUNCTION("""COMPUTED_VALUE"""),81.0)</f>
        <v>81</v>
      </c>
      <c r="K174" s="200">
        <f>IFERROR(__xludf.DUMMYFUNCTION("""COMPUTED_VALUE"""),5.0)</f>
        <v>5</v>
      </c>
      <c r="L174" s="201" t="str">
        <f>IFERROR(__xludf.DUMMYFUNCTION("""COMPUTED_VALUE"""),"Puzzle / Platformer")</f>
        <v>Puzzle / Platformer</v>
      </c>
      <c r="M174" s="201" t="str">
        <f>IFERROR(__xludf.DUMMYFUNCTION("""COMPUTED_VALUE"""),"FPS Boost")</f>
        <v>FPS Boost</v>
      </c>
    </row>
    <row r="175">
      <c r="A175" s="190" t="str">
        <f>IFERROR(__xludf.DUMMYFUNCTION("""COMPUTED_VALUE"""),"Gears Tactics")</f>
        <v>Gears Tactics</v>
      </c>
      <c r="B175" s="195" t="str">
        <f>IFERROR(__xludf.DUMMYFUNCTION("""COMPUTED_VALUE"""),"Xbox / PC")</f>
        <v>Xbox / PC</v>
      </c>
      <c r="C175" s="196" t="str">
        <f>IFERROR(__xludf.DUMMYFUNCTION("""COMPUTED_VALUE"""),"M+KB")</f>
        <v>M+KB</v>
      </c>
      <c r="D175" s="196" t="str">
        <f>IFERROR(__xludf.DUMMYFUNCTION("""COMPUTED_VALUE"""),"Active")</f>
        <v>Active</v>
      </c>
      <c r="E175" s="197">
        <f>IFERROR(__xludf.DUMMYFUNCTION("""COMPUTED_VALUE"""),43949.0)</f>
        <v>43949</v>
      </c>
      <c r="F175" s="198"/>
      <c r="G175" s="199">
        <f>IFERROR(__xludf.DUMMYFUNCTION("""COMPUTED_VALUE"""),65.56666666666666)</f>
        <v>65.56666667</v>
      </c>
      <c r="H175" s="197">
        <f>IFERROR(__xludf.DUMMYFUNCTION("""COMPUTED_VALUE"""),43949.0)</f>
        <v>43949</v>
      </c>
      <c r="I175" s="199">
        <f>IFERROR(__xludf.DUMMYFUNCTION("""COMPUTED_VALUE"""),0.0)</f>
        <v>0</v>
      </c>
      <c r="J175" s="200">
        <f>IFERROR(__xludf.DUMMYFUNCTION("""COMPUTED_VALUE"""),81.0)</f>
        <v>81</v>
      </c>
      <c r="K175" s="200">
        <f>IFERROR(__xludf.DUMMYFUNCTION("""COMPUTED_VALUE"""),22.5)</f>
        <v>22.5</v>
      </c>
      <c r="L175" s="201" t="str">
        <f>IFERROR(__xludf.DUMMYFUNCTION("""COMPUTED_VALUE"""),"Strategy")</f>
        <v>Strategy</v>
      </c>
      <c r="M175" s="201" t="str">
        <f>IFERROR(__xludf.DUMMYFUNCTION("""COMPUTED_VALUE"""),"Optimized")</f>
        <v>Optimized</v>
      </c>
    </row>
    <row r="176">
      <c r="A176" s="190" t="str">
        <f>IFERROR(__xludf.DUMMYFUNCTION("""COMPUTED_VALUE"""),"Stellaris")</f>
        <v>Stellaris</v>
      </c>
      <c r="B176" s="195" t="str">
        <f>IFERROR(__xludf.DUMMYFUNCTION("""COMPUTED_VALUE"""),"Xbox / PC")</f>
        <v>Xbox / PC</v>
      </c>
      <c r="C176" s="196" t="str">
        <f>IFERROR(__xludf.DUMMYFUNCTION("""COMPUTED_VALUE"""),"Yes")</f>
        <v>Yes</v>
      </c>
      <c r="D176" s="196" t="str">
        <f>IFERROR(__xludf.DUMMYFUNCTION("""COMPUTED_VALUE"""),"Active")</f>
        <v>Active</v>
      </c>
      <c r="E176" s="197">
        <f>IFERROR(__xludf.DUMMYFUNCTION("""COMPUTED_VALUE"""),43696.0)</f>
        <v>43696</v>
      </c>
      <c r="F176" s="198"/>
      <c r="G176" s="199">
        <f>IFERROR(__xludf.DUMMYFUNCTION("""COMPUTED_VALUE"""),73.86666666666667)</f>
        <v>73.86666667</v>
      </c>
      <c r="H176" s="197">
        <f>IFERROR(__xludf.DUMMYFUNCTION("""COMPUTED_VALUE"""),42499.0)</f>
        <v>42499</v>
      </c>
      <c r="I176" s="199">
        <f>IFERROR(__xludf.DUMMYFUNCTION("""COMPUTED_VALUE"""),3.2777777777777777)</f>
        <v>3.277777778</v>
      </c>
      <c r="J176" s="200">
        <f>IFERROR(__xludf.DUMMYFUNCTION("""COMPUTED_VALUE"""),81.0)</f>
        <v>81</v>
      </c>
      <c r="K176" s="200">
        <f>IFERROR(__xludf.DUMMYFUNCTION("""COMPUTED_VALUE"""),21.0)</f>
        <v>21</v>
      </c>
      <c r="L176" s="201" t="str">
        <f>IFERROR(__xludf.DUMMYFUNCTION("""COMPUTED_VALUE"""),"Strategy")</f>
        <v>Strategy</v>
      </c>
      <c r="M176" s="201" t="str">
        <f>IFERROR(__xludf.DUMMYFUNCTION("""COMPUTED_VALUE"""),"Optimized")</f>
        <v>Optimized</v>
      </c>
    </row>
    <row r="177">
      <c r="A177" s="190" t="str">
        <f>IFERROR(__xludf.DUMMYFUNCTION("""COMPUTED_VALUE"""),"Middle-earth: Shadow of War")</f>
        <v>Middle-earth: Shadow of War</v>
      </c>
      <c r="B177" s="195" t="str">
        <f>IFERROR(__xludf.DUMMYFUNCTION("""COMPUTED_VALUE"""),"Xbox / PC")</f>
        <v>Xbox / PC</v>
      </c>
      <c r="C177" s="196" t="str">
        <f>IFERROR(__xludf.DUMMYFUNCTION("""COMPUTED_VALUE"""),"Yes")</f>
        <v>Yes</v>
      </c>
      <c r="D177" s="196" t="str">
        <f>IFERROR(__xludf.DUMMYFUNCTION("""COMPUTED_VALUE"""),"Active")</f>
        <v>Active</v>
      </c>
      <c r="E177" s="197">
        <f>IFERROR(__xludf.DUMMYFUNCTION("""COMPUTED_VALUE"""),43650.0)</f>
        <v>43650</v>
      </c>
      <c r="F177" s="198"/>
      <c r="G177" s="199">
        <f>IFERROR(__xludf.DUMMYFUNCTION("""COMPUTED_VALUE"""),75.36666666666667)</f>
        <v>75.36666667</v>
      </c>
      <c r="H177" s="197">
        <f>IFERROR(__xludf.DUMMYFUNCTION("""COMPUTED_VALUE"""),43018.0)</f>
        <v>43018</v>
      </c>
      <c r="I177" s="199">
        <f>IFERROR(__xludf.DUMMYFUNCTION("""COMPUTED_VALUE"""),1.7333333333333334)</f>
        <v>1.733333333</v>
      </c>
      <c r="J177" s="200">
        <f>IFERROR(__xludf.DUMMYFUNCTION("""COMPUTED_VALUE"""),81.0)</f>
        <v>81</v>
      </c>
      <c r="K177" s="200">
        <f>IFERROR(__xludf.DUMMYFUNCTION("""COMPUTED_VALUE"""),20.5)</f>
        <v>20.5</v>
      </c>
      <c r="L177" s="201" t="str">
        <f>IFERROR(__xludf.DUMMYFUNCTION("""COMPUTED_VALUE"""),"Action / RPG / Action-Adventure")</f>
        <v>Action / RPG / Action-Adventure</v>
      </c>
      <c r="M177" s="201"/>
    </row>
    <row r="178">
      <c r="A178" s="190" t="str">
        <f>IFERROR(__xludf.DUMMYFUNCTION("""COMPUTED_VALUE"""),"Torment: Tides of Numenera")</f>
        <v>Torment: Tides of Numenera</v>
      </c>
      <c r="B178" s="195" t="str">
        <f>IFERROR(__xludf.DUMMYFUNCTION("""COMPUTED_VALUE"""),"Xbox / PC")</f>
        <v>Xbox / PC</v>
      </c>
      <c r="C178" s="196" t="str">
        <f>IFERROR(__xludf.DUMMYFUNCTION("""COMPUTED_VALUE"""),"Touch Controls")</f>
        <v>Touch Controls</v>
      </c>
      <c r="D178" s="196" t="str">
        <f>IFERROR(__xludf.DUMMYFUNCTION("""COMPUTED_VALUE"""),"Active")</f>
        <v>Active</v>
      </c>
      <c r="E178" s="197">
        <f>IFERROR(__xludf.DUMMYFUNCTION("""COMPUTED_VALUE"""),43643.0)</f>
        <v>43643</v>
      </c>
      <c r="F178" s="198"/>
      <c r="G178" s="199">
        <f>IFERROR(__xludf.DUMMYFUNCTION("""COMPUTED_VALUE"""),75.6)</f>
        <v>75.6</v>
      </c>
      <c r="H178" s="197">
        <f>IFERROR(__xludf.DUMMYFUNCTION("""COMPUTED_VALUE"""),42794.0)</f>
        <v>42794</v>
      </c>
      <c r="I178" s="199">
        <f>IFERROR(__xludf.DUMMYFUNCTION("""COMPUTED_VALUE"""),2.3305555555555557)</f>
        <v>2.330555556</v>
      </c>
      <c r="J178" s="200">
        <f>IFERROR(__xludf.DUMMYFUNCTION("""COMPUTED_VALUE"""),81.0)</f>
        <v>81</v>
      </c>
      <c r="K178" s="200">
        <f>IFERROR(__xludf.DUMMYFUNCTION("""COMPUTED_VALUE"""),26.0)</f>
        <v>26</v>
      </c>
      <c r="L178" s="201" t="str">
        <f>IFERROR(__xludf.DUMMYFUNCTION("""COMPUTED_VALUE"""),"RPG")</f>
        <v>RPG</v>
      </c>
      <c r="M178" s="201"/>
    </row>
    <row r="179">
      <c r="A179" s="190" t="str">
        <f>IFERROR(__xludf.DUMMYFUNCTION("""COMPUTED_VALUE"""),"RAGE")</f>
        <v>RAGE</v>
      </c>
      <c r="B179" s="195" t="str">
        <f>IFERROR(__xludf.DUMMYFUNCTION("""COMPUTED_VALUE"""),"Xbox")</f>
        <v>Xbox</v>
      </c>
      <c r="C179" s="196" t="str">
        <f>IFERROR(__xludf.DUMMYFUNCTION("""COMPUTED_VALUE"""),"Yes")</f>
        <v>Yes</v>
      </c>
      <c r="D179" s="196" t="str">
        <f>IFERROR(__xludf.DUMMYFUNCTION("""COMPUTED_VALUE"""),"Active")</f>
        <v>Active</v>
      </c>
      <c r="E179" s="197">
        <f>IFERROR(__xludf.DUMMYFUNCTION("""COMPUTED_VALUE"""),43313.0)</f>
        <v>43313</v>
      </c>
      <c r="F179" s="198"/>
      <c r="G179" s="199">
        <f>IFERROR(__xludf.DUMMYFUNCTION("""COMPUTED_VALUE"""),86.46666666666667)</f>
        <v>86.46666667</v>
      </c>
      <c r="H179" s="197">
        <f>IFERROR(__xludf.DUMMYFUNCTION("""COMPUTED_VALUE"""),40820.0)</f>
        <v>40820</v>
      </c>
      <c r="I179" s="199">
        <f>IFERROR(__xludf.DUMMYFUNCTION("""COMPUTED_VALUE"""),6.825)</f>
        <v>6.825</v>
      </c>
      <c r="J179" s="200">
        <f>IFERROR(__xludf.DUMMYFUNCTION("""COMPUTED_VALUE"""),81.0)</f>
        <v>81</v>
      </c>
      <c r="K179" s="200">
        <f>IFERROR(__xludf.DUMMYFUNCTION("""COMPUTED_VALUE"""),11.0)</f>
        <v>11</v>
      </c>
      <c r="L179" s="201" t="str">
        <f>IFERROR(__xludf.DUMMYFUNCTION("""COMPUTED_VALUE"""),"First-Person Shooter / Vehicular Combat")</f>
        <v>First-Person Shooter / Vehicular Combat</v>
      </c>
      <c r="M179" s="201"/>
    </row>
    <row r="180">
      <c r="A180" s="190" t="str">
        <f>IFERROR(__xludf.DUMMYFUNCTION("""COMPUTED_VALUE"""),"Halo Wars: Definitive Edition")</f>
        <v>Halo Wars: Definitive Edition</v>
      </c>
      <c r="B180" s="195" t="str">
        <f>IFERROR(__xludf.DUMMYFUNCTION("""COMPUTED_VALUE"""),"Xbox / PC")</f>
        <v>Xbox / PC</v>
      </c>
      <c r="C180" s="196" t="str">
        <f>IFERROR(__xludf.DUMMYFUNCTION("""COMPUTED_VALUE"""),"Touch Controls")</f>
        <v>Touch Controls</v>
      </c>
      <c r="D180" s="196" t="str">
        <f>IFERROR(__xludf.DUMMYFUNCTION("""COMPUTED_VALUE"""),"Active")</f>
        <v>Active</v>
      </c>
      <c r="E180" s="197">
        <f>IFERROR(__xludf.DUMMYFUNCTION("""COMPUTED_VALUE"""),43040.0)</f>
        <v>43040</v>
      </c>
      <c r="F180" s="198"/>
      <c r="G180" s="199">
        <f>IFERROR(__xludf.DUMMYFUNCTION("""COMPUTED_VALUE"""),95.46666666666667)</f>
        <v>95.46666667</v>
      </c>
      <c r="H180" s="197">
        <f>IFERROR(__xludf.DUMMYFUNCTION("""COMPUTED_VALUE"""),39870.0)</f>
        <v>39870</v>
      </c>
      <c r="I180" s="199">
        <f>IFERROR(__xludf.DUMMYFUNCTION("""COMPUTED_VALUE"""),8.680555555555555)</f>
        <v>8.680555556</v>
      </c>
      <c r="J180" s="200">
        <f>IFERROR(__xludf.DUMMYFUNCTION("""COMPUTED_VALUE"""),81.0)</f>
        <v>81</v>
      </c>
      <c r="K180" s="200">
        <f>IFERROR(__xludf.DUMMYFUNCTION("""COMPUTED_VALUE"""),9.0)</f>
        <v>9</v>
      </c>
      <c r="L180" s="201" t="str">
        <f>IFERROR(__xludf.DUMMYFUNCTION("""COMPUTED_VALUE"""),"Action / RPG")</f>
        <v>Action / RPG</v>
      </c>
      <c r="M180" s="201"/>
    </row>
    <row r="181">
      <c r="A181" s="190" t="str">
        <f>IFERROR(__xludf.DUMMYFUNCTION("""COMPUTED_VALUE"""),"Perfect Dark Zero")</f>
        <v>Perfect Dark Zero</v>
      </c>
      <c r="B181" s="195" t="str">
        <f>IFERROR(__xludf.DUMMYFUNCTION("""COMPUTED_VALUE"""),"Xbox")</f>
        <v>Xbox</v>
      </c>
      <c r="C181" s="196" t="str">
        <f>IFERROR(__xludf.DUMMYFUNCTION("""COMPUTED_VALUE"""),"Yes")</f>
        <v>Yes</v>
      </c>
      <c r="D181" s="196" t="str">
        <f>IFERROR(__xludf.DUMMYFUNCTION("""COMPUTED_VALUE"""),"Active")</f>
        <v>Active</v>
      </c>
      <c r="E181" s="197">
        <f>IFERROR(__xludf.DUMMYFUNCTION("""COMPUTED_VALUE"""),42887.0)</f>
        <v>42887</v>
      </c>
      <c r="F181" s="198"/>
      <c r="G181" s="199">
        <f>IFERROR(__xludf.DUMMYFUNCTION("""COMPUTED_VALUE"""),100.46666666666667)</f>
        <v>100.4666667</v>
      </c>
      <c r="H181" s="197">
        <f>IFERROR(__xludf.DUMMYFUNCTION("""COMPUTED_VALUE"""),38875.0)</f>
        <v>38875</v>
      </c>
      <c r="I181" s="199">
        <f>IFERROR(__xludf.DUMMYFUNCTION("""COMPUTED_VALUE"""),10.983333333333333)</f>
        <v>10.98333333</v>
      </c>
      <c r="J181" s="200">
        <f>IFERROR(__xludf.DUMMYFUNCTION("""COMPUTED_VALUE"""),81.0)</f>
        <v>81</v>
      </c>
      <c r="K181" s="200">
        <f>IFERROR(__xludf.DUMMYFUNCTION("""COMPUTED_VALUE"""),8.0)</f>
        <v>8</v>
      </c>
      <c r="L181" s="201" t="str">
        <f>IFERROR(__xludf.DUMMYFUNCTION("""COMPUTED_VALUE"""),"First-Person Shooter")</f>
        <v>First-Person Shooter</v>
      </c>
      <c r="M181" s="201"/>
    </row>
    <row r="182">
      <c r="A182" s="190" t="str">
        <f>IFERROR(__xludf.DUMMYFUNCTION("""COMPUTED_VALUE"""),"Far Cry 3: Blood Dragon")</f>
        <v>Far Cry 3: Blood Dragon</v>
      </c>
      <c r="B182" s="195" t="str">
        <f>IFERROR(__xludf.DUMMYFUNCTION("""COMPUTED_VALUE"""),"Xbox / PC")</f>
        <v>Xbox / PC</v>
      </c>
      <c r="C182" s="196" t="str">
        <f>IFERROR(__xludf.DUMMYFUNCTION("""COMPUTED_VALUE"""),"Yes")</f>
        <v>Yes</v>
      </c>
      <c r="D182" s="196" t="str">
        <f>IFERROR(__xludf.DUMMYFUNCTION("""COMPUTED_VALUE"""),"Active")</f>
        <v>Active</v>
      </c>
      <c r="E182" s="197">
        <f>IFERROR(__xludf.DUMMYFUNCTION("""COMPUTED_VALUE"""),45931.0)</f>
        <v>45931</v>
      </c>
      <c r="F182" s="198"/>
      <c r="G182" s="199">
        <f>IFERROR(__xludf.DUMMYFUNCTION("""COMPUTED_VALUE"""),0.4666666666666667)</f>
        <v>0.4666666667</v>
      </c>
      <c r="H182" s="197">
        <f>IFERROR(__xludf.DUMMYFUNCTION("""COMPUTED_VALUE"""),41395.0)</f>
        <v>41395</v>
      </c>
      <c r="I182" s="199">
        <f>IFERROR(__xludf.DUMMYFUNCTION("""COMPUTED_VALUE"""),12.416666666666666)</f>
        <v>12.41666667</v>
      </c>
      <c r="J182" s="200">
        <f>IFERROR(__xludf.DUMMYFUNCTION("""COMPUTED_VALUE"""),80.0)</f>
        <v>80</v>
      </c>
      <c r="K182" s="200">
        <f>IFERROR(__xludf.DUMMYFUNCTION("""COMPUTED_VALUE"""),5.0)</f>
        <v>5</v>
      </c>
      <c r="L182" s="201" t="str">
        <f>IFERROR(__xludf.DUMMYFUNCTION("""COMPUTED_VALUE"""),"Action-Adventure")</f>
        <v>Action-Adventure</v>
      </c>
      <c r="M182" s="201"/>
    </row>
    <row r="183">
      <c r="A183" s="190" t="str">
        <f>IFERROR(__xludf.DUMMYFUNCTION("""COMPUTED_VALUE"""),"Tom Clancy's The Division")</f>
        <v>Tom Clancy's The Division</v>
      </c>
      <c r="B183" s="195" t="str">
        <f>IFERROR(__xludf.DUMMYFUNCTION("""COMPUTED_VALUE"""),"Xbox / PC")</f>
        <v>Xbox / PC</v>
      </c>
      <c r="C183" s="196" t="str">
        <f>IFERROR(__xludf.DUMMYFUNCTION("""COMPUTED_VALUE"""),"Yes")</f>
        <v>Yes</v>
      </c>
      <c r="D183" s="196" t="str">
        <f>IFERROR(__xludf.DUMMYFUNCTION("""COMPUTED_VALUE"""),"Active")</f>
        <v>Active</v>
      </c>
      <c r="E183" s="197">
        <f>IFERROR(__xludf.DUMMYFUNCTION("""COMPUTED_VALUE"""),45931.0)</f>
        <v>45931</v>
      </c>
      <c r="F183" s="198"/>
      <c r="G183" s="199">
        <f>IFERROR(__xludf.DUMMYFUNCTION("""COMPUTED_VALUE"""),0.4666666666666667)</f>
        <v>0.4666666667</v>
      </c>
      <c r="H183" s="197">
        <f>IFERROR(__xludf.DUMMYFUNCTION("""COMPUTED_VALUE"""),42437.0)</f>
        <v>42437</v>
      </c>
      <c r="I183" s="199">
        <f>IFERROR(__xludf.DUMMYFUNCTION("""COMPUTED_VALUE"""),9.563888888888888)</f>
        <v>9.563888889</v>
      </c>
      <c r="J183" s="200">
        <f>IFERROR(__xludf.DUMMYFUNCTION("""COMPUTED_VALUE"""),80.0)</f>
        <v>80</v>
      </c>
      <c r="K183" s="200">
        <f>IFERROR(__xludf.DUMMYFUNCTION("""COMPUTED_VALUE"""),24.0)</f>
        <v>24</v>
      </c>
      <c r="L183" s="201" t="str">
        <f>IFERROR(__xludf.DUMMYFUNCTION("""COMPUTED_VALUE"""),"Shooter")</f>
        <v>Shooter</v>
      </c>
      <c r="M183" s="201"/>
    </row>
    <row r="184">
      <c r="A184" s="190" t="str">
        <f>IFERROR(__xludf.DUMMYFUNCTION("""COMPUTED_VALUE"""),"Watch_Dogs")</f>
        <v>Watch_Dogs</v>
      </c>
      <c r="B184" s="195" t="str">
        <f>IFERROR(__xludf.DUMMYFUNCTION("""COMPUTED_VALUE"""),"Xbox / PC")</f>
        <v>Xbox / PC</v>
      </c>
      <c r="C184" s="196" t="str">
        <f>IFERROR(__xludf.DUMMYFUNCTION("""COMPUTED_VALUE"""),"Yes")</f>
        <v>Yes</v>
      </c>
      <c r="D184" s="196" t="str">
        <f>IFERROR(__xludf.DUMMYFUNCTION("""COMPUTED_VALUE"""),"Active")</f>
        <v>Active</v>
      </c>
      <c r="E184" s="197">
        <f>IFERROR(__xludf.DUMMYFUNCTION("""COMPUTED_VALUE"""),45931.0)</f>
        <v>45931</v>
      </c>
      <c r="F184" s="198"/>
      <c r="G184" s="199">
        <f>IFERROR(__xludf.DUMMYFUNCTION("""COMPUTED_VALUE"""),0.4666666666666667)</f>
        <v>0.4666666667</v>
      </c>
      <c r="H184" s="197">
        <f>IFERROR(__xludf.DUMMYFUNCTION("""COMPUTED_VALUE"""),41786.0)</f>
        <v>41786</v>
      </c>
      <c r="I184" s="199">
        <f>IFERROR(__xludf.DUMMYFUNCTION("""COMPUTED_VALUE"""),11.344444444444445)</f>
        <v>11.34444444</v>
      </c>
      <c r="J184" s="200">
        <f>IFERROR(__xludf.DUMMYFUNCTION("""COMPUTED_VALUE"""),80.0)</f>
        <v>80</v>
      </c>
      <c r="K184" s="200">
        <f>IFERROR(__xludf.DUMMYFUNCTION("""COMPUTED_VALUE"""),20.0)</f>
        <v>20</v>
      </c>
      <c r="L184" s="201" t="str">
        <f>IFERROR(__xludf.DUMMYFUNCTION("""COMPUTED_VALUE"""),"Action-Adventure")</f>
        <v>Action-Adventure</v>
      </c>
      <c r="M184" s="201"/>
    </row>
    <row r="185">
      <c r="A185" s="190" t="str">
        <f>IFERROR(__xludf.DUMMYFUNCTION("""COMPUTED_VALUE"""),"Wheel of Fortune")</f>
        <v>Wheel of Fortune</v>
      </c>
      <c r="B185" s="195" t="str">
        <f>IFERROR(__xludf.DUMMYFUNCTION("""COMPUTED_VALUE"""),"Xbox")</f>
        <v>Xbox</v>
      </c>
      <c r="C185" s="196" t="str">
        <f>IFERROR(__xludf.DUMMYFUNCTION("""COMPUTED_VALUE"""),"Yes")</f>
        <v>Yes</v>
      </c>
      <c r="D185" s="196" t="str">
        <f>IFERROR(__xludf.DUMMYFUNCTION("""COMPUTED_VALUE"""),"Active")</f>
        <v>Active</v>
      </c>
      <c r="E185" s="197">
        <f>IFERROR(__xludf.DUMMYFUNCTION("""COMPUTED_VALUE"""),45931.0)</f>
        <v>45931</v>
      </c>
      <c r="F185" s="198"/>
      <c r="G185" s="199">
        <f>IFERROR(__xludf.DUMMYFUNCTION("""COMPUTED_VALUE"""),0.4666666666666667)</f>
        <v>0.4666666667</v>
      </c>
      <c r="H185" s="197">
        <f>IFERROR(__xludf.DUMMYFUNCTION("""COMPUTED_VALUE"""),43046.0)</f>
        <v>43046</v>
      </c>
      <c r="I185" s="199">
        <f>IFERROR(__xludf.DUMMYFUNCTION("""COMPUTED_VALUE"""),7.9)</f>
        <v>7.9</v>
      </c>
      <c r="J185" s="200">
        <f>IFERROR(__xludf.DUMMYFUNCTION("""COMPUTED_VALUE"""),80.0)</f>
        <v>80</v>
      </c>
      <c r="K185" s="200">
        <f>IFERROR(__xludf.DUMMYFUNCTION("""COMPUTED_VALUE"""),2.0)</f>
        <v>2</v>
      </c>
      <c r="L185" s="201" t="str">
        <f>IFERROR(__xludf.DUMMYFUNCTION("""COMPUTED_VALUE"""),"Trivia")</f>
        <v>Trivia</v>
      </c>
      <c r="M185" s="201"/>
    </row>
    <row r="186">
      <c r="A186" s="190" t="str">
        <f>IFERROR(__xludf.DUMMYFUNCTION("""COMPUTED_VALUE"""),"Wobbly Life")</f>
        <v>Wobbly Life</v>
      </c>
      <c r="B186" s="195" t="str">
        <f>IFERROR(__xludf.DUMMYFUNCTION("""COMPUTED_VALUE"""),"Xbox / PC")</f>
        <v>Xbox / PC</v>
      </c>
      <c r="C186" s="196" t="str">
        <f>IFERROR(__xludf.DUMMYFUNCTION("""COMPUTED_VALUE"""),"Yes")</f>
        <v>Yes</v>
      </c>
      <c r="D186" s="196" t="str">
        <f>IFERROR(__xludf.DUMMYFUNCTION("""COMPUTED_VALUE"""),"Active")</f>
        <v>Active</v>
      </c>
      <c r="E186" s="197">
        <f>IFERROR(__xludf.DUMMYFUNCTION("""COMPUTED_VALUE"""),45918.0)</f>
        <v>45918</v>
      </c>
      <c r="F186" s="198"/>
      <c r="G186" s="199">
        <f>IFERROR(__xludf.DUMMYFUNCTION("""COMPUTED_VALUE"""),0.8999999999999999)</f>
        <v>0.9</v>
      </c>
      <c r="H186" s="197">
        <f>IFERROR(__xludf.DUMMYFUNCTION("""COMPUTED_VALUE"""),45898.0)</f>
        <v>45898</v>
      </c>
      <c r="I186" s="199">
        <f>IFERROR(__xludf.DUMMYFUNCTION("""COMPUTED_VALUE"""),0.05277777777777778)</f>
        <v>0.05277777778</v>
      </c>
      <c r="J186" s="200">
        <f>IFERROR(__xludf.DUMMYFUNCTION("""COMPUTED_VALUE"""),80.0)</f>
        <v>80</v>
      </c>
      <c r="K186" s="200">
        <f>IFERROR(__xludf.DUMMYFUNCTION("""COMPUTED_VALUE"""),3.0)</f>
        <v>3</v>
      </c>
      <c r="L186" s="201" t="str">
        <f>IFERROR(__xludf.DUMMYFUNCTION("""COMPUTED_VALUE"""),"Action-Adventure")</f>
        <v>Action-Adventure</v>
      </c>
      <c r="M186" s="201" t="str">
        <f>IFERROR(__xludf.DUMMYFUNCTION("""COMPUTED_VALUE"""),"Exclusive")</f>
        <v>Exclusive</v>
      </c>
    </row>
    <row r="187">
      <c r="A187" s="190" t="str">
        <f>IFERROR(__xludf.DUMMYFUNCTION("""COMPUTED_VALUE"""),"Ultimate Chicken Horse")</f>
        <v>Ultimate Chicken Horse</v>
      </c>
      <c r="B187" s="195" t="str">
        <f>IFERROR(__xludf.DUMMYFUNCTION("""COMPUTED_VALUE"""),"Xbox / PC")</f>
        <v>Xbox / PC</v>
      </c>
      <c r="C187" s="196" t="str">
        <f>IFERROR(__xludf.DUMMYFUNCTION("""COMPUTED_VALUE"""),"Yes")</f>
        <v>Yes</v>
      </c>
      <c r="D187" s="196" t="str">
        <f>IFERROR(__xludf.DUMMYFUNCTION("""COMPUTED_VALUE"""),"Active")</f>
        <v>Active</v>
      </c>
      <c r="E187" s="197">
        <f>IFERROR(__xludf.DUMMYFUNCTION("""COMPUTED_VALUE"""),45841.0)</f>
        <v>45841</v>
      </c>
      <c r="F187" s="198"/>
      <c r="G187" s="199">
        <f>IFERROR(__xludf.DUMMYFUNCTION("""COMPUTED_VALUE"""),3.4)</f>
        <v>3.4</v>
      </c>
      <c r="H187" s="197">
        <f>IFERROR(__xludf.DUMMYFUNCTION("""COMPUTED_VALUE"""),43368.0)</f>
        <v>43368</v>
      </c>
      <c r="I187" s="199">
        <f>IFERROR(__xludf.DUMMYFUNCTION("""COMPUTED_VALUE"""),6.772222222222222)</f>
        <v>6.772222222</v>
      </c>
      <c r="J187" s="200">
        <f>IFERROR(__xludf.DUMMYFUNCTION("""COMPUTED_VALUE"""),80.0)</f>
        <v>80</v>
      </c>
      <c r="K187" s="200">
        <f>IFERROR(__xludf.DUMMYFUNCTION("""COMPUTED_VALUE"""),7.0)</f>
        <v>7</v>
      </c>
      <c r="L187" s="201" t="str">
        <f>IFERROR(__xludf.DUMMYFUNCTION("""COMPUTED_VALUE"""),"Platformer")</f>
        <v>Platformer</v>
      </c>
      <c r="M187" s="201"/>
    </row>
    <row r="188">
      <c r="A188" s="190" t="str">
        <f>IFERROR(__xludf.DUMMYFUNCTION("""COMPUTED_VALUE"""),"Volcano Princess")</f>
        <v>Volcano Princess</v>
      </c>
      <c r="B188" s="195" t="str">
        <f>IFERROR(__xludf.DUMMYFUNCTION("""COMPUTED_VALUE"""),"Xbox / PC")</f>
        <v>Xbox / PC</v>
      </c>
      <c r="C188" s="196" t="str">
        <f>IFERROR(__xludf.DUMMYFUNCTION("""COMPUTED_VALUE"""),"Yes")</f>
        <v>Yes</v>
      </c>
      <c r="D188" s="196" t="str">
        <f>IFERROR(__xludf.DUMMYFUNCTION("""COMPUTED_VALUE"""),"Active")</f>
        <v>Active</v>
      </c>
      <c r="E188" s="197">
        <f>IFERROR(__xludf.DUMMYFUNCTION("""COMPUTED_VALUE"""),45832.0)</f>
        <v>45832</v>
      </c>
      <c r="F188" s="198"/>
      <c r="G188" s="199">
        <f>IFERROR(__xludf.DUMMYFUNCTION("""COMPUTED_VALUE"""),3.7)</f>
        <v>3.7</v>
      </c>
      <c r="H188" s="197">
        <f>IFERROR(__xludf.DUMMYFUNCTION("""COMPUTED_VALUE"""),45036.0)</f>
        <v>45036</v>
      </c>
      <c r="I188" s="199">
        <f>IFERROR(__xludf.DUMMYFUNCTION("""COMPUTED_VALUE"""),2.1777777777777776)</f>
        <v>2.177777778</v>
      </c>
      <c r="J188" s="200">
        <f>IFERROR(__xludf.DUMMYFUNCTION("""COMPUTED_VALUE"""),80.0)</f>
        <v>80</v>
      </c>
      <c r="K188" s="200">
        <f>IFERROR(__xludf.DUMMYFUNCTION("""COMPUTED_VALUE"""),9.0)</f>
        <v>9</v>
      </c>
      <c r="L188" s="201" t="str">
        <f>IFERROR(__xludf.DUMMYFUNCTION("""COMPUTED_VALUE"""),"RPG")</f>
        <v>RPG</v>
      </c>
      <c r="M188" s="201"/>
    </row>
    <row r="189">
      <c r="A189" s="190" t="str">
        <f>IFERROR(__xludf.DUMMYFUNCTION("""COMPUTED_VALUE"""),"Barbie Project Friendship")</f>
        <v>Barbie Project Friendship</v>
      </c>
      <c r="B189" s="195" t="str">
        <f>IFERROR(__xludf.DUMMYFUNCTION("""COMPUTED_VALUE"""),"Xbox / PC")</f>
        <v>Xbox / PC</v>
      </c>
      <c r="C189" s="196" t="str">
        <f>IFERROR(__xludf.DUMMYFUNCTION("""COMPUTED_VALUE"""),"Yes")</f>
        <v>Yes</v>
      </c>
      <c r="D189" s="196" t="str">
        <f>IFERROR(__xludf.DUMMYFUNCTION("""COMPUTED_VALUE"""),"Active")</f>
        <v>Active</v>
      </c>
      <c r="E189" s="197">
        <f>IFERROR(__xludf.DUMMYFUNCTION("""COMPUTED_VALUE"""),45819.0)</f>
        <v>45819</v>
      </c>
      <c r="F189" s="198"/>
      <c r="G189" s="199">
        <f>IFERROR(__xludf.DUMMYFUNCTION("""COMPUTED_VALUE"""),4.133333333333333)</f>
        <v>4.133333333</v>
      </c>
      <c r="H189" s="197">
        <f>IFERROR(__xludf.DUMMYFUNCTION("""COMPUTED_VALUE"""),45590.0)</f>
        <v>45590</v>
      </c>
      <c r="I189" s="199">
        <f>IFERROR(__xludf.DUMMYFUNCTION("""COMPUTED_VALUE"""),0.6277777777777778)</f>
        <v>0.6277777778</v>
      </c>
      <c r="J189" s="200">
        <f>IFERROR(__xludf.DUMMYFUNCTION("""COMPUTED_VALUE"""),80.0)</f>
        <v>80</v>
      </c>
      <c r="K189" s="200">
        <f>IFERROR(__xludf.DUMMYFUNCTION("""COMPUTED_VALUE"""),8.0)</f>
        <v>8</v>
      </c>
      <c r="L189" s="201" t="str">
        <f>IFERROR(__xludf.DUMMYFUNCTION("""COMPUTED_VALUE"""),"Action-Adventure")</f>
        <v>Action-Adventure</v>
      </c>
      <c r="M189" s="201"/>
    </row>
    <row r="190">
      <c r="A190" s="190" t="str">
        <f>IFERROR(__xludf.DUMMYFUNCTION("""COMPUTED_VALUE"""),"DREDGE")</f>
        <v>DREDGE</v>
      </c>
      <c r="B190" s="195" t="str">
        <f>IFERROR(__xludf.DUMMYFUNCTION("""COMPUTED_VALUE"""),"Xbox / PC")</f>
        <v>Xbox / PC</v>
      </c>
      <c r="C190" s="196" t="str">
        <f>IFERROR(__xludf.DUMMYFUNCTION("""COMPUTED_VALUE"""),"Yes")</f>
        <v>Yes</v>
      </c>
      <c r="D190" s="196" t="str">
        <f>IFERROR(__xludf.DUMMYFUNCTION("""COMPUTED_VALUE"""),"Active")</f>
        <v>Active</v>
      </c>
      <c r="E190" s="197">
        <f>IFERROR(__xludf.DUMMYFUNCTION("""COMPUTED_VALUE"""),45783.0)</f>
        <v>45783</v>
      </c>
      <c r="F190" s="198"/>
      <c r="G190" s="199">
        <f>IFERROR(__xludf.DUMMYFUNCTION("""COMPUTED_VALUE"""),5.3)</f>
        <v>5.3</v>
      </c>
      <c r="H190" s="197">
        <f>IFERROR(__xludf.DUMMYFUNCTION("""COMPUTED_VALUE"""),45015.0)</f>
        <v>45015</v>
      </c>
      <c r="I190" s="199">
        <f>IFERROR(__xludf.DUMMYFUNCTION("""COMPUTED_VALUE"""),2.1)</f>
        <v>2.1</v>
      </c>
      <c r="J190" s="200">
        <f>IFERROR(__xludf.DUMMYFUNCTION("""COMPUTED_VALUE"""),80.0)</f>
        <v>80</v>
      </c>
      <c r="K190" s="200">
        <f>IFERROR(__xludf.DUMMYFUNCTION("""COMPUTED_VALUE"""),10.0)</f>
        <v>10</v>
      </c>
      <c r="L190" s="201" t="str">
        <f>IFERROR(__xludf.DUMMYFUNCTION("""COMPUTED_VALUE"""),"Action-Adventure")</f>
        <v>Action-Adventure</v>
      </c>
      <c r="M190" s="201" t="str">
        <f>IFERROR(__xludf.DUMMYFUNCTION("""COMPUTED_VALUE"""),"Exclusive")</f>
        <v>Exclusive</v>
      </c>
    </row>
    <row r="191">
      <c r="A191" s="190" t="str">
        <f>IFERROR(__xludf.DUMMYFUNCTION("""COMPUTED_VALUE"""),"Ninja Gaiden II: Black")</f>
        <v>Ninja Gaiden II: Black</v>
      </c>
      <c r="B191" s="195" t="str">
        <f>IFERROR(__xludf.DUMMYFUNCTION("""COMPUTED_VALUE"""),"Xbox / PC")</f>
        <v>Xbox / PC</v>
      </c>
      <c r="C191" s="196" t="str">
        <f>IFERROR(__xludf.DUMMYFUNCTION("""COMPUTED_VALUE"""),"Yes")</f>
        <v>Yes</v>
      </c>
      <c r="D191" s="196" t="str">
        <f>IFERROR(__xludf.DUMMYFUNCTION("""COMPUTED_VALUE"""),"Active")</f>
        <v>Active</v>
      </c>
      <c r="E191" s="197">
        <f>IFERROR(__xludf.DUMMYFUNCTION("""COMPUTED_VALUE"""),45680.0)</f>
        <v>45680</v>
      </c>
      <c r="F191" s="198"/>
      <c r="G191" s="199">
        <f>IFERROR(__xludf.DUMMYFUNCTION("""COMPUTED_VALUE"""),8.733333333333333)</f>
        <v>8.733333333</v>
      </c>
      <c r="H191" s="197">
        <f>IFERROR(__xludf.DUMMYFUNCTION("""COMPUTED_VALUE"""),45680.0)</f>
        <v>45680</v>
      </c>
      <c r="I191" s="199">
        <f>IFERROR(__xludf.DUMMYFUNCTION("""COMPUTED_VALUE"""),0.0)</f>
        <v>0</v>
      </c>
      <c r="J191" s="200">
        <f>IFERROR(__xludf.DUMMYFUNCTION("""COMPUTED_VALUE"""),80.0)</f>
        <v>80</v>
      </c>
      <c r="K191" s="200">
        <f>IFERROR(__xludf.DUMMYFUNCTION("""COMPUTED_VALUE"""),10.0)</f>
        <v>10</v>
      </c>
      <c r="L191" s="201" t="str">
        <f>IFERROR(__xludf.DUMMYFUNCTION("""COMPUTED_VALUE"""),"Action-Adventure")</f>
        <v>Action-Adventure</v>
      </c>
      <c r="M191" s="201"/>
    </row>
    <row r="192">
      <c r="A192" s="190" t="str">
        <f>IFERROR(__xludf.DUMMYFUNCTION("""COMPUTED_VALUE"""),"Hunt: Showdown 1896")</f>
        <v>Hunt: Showdown 1896</v>
      </c>
      <c r="B192" s="195" t="str">
        <f>IFERROR(__xludf.DUMMYFUNCTION("""COMPUTED_VALUE"""),"Xbox / PC")</f>
        <v>Xbox / PC</v>
      </c>
      <c r="C192" s="196" t="str">
        <f>IFERROR(__xludf.DUMMYFUNCTION("""COMPUTED_VALUE"""),"Yes")</f>
        <v>Yes</v>
      </c>
      <c r="D192" s="196" t="str">
        <f>IFERROR(__xludf.DUMMYFUNCTION("""COMPUTED_VALUE"""),"Active")</f>
        <v>Active</v>
      </c>
      <c r="E192" s="197">
        <f>IFERROR(__xludf.DUMMYFUNCTION("""COMPUTED_VALUE"""),45638.0)</f>
        <v>45638</v>
      </c>
      <c r="F192" s="198"/>
      <c r="G192" s="199">
        <f>IFERROR(__xludf.DUMMYFUNCTION("""COMPUTED_VALUE"""),10.1)</f>
        <v>10.1</v>
      </c>
      <c r="H192" s="197">
        <f>IFERROR(__xludf.DUMMYFUNCTION("""COMPUTED_VALUE"""),45519.0)</f>
        <v>45519</v>
      </c>
      <c r="I192" s="199">
        <f>IFERROR(__xludf.DUMMYFUNCTION("""COMPUTED_VALUE"""),0.325)</f>
        <v>0.325</v>
      </c>
      <c r="J192" s="200">
        <f>IFERROR(__xludf.DUMMYFUNCTION("""COMPUTED_VALUE"""),80.0)</f>
        <v>80</v>
      </c>
      <c r="K192" s="200">
        <f>IFERROR(__xludf.DUMMYFUNCTION("""COMPUTED_VALUE"""),41.0)</f>
        <v>41</v>
      </c>
      <c r="L192" s="201" t="str">
        <f>IFERROR(__xludf.DUMMYFUNCTION("""COMPUTED_VALUE"""),"Shooter")</f>
        <v>Shooter</v>
      </c>
      <c r="M192" s="201" t="str">
        <f>IFERROR(__xludf.DUMMYFUNCTION("""COMPUTED_VALUE"""),"Exclusive")</f>
        <v>Exclusive</v>
      </c>
    </row>
    <row r="193">
      <c r="A193" s="190" t="str">
        <f>IFERROR(__xludf.DUMMYFUNCTION("""COMPUTED_VALUE"""),"Wildfrost")</f>
        <v>Wildfrost</v>
      </c>
      <c r="B193" s="195" t="str">
        <f>IFERROR(__xludf.DUMMYFUNCTION("""COMPUTED_VALUE"""),"Xbox / PC")</f>
        <v>Xbox / PC</v>
      </c>
      <c r="C193" s="196" t="str">
        <f>IFERROR(__xludf.DUMMYFUNCTION("""COMPUTED_VALUE"""),"Yes")</f>
        <v>Yes</v>
      </c>
      <c r="D193" s="196" t="str">
        <f>IFERROR(__xludf.DUMMYFUNCTION("""COMPUTED_VALUE"""),"Active")</f>
        <v>Active</v>
      </c>
      <c r="E193" s="197">
        <f>IFERROR(__xludf.DUMMYFUNCTION("""COMPUTED_VALUE"""),45636.0)</f>
        <v>45636</v>
      </c>
      <c r="F193" s="198"/>
      <c r="G193" s="199">
        <f>IFERROR(__xludf.DUMMYFUNCTION("""COMPUTED_VALUE"""),10.166666666666666)</f>
        <v>10.16666667</v>
      </c>
      <c r="H193" s="197">
        <f>IFERROR(__xludf.DUMMYFUNCTION("""COMPUTED_VALUE"""),45028.0)</f>
        <v>45028</v>
      </c>
      <c r="I193" s="199">
        <f>IFERROR(__xludf.DUMMYFUNCTION("""COMPUTED_VALUE"""),1.6611111111111112)</f>
        <v>1.661111111</v>
      </c>
      <c r="J193" s="200">
        <f>IFERROR(__xludf.DUMMYFUNCTION("""COMPUTED_VALUE"""),80.0)</f>
        <v>80</v>
      </c>
      <c r="K193" s="200">
        <f>IFERROR(__xludf.DUMMYFUNCTION("""COMPUTED_VALUE"""),13.0)</f>
        <v>13</v>
      </c>
      <c r="L193" s="201" t="str">
        <f>IFERROR(__xludf.DUMMYFUNCTION("""COMPUTED_VALUE"""),"Card Battle")</f>
        <v>Card Battle</v>
      </c>
      <c r="M193" s="201"/>
    </row>
    <row r="194">
      <c r="A194" s="190" t="str">
        <f>IFERROR(__xludf.DUMMYFUNCTION("""COMPUTED_VALUE"""),"EA Sports WRC")</f>
        <v>EA Sports WRC</v>
      </c>
      <c r="B194" s="195" t="str">
        <f>IFERROR(__xludf.DUMMYFUNCTION("""COMPUTED_VALUE"""),"Xbox / PC")</f>
        <v>Xbox / PC</v>
      </c>
      <c r="C194" s="196" t="str">
        <f>IFERROR(__xludf.DUMMYFUNCTION("""COMPUTED_VALUE"""),"Yes")</f>
        <v>Yes</v>
      </c>
      <c r="D194" s="196" t="str">
        <f>IFERROR(__xludf.DUMMYFUNCTION("""COMPUTED_VALUE"""),"Active")</f>
        <v>Active</v>
      </c>
      <c r="E194" s="197">
        <f>IFERROR(__xludf.DUMMYFUNCTION("""COMPUTED_VALUE"""),45631.0)</f>
        <v>45631</v>
      </c>
      <c r="F194" s="198"/>
      <c r="G194" s="199">
        <f>IFERROR(__xludf.DUMMYFUNCTION("""COMPUTED_VALUE"""),10.333333333333334)</f>
        <v>10.33333333</v>
      </c>
      <c r="H194" s="197">
        <f>IFERROR(__xludf.DUMMYFUNCTION("""COMPUTED_VALUE"""),45233.0)</f>
        <v>45233</v>
      </c>
      <c r="I194" s="199">
        <f>IFERROR(__xludf.DUMMYFUNCTION("""COMPUTED_VALUE"""),1.0888888888888888)</f>
        <v>1.088888889</v>
      </c>
      <c r="J194" s="200">
        <f>IFERROR(__xludf.DUMMYFUNCTION("""COMPUTED_VALUE"""),80.0)</f>
        <v>80</v>
      </c>
      <c r="K194" s="200">
        <f>IFERROR(__xludf.DUMMYFUNCTION("""COMPUTED_VALUE"""),11.0)</f>
        <v>11</v>
      </c>
      <c r="L194" s="201" t="str">
        <f>IFERROR(__xludf.DUMMYFUNCTION("""COMPUTED_VALUE"""),"Racing")</f>
        <v>Racing</v>
      </c>
      <c r="M194" s="201" t="str">
        <f>IFERROR(__xludf.DUMMYFUNCTION("""COMPUTED_VALUE"""),"Exclusive")</f>
        <v>Exclusive</v>
      </c>
    </row>
    <row r="195">
      <c r="A195" s="190" t="str">
        <f>IFERROR(__xludf.DUMMYFUNCTION("""COMPUTED_VALUE"""),"Crash Bandicoot N. Sane Trilogy")</f>
        <v>Crash Bandicoot N. Sane Trilogy</v>
      </c>
      <c r="B195" s="195" t="str">
        <f>IFERROR(__xludf.DUMMYFUNCTION("""COMPUTED_VALUE"""),"Xbox / PC")</f>
        <v>Xbox / PC</v>
      </c>
      <c r="C195" s="196" t="str">
        <f>IFERROR(__xludf.DUMMYFUNCTION("""COMPUTED_VALUE"""),"Yes")</f>
        <v>Yes</v>
      </c>
      <c r="D195" s="196" t="str">
        <f>IFERROR(__xludf.DUMMYFUNCTION("""COMPUTED_VALUE"""),"Active")</f>
        <v>Active</v>
      </c>
      <c r="E195" s="197">
        <f>IFERROR(__xludf.DUMMYFUNCTION("""COMPUTED_VALUE"""),45512.0)</f>
        <v>45512</v>
      </c>
      <c r="F195" s="198"/>
      <c r="G195" s="199">
        <f>IFERROR(__xludf.DUMMYFUNCTION("""COMPUTED_VALUE"""),14.233333333333334)</f>
        <v>14.23333333</v>
      </c>
      <c r="H195" s="197">
        <f>IFERROR(__xludf.DUMMYFUNCTION("""COMPUTED_VALUE"""),42916.0)</f>
        <v>42916</v>
      </c>
      <c r="I195" s="199">
        <f>IFERROR(__xludf.DUMMYFUNCTION("""COMPUTED_VALUE"""),7.105555555555555)</f>
        <v>7.105555556</v>
      </c>
      <c r="J195" s="200">
        <f>IFERROR(__xludf.DUMMYFUNCTION("""COMPUTED_VALUE"""),80.0)</f>
        <v>80</v>
      </c>
      <c r="K195" s="200">
        <f>IFERROR(__xludf.DUMMYFUNCTION("""COMPUTED_VALUE"""),15.0)</f>
        <v>15</v>
      </c>
      <c r="L195" s="201" t="str">
        <f>IFERROR(__xludf.DUMMYFUNCTION("""COMPUTED_VALUE"""),"Platformer")</f>
        <v>Platformer</v>
      </c>
      <c r="M195" s="201"/>
    </row>
    <row r="196">
      <c r="A196" s="190" t="str">
        <f>IFERROR(__xludf.DUMMYFUNCTION("""COMPUTED_VALUE"""),"Moving Out 2")</f>
        <v>Moving Out 2</v>
      </c>
      <c r="B196" s="195" t="str">
        <f>IFERROR(__xludf.DUMMYFUNCTION("""COMPUTED_VALUE"""),"Xbox / PC")</f>
        <v>Xbox / PC</v>
      </c>
      <c r="C196" s="196" t="str">
        <f>IFERROR(__xludf.DUMMYFUNCTION("""COMPUTED_VALUE"""),"Yes")</f>
        <v>Yes</v>
      </c>
      <c r="D196" s="196" t="str">
        <f>IFERROR(__xludf.DUMMYFUNCTION("""COMPUTED_VALUE"""),"Active")</f>
        <v>Active</v>
      </c>
      <c r="E196" s="197">
        <f>IFERROR(__xludf.DUMMYFUNCTION("""COMPUTED_VALUE"""),45440.0)</f>
        <v>45440</v>
      </c>
      <c r="F196" s="198"/>
      <c r="G196" s="199">
        <f>IFERROR(__xludf.DUMMYFUNCTION("""COMPUTED_VALUE"""),16.566666666666666)</f>
        <v>16.56666667</v>
      </c>
      <c r="H196" s="197">
        <f>IFERROR(__xludf.DUMMYFUNCTION("""COMPUTED_VALUE"""),45153.0)</f>
        <v>45153</v>
      </c>
      <c r="I196" s="199">
        <f>IFERROR(__xludf.DUMMYFUNCTION("""COMPUTED_VALUE"""),0.7861111111111111)</f>
        <v>0.7861111111</v>
      </c>
      <c r="J196" s="200">
        <f>IFERROR(__xludf.DUMMYFUNCTION("""COMPUTED_VALUE"""),80.0)</f>
        <v>80</v>
      </c>
      <c r="K196" s="200">
        <f>IFERROR(__xludf.DUMMYFUNCTION("""COMPUTED_VALUE"""),10.0)</f>
        <v>10</v>
      </c>
      <c r="L196" s="201" t="str">
        <f>IFERROR(__xludf.DUMMYFUNCTION("""COMPUTED_VALUE"""),"Simulation")</f>
        <v>Simulation</v>
      </c>
      <c r="M196" s="201" t="str">
        <f>IFERROR(__xludf.DUMMYFUNCTION("""COMPUTED_VALUE"""),"Exclusive")</f>
        <v>Exclusive</v>
      </c>
    </row>
    <row r="197">
      <c r="A197" s="190" t="str">
        <f>IFERROR(__xludf.DUMMYFUNCTION("""COMPUTED_VALUE"""),"Galacticare")</f>
        <v>Galacticare</v>
      </c>
      <c r="B197" s="195" t="str">
        <f>IFERROR(__xludf.DUMMYFUNCTION("""COMPUTED_VALUE"""),"Xbox / PC")</f>
        <v>Xbox / PC</v>
      </c>
      <c r="C197" s="196" t="str">
        <f>IFERROR(__xludf.DUMMYFUNCTION("""COMPUTED_VALUE"""),"Yes")</f>
        <v>Yes</v>
      </c>
      <c r="D197" s="196" t="str">
        <f>IFERROR(__xludf.DUMMYFUNCTION("""COMPUTED_VALUE"""),"Active")</f>
        <v>Active</v>
      </c>
      <c r="E197" s="197">
        <f>IFERROR(__xludf.DUMMYFUNCTION("""COMPUTED_VALUE"""),45435.0)</f>
        <v>45435</v>
      </c>
      <c r="F197" s="198"/>
      <c r="G197" s="199">
        <f>IFERROR(__xludf.DUMMYFUNCTION("""COMPUTED_VALUE"""),16.733333333333334)</f>
        <v>16.73333333</v>
      </c>
      <c r="H197" s="197">
        <f>IFERROR(__xludf.DUMMYFUNCTION("""COMPUTED_VALUE"""),45435.0)</f>
        <v>45435</v>
      </c>
      <c r="I197" s="199">
        <f>IFERROR(__xludf.DUMMYFUNCTION("""COMPUTED_VALUE"""),0.0)</f>
        <v>0</v>
      </c>
      <c r="J197" s="200">
        <f>IFERROR(__xludf.DUMMYFUNCTION("""COMPUTED_VALUE"""),80.0)</f>
        <v>80</v>
      </c>
      <c r="K197" s="200">
        <f>IFERROR(__xludf.DUMMYFUNCTION("""COMPUTED_VALUE"""),20.0)</f>
        <v>20</v>
      </c>
      <c r="L197" s="201" t="str">
        <f>IFERROR(__xludf.DUMMYFUNCTION("""COMPUTED_VALUE"""),"Tycoon")</f>
        <v>Tycoon</v>
      </c>
      <c r="M197" s="201" t="str">
        <f>IFERROR(__xludf.DUMMYFUNCTION("""COMPUTED_VALUE"""),"Exclusive")</f>
        <v>Exclusive</v>
      </c>
    </row>
    <row r="198">
      <c r="A198" s="190" t="str">
        <f>IFERROR(__xludf.DUMMYFUNCTION("""COMPUTED_VALUE"""),"Senua's Saga: Hellblade II")</f>
        <v>Senua's Saga: Hellblade II</v>
      </c>
      <c r="B198" s="195" t="str">
        <f>IFERROR(__xludf.DUMMYFUNCTION("""COMPUTED_VALUE"""),"Xbox / PC")</f>
        <v>Xbox / PC</v>
      </c>
      <c r="C198" s="196" t="str">
        <f>IFERROR(__xludf.DUMMYFUNCTION("""COMPUTED_VALUE"""),"Yes")</f>
        <v>Yes</v>
      </c>
      <c r="D198" s="196" t="str">
        <f>IFERROR(__xludf.DUMMYFUNCTION("""COMPUTED_VALUE"""),"Active")</f>
        <v>Active</v>
      </c>
      <c r="E198" s="197">
        <f>IFERROR(__xludf.DUMMYFUNCTION("""COMPUTED_VALUE"""),45433.0)</f>
        <v>45433</v>
      </c>
      <c r="F198" s="198"/>
      <c r="G198" s="199">
        <f>IFERROR(__xludf.DUMMYFUNCTION("""COMPUTED_VALUE"""),16.799999999999997)</f>
        <v>16.8</v>
      </c>
      <c r="H198" s="197">
        <f>IFERROR(__xludf.DUMMYFUNCTION("""COMPUTED_VALUE"""),45433.0)</f>
        <v>45433</v>
      </c>
      <c r="I198" s="199">
        <f>IFERROR(__xludf.DUMMYFUNCTION("""COMPUTED_VALUE"""),0.0)</f>
        <v>0</v>
      </c>
      <c r="J198" s="200">
        <f>IFERROR(__xludf.DUMMYFUNCTION("""COMPUTED_VALUE"""),80.0)</f>
        <v>80</v>
      </c>
      <c r="K198" s="200">
        <f>IFERROR(__xludf.DUMMYFUNCTION("""COMPUTED_VALUE"""),7.0)</f>
        <v>7</v>
      </c>
      <c r="L198" s="201" t="str">
        <f>IFERROR(__xludf.DUMMYFUNCTION("""COMPUTED_VALUE"""),"Action / Action-Adventure")</f>
        <v>Action / Action-Adventure</v>
      </c>
      <c r="M198" s="201" t="str">
        <f>IFERROR(__xludf.DUMMYFUNCTION("""COMPUTED_VALUE"""),"Exclusive")</f>
        <v>Exclusive</v>
      </c>
    </row>
    <row r="199">
      <c r="A199" s="190" t="str">
        <f>IFERROR(__xludf.DUMMYFUNCTION("""COMPUTED_VALUE"""),"Assassin's Creed Valhalla")</f>
        <v>Assassin's Creed Valhalla</v>
      </c>
      <c r="B199" s="195" t="str">
        <f>IFERROR(__xludf.DUMMYFUNCTION("""COMPUTED_VALUE"""),"Xbox / PC")</f>
        <v>Xbox / PC</v>
      </c>
      <c r="C199" s="196" t="str">
        <f>IFERROR(__xludf.DUMMYFUNCTION("""COMPUTED_VALUE"""),"Yes")</f>
        <v>Yes</v>
      </c>
      <c r="D199" s="196" t="str">
        <f>IFERROR(__xludf.DUMMYFUNCTION("""COMPUTED_VALUE"""),"Active")</f>
        <v>Active</v>
      </c>
      <c r="E199" s="197">
        <f>IFERROR(__xludf.DUMMYFUNCTION("""COMPUTED_VALUE"""),45300.0)</f>
        <v>45300</v>
      </c>
      <c r="F199" s="198"/>
      <c r="G199" s="199">
        <f>IFERROR(__xludf.DUMMYFUNCTION("""COMPUTED_VALUE"""),21.2)</f>
        <v>21.2</v>
      </c>
      <c r="H199" s="197">
        <f>IFERROR(__xludf.DUMMYFUNCTION("""COMPUTED_VALUE"""),44145.0)</f>
        <v>44145</v>
      </c>
      <c r="I199" s="199">
        <f>IFERROR(__xludf.DUMMYFUNCTION("""COMPUTED_VALUE"""),3.1638888888888888)</f>
        <v>3.163888889</v>
      </c>
      <c r="J199" s="200">
        <f>IFERROR(__xludf.DUMMYFUNCTION("""COMPUTED_VALUE"""),80.0)</f>
        <v>80</v>
      </c>
      <c r="K199" s="200">
        <f>IFERROR(__xludf.DUMMYFUNCTION("""COMPUTED_VALUE"""),61.0)</f>
        <v>61</v>
      </c>
      <c r="L199" s="201" t="str">
        <f>IFERROR(__xludf.DUMMYFUNCTION("""COMPUTED_VALUE"""),"RPG / Action-Adventure")</f>
        <v>RPG / Action-Adventure</v>
      </c>
      <c r="M199" s="201"/>
    </row>
    <row r="200">
      <c r="A200" s="190" t="str">
        <f>IFERROR(__xludf.DUMMYFUNCTION("""COMPUTED_VALUE"""),"Thirsty Suitors")</f>
        <v>Thirsty Suitors</v>
      </c>
      <c r="B200" s="195" t="str">
        <f>IFERROR(__xludf.DUMMYFUNCTION("""COMPUTED_VALUE"""),"Xbox / PC")</f>
        <v>Xbox / PC</v>
      </c>
      <c r="C200" s="196" t="str">
        <f>IFERROR(__xludf.DUMMYFUNCTION("""COMPUTED_VALUE"""),"Yes")</f>
        <v>Yes</v>
      </c>
      <c r="D200" s="196" t="str">
        <f>IFERROR(__xludf.DUMMYFUNCTION("""COMPUTED_VALUE"""),"Active")</f>
        <v>Active</v>
      </c>
      <c r="E200" s="197">
        <f>IFERROR(__xludf.DUMMYFUNCTION("""COMPUTED_VALUE"""),45232.0)</f>
        <v>45232</v>
      </c>
      <c r="F200" s="198"/>
      <c r="G200" s="199">
        <f>IFERROR(__xludf.DUMMYFUNCTION("""COMPUTED_VALUE"""),23.433333333333334)</f>
        <v>23.43333333</v>
      </c>
      <c r="H200" s="197">
        <f>IFERROR(__xludf.DUMMYFUNCTION("""COMPUTED_VALUE"""),45232.0)</f>
        <v>45232</v>
      </c>
      <c r="I200" s="199">
        <f>IFERROR(__xludf.DUMMYFUNCTION("""COMPUTED_VALUE"""),0.0)</f>
        <v>0</v>
      </c>
      <c r="J200" s="200">
        <f>IFERROR(__xludf.DUMMYFUNCTION("""COMPUTED_VALUE"""),80.0)</f>
        <v>80</v>
      </c>
      <c r="K200" s="200">
        <f>IFERROR(__xludf.DUMMYFUNCTION("""COMPUTED_VALUE"""),8.0)</f>
        <v>8</v>
      </c>
      <c r="L200" s="201" t="str">
        <f>IFERROR(__xludf.DUMMYFUNCTION("""COMPUTED_VALUE"""),"Adventure / RPG")</f>
        <v>Adventure / RPG</v>
      </c>
      <c r="M200" s="201"/>
    </row>
    <row r="201">
      <c r="A201" s="190" t="str">
        <f>IFERROR(__xludf.DUMMYFUNCTION("""COMPUTED_VALUE"""),"Wartales")</f>
        <v>Wartales</v>
      </c>
      <c r="B201" s="195" t="str">
        <f>IFERROR(__xludf.DUMMYFUNCTION("""COMPUTED_VALUE"""),"Xbox / PC")</f>
        <v>Xbox / PC</v>
      </c>
      <c r="C201" s="196" t="str">
        <f>IFERROR(__xludf.DUMMYFUNCTION("""COMPUTED_VALUE"""),"Yes")</f>
        <v>Yes</v>
      </c>
      <c r="D201" s="196" t="str">
        <f>IFERROR(__xludf.DUMMYFUNCTION("""COMPUTED_VALUE"""),"Active")</f>
        <v>Active</v>
      </c>
      <c r="E201" s="197">
        <f>IFERROR(__xludf.DUMMYFUNCTION("""COMPUTED_VALUE"""),45230.0)</f>
        <v>45230</v>
      </c>
      <c r="F201" s="198"/>
      <c r="G201" s="199">
        <f>IFERROR(__xludf.DUMMYFUNCTION("""COMPUTED_VALUE"""),23.5)</f>
        <v>23.5</v>
      </c>
      <c r="H201" s="197">
        <f>IFERROR(__xludf.DUMMYFUNCTION("""COMPUTED_VALUE"""),44531.0)</f>
        <v>44531</v>
      </c>
      <c r="I201" s="199">
        <f>IFERROR(__xludf.DUMMYFUNCTION("""COMPUTED_VALUE"""),1.913888888888889)</f>
        <v>1.913888889</v>
      </c>
      <c r="J201" s="200">
        <f>IFERROR(__xludf.DUMMYFUNCTION("""COMPUTED_VALUE"""),80.0)</f>
        <v>80</v>
      </c>
      <c r="K201" s="200">
        <f>IFERROR(__xludf.DUMMYFUNCTION("""COMPUTED_VALUE"""),38.0)</f>
        <v>38</v>
      </c>
      <c r="L201" s="201" t="str">
        <f>IFERROR(__xludf.DUMMYFUNCTION("""COMPUTED_VALUE"""),"Strategy / Adventure / RPG")</f>
        <v>Strategy / Adventure / RPG</v>
      </c>
      <c r="M201" s="201"/>
    </row>
    <row r="202">
      <c r="A202" s="190" t="str">
        <f>IFERROR(__xludf.DUMMYFUNCTION("""COMPUTED_VALUE"""),"Planet of Lana")</f>
        <v>Planet of Lana</v>
      </c>
      <c r="B202" s="195" t="str">
        <f>IFERROR(__xludf.DUMMYFUNCTION("""COMPUTED_VALUE"""),"Xbox / PC")</f>
        <v>Xbox / PC</v>
      </c>
      <c r="C202" s="196" t="str">
        <f>IFERROR(__xludf.DUMMYFUNCTION("""COMPUTED_VALUE"""),"Yes")</f>
        <v>Yes</v>
      </c>
      <c r="D202" s="196" t="str">
        <f>IFERROR(__xludf.DUMMYFUNCTION("""COMPUTED_VALUE"""),"Active")</f>
        <v>Active</v>
      </c>
      <c r="E202" s="197">
        <f>IFERROR(__xludf.DUMMYFUNCTION("""COMPUTED_VALUE"""),45069.0)</f>
        <v>45069</v>
      </c>
      <c r="F202" s="198"/>
      <c r="G202" s="199">
        <f>IFERROR(__xludf.DUMMYFUNCTION("""COMPUTED_VALUE"""),28.733333333333334)</f>
        <v>28.73333333</v>
      </c>
      <c r="H202" s="197">
        <f>IFERROR(__xludf.DUMMYFUNCTION("""COMPUTED_VALUE"""),45069.0)</f>
        <v>45069</v>
      </c>
      <c r="I202" s="199">
        <f>IFERROR(__xludf.DUMMYFUNCTION("""COMPUTED_VALUE"""),0.0)</f>
        <v>0</v>
      </c>
      <c r="J202" s="200">
        <f>IFERROR(__xludf.DUMMYFUNCTION("""COMPUTED_VALUE"""),80.0)</f>
        <v>80</v>
      </c>
      <c r="K202" s="200">
        <f>IFERROR(__xludf.DUMMYFUNCTION("""COMPUTED_VALUE"""),5.0)</f>
        <v>5</v>
      </c>
      <c r="L202" s="201" t="str">
        <f>IFERROR(__xludf.DUMMYFUNCTION("""COMPUTED_VALUE"""),"Adventure / Puzzle")</f>
        <v>Adventure / Puzzle</v>
      </c>
      <c r="M202" s="201"/>
    </row>
    <row r="203">
      <c r="A203" s="190" t="str">
        <f>IFERROR(__xludf.DUMMYFUNCTION("""COMPUTED_VALUE"""),"LEGO Star Wars: The Skywalker Saga")</f>
        <v>LEGO Star Wars: The Skywalker Saga</v>
      </c>
      <c r="B203" s="195" t="str">
        <f>IFERROR(__xludf.DUMMYFUNCTION("""COMPUTED_VALUE"""),"Xbox / PC")</f>
        <v>Xbox / PC</v>
      </c>
      <c r="C203" s="196" t="str">
        <f>IFERROR(__xludf.DUMMYFUNCTION("""COMPUTED_VALUE"""),"Yes")</f>
        <v>Yes</v>
      </c>
      <c r="D203" s="196" t="str">
        <f>IFERROR(__xludf.DUMMYFUNCTION("""COMPUTED_VALUE"""),"Active")</f>
        <v>Active</v>
      </c>
      <c r="E203" s="197">
        <f>IFERROR(__xludf.DUMMYFUNCTION("""COMPUTED_VALUE"""),44901.0)</f>
        <v>44901</v>
      </c>
      <c r="F203" s="198"/>
      <c r="G203" s="199">
        <f>IFERROR(__xludf.DUMMYFUNCTION("""COMPUTED_VALUE"""),34.3)</f>
        <v>34.3</v>
      </c>
      <c r="H203" s="197">
        <f>IFERROR(__xludf.DUMMYFUNCTION("""COMPUTED_VALUE"""),44656.0)</f>
        <v>44656</v>
      </c>
      <c r="I203" s="199">
        <f>IFERROR(__xludf.DUMMYFUNCTION("""COMPUTED_VALUE"""),0.6694444444444444)</f>
        <v>0.6694444444</v>
      </c>
      <c r="J203" s="200">
        <f>IFERROR(__xludf.DUMMYFUNCTION("""COMPUTED_VALUE"""),80.0)</f>
        <v>80</v>
      </c>
      <c r="K203" s="200">
        <f>IFERROR(__xludf.DUMMYFUNCTION("""COMPUTED_VALUE"""),19.0)</f>
        <v>19</v>
      </c>
      <c r="L203" s="201" t="str">
        <f>IFERROR(__xludf.DUMMYFUNCTION("""COMPUTED_VALUE"""),"Shooter / Brawler / Action-Adventure")</f>
        <v>Shooter / Brawler / Action-Adventure</v>
      </c>
      <c r="M203" s="201"/>
    </row>
    <row r="204">
      <c r="A204" s="190" t="str">
        <f>IFERROR(__xludf.DUMMYFUNCTION("""COMPUTED_VALUE"""),"Far Cry 5")</f>
        <v>Far Cry 5</v>
      </c>
      <c r="B204" s="195" t="str">
        <f>IFERROR(__xludf.DUMMYFUNCTION("""COMPUTED_VALUE"""),"Xbox / PC")</f>
        <v>Xbox / PC</v>
      </c>
      <c r="C204" s="196" t="str">
        <f>IFERROR(__xludf.DUMMYFUNCTION("""COMPUTED_VALUE"""),"Yes")</f>
        <v>Yes</v>
      </c>
      <c r="D204" s="196" t="str">
        <f>IFERROR(__xludf.DUMMYFUNCTION("""COMPUTED_VALUE"""),"Active")</f>
        <v>Active</v>
      </c>
      <c r="E204" s="197">
        <f>IFERROR(__xludf.DUMMYFUNCTION("""COMPUTED_VALUE"""),44743.0)</f>
        <v>44743</v>
      </c>
      <c r="F204" s="198"/>
      <c r="G204" s="199">
        <f>IFERROR(__xludf.DUMMYFUNCTION("""COMPUTED_VALUE"""),39.46666666666667)</f>
        <v>39.46666667</v>
      </c>
      <c r="H204" s="197">
        <f>IFERROR(__xludf.DUMMYFUNCTION("""COMPUTED_VALUE"""),43186.0)</f>
        <v>43186</v>
      </c>
      <c r="I204" s="199">
        <f>IFERROR(__xludf.DUMMYFUNCTION("""COMPUTED_VALUE"""),4.261111111111111)</f>
        <v>4.261111111</v>
      </c>
      <c r="J204" s="200">
        <f>IFERROR(__xludf.DUMMYFUNCTION("""COMPUTED_VALUE"""),80.0)</f>
        <v>80</v>
      </c>
      <c r="K204" s="200">
        <f>IFERROR(__xludf.DUMMYFUNCTION("""COMPUTED_VALUE"""),18.0)</f>
        <v>18</v>
      </c>
      <c r="L204" s="201" t="str">
        <f>IFERROR(__xludf.DUMMYFUNCTION("""COMPUTED_VALUE"""),"First-Person Shooter")</f>
        <v>First-Person Shooter</v>
      </c>
      <c r="M204" s="201"/>
    </row>
    <row r="205">
      <c r="A205" s="190" t="str">
        <f>IFERROR(__xludf.DUMMYFUNCTION("""COMPUTED_VALUE"""),"Plants vs. Zombies: Garden Warfare 2 - Deluxe Edition")</f>
        <v>Plants vs. Zombies: Garden Warfare 2 - Deluxe Edition</v>
      </c>
      <c r="B205" s="195" t="str">
        <f>IFERROR(__xludf.DUMMYFUNCTION("""COMPUTED_VALUE"""),"Xbox / PC")</f>
        <v>Xbox / PC</v>
      </c>
      <c r="C205" s="196" t="str">
        <f>IFERROR(__xludf.DUMMYFUNCTION("""COMPUTED_VALUE"""),"Yes")</f>
        <v>Yes</v>
      </c>
      <c r="D205" s="196" t="str">
        <f>IFERROR(__xludf.DUMMYFUNCTION("""COMPUTED_VALUE"""),"Active")</f>
        <v>Active</v>
      </c>
      <c r="E205" s="197">
        <f>IFERROR(__xludf.DUMMYFUNCTION("""COMPUTED_VALUE"""),44145.0)</f>
        <v>44145</v>
      </c>
      <c r="F205" s="198"/>
      <c r="G205" s="199">
        <f>IFERROR(__xludf.DUMMYFUNCTION("""COMPUTED_VALUE"""),59.166666666666664)</f>
        <v>59.16666667</v>
      </c>
      <c r="H205" s="197">
        <f>IFERROR(__xludf.DUMMYFUNCTION("""COMPUTED_VALUE"""),42423.0)</f>
        <v>42423</v>
      </c>
      <c r="I205" s="199">
        <f>IFERROR(__xludf.DUMMYFUNCTION("""COMPUTED_VALUE"""),4.713888888888889)</f>
        <v>4.713888889</v>
      </c>
      <c r="J205" s="200">
        <f>IFERROR(__xludf.DUMMYFUNCTION("""COMPUTED_VALUE"""),80.0)</f>
        <v>80</v>
      </c>
      <c r="K205" s="200">
        <f>IFERROR(__xludf.DUMMYFUNCTION("""COMPUTED_VALUE"""),12.5)</f>
        <v>12.5</v>
      </c>
      <c r="L205" s="201" t="str">
        <f>IFERROR(__xludf.DUMMYFUNCTION("""COMPUTED_VALUE"""),"Action")</f>
        <v>Action</v>
      </c>
      <c r="M205" s="201" t="str">
        <f>IFERROR(__xludf.DUMMYFUNCTION("""COMPUTED_VALUE"""),"FPS Boost")</f>
        <v>FPS Boost</v>
      </c>
    </row>
    <row r="206">
      <c r="A206" s="190" t="str">
        <f>IFERROR(__xludf.DUMMYFUNCTION("""COMPUTED_VALUE"""),"Skate 3")</f>
        <v>Skate 3</v>
      </c>
      <c r="B206" s="195" t="str">
        <f>IFERROR(__xludf.DUMMYFUNCTION("""COMPUTED_VALUE"""),"Xbox")</f>
        <v>Xbox</v>
      </c>
      <c r="C206" s="196" t="str">
        <f>IFERROR(__xludf.DUMMYFUNCTION("""COMPUTED_VALUE"""),"Yes")</f>
        <v>Yes</v>
      </c>
      <c r="D206" s="196" t="str">
        <f>IFERROR(__xludf.DUMMYFUNCTION("""COMPUTED_VALUE"""),"Active")</f>
        <v>Active</v>
      </c>
      <c r="E206" s="197">
        <f>IFERROR(__xludf.DUMMYFUNCTION("""COMPUTED_VALUE"""),44145.0)</f>
        <v>44145</v>
      </c>
      <c r="F206" s="198"/>
      <c r="G206" s="199">
        <f>IFERROR(__xludf.DUMMYFUNCTION("""COMPUTED_VALUE"""),59.166666666666664)</f>
        <v>59.16666667</v>
      </c>
      <c r="H206" s="197">
        <f>IFERROR(__xludf.DUMMYFUNCTION("""COMPUTED_VALUE"""),40309.0)</f>
        <v>40309</v>
      </c>
      <c r="I206" s="199">
        <f>IFERROR(__xludf.DUMMYFUNCTION("""COMPUTED_VALUE"""),10.497222222222222)</f>
        <v>10.49722222</v>
      </c>
      <c r="J206" s="200">
        <f>IFERROR(__xludf.DUMMYFUNCTION("""COMPUTED_VALUE"""),80.0)</f>
        <v>80</v>
      </c>
      <c r="K206" s="200">
        <f>IFERROR(__xludf.DUMMYFUNCTION("""COMPUTED_VALUE"""),9.0)</f>
        <v>9</v>
      </c>
      <c r="L206" s="201" t="str">
        <f>IFERROR(__xludf.DUMMYFUNCTION("""COMPUTED_VALUE"""),"Skateboarding")</f>
        <v>Skateboarding</v>
      </c>
      <c r="M206" s="201"/>
    </row>
    <row r="207">
      <c r="A207" s="190" t="str">
        <f>IFERROR(__xludf.DUMMYFUNCTION("""COMPUTED_VALUE"""),"Tell Me Why")</f>
        <v>Tell Me Why</v>
      </c>
      <c r="B207" s="195" t="str">
        <f>IFERROR(__xludf.DUMMYFUNCTION("""COMPUTED_VALUE"""),"Xbox / PC")</f>
        <v>Xbox / PC</v>
      </c>
      <c r="C207" s="196" t="str">
        <f>IFERROR(__xludf.DUMMYFUNCTION("""COMPUTED_VALUE"""),"Touch Controls")</f>
        <v>Touch Controls</v>
      </c>
      <c r="D207" s="196" t="str">
        <f>IFERROR(__xludf.DUMMYFUNCTION("""COMPUTED_VALUE"""),"Active")</f>
        <v>Active</v>
      </c>
      <c r="E207" s="197">
        <f>IFERROR(__xludf.DUMMYFUNCTION("""COMPUTED_VALUE"""),44070.0)</f>
        <v>44070</v>
      </c>
      <c r="F207" s="198"/>
      <c r="G207" s="199">
        <f>IFERROR(__xludf.DUMMYFUNCTION("""COMPUTED_VALUE"""),61.60000000000001)</f>
        <v>61.6</v>
      </c>
      <c r="H207" s="197">
        <f>IFERROR(__xludf.DUMMYFUNCTION("""COMPUTED_VALUE"""),44070.0)</f>
        <v>44070</v>
      </c>
      <c r="I207" s="199">
        <f>IFERROR(__xludf.DUMMYFUNCTION("""COMPUTED_VALUE"""),0.0)</f>
        <v>0</v>
      </c>
      <c r="J207" s="200">
        <f>IFERROR(__xludf.DUMMYFUNCTION("""COMPUTED_VALUE"""),80.0)</f>
        <v>80</v>
      </c>
      <c r="K207" s="200">
        <f>IFERROR(__xludf.DUMMYFUNCTION("""COMPUTED_VALUE"""),9.0)</f>
        <v>9</v>
      </c>
      <c r="L207" s="201" t="str">
        <f>IFERROR(__xludf.DUMMYFUNCTION("""COMPUTED_VALUE"""),"Adventure")</f>
        <v>Adventure</v>
      </c>
      <c r="M207" s="201"/>
    </row>
    <row r="208">
      <c r="A208" s="190" t="str">
        <f>IFERROR(__xludf.DUMMYFUNCTION("""COMPUTED_VALUE"""),"Wolfenstein: The New Order")</f>
        <v>Wolfenstein: The New Order</v>
      </c>
      <c r="B208" s="195" t="str">
        <f>IFERROR(__xludf.DUMMYFUNCTION("""COMPUTED_VALUE"""),"Xbox / PC")</f>
        <v>Xbox / PC</v>
      </c>
      <c r="C208" s="196" t="str">
        <f>IFERROR(__xludf.DUMMYFUNCTION("""COMPUTED_VALUE"""),"Yes")</f>
        <v>Yes</v>
      </c>
      <c r="D208" s="196" t="str">
        <f>IFERROR(__xludf.DUMMYFUNCTION("""COMPUTED_VALUE"""),"Active")</f>
        <v>Active</v>
      </c>
      <c r="E208" s="197">
        <f>IFERROR(__xludf.DUMMYFUNCTION("""COMPUTED_VALUE"""),43374.0)</f>
        <v>43374</v>
      </c>
      <c r="F208" s="198"/>
      <c r="G208" s="199">
        <f>IFERROR(__xludf.DUMMYFUNCTION("""COMPUTED_VALUE"""),84.46666666666667)</f>
        <v>84.46666667</v>
      </c>
      <c r="H208" s="197">
        <f>IFERROR(__xludf.DUMMYFUNCTION("""COMPUTED_VALUE"""),41779.0)</f>
        <v>41779</v>
      </c>
      <c r="I208" s="199">
        <f>IFERROR(__xludf.DUMMYFUNCTION("""COMPUTED_VALUE"""),4.363888888888889)</f>
        <v>4.363888889</v>
      </c>
      <c r="J208" s="200">
        <f>IFERROR(__xludf.DUMMYFUNCTION("""COMPUTED_VALUE"""),80.0)</f>
        <v>80</v>
      </c>
      <c r="K208" s="200">
        <f>IFERROR(__xludf.DUMMYFUNCTION("""COMPUTED_VALUE"""),11.5)</f>
        <v>11.5</v>
      </c>
      <c r="L208" s="201" t="str">
        <f>IFERROR(__xludf.DUMMYFUNCTION("""COMPUTED_VALUE"""),"First-Person Shooter")</f>
        <v>First-Person Shooter</v>
      </c>
      <c r="M208" s="201"/>
    </row>
    <row r="209">
      <c r="A209" s="190" t="str">
        <f>IFERROR(__xludf.DUMMYFUNCTION("""COMPUTED_VALUE"""),"Fable III")</f>
        <v>Fable III</v>
      </c>
      <c r="B209" s="195" t="str">
        <f>IFERROR(__xludf.DUMMYFUNCTION("""COMPUTED_VALUE"""),"Xbox")</f>
        <v>Xbox</v>
      </c>
      <c r="C209" s="196" t="str">
        <f>IFERROR(__xludf.DUMMYFUNCTION("""COMPUTED_VALUE"""),"Touch Controls")</f>
        <v>Touch Controls</v>
      </c>
      <c r="D209" s="196" t="str">
        <f>IFERROR(__xludf.DUMMYFUNCTION("""COMPUTED_VALUE"""),"Active")</f>
        <v>Active</v>
      </c>
      <c r="E209" s="197">
        <f>IFERROR(__xludf.DUMMYFUNCTION("""COMPUTED_VALUE"""),42887.0)</f>
        <v>42887</v>
      </c>
      <c r="F209" s="198"/>
      <c r="G209" s="199">
        <f>IFERROR(__xludf.DUMMYFUNCTION("""COMPUTED_VALUE"""),100.46666666666667)</f>
        <v>100.4666667</v>
      </c>
      <c r="H209" s="197">
        <f>IFERROR(__xludf.DUMMYFUNCTION("""COMPUTED_VALUE"""),40477.0)</f>
        <v>40477</v>
      </c>
      <c r="I209" s="199">
        <f>IFERROR(__xludf.DUMMYFUNCTION("""COMPUTED_VALUE"""),6.597222222222222)</f>
        <v>6.597222222</v>
      </c>
      <c r="J209" s="200">
        <f>IFERROR(__xludf.DUMMYFUNCTION("""COMPUTED_VALUE"""),80.0)</f>
        <v>80</v>
      </c>
      <c r="K209" s="200">
        <f>IFERROR(__xludf.DUMMYFUNCTION("""COMPUTED_VALUE"""),12.5)</f>
        <v>12.5</v>
      </c>
      <c r="L209" s="201" t="str">
        <f>IFERROR(__xludf.DUMMYFUNCTION("""COMPUTED_VALUE"""),"Adventure")</f>
        <v>Adventure</v>
      </c>
      <c r="M209" s="201" t="str">
        <f>IFERROR(__xludf.DUMMYFUNCTION("""COMPUTED_VALUE"""),"FPS Boost")</f>
        <v>FPS Boost</v>
      </c>
    </row>
    <row r="210">
      <c r="A210" s="190" t="str">
        <f>IFERROR(__xludf.DUMMYFUNCTION("""COMPUTED_VALUE"""),"Shadowrun Trilogy")</f>
        <v>Shadowrun Trilogy</v>
      </c>
      <c r="B210" s="195" t="str">
        <f>IFERROR(__xludf.DUMMYFUNCTION("""COMPUTED_VALUE"""),"Xbox / PC")</f>
        <v>Xbox / PC</v>
      </c>
      <c r="C210" s="196" t="str">
        <f>IFERROR(__xludf.DUMMYFUNCTION("""COMPUTED_VALUE"""),"Touch Controls")</f>
        <v>Touch Controls</v>
      </c>
      <c r="D210" s="196" t="str">
        <f>IFERROR(__xludf.DUMMYFUNCTION("""COMPUTED_VALUE"""),"Active")</f>
        <v>Active</v>
      </c>
      <c r="E210" s="197">
        <f>IFERROR(__xludf.DUMMYFUNCTION("""COMPUTED_VALUE"""),44733.0)</f>
        <v>44733</v>
      </c>
      <c r="F210" s="198"/>
      <c r="G210" s="199">
        <f>IFERROR(__xludf.DUMMYFUNCTION("""COMPUTED_VALUE"""),39.800000000000004)</f>
        <v>39.8</v>
      </c>
      <c r="H210" s="197">
        <f>IFERROR(__xludf.DUMMYFUNCTION("""COMPUTED_VALUE"""),42236.0)</f>
        <v>42236</v>
      </c>
      <c r="I210" s="199">
        <f>IFERROR(__xludf.DUMMYFUNCTION("""COMPUTED_VALUE"""),6.836111111111111)</f>
        <v>6.836111111</v>
      </c>
      <c r="J210" s="200">
        <f>IFERROR(__xludf.DUMMYFUNCTION("""COMPUTED_VALUE"""),79.33333333333333)</f>
        <v>79.33333333</v>
      </c>
      <c r="K210" s="200">
        <f>IFERROR(__xludf.DUMMYFUNCTION("""COMPUTED_VALUE"""),53.5)</f>
        <v>53.5</v>
      </c>
      <c r="L210" s="201" t="str">
        <f>IFERROR(__xludf.DUMMYFUNCTION("""COMPUTED_VALUE"""),"Strategy / RPG")</f>
        <v>Strategy / RPG</v>
      </c>
      <c r="M210" s="201"/>
    </row>
    <row r="211">
      <c r="A211" s="190" t="str">
        <f>IFERROR(__xludf.DUMMYFUNCTION("""COMPUTED_VALUE"""),"DiRT 5")</f>
        <v>DiRT 5</v>
      </c>
      <c r="B211" s="195" t="str">
        <f>IFERROR(__xludf.DUMMYFUNCTION("""COMPUTED_VALUE"""),"Xbox / PC")</f>
        <v>Xbox / PC</v>
      </c>
      <c r="C211" s="196" t="str">
        <f>IFERROR(__xludf.DUMMYFUNCTION("""COMPUTED_VALUE"""),"Touch Controls")</f>
        <v>Touch Controls</v>
      </c>
      <c r="D211" s="196" t="str">
        <f>IFERROR(__xludf.DUMMYFUNCTION("""COMPUTED_VALUE"""),"Active")</f>
        <v>Active</v>
      </c>
      <c r="E211" s="197">
        <f>IFERROR(__xludf.DUMMYFUNCTION("""COMPUTED_VALUE"""),44252.0)</f>
        <v>44252</v>
      </c>
      <c r="F211" s="198"/>
      <c r="G211" s="199">
        <f>IFERROR(__xludf.DUMMYFUNCTION("""COMPUTED_VALUE"""),55.66666666666667)</f>
        <v>55.66666667</v>
      </c>
      <c r="H211" s="197">
        <f>IFERROR(__xludf.DUMMYFUNCTION("""COMPUTED_VALUE"""),44120.0)</f>
        <v>44120</v>
      </c>
      <c r="I211" s="199">
        <f>IFERROR(__xludf.DUMMYFUNCTION("""COMPUTED_VALUE"""),0.35833333333333334)</f>
        <v>0.3583333333</v>
      </c>
      <c r="J211" s="200">
        <f>IFERROR(__xludf.DUMMYFUNCTION("""COMPUTED_VALUE"""),79.33333333333333)</f>
        <v>79.33333333</v>
      </c>
      <c r="K211" s="200">
        <f>IFERROR(__xludf.DUMMYFUNCTION("""COMPUTED_VALUE"""),8.0)</f>
        <v>8</v>
      </c>
      <c r="L211" s="201" t="str">
        <f>IFERROR(__xludf.DUMMYFUNCTION("""COMPUTED_VALUE"""),"Driving/Racing")</f>
        <v>Driving/Racing</v>
      </c>
      <c r="M211" s="201" t="str">
        <f>IFERROR(__xludf.DUMMYFUNCTION("""COMPUTED_VALUE"""),"Optimized")</f>
        <v>Optimized</v>
      </c>
    </row>
    <row r="212">
      <c r="A212" s="190" t="str">
        <f>IFERROR(__xludf.DUMMYFUNCTION("""COMPUTED_VALUE"""),"Sopa: Tale of the Stolen Potato")</f>
        <v>Sopa: Tale of the Stolen Potato</v>
      </c>
      <c r="B212" s="195" t="str">
        <f>IFERROR(__xludf.DUMMYFUNCTION("""COMPUTED_VALUE"""),"Xbox / PC")</f>
        <v>Xbox / PC</v>
      </c>
      <c r="C212" s="196" t="str">
        <f>IFERROR(__xludf.DUMMYFUNCTION("""COMPUTED_VALUE"""),"Yes")</f>
        <v>Yes</v>
      </c>
      <c r="D212" s="196" t="str">
        <f>IFERROR(__xludf.DUMMYFUNCTION("""COMPUTED_VALUE"""),"Active")</f>
        <v>Active</v>
      </c>
      <c r="E212" s="197">
        <f>IFERROR(__xludf.DUMMYFUNCTION("""COMPUTED_VALUE"""),45937.0)</f>
        <v>45937</v>
      </c>
      <c r="F212" s="198"/>
      <c r="G212" s="199">
        <f>IFERROR(__xludf.DUMMYFUNCTION("""COMPUTED_VALUE"""),0.26666666666666666)</f>
        <v>0.2666666667</v>
      </c>
      <c r="H212" s="197">
        <f>IFERROR(__xludf.DUMMYFUNCTION("""COMPUTED_VALUE"""),45937.0)</f>
        <v>45937</v>
      </c>
      <c r="I212" s="199">
        <f>IFERROR(__xludf.DUMMYFUNCTION("""COMPUTED_VALUE"""),0.0)</f>
        <v>0</v>
      </c>
      <c r="J212" s="200">
        <f>IFERROR(__xludf.DUMMYFUNCTION("""COMPUTED_VALUE"""),79.0)</f>
        <v>79</v>
      </c>
      <c r="K212" s="200">
        <f>IFERROR(__xludf.DUMMYFUNCTION("""COMPUTED_VALUE"""),3.0)</f>
        <v>3</v>
      </c>
      <c r="L212" s="201" t="str">
        <f>IFERROR(__xludf.DUMMYFUNCTION("""COMPUTED_VALUE"""),"Action-Adventure")</f>
        <v>Action-Adventure</v>
      </c>
      <c r="M212" s="201"/>
    </row>
    <row r="213">
      <c r="A213" s="190" t="str">
        <f>IFERROR(__xludf.DUMMYFUNCTION("""COMPUTED_VALUE"""),"Scott Pilgrim vs. The World: The Game")</f>
        <v>Scott Pilgrim vs. The World: The Game</v>
      </c>
      <c r="B213" s="195" t="str">
        <f>IFERROR(__xludf.DUMMYFUNCTION("""COMPUTED_VALUE"""),"Xbox / PC")</f>
        <v>Xbox / PC</v>
      </c>
      <c r="C213" s="196" t="str">
        <f>IFERROR(__xludf.DUMMYFUNCTION("""COMPUTED_VALUE"""),"Yes")</f>
        <v>Yes</v>
      </c>
      <c r="D213" s="196" t="str">
        <f>IFERROR(__xludf.DUMMYFUNCTION("""COMPUTED_VALUE"""),"Active")</f>
        <v>Active</v>
      </c>
      <c r="E213" s="197">
        <f>IFERROR(__xludf.DUMMYFUNCTION("""COMPUTED_VALUE"""),45931.0)</f>
        <v>45931</v>
      </c>
      <c r="F213" s="198"/>
      <c r="G213" s="199">
        <f>IFERROR(__xludf.DUMMYFUNCTION("""COMPUTED_VALUE"""),0.4666666666666667)</f>
        <v>0.4666666667</v>
      </c>
      <c r="H213" s="197">
        <f>IFERROR(__xludf.DUMMYFUNCTION("""COMPUTED_VALUE"""),44210.0)</f>
        <v>44210</v>
      </c>
      <c r="I213" s="199">
        <f>IFERROR(__xludf.DUMMYFUNCTION("""COMPUTED_VALUE"""),4.713888888888889)</f>
        <v>4.713888889</v>
      </c>
      <c r="J213" s="200">
        <f>IFERROR(__xludf.DUMMYFUNCTION("""COMPUTED_VALUE"""),79.0)</f>
        <v>79</v>
      </c>
      <c r="K213" s="200">
        <f>IFERROR(__xludf.DUMMYFUNCTION("""COMPUTED_VALUE"""),5.0)</f>
        <v>5</v>
      </c>
      <c r="L213" s="201" t="str">
        <f>IFERROR(__xludf.DUMMYFUNCTION("""COMPUTED_VALUE"""),"Beat-'Em-Up")</f>
        <v>Beat-'Em-Up</v>
      </c>
      <c r="M213" s="201"/>
    </row>
    <row r="214">
      <c r="A214" s="190" t="str">
        <f>IFERROR(__xludf.DUMMYFUNCTION("""COMPUTED_VALUE"""),"Trials Fusion")</f>
        <v>Trials Fusion</v>
      </c>
      <c r="B214" s="195" t="str">
        <f>IFERROR(__xludf.DUMMYFUNCTION("""COMPUTED_VALUE"""),"Xbox / PC")</f>
        <v>Xbox / PC</v>
      </c>
      <c r="C214" s="196" t="str">
        <f>IFERROR(__xludf.DUMMYFUNCTION("""COMPUTED_VALUE"""),"Yes")</f>
        <v>Yes</v>
      </c>
      <c r="D214" s="196" t="str">
        <f>IFERROR(__xludf.DUMMYFUNCTION("""COMPUTED_VALUE"""),"Active")</f>
        <v>Active</v>
      </c>
      <c r="E214" s="197">
        <f>IFERROR(__xludf.DUMMYFUNCTION("""COMPUTED_VALUE"""),45931.0)</f>
        <v>45931</v>
      </c>
      <c r="F214" s="198"/>
      <c r="G214" s="199">
        <f>IFERROR(__xludf.DUMMYFUNCTION("""COMPUTED_VALUE"""),0.4666666666666667)</f>
        <v>0.4666666667</v>
      </c>
      <c r="H214" s="197">
        <f>IFERROR(__xludf.DUMMYFUNCTION("""COMPUTED_VALUE"""),41744.0)</f>
        <v>41744</v>
      </c>
      <c r="I214" s="199">
        <f>IFERROR(__xludf.DUMMYFUNCTION("""COMPUTED_VALUE"""),11.46111111111111)</f>
        <v>11.46111111</v>
      </c>
      <c r="J214" s="200">
        <f>IFERROR(__xludf.DUMMYFUNCTION("""COMPUTED_VALUE"""),79.0)</f>
        <v>79</v>
      </c>
      <c r="K214" s="200">
        <f>IFERROR(__xludf.DUMMYFUNCTION("""COMPUTED_VALUE"""),7.0)</f>
        <v>7</v>
      </c>
      <c r="L214" s="201" t="str">
        <f>IFERROR(__xludf.DUMMYFUNCTION("""COMPUTED_VALUE"""),"Racing")</f>
        <v>Racing</v>
      </c>
      <c r="M214" s="201"/>
    </row>
    <row r="215">
      <c r="A215" s="190" t="str">
        <f>IFERROR(__xludf.DUMMYFUNCTION("""COMPUTED_VALUE"""),"Trials Rising")</f>
        <v>Trials Rising</v>
      </c>
      <c r="B215" s="195" t="str">
        <f>IFERROR(__xludf.DUMMYFUNCTION("""COMPUTED_VALUE"""),"Xbox / PC")</f>
        <v>Xbox / PC</v>
      </c>
      <c r="C215" s="196" t="str">
        <f>IFERROR(__xludf.DUMMYFUNCTION("""COMPUTED_VALUE"""),"Yes")</f>
        <v>Yes</v>
      </c>
      <c r="D215" s="196" t="str">
        <f>IFERROR(__xludf.DUMMYFUNCTION("""COMPUTED_VALUE"""),"Active")</f>
        <v>Active</v>
      </c>
      <c r="E215" s="197">
        <f>IFERROR(__xludf.DUMMYFUNCTION("""COMPUTED_VALUE"""),45931.0)</f>
        <v>45931</v>
      </c>
      <c r="F215" s="198"/>
      <c r="G215" s="199">
        <f>IFERROR(__xludf.DUMMYFUNCTION("""COMPUTED_VALUE"""),0.4666666666666667)</f>
        <v>0.4666666667</v>
      </c>
      <c r="H215" s="197">
        <f>IFERROR(__xludf.DUMMYFUNCTION("""COMPUTED_VALUE"""),43522.0)</f>
        <v>43522</v>
      </c>
      <c r="I215" s="199">
        <f>IFERROR(__xludf.DUMMYFUNCTION("""COMPUTED_VALUE"""),6.597222222222222)</f>
        <v>6.597222222</v>
      </c>
      <c r="J215" s="200">
        <f>IFERROR(__xludf.DUMMYFUNCTION("""COMPUTED_VALUE"""),79.0)</f>
        <v>79</v>
      </c>
      <c r="K215" s="200">
        <f>IFERROR(__xludf.DUMMYFUNCTION("""COMPUTED_VALUE"""),18.0)</f>
        <v>18</v>
      </c>
      <c r="L215" s="201" t="str">
        <f>IFERROR(__xludf.DUMMYFUNCTION("""COMPUTED_VALUE"""),"Racing")</f>
        <v>Racing</v>
      </c>
      <c r="M215" s="201"/>
    </row>
    <row r="216">
      <c r="A216" s="190" t="str">
        <f>IFERROR(__xludf.DUMMYFUNCTION("""COMPUTED_VALUE"""),"PAW Patrol World")</f>
        <v>PAW Patrol World</v>
      </c>
      <c r="B216" s="195" t="str">
        <f>IFERROR(__xludf.DUMMYFUNCTION("""COMPUTED_VALUE"""),"Xbox / PC")</f>
        <v>Xbox / PC</v>
      </c>
      <c r="C216" s="196" t="str">
        <f>IFERROR(__xludf.DUMMYFUNCTION("""COMPUTED_VALUE"""),"Yes")</f>
        <v>Yes</v>
      </c>
      <c r="D216" s="196" t="str">
        <f>IFERROR(__xludf.DUMMYFUNCTION("""COMPUTED_VALUE"""),"Active")</f>
        <v>Active</v>
      </c>
      <c r="E216" s="197">
        <f>IFERROR(__xludf.DUMMYFUNCTION("""COMPUTED_VALUE"""),45910.0)</f>
        <v>45910</v>
      </c>
      <c r="F216" s="198"/>
      <c r="G216" s="199">
        <f>IFERROR(__xludf.DUMMYFUNCTION("""COMPUTED_VALUE"""),1.1666666666666667)</f>
        <v>1.166666667</v>
      </c>
      <c r="H216" s="197">
        <f>IFERROR(__xludf.DUMMYFUNCTION("""COMPUTED_VALUE"""),45198.0)</f>
        <v>45198</v>
      </c>
      <c r="I216" s="199">
        <f>IFERROR(__xludf.DUMMYFUNCTION("""COMPUTED_VALUE"""),1.9472222222222222)</f>
        <v>1.947222222</v>
      </c>
      <c r="J216" s="200">
        <f>IFERROR(__xludf.DUMMYFUNCTION("""COMPUTED_VALUE"""),79.0)</f>
        <v>79</v>
      </c>
      <c r="K216" s="200">
        <f>IFERROR(__xludf.DUMMYFUNCTION("""COMPUTED_VALUE"""),7.0)</f>
        <v>7</v>
      </c>
      <c r="L216" s="201" t="str">
        <f>IFERROR(__xludf.DUMMYFUNCTION("""COMPUTED_VALUE"""),"Action-Adventure")</f>
        <v>Action-Adventure</v>
      </c>
      <c r="M216" s="201"/>
    </row>
    <row r="217">
      <c r="A217" s="190" t="str">
        <f>IFERROR(__xludf.DUMMYFUNCTION("""COMPUTED_VALUE"""),"I Am Your Beast")</f>
        <v>I Am Your Beast</v>
      </c>
      <c r="B217" s="195" t="str">
        <f>IFERROR(__xludf.DUMMYFUNCTION("""COMPUTED_VALUE"""),"Xbox / PC")</f>
        <v>Xbox / PC</v>
      </c>
      <c r="C217" s="196" t="str">
        <f>IFERROR(__xludf.DUMMYFUNCTION("""COMPUTED_VALUE"""),"Yes")</f>
        <v>Yes</v>
      </c>
      <c r="D217" s="196" t="str">
        <f>IFERROR(__xludf.DUMMYFUNCTION("""COMPUTED_VALUE"""),"Active")</f>
        <v>Active</v>
      </c>
      <c r="E217" s="197">
        <f>IFERROR(__xludf.DUMMYFUNCTION("""COMPUTED_VALUE"""),45901.0)</f>
        <v>45901</v>
      </c>
      <c r="F217" s="198"/>
      <c r="G217" s="199">
        <f>IFERROR(__xludf.DUMMYFUNCTION("""COMPUTED_VALUE"""),1.4666666666666666)</f>
        <v>1.466666667</v>
      </c>
      <c r="H217" s="197">
        <f>IFERROR(__xludf.DUMMYFUNCTION("""COMPUTED_VALUE"""),45545.0)</f>
        <v>45545</v>
      </c>
      <c r="I217" s="199">
        <f>IFERROR(__xludf.DUMMYFUNCTION("""COMPUTED_VALUE"""),0.975)</f>
        <v>0.975</v>
      </c>
      <c r="J217" s="200">
        <f>IFERROR(__xludf.DUMMYFUNCTION("""COMPUTED_VALUE"""),79.0)</f>
        <v>79</v>
      </c>
      <c r="K217" s="200">
        <f>IFERROR(__xludf.DUMMYFUNCTION("""COMPUTED_VALUE"""),3.0)</f>
        <v>3</v>
      </c>
      <c r="L217" s="201" t="str">
        <f>IFERROR(__xludf.DUMMYFUNCTION("""COMPUTED_VALUE"""),"Shooter")</f>
        <v>Shooter</v>
      </c>
      <c r="M217" s="201" t="str">
        <f>IFERROR(__xludf.DUMMYFUNCTION("""COMPUTED_VALUE"""),"Exclusive")</f>
        <v>Exclusive</v>
      </c>
    </row>
    <row r="218">
      <c r="A218" s="190" t="str">
        <f>IFERROR(__xludf.DUMMYFUNCTION("""COMPUTED_VALUE"""),"Gears of War: Reloaded")</f>
        <v>Gears of War: Reloaded</v>
      </c>
      <c r="B218" s="195" t="str">
        <f>IFERROR(__xludf.DUMMYFUNCTION("""COMPUTED_VALUE"""),"Xbox / PC")</f>
        <v>Xbox / PC</v>
      </c>
      <c r="C218" s="196" t="str">
        <f>IFERROR(__xludf.DUMMYFUNCTION("""COMPUTED_VALUE"""),"Yes")</f>
        <v>Yes</v>
      </c>
      <c r="D218" s="196" t="str">
        <f>IFERROR(__xludf.DUMMYFUNCTION("""COMPUTED_VALUE"""),"Active")</f>
        <v>Active</v>
      </c>
      <c r="E218" s="197">
        <f>IFERROR(__xludf.DUMMYFUNCTION("""COMPUTED_VALUE"""),45895.0)</f>
        <v>45895</v>
      </c>
      <c r="F218" s="198"/>
      <c r="G218" s="199">
        <f>IFERROR(__xludf.DUMMYFUNCTION("""COMPUTED_VALUE"""),1.6333333333333333)</f>
        <v>1.633333333</v>
      </c>
      <c r="H218" s="197">
        <f>IFERROR(__xludf.DUMMYFUNCTION("""COMPUTED_VALUE"""),45895.0)</f>
        <v>45895</v>
      </c>
      <c r="I218" s="199">
        <f>IFERROR(__xludf.DUMMYFUNCTION("""COMPUTED_VALUE"""),0.0)</f>
        <v>0</v>
      </c>
      <c r="J218" s="200">
        <f>IFERROR(__xludf.DUMMYFUNCTION("""COMPUTED_VALUE"""),79.0)</f>
        <v>79</v>
      </c>
      <c r="K218" s="200">
        <f>IFERROR(__xludf.DUMMYFUNCTION("""COMPUTED_VALUE"""),7.0)</f>
        <v>7</v>
      </c>
      <c r="L218" s="201" t="str">
        <f>IFERROR(__xludf.DUMMYFUNCTION("""COMPUTED_VALUE"""),"Shooter")</f>
        <v>Shooter</v>
      </c>
      <c r="M218" s="201" t="str">
        <f>IFERROR(__xludf.DUMMYFUNCTION("""COMPUTED_VALUE"""),"Exclusive")</f>
        <v>Exclusive</v>
      </c>
    </row>
    <row r="219">
      <c r="A219" s="190" t="str">
        <f>IFERROR(__xludf.DUMMYFUNCTION("""COMPUTED_VALUE"""),"Road 96")</f>
        <v>Road 96</v>
      </c>
      <c r="B219" s="195" t="str">
        <f>IFERROR(__xludf.DUMMYFUNCTION("""COMPUTED_VALUE"""),"Xbox / PC")</f>
        <v>Xbox / PC</v>
      </c>
      <c r="C219" s="196" t="str">
        <f>IFERROR(__xludf.DUMMYFUNCTION("""COMPUTED_VALUE"""),"Touch Controls")</f>
        <v>Touch Controls</v>
      </c>
      <c r="D219" s="196" t="str">
        <f>IFERROR(__xludf.DUMMYFUNCTION("""COMPUTED_VALUE"""),"Active")</f>
        <v>Active</v>
      </c>
      <c r="E219" s="197">
        <f>IFERROR(__xludf.DUMMYFUNCTION("""COMPUTED_VALUE"""),45664.0)</f>
        <v>45664</v>
      </c>
      <c r="F219" s="198"/>
      <c r="G219" s="199">
        <f>IFERROR(__xludf.DUMMYFUNCTION("""COMPUTED_VALUE"""),9.266666666666667)</f>
        <v>9.266666667</v>
      </c>
      <c r="H219" s="197">
        <f>IFERROR(__xludf.DUMMYFUNCTION("""COMPUTED_VALUE"""),44424.0)</f>
        <v>44424</v>
      </c>
      <c r="I219" s="199">
        <f>IFERROR(__xludf.DUMMYFUNCTION("""COMPUTED_VALUE"""),3.3916666666666666)</f>
        <v>3.391666667</v>
      </c>
      <c r="J219" s="200">
        <f>IFERROR(__xludf.DUMMYFUNCTION("""COMPUTED_VALUE"""),79.0)</f>
        <v>79</v>
      </c>
      <c r="K219" s="200">
        <f>IFERROR(__xludf.DUMMYFUNCTION("""COMPUTED_VALUE"""),7.5)</f>
        <v>7.5</v>
      </c>
      <c r="L219" s="201" t="str">
        <f>IFERROR(__xludf.DUMMYFUNCTION("""COMPUTED_VALUE"""),"Adventure")</f>
        <v>Adventure</v>
      </c>
      <c r="M219" s="201"/>
    </row>
    <row r="220">
      <c r="A220" s="190" t="str">
        <f>IFERROR(__xludf.DUMMYFUNCTION("""COMPUTED_VALUE"""),"Metal Slug: Tactics")</f>
        <v>Metal Slug: Tactics</v>
      </c>
      <c r="B220" s="195" t="str">
        <f>IFERROR(__xludf.DUMMYFUNCTION("""COMPUTED_VALUE"""),"Xbox / PC")</f>
        <v>Xbox / PC</v>
      </c>
      <c r="C220" s="196" t="str">
        <f>IFERROR(__xludf.DUMMYFUNCTION("""COMPUTED_VALUE"""),"Yes")</f>
        <v>Yes</v>
      </c>
      <c r="D220" s="196" t="str">
        <f>IFERROR(__xludf.DUMMYFUNCTION("""COMPUTED_VALUE"""),"Active")</f>
        <v>Active</v>
      </c>
      <c r="E220" s="197">
        <f>IFERROR(__xludf.DUMMYFUNCTION("""COMPUTED_VALUE"""),45601.0)</f>
        <v>45601</v>
      </c>
      <c r="F220" s="198"/>
      <c r="G220" s="199">
        <f>IFERROR(__xludf.DUMMYFUNCTION("""COMPUTED_VALUE"""),11.333333333333332)</f>
        <v>11.33333333</v>
      </c>
      <c r="H220" s="197">
        <f>IFERROR(__xludf.DUMMYFUNCTION("""COMPUTED_VALUE"""),45601.0)</f>
        <v>45601</v>
      </c>
      <c r="I220" s="199">
        <f>IFERROR(__xludf.DUMMYFUNCTION("""COMPUTED_VALUE"""),0.0)</f>
        <v>0</v>
      </c>
      <c r="J220" s="200">
        <f>IFERROR(__xludf.DUMMYFUNCTION("""COMPUTED_VALUE"""),79.0)</f>
        <v>79</v>
      </c>
      <c r="K220" s="200">
        <f>IFERROR(__xludf.DUMMYFUNCTION("""COMPUTED_VALUE"""),8.0)</f>
        <v>8</v>
      </c>
      <c r="L220" s="201" t="str">
        <f>IFERROR(__xludf.DUMMYFUNCTION("""COMPUTED_VALUE"""),"Strategy")</f>
        <v>Strategy</v>
      </c>
      <c r="M220" s="201"/>
    </row>
    <row r="221">
      <c r="A221" s="190" t="str">
        <f>IFERROR(__xludf.DUMMYFUNCTION("""COMPUTED_VALUE"""),"Call of Duty: Warzone")</f>
        <v>Call of Duty: Warzone</v>
      </c>
      <c r="B221" s="195" t="str">
        <f>IFERROR(__xludf.DUMMYFUNCTION("""COMPUTED_VALUE"""),"Xbox / PC")</f>
        <v>Xbox / PC</v>
      </c>
      <c r="C221" s="196" t="str">
        <f>IFERROR(__xludf.DUMMYFUNCTION("""COMPUTED_VALUE"""),"Yes")</f>
        <v>Yes</v>
      </c>
      <c r="D221" s="196" t="str">
        <f>IFERROR(__xludf.DUMMYFUNCTION("""COMPUTED_VALUE"""),"Active")</f>
        <v>Active</v>
      </c>
      <c r="E221" s="197">
        <f>IFERROR(__xludf.DUMMYFUNCTION("""COMPUTED_VALUE"""),45590.0)</f>
        <v>45590</v>
      </c>
      <c r="F221" s="198"/>
      <c r="G221" s="199">
        <f>IFERROR(__xludf.DUMMYFUNCTION("""COMPUTED_VALUE"""),11.666666666666666)</f>
        <v>11.66666667</v>
      </c>
      <c r="H221" s="197">
        <f>IFERROR(__xludf.DUMMYFUNCTION("""COMPUTED_VALUE"""),44881.0)</f>
        <v>44881</v>
      </c>
      <c r="I221" s="199">
        <f>IFERROR(__xludf.DUMMYFUNCTION("""COMPUTED_VALUE"""),1.9416666666666667)</f>
        <v>1.941666667</v>
      </c>
      <c r="J221" s="200">
        <f>IFERROR(__xludf.DUMMYFUNCTION("""COMPUTED_VALUE"""),79.0)</f>
        <v>79</v>
      </c>
      <c r="K221" s="200">
        <f>IFERROR(__xludf.DUMMYFUNCTION("""COMPUTED_VALUE"""),99.0)</f>
        <v>99</v>
      </c>
      <c r="L221" s="201" t="str">
        <f>IFERROR(__xludf.DUMMYFUNCTION("""COMPUTED_VALUE"""),"Shooter")</f>
        <v>Shooter</v>
      </c>
      <c r="M221" s="201"/>
    </row>
    <row r="222">
      <c r="A222" s="190" t="str">
        <f>IFERROR(__xludf.DUMMYFUNCTION("""COMPUTED_VALUE"""),"Mechwarrior 5: Clans")</f>
        <v>Mechwarrior 5: Clans</v>
      </c>
      <c r="B222" s="195" t="str">
        <f>IFERROR(__xludf.DUMMYFUNCTION("""COMPUTED_VALUE"""),"Xbox / PC")</f>
        <v>Xbox / PC</v>
      </c>
      <c r="C222" s="196" t="str">
        <f>IFERROR(__xludf.DUMMYFUNCTION("""COMPUTED_VALUE"""),"Yes")</f>
        <v>Yes</v>
      </c>
      <c r="D222" s="196" t="str">
        <f>IFERROR(__xludf.DUMMYFUNCTION("""COMPUTED_VALUE"""),"Active")</f>
        <v>Active</v>
      </c>
      <c r="E222" s="197">
        <f>IFERROR(__xludf.DUMMYFUNCTION("""COMPUTED_VALUE"""),45582.0)</f>
        <v>45582</v>
      </c>
      <c r="F222" s="198"/>
      <c r="G222" s="199">
        <f>IFERROR(__xludf.DUMMYFUNCTION("""COMPUTED_VALUE"""),11.933333333333334)</f>
        <v>11.93333333</v>
      </c>
      <c r="H222" s="197">
        <f>IFERROR(__xludf.DUMMYFUNCTION("""COMPUTED_VALUE"""),45582.0)</f>
        <v>45582</v>
      </c>
      <c r="I222" s="199">
        <f>IFERROR(__xludf.DUMMYFUNCTION("""COMPUTED_VALUE"""),0.0)</f>
        <v>0</v>
      </c>
      <c r="J222" s="200">
        <f>IFERROR(__xludf.DUMMYFUNCTION("""COMPUTED_VALUE"""),79.0)</f>
        <v>79</v>
      </c>
      <c r="K222" s="200">
        <f>IFERROR(__xludf.DUMMYFUNCTION("""COMPUTED_VALUE"""),23.0)</f>
        <v>23</v>
      </c>
      <c r="L222" s="201" t="str">
        <f>IFERROR(__xludf.DUMMYFUNCTION("""COMPUTED_VALUE"""),"Simulation")</f>
        <v>Simulation</v>
      </c>
      <c r="M222" s="201" t="str">
        <f>IFERROR(__xludf.DUMMYFUNCTION("""COMPUTED_VALUE"""),"Exclusive")</f>
        <v>Exclusive</v>
      </c>
    </row>
    <row r="223">
      <c r="A223" s="190" t="str">
        <f>IFERROR(__xludf.DUMMYFUNCTION("""COMPUTED_VALUE"""),"Little Kitty, Big City")</f>
        <v>Little Kitty, Big City</v>
      </c>
      <c r="B223" s="195" t="str">
        <f>IFERROR(__xludf.DUMMYFUNCTION("""COMPUTED_VALUE"""),"Xbox / PC")</f>
        <v>Xbox / PC</v>
      </c>
      <c r="C223" s="196" t="str">
        <f>IFERROR(__xludf.DUMMYFUNCTION("""COMPUTED_VALUE"""),"Yes")</f>
        <v>Yes</v>
      </c>
      <c r="D223" s="196" t="str">
        <f>IFERROR(__xludf.DUMMYFUNCTION("""COMPUTED_VALUE"""),"Active")</f>
        <v>Active</v>
      </c>
      <c r="E223" s="197">
        <f>IFERROR(__xludf.DUMMYFUNCTION("""COMPUTED_VALUE"""),45421.0)</f>
        <v>45421</v>
      </c>
      <c r="F223" s="198"/>
      <c r="G223" s="199">
        <f>IFERROR(__xludf.DUMMYFUNCTION("""COMPUTED_VALUE"""),17.2)</f>
        <v>17.2</v>
      </c>
      <c r="H223" s="197">
        <f>IFERROR(__xludf.DUMMYFUNCTION("""COMPUTED_VALUE"""),45421.0)</f>
        <v>45421</v>
      </c>
      <c r="I223" s="199">
        <f>IFERROR(__xludf.DUMMYFUNCTION("""COMPUTED_VALUE"""),0.0)</f>
        <v>0</v>
      </c>
      <c r="J223" s="200">
        <f>IFERROR(__xludf.DUMMYFUNCTION("""COMPUTED_VALUE"""),79.0)</f>
        <v>79</v>
      </c>
      <c r="K223" s="200">
        <f>IFERROR(__xludf.DUMMYFUNCTION("""COMPUTED_VALUE"""),3.0)</f>
        <v>3</v>
      </c>
      <c r="L223" s="201" t="str">
        <f>IFERROR(__xludf.DUMMYFUNCTION("""COMPUTED_VALUE"""),"Action-Adventure")</f>
        <v>Action-Adventure</v>
      </c>
      <c r="M223" s="201"/>
    </row>
    <row r="224">
      <c r="A224" s="190" t="str">
        <f>IFERROR(__xludf.DUMMYFUNCTION("""COMPUTED_VALUE"""),"Kona II: Brume")</f>
        <v>Kona II: Brume</v>
      </c>
      <c r="B224" s="195" t="str">
        <f>IFERROR(__xludf.DUMMYFUNCTION("""COMPUTED_VALUE"""),"Xbox / PC")</f>
        <v>Xbox / PC</v>
      </c>
      <c r="C224" s="196" t="str">
        <f>IFERROR(__xludf.DUMMYFUNCTION("""COMPUTED_VALUE"""),"Yes")</f>
        <v>Yes</v>
      </c>
      <c r="D224" s="196" t="str">
        <f>IFERROR(__xludf.DUMMYFUNCTION("""COMPUTED_VALUE"""),"Active")</f>
        <v>Active</v>
      </c>
      <c r="E224" s="197">
        <f>IFERROR(__xludf.DUMMYFUNCTION("""COMPUTED_VALUE"""),45419.0)</f>
        <v>45419</v>
      </c>
      <c r="F224" s="198"/>
      <c r="G224" s="199">
        <f>IFERROR(__xludf.DUMMYFUNCTION("""COMPUTED_VALUE"""),17.266666666666666)</f>
        <v>17.26666667</v>
      </c>
      <c r="H224" s="197">
        <f>IFERROR(__xludf.DUMMYFUNCTION("""COMPUTED_VALUE"""),45217.0)</f>
        <v>45217</v>
      </c>
      <c r="I224" s="199">
        <f>IFERROR(__xludf.DUMMYFUNCTION("""COMPUTED_VALUE"""),0.5527777777777778)</f>
        <v>0.5527777778</v>
      </c>
      <c r="J224" s="200">
        <f>IFERROR(__xludf.DUMMYFUNCTION("""COMPUTED_VALUE"""),79.0)</f>
        <v>79</v>
      </c>
      <c r="K224" s="200">
        <f>IFERROR(__xludf.DUMMYFUNCTION("""COMPUTED_VALUE"""),8.0)</f>
        <v>8</v>
      </c>
      <c r="L224" s="201" t="str">
        <f>IFERROR(__xludf.DUMMYFUNCTION("""COMPUTED_VALUE"""),"Action-Adventure")</f>
        <v>Action-Adventure</v>
      </c>
      <c r="M224" s="201"/>
    </row>
    <row r="225">
      <c r="A225" s="190" t="str">
        <f>IFERROR(__xludf.DUMMYFUNCTION("""COMPUTED_VALUE"""),"Another Crab's Treasure")</f>
        <v>Another Crab's Treasure</v>
      </c>
      <c r="B225" s="195" t="str">
        <f>IFERROR(__xludf.DUMMYFUNCTION("""COMPUTED_VALUE"""),"Xbox / PC")</f>
        <v>Xbox / PC</v>
      </c>
      <c r="C225" s="196" t="str">
        <f>IFERROR(__xludf.DUMMYFUNCTION("""COMPUTED_VALUE"""),"Yes")</f>
        <v>Yes</v>
      </c>
      <c r="D225" s="196" t="str">
        <f>IFERROR(__xludf.DUMMYFUNCTION("""COMPUTED_VALUE"""),"Active")</f>
        <v>Active</v>
      </c>
      <c r="E225" s="197">
        <f>IFERROR(__xludf.DUMMYFUNCTION("""COMPUTED_VALUE"""),45407.0)</f>
        <v>45407</v>
      </c>
      <c r="F225" s="198"/>
      <c r="G225" s="199">
        <f>IFERROR(__xludf.DUMMYFUNCTION("""COMPUTED_VALUE"""),17.666666666666668)</f>
        <v>17.66666667</v>
      </c>
      <c r="H225" s="197">
        <f>IFERROR(__xludf.DUMMYFUNCTION("""COMPUTED_VALUE"""),45407.0)</f>
        <v>45407</v>
      </c>
      <c r="I225" s="199">
        <f>IFERROR(__xludf.DUMMYFUNCTION("""COMPUTED_VALUE"""),0.0)</f>
        <v>0</v>
      </c>
      <c r="J225" s="200">
        <f>IFERROR(__xludf.DUMMYFUNCTION("""COMPUTED_VALUE"""),79.0)</f>
        <v>79</v>
      </c>
      <c r="K225" s="200">
        <f>IFERROR(__xludf.DUMMYFUNCTION("""COMPUTED_VALUE"""),12.0)</f>
        <v>12</v>
      </c>
      <c r="L225" s="201" t="str">
        <f>IFERROR(__xludf.DUMMYFUNCTION("""COMPUTED_VALUE"""),"Action-Adventure")</f>
        <v>Action-Adventure</v>
      </c>
      <c r="M225" s="201"/>
    </row>
    <row r="226">
      <c r="A226" s="190" t="str">
        <f>IFERROR(__xludf.DUMMYFUNCTION("""COMPUTED_VALUE"""),"Eiyuden Chronicle: Hundred Heroes")</f>
        <v>Eiyuden Chronicle: Hundred Heroes</v>
      </c>
      <c r="B226" s="195" t="str">
        <f>IFERROR(__xludf.DUMMYFUNCTION("""COMPUTED_VALUE"""),"Xbox / PC")</f>
        <v>Xbox / PC</v>
      </c>
      <c r="C226" s="196" t="str">
        <f>IFERROR(__xludf.DUMMYFUNCTION("""COMPUTED_VALUE"""),"Yes")</f>
        <v>Yes</v>
      </c>
      <c r="D226" s="196" t="str">
        <f>IFERROR(__xludf.DUMMYFUNCTION("""COMPUTED_VALUE"""),"Active")</f>
        <v>Active</v>
      </c>
      <c r="E226" s="197">
        <f>IFERROR(__xludf.DUMMYFUNCTION("""COMPUTED_VALUE"""),45405.0)</f>
        <v>45405</v>
      </c>
      <c r="F226" s="198"/>
      <c r="G226" s="199">
        <f>IFERROR(__xludf.DUMMYFUNCTION("""COMPUTED_VALUE"""),17.733333333333334)</f>
        <v>17.73333333</v>
      </c>
      <c r="H226" s="197">
        <f>IFERROR(__xludf.DUMMYFUNCTION("""COMPUTED_VALUE"""),45405.0)</f>
        <v>45405</v>
      </c>
      <c r="I226" s="199">
        <f>IFERROR(__xludf.DUMMYFUNCTION("""COMPUTED_VALUE"""),0.0)</f>
        <v>0</v>
      </c>
      <c r="J226" s="200">
        <f>IFERROR(__xludf.DUMMYFUNCTION("""COMPUTED_VALUE"""),79.0)</f>
        <v>79</v>
      </c>
      <c r="K226" s="200">
        <f>IFERROR(__xludf.DUMMYFUNCTION("""COMPUTED_VALUE"""),44.0)</f>
        <v>44</v>
      </c>
      <c r="L226" s="201" t="str">
        <f>IFERROR(__xludf.DUMMYFUNCTION("""COMPUTED_VALUE"""),"RPG")</f>
        <v>RPG</v>
      </c>
      <c r="M226" s="201"/>
    </row>
    <row r="227">
      <c r="A227" s="190" t="str">
        <f>IFERROR(__xludf.DUMMYFUNCTION("""COMPUTED_VALUE"""),"Resident Evil 3")</f>
        <v>Resident Evil 3</v>
      </c>
      <c r="B227" s="195" t="str">
        <f>IFERROR(__xludf.DUMMYFUNCTION("""COMPUTED_VALUE"""),"Xbox / PC")</f>
        <v>Xbox / PC</v>
      </c>
      <c r="C227" s="196" t="str">
        <f>IFERROR(__xludf.DUMMYFUNCTION("""COMPUTED_VALUE"""),"Yes")</f>
        <v>Yes</v>
      </c>
      <c r="D227" s="196" t="str">
        <f>IFERROR(__xludf.DUMMYFUNCTION("""COMPUTED_VALUE"""),"Active")</f>
        <v>Active</v>
      </c>
      <c r="E227" s="197">
        <f>IFERROR(__xludf.DUMMYFUNCTION("""COMPUTED_VALUE"""),45335.0)</f>
        <v>45335</v>
      </c>
      <c r="F227" s="198"/>
      <c r="G227" s="199">
        <f>IFERROR(__xludf.DUMMYFUNCTION("""COMPUTED_VALUE"""),20.066666666666666)</f>
        <v>20.06666667</v>
      </c>
      <c r="H227" s="197">
        <f>IFERROR(__xludf.DUMMYFUNCTION("""COMPUTED_VALUE"""),43924.0)</f>
        <v>43924</v>
      </c>
      <c r="I227" s="199">
        <f>IFERROR(__xludf.DUMMYFUNCTION("""COMPUTED_VALUE"""),3.861111111111111)</f>
        <v>3.861111111</v>
      </c>
      <c r="J227" s="200">
        <f>IFERROR(__xludf.DUMMYFUNCTION("""COMPUTED_VALUE"""),79.0)</f>
        <v>79</v>
      </c>
      <c r="K227" s="200">
        <f>IFERROR(__xludf.DUMMYFUNCTION("""COMPUTED_VALUE"""),6.0)</f>
        <v>6</v>
      </c>
      <c r="L227" s="201" t="str">
        <f>IFERROR(__xludf.DUMMYFUNCTION("""COMPUTED_VALUE"""),"Shooter / Action-Adventure")</f>
        <v>Shooter / Action-Adventure</v>
      </c>
      <c r="M227" s="201"/>
    </row>
    <row r="228">
      <c r="A228" s="190" t="str">
        <f>IFERROR(__xludf.DUMMYFUNCTION("""COMPUTED_VALUE"""),"Super Mega Baseball 4")</f>
        <v>Super Mega Baseball 4</v>
      </c>
      <c r="B228" s="195" t="str">
        <f>IFERROR(__xludf.DUMMYFUNCTION("""COMPUTED_VALUE"""),"Xbox / PC")</f>
        <v>Xbox / PC</v>
      </c>
      <c r="C228" s="196" t="str">
        <f>IFERROR(__xludf.DUMMYFUNCTION("""COMPUTED_VALUE"""),"Yes")</f>
        <v>Yes</v>
      </c>
      <c r="D228" s="196" t="str">
        <f>IFERROR(__xludf.DUMMYFUNCTION("""COMPUTED_VALUE"""),"Active")</f>
        <v>Active</v>
      </c>
      <c r="E228" s="197">
        <f>IFERROR(__xludf.DUMMYFUNCTION("""COMPUTED_VALUE"""),45302.0)</f>
        <v>45302</v>
      </c>
      <c r="F228" s="198"/>
      <c r="G228" s="199">
        <f>IFERROR(__xludf.DUMMYFUNCTION("""COMPUTED_VALUE"""),21.133333333333333)</f>
        <v>21.13333333</v>
      </c>
      <c r="H228" s="197">
        <f>IFERROR(__xludf.DUMMYFUNCTION("""COMPUTED_VALUE"""),45079.0)</f>
        <v>45079</v>
      </c>
      <c r="I228" s="199">
        <f>IFERROR(__xludf.DUMMYFUNCTION("""COMPUTED_VALUE"""),0.6083333333333333)</f>
        <v>0.6083333333</v>
      </c>
      <c r="J228" s="200">
        <f>IFERROR(__xludf.DUMMYFUNCTION("""COMPUTED_VALUE"""),79.0)</f>
        <v>79</v>
      </c>
      <c r="K228" s="200"/>
      <c r="L228" s="201" t="str">
        <f>IFERROR(__xludf.DUMMYFUNCTION("""COMPUTED_VALUE"""),"Sports/Baseball")</f>
        <v>Sports/Baseball</v>
      </c>
      <c r="M228" s="201"/>
    </row>
    <row r="229">
      <c r="A229" s="190" t="str">
        <f>IFERROR(__xludf.DUMMYFUNCTION("""COMPUTED_VALUE"""),"Hell Let Loose")</f>
        <v>Hell Let Loose</v>
      </c>
      <c r="B229" s="195" t="str">
        <f>IFERROR(__xludf.DUMMYFUNCTION("""COMPUTED_VALUE"""),"Xbox / PC")</f>
        <v>Xbox / PC</v>
      </c>
      <c r="C229" s="196" t="str">
        <f>IFERROR(__xludf.DUMMYFUNCTION("""COMPUTED_VALUE"""),"Yes")</f>
        <v>Yes</v>
      </c>
      <c r="D229" s="196" t="str">
        <f>IFERROR(__xludf.DUMMYFUNCTION("""COMPUTED_VALUE"""),"Active")</f>
        <v>Active</v>
      </c>
      <c r="E229" s="197">
        <f>IFERROR(__xludf.DUMMYFUNCTION("""COMPUTED_VALUE"""),45295.0)</f>
        <v>45295</v>
      </c>
      <c r="F229" s="198"/>
      <c r="G229" s="199">
        <f>IFERROR(__xludf.DUMMYFUNCTION("""COMPUTED_VALUE"""),21.366666666666667)</f>
        <v>21.36666667</v>
      </c>
      <c r="H229" s="197">
        <f>IFERROR(__xludf.DUMMYFUNCTION("""COMPUTED_VALUE"""),43622.0)</f>
        <v>43622</v>
      </c>
      <c r="I229" s="199">
        <f>IFERROR(__xludf.DUMMYFUNCTION("""COMPUTED_VALUE"""),4.5777777777777775)</f>
        <v>4.577777778</v>
      </c>
      <c r="J229" s="200">
        <f>IFERROR(__xludf.DUMMYFUNCTION("""COMPUTED_VALUE"""),79.0)</f>
        <v>79</v>
      </c>
      <c r="K229" s="200">
        <f>IFERROR(__xludf.DUMMYFUNCTION("""COMPUTED_VALUE"""),30.0)</f>
        <v>30</v>
      </c>
      <c r="L229" s="201" t="str">
        <f>IFERROR(__xludf.DUMMYFUNCTION("""COMPUTED_VALUE"""),"Action / First-Person Shooter / Vehicular Combat")</f>
        <v>Action / First-Person Shooter / Vehicular Combat</v>
      </c>
      <c r="M229" s="201" t="str">
        <f>IFERROR(__xludf.DUMMYFUNCTION("""COMPUTED_VALUE"""),"Exclusive")</f>
        <v>Exclusive</v>
      </c>
    </row>
    <row r="230">
      <c r="A230" s="190" t="str">
        <f>IFERROR(__xludf.DUMMYFUNCTION("""COMPUTED_VALUE"""),"Wild Hearts")</f>
        <v>Wild Hearts</v>
      </c>
      <c r="B230" s="195" t="str">
        <f>IFERROR(__xludf.DUMMYFUNCTION("""COMPUTED_VALUE"""),"Xbox / PC")</f>
        <v>Xbox / PC</v>
      </c>
      <c r="C230" s="196" t="str">
        <f>IFERROR(__xludf.DUMMYFUNCTION("""COMPUTED_VALUE"""),"Yes")</f>
        <v>Yes</v>
      </c>
      <c r="D230" s="196" t="str">
        <f>IFERROR(__xludf.DUMMYFUNCTION("""COMPUTED_VALUE"""),"Active")</f>
        <v>Active</v>
      </c>
      <c r="E230" s="197">
        <f>IFERROR(__xludf.DUMMYFUNCTION("""COMPUTED_VALUE"""),45239.0)</f>
        <v>45239</v>
      </c>
      <c r="F230" s="198"/>
      <c r="G230" s="199">
        <f>IFERROR(__xludf.DUMMYFUNCTION("""COMPUTED_VALUE"""),23.2)</f>
        <v>23.2</v>
      </c>
      <c r="H230" s="197">
        <f>IFERROR(__xludf.DUMMYFUNCTION("""COMPUTED_VALUE"""),44974.0)</f>
        <v>44974</v>
      </c>
      <c r="I230" s="199">
        <f>IFERROR(__xludf.DUMMYFUNCTION("""COMPUTED_VALUE"""),0.7277777777777777)</f>
        <v>0.7277777778</v>
      </c>
      <c r="J230" s="200">
        <f>IFERROR(__xludf.DUMMYFUNCTION("""COMPUTED_VALUE"""),79.0)</f>
        <v>79</v>
      </c>
      <c r="K230" s="200">
        <f>IFERROR(__xludf.DUMMYFUNCTION("""COMPUTED_VALUE"""),46.0)</f>
        <v>46</v>
      </c>
      <c r="L230" s="201" t="str">
        <f>IFERROR(__xludf.DUMMYFUNCTION("""COMPUTED_VALUE"""),"Action-Adventure")</f>
        <v>Action-Adventure</v>
      </c>
      <c r="M230" s="201"/>
    </row>
    <row r="231">
      <c r="A231" s="190" t="str">
        <f>IFERROR(__xludf.DUMMYFUNCTION("""COMPUTED_VALUE"""),"Jurassic World Evolution 2")</f>
        <v>Jurassic World Evolution 2</v>
      </c>
      <c r="B231" s="195" t="str">
        <f>IFERROR(__xludf.DUMMYFUNCTION("""COMPUTED_VALUE"""),"Xbox / PC")</f>
        <v>Xbox / PC</v>
      </c>
      <c r="C231" s="196" t="str">
        <f>IFERROR(__xludf.DUMMYFUNCTION("""COMPUTED_VALUE"""),"Yes")</f>
        <v>Yes</v>
      </c>
      <c r="D231" s="196" t="str">
        <f>IFERROR(__xludf.DUMMYFUNCTION("""COMPUTED_VALUE"""),"Active")</f>
        <v>Active</v>
      </c>
      <c r="E231" s="197">
        <f>IFERROR(__xludf.DUMMYFUNCTION("""COMPUTED_VALUE"""),44698.0)</f>
        <v>44698</v>
      </c>
      <c r="F231" s="198"/>
      <c r="G231" s="199">
        <f>IFERROR(__xludf.DUMMYFUNCTION("""COMPUTED_VALUE"""),40.93333333333333)</f>
        <v>40.93333333</v>
      </c>
      <c r="H231" s="197">
        <f>IFERROR(__xludf.DUMMYFUNCTION("""COMPUTED_VALUE"""),44509.0)</f>
        <v>44509</v>
      </c>
      <c r="I231" s="199">
        <f>IFERROR(__xludf.DUMMYFUNCTION("""COMPUTED_VALUE"""),0.5222222222222223)</f>
        <v>0.5222222222</v>
      </c>
      <c r="J231" s="200">
        <f>IFERROR(__xludf.DUMMYFUNCTION("""COMPUTED_VALUE"""),79.0)</f>
        <v>79</v>
      </c>
      <c r="K231" s="200">
        <f>IFERROR(__xludf.DUMMYFUNCTION("""COMPUTED_VALUE"""),6.0)</f>
        <v>6</v>
      </c>
      <c r="L231" s="201" t="str">
        <f>IFERROR(__xludf.DUMMYFUNCTION("""COMPUTED_VALUE"""),"Simulation")</f>
        <v>Simulation</v>
      </c>
      <c r="M231" s="201"/>
    </row>
    <row r="232">
      <c r="A232" s="190" t="str">
        <f>IFERROR(__xludf.DUMMYFUNCTION("""COMPUTED_VALUE"""),"Genesis Noir")</f>
        <v>Genesis Noir</v>
      </c>
      <c r="B232" s="195" t="str">
        <f>IFERROR(__xludf.DUMMYFUNCTION("""COMPUTED_VALUE"""),"Xbox / PC")</f>
        <v>Xbox / PC</v>
      </c>
      <c r="C232" s="196" t="str">
        <f>IFERROR(__xludf.DUMMYFUNCTION("""COMPUTED_VALUE"""),"Touch Controls")</f>
        <v>Touch Controls</v>
      </c>
      <c r="D232" s="196" t="str">
        <f>IFERROR(__xludf.DUMMYFUNCTION("""COMPUTED_VALUE"""),"Active")</f>
        <v>Active</v>
      </c>
      <c r="E232" s="197">
        <f>IFERROR(__xludf.DUMMYFUNCTION("""COMPUTED_VALUE"""),44280.0)</f>
        <v>44280</v>
      </c>
      <c r="F232" s="198"/>
      <c r="G232" s="199">
        <f>IFERROR(__xludf.DUMMYFUNCTION("""COMPUTED_VALUE"""),54.666666666666664)</f>
        <v>54.66666667</v>
      </c>
      <c r="H232" s="197">
        <f>IFERROR(__xludf.DUMMYFUNCTION("""COMPUTED_VALUE"""),44280.0)</f>
        <v>44280</v>
      </c>
      <c r="I232" s="199">
        <f>IFERROR(__xludf.DUMMYFUNCTION("""COMPUTED_VALUE"""),0.0)</f>
        <v>0</v>
      </c>
      <c r="J232" s="200">
        <f>IFERROR(__xludf.DUMMYFUNCTION("""COMPUTED_VALUE"""),79.0)</f>
        <v>79</v>
      </c>
      <c r="K232" s="200">
        <f>IFERROR(__xludf.DUMMYFUNCTION("""COMPUTED_VALUE"""),4.5)</f>
        <v>4.5</v>
      </c>
      <c r="L232" s="201" t="str">
        <f>IFERROR(__xludf.DUMMYFUNCTION("""COMPUTED_VALUE"""),"Adventure")</f>
        <v>Adventure</v>
      </c>
      <c r="M232" s="201"/>
    </row>
    <row r="233">
      <c r="A233" s="190" t="str">
        <f>IFERROR(__xludf.DUMMYFUNCTION("""COMPUTED_VALUE"""),"Dragon Age II")</f>
        <v>Dragon Age II</v>
      </c>
      <c r="B233" s="195" t="str">
        <f>IFERROR(__xludf.DUMMYFUNCTION("""COMPUTED_VALUE"""),"Xbox / PC")</f>
        <v>Xbox / PC</v>
      </c>
      <c r="C233" s="196" t="str">
        <f>IFERROR(__xludf.DUMMYFUNCTION("""COMPUTED_VALUE"""),"Touch Controls")</f>
        <v>Touch Controls</v>
      </c>
      <c r="D233" s="196" t="str">
        <f>IFERROR(__xludf.DUMMYFUNCTION("""COMPUTED_VALUE"""),"Active")</f>
        <v>Active</v>
      </c>
      <c r="E233" s="197">
        <f>IFERROR(__xludf.DUMMYFUNCTION("""COMPUTED_VALUE"""),44145.0)</f>
        <v>44145</v>
      </c>
      <c r="F233" s="198"/>
      <c r="G233" s="199">
        <f>IFERROR(__xludf.DUMMYFUNCTION("""COMPUTED_VALUE"""),59.166666666666664)</f>
        <v>59.16666667</v>
      </c>
      <c r="H233" s="197">
        <f>IFERROR(__xludf.DUMMYFUNCTION("""COMPUTED_VALUE"""),40610.0)</f>
        <v>40610</v>
      </c>
      <c r="I233" s="199">
        <f>IFERROR(__xludf.DUMMYFUNCTION("""COMPUTED_VALUE"""),9.672222222222222)</f>
        <v>9.672222222</v>
      </c>
      <c r="J233" s="200">
        <f>IFERROR(__xludf.DUMMYFUNCTION("""COMPUTED_VALUE"""),79.0)</f>
        <v>79</v>
      </c>
      <c r="K233" s="200">
        <f>IFERROR(__xludf.DUMMYFUNCTION("""COMPUTED_VALUE"""),26.5)</f>
        <v>26.5</v>
      </c>
      <c r="L233" s="201" t="str">
        <f>IFERROR(__xludf.DUMMYFUNCTION("""COMPUTED_VALUE"""),"RPG")</f>
        <v>RPG</v>
      </c>
      <c r="M233" s="201" t="str">
        <f>IFERROR(__xludf.DUMMYFUNCTION("""COMPUTED_VALUE"""),"FPS Boost")</f>
        <v>FPS Boost</v>
      </c>
    </row>
    <row r="234">
      <c r="A234" s="190" t="str">
        <f>IFERROR(__xludf.DUMMYFUNCTION("""COMPUTED_VALUE"""),"Perfect Dark")</f>
        <v>Perfect Dark</v>
      </c>
      <c r="B234" s="195" t="str">
        <f>IFERROR(__xludf.DUMMYFUNCTION("""COMPUTED_VALUE"""),"Xbox")</f>
        <v>Xbox</v>
      </c>
      <c r="C234" s="196" t="str">
        <f>IFERROR(__xludf.DUMMYFUNCTION("""COMPUTED_VALUE"""),"Yes")</f>
        <v>Yes</v>
      </c>
      <c r="D234" s="196" t="str">
        <f>IFERROR(__xludf.DUMMYFUNCTION("""COMPUTED_VALUE"""),"Active")</f>
        <v>Active</v>
      </c>
      <c r="E234" s="197">
        <f>IFERROR(__xludf.DUMMYFUNCTION("""COMPUTED_VALUE"""),43636.0)</f>
        <v>43636</v>
      </c>
      <c r="F234" s="198"/>
      <c r="G234" s="199">
        <f>IFERROR(__xludf.DUMMYFUNCTION("""COMPUTED_VALUE"""),75.83333333333334)</f>
        <v>75.83333333</v>
      </c>
      <c r="H234" s="197">
        <f>IFERROR(__xludf.DUMMYFUNCTION("""COMPUTED_VALUE"""),36766.0)</f>
        <v>36766</v>
      </c>
      <c r="I234" s="199">
        <f>IFERROR(__xludf.DUMMYFUNCTION("""COMPUTED_VALUE"""),18.81111111111111)</f>
        <v>18.81111111</v>
      </c>
      <c r="J234" s="200">
        <f>IFERROR(__xludf.DUMMYFUNCTION("""COMPUTED_VALUE"""),79.0)</f>
        <v>79</v>
      </c>
      <c r="K234" s="200">
        <f>IFERROR(__xludf.DUMMYFUNCTION("""COMPUTED_VALUE"""),9.0)</f>
        <v>9</v>
      </c>
      <c r="L234" s="201" t="str">
        <f>IFERROR(__xludf.DUMMYFUNCTION("""COMPUTED_VALUE"""),"Action / Shooter")</f>
        <v>Action / Shooter</v>
      </c>
      <c r="M234" s="201"/>
    </row>
    <row r="235">
      <c r="A235" s="190" t="str">
        <f>IFERROR(__xludf.DUMMYFUNCTION("""COMPUTED_VALUE"""),"Halo Wars 2")</f>
        <v>Halo Wars 2</v>
      </c>
      <c r="B235" s="195" t="str">
        <f>IFERROR(__xludf.DUMMYFUNCTION("""COMPUTED_VALUE"""),"Xbox / PC")</f>
        <v>Xbox / PC</v>
      </c>
      <c r="C235" s="196" t="str">
        <f>IFERROR(__xludf.DUMMYFUNCTION("""COMPUTED_VALUE"""),"Touch Controls")</f>
        <v>Touch Controls</v>
      </c>
      <c r="D235" s="196" t="str">
        <f>IFERROR(__xludf.DUMMYFUNCTION("""COMPUTED_VALUE"""),"Active")</f>
        <v>Active</v>
      </c>
      <c r="E235" s="197">
        <f>IFERROR(__xludf.DUMMYFUNCTION("""COMPUTED_VALUE"""),43132.0)</f>
        <v>43132</v>
      </c>
      <c r="F235" s="198"/>
      <c r="G235" s="199">
        <f>IFERROR(__xludf.DUMMYFUNCTION("""COMPUTED_VALUE"""),92.46666666666667)</f>
        <v>92.46666667</v>
      </c>
      <c r="H235" s="197">
        <f>IFERROR(__xludf.DUMMYFUNCTION("""COMPUTED_VALUE"""),42783.0)</f>
        <v>42783</v>
      </c>
      <c r="I235" s="199">
        <f>IFERROR(__xludf.DUMMYFUNCTION("""COMPUTED_VALUE"""),0.9555555555555556)</f>
        <v>0.9555555556</v>
      </c>
      <c r="J235" s="200">
        <f>IFERROR(__xludf.DUMMYFUNCTION("""COMPUTED_VALUE"""),79.0)</f>
        <v>79</v>
      </c>
      <c r="K235" s="200">
        <f>IFERROR(__xludf.DUMMYFUNCTION("""COMPUTED_VALUE"""),8.0)</f>
        <v>8</v>
      </c>
      <c r="L235" s="201" t="str">
        <f>IFERROR(__xludf.DUMMYFUNCTION("""COMPUTED_VALUE"""),"Real-Time Strategy")</f>
        <v>Real-Time Strategy</v>
      </c>
      <c r="M235" s="201" t="str">
        <f>IFERROR(__xludf.DUMMYFUNCTION("""COMPUTED_VALUE"""),"FPS Boost")</f>
        <v>FPS Boost</v>
      </c>
    </row>
    <row r="236">
      <c r="A236" s="190" t="str">
        <f>IFERROR(__xludf.DUMMYFUNCTION("""COMPUTED_VALUE"""),"Banjo-Kazooie: Nuts &amp; Bolts")</f>
        <v>Banjo-Kazooie: Nuts &amp; Bolts</v>
      </c>
      <c r="B236" s="195" t="str">
        <f>IFERROR(__xludf.DUMMYFUNCTION("""COMPUTED_VALUE"""),"Xbox")</f>
        <v>Xbox</v>
      </c>
      <c r="C236" s="196" t="str">
        <f>IFERROR(__xludf.DUMMYFUNCTION("""COMPUTED_VALUE"""),"Yes")</f>
        <v>Yes</v>
      </c>
      <c r="D236" s="196" t="str">
        <f>IFERROR(__xludf.DUMMYFUNCTION("""COMPUTED_VALUE"""),"Active")</f>
        <v>Active</v>
      </c>
      <c r="E236" s="197">
        <f>IFERROR(__xludf.DUMMYFUNCTION("""COMPUTED_VALUE"""),42887.0)</f>
        <v>42887</v>
      </c>
      <c r="F236" s="198"/>
      <c r="G236" s="199">
        <f>IFERROR(__xludf.DUMMYFUNCTION("""COMPUTED_VALUE"""),100.46666666666667)</f>
        <v>100.4666667</v>
      </c>
      <c r="H236" s="197">
        <f>IFERROR(__xludf.DUMMYFUNCTION("""COMPUTED_VALUE"""),39763.0)</f>
        <v>39763</v>
      </c>
      <c r="I236" s="199">
        <f>IFERROR(__xludf.DUMMYFUNCTION("""COMPUTED_VALUE"""),8.555555555555555)</f>
        <v>8.555555556</v>
      </c>
      <c r="J236" s="200">
        <f>IFERROR(__xludf.DUMMYFUNCTION("""COMPUTED_VALUE"""),79.0)</f>
        <v>79</v>
      </c>
      <c r="K236" s="200">
        <f>IFERROR(__xludf.DUMMYFUNCTION("""COMPUTED_VALUE"""),15.5)</f>
        <v>15.5</v>
      </c>
      <c r="L236" s="201" t="str">
        <f>IFERROR(__xludf.DUMMYFUNCTION("""COMPUTED_VALUE"""),"Adventure")</f>
        <v>Adventure</v>
      </c>
      <c r="M236" s="201"/>
    </row>
    <row r="237">
      <c r="A237" s="190" t="str">
        <f>IFERROR(__xludf.DUMMYFUNCTION("""COMPUTED_VALUE"""),"Gears of War: Judgment")</f>
        <v>Gears of War: Judgment</v>
      </c>
      <c r="B237" s="195" t="str">
        <f>IFERROR(__xludf.DUMMYFUNCTION("""COMPUTED_VALUE"""),"Xbox")</f>
        <v>Xbox</v>
      </c>
      <c r="C237" s="196" t="str">
        <f>IFERROR(__xludf.DUMMYFUNCTION("""COMPUTED_VALUE"""),"Yes")</f>
        <v>Yes</v>
      </c>
      <c r="D237" s="196" t="str">
        <f>IFERROR(__xludf.DUMMYFUNCTION("""COMPUTED_VALUE"""),"Active")</f>
        <v>Active</v>
      </c>
      <c r="E237" s="197">
        <f>IFERROR(__xludf.DUMMYFUNCTION("""COMPUTED_VALUE"""),42887.0)</f>
        <v>42887</v>
      </c>
      <c r="F237" s="198"/>
      <c r="G237" s="199">
        <f>IFERROR(__xludf.DUMMYFUNCTION("""COMPUTED_VALUE"""),100.46666666666667)</f>
        <v>100.4666667</v>
      </c>
      <c r="H237" s="197">
        <f>IFERROR(__xludf.DUMMYFUNCTION("""COMPUTED_VALUE"""),41352.0)</f>
        <v>41352</v>
      </c>
      <c r="I237" s="199">
        <f>IFERROR(__xludf.DUMMYFUNCTION("""COMPUTED_VALUE"""),4.2)</f>
        <v>4.2</v>
      </c>
      <c r="J237" s="200">
        <f>IFERROR(__xludf.DUMMYFUNCTION("""COMPUTED_VALUE"""),79.0)</f>
        <v>79</v>
      </c>
      <c r="K237" s="200">
        <f>IFERROR(__xludf.DUMMYFUNCTION("""COMPUTED_VALUE"""),7.0)</f>
        <v>7</v>
      </c>
      <c r="L237" s="201" t="str">
        <f>IFERROR(__xludf.DUMMYFUNCTION("""COMPUTED_VALUE"""),"Action / Shooter")</f>
        <v>Action / Shooter</v>
      </c>
      <c r="M237" s="201" t="str">
        <f>IFERROR(__xludf.DUMMYFUNCTION("""COMPUTED_VALUE"""),"FPS Boost")</f>
        <v>FPS Boost</v>
      </c>
    </row>
    <row r="238">
      <c r="A238" s="190" t="str">
        <f>IFERROR(__xludf.DUMMYFUNCTION("""COMPUTED_VALUE"""),"Kameo: Elements of Power")</f>
        <v>Kameo: Elements of Power</v>
      </c>
      <c r="B238" s="195" t="str">
        <f>IFERROR(__xludf.DUMMYFUNCTION("""COMPUTED_VALUE"""),"Xbox")</f>
        <v>Xbox</v>
      </c>
      <c r="C238" s="196" t="str">
        <f>IFERROR(__xludf.DUMMYFUNCTION("""COMPUTED_VALUE"""),"Yes")</f>
        <v>Yes</v>
      </c>
      <c r="D238" s="196" t="str">
        <f>IFERROR(__xludf.DUMMYFUNCTION("""COMPUTED_VALUE"""),"Active")</f>
        <v>Active</v>
      </c>
      <c r="E238" s="197">
        <f>IFERROR(__xludf.DUMMYFUNCTION("""COMPUTED_VALUE"""),42887.0)</f>
        <v>42887</v>
      </c>
      <c r="F238" s="198"/>
      <c r="G238" s="199">
        <f>IFERROR(__xludf.DUMMYFUNCTION("""COMPUTED_VALUE"""),100.46666666666667)</f>
        <v>100.4666667</v>
      </c>
      <c r="H238" s="197">
        <f>IFERROR(__xludf.DUMMYFUNCTION("""COMPUTED_VALUE"""),38670.0)</f>
        <v>38670</v>
      </c>
      <c r="I238" s="199">
        <f>IFERROR(__xludf.DUMMYFUNCTION("""COMPUTED_VALUE"""),11.547222222222222)</f>
        <v>11.54722222</v>
      </c>
      <c r="J238" s="200">
        <f>IFERROR(__xludf.DUMMYFUNCTION("""COMPUTED_VALUE"""),79.0)</f>
        <v>79</v>
      </c>
      <c r="K238" s="200">
        <f>IFERROR(__xludf.DUMMYFUNCTION("""COMPUTED_VALUE"""),9.5)</f>
        <v>9.5</v>
      </c>
      <c r="L238" s="201" t="str">
        <f>IFERROR(__xludf.DUMMYFUNCTION("""COMPUTED_VALUE"""),"Action-Adventure")</f>
        <v>Action-Adventure</v>
      </c>
      <c r="M238" s="201" t="str">
        <f>IFERROR(__xludf.DUMMYFUNCTION("""COMPUTED_VALUE"""),"FPS Boost")</f>
        <v>FPS Boost</v>
      </c>
    </row>
    <row r="239">
      <c r="A239" s="190" t="str">
        <f>IFERROR(__xludf.DUMMYFUNCTION("""COMPUTED_VALUE"""),"Star Wars Squadrons")</f>
        <v>Star Wars Squadrons</v>
      </c>
      <c r="B239" s="195" t="str">
        <f>IFERROR(__xludf.DUMMYFUNCTION("""COMPUTED_VALUE"""),"Xbox / PC")</f>
        <v>Xbox / PC</v>
      </c>
      <c r="C239" s="196" t="str">
        <f>IFERROR(__xludf.DUMMYFUNCTION("""COMPUTED_VALUE"""),"Touch Controls")</f>
        <v>Touch Controls</v>
      </c>
      <c r="D239" s="196" t="str">
        <f>IFERROR(__xludf.DUMMYFUNCTION("""COMPUTED_VALUE"""),"Active")</f>
        <v>Active</v>
      </c>
      <c r="E239" s="197">
        <f>IFERROR(__xludf.DUMMYFUNCTION("""COMPUTED_VALUE"""),44273.0)</f>
        <v>44273</v>
      </c>
      <c r="F239" s="198"/>
      <c r="G239" s="199">
        <f>IFERROR(__xludf.DUMMYFUNCTION("""COMPUTED_VALUE"""),54.900000000000006)</f>
        <v>54.9</v>
      </c>
      <c r="H239" s="197">
        <f>IFERROR(__xludf.DUMMYFUNCTION("""COMPUTED_VALUE"""),44106.0)</f>
        <v>44106</v>
      </c>
      <c r="I239" s="199">
        <f>IFERROR(__xludf.DUMMYFUNCTION("""COMPUTED_VALUE"""),0.46111111111111114)</f>
        <v>0.4611111111</v>
      </c>
      <c r="J239" s="200">
        <f>IFERROR(__xludf.DUMMYFUNCTION("""COMPUTED_VALUE"""),78.5)</f>
        <v>78.5</v>
      </c>
      <c r="K239" s="200">
        <f>IFERROR(__xludf.DUMMYFUNCTION("""COMPUTED_VALUE"""),9.0)</f>
        <v>9</v>
      </c>
      <c r="L239" s="201" t="str">
        <f>IFERROR(__xludf.DUMMYFUNCTION("""COMPUTED_VALUE"""),"Action / Flight Simulator")</f>
        <v>Action / Flight Simulator</v>
      </c>
      <c r="M239" s="201" t="str">
        <f>IFERROR(__xludf.DUMMYFUNCTION("""COMPUTED_VALUE"""),"Optimized")</f>
        <v>Optimized</v>
      </c>
    </row>
    <row r="240">
      <c r="A240" s="190" t="str">
        <f>IFERROR(__xludf.DUMMYFUNCTION("""COMPUTED_VALUE"""),"Minami Lane")</f>
        <v>Minami Lane</v>
      </c>
      <c r="B240" s="195" t="str">
        <f>IFERROR(__xludf.DUMMYFUNCTION("""COMPUTED_VALUE"""),"Xbox / PC")</f>
        <v>Xbox / PC</v>
      </c>
      <c r="C240" s="196" t="str">
        <f>IFERROR(__xludf.DUMMYFUNCTION("""COMPUTED_VALUE"""),"Yes")</f>
        <v>Yes</v>
      </c>
      <c r="D240" s="196" t="str">
        <f>IFERROR(__xludf.DUMMYFUNCTION("""COMPUTED_VALUE"""),"Active")</f>
        <v>Active</v>
      </c>
      <c r="E240" s="197">
        <f>IFERROR(__xludf.DUMMYFUNCTION("""COMPUTED_VALUE"""),45847.0)</f>
        <v>45847</v>
      </c>
      <c r="F240" s="198"/>
      <c r="G240" s="199">
        <f>IFERROR(__xludf.DUMMYFUNCTION("""COMPUTED_VALUE"""),3.2)</f>
        <v>3.2</v>
      </c>
      <c r="H240" s="197">
        <f>IFERROR(__xludf.DUMMYFUNCTION("""COMPUTED_VALUE"""),45350.0)</f>
        <v>45350</v>
      </c>
      <c r="I240" s="199">
        <f>IFERROR(__xludf.DUMMYFUNCTION("""COMPUTED_VALUE"""),1.363888888888889)</f>
        <v>1.363888889</v>
      </c>
      <c r="J240" s="200">
        <f>IFERROR(__xludf.DUMMYFUNCTION("""COMPUTED_VALUE"""),78.0)</f>
        <v>78</v>
      </c>
      <c r="K240" s="200">
        <f>IFERROR(__xludf.DUMMYFUNCTION("""COMPUTED_VALUE"""),3.0)</f>
        <v>3</v>
      </c>
      <c r="L240" s="201" t="str">
        <f>IFERROR(__xludf.DUMMYFUNCTION("""COMPUTED_VALUE"""),"Tycoon")</f>
        <v>Tycoon</v>
      </c>
      <c r="M240" s="201"/>
    </row>
    <row r="241">
      <c r="A241" s="190" t="str">
        <f>IFERROR(__xludf.DUMMYFUNCTION("""COMPUTED_VALUE"""),"Rematch")</f>
        <v>Rematch</v>
      </c>
      <c r="B241" s="195" t="str">
        <f>IFERROR(__xludf.DUMMYFUNCTION("""COMPUTED_VALUE"""),"Xbox / PC")</f>
        <v>Xbox / PC</v>
      </c>
      <c r="C241" s="196" t="str">
        <f>IFERROR(__xludf.DUMMYFUNCTION("""COMPUTED_VALUE"""),"Yes")</f>
        <v>Yes</v>
      </c>
      <c r="D241" s="196" t="str">
        <f>IFERROR(__xludf.DUMMYFUNCTION("""COMPUTED_VALUE"""),"Active")</f>
        <v>Active</v>
      </c>
      <c r="E241" s="197">
        <f>IFERROR(__xludf.DUMMYFUNCTION("""COMPUTED_VALUE"""),45827.0)</f>
        <v>45827</v>
      </c>
      <c r="F241" s="198"/>
      <c r="G241" s="199">
        <f>IFERROR(__xludf.DUMMYFUNCTION("""COMPUTED_VALUE"""),3.866666666666667)</f>
        <v>3.866666667</v>
      </c>
      <c r="H241" s="197">
        <f>IFERROR(__xludf.DUMMYFUNCTION("""COMPUTED_VALUE"""),45827.0)</f>
        <v>45827</v>
      </c>
      <c r="I241" s="199">
        <f>IFERROR(__xludf.DUMMYFUNCTION("""COMPUTED_VALUE"""),0.0)</f>
        <v>0</v>
      </c>
      <c r="J241" s="200">
        <f>IFERROR(__xludf.DUMMYFUNCTION("""COMPUTED_VALUE"""),78.0)</f>
        <v>78</v>
      </c>
      <c r="K241" s="200">
        <f>IFERROR(__xludf.DUMMYFUNCTION("""COMPUTED_VALUE"""),37.0)</f>
        <v>37</v>
      </c>
      <c r="L241" s="201" t="str">
        <f>IFERROR(__xludf.DUMMYFUNCTION("""COMPUTED_VALUE"""),"Sports")</f>
        <v>Sports</v>
      </c>
      <c r="M241" s="201" t="str">
        <f>IFERROR(__xludf.DUMMYFUNCTION("""COMPUTED_VALUE"""),"Exclusive")</f>
        <v>Exclusive</v>
      </c>
    </row>
    <row r="242">
      <c r="A242" s="190" t="str">
        <f>IFERROR(__xludf.DUMMYFUNCTION("""COMPUTED_VALUE"""),"Lost in Random: The Eternal Die")</f>
        <v>Lost in Random: The Eternal Die</v>
      </c>
      <c r="B242" s="195" t="str">
        <f>IFERROR(__xludf.DUMMYFUNCTION("""COMPUTED_VALUE"""),"Xbox / PC")</f>
        <v>Xbox / PC</v>
      </c>
      <c r="C242" s="196" t="str">
        <f>IFERROR(__xludf.DUMMYFUNCTION("""COMPUTED_VALUE"""),"Yes")</f>
        <v>Yes</v>
      </c>
      <c r="D242" s="196" t="str">
        <f>IFERROR(__xludf.DUMMYFUNCTION("""COMPUTED_VALUE"""),"Active")</f>
        <v>Active</v>
      </c>
      <c r="E242" s="197">
        <f>IFERROR(__xludf.DUMMYFUNCTION("""COMPUTED_VALUE"""),45825.0)</f>
        <v>45825</v>
      </c>
      <c r="F242" s="198"/>
      <c r="G242" s="199">
        <f>IFERROR(__xludf.DUMMYFUNCTION("""COMPUTED_VALUE"""),3.9333333333333336)</f>
        <v>3.933333333</v>
      </c>
      <c r="H242" s="197">
        <f>IFERROR(__xludf.DUMMYFUNCTION("""COMPUTED_VALUE"""),45825.0)</f>
        <v>45825</v>
      </c>
      <c r="I242" s="199">
        <f>IFERROR(__xludf.DUMMYFUNCTION("""COMPUTED_VALUE"""),0.0)</f>
        <v>0</v>
      </c>
      <c r="J242" s="200">
        <f>IFERROR(__xludf.DUMMYFUNCTION("""COMPUTED_VALUE"""),78.0)</f>
        <v>78</v>
      </c>
      <c r="K242" s="200">
        <f>IFERROR(__xludf.DUMMYFUNCTION("""COMPUTED_VALUE"""),6.0)</f>
        <v>6</v>
      </c>
      <c r="L242" s="201" t="str">
        <f>IFERROR(__xludf.DUMMYFUNCTION("""COMPUTED_VALUE"""),"Action-Adventure")</f>
        <v>Action-Adventure</v>
      </c>
      <c r="M242" s="201" t="str">
        <f>IFERROR(__xludf.DUMMYFUNCTION("""COMPUTED_VALUE"""),"Exclusive")</f>
        <v>Exclusive</v>
      </c>
    </row>
    <row r="243">
      <c r="A243" s="190" t="str">
        <f>IFERROR(__xludf.DUMMYFUNCTION("""COMPUTED_VALUE"""),"Baldur's Gate: Enhanced Edition")</f>
        <v>Baldur's Gate: Enhanced Edition</v>
      </c>
      <c r="B243" s="195" t="str">
        <f>IFERROR(__xludf.DUMMYFUNCTION("""COMPUTED_VALUE"""),"Xbox")</f>
        <v>Xbox</v>
      </c>
      <c r="C243" s="196" t="str">
        <f>IFERROR(__xludf.DUMMYFUNCTION("""COMPUTED_VALUE"""),"Yes")</f>
        <v>Yes</v>
      </c>
      <c r="D243" s="196" t="str">
        <f>IFERROR(__xludf.DUMMYFUNCTION("""COMPUTED_VALUE"""),"Active")</f>
        <v>Active</v>
      </c>
      <c r="E243" s="197">
        <f>IFERROR(__xludf.DUMMYFUNCTION("""COMPUTED_VALUE"""),45813.0)</f>
        <v>45813</v>
      </c>
      <c r="F243" s="198"/>
      <c r="G243" s="199">
        <f>IFERROR(__xludf.DUMMYFUNCTION("""COMPUTED_VALUE"""),4.333333333333333)</f>
        <v>4.333333333</v>
      </c>
      <c r="H243" s="197">
        <f>IFERROR(__xludf.DUMMYFUNCTION("""COMPUTED_VALUE"""),41241.0)</f>
        <v>41241</v>
      </c>
      <c r="I243" s="199">
        <f>IFERROR(__xludf.DUMMYFUNCTION("""COMPUTED_VALUE"""),12.519444444444444)</f>
        <v>12.51944444</v>
      </c>
      <c r="J243" s="200">
        <f>IFERROR(__xludf.DUMMYFUNCTION("""COMPUTED_VALUE"""),78.0)</f>
        <v>78</v>
      </c>
      <c r="K243" s="200">
        <f>IFERROR(__xludf.DUMMYFUNCTION("""COMPUTED_VALUE"""),31.0)</f>
        <v>31</v>
      </c>
      <c r="L243" s="201" t="str">
        <f>IFERROR(__xludf.DUMMYFUNCTION("""COMPUTED_VALUE"""),"RPG")</f>
        <v>RPG</v>
      </c>
      <c r="M243" s="201"/>
    </row>
    <row r="244">
      <c r="A244" s="190" t="str">
        <f>IFERROR(__xludf.DUMMYFUNCTION("""COMPUTED_VALUE"""),"Baldur's Gate II: Enhanced Edition")</f>
        <v>Baldur's Gate II: Enhanced Edition</v>
      </c>
      <c r="B244" s="195" t="str">
        <f>IFERROR(__xludf.DUMMYFUNCTION("""COMPUTED_VALUE"""),"Xbox")</f>
        <v>Xbox</v>
      </c>
      <c r="C244" s="196" t="str">
        <f>IFERROR(__xludf.DUMMYFUNCTION("""COMPUTED_VALUE"""),"Yes")</f>
        <v>Yes</v>
      </c>
      <c r="D244" s="196" t="str">
        <f>IFERROR(__xludf.DUMMYFUNCTION("""COMPUTED_VALUE"""),"Active")</f>
        <v>Active</v>
      </c>
      <c r="E244" s="197">
        <f>IFERROR(__xludf.DUMMYFUNCTION("""COMPUTED_VALUE"""),45813.0)</f>
        <v>45813</v>
      </c>
      <c r="F244" s="198"/>
      <c r="G244" s="199">
        <f>IFERROR(__xludf.DUMMYFUNCTION("""COMPUTED_VALUE"""),4.333333333333333)</f>
        <v>4.333333333</v>
      </c>
      <c r="H244" s="197">
        <f>IFERROR(__xludf.DUMMYFUNCTION("""COMPUTED_VALUE"""),41593.0)</f>
        <v>41593</v>
      </c>
      <c r="I244" s="199">
        <f>IFERROR(__xludf.DUMMYFUNCTION("""COMPUTED_VALUE"""),11.555555555555555)</f>
        <v>11.55555556</v>
      </c>
      <c r="J244" s="200">
        <f>IFERROR(__xludf.DUMMYFUNCTION("""COMPUTED_VALUE"""),78.0)</f>
        <v>78</v>
      </c>
      <c r="K244" s="200">
        <f>IFERROR(__xludf.DUMMYFUNCTION("""COMPUTED_VALUE"""),45.0)</f>
        <v>45</v>
      </c>
      <c r="L244" s="201" t="str">
        <f>IFERROR(__xludf.DUMMYFUNCTION("""COMPUTED_VALUE"""),"RPG")</f>
        <v>RPG</v>
      </c>
      <c r="M244" s="201"/>
    </row>
    <row r="245">
      <c r="A245" s="190" t="str">
        <f>IFERROR(__xludf.DUMMYFUNCTION("""COMPUTED_VALUE"""),"Spray Paint Simulator")</f>
        <v>Spray Paint Simulator</v>
      </c>
      <c r="B245" s="195" t="str">
        <f>IFERROR(__xludf.DUMMYFUNCTION("""COMPUTED_VALUE"""),"Xbox / PC")</f>
        <v>Xbox / PC</v>
      </c>
      <c r="C245" s="196" t="str">
        <f>IFERROR(__xludf.DUMMYFUNCTION("""COMPUTED_VALUE"""),"Yes")</f>
        <v>Yes</v>
      </c>
      <c r="D245" s="196" t="str">
        <f>IFERROR(__xludf.DUMMYFUNCTION("""COMPUTED_VALUE"""),"Active")</f>
        <v>Active</v>
      </c>
      <c r="E245" s="197">
        <f>IFERROR(__xludf.DUMMYFUNCTION("""COMPUTED_VALUE"""),45806.0)</f>
        <v>45806</v>
      </c>
      <c r="F245" s="198"/>
      <c r="G245" s="199">
        <f>IFERROR(__xludf.DUMMYFUNCTION("""COMPUTED_VALUE"""),4.533333333333333)</f>
        <v>4.533333333</v>
      </c>
      <c r="H245" s="197">
        <f>IFERROR(__xludf.DUMMYFUNCTION("""COMPUTED_VALUE"""),45806.0)</f>
        <v>45806</v>
      </c>
      <c r="I245" s="199">
        <f>IFERROR(__xludf.DUMMYFUNCTION("""COMPUTED_VALUE"""),0.0)</f>
        <v>0</v>
      </c>
      <c r="J245" s="200">
        <f>IFERROR(__xludf.DUMMYFUNCTION("""COMPUTED_VALUE"""),78.0)</f>
        <v>78</v>
      </c>
      <c r="K245" s="200">
        <f>IFERROR(__xludf.DUMMYFUNCTION("""COMPUTED_VALUE"""),9.0)</f>
        <v>9</v>
      </c>
      <c r="L245" s="201" t="str">
        <f>IFERROR(__xludf.DUMMYFUNCTION("""COMPUTED_VALUE"""),"Simulation")</f>
        <v>Simulation</v>
      </c>
      <c r="M245" s="201" t="str">
        <f>IFERROR(__xludf.DUMMYFUNCTION("""COMPUTED_VALUE"""),"Exclusive")</f>
        <v>Exclusive</v>
      </c>
    </row>
    <row r="246">
      <c r="A246" s="190" t="str">
        <f>IFERROR(__xludf.DUMMYFUNCTION("""COMPUTED_VALUE"""),"Shady Part of Me")</f>
        <v>Shady Part of Me</v>
      </c>
      <c r="B246" s="195" t="str">
        <f>IFERROR(__xludf.DUMMYFUNCTION("""COMPUTED_VALUE"""),"Xbox / PC")</f>
        <v>Xbox / PC</v>
      </c>
      <c r="C246" s="196" t="str">
        <f>IFERROR(__xludf.DUMMYFUNCTION("""COMPUTED_VALUE"""),"Yes")</f>
        <v>Yes</v>
      </c>
      <c r="D246" s="196" t="str">
        <f>IFERROR(__xludf.DUMMYFUNCTION("""COMPUTED_VALUE"""),"Active")</f>
        <v>Active</v>
      </c>
      <c r="E246" s="197">
        <f>IFERROR(__xludf.DUMMYFUNCTION("""COMPUTED_VALUE"""),45686.0)</f>
        <v>45686</v>
      </c>
      <c r="F246" s="198"/>
      <c r="G246" s="199">
        <f>IFERROR(__xludf.DUMMYFUNCTION("""COMPUTED_VALUE"""),8.533333333333333)</f>
        <v>8.533333333</v>
      </c>
      <c r="H246" s="197">
        <f>IFERROR(__xludf.DUMMYFUNCTION("""COMPUTED_VALUE"""),44175.0)</f>
        <v>44175</v>
      </c>
      <c r="I246" s="199">
        <f>IFERROR(__xludf.DUMMYFUNCTION("""COMPUTED_VALUE"""),4.136111111111111)</f>
        <v>4.136111111</v>
      </c>
      <c r="J246" s="200">
        <f>IFERROR(__xludf.DUMMYFUNCTION("""COMPUTED_VALUE"""),78.0)</f>
        <v>78</v>
      </c>
      <c r="K246" s="200">
        <f>IFERROR(__xludf.DUMMYFUNCTION("""COMPUTED_VALUE"""),5.0)</f>
        <v>5</v>
      </c>
      <c r="L246" s="201" t="str">
        <f>IFERROR(__xludf.DUMMYFUNCTION("""COMPUTED_VALUE"""),"Action-Adventure")</f>
        <v>Action-Adventure</v>
      </c>
      <c r="M246" s="201"/>
    </row>
    <row r="247">
      <c r="A247" s="190" t="str">
        <f>IFERROR(__xludf.DUMMYFUNCTION("""COMPUTED_VALUE"""),"EA Sports UFC 5")</f>
        <v>EA Sports UFC 5</v>
      </c>
      <c r="B247" s="195" t="str">
        <f>IFERROR(__xludf.DUMMYFUNCTION("""COMPUTED_VALUE"""),"Xbox")</f>
        <v>Xbox</v>
      </c>
      <c r="C247" s="196" t="str">
        <f>IFERROR(__xludf.DUMMYFUNCTION("""COMPUTED_VALUE"""),"Yes")</f>
        <v>Yes</v>
      </c>
      <c r="D247" s="196" t="str">
        <f>IFERROR(__xludf.DUMMYFUNCTION("""COMPUTED_VALUE"""),"Active")</f>
        <v>Active</v>
      </c>
      <c r="E247" s="197">
        <f>IFERROR(__xludf.DUMMYFUNCTION("""COMPUTED_VALUE"""),45671.0)</f>
        <v>45671</v>
      </c>
      <c r="F247" s="198"/>
      <c r="G247" s="199">
        <f>IFERROR(__xludf.DUMMYFUNCTION("""COMPUTED_VALUE"""),9.033333333333333)</f>
        <v>9.033333333</v>
      </c>
      <c r="H247" s="197">
        <f>IFERROR(__xludf.DUMMYFUNCTION("""COMPUTED_VALUE"""),45226.0)</f>
        <v>45226</v>
      </c>
      <c r="I247" s="199">
        <f>IFERROR(__xludf.DUMMYFUNCTION("""COMPUTED_VALUE"""),1.2138888888888888)</f>
        <v>1.213888889</v>
      </c>
      <c r="J247" s="200">
        <f>IFERROR(__xludf.DUMMYFUNCTION("""COMPUTED_VALUE"""),78.0)</f>
        <v>78</v>
      </c>
      <c r="K247" s="200">
        <f>IFERROR(__xludf.DUMMYFUNCTION("""COMPUTED_VALUE"""),14.0)</f>
        <v>14</v>
      </c>
      <c r="L247" s="201" t="str">
        <f>IFERROR(__xludf.DUMMYFUNCTION("""COMPUTED_VALUE"""),"Fighting")</f>
        <v>Fighting</v>
      </c>
      <c r="M247" s="201" t="str">
        <f>IFERROR(__xludf.DUMMYFUNCTION("""COMPUTED_VALUE"""),"Exclusive")</f>
        <v>Exclusive</v>
      </c>
    </row>
    <row r="248">
      <c r="A248" s="190" t="str">
        <f>IFERROR(__xludf.DUMMYFUNCTION("""COMPUTED_VALUE"""),"Microsoft Flight Simulator 2024")</f>
        <v>Microsoft Flight Simulator 2024</v>
      </c>
      <c r="B248" s="195" t="str">
        <f>IFERROR(__xludf.DUMMYFUNCTION("""COMPUTED_VALUE"""),"Xbox / PC")</f>
        <v>Xbox / PC</v>
      </c>
      <c r="C248" s="196" t="str">
        <f>IFERROR(__xludf.DUMMYFUNCTION("""COMPUTED_VALUE"""),"Yes")</f>
        <v>Yes</v>
      </c>
      <c r="D248" s="196" t="str">
        <f>IFERROR(__xludf.DUMMYFUNCTION("""COMPUTED_VALUE"""),"Active")</f>
        <v>Active</v>
      </c>
      <c r="E248" s="197">
        <f>IFERROR(__xludf.DUMMYFUNCTION("""COMPUTED_VALUE"""),45615.0)</f>
        <v>45615</v>
      </c>
      <c r="F248" s="198"/>
      <c r="G248" s="199">
        <f>IFERROR(__xludf.DUMMYFUNCTION("""COMPUTED_VALUE"""),10.866666666666667)</f>
        <v>10.86666667</v>
      </c>
      <c r="H248" s="197">
        <f>IFERROR(__xludf.DUMMYFUNCTION("""COMPUTED_VALUE"""),45615.0)</f>
        <v>45615</v>
      </c>
      <c r="I248" s="199">
        <f>IFERROR(__xludf.DUMMYFUNCTION("""COMPUTED_VALUE"""),0.0)</f>
        <v>0</v>
      </c>
      <c r="J248" s="200">
        <f>IFERROR(__xludf.DUMMYFUNCTION("""COMPUTED_VALUE"""),78.0)</f>
        <v>78</v>
      </c>
      <c r="K248" s="200">
        <f>IFERROR(__xludf.DUMMYFUNCTION("""COMPUTED_VALUE"""),50.0)</f>
        <v>50</v>
      </c>
      <c r="L248" s="201" t="str">
        <f>IFERROR(__xludf.DUMMYFUNCTION("""COMPUTED_VALUE"""),"Simulation")</f>
        <v>Simulation</v>
      </c>
      <c r="M248" s="201" t="str">
        <f>IFERROR(__xludf.DUMMYFUNCTION("""COMPUTED_VALUE"""),"Exclusive")</f>
        <v>Exclusive</v>
      </c>
    </row>
    <row r="249">
      <c r="A249" s="190" t="str">
        <f>IFERROR(__xludf.DUMMYFUNCTION("""COMPUTED_VALUE"""),"The Rewinder")</f>
        <v>The Rewinder</v>
      </c>
      <c r="B249" s="195" t="str">
        <f>IFERROR(__xludf.DUMMYFUNCTION("""COMPUTED_VALUE"""),"Xbox / PC")</f>
        <v>Xbox / PC</v>
      </c>
      <c r="C249" s="196" t="str">
        <f>IFERROR(__xludf.DUMMYFUNCTION("""COMPUTED_VALUE"""),"Yes")</f>
        <v>Yes</v>
      </c>
      <c r="D249" s="196" t="str">
        <f>IFERROR(__xludf.DUMMYFUNCTION("""COMPUTED_VALUE"""),"Active")</f>
        <v>Active</v>
      </c>
      <c r="E249" s="197">
        <f>IFERROR(__xludf.DUMMYFUNCTION("""COMPUTED_VALUE"""),45411.0)</f>
        <v>45411</v>
      </c>
      <c r="F249" s="198"/>
      <c r="G249" s="199">
        <f>IFERROR(__xludf.DUMMYFUNCTION("""COMPUTED_VALUE"""),17.53333333333333)</f>
        <v>17.53333333</v>
      </c>
      <c r="H249" s="197">
        <f>IFERROR(__xludf.DUMMYFUNCTION("""COMPUTED_VALUE"""),44449.0)</f>
        <v>44449</v>
      </c>
      <c r="I249" s="199">
        <f>IFERROR(__xludf.DUMMYFUNCTION("""COMPUTED_VALUE"""),2.636111111111111)</f>
        <v>2.636111111</v>
      </c>
      <c r="J249" s="200">
        <f>IFERROR(__xludf.DUMMYFUNCTION("""COMPUTED_VALUE"""),78.0)</f>
        <v>78</v>
      </c>
      <c r="K249" s="200">
        <f>IFERROR(__xludf.DUMMYFUNCTION("""COMPUTED_VALUE"""),5.0)</f>
        <v>5</v>
      </c>
      <c r="L249" s="201" t="str">
        <f>IFERROR(__xludf.DUMMYFUNCTION("""COMPUTED_VALUE"""),"Action-Adventure")</f>
        <v>Action-Adventure</v>
      </c>
      <c r="M249" s="201"/>
    </row>
    <row r="250">
      <c r="A250" s="190" t="str">
        <f>IFERROR(__xludf.DUMMYFUNCTION("""COMPUTED_VALUE"""),"The Walking Dead: The Final Season")</f>
        <v>The Walking Dead: The Final Season</v>
      </c>
      <c r="B250" s="195" t="str">
        <f>IFERROR(__xludf.DUMMYFUNCTION("""COMPUTED_VALUE"""),"Xbox / PC")</f>
        <v>Xbox / PC</v>
      </c>
      <c r="C250" s="196" t="str">
        <f>IFERROR(__xludf.DUMMYFUNCTION("""COMPUTED_VALUE"""),"Yes")</f>
        <v>Yes</v>
      </c>
      <c r="D250" s="196" t="str">
        <f>IFERROR(__xludf.DUMMYFUNCTION("""COMPUTED_VALUE"""),"Active")</f>
        <v>Active</v>
      </c>
      <c r="E250" s="197">
        <f>IFERROR(__xludf.DUMMYFUNCTION("""COMPUTED_VALUE"""),44896.0)</f>
        <v>44896</v>
      </c>
      <c r="F250" s="198"/>
      <c r="G250" s="199">
        <f>IFERROR(__xludf.DUMMYFUNCTION("""COMPUTED_VALUE"""),34.46666666666667)</f>
        <v>34.46666667</v>
      </c>
      <c r="H250" s="197">
        <f>IFERROR(__xludf.DUMMYFUNCTION("""COMPUTED_VALUE"""),43325.0)</f>
        <v>43325</v>
      </c>
      <c r="I250" s="199">
        <f>IFERROR(__xludf.DUMMYFUNCTION("""COMPUTED_VALUE"""),4.3)</f>
        <v>4.3</v>
      </c>
      <c r="J250" s="200">
        <f>IFERROR(__xludf.DUMMYFUNCTION("""COMPUTED_VALUE"""),78.0)</f>
        <v>78</v>
      </c>
      <c r="K250" s="200">
        <f>IFERROR(__xludf.DUMMYFUNCTION("""COMPUTED_VALUE"""),10.0)</f>
        <v>10</v>
      </c>
      <c r="L250" s="201" t="str">
        <f>IFERROR(__xludf.DUMMYFUNCTION("""COMPUTED_VALUE"""),"Adventure")</f>
        <v>Adventure</v>
      </c>
      <c r="M250" s="201"/>
    </row>
    <row r="251">
      <c r="A251" s="190" t="str">
        <f>IFERROR(__xludf.DUMMYFUNCTION("""COMPUTED_VALUE"""),"Warhammer 40,000: Darktide")</f>
        <v>Warhammer 40,000: Darktide</v>
      </c>
      <c r="B251" s="195" t="str">
        <f>IFERROR(__xludf.DUMMYFUNCTION("""COMPUTED_VALUE"""),"Xbox / PC")</f>
        <v>Xbox / PC</v>
      </c>
      <c r="C251" s="196" t="str">
        <f>IFERROR(__xludf.DUMMYFUNCTION("""COMPUTED_VALUE"""),"Yes")</f>
        <v>Yes</v>
      </c>
      <c r="D251" s="196" t="str">
        <f>IFERROR(__xludf.DUMMYFUNCTION("""COMPUTED_VALUE"""),"Active")</f>
        <v>Active</v>
      </c>
      <c r="E251" s="197">
        <f>IFERROR(__xludf.DUMMYFUNCTION("""COMPUTED_VALUE"""),44895.0)</f>
        <v>44895</v>
      </c>
      <c r="F251" s="198"/>
      <c r="G251" s="199">
        <f>IFERROR(__xludf.DUMMYFUNCTION("""COMPUTED_VALUE"""),34.5)</f>
        <v>34.5</v>
      </c>
      <c r="H251" s="197">
        <f>IFERROR(__xludf.DUMMYFUNCTION("""COMPUTED_VALUE"""),44895.0)</f>
        <v>44895</v>
      </c>
      <c r="I251" s="199">
        <f>IFERROR(__xludf.DUMMYFUNCTION("""COMPUTED_VALUE"""),0.0)</f>
        <v>0</v>
      </c>
      <c r="J251" s="200">
        <f>IFERROR(__xludf.DUMMYFUNCTION("""COMPUTED_VALUE"""),78.0)</f>
        <v>78</v>
      </c>
      <c r="K251" s="200">
        <f>IFERROR(__xludf.DUMMYFUNCTION("""COMPUTED_VALUE"""),41.0)</f>
        <v>41</v>
      </c>
      <c r="L251" s="201" t="str">
        <f>IFERROR(__xludf.DUMMYFUNCTION("""COMPUTED_VALUE"""),"Action")</f>
        <v>Action</v>
      </c>
      <c r="M251" s="201" t="str">
        <f>IFERROR(__xludf.DUMMYFUNCTION("""COMPUTED_VALUE"""),"Exclusive")</f>
        <v>Exclusive</v>
      </c>
    </row>
    <row r="252">
      <c r="A252" s="190" t="str">
        <f>IFERROR(__xludf.DUMMYFUNCTION("""COMPUTED_VALUE"""),"As Dusk Falls")</f>
        <v>As Dusk Falls</v>
      </c>
      <c r="B252" s="195" t="str">
        <f>IFERROR(__xludf.DUMMYFUNCTION("""COMPUTED_VALUE"""),"Xbox / PC")</f>
        <v>Xbox / PC</v>
      </c>
      <c r="C252" s="196" t="str">
        <f>IFERROR(__xludf.DUMMYFUNCTION("""COMPUTED_VALUE"""),"Touch Controls")</f>
        <v>Touch Controls</v>
      </c>
      <c r="D252" s="196" t="str">
        <f>IFERROR(__xludf.DUMMYFUNCTION("""COMPUTED_VALUE"""),"Active")</f>
        <v>Active</v>
      </c>
      <c r="E252" s="197">
        <f>IFERROR(__xludf.DUMMYFUNCTION("""COMPUTED_VALUE"""),44761.0)</f>
        <v>44761</v>
      </c>
      <c r="F252" s="198"/>
      <c r="G252" s="199">
        <f>IFERROR(__xludf.DUMMYFUNCTION("""COMPUTED_VALUE"""),38.86666666666667)</f>
        <v>38.86666667</v>
      </c>
      <c r="H252" s="197">
        <f>IFERROR(__xludf.DUMMYFUNCTION("""COMPUTED_VALUE"""),44761.0)</f>
        <v>44761</v>
      </c>
      <c r="I252" s="199">
        <f>IFERROR(__xludf.DUMMYFUNCTION("""COMPUTED_VALUE"""),0.0)</f>
        <v>0</v>
      </c>
      <c r="J252" s="200">
        <f>IFERROR(__xludf.DUMMYFUNCTION("""COMPUTED_VALUE"""),78.0)</f>
        <v>78</v>
      </c>
      <c r="K252" s="200">
        <f>IFERROR(__xludf.DUMMYFUNCTION("""COMPUTED_VALUE"""),6.0)</f>
        <v>6</v>
      </c>
      <c r="L252" s="201" t="str">
        <f>IFERROR(__xludf.DUMMYFUNCTION("""COMPUTED_VALUE"""),"Adventure")</f>
        <v>Adventure</v>
      </c>
      <c r="M252" s="201"/>
    </row>
    <row r="253">
      <c r="A253" s="190" t="str">
        <f>IFERROR(__xludf.DUMMYFUNCTION("""COMPUTED_VALUE"""),"Watch_Dogs 2")</f>
        <v>Watch_Dogs 2</v>
      </c>
      <c r="B253" s="195" t="str">
        <f>IFERROR(__xludf.DUMMYFUNCTION("""COMPUTED_VALUE"""),"Xbox / PC")</f>
        <v>Xbox / PC</v>
      </c>
      <c r="C253" s="196" t="str">
        <f>IFERROR(__xludf.DUMMYFUNCTION("""COMPUTED_VALUE"""),"Yes")</f>
        <v>Yes</v>
      </c>
      <c r="D253" s="196" t="str">
        <f>IFERROR(__xludf.DUMMYFUNCTION("""COMPUTED_VALUE"""),"Active")</f>
        <v>Active</v>
      </c>
      <c r="E253" s="197">
        <f>IFERROR(__xludf.DUMMYFUNCTION("""COMPUTED_VALUE"""),44761.0)</f>
        <v>44761</v>
      </c>
      <c r="F253" s="198"/>
      <c r="G253" s="199">
        <f>IFERROR(__xludf.DUMMYFUNCTION("""COMPUTED_VALUE"""),38.86666666666667)</f>
        <v>38.86666667</v>
      </c>
      <c r="H253" s="197">
        <f>IFERROR(__xludf.DUMMYFUNCTION("""COMPUTED_VALUE"""),42689.0)</f>
        <v>42689</v>
      </c>
      <c r="I253" s="199">
        <f>IFERROR(__xludf.DUMMYFUNCTION("""COMPUTED_VALUE"""),5.677777777777778)</f>
        <v>5.677777778</v>
      </c>
      <c r="J253" s="200">
        <f>IFERROR(__xludf.DUMMYFUNCTION("""COMPUTED_VALUE"""),78.0)</f>
        <v>78</v>
      </c>
      <c r="K253" s="200">
        <f>IFERROR(__xludf.DUMMYFUNCTION("""COMPUTED_VALUE"""),19.0)</f>
        <v>19</v>
      </c>
      <c r="L253" s="201" t="str">
        <f>IFERROR(__xludf.DUMMYFUNCTION("""COMPUTED_VALUE"""),"Driving/Racing / Shooter / Action-Adventure")</f>
        <v>Driving/Racing / Shooter / Action-Adventure</v>
      </c>
      <c r="M253" s="201"/>
    </row>
    <row r="254">
      <c r="A254" s="190" t="str">
        <f>IFERROR(__xludf.DUMMYFUNCTION("""COMPUTED_VALUE"""),"Battlefield V: Year Two Edition")</f>
        <v>Battlefield V: Year Two Edition</v>
      </c>
      <c r="B254" s="195" t="str">
        <f>IFERROR(__xludf.DUMMYFUNCTION("""COMPUTED_VALUE"""),"Xbox / PC")</f>
        <v>Xbox / PC</v>
      </c>
      <c r="C254" s="196" t="str">
        <f>IFERROR(__xludf.DUMMYFUNCTION("""COMPUTED_VALUE"""),"Yes")</f>
        <v>Yes</v>
      </c>
      <c r="D254" s="196" t="str">
        <f>IFERROR(__xludf.DUMMYFUNCTION("""COMPUTED_VALUE"""),"Active")</f>
        <v>Active</v>
      </c>
      <c r="E254" s="197">
        <f>IFERROR(__xludf.DUMMYFUNCTION("""COMPUTED_VALUE"""),44145.0)</f>
        <v>44145</v>
      </c>
      <c r="F254" s="198"/>
      <c r="G254" s="199">
        <f>IFERROR(__xludf.DUMMYFUNCTION("""COMPUTED_VALUE"""),59.166666666666664)</f>
        <v>59.16666667</v>
      </c>
      <c r="H254" s="197">
        <f>IFERROR(__xludf.DUMMYFUNCTION("""COMPUTED_VALUE"""),43419.0)</f>
        <v>43419</v>
      </c>
      <c r="I254" s="199">
        <f>IFERROR(__xludf.DUMMYFUNCTION("""COMPUTED_VALUE"""),1.9861111111111112)</f>
        <v>1.986111111</v>
      </c>
      <c r="J254" s="200">
        <f>IFERROR(__xludf.DUMMYFUNCTION("""COMPUTED_VALUE"""),78.0)</f>
        <v>78</v>
      </c>
      <c r="K254" s="200">
        <f>IFERROR(__xludf.DUMMYFUNCTION("""COMPUTED_VALUE"""),6.0)</f>
        <v>6</v>
      </c>
      <c r="L254" s="201" t="str">
        <f>IFERROR(__xludf.DUMMYFUNCTION("""COMPUTED_VALUE"""),"Action / First-Person Shooter")</f>
        <v>Action / First-Person Shooter</v>
      </c>
      <c r="M254" s="201" t="str">
        <f>IFERROR(__xludf.DUMMYFUNCTION("""COMPUTED_VALUE"""),"FPS Boost X Only")</f>
        <v>FPS Boost X Only</v>
      </c>
    </row>
    <row r="255">
      <c r="A255" s="190" t="str">
        <f>IFERROR(__xludf.DUMMYFUNCTION("""COMPUTED_VALUE"""),"Dead Space 3")</f>
        <v>Dead Space 3</v>
      </c>
      <c r="B255" s="195" t="str">
        <f>IFERROR(__xludf.DUMMYFUNCTION("""COMPUTED_VALUE"""),"Xbox / PC")</f>
        <v>Xbox / PC</v>
      </c>
      <c r="C255" s="196" t="str">
        <f>IFERROR(__xludf.DUMMYFUNCTION("""COMPUTED_VALUE"""),"Yes")</f>
        <v>Yes</v>
      </c>
      <c r="D255" s="196" t="str">
        <f>IFERROR(__xludf.DUMMYFUNCTION("""COMPUTED_VALUE"""),"Active")</f>
        <v>Active</v>
      </c>
      <c r="E255" s="197">
        <f>IFERROR(__xludf.DUMMYFUNCTION("""COMPUTED_VALUE"""),44145.0)</f>
        <v>44145</v>
      </c>
      <c r="F255" s="198"/>
      <c r="G255" s="199">
        <f>IFERROR(__xludf.DUMMYFUNCTION("""COMPUTED_VALUE"""),59.166666666666664)</f>
        <v>59.16666667</v>
      </c>
      <c r="H255" s="197">
        <f>IFERROR(__xludf.DUMMYFUNCTION("""COMPUTED_VALUE"""),41310.0)</f>
        <v>41310</v>
      </c>
      <c r="I255" s="199">
        <f>IFERROR(__xludf.DUMMYFUNCTION("""COMPUTED_VALUE"""),7.763888888888889)</f>
        <v>7.763888889</v>
      </c>
      <c r="J255" s="200">
        <f>IFERROR(__xludf.DUMMYFUNCTION("""COMPUTED_VALUE"""),78.0)</f>
        <v>78</v>
      </c>
      <c r="K255" s="200">
        <f>IFERROR(__xludf.DUMMYFUNCTION("""COMPUTED_VALUE"""),13.0)</f>
        <v>13</v>
      </c>
      <c r="L255" s="201" t="str">
        <f>IFERROR(__xludf.DUMMYFUNCTION("""COMPUTED_VALUE"""),"Action / Shooter")</f>
        <v>Action / Shooter</v>
      </c>
      <c r="M255" s="201" t="str">
        <f>IFERROR(__xludf.DUMMYFUNCTION("""COMPUTED_VALUE"""),"FPS Boost")</f>
        <v>FPS Boost</v>
      </c>
    </row>
    <row r="256">
      <c r="A256" s="190" t="str">
        <f>IFERROR(__xludf.DUMMYFUNCTION("""COMPUTED_VALUE"""),"State of Decay 2: Juggernaut Edition")</f>
        <v>State of Decay 2: Juggernaut Edition</v>
      </c>
      <c r="B256" s="195" t="str">
        <f>IFERROR(__xludf.DUMMYFUNCTION("""COMPUTED_VALUE"""),"Xbox / PC")</f>
        <v>Xbox / PC</v>
      </c>
      <c r="C256" s="196" t="str">
        <f>IFERROR(__xludf.DUMMYFUNCTION("""COMPUTED_VALUE"""),"M+KB")</f>
        <v>M+KB</v>
      </c>
      <c r="D256" s="196" t="str">
        <f>IFERROR(__xludf.DUMMYFUNCTION("""COMPUTED_VALUE"""),"Active")</f>
        <v>Active</v>
      </c>
      <c r="E256" s="197">
        <f>IFERROR(__xludf.DUMMYFUNCTION("""COMPUTED_VALUE"""),43242.0)</f>
        <v>43242</v>
      </c>
      <c r="F256" s="198"/>
      <c r="G256" s="199">
        <f>IFERROR(__xludf.DUMMYFUNCTION("""COMPUTED_VALUE"""),88.76666666666667)</f>
        <v>88.76666667</v>
      </c>
      <c r="H256" s="197">
        <f>IFERROR(__xludf.DUMMYFUNCTION("""COMPUTED_VALUE"""),43238.0)</f>
        <v>43238</v>
      </c>
      <c r="I256" s="199">
        <f>IFERROR(__xludf.DUMMYFUNCTION("""COMPUTED_VALUE"""),0.011111111111111112)</f>
        <v>0.01111111111</v>
      </c>
      <c r="J256" s="200">
        <f>IFERROR(__xludf.DUMMYFUNCTION("""COMPUTED_VALUE"""),78.0)</f>
        <v>78</v>
      </c>
      <c r="K256" s="200">
        <f>IFERROR(__xludf.DUMMYFUNCTION("""COMPUTED_VALUE"""),36.5)</f>
        <v>36.5</v>
      </c>
      <c r="L256" s="201" t="str">
        <f>IFERROR(__xludf.DUMMYFUNCTION("""COMPUTED_VALUE"""),"Action-Adventure")</f>
        <v>Action-Adventure</v>
      </c>
      <c r="M256" s="201" t="str">
        <f>IFERROR(__xludf.DUMMYFUNCTION("""COMPUTED_VALUE"""),"Optimized")</f>
        <v>Optimized</v>
      </c>
    </row>
    <row r="257">
      <c r="A257" s="190" t="str">
        <f>IFERROR(__xludf.DUMMYFUNCTION("""COMPUTED_VALUE"""),"For Honor: Marching Fire Edition")</f>
        <v>For Honor: Marching Fire Edition</v>
      </c>
      <c r="B257" s="195" t="str">
        <f>IFERROR(__xludf.DUMMYFUNCTION("""COMPUTED_VALUE"""),"Xbox / PC")</f>
        <v>Xbox / PC</v>
      </c>
      <c r="C257" s="196" t="str">
        <f>IFERROR(__xludf.DUMMYFUNCTION("""COMPUTED_VALUE"""),"Yes")</f>
        <v>Yes</v>
      </c>
      <c r="D257" s="196" t="str">
        <f>IFERROR(__xludf.DUMMYFUNCTION("""COMPUTED_VALUE"""),"Active")</f>
        <v>Active</v>
      </c>
      <c r="E257" s="197">
        <f>IFERROR(__xludf.DUMMYFUNCTION("""COMPUTED_VALUE"""),44350.0)</f>
        <v>44350</v>
      </c>
      <c r="F257" s="198"/>
      <c r="G257" s="199">
        <f>IFERROR(__xludf.DUMMYFUNCTION("""COMPUTED_VALUE"""),52.39999999999999)</f>
        <v>52.4</v>
      </c>
      <c r="H257" s="197">
        <f>IFERROR(__xludf.DUMMYFUNCTION("""COMPUTED_VALUE"""),43083.0)</f>
        <v>43083</v>
      </c>
      <c r="I257" s="199">
        <f>IFERROR(__xludf.DUMMYFUNCTION("""COMPUTED_VALUE"""),3.4694444444444446)</f>
        <v>3.469444444</v>
      </c>
      <c r="J257" s="200">
        <f>IFERROR(__xludf.DUMMYFUNCTION("""COMPUTED_VALUE"""),77.5)</f>
        <v>77.5</v>
      </c>
      <c r="K257" s="200">
        <f>IFERROR(__xludf.DUMMYFUNCTION("""COMPUTED_VALUE"""),7.0)</f>
        <v>7</v>
      </c>
      <c r="L257" s="201" t="str">
        <f>IFERROR(__xludf.DUMMYFUNCTION("""COMPUTED_VALUE"""),"Action / Strategy / Fighting / MOBA")</f>
        <v>Action / Strategy / Fighting / MOBA</v>
      </c>
      <c r="M257" s="201" t="str">
        <f>IFERROR(__xludf.DUMMYFUNCTION("""COMPUTED_VALUE"""),"Optimized")</f>
        <v>Optimized</v>
      </c>
    </row>
    <row r="258">
      <c r="A258" s="190" t="str">
        <f>IFERROR(__xludf.DUMMYFUNCTION("""COMPUTED_VALUE"""),"Valiant Hearts: The Great War")</f>
        <v>Valiant Hearts: The Great War</v>
      </c>
      <c r="B258" s="195" t="str">
        <f>IFERROR(__xludf.DUMMYFUNCTION("""COMPUTED_VALUE"""),"Xbox / PC")</f>
        <v>Xbox / PC</v>
      </c>
      <c r="C258" s="196" t="str">
        <f>IFERROR(__xludf.DUMMYFUNCTION("""COMPUTED_VALUE"""),"Yes")</f>
        <v>Yes</v>
      </c>
      <c r="D258" s="196" t="str">
        <f>IFERROR(__xludf.DUMMYFUNCTION("""COMPUTED_VALUE"""),"Active")</f>
        <v>Active</v>
      </c>
      <c r="E258" s="197">
        <f>IFERROR(__xludf.DUMMYFUNCTION("""COMPUTED_VALUE"""),45931.0)</f>
        <v>45931</v>
      </c>
      <c r="F258" s="198"/>
      <c r="G258" s="199">
        <f>IFERROR(__xludf.DUMMYFUNCTION("""COMPUTED_VALUE"""),0.4666666666666667)</f>
        <v>0.4666666667</v>
      </c>
      <c r="H258" s="197">
        <f>IFERROR(__xludf.DUMMYFUNCTION("""COMPUTED_VALUE"""),41814.0)</f>
        <v>41814</v>
      </c>
      <c r="I258" s="199">
        <f>IFERROR(__xludf.DUMMYFUNCTION("""COMPUTED_VALUE"""),11.269444444444444)</f>
        <v>11.26944444</v>
      </c>
      <c r="J258" s="200">
        <f>IFERROR(__xludf.DUMMYFUNCTION("""COMPUTED_VALUE"""),77.0)</f>
        <v>77</v>
      </c>
      <c r="K258" s="200">
        <f>IFERROR(__xludf.DUMMYFUNCTION("""COMPUTED_VALUE"""),7.0)</f>
        <v>7</v>
      </c>
      <c r="L258" s="201" t="str">
        <f>IFERROR(__xludf.DUMMYFUNCTION("""COMPUTED_VALUE"""),"Platformer")</f>
        <v>Platformer</v>
      </c>
      <c r="M258" s="201"/>
    </row>
    <row r="259">
      <c r="A259" s="190" t="str">
        <f>IFERROR(__xludf.DUMMYFUNCTION("""COMPUTED_VALUE"""),"RoadCraft")</f>
        <v>RoadCraft</v>
      </c>
      <c r="B259" s="195" t="str">
        <f>IFERROR(__xludf.DUMMYFUNCTION("""COMPUTED_VALUE"""),"Xbox")</f>
        <v>Xbox</v>
      </c>
      <c r="C259" s="196" t="str">
        <f>IFERROR(__xludf.DUMMYFUNCTION("""COMPUTED_VALUE"""),"Yes")</f>
        <v>Yes</v>
      </c>
      <c r="D259" s="196" t="str">
        <f>IFERROR(__xludf.DUMMYFUNCTION("""COMPUTED_VALUE"""),"Active")</f>
        <v>Active</v>
      </c>
      <c r="E259" s="197">
        <f>IFERROR(__xludf.DUMMYFUNCTION("""COMPUTED_VALUE"""),45916.0)</f>
        <v>45916</v>
      </c>
      <c r="F259" s="198"/>
      <c r="G259" s="199">
        <f>IFERROR(__xludf.DUMMYFUNCTION("""COMPUTED_VALUE"""),0.9666666666666668)</f>
        <v>0.9666666667</v>
      </c>
      <c r="H259" s="197">
        <f>IFERROR(__xludf.DUMMYFUNCTION("""COMPUTED_VALUE"""),45797.0)</f>
        <v>45797</v>
      </c>
      <c r="I259" s="199">
        <f>IFERROR(__xludf.DUMMYFUNCTION("""COMPUTED_VALUE"""),0.32222222222222224)</f>
        <v>0.3222222222</v>
      </c>
      <c r="J259" s="200">
        <f>IFERROR(__xludf.DUMMYFUNCTION("""COMPUTED_VALUE"""),77.0)</f>
        <v>77</v>
      </c>
      <c r="K259" s="200">
        <f>IFERROR(__xludf.DUMMYFUNCTION("""COMPUTED_VALUE"""),51.0)</f>
        <v>51</v>
      </c>
      <c r="L259" s="201" t="str">
        <f>IFERROR(__xludf.DUMMYFUNCTION("""COMPUTED_VALUE"""),"Racing")</f>
        <v>Racing</v>
      </c>
      <c r="M259" s="201" t="str">
        <f>IFERROR(__xludf.DUMMYFUNCTION("""COMPUTED_VALUE"""),"Exclusive")</f>
        <v>Exclusive</v>
      </c>
    </row>
    <row r="260">
      <c r="A260" s="190" t="str">
        <f>IFERROR(__xludf.DUMMYFUNCTION("""COMPUTED_VALUE"""),"Herdling")</f>
        <v>Herdling</v>
      </c>
      <c r="B260" s="195" t="str">
        <f>IFERROR(__xludf.DUMMYFUNCTION("""COMPUTED_VALUE"""),"Xbox / PC")</f>
        <v>Xbox / PC</v>
      </c>
      <c r="C260" s="196" t="str">
        <f>IFERROR(__xludf.DUMMYFUNCTION("""COMPUTED_VALUE"""),"Yes")</f>
        <v>Yes</v>
      </c>
      <c r="D260" s="196" t="str">
        <f>IFERROR(__xludf.DUMMYFUNCTION("""COMPUTED_VALUE"""),"Active")</f>
        <v>Active</v>
      </c>
      <c r="E260" s="197">
        <f>IFERROR(__xludf.DUMMYFUNCTION("""COMPUTED_VALUE"""),45890.0)</f>
        <v>45890</v>
      </c>
      <c r="F260" s="198"/>
      <c r="G260" s="199">
        <f>IFERROR(__xludf.DUMMYFUNCTION("""COMPUTED_VALUE"""),1.7999999999999998)</f>
        <v>1.8</v>
      </c>
      <c r="H260" s="197">
        <f>IFERROR(__xludf.DUMMYFUNCTION("""COMPUTED_VALUE"""),45890.0)</f>
        <v>45890</v>
      </c>
      <c r="I260" s="199">
        <f>IFERROR(__xludf.DUMMYFUNCTION("""COMPUTED_VALUE"""),0.0)</f>
        <v>0</v>
      </c>
      <c r="J260" s="200">
        <f>IFERROR(__xludf.DUMMYFUNCTION("""COMPUTED_VALUE"""),77.0)</f>
        <v>77</v>
      </c>
      <c r="K260" s="200">
        <f>IFERROR(__xludf.DUMMYFUNCTION("""COMPUTED_VALUE"""),4.0)</f>
        <v>4</v>
      </c>
      <c r="L260" s="201" t="str">
        <f>IFERROR(__xludf.DUMMYFUNCTION("""COMPUTED_VALUE"""),"Action-Adventure")</f>
        <v>Action-Adventure</v>
      </c>
      <c r="M260" s="201" t="str">
        <f>IFERROR(__xludf.DUMMYFUNCTION("""COMPUTED_VALUE"""),"Exclusive")</f>
        <v>Exclusive</v>
      </c>
    </row>
    <row r="261">
      <c r="A261" s="190" t="str">
        <f>IFERROR(__xludf.DUMMYFUNCTION("""COMPUTED_VALUE"""),"Revenge of the Savage Planet")</f>
        <v>Revenge of the Savage Planet</v>
      </c>
      <c r="B261" s="195" t="str">
        <f>IFERROR(__xludf.DUMMYFUNCTION("""COMPUTED_VALUE"""),"Xbox / PC")</f>
        <v>Xbox / PC</v>
      </c>
      <c r="C261" s="196" t="str">
        <f>IFERROR(__xludf.DUMMYFUNCTION("""COMPUTED_VALUE"""),"Yes")</f>
        <v>Yes</v>
      </c>
      <c r="D261" s="196" t="str">
        <f>IFERROR(__xludf.DUMMYFUNCTION("""COMPUTED_VALUE"""),"Active")</f>
        <v>Active</v>
      </c>
      <c r="E261" s="197">
        <f>IFERROR(__xludf.DUMMYFUNCTION("""COMPUTED_VALUE"""),45785.0)</f>
        <v>45785</v>
      </c>
      <c r="F261" s="198"/>
      <c r="G261" s="199">
        <f>IFERROR(__xludf.DUMMYFUNCTION("""COMPUTED_VALUE"""),5.233333333333333)</f>
        <v>5.233333333</v>
      </c>
      <c r="H261" s="197">
        <f>IFERROR(__xludf.DUMMYFUNCTION("""COMPUTED_VALUE"""),45785.0)</f>
        <v>45785</v>
      </c>
      <c r="I261" s="199">
        <f>IFERROR(__xludf.DUMMYFUNCTION("""COMPUTED_VALUE"""),0.0)</f>
        <v>0</v>
      </c>
      <c r="J261" s="200">
        <f>IFERROR(__xludf.DUMMYFUNCTION("""COMPUTED_VALUE"""),77.0)</f>
        <v>77</v>
      </c>
      <c r="K261" s="200">
        <f>IFERROR(__xludf.DUMMYFUNCTION("""COMPUTED_VALUE"""),9.0)</f>
        <v>9</v>
      </c>
      <c r="L261" s="201" t="str">
        <f>IFERROR(__xludf.DUMMYFUNCTION("""COMPUTED_VALUE"""),"Action-Adventure")</f>
        <v>Action-Adventure</v>
      </c>
      <c r="M261" s="201" t="str">
        <f>IFERROR(__xludf.DUMMYFUNCTION("""COMPUTED_VALUE"""),"Exclusive")</f>
        <v>Exclusive</v>
      </c>
    </row>
    <row r="262">
      <c r="A262" s="190" t="str">
        <f>IFERROR(__xludf.DUMMYFUNCTION("""COMPUTED_VALUE"""),"Train Sim World 5")</f>
        <v>Train Sim World 5</v>
      </c>
      <c r="B262" s="195" t="str">
        <f>IFERROR(__xludf.DUMMYFUNCTION("""COMPUTED_VALUE"""),"Xbox / PC")</f>
        <v>Xbox / PC</v>
      </c>
      <c r="C262" s="196" t="str">
        <f>IFERROR(__xludf.DUMMYFUNCTION("""COMPUTED_VALUE"""),"Yes")</f>
        <v>Yes</v>
      </c>
      <c r="D262" s="196" t="str">
        <f>IFERROR(__xludf.DUMMYFUNCTION("""COMPUTED_VALUE"""),"Active")</f>
        <v>Active</v>
      </c>
      <c r="E262" s="197">
        <f>IFERROR(__xludf.DUMMYFUNCTION("""COMPUTED_VALUE"""),45552.0)</f>
        <v>45552</v>
      </c>
      <c r="F262" s="198"/>
      <c r="G262" s="199">
        <f>IFERROR(__xludf.DUMMYFUNCTION("""COMPUTED_VALUE"""),12.933333333333334)</f>
        <v>12.93333333</v>
      </c>
      <c r="H262" s="197">
        <f>IFERROR(__xludf.DUMMYFUNCTION("""COMPUTED_VALUE"""),45195.0)</f>
        <v>45195</v>
      </c>
      <c r="I262" s="199">
        <f>IFERROR(__xludf.DUMMYFUNCTION("""COMPUTED_VALUE"""),0.975)</f>
        <v>0.975</v>
      </c>
      <c r="J262" s="200">
        <f>IFERROR(__xludf.DUMMYFUNCTION("""COMPUTED_VALUE"""),77.0)</f>
        <v>77</v>
      </c>
      <c r="K262" s="200"/>
      <c r="L262" s="201" t="str">
        <f>IFERROR(__xludf.DUMMYFUNCTION("""COMPUTED_VALUE"""),"Simulation")</f>
        <v>Simulation</v>
      </c>
      <c r="M262" s="201"/>
    </row>
    <row r="263">
      <c r="A263" s="190" t="str">
        <f>IFERROR(__xludf.DUMMYFUNCTION("""COMPUTED_VALUE"""),"Riders Republic")</f>
        <v>Riders Republic</v>
      </c>
      <c r="B263" s="195" t="str">
        <f>IFERROR(__xludf.DUMMYFUNCTION("""COMPUTED_VALUE"""),"Xbox / PC")</f>
        <v>Xbox / PC</v>
      </c>
      <c r="C263" s="196" t="str">
        <f>IFERROR(__xludf.DUMMYFUNCTION("""COMPUTED_VALUE"""),"Yes")</f>
        <v>Yes</v>
      </c>
      <c r="D263" s="196" t="str">
        <f>IFERROR(__xludf.DUMMYFUNCTION("""COMPUTED_VALUE"""),"Active")</f>
        <v>Active</v>
      </c>
      <c r="E263" s="197">
        <f>IFERROR(__xludf.DUMMYFUNCTION("""COMPUTED_VALUE"""),45546.0)</f>
        <v>45546</v>
      </c>
      <c r="F263" s="198"/>
      <c r="G263" s="199">
        <f>IFERROR(__xludf.DUMMYFUNCTION("""COMPUTED_VALUE"""),13.133333333333335)</f>
        <v>13.13333333</v>
      </c>
      <c r="H263" s="197">
        <f>IFERROR(__xludf.DUMMYFUNCTION("""COMPUTED_VALUE"""),44497.0)</f>
        <v>44497</v>
      </c>
      <c r="I263" s="199">
        <f>IFERROR(__xludf.DUMMYFUNCTION("""COMPUTED_VALUE"""),2.8694444444444445)</f>
        <v>2.869444444</v>
      </c>
      <c r="J263" s="200">
        <f>IFERROR(__xludf.DUMMYFUNCTION("""COMPUTED_VALUE"""),77.0)</f>
        <v>77</v>
      </c>
      <c r="K263" s="200">
        <f>IFERROR(__xludf.DUMMYFUNCTION("""COMPUTED_VALUE"""),18.0)</f>
        <v>18</v>
      </c>
      <c r="L263" s="201" t="str">
        <f>IFERROR(__xludf.DUMMYFUNCTION("""COMPUTED_VALUE"""),"Sports")</f>
        <v>Sports</v>
      </c>
      <c r="M263" s="201"/>
    </row>
    <row r="264">
      <c r="A264" s="190" t="str">
        <f>IFERROR(__xludf.DUMMYFUNCTION("""COMPUTED_VALUE"""),"Expeditions: A MudRunner Game")</f>
        <v>Expeditions: A MudRunner Game</v>
      </c>
      <c r="B264" s="195" t="str">
        <f>IFERROR(__xludf.DUMMYFUNCTION("""COMPUTED_VALUE"""),"Xbox / PC")</f>
        <v>Xbox / PC</v>
      </c>
      <c r="C264" s="196" t="str">
        <f>IFERROR(__xludf.DUMMYFUNCTION("""COMPUTED_VALUE"""),"Yes")</f>
        <v>Yes</v>
      </c>
      <c r="D264" s="196" t="str">
        <f>IFERROR(__xludf.DUMMYFUNCTION("""COMPUTED_VALUE"""),"Active")</f>
        <v>Active</v>
      </c>
      <c r="E264" s="197">
        <f>IFERROR(__xludf.DUMMYFUNCTION("""COMPUTED_VALUE"""),45540.0)</f>
        <v>45540</v>
      </c>
      <c r="F264" s="198"/>
      <c r="G264" s="199">
        <f>IFERROR(__xludf.DUMMYFUNCTION("""COMPUTED_VALUE"""),13.333333333333334)</f>
        <v>13.33333333</v>
      </c>
      <c r="H264" s="197">
        <f>IFERROR(__xludf.DUMMYFUNCTION("""COMPUTED_VALUE"""),45356.0)</f>
        <v>45356</v>
      </c>
      <c r="I264" s="199">
        <f>IFERROR(__xludf.DUMMYFUNCTION("""COMPUTED_VALUE"""),0.5)</f>
        <v>0.5</v>
      </c>
      <c r="J264" s="200">
        <f>IFERROR(__xludf.DUMMYFUNCTION("""COMPUTED_VALUE"""),77.0)</f>
        <v>77</v>
      </c>
      <c r="K264" s="200">
        <f>IFERROR(__xludf.DUMMYFUNCTION("""COMPUTED_VALUE"""),50.0)</f>
        <v>50</v>
      </c>
      <c r="L264" s="201" t="str">
        <f>IFERROR(__xludf.DUMMYFUNCTION("""COMPUTED_VALUE"""),"Simulation")</f>
        <v>Simulation</v>
      </c>
      <c r="M264" s="201"/>
    </row>
    <row r="265">
      <c r="A265" s="190" t="str">
        <f>IFERROR(__xludf.DUMMYFUNCTION("""COMPUTED_VALUE"""),"Nickelodeon All-Star Brawl 2")</f>
        <v>Nickelodeon All-Star Brawl 2</v>
      </c>
      <c r="B265" s="195" t="str">
        <f>IFERROR(__xludf.DUMMYFUNCTION("""COMPUTED_VALUE"""),"Xbox / PC")</f>
        <v>Xbox / PC</v>
      </c>
      <c r="C265" s="196" t="str">
        <f>IFERROR(__xludf.DUMMYFUNCTION("""COMPUTED_VALUE"""),"Yes")</f>
        <v>Yes</v>
      </c>
      <c r="D265" s="196" t="str">
        <f>IFERROR(__xludf.DUMMYFUNCTION("""COMPUTED_VALUE"""),"Active")</f>
        <v>Active</v>
      </c>
      <c r="E265" s="197">
        <f>IFERROR(__xludf.DUMMYFUNCTION("""COMPUTED_VALUE"""),45476.0)</f>
        <v>45476</v>
      </c>
      <c r="F265" s="198"/>
      <c r="G265" s="199">
        <f>IFERROR(__xludf.DUMMYFUNCTION("""COMPUTED_VALUE"""),15.400000000000002)</f>
        <v>15.4</v>
      </c>
      <c r="H265" s="197">
        <f>IFERROR(__xludf.DUMMYFUNCTION("""COMPUTED_VALUE"""),45237.0)</f>
        <v>45237</v>
      </c>
      <c r="I265" s="199">
        <f>IFERROR(__xludf.DUMMYFUNCTION("""COMPUTED_VALUE"""),0.6555555555555556)</f>
        <v>0.6555555556</v>
      </c>
      <c r="J265" s="200">
        <f>IFERROR(__xludf.DUMMYFUNCTION("""COMPUTED_VALUE"""),77.0)</f>
        <v>77</v>
      </c>
      <c r="K265" s="200">
        <f>IFERROR(__xludf.DUMMYFUNCTION("""COMPUTED_VALUE"""),4.0)</f>
        <v>4</v>
      </c>
      <c r="L265" s="201" t="str">
        <f>IFERROR(__xludf.DUMMYFUNCTION("""COMPUTED_VALUE"""),"Fighting")</f>
        <v>Fighting</v>
      </c>
      <c r="M265" s="201"/>
    </row>
    <row r="266">
      <c r="A266" s="190" t="str">
        <f>IFERROR(__xludf.DUMMYFUNCTION("""COMPUTED_VALUE"""),"Need for Speed: Unbound")</f>
        <v>Need for Speed: Unbound</v>
      </c>
      <c r="B266" s="195" t="str">
        <f>IFERROR(__xludf.DUMMYFUNCTION("""COMPUTED_VALUE"""),"Xbox / PC")</f>
        <v>Xbox / PC</v>
      </c>
      <c r="C266" s="196" t="str">
        <f>IFERROR(__xludf.DUMMYFUNCTION("""COMPUTED_VALUE"""),"Yes")</f>
        <v>Yes</v>
      </c>
      <c r="D266" s="196" t="str">
        <f>IFERROR(__xludf.DUMMYFUNCTION("""COMPUTED_VALUE"""),"Active")</f>
        <v>Active</v>
      </c>
      <c r="E266" s="197">
        <f>IFERROR(__xludf.DUMMYFUNCTION("""COMPUTED_VALUE"""),45099.0)</f>
        <v>45099</v>
      </c>
      <c r="F266" s="198"/>
      <c r="G266" s="199">
        <f>IFERROR(__xludf.DUMMYFUNCTION("""COMPUTED_VALUE"""),27.76666666666667)</f>
        <v>27.76666667</v>
      </c>
      <c r="H266" s="197">
        <f>IFERROR(__xludf.DUMMYFUNCTION("""COMPUTED_VALUE"""),44894.0)</f>
        <v>44894</v>
      </c>
      <c r="I266" s="199">
        <f>IFERROR(__xludf.DUMMYFUNCTION("""COMPUTED_VALUE"""),0.5638888888888889)</f>
        <v>0.5638888889</v>
      </c>
      <c r="J266" s="200">
        <f>IFERROR(__xludf.DUMMYFUNCTION("""COMPUTED_VALUE"""),77.0)</f>
        <v>77</v>
      </c>
      <c r="K266" s="200">
        <f>IFERROR(__xludf.DUMMYFUNCTION("""COMPUTED_VALUE"""),23.0)</f>
        <v>23</v>
      </c>
      <c r="L266" s="201" t="str">
        <f>IFERROR(__xludf.DUMMYFUNCTION("""COMPUTED_VALUE"""),"Driving/Racing")</f>
        <v>Driving/Racing</v>
      </c>
      <c r="M266" s="201" t="str">
        <f>IFERROR(__xludf.DUMMYFUNCTION("""COMPUTED_VALUE"""),"Exclusive")</f>
        <v>Exclusive</v>
      </c>
    </row>
    <row r="267">
      <c r="A267" s="190" t="str">
        <f>IFERROR(__xludf.DUMMYFUNCTION("""COMPUTED_VALUE"""),"Sniper Elite 5")</f>
        <v>Sniper Elite 5</v>
      </c>
      <c r="B267" s="195" t="str">
        <f>IFERROR(__xludf.DUMMYFUNCTION("""COMPUTED_VALUE"""),"Xbox / PC")</f>
        <v>Xbox / PC</v>
      </c>
      <c r="C267" s="196" t="str">
        <f>IFERROR(__xludf.DUMMYFUNCTION("""COMPUTED_VALUE"""),"M+KB")</f>
        <v>M+KB</v>
      </c>
      <c r="D267" s="196" t="str">
        <f>IFERROR(__xludf.DUMMYFUNCTION("""COMPUTED_VALUE"""),"Active")</f>
        <v>Active</v>
      </c>
      <c r="E267" s="197">
        <f>IFERROR(__xludf.DUMMYFUNCTION("""COMPUTED_VALUE"""),44707.0)</f>
        <v>44707</v>
      </c>
      <c r="F267" s="198"/>
      <c r="G267" s="199">
        <f>IFERROR(__xludf.DUMMYFUNCTION("""COMPUTED_VALUE"""),40.63333333333333)</f>
        <v>40.63333333</v>
      </c>
      <c r="H267" s="197">
        <f>IFERROR(__xludf.DUMMYFUNCTION("""COMPUTED_VALUE"""),44707.0)</f>
        <v>44707</v>
      </c>
      <c r="I267" s="199">
        <f>IFERROR(__xludf.DUMMYFUNCTION("""COMPUTED_VALUE"""),0.0)</f>
        <v>0</v>
      </c>
      <c r="J267" s="200">
        <f>IFERROR(__xludf.DUMMYFUNCTION("""COMPUTED_VALUE"""),77.0)</f>
        <v>77</v>
      </c>
      <c r="K267" s="200">
        <f>IFERROR(__xludf.DUMMYFUNCTION("""COMPUTED_VALUE"""),9.0)</f>
        <v>9</v>
      </c>
      <c r="L267" s="201" t="str">
        <f>IFERROR(__xludf.DUMMYFUNCTION("""COMPUTED_VALUE"""),"Action / Shooter")</f>
        <v>Action / Shooter</v>
      </c>
      <c r="M267" s="201"/>
    </row>
    <row r="268">
      <c r="A268" s="190" t="str">
        <f>IFERROR(__xludf.DUMMYFUNCTION("""COMPUTED_VALUE"""),"Broken Age")</f>
        <v>Broken Age</v>
      </c>
      <c r="B268" s="195" t="str">
        <f>IFERROR(__xludf.DUMMYFUNCTION("""COMPUTED_VALUE"""),"Xbox / PC")</f>
        <v>Xbox / PC</v>
      </c>
      <c r="C268" s="196" t="str">
        <f>IFERROR(__xludf.DUMMYFUNCTION("""COMPUTED_VALUE"""),"Touch Controls")</f>
        <v>Touch Controls</v>
      </c>
      <c r="D268" s="196" t="str">
        <f>IFERROR(__xludf.DUMMYFUNCTION("""COMPUTED_VALUE"""),"Active")</f>
        <v>Active</v>
      </c>
      <c r="E268" s="197">
        <f>IFERROR(__xludf.DUMMYFUNCTION("""COMPUTED_VALUE"""),44546.0)</f>
        <v>44546</v>
      </c>
      <c r="F268" s="198"/>
      <c r="G268" s="199">
        <f>IFERROR(__xludf.DUMMYFUNCTION("""COMPUTED_VALUE"""),45.96666666666667)</f>
        <v>45.96666667</v>
      </c>
      <c r="H268" s="197">
        <f>IFERROR(__xludf.DUMMYFUNCTION("""COMPUTED_VALUE"""),41653.0)</f>
        <v>41653</v>
      </c>
      <c r="I268" s="199">
        <f>IFERROR(__xludf.DUMMYFUNCTION("""COMPUTED_VALUE"""),7.9222222222222225)</f>
        <v>7.922222222</v>
      </c>
      <c r="J268" s="200">
        <f>IFERROR(__xludf.DUMMYFUNCTION("""COMPUTED_VALUE"""),77.0)</f>
        <v>77</v>
      </c>
      <c r="K268" s="200">
        <f>IFERROR(__xludf.DUMMYFUNCTION("""COMPUTED_VALUE"""),10.0)</f>
        <v>10</v>
      </c>
      <c r="L268" s="201" t="str">
        <f>IFERROR(__xludf.DUMMYFUNCTION("""COMPUTED_VALUE"""),"Adventure")</f>
        <v>Adventure</v>
      </c>
      <c r="M268" s="201"/>
    </row>
    <row r="269">
      <c r="A269" s="190" t="str">
        <f>IFERROR(__xludf.DUMMYFUNCTION("""COMPUTED_VALUE"""),"Superliminal")</f>
        <v>Superliminal</v>
      </c>
      <c r="B269" s="195" t="str">
        <f>IFERROR(__xludf.DUMMYFUNCTION("""COMPUTED_VALUE"""),"Xbox / PC")</f>
        <v>Xbox / PC</v>
      </c>
      <c r="C269" s="196" t="str">
        <f>IFERROR(__xludf.DUMMYFUNCTION("""COMPUTED_VALUE"""),"Touch Controls")</f>
        <v>Touch Controls</v>
      </c>
      <c r="D269" s="196" t="str">
        <f>IFERROR(__xludf.DUMMYFUNCTION("""COMPUTED_VALUE"""),"Active")</f>
        <v>Active</v>
      </c>
      <c r="E269" s="197">
        <f>IFERROR(__xludf.DUMMYFUNCTION("""COMPUTED_VALUE"""),44455.0)</f>
        <v>44455</v>
      </c>
      <c r="F269" s="198"/>
      <c r="G269" s="199">
        <f>IFERROR(__xludf.DUMMYFUNCTION("""COMPUTED_VALUE"""),48.96666666666667)</f>
        <v>48.96666667</v>
      </c>
      <c r="H269" s="197">
        <f>IFERROR(__xludf.DUMMYFUNCTION("""COMPUTED_VALUE"""),43781.0)</f>
        <v>43781</v>
      </c>
      <c r="I269" s="199">
        <f>IFERROR(__xludf.DUMMYFUNCTION("""COMPUTED_VALUE"""),1.8444444444444446)</f>
        <v>1.844444444</v>
      </c>
      <c r="J269" s="200">
        <f>IFERROR(__xludf.DUMMYFUNCTION("""COMPUTED_VALUE"""),77.0)</f>
        <v>77</v>
      </c>
      <c r="K269" s="200">
        <f>IFERROR(__xludf.DUMMYFUNCTION("""COMPUTED_VALUE"""),2.5)</f>
        <v>2.5</v>
      </c>
      <c r="L269" s="201" t="str">
        <f>IFERROR(__xludf.DUMMYFUNCTION("""COMPUTED_VALUE"""),"Puzzle")</f>
        <v>Puzzle</v>
      </c>
      <c r="M269" s="201"/>
    </row>
    <row r="270">
      <c r="A270" s="190" t="str">
        <f>IFERROR(__xludf.DUMMYFUNCTION("""COMPUTED_VALUE"""),"DOOM 64")</f>
        <v>DOOM 64</v>
      </c>
      <c r="B270" s="195" t="str">
        <f>IFERROR(__xludf.DUMMYFUNCTION("""COMPUTED_VALUE"""),"Xbox / PC")</f>
        <v>Xbox / PC</v>
      </c>
      <c r="C270" s="196" t="str">
        <f>IFERROR(__xludf.DUMMYFUNCTION("""COMPUTED_VALUE"""),"M+KB")</f>
        <v>M+KB</v>
      </c>
      <c r="D270" s="196" t="str">
        <f>IFERROR(__xludf.DUMMYFUNCTION("""COMPUTED_VALUE"""),"Active")</f>
        <v>Active</v>
      </c>
      <c r="E270" s="197">
        <f>IFERROR(__xludf.DUMMYFUNCTION("""COMPUTED_VALUE"""),44267.0)</f>
        <v>44267</v>
      </c>
      <c r="F270" s="198"/>
      <c r="G270" s="199">
        <f>IFERROR(__xludf.DUMMYFUNCTION("""COMPUTED_VALUE"""),55.1)</f>
        <v>55.1</v>
      </c>
      <c r="H270" s="197">
        <f>IFERROR(__xludf.DUMMYFUNCTION("""COMPUTED_VALUE"""),35520.0)</f>
        <v>35520</v>
      </c>
      <c r="I270" s="199">
        <f>IFERROR(__xludf.DUMMYFUNCTION("""COMPUTED_VALUE"""),23.95)</f>
        <v>23.95</v>
      </c>
      <c r="J270" s="200">
        <f>IFERROR(__xludf.DUMMYFUNCTION("""COMPUTED_VALUE"""),77.0)</f>
        <v>77</v>
      </c>
      <c r="K270" s="200">
        <f>IFERROR(__xludf.DUMMYFUNCTION("""COMPUTED_VALUE"""),7.0)</f>
        <v>7</v>
      </c>
      <c r="L270" s="201" t="str">
        <f>IFERROR(__xludf.DUMMYFUNCTION("""COMPUTED_VALUE"""),"First-Person Shooter")</f>
        <v>First-Person Shooter</v>
      </c>
      <c r="M270" s="201"/>
    </row>
    <row r="271">
      <c r="A271" s="190" t="str">
        <f>IFERROR(__xludf.DUMMYFUNCTION("""COMPUTED_VALUE"""),"Neon Abyss")</f>
        <v>Neon Abyss</v>
      </c>
      <c r="B271" s="195" t="str">
        <f>IFERROR(__xludf.DUMMYFUNCTION("""COMPUTED_VALUE"""),"Xbox / PC")</f>
        <v>Xbox / PC</v>
      </c>
      <c r="C271" s="196" t="str">
        <f>IFERROR(__xludf.DUMMYFUNCTION("""COMPUTED_VALUE"""),"Yes")</f>
        <v>Yes</v>
      </c>
      <c r="D271" s="196" t="str">
        <f>IFERROR(__xludf.DUMMYFUNCTION("""COMPUTED_VALUE"""),"Active")</f>
        <v>Active</v>
      </c>
      <c r="E271" s="197">
        <f>IFERROR(__xludf.DUMMYFUNCTION("""COMPUTED_VALUE"""),44026.0)</f>
        <v>44026</v>
      </c>
      <c r="F271" s="198"/>
      <c r="G271" s="199">
        <f>IFERROR(__xludf.DUMMYFUNCTION("""COMPUTED_VALUE"""),63.03333333333334)</f>
        <v>63.03333333</v>
      </c>
      <c r="H271" s="197">
        <f>IFERROR(__xludf.DUMMYFUNCTION("""COMPUTED_VALUE"""),44026.0)</f>
        <v>44026</v>
      </c>
      <c r="I271" s="199">
        <f>IFERROR(__xludf.DUMMYFUNCTION("""COMPUTED_VALUE"""),0.0)</f>
        <v>0</v>
      </c>
      <c r="J271" s="200">
        <f>IFERROR(__xludf.DUMMYFUNCTION("""COMPUTED_VALUE"""),77.0)</f>
        <v>77</v>
      </c>
      <c r="K271" s="200">
        <f>IFERROR(__xludf.DUMMYFUNCTION("""COMPUTED_VALUE"""),12.0)</f>
        <v>12</v>
      </c>
      <c r="L271" s="201" t="str">
        <f>IFERROR(__xludf.DUMMYFUNCTION("""COMPUTED_VALUE"""),"Action / Platformer")</f>
        <v>Action / Platformer</v>
      </c>
      <c r="M271" s="201"/>
    </row>
    <row r="272">
      <c r="A272" s="190" t="str">
        <f>IFERROR(__xludf.DUMMYFUNCTION("""COMPUTED_VALUE"""),"Descenders")</f>
        <v>Descenders</v>
      </c>
      <c r="B272" s="195" t="str">
        <f>IFERROR(__xludf.DUMMYFUNCTION("""COMPUTED_VALUE"""),"Xbox / PC")</f>
        <v>Xbox / PC</v>
      </c>
      <c r="C272" s="196" t="str">
        <f>IFERROR(__xludf.DUMMYFUNCTION("""COMPUTED_VALUE"""),"Yes")</f>
        <v>Yes</v>
      </c>
      <c r="D272" s="196" t="str">
        <f>IFERROR(__xludf.DUMMYFUNCTION("""COMPUTED_VALUE"""),"Active")</f>
        <v>Active</v>
      </c>
      <c r="E272" s="197">
        <f>IFERROR(__xludf.DUMMYFUNCTION("""COMPUTED_VALUE"""),43592.0)</f>
        <v>43592</v>
      </c>
      <c r="F272" s="198"/>
      <c r="G272" s="199">
        <f>IFERROR(__xludf.DUMMYFUNCTION("""COMPUTED_VALUE"""),77.26666666666667)</f>
        <v>77.26666667</v>
      </c>
      <c r="H272" s="197">
        <f>IFERROR(__xludf.DUMMYFUNCTION("""COMPUTED_VALUE"""),43140.0)</f>
        <v>43140</v>
      </c>
      <c r="I272" s="199">
        <f>IFERROR(__xludf.DUMMYFUNCTION("""COMPUTED_VALUE"""),1.2444444444444445)</f>
        <v>1.244444444</v>
      </c>
      <c r="J272" s="200">
        <f>IFERROR(__xludf.DUMMYFUNCTION("""COMPUTED_VALUE"""),77.0)</f>
        <v>77</v>
      </c>
      <c r="K272" s="200">
        <f>IFERROR(__xludf.DUMMYFUNCTION("""COMPUTED_VALUE"""),4.0)</f>
        <v>4</v>
      </c>
      <c r="L272" s="201" t="str">
        <f>IFERROR(__xludf.DUMMYFUNCTION("""COMPUTED_VALUE"""),"Sports / Driving/Racing")</f>
        <v>Sports / Driving/Racing</v>
      </c>
      <c r="M272" s="201" t="str">
        <f>IFERROR(__xludf.DUMMYFUNCTION("""COMPUTED_VALUE"""),"Optimized")</f>
        <v>Optimized</v>
      </c>
    </row>
    <row r="273">
      <c r="A273" s="190" t="str">
        <f>IFERROR(__xludf.DUMMYFUNCTION("""COMPUTED_VALUE"""),"Wasteland 2: Director's Cut")</f>
        <v>Wasteland 2: Director's Cut</v>
      </c>
      <c r="B273" s="195" t="str">
        <f>IFERROR(__xludf.DUMMYFUNCTION("""COMPUTED_VALUE"""),"Xbox / PC")</f>
        <v>Xbox / PC</v>
      </c>
      <c r="C273" s="196" t="str">
        <f>IFERROR(__xludf.DUMMYFUNCTION("""COMPUTED_VALUE"""),"Touch Controls")</f>
        <v>Touch Controls</v>
      </c>
      <c r="D273" s="196" t="str">
        <f>IFERROR(__xludf.DUMMYFUNCTION("""COMPUTED_VALUE"""),"Active")</f>
        <v>Active</v>
      </c>
      <c r="E273" s="197">
        <f>IFERROR(__xludf.DUMMYFUNCTION("""COMPUTED_VALUE"""),43252.0)</f>
        <v>43252</v>
      </c>
      <c r="F273" s="198"/>
      <c r="G273" s="199">
        <f>IFERROR(__xludf.DUMMYFUNCTION("""COMPUTED_VALUE"""),88.46666666666667)</f>
        <v>88.46666667</v>
      </c>
      <c r="H273" s="197">
        <f>IFERROR(__xludf.DUMMYFUNCTION("""COMPUTED_VALUE"""),41900.0)</f>
        <v>41900</v>
      </c>
      <c r="I273" s="199">
        <f>IFERROR(__xludf.DUMMYFUNCTION("""COMPUTED_VALUE"""),3.702777777777778)</f>
        <v>3.702777778</v>
      </c>
      <c r="J273" s="200">
        <f>IFERROR(__xludf.DUMMYFUNCTION("""COMPUTED_VALUE"""),77.0)</f>
        <v>77</v>
      </c>
      <c r="K273" s="200">
        <f>IFERROR(__xludf.DUMMYFUNCTION("""COMPUTED_VALUE"""),39.5)</f>
        <v>39.5</v>
      </c>
      <c r="L273" s="201" t="str">
        <f>IFERROR(__xludf.DUMMYFUNCTION("""COMPUTED_VALUE"""),"RPG")</f>
        <v>RPG</v>
      </c>
      <c r="M273" s="201"/>
    </row>
    <row r="274">
      <c r="A274" s="190" t="str">
        <f>IFERROR(__xludf.DUMMYFUNCTION("""COMPUTED_VALUE"""),"Banjo-Kazooie")</f>
        <v>Banjo-Kazooie</v>
      </c>
      <c r="B274" s="195" t="str">
        <f>IFERROR(__xludf.DUMMYFUNCTION("""COMPUTED_VALUE"""),"Xbox")</f>
        <v>Xbox</v>
      </c>
      <c r="C274" s="196" t="str">
        <f>IFERROR(__xludf.DUMMYFUNCTION("""COMPUTED_VALUE"""),"Touch Controls")</f>
        <v>Touch Controls</v>
      </c>
      <c r="D274" s="196" t="str">
        <f>IFERROR(__xludf.DUMMYFUNCTION("""COMPUTED_VALUE"""),"Active")</f>
        <v>Active</v>
      </c>
      <c r="E274" s="197">
        <f>IFERROR(__xludf.DUMMYFUNCTION("""COMPUTED_VALUE"""),42887.0)</f>
        <v>42887</v>
      </c>
      <c r="F274" s="198"/>
      <c r="G274" s="199">
        <f>IFERROR(__xludf.DUMMYFUNCTION("""COMPUTED_VALUE"""),100.46666666666667)</f>
        <v>100.4666667</v>
      </c>
      <c r="H274" s="197">
        <f>IFERROR(__xludf.DUMMYFUNCTION("""COMPUTED_VALUE"""),35975.0)</f>
        <v>35975</v>
      </c>
      <c r="I274" s="199">
        <f>IFERROR(__xludf.DUMMYFUNCTION("""COMPUTED_VALUE"""),18.92222222222222)</f>
        <v>18.92222222</v>
      </c>
      <c r="J274" s="200">
        <f>IFERROR(__xludf.DUMMYFUNCTION("""COMPUTED_VALUE"""),77.0)</f>
        <v>77</v>
      </c>
      <c r="K274" s="200">
        <f>IFERROR(__xludf.DUMMYFUNCTION("""COMPUTED_VALUE"""),11.0)</f>
        <v>11</v>
      </c>
      <c r="L274" s="201" t="str">
        <f>IFERROR(__xludf.DUMMYFUNCTION("""COMPUTED_VALUE"""),"Adventure")</f>
        <v>Adventure</v>
      </c>
      <c r="M274" s="201"/>
    </row>
    <row r="275">
      <c r="A275" s="190" t="str">
        <f>IFERROR(__xludf.DUMMYFUNCTION("""COMPUTED_VALUE"""),"Crime Scene Cleaner")</f>
        <v>Crime Scene Cleaner</v>
      </c>
      <c r="B275" s="195" t="str">
        <f>IFERROR(__xludf.DUMMYFUNCTION("""COMPUTED_VALUE"""),"Xbox / PC")</f>
        <v>Xbox / PC</v>
      </c>
      <c r="C275" s="196" t="str">
        <f>IFERROR(__xludf.DUMMYFUNCTION("""COMPUTED_VALUE"""),"Yes")</f>
        <v>Yes</v>
      </c>
      <c r="D275" s="196" t="str">
        <f>IFERROR(__xludf.DUMMYFUNCTION("""COMPUTED_VALUE"""),"Active")</f>
        <v>Active</v>
      </c>
      <c r="E275" s="197">
        <f>IFERROR(__xludf.DUMMYFUNCTION("""COMPUTED_VALUE"""),45764.0)</f>
        <v>45764</v>
      </c>
      <c r="F275" s="198"/>
      <c r="G275" s="199">
        <f>IFERROR(__xludf.DUMMYFUNCTION("""COMPUTED_VALUE"""),5.933333333333334)</f>
        <v>5.933333333</v>
      </c>
      <c r="H275" s="197">
        <f>IFERROR(__xludf.DUMMYFUNCTION("""COMPUTED_VALUE"""),45518.0)</f>
        <v>45518</v>
      </c>
      <c r="I275" s="199">
        <f>IFERROR(__xludf.DUMMYFUNCTION("""COMPUTED_VALUE"""),0.675)</f>
        <v>0.675</v>
      </c>
      <c r="J275" s="200">
        <f>IFERROR(__xludf.DUMMYFUNCTION("""COMPUTED_VALUE"""),76.66666666666667)</f>
        <v>76.66666667</v>
      </c>
      <c r="K275" s="200">
        <f>IFERROR(__xludf.DUMMYFUNCTION("""COMPUTED_VALUE"""),13.0)</f>
        <v>13</v>
      </c>
      <c r="L275" s="201" t="str">
        <f>IFERROR(__xludf.DUMMYFUNCTION("""COMPUTED_VALUE"""),"Simulation")</f>
        <v>Simulation</v>
      </c>
      <c r="M275" s="201" t="str">
        <f>IFERROR(__xludf.DUMMYFUNCTION("""COMPUTED_VALUE"""),"Exclusive")</f>
        <v>Exclusive</v>
      </c>
    </row>
    <row r="276">
      <c r="A276" s="190" t="str">
        <f>IFERROR(__xludf.DUMMYFUNCTION("""COMPUTED_VALUE"""),"Assassin's Creed Syndicate")</f>
        <v>Assassin's Creed Syndicate</v>
      </c>
      <c r="B276" s="195" t="str">
        <f>IFERROR(__xludf.DUMMYFUNCTION("""COMPUTED_VALUE"""),"Xbox / PC")</f>
        <v>Xbox / PC</v>
      </c>
      <c r="C276" s="196" t="str">
        <f>IFERROR(__xludf.DUMMYFUNCTION("""COMPUTED_VALUE"""),"Yes")</f>
        <v>Yes</v>
      </c>
      <c r="D276" s="196" t="str">
        <f>IFERROR(__xludf.DUMMYFUNCTION("""COMPUTED_VALUE"""),"Active")</f>
        <v>Active</v>
      </c>
      <c r="E276" s="197">
        <f>IFERROR(__xludf.DUMMYFUNCTION("""COMPUTED_VALUE"""),45931.0)</f>
        <v>45931</v>
      </c>
      <c r="F276" s="198"/>
      <c r="G276" s="199">
        <f>IFERROR(__xludf.DUMMYFUNCTION("""COMPUTED_VALUE"""),0.4666666666666667)</f>
        <v>0.4666666667</v>
      </c>
      <c r="H276" s="197">
        <f>IFERROR(__xludf.DUMMYFUNCTION("""COMPUTED_VALUE"""),42300.0)</f>
        <v>42300</v>
      </c>
      <c r="I276" s="199">
        <f>IFERROR(__xludf.DUMMYFUNCTION("""COMPUTED_VALUE"""),9.938888888888888)</f>
        <v>9.938888889</v>
      </c>
      <c r="J276" s="200">
        <f>IFERROR(__xludf.DUMMYFUNCTION("""COMPUTED_VALUE"""),76.0)</f>
        <v>76</v>
      </c>
      <c r="K276" s="200">
        <f>IFERROR(__xludf.DUMMYFUNCTION("""COMPUTED_VALUE"""),19.0)</f>
        <v>19</v>
      </c>
      <c r="L276" s="201" t="str">
        <f>IFERROR(__xludf.DUMMYFUNCTION("""COMPUTED_VALUE"""),"Action-Adventure")</f>
        <v>Action-Adventure</v>
      </c>
      <c r="M276" s="201"/>
    </row>
    <row r="277">
      <c r="A277" s="190" t="str">
        <f>IFERROR(__xludf.DUMMYFUNCTION("""COMPUTED_VALUE"""),"Far Cry Primal")</f>
        <v>Far Cry Primal</v>
      </c>
      <c r="B277" s="195" t="str">
        <f>IFERROR(__xludf.DUMMYFUNCTION("""COMPUTED_VALUE"""),"Xbox / PC")</f>
        <v>Xbox / PC</v>
      </c>
      <c r="C277" s="196" t="str">
        <f>IFERROR(__xludf.DUMMYFUNCTION("""COMPUTED_VALUE"""),"Yes")</f>
        <v>Yes</v>
      </c>
      <c r="D277" s="196" t="str">
        <f>IFERROR(__xludf.DUMMYFUNCTION("""COMPUTED_VALUE"""),"Active")</f>
        <v>Active</v>
      </c>
      <c r="E277" s="197">
        <f>IFERROR(__xludf.DUMMYFUNCTION("""COMPUTED_VALUE"""),45931.0)</f>
        <v>45931</v>
      </c>
      <c r="F277" s="198"/>
      <c r="G277" s="199">
        <f>IFERROR(__xludf.DUMMYFUNCTION("""COMPUTED_VALUE"""),0.4666666666666667)</f>
        <v>0.4666666667</v>
      </c>
      <c r="H277" s="197">
        <f>IFERROR(__xludf.DUMMYFUNCTION("""COMPUTED_VALUE"""),42423.0)</f>
        <v>42423</v>
      </c>
      <c r="I277" s="199">
        <f>IFERROR(__xludf.DUMMYFUNCTION("""COMPUTED_VALUE"""),9.605555555555556)</f>
        <v>9.605555556</v>
      </c>
      <c r="J277" s="200">
        <f>IFERROR(__xludf.DUMMYFUNCTION("""COMPUTED_VALUE"""),76.0)</f>
        <v>76</v>
      </c>
      <c r="K277" s="200">
        <f>IFERROR(__xludf.DUMMYFUNCTION("""COMPUTED_VALUE"""),15.0)</f>
        <v>15</v>
      </c>
      <c r="L277" s="201" t="str">
        <f>IFERROR(__xludf.DUMMYFUNCTION("""COMPUTED_VALUE"""),"Action-Adventure")</f>
        <v>Action-Adventure</v>
      </c>
      <c r="M277" s="201"/>
    </row>
    <row r="278">
      <c r="A278" s="190" t="str">
        <f>IFERROR(__xludf.DUMMYFUNCTION("""COMPUTED_VALUE"""),"Assassin's Creed Mirage")</f>
        <v>Assassin's Creed Mirage</v>
      </c>
      <c r="B278" s="195" t="str">
        <f>IFERROR(__xludf.DUMMYFUNCTION("""COMPUTED_VALUE"""),"Xbox / PC")</f>
        <v>Xbox / PC</v>
      </c>
      <c r="C278" s="196" t="str">
        <f>IFERROR(__xludf.DUMMYFUNCTION("""COMPUTED_VALUE"""),"Yes")</f>
        <v>Yes</v>
      </c>
      <c r="D278" s="196" t="str">
        <f>IFERROR(__xludf.DUMMYFUNCTION("""COMPUTED_VALUE"""),"Active")</f>
        <v>Active</v>
      </c>
      <c r="E278" s="197">
        <f>IFERROR(__xludf.DUMMYFUNCTION("""COMPUTED_VALUE"""),45876.0)</f>
        <v>45876</v>
      </c>
      <c r="F278" s="198"/>
      <c r="G278" s="199">
        <f>IFERROR(__xludf.DUMMYFUNCTION("""COMPUTED_VALUE"""),2.2666666666666666)</f>
        <v>2.266666667</v>
      </c>
      <c r="H278" s="197">
        <f>IFERROR(__xludf.DUMMYFUNCTION("""COMPUTED_VALUE"""),45204.0)</f>
        <v>45204</v>
      </c>
      <c r="I278" s="199">
        <f>IFERROR(__xludf.DUMMYFUNCTION("""COMPUTED_VALUE"""),1.8388888888888888)</f>
        <v>1.838888889</v>
      </c>
      <c r="J278" s="200">
        <f>IFERROR(__xludf.DUMMYFUNCTION("""COMPUTED_VALUE"""),76.0)</f>
        <v>76</v>
      </c>
      <c r="K278" s="200">
        <f>IFERROR(__xludf.DUMMYFUNCTION("""COMPUTED_VALUE"""),16.0)</f>
        <v>16</v>
      </c>
      <c r="L278" s="201" t="str">
        <f>IFERROR(__xludf.DUMMYFUNCTION("""COMPUTED_VALUE"""),"RPG")</f>
        <v>RPG</v>
      </c>
      <c r="M278" s="201"/>
    </row>
    <row r="279">
      <c r="A279" s="190" t="str">
        <f>IFERROR(__xludf.DUMMYFUNCTION("""COMPUTED_VALUE"""),"EA Sports FC 25")</f>
        <v>EA Sports FC 25</v>
      </c>
      <c r="B279" s="195" t="str">
        <f>IFERROR(__xludf.DUMMYFUNCTION("""COMPUTED_VALUE"""),"Xbox / PC")</f>
        <v>Xbox / PC</v>
      </c>
      <c r="C279" s="196" t="str">
        <f>IFERROR(__xludf.DUMMYFUNCTION("""COMPUTED_VALUE"""),"Yes")</f>
        <v>Yes</v>
      </c>
      <c r="D279" s="196" t="str">
        <f>IFERROR(__xludf.DUMMYFUNCTION("""COMPUTED_VALUE"""),"Active")</f>
        <v>Active</v>
      </c>
      <c r="E279" s="197">
        <f>IFERROR(__xludf.DUMMYFUNCTION("""COMPUTED_VALUE"""),45820.0)</f>
        <v>45820</v>
      </c>
      <c r="F279" s="198"/>
      <c r="G279" s="199">
        <f>IFERROR(__xludf.DUMMYFUNCTION("""COMPUTED_VALUE"""),4.1)</f>
        <v>4.1</v>
      </c>
      <c r="H279" s="197">
        <f>IFERROR(__xludf.DUMMYFUNCTION("""COMPUTED_VALUE"""),45562.0)</f>
        <v>45562</v>
      </c>
      <c r="I279" s="199">
        <f>IFERROR(__xludf.DUMMYFUNCTION("""COMPUTED_VALUE"""),0.7083333333333334)</f>
        <v>0.7083333333</v>
      </c>
      <c r="J279" s="200">
        <f>IFERROR(__xludf.DUMMYFUNCTION("""COMPUTED_VALUE"""),76.0)</f>
        <v>76</v>
      </c>
      <c r="K279" s="200">
        <f>IFERROR(__xludf.DUMMYFUNCTION("""COMPUTED_VALUE"""),35.0)</f>
        <v>35</v>
      </c>
      <c r="L279" s="201" t="str">
        <f>IFERROR(__xludf.DUMMYFUNCTION("""COMPUTED_VALUE"""),"Sports")</f>
        <v>Sports</v>
      </c>
      <c r="M279" s="201"/>
    </row>
    <row r="280">
      <c r="A280" s="190" t="str">
        <f>IFERROR(__xludf.DUMMYFUNCTION("""COMPUTED_VALUE"""),"Warhammer 40,000: Space Marine - Master Crafted Edition")</f>
        <v>Warhammer 40,000: Space Marine - Master Crafted Edition</v>
      </c>
      <c r="B280" s="195" t="str">
        <f>IFERROR(__xludf.DUMMYFUNCTION("""COMPUTED_VALUE"""),"Xbox / PC")</f>
        <v>Xbox / PC</v>
      </c>
      <c r="C280" s="196" t="str">
        <f>IFERROR(__xludf.DUMMYFUNCTION("""COMPUTED_VALUE"""),"Yes")</f>
        <v>Yes</v>
      </c>
      <c r="D280" s="196" t="str">
        <f>IFERROR(__xludf.DUMMYFUNCTION("""COMPUTED_VALUE"""),"Active")</f>
        <v>Active</v>
      </c>
      <c r="E280" s="197">
        <f>IFERROR(__xludf.DUMMYFUNCTION("""COMPUTED_VALUE"""),45818.0)</f>
        <v>45818</v>
      </c>
      <c r="F280" s="198"/>
      <c r="G280" s="199">
        <f>IFERROR(__xludf.DUMMYFUNCTION("""COMPUTED_VALUE"""),4.166666666666666)</f>
        <v>4.166666667</v>
      </c>
      <c r="H280" s="197">
        <f>IFERROR(__xludf.DUMMYFUNCTION("""COMPUTED_VALUE"""),40792.0)</f>
        <v>40792</v>
      </c>
      <c r="I280" s="199">
        <f>IFERROR(__xludf.DUMMYFUNCTION("""COMPUTED_VALUE"""),13.761111111111111)</f>
        <v>13.76111111</v>
      </c>
      <c r="J280" s="200">
        <f>IFERROR(__xludf.DUMMYFUNCTION("""COMPUTED_VALUE"""),76.0)</f>
        <v>76</v>
      </c>
      <c r="K280" s="200">
        <f>IFERROR(__xludf.DUMMYFUNCTION("""COMPUTED_VALUE"""),8.0)</f>
        <v>8</v>
      </c>
      <c r="L280" s="201" t="str">
        <f>IFERROR(__xludf.DUMMYFUNCTION("""COMPUTED_VALUE"""),"Shooter")</f>
        <v>Shooter</v>
      </c>
      <c r="M280" s="201" t="str">
        <f>IFERROR(__xludf.DUMMYFUNCTION("""COMPUTED_VALUE"""),"Exclusive")</f>
        <v>Exclusive</v>
      </c>
    </row>
    <row r="281">
      <c r="A281" s="190" t="str">
        <f>IFERROR(__xludf.DUMMYFUNCTION("""COMPUTED_VALUE"""),"Tales of Kenzera: ZAU")</f>
        <v>Tales of Kenzera: ZAU</v>
      </c>
      <c r="B281" s="195" t="str">
        <f>IFERROR(__xludf.DUMMYFUNCTION("""COMPUTED_VALUE"""),"Xbox / PC")</f>
        <v>Xbox / PC</v>
      </c>
      <c r="C281" s="196" t="str">
        <f>IFERROR(__xludf.DUMMYFUNCTION("""COMPUTED_VALUE"""),"Yes")</f>
        <v>Yes</v>
      </c>
      <c r="D281" s="196" t="str">
        <f>IFERROR(__xludf.DUMMYFUNCTION("""COMPUTED_VALUE"""),"Active")</f>
        <v>Active</v>
      </c>
      <c r="E281" s="197">
        <f>IFERROR(__xludf.DUMMYFUNCTION("""COMPUTED_VALUE"""),45799.0)</f>
        <v>45799</v>
      </c>
      <c r="F281" s="198"/>
      <c r="G281" s="199">
        <f>IFERROR(__xludf.DUMMYFUNCTION("""COMPUTED_VALUE"""),4.766666666666667)</f>
        <v>4.766666667</v>
      </c>
      <c r="H281" s="197">
        <f>IFERROR(__xludf.DUMMYFUNCTION("""COMPUTED_VALUE"""),45405.0)</f>
        <v>45405</v>
      </c>
      <c r="I281" s="199">
        <f>IFERROR(__xludf.DUMMYFUNCTION("""COMPUTED_VALUE"""),1.0805555555555555)</f>
        <v>1.080555556</v>
      </c>
      <c r="J281" s="200">
        <f>IFERROR(__xludf.DUMMYFUNCTION("""COMPUTED_VALUE"""),76.0)</f>
        <v>76</v>
      </c>
      <c r="K281" s="200">
        <f>IFERROR(__xludf.DUMMYFUNCTION("""COMPUTED_VALUE"""),8.0)</f>
        <v>8</v>
      </c>
      <c r="L281" s="201" t="str">
        <f>IFERROR(__xludf.DUMMYFUNCTION("""COMPUTED_VALUE"""),"Metroidvania ")</f>
        <v>Metroidvania </v>
      </c>
      <c r="M281" s="201" t="str">
        <f>IFERROR(__xludf.DUMMYFUNCTION("""COMPUTED_VALUE"""),"Exclusive")</f>
        <v>Exclusive</v>
      </c>
    </row>
    <row r="282">
      <c r="A282" s="190" t="str">
        <f>IFERROR(__xludf.DUMMYFUNCTION("""COMPUTED_VALUE"""),"Commandos: Origins")</f>
        <v>Commandos: Origins</v>
      </c>
      <c r="B282" s="195" t="str">
        <f>IFERROR(__xludf.DUMMYFUNCTION("""COMPUTED_VALUE"""),"Xbox / PC")</f>
        <v>Xbox / PC</v>
      </c>
      <c r="C282" s="196" t="str">
        <f>IFERROR(__xludf.DUMMYFUNCTION("""COMPUTED_VALUE"""),"Yes")</f>
        <v>Yes</v>
      </c>
      <c r="D282" s="196" t="str">
        <f>IFERROR(__xludf.DUMMYFUNCTION("""COMPUTED_VALUE"""),"Active")</f>
        <v>Active</v>
      </c>
      <c r="E282" s="197">
        <f>IFERROR(__xludf.DUMMYFUNCTION("""COMPUTED_VALUE"""),45756.0)</f>
        <v>45756</v>
      </c>
      <c r="F282" s="198"/>
      <c r="G282" s="199">
        <f>IFERROR(__xludf.DUMMYFUNCTION("""COMPUTED_VALUE"""),6.200000000000001)</f>
        <v>6.2</v>
      </c>
      <c r="H282" s="197">
        <f>IFERROR(__xludf.DUMMYFUNCTION("""COMPUTED_VALUE"""),45756.0)</f>
        <v>45756</v>
      </c>
      <c r="I282" s="199">
        <f>IFERROR(__xludf.DUMMYFUNCTION("""COMPUTED_VALUE"""),0.0)</f>
        <v>0</v>
      </c>
      <c r="J282" s="200">
        <f>IFERROR(__xludf.DUMMYFUNCTION("""COMPUTED_VALUE"""),76.0)</f>
        <v>76</v>
      </c>
      <c r="K282" s="200">
        <f>IFERROR(__xludf.DUMMYFUNCTION("""COMPUTED_VALUE"""),31.0)</f>
        <v>31</v>
      </c>
      <c r="L282" s="201" t="str">
        <f>IFERROR(__xludf.DUMMYFUNCTION("""COMPUTED_VALUE"""),"Strategy")</f>
        <v>Strategy</v>
      </c>
      <c r="M282" s="201" t="str">
        <f>IFERROR(__xludf.DUMMYFUNCTION("""COMPUTED_VALUE"""),"Exclusive")</f>
        <v>Exclusive</v>
      </c>
    </row>
    <row r="283">
      <c r="A283" s="190" t="str">
        <f>IFERROR(__xludf.DUMMYFUNCTION("""COMPUTED_VALUE"""),"Watch Dogs: Legion")</f>
        <v>Watch Dogs: Legion</v>
      </c>
      <c r="B283" s="195" t="str">
        <f>IFERROR(__xludf.DUMMYFUNCTION("""COMPUTED_VALUE"""),"Xbox / PC")</f>
        <v>Xbox / PC</v>
      </c>
      <c r="C283" s="196" t="str">
        <f>IFERROR(__xludf.DUMMYFUNCTION("""COMPUTED_VALUE"""),"Yes")</f>
        <v>Yes</v>
      </c>
      <c r="D283" s="196" t="str">
        <f>IFERROR(__xludf.DUMMYFUNCTION("""COMPUTED_VALUE"""),"Active")</f>
        <v>Active</v>
      </c>
      <c r="E283" s="197">
        <f>IFERROR(__xludf.DUMMYFUNCTION("""COMPUTED_VALUE"""),45713.0)</f>
        <v>45713</v>
      </c>
      <c r="F283" s="198"/>
      <c r="G283" s="199">
        <f>IFERROR(__xludf.DUMMYFUNCTION("""COMPUTED_VALUE"""),7.666666666666666)</f>
        <v>7.666666667</v>
      </c>
      <c r="H283" s="197">
        <f>IFERROR(__xludf.DUMMYFUNCTION("""COMPUTED_VALUE"""),44133.0)</f>
        <v>44133</v>
      </c>
      <c r="I283" s="199">
        <f>IFERROR(__xludf.DUMMYFUNCTION("""COMPUTED_VALUE"""),4.322222222222222)</f>
        <v>4.322222222</v>
      </c>
      <c r="J283" s="200">
        <f>IFERROR(__xludf.DUMMYFUNCTION("""COMPUTED_VALUE"""),76.0)</f>
        <v>76</v>
      </c>
      <c r="K283" s="200">
        <f>IFERROR(__xludf.DUMMYFUNCTION("""COMPUTED_VALUE"""),18.0)</f>
        <v>18</v>
      </c>
      <c r="L283" s="201" t="str">
        <f>IFERROR(__xludf.DUMMYFUNCTION("""COMPUTED_VALUE"""),"Action-Adventure")</f>
        <v>Action-Adventure</v>
      </c>
      <c r="M283" s="201"/>
    </row>
    <row r="284">
      <c r="A284" s="190" t="str">
        <f>IFERROR(__xludf.DUMMYFUNCTION("""COMPUTED_VALUE"""),"Carrion")</f>
        <v>Carrion</v>
      </c>
      <c r="B284" s="195" t="str">
        <f>IFERROR(__xludf.DUMMYFUNCTION("""COMPUTED_VALUE"""),"Xbox / PC")</f>
        <v>Xbox / PC</v>
      </c>
      <c r="C284" s="196" t="str">
        <f>IFERROR(__xludf.DUMMYFUNCTION("""COMPUTED_VALUE"""),"Yes")</f>
        <v>Yes</v>
      </c>
      <c r="D284" s="196" t="str">
        <f>IFERROR(__xludf.DUMMYFUNCTION("""COMPUTED_VALUE"""),"Active")</f>
        <v>Active</v>
      </c>
      <c r="E284" s="197">
        <f>IFERROR(__xludf.DUMMYFUNCTION("""COMPUTED_VALUE"""),45659.0)</f>
        <v>45659</v>
      </c>
      <c r="F284" s="198"/>
      <c r="G284" s="199">
        <f>IFERROR(__xludf.DUMMYFUNCTION("""COMPUTED_VALUE"""),9.433333333333334)</f>
        <v>9.433333333</v>
      </c>
      <c r="H284" s="197">
        <f>IFERROR(__xludf.DUMMYFUNCTION("""COMPUTED_VALUE"""),44035.0)</f>
        <v>44035</v>
      </c>
      <c r="I284" s="199">
        <f>IFERROR(__xludf.DUMMYFUNCTION("""COMPUTED_VALUE"""),4.441666666666666)</f>
        <v>4.441666667</v>
      </c>
      <c r="J284" s="200">
        <f>IFERROR(__xludf.DUMMYFUNCTION("""COMPUTED_VALUE"""),76.0)</f>
        <v>76</v>
      </c>
      <c r="K284" s="200">
        <f>IFERROR(__xludf.DUMMYFUNCTION("""COMPUTED_VALUE"""),4.0)</f>
        <v>4</v>
      </c>
      <c r="L284" s="201" t="str">
        <f>IFERROR(__xludf.DUMMYFUNCTION("""COMPUTED_VALUE"""),"Action")</f>
        <v>Action</v>
      </c>
      <c r="M284" s="201"/>
    </row>
    <row r="285">
      <c r="A285" s="190" t="str">
        <f>IFERROR(__xludf.DUMMYFUNCTION("""COMPUTED_VALUE"""),"For The King II")</f>
        <v>For The King II</v>
      </c>
      <c r="B285" s="195" t="str">
        <f>IFERROR(__xludf.DUMMYFUNCTION("""COMPUTED_VALUE"""),"Xbox / PC")</f>
        <v>Xbox / PC</v>
      </c>
      <c r="C285" s="196" t="str">
        <f>IFERROR(__xludf.DUMMYFUNCTION("""COMPUTED_VALUE"""),"Yes")</f>
        <v>Yes</v>
      </c>
      <c r="D285" s="196" t="str">
        <f>IFERROR(__xludf.DUMMYFUNCTION("""COMPUTED_VALUE"""),"Active")</f>
        <v>Active</v>
      </c>
      <c r="E285" s="197">
        <f>IFERROR(__xludf.DUMMYFUNCTION("""COMPUTED_VALUE"""),45638.0)</f>
        <v>45638</v>
      </c>
      <c r="F285" s="198"/>
      <c r="G285" s="199">
        <f>IFERROR(__xludf.DUMMYFUNCTION("""COMPUTED_VALUE"""),10.1)</f>
        <v>10.1</v>
      </c>
      <c r="H285" s="197">
        <f>IFERROR(__xludf.DUMMYFUNCTION("""COMPUTED_VALUE"""),45232.0)</f>
        <v>45232</v>
      </c>
      <c r="I285" s="199">
        <f>IFERROR(__xludf.DUMMYFUNCTION("""COMPUTED_VALUE"""),1.1111111111111112)</f>
        <v>1.111111111</v>
      </c>
      <c r="J285" s="200">
        <f>IFERROR(__xludf.DUMMYFUNCTION("""COMPUTED_VALUE"""),76.0)</f>
        <v>76</v>
      </c>
      <c r="K285" s="200">
        <f>IFERROR(__xludf.DUMMYFUNCTION("""COMPUTED_VALUE"""),15.0)</f>
        <v>15</v>
      </c>
      <c r="L285" s="201" t="str">
        <f>IFERROR(__xludf.DUMMYFUNCTION("""COMPUTED_VALUE"""),"Roguelike")</f>
        <v>Roguelike</v>
      </c>
      <c r="M285" s="201"/>
    </row>
    <row r="286">
      <c r="A286" s="190" t="str">
        <f>IFERROR(__xludf.DUMMYFUNCTION("""COMPUTED_VALUE"""),"Trials of Mana (2020)")</f>
        <v>Trials of Mana (2020)</v>
      </c>
      <c r="B286" s="195" t="str">
        <f>IFERROR(__xludf.DUMMYFUNCTION("""COMPUTED_VALUE"""),"Xbox / PC")</f>
        <v>Xbox / PC</v>
      </c>
      <c r="C286" s="196" t="str">
        <f>IFERROR(__xludf.DUMMYFUNCTION("""COMPUTED_VALUE"""),"Yes")</f>
        <v>Yes</v>
      </c>
      <c r="D286" s="196" t="str">
        <f>IFERROR(__xludf.DUMMYFUNCTION("""COMPUTED_VALUE"""),"Active")</f>
        <v>Active</v>
      </c>
      <c r="E286" s="197">
        <f>IFERROR(__xludf.DUMMYFUNCTION("""COMPUTED_VALUE"""),45561.0)</f>
        <v>45561</v>
      </c>
      <c r="F286" s="198"/>
      <c r="G286" s="199">
        <f>IFERROR(__xludf.DUMMYFUNCTION("""COMPUTED_VALUE"""),12.633333333333333)</f>
        <v>12.63333333</v>
      </c>
      <c r="H286" s="197">
        <f>IFERROR(__xludf.DUMMYFUNCTION("""COMPUTED_VALUE"""),43945.0)</f>
        <v>43945</v>
      </c>
      <c r="I286" s="199">
        <f>IFERROR(__xludf.DUMMYFUNCTION("""COMPUTED_VALUE"""),4.4222222222222225)</f>
        <v>4.422222222</v>
      </c>
      <c r="J286" s="200">
        <f>IFERROR(__xludf.DUMMYFUNCTION("""COMPUTED_VALUE"""),76.0)</f>
        <v>76</v>
      </c>
      <c r="K286" s="200">
        <f>IFERROR(__xludf.DUMMYFUNCTION("""COMPUTED_VALUE"""),21.0)</f>
        <v>21</v>
      </c>
      <c r="L286" s="201" t="str">
        <f>IFERROR(__xludf.DUMMYFUNCTION("""COMPUTED_VALUE"""),"RPG")</f>
        <v>RPG</v>
      </c>
      <c r="M286" s="201"/>
    </row>
    <row r="287">
      <c r="A287" s="190" t="str">
        <f>IFERROR(__xludf.DUMMYFUNCTION("""COMPUTED_VALUE"""),"EA Sports PGA Tour")</f>
        <v>EA Sports PGA Tour</v>
      </c>
      <c r="B287" s="195" t="str">
        <f>IFERROR(__xludf.DUMMYFUNCTION("""COMPUTED_VALUE"""),"Xbox / PC")</f>
        <v>Xbox / PC</v>
      </c>
      <c r="C287" s="196" t="str">
        <f>IFERROR(__xludf.DUMMYFUNCTION("""COMPUTED_VALUE"""),"Yes")</f>
        <v>Yes</v>
      </c>
      <c r="D287" s="196" t="str">
        <f>IFERROR(__xludf.DUMMYFUNCTION("""COMPUTED_VALUE"""),"Active")</f>
        <v>Active</v>
      </c>
      <c r="E287" s="197">
        <f>IFERROR(__xludf.DUMMYFUNCTION("""COMPUTED_VALUE"""),45386.0)</f>
        <v>45386</v>
      </c>
      <c r="F287" s="198"/>
      <c r="G287" s="199">
        <f>IFERROR(__xludf.DUMMYFUNCTION("""COMPUTED_VALUE"""),18.366666666666667)</f>
        <v>18.36666667</v>
      </c>
      <c r="H287" s="197">
        <f>IFERROR(__xludf.DUMMYFUNCTION("""COMPUTED_VALUE"""),45020.0)</f>
        <v>45020</v>
      </c>
      <c r="I287" s="199">
        <f>IFERROR(__xludf.DUMMYFUNCTION("""COMPUTED_VALUE"""),1.0)</f>
        <v>1</v>
      </c>
      <c r="J287" s="200">
        <f>IFERROR(__xludf.DUMMYFUNCTION("""COMPUTED_VALUE"""),76.0)</f>
        <v>76</v>
      </c>
      <c r="K287" s="200"/>
      <c r="L287" s="201" t="str">
        <f>IFERROR(__xludf.DUMMYFUNCTION("""COMPUTED_VALUE"""),"Sports")</f>
        <v>Sports</v>
      </c>
      <c r="M287" s="201" t="str">
        <f>IFERROR(__xludf.DUMMYFUNCTION("""COMPUTED_VALUE"""),"Exclusive")</f>
        <v>Exclusive</v>
      </c>
    </row>
    <row r="288">
      <c r="A288" s="190" t="str">
        <f>IFERROR(__xludf.DUMMYFUNCTION("""COMPUTED_VALUE"""),"Brotato")</f>
        <v>Brotato</v>
      </c>
      <c r="B288" s="195" t="str">
        <f>IFERROR(__xludf.DUMMYFUNCTION("""COMPUTED_VALUE"""),"Xbox / PC")</f>
        <v>Xbox / PC</v>
      </c>
      <c r="C288" s="196" t="str">
        <f>IFERROR(__xludf.DUMMYFUNCTION("""COMPUTED_VALUE"""),"Yes")</f>
        <v>Yes</v>
      </c>
      <c r="D288" s="196" t="str">
        <f>IFERROR(__xludf.DUMMYFUNCTION("""COMPUTED_VALUE"""),"Active")</f>
        <v>Active</v>
      </c>
      <c r="E288" s="197">
        <f>IFERROR(__xludf.DUMMYFUNCTION("""COMPUTED_VALUE"""),45321.0)</f>
        <v>45321</v>
      </c>
      <c r="F288" s="198"/>
      <c r="G288" s="199">
        <f>IFERROR(__xludf.DUMMYFUNCTION("""COMPUTED_VALUE"""),20.5)</f>
        <v>20.5</v>
      </c>
      <c r="H288" s="197">
        <f>IFERROR(__xludf.DUMMYFUNCTION("""COMPUTED_VALUE"""),44619.0)</f>
        <v>44619</v>
      </c>
      <c r="I288" s="199">
        <f>IFERROR(__xludf.DUMMYFUNCTION("""COMPUTED_VALUE"""),1.925)</f>
        <v>1.925</v>
      </c>
      <c r="J288" s="200">
        <f>IFERROR(__xludf.DUMMYFUNCTION("""COMPUTED_VALUE"""),76.0)</f>
        <v>76</v>
      </c>
      <c r="K288" s="200">
        <f>IFERROR(__xludf.DUMMYFUNCTION("""COMPUTED_VALUE"""),5.0)</f>
        <v>5</v>
      </c>
      <c r="L288" s="201" t="str">
        <f>IFERROR(__xludf.DUMMYFUNCTION("""COMPUTED_VALUE"""),"Action")</f>
        <v>Action</v>
      </c>
      <c r="M288" s="201"/>
    </row>
    <row r="289">
      <c r="A289" s="190" t="str">
        <f>IFERROR(__xludf.DUMMYFUNCTION("""COMPUTED_VALUE"""),"Spirittea")</f>
        <v>Spirittea</v>
      </c>
      <c r="B289" s="195" t="str">
        <f>IFERROR(__xludf.DUMMYFUNCTION("""COMPUTED_VALUE"""),"Xbox / PC")</f>
        <v>Xbox / PC</v>
      </c>
      <c r="C289" s="196" t="str">
        <f>IFERROR(__xludf.DUMMYFUNCTION("""COMPUTED_VALUE"""),"Yes")</f>
        <v>Yes</v>
      </c>
      <c r="D289" s="196" t="str">
        <f>IFERROR(__xludf.DUMMYFUNCTION("""COMPUTED_VALUE"""),"Active")</f>
        <v>Active</v>
      </c>
      <c r="E289" s="197">
        <f>IFERROR(__xludf.DUMMYFUNCTION("""COMPUTED_VALUE"""),45243.0)</f>
        <v>45243</v>
      </c>
      <c r="F289" s="198"/>
      <c r="G289" s="199">
        <f>IFERROR(__xludf.DUMMYFUNCTION("""COMPUTED_VALUE"""),23.066666666666666)</f>
        <v>23.06666667</v>
      </c>
      <c r="H289" s="197">
        <f>IFERROR(__xludf.DUMMYFUNCTION("""COMPUTED_VALUE"""),45243.0)</f>
        <v>45243</v>
      </c>
      <c r="I289" s="199">
        <f>IFERROR(__xludf.DUMMYFUNCTION("""COMPUTED_VALUE"""),0.0)</f>
        <v>0</v>
      </c>
      <c r="J289" s="200">
        <f>IFERROR(__xludf.DUMMYFUNCTION("""COMPUTED_VALUE"""),76.0)</f>
        <v>76</v>
      </c>
      <c r="K289" s="200">
        <f>IFERROR(__xludf.DUMMYFUNCTION("""COMPUTED_VALUE"""),33.0)</f>
        <v>33</v>
      </c>
      <c r="L289" s="201" t="str">
        <f>IFERROR(__xludf.DUMMYFUNCTION("""COMPUTED_VALUE"""),"Strategy / Adventure / RPG / Simulation")</f>
        <v>Strategy / Adventure / RPG / Simulation</v>
      </c>
      <c r="M289" s="201"/>
    </row>
    <row r="290">
      <c r="A290" s="190" t="str">
        <f>IFERROR(__xludf.DUMMYFUNCTION("""COMPUTED_VALUE"""),"Ghostwire: Tokyo")</f>
        <v>Ghostwire: Tokyo</v>
      </c>
      <c r="B290" s="195" t="str">
        <f>IFERROR(__xludf.DUMMYFUNCTION("""COMPUTED_VALUE"""),"Xbox / PC")</f>
        <v>Xbox / PC</v>
      </c>
      <c r="C290" s="196" t="str">
        <f>IFERROR(__xludf.DUMMYFUNCTION("""COMPUTED_VALUE"""),"Yes")</f>
        <v>Yes</v>
      </c>
      <c r="D290" s="196" t="str">
        <f>IFERROR(__xludf.DUMMYFUNCTION("""COMPUTED_VALUE"""),"Active")</f>
        <v>Active</v>
      </c>
      <c r="E290" s="197">
        <f>IFERROR(__xludf.DUMMYFUNCTION("""COMPUTED_VALUE"""),45028.0)</f>
        <v>45028</v>
      </c>
      <c r="F290" s="198"/>
      <c r="G290" s="199">
        <f>IFERROR(__xludf.DUMMYFUNCTION("""COMPUTED_VALUE"""),30.1)</f>
        <v>30.1</v>
      </c>
      <c r="H290" s="197">
        <f>IFERROR(__xludf.DUMMYFUNCTION("""COMPUTED_VALUE"""),44645.0)</f>
        <v>44645</v>
      </c>
      <c r="I290" s="199">
        <f>IFERROR(__xludf.DUMMYFUNCTION("""COMPUTED_VALUE"""),1.0472222222222223)</f>
        <v>1.047222222</v>
      </c>
      <c r="J290" s="200">
        <f>IFERROR(__xludf.DUMMYFUNCTION("""COMPUTED_VALUE"""),76.0)</f>
        <v>76</v>
      </c>
      <c r="K290" s="200">
        <f>IFERROR(__xludf.DUMMYFUNCTION("""COMPUTED_VALUE"""),11.0)</f>
        <v>11</v>
      </c>
      <c r="L290" s="201" t="str">
        <f>IFERROR(__xludf.DUMMYFUNCTION("""COMPUTED_VALUE"""),"Action-Adventure")</f>
        <v>Action-Adventure</v>
      </c>
      <c r="M290" s="201" t="str">
        <f>IFERROR(__xludf.DUMMYFUNCTION("""COMPUTED_VALUE"""),"Exclusive")</f>
        <v>Exclusive</v>
      </c>
    </row>
    <row r="291">
      <c r="A291" s="190" t="str">
        <f>IFERROR(__xludf.DUMMYFUNCTION("""COMPUTED_VALUE"""),"Tom Clancy's Ghost Recon: Wildlands")</f>
        <v>Tom Clancy's Ghost Recon: Wildlands</v>
      </c>
      <c r="B291" s="195" t="str">
        <f>IFERROR(__xludf.DUMMYFUNCTION("""COMPUTED_VALUE"""),"Xbox / PC")</f>
        <v>Xbox / PC</v>
      </c>
      <c r="C291" s="196" t="str">
        <f>IFERROR(__xludf.DUMMYFUNCTION("""COMPUTED_VALUE"""),"Yes")</f>
        <v>Yes</v>
      </c>
      <c r="D291" s="196" t="str">
        <f>IFERROR(__xludf.DUMMYFUNCTION("""COMPUTED_VALUE"""),"Active")</f>
        <v>Active</v>
      </c>
      <c r="E291" s="197">
        <f>IFERROR(__xludf.DUMMYFUNCTION("""COMPUTED_VALUE"""),44774.0)</f>
        <v>44774</v>
      </c>
      <c r="F291" s="198"/>
      <c r="G291" s="199">
        <f>IFERROR(__xludf.DUMMYFUNCTION("""COMPUTED_VALUE"""),38.46666666666667)</f>
        <v>38.46666667</v>
      </c>
      <c r="H291" s="197">
        <f>IFERROR(__xludf.DUMMYFUNCTION("""COMPUTED_VALUE"""),42801.0)</f>
        <v>42801</v>
      </c>
      <c r="I291" s="199">
        <f>IFERROR(__xludf.DUMMYFUNCTION("""COMPUTED_VALUE"""),5.4)</f>
        <v>5.4</v>
      </c>
      <c r="J291" s="200">
        <f>IFERROR(__xludf.DUMMYFUNCTION("""COMPUTED_VALUE"""),76.0)</f>
        <v>76</v>
      </c>
      <c r="K291" s="200">
        <f>IFERROR(__xludf.DUMMYFUNCTION("""COMPUTED_VALUE"""),26.5)</f>
        <v>26.5</v>
      </c>
      <c r="L291" s="201" t="str">
        <f>IFERROR(__xludf.DUMMYFUNCTION("""COMPUTED_VALUE"""),"Shooter")</f>
        <v>Shooter</v>
      </c>
      <c r="M291" s="201"/>
    </row>
    <row r="292">
      <c r="A292" s="190" t="str">
        <f>IFERROR(__xludf.DUMMYFUNCTION("""COMPUTED_VALUE"""),"PowerWash Simulator")</f>
        <v>PowerWash Simulator</v>
      </c>
      <c r="B292" s="195" t="str">
        <f>IFERROR(__xludf.DUMMYFUNCTION("""COMPUTED_VALUE"""),"Xbox / PC")</f>
        <v>Xbox / PC</v>
      </c>
      <c r="C292" s="196" t="str">
        <f>IFERROR(__xludf.DUMMYFUNCTION("""COMPUTED_VALUE"""),"Yes")</f>
        <v>Yes</v>
      </c>
      <c r="D292" s="196" t="str">
        <f>IFERROR(__xludf.DUMMYFUNCTION("""COMPUTED_VALUE"""),"Active")</f>
        <v>Active</v>
      </c>
      <c r="E292" s="197">
        <f>IFERROR(__xludf.DUMMYFUNCTION("""COMPUTED_VALUE"""),44756.0)</f>
        <v>44756</v>
      </c>
      <c r="F292" s="198"/>
      <c r="G292" s="199">
        <f>IFERROR(__xludf.DUMMYFUNCTION("""COMPUTED_VALUE"""),39.03333333333333)</f>
        <v>39.03333333</v>
      </c>
      <c r="H292" s="197">
        <f>IFERROR(__xludf.DUMMYFUNCTION("""COMPUTED_VALUE"""),44335.0)</f>
        <v>44335</v>
      </c>
      <c r="I292" s="199">
        <f>IFERROR(__xludf.DUMMYFUNCTION("""COMPUTED_VALUE"""),1.1527777777777777)</f>
        <v>1.152777778</v>
      </c>
      <c r="J292" s="200">
        <f>IFERROR(__xludf.DUMMYFUNCTION("""COMPUTED_VALUE"""),76.0)</f>
        <v>76</v>
      </c>
      <c r="K292" s="200">
        <f>IFERROR(__xludf.DUMMYFUNCTION("""COMPUTED_VALUE"""),21.5)</f>
        <v>21.5</v>
      </c>
      <c r="L292" s="201" t="str">
        <f>IFERROR(__xludf.DUMMYFUNCTION("""COMPUTED_VALUE"""),"Simulation")</f>
        <v>Simulation</v>
      </c>
      <c r="M292" s="201"/>
    </row>
    <row r="293">
      <c r="A293" s="190" t="str">
        <f>IFERROR(__xludf.DUMMYFUNCTION("""COMPUTED_VALUE"""),"Lost In Random")</f>
        <v>Lost In Random</v>
      </c>
      <c r="B293" s="195" t="str">
        <f>IFERROR(__xludf.DUMMYFUNCTION("""COMPUTED_VALUE"""),"Xbox / PC")</f>
        <v>Xbox / PC</v>
      </c>
      <c r="C293" s="196" t="str">
        <f>IFERROR(__xludf.DUMMYFUNCTION("""COMPUTED_VALUE"""),"Touch Controls")</f>
        <v>Touch Controls</v>
      </c>
      <c r="D293" s="196" t="str">
        <f>IFERROR(__xludf.DUMMYFUNCTION("""COMPUTED_VALUE"""),"Active")</f>
        <v>Active</v>
      </c>
      <c r="E293" s="197">
        <f>IFERROR(__xludf.DUMMYFUNCTION("""COMPUTED_VALUE"""),44663.0)</f>
        <v>44663</v>
      </c>
      <c r="F293" s="198"/>
      <c r="G293" s="199">
        <f>IFERROR(__xludf.DUMMYFUNCTION("""COMPUTED_VALUE"""),42.1)</f>
        <v>42.1</v>
      </c>
      <c r="H293" s="197">
        <f>IFERROR(__xludf.DUMMYFUNCTION("""COMPUTED_VALUE"""),44449.0)</f>
        <v>44449</v>
      </c>
      <c r="I293" s="199">
        <f>IFERROR(__xludf.DUMMYFUNCTION("""COMPUTED_VALUE"""),0.5888888888888889)</f>
        <v>0.5888888889</v>
      </c>
      <c r="J293" s="200">
        <f>IFERROR(__xludf.DUMMYFUNCTION("""COMPUTED_VALUE"""),76.0)</f>
        <v>76</v>
      </c>
      <c r="K293" s="200">
        <f>IFERROR(__xludf.DUMMYFUNCTION("""COMPUTED_VALUE"""),11.5)</f>
        <v>11.5</v>
      </c>
      <c r="L293" s="201" t="str">
        <f>IFERROR(__xludf.DUMMYFUNCTION("""COMPUTED_VALUE"""),"RPG / Card Game / Action-Adventure")</f>
        <v>RPG / Card Game / Action-Adventure</v>
      </c>
      <c r="M293" s="201"/>
    </row>
    <row r="294">
      <c r="A294" s="190" t="str">
        <f>IFERROR(__xludf.DUMMYFUNCTION("""COMPUTED_VALUE"""),"Need for Speed: Hot Pursuit - Remastered")</f>
        <v>Need for Speed: Hot Pursuit - Remastered</v>
      </c>
      <c r="B294" s="195" t="str">
        <f>IFERROR(__xludf.DUMMYFUNCTION("""COMPUTED_VALUE"""),"Xbox / PC")</f>
        <v>Xbox / PC</v>
      </c>
      <c r="C294" s="196" t="str">
        <f>IFERROR(__xludf.DUMMYFUNCTION("""COMPUTED_VALUE"""),"Touch Controls")</f>
        <v>Touch Controls</v>
      </c>
      <c r="D294" s="196" t="str">
        <f>IFERROR(__xludf.DUMMYFUNCTION("""COMPUTED_VALUE"""),"Active")</f>
        <v>Active</v>
      </c>
      <c r="E294" s="197">
        <f>IFERROR(__xludf.DUMMYFUNCTION("""COMPUTED_VALUE"""),44371.0)</f>
        <v>44371</v>
      </c>
      <c r="F294" s="198"/>
      <c r="G294" s="199">
        <f>IFERROR(__xludf.DUMMYFUNCTION("""COMPUTED_VALUE"""),51.7)</f>
        <v>51.7</v>
      </c>
      <c r="H294" s="197">
        <f>IFERROR(__xludf.DUMMYFUNCTION("""COMPUTED_VALUE"""),44141.0)</f>
        <v>44141</v>
      </c>
      <c r="I294" s="199">
        <f>IFERROR(__xludf.DUMMYFUNCTION("""COMPUTED_VALUE"""),0.6333333333333333)</f>
        <v>0.6333333333</v>
      </c>
      <c r="J294" s="200">
        <f>IFERROR(__xludf.DUMMYFUNCTION("""COMPUTED_VALUE"""),76.0)</f>
        <v>76</v>
      </c>
      <c r="K294" s="200">
        <f>IFERROR(__xludf.DUMMYFUNCTION("""COMPUTED_VALUE"""),15.5)</f>
        <v>15.5</v>
      </c>
      <c r="L294" s="201" t="str">
        <f>IFERROR(__xludf.DUMMYFUNCTION("""COMPUTED_VALUE"""),"Driving/Racing")</f>
        <v>Driving/Racing</v>
      </c>
      <c r="M294" s="201"/>
    </row>
    <row r="295">
      <c r="A295" s="190" t="str">
        <f>IFERROR(__xludf.DUMMYFUNCTION("""COMPUTED_VALUE"""),"Dishonored: Definitive Edition")</f>
        <v>Dishonored: Definitive Edition</v>
      </c>
      <c r="B295" s="195" t="str">
        <f>IFERROR(__xludf.DUMMYFUNCTION("""COMPUTED_VALUE"""),"Xbox / PC")</f>
        <v>Xbox / PC</v>
      </c>
      <c r="C295" s="196" t="str">
        <f>IFERROR(__xludf.DUMMYFUNCTION("""COMPUTED_VALUE"""),"Yes")</f>
        <v>Yes</v>
      </c>
      <c r="D295" s="196" t="str">
        <f>IFERROR(__xludf.DUMMYFUNCTION("""COMPUTED_VALUE"""),"Active")</f>
        <v>Active</v>
      </c>
      <c r="E295" s="197">
        <f>IFERROR(__xludf.DUMMYFUNCTION("""COMPUTED_VALUE"""),44267.0)</f>
        <v>44267</v>
      </c>
      <c r="F295" s="198"/>
      <c r="G295" s="199">
        <f>IFERROR(__xludf.DUMMYFUNCTION("""COMPUTED_VALUE"""),55.1)</f>
        <v>55.1</v>
      </c>
      <c r="H295" s="197">
        <f>IFERROR(__xludf.DUMMYFUNCTION("""COMPUTED_VALUE"""),43337.0)</f>
        <v>43337</v>
      </c>
      <c r="I295" s="199">
        <f>IFERROR(__xludf.DUMMYFUNCTION("""COMPUTED_VALUE"""),2.547222222222222)</f>
        <v>2.547222222</v>
      </c>
      <c r="J295" s="200">
        <f>IFERROR(__xludf.DUMMYFUNCTION("""COMPUTED_VALUE"""),76.0)</f>
        <v>76</v>
      </c>
      <c r="K295" s="200">
        <f>IFERROR(__xludf.DUMMYFUNCTION("""COMPUTED_VALUE"""),12.5)</f>
        <v>12.5</v>
      </c>
      <c r="L295" s="201" t="str">
        <f>IFERROR(__xludf.DUMMYFUNCTION("""COMPUTED_VALUE"""),"RPG / First-Person Shooter / Action-Adventure")</f>
        <v>RPG / First-Person Shooter / Action-Adventure</v>
      </c>
      <c r="M295" s="201" t="str">
        <f>IFERROR(__xludf.DUMMYFUNCTION("""COMPUTED_VALUE"""),"FPS Boost")</f>
        <v>FPS Boost</v>
      </c>
    </row>
    <row r="296">
      <c r="A296" s="190" t="str">
        <f>IFERROR(__xludf.DUMMYFUNCTION("""COMPUTED_VALUE"""),"Mass Effect: Andromeda - Deluxe Edition")</f>
        <v>Mass Effect: Andromeda - Deluxe Edition</v>
      </c>
      <c r="B296" s="195" t="str">
        <f>IFERROR(__xludf.DUMMYFUNCTION("""COMPUTED_VALUE"""),"Xbox / PC")</f>
        <v>Xbox / PC</v>
      </c>
      <c r="C296" s="196" t="str">
        <f>IFERROR(__xludf.DUMMYFUNCTION("""COMPUTED_VALUE"""),"Yes")</f>
        <v>Yes</v>
      </c>
      <c r="D296" s="196" t="str">
        <f>IFERROR(__xludf.DUMMYFUNCTION("""COMPUTED_VALUE"""),"Active")</f>
        <v>Active</v>
      </c>
      <c r="E296" s="197">
        <f>IFERROR(__xludf.DUMMYFUNCTION("""COMPUTED_VALUE"""),44145.0)</f>
        <v>44145</v>
      </c>
      <c r="F296" s="198"/>
      <c r="G296" s="199">
        <f>IFERROR(__xludf.DUMMYFUNCTION("""COMPUTED_VALUE"""),59.166666666666664)</f>
        <v>59.16666667</v>
      </c>
      <c r="H296" s="197">
        <f>IFERROR(__xludf.DUMMYFUNCTION("""COMPUTED_VALUE"""),42815.0)</f>
        <v>42815</v>
      </c>
      <c r="I296" s="199">
        <f>IFERROR(__xludf.DUMMYFUNCTION("""COMPUTED_VALUE"""),3.636111111111111)</f>
        <v>3.636111111</v>
      </c>
      <c r="J296" s="200">
        <f>IFERROR(__xludf.DUMMYFUNCTION("""COMPUTED_VALUE"""),76.0)</f>
        <v>76</v>
      </c>
      <c r="K296" s="200">
        <f>IFERROR(__xludf.DUMMYFUNCTION("""COMPUTED_VALUE"""),18.5)</f>
        <v>18.5</v>
      </c>
      <c r="L296" s="201" t="str">
        <f>IFERROR(__xludf.DUMMYFUNCTION("""COMPUTED_VALUE"""),"RPG / Action-Adventure")</f>
        <v>RPG / Action-Adventure</v>
      </c>
      <c r="M296" s="201"/>
    </row>
    <row r="297">
      <c r="A297" s="190" t="str">
        <f>IFERROR(__xludf.DUMMYFUNCTION("""COMPUTED_VALUE"""),"Plants vs. Zombies: Battle for Neighborville - Deluxe Edition")</f>
        <v>Plants vs. Zombies: Battle for Neighborville - Deluxe Edition</v>
      </c>
      <c r="B297" s="195" t="str">
        <f>IFERROR(__xludf.DUMMYFUNCTION("""COMPUTED_VALUE"""),"Xbox / PC")</f>
        <v>Xbox / PC</v>
      </c>
      <c r="C297" s="196" t="str">
        <f>IFERROR(__xludf.DUMMYFUNCTION("""COMPUTED_VALUE"""),"Yes")</f>
        <v>Yes</v>
      </c>
      <c r="D297" s="196" t="str">
        <f>IFERROR(__xludf.DUMMYFUNCTION("""COMPUTED_VALUE"""),"Active")</f>
        <v>Active</v>
      </c>
      <c r="E297" s="197">
        <f>IFERROR(__xludf.DUMMYFUNCTION("""COMPUTED_VALUE"""),44145.0)</f>
        <v>44145</v>
      </c>
      <c r="F297" s="198"/>
      <c r="G297" s="199">
        <f>IFERROR(__xludf.DUMMYFUNCTION("""COMPUTED_VALUE"""),59.166666666666664)</f>
        <v>59.16666667</v>
      </c>
      <c r="H297" s="197">
        <f>IFERROR(__xludf.DUMMYFUNCTION("""COMPUTED_VALUE"""),43756.0)</f>
        <v>43756</v>
      </c>
      <c r="I297" s="199">
        <f>IFERROR(__xludf.DUMMYFUNCTION("""COMPUTED_VALUE"""),1.0611111111111111)</f>
        <v>1.061111111</v>
      </c>
      <c r="J297" s="200">
        <f>IFERROR(__xludf.DUMMYFUNCTION("""COMPUTED_VALUE"""),76.0)</f>
        <v>76</v>
      </c>
      <c r="K297" s="200">
        <f>IFERROR(__xludf.DUMMYFUNCTION("""COMPUTED_VALUE"""),4.5)</f>
        <v>4.5</v>
      </c>
      <c r="L297" s="201" t="str">
        <f>IFERROR(__xludf.DUMMYFUNCTION("""COMPUTED_VALUE"""),"Shooter")</f>
        <v>Shooter</v>
      </c>
      <c r="M297" s="201" t="str">
        <f>IFERROR(__xludf.DUMMYFUNCTION("""COMPUTED_VALUE"""),"FPS Boost")</f>
        <v>FPS Boost</v>
      </c>
    </row>
    <row r="298">
      <c r="A298" s="190" t="str">
        <f>IFERROR(__xludf.DUMMYFUNCTION("""COMPUTED_VALUE"""),"Plants vs. Zombies: Garden Warfare")</f>
        <v>Plants vs. Zombies: Garden Warfare</v>
      </c>
      <c r="B298" s="195" t="str">
        <f>IFERROR(__xludf.DUMMYFUNCTION("""COMPUTED_VALUE"""),"Xbox / PC")</f>
        <v>Xbox / PC</v>
      </c>
      <c r="C298" s="196" t="str">
        <f>IFERROR(__xludf.DUMMYFUNCTION("""COMPUTED_VALUE"""),"Yes")</f>
        <v>Yes</v>
      </c>
      <c r="D298" s="196" t="str">
        <f>IFERROR(__xludf.DUMMYFUNCTION("""COMPUTED_VALUE"""),"Active")</f>
        <v>Active</v>
      </c>
      <c r="E298" s="197">
        <f>IFERROR(__xludf.DUMMYFUNCTION("""COMPUTED_VALUE"""),44145.0)</f>
        <v>44145</v>
      </c>
      <c r="F298" s="198"/>
      <c r="G298" s="199">
        <f>IFERROR(__xludf.DUMMYFUNCTION("""COMPUTED_VALUE"""),59.166666666666664)</f>
        <v>59.16666667</v>
      </c>
      <c r="H298" s="197">
        <f>IFERROR(__xludf.DUMMYFUNCTION("""COMPUTED_VALUE"""),41688.0)</f>
        <v>41688</v>
      </c>
      <c r="I298" s="199">
        <f>IFERROR(__xludf.DUMMYFUNCTION("""COMPUTED_VALUE"""),6.727777777777778)</f>
        <v>6.727777778</v>
      </c>
      <c r="J298" s="200">
        <f>IFERROR(__xludf.DUMMYFUNCTION("""COMPUTED_VALUE"""),76.0)</f>
        <v>76</v>
      </c>
      <c r="K298" s="200">
        <f>IFERROR(__xludf.DUMMYFUNCTION("""COMPUTED_VALUE"""),67.5)</f>
        <v>67.5</v>
      </c>
      <c r="L298" s="201" t="str">
        <f>IFERROR(__xludf.DUMMYFUNCTION("""COMPUTED_VALUE"""),"Shooter")</f>
        <v>Shooter</v>
      </c>
      <c r="M298" s="201" t="str">
        <f>IFERROR(__xludf.DUMMYFUNCTION("""COMPUTED_VALUE"""),"FPS Boost")</f>
        <v>FPS Boost</v>
      </c>
    </row>
    <row r="299">
      <c r="A299" s="190" t="str">
        <f>IFERROR(__xludf.DUMMYFUNCTION("""COMPUTED_VALUE"""),"New Super Lucky's Tale")</f>
        <v>New Super Lucky's Tale</v>
      </c>
      <c r="B299" s="195" t="str">
        <f>IFERROR(__xludf.DUMMYFUNCTION("""COMPUTED_VALUE"""),"Xbox / PC")</f>
        <v>Xbox / PC</v>
      </c>
      <c r="C299" s="196" t="str">
        <f>IFERROR(__xludf.DUMMYFUNCTION("""COMPUTED_VALUE"""),"Touch Controls")</f>
        <v>Touch Controls</v>
      </c>
      <c r="D299" s="196" t="str">
        <f>IFERROR(__xludf.DUMMYFUNCTION("""COMPUTED_VALUE"""),"Active")</f>
        <v>Active</v>
      </c>
      <c r="E299" s="197">
        <f>IFERROR(__xludf.DUMMYFUNCTION("""COMPUTED_VALUE"""),44063.0)</f>
        <v>44063</v>
      </c>
      <c r="F299" s="198"/>
      <c r="G299" s="199">
        <f>IFERROR(__xludf.DUMMYFUNCTION("""COMPUTED_VALUE"""),61.83333333333333)</f>
        <v>61.83333333</v>
      </c>
      <c r="H299" s="197">
        <f>IFERROR(__xludf.DUMMYFUNCTION("""COMPUTED_VALUE"""),43777.0)</f>
        <v>43777</v>
      </c>
      <c r="I299" s="199">
        <f>IFERROR(__xludf.DUMMYFUNCTION("""COMPUTED_VALUE"""),0.7833333333333333)</f>
        <v>0.7833333333</v>
      </c>
      <c r="J299" s="200">
        <f>IFERROR(__xludf.DUMMYFUNCTION("""COMPUTED_VALUE"""),76.0)</f>
        <v>76</v>
      </c>
      <c r="K299" s="200">
        <f>IFERROR(__xludf.DUMMYFUNCTION("""COMPUTED_VALUE"""),7.5)</f>
        <v>7.5</v>
      </c>
      <c r="L299" s="201" t="str">
        <f>IFERROR(__xludf.DUMMYFUNCTION("""COMPUTED_VALUE"""),"Platformer")</f>
        <v>Platformer</v>
      </c>
      <c r="M299" s="201" t="str">
        <f>IFERROR(__xludf.DUMMYFUNCTION("""COMPUTED_VALUE"""),"FPS Boost")</f>
        <v>FPS Boost</v>
      </c>
    </row>
    <row r="300">
      <c r="A300" s="190" t="str">
        <f>IFERROR(__xludf.DUMMYFUNCTION("""COMPUTED_VALUE"""),"Totally Accurate Battle Simulator")</f>
        <v>Totally Accurate Battle Simulator</v>
      </c>
      <c r="B300" s="195" t="str">
        <f>IFERROR(__xludf.DUMMYFUNCTION("""COMPUTED_VALUE"""),"Xbox / PC")</f>
        <v>Xbox / PC</v>
      </c>
      <c r="C300" s="196" t="str">
        <f>IFERROR(__xludf.DUMMYFUNCTION("""COMPUTED_VALUE"""),"Touch Controls")</f>
        <v>Touch Controls</v>
      </c>
      <c r="D300" s="196" t="str">
        <f>IFERROR(__xludf.DUMMYFUNCTION("""COMPUTED_VALUE"""),"Active")</f>
        <v>Active</v>
      </c>
      <c r="E300" s="197">
        <f>IFERROR(__xludf.DUMMYFUNCTION("""COMPUTED_VALUE"""),43819.0)</f>
        <v>43819</v>
      </c>
      <c r="F300" s="198"/>
      <c r="G300" s="199">
        <f>IFERROR(__xludf.DUMMYFUNCTION("""COMPUTED_VALUE"""),69.83333333333334)</f>
        <v>69.83333333</v>
      </c>
      <c r="H300" s="197">
        <f>IFERROR(__xludf.DUMMYFUNCTION("""COMPUTED_VALUE"""),43556.0)</f>
        <v>43556</v>
      </c>
      <c r="I300" s="199">
        <f>IFERROR(__xludf.DUMMYFUNCTION("""COMPUTED_VALUE"""),0.7194444444444444)</f>
        <v>0.7194444444</v>
      </c>
      <c r="J300" s="200">
        <f>IFERROR(__xludf.DUMMYFUNCTION("""COMPUTED_VALUE"""),76.0)</f>
        <v>76</v>
      </c>
      <c r="K300" s="200">
        <f>IFERROR(__xludf.DUMMYFUNCTION("""COMPUTED_VALUE"""),4.5)</f>
        <v>4.5</v>
      </c>
      <c r="L300" s="201" t="str">
        <f>IFERROR(__xludf.DUMMYFUNCTION("""COMPUTED_VALUE"""),"Strategy / Simulation")</f>
        <v>Strategy / Simulation</v>
      </c>
      <c r="M300" s="201"/>
    </row>
    <row r="301">
      <c r="A301" s="190" t="str">
        <f>IFERROR(__xludf.DUMMYFUNCTION("""COMPUTED_VALUE"""),"Zombie Army 4: Dead War")</f>
        <v>Zombie Army 4: Dead War</v>
      </c>
      <c r="B301" s="195" t="str">
        <f>IFERROR(__xludf.DUMMYFUNCTION("""COMPUTED_VALUE"""),"Xbox / PC")</f>
        <v>Xbox / PC</v>
      </c>
      <c r="C301" s="196" t="str">
        <f>IFERROR(__xludf.DUMMYFUNCTION("""COMPUTED_VALUE"""),"M+KB")</f>
        <v>M+KB</v>
      </c>
      <c r="D301" s="196" t="str">
        <f>IFERROR(__xludf.DUMMYFUNCTION("""COMPUTED_VALUE"""),"Active")</f>
        <v>Active</v>
      </c>
      <c r="E301" s="197">
        <f>IFERROR(__xludf.DUMMYFUNCTION("""COMPUTED_VALUE"""),44294.0)</f>
        <v>44294</v>
      </c>
      <c r="F301" s="198"/>
      <c r="G301" s="199">
        <f>IFERROR(__xludf.DUMMYFUNCTION("""COMPUTED_VALUE"""),54.233333333333334)</f>
        <v>54.23333333</v>
      </c>
      <c r="H301" s="197">
        <f>IFERROR(__xludf.DUMMYFUNCTION("""COMPUTED_VALUE"""),43865.0)</f>
        <v>43865</v>
      </c>
      <c r="I301" s="199">
        <f>IFERROR(__xludf.DUMMYFUNCTION("""COMPUTED_VALUE"""),1.1777777777777778)</f>
        <v>1.177777778</v>
      </c>
      <c r="J301" s="200">
        <f>IFERROR(__xludf.DUMMYFUNCTION("""COMPUTED_VALUE"""),75.5)</f>
        <v>75.5</v>
      </c>
      <c r="K301" s="200">
        <f>IFERROR(__xludf.DUMMYFUNCTION("""COMPUTED_VALUE"""),11.5)</f>
        <v>11.5</v>
      </c>
      <c r="L301" s="201" t="str">
        <f>IFERROR(__xludf.DUMMYFUNCTION("""COMPUTED_VALUE"""),"First-Person Shooter / Action-Adventure")</f>
        <v>First-Person Shooter / Action-Adventure</v>
      </c>
      <c r="M301" s="201" t="str">
        <f>IFERROR(__xludf.DUMMYFUNCTION("""COMPUTED_VALUE"""),"Optimized")</f>
        <v>Optimized</v>
      </c>
    </row>
    <row r="302">
      <c r="A302" s="190" t="str">
        <f>IFERROR(__xludf.DUMMYFUNCTION("""COMPUTED_VALUE"""),"Wolfenstein: The Old Blood")</f>
        <v>Wolfenstein: The Old Blood</v>
      </c>
      <c r="B302" s="195" t="str">
        <f>IFERROR(__xludf.DUMMYFUNCTION("""COMPUTED_VALUE"""),"Xbox / PC")</f>
        <v>Xbox / PC</v>
      </c>
      <c r="C302" s="196" t="str">
        <f>IFERROR(__xludf.DUMMYFUNCTION("""COMPUTED_VALUE"""),"Yes")</f>
        <v>Yes</v>
      </c>
      <c r="D302" s="196" t="str">
        <f>IFERROR(__xludf.DUMMYFUNCTION("""COMPUTED_VALUE"""),"Active")</f>
        <v>Active</v>
      </c>
      <c r="E302" s="197">
        <f>IFERROR(__xludf.DUMMYFUNCTION("""COMPUTED_VALUE"""),44267.0)</f>
        <v>44267</v>
      </c>
      <c r="F302" s="198"/>
      <c r="G302" s="199">
        <f>IFERROR(__xludf.DUMMYFUNCTION("""COMPUTED_VALUE"""),55.1)</f>
        <v>55.1</v>
      </c>
      <c r="H302" s="197">
        <f>IFERROR(__xludf.DUMMYFUNCTION("""COMPUTED_VALUE"""),42129.0)</f>
        <v>42129</v>
      </c>
      <c r="I302" s="199">
        <f>IFERROR(__xludf.DUMMYFUNCTION("""COMPUTED_VALUE"""),5.852777777777778)</f>
        <v>5.852777778</v>
      </c>
      <c r="J302" s="200">
        <f>IFERROR(__xludf.DUMMYFUNCTION("""COMPUTED_VALUE"""),75.5)</f>
        <v>75.5</v>
      </c>
      <c r="K302" s="200">
        <f>IFERROR(__xludf.DUMMYFUNCTION("""COMPUTED_VALUE"""),6.0)</f>
        <v>6</v>
      </c>
      <c r="L302" s="201" t="str">
        <f>IFERROR(__xludf.DUMMYFUNCTION("""COMPUTED_VALUE"""),"First-Person Shooter")</f>
        <v>First-Person Shooter</v>
      </c>
      <c r="M302" s="201"/>
    </row>
    <row r="303">
      <c r="A303" s="190" t="str">
        <f>IFERROR(__xludf.DUMMYFUNCTION("""COMPUTED_VALUE"""),"Visions of Mana")</f>
        <v>Visions of Mana</v>
      </c>
      <c r="B303" s="195" t="str">
        <f>IFERROR(__xludf.DUMMYFUNCTION("""COMPUTED_VALUE"""),"Xbox / PC")</f>
        <v>Xbox / PC</v>
      </c>
      <c r="C303" s="196" t="str">
        <f>IFERROR(__xludf.DUMMYFUNCTION("""COMPUTED_VALUE"""),"Yes")</f>
        <v>Yes</v>
      </c>
      <c r="D303" s="196" t="str">
        <f>IFERROR(__xludf.DUMMYFUNCTION("""COMPUTED_VALUE"""),"Active")</f>
        <v>Active</v>
      </c>
      <c r="E303" s="197">
        <f>IFERROR(__xludf.DUMMYFUNCTION("""COMPUTED_VALUE"""),45925.0)</f>
        <v>45925</v>
      </c>
      <c r="F303" s="198"/>
      <c r="G303" s="199">
        <f>IFERROR(__xludf.DUMMYFUNCTION("""COMPUTED_VALUE"""),0.6666666666666666)</f>
        <v>0.6666666667</v>
      </c>
      <c r="H303" s="197">
        <f>IFERROR(__xludf.DUMMYFUNCTION("""COMPUTED_VALUE"""),45533.0)</f>
        <v>45533</v>
      </c>
      <c r="I303" s="199">
        <f>IFERROR(__xludf.DUMMYFUNCTION("""COMPUTED_VALUE"""),1.0722222222222222)</f>
        <v>1.072222222</v>
      </c>
      <c r="J303" s="200">
        <f>IFERROR(__xludf.DUMMYFUNCTION("""COMPUTED_VALUE"""),75.0)</f>
        <v>75</v>
      </c>
      <c r="K303" s="200">
        <f>IFERROR(__xludf.DUMMYFUNCTION("""COMPUTED_VALUE"""),29.0)</f>
        <v>29</v>
      </c>
      <c r="L303" s="201" t="str">
        <f>IFERROR(__xludf.DUMMYFUNCTION("""COMPUTED_VALUE"""),"RPG")</f>
        <v>RPG</v>
      </c>
      <c r="M303" s="201" t="str">
        <f>IFERROR(__xludf.DUMMYFUNCTION("""COMPUTED_VALUE"""),"Exclusive")</f>
        <v>Exclusive</v>
      </c>
    </row>
    <row r="304">
      <c r="A304" s="190" t="str">
        <f>IFERROR(__xludf.DUMMYFUNCTION("""COMPUTED_VALUE"""),"Farming Simulator 25")</f>
        <v>Farming Simulator 25</v>
      </c>
      <c r="B304" s="195" t="str">
        <f>IFERROR(__xludf.DUMMYFUNCTION("""COMPUTED_VALUE"""),"Xbox / PC")</f>
        <v>Xbox / PC</v>
      </c>
      <c r="C304" s="196" t="str">
        <f>IFERROR(__xludf.DUMMYFUNCTION("""COMPUTED_VALUE"""),"Yes")</f>
        <v>Yes</v>
      </c>
      <c r="D304" s="196" t="str">
        <f>IFERROR(__xludf.DUMMYFUNCTION("""COMPUTED_VALUE"""),"Active")</f>
        <v>Active</v>
      </c>
      <c r="E304" s="197">
        <f>IFERROR(__xludf.DUMMYFUNCTION("""COMPUTED_VALUE"""),45870.0)</f>
        <v>45870</v>
      </c>
      <c r="F304" s="198"/>
      <c r="G304" s="199">
        <f>IFERROR(__xludf.DUMMYFUNCTION("""COMPUTED_VALUE"""),2.466666666666667)</f>
        <v>2.466666667</v>
      </c>
      <c r="H304" s="197">
        <f>IFERROR(__xludf.DUMMYFUNCTION("""COMPUTED_VALUE"""),45608.0)</f>
        <v>45608</v>
      </c>
      <c r="I304" s="199">
        <f>IFERROR(__xludf.DUMMYFUNCTION("""COMPUTED_VALUE"""),0.7194444444444444)</f>
        <v>0.7194444444</v>
      </c>
      <c r="J304" s="200">
        <f>IFERROR(__xludf.DUMMYFUNCTION("""COMPUTED_VALUE"""),75.0)</f>
        <v>75</v>
      </c>
      <c r="K304" s="200"/>
      <c r="L304" s="201" t="str">
        <f>IFERROR(__xludf.DUMMYFUNCTION("""COMPUTED_VALUE"""),"Simulation")</f>
        <v>Simulation</v>
      </c>
      <c r="M304" s="201"/>
    </row>
    <row r="305">
      <c r="A305" s="190" t="str">
        <f>IFERROR(__xludf.DUMMYFUNCTION("""COMPUTED_VALUE"""),"Call of Duty: Modern Warfare II")</f>
        <v>Call of Duty: Modern Warfare II</v>
      </c>
      <c r="B305" s="195" t="str">
        <f>IFERROR(__xludf.DUMMYFUNCTION("""COMPUTED_VALUE"""),"Xbox / PC")</f>
        <v>Xbox / PC</v>
      </c>
      <c r="C305" s="196" t="str">
        <f>IFERROR(__xludf.DUMMYFUNCTION("""COMPUTED_VALUE"""),"Yes")</f>
        <v>Yes</v>
      </c>
      <c r="D305" s="196" t="str">
        <f>IFERROR(__xludf.DUMMYFUNCTION("""COMPUTED_VALUE"""),"Active")</f>
        <v>Active</v>
      </c>
      <c r="E305" s="197">
        <f>IFERROR(__xludf.DUMMYFUNCTION("""COMPUTED_VALUE"""),45778.0)</f>
        <v>45778</v>
      </c>
      <c r="F305" s="198"/>
      <c r="G305" s="199">
        <f>IFERROR(__xludf.DUMMYFUNCTION("""COMPUTED_VALUE"""),5.466666666666667)</f>
        <v>5.466666667</v>
      </c>
      <c r="H305" s="197">
        <f>IFERROR(__xludf.DUMMYFUNCTION("""COMPUTED_VALUE"""),44862.0)</f>
        <v>44862</v>
      </c>
      <c r="I305" s="199">
        <f>IFERROR(__xludf.DUMMYFUNCTION("""COMPUTED_VALUE"""),2.5083333333333333)</f>
        <v>2.508333333</v>
      </c>
      <c r="J305" s="200">
        <f>IFERROR(__xludf.DUMMYFUNCTION("""COMPUTED_VALUE"""),75.0)</f>
        <v>75</v>
      </c>
      <c r="K305" s="200">
        <f>IFERROR(__xludf.DUMMYFUNCTION("""COMPUTED_VALUE"""),8.0)</f>
        <v>8</v>
      </c>
      <c r="L305" s="201" t="str">
        <f>IFERROR(__xludf.DUMMYFUNCTION("""COMPUTED_VALUE"""),"Shooter")</f>
        <v>Shooter</v>
      </c>
      <c r="M305" s="201"/>
    </row>
    <row r="306">
      <c r="A306" s="190" t="str">
        <f>IFERROR(__xludf.DUMMYFUNCTION("""COMPUTED_VALUE"""),"Atomfall")</f>
        <v>Atomfall</v>
      </c>
      <c r="B306" s="195" t="str">
        <f>IFERROR(__xludf.DUMMYFUNCTION("""COMPUTED_VALUE"""),"Xbox / PC")</f>
        <v>Xbox / PC</v>
      </c>
      <c r="C306" s="196" t="str">
        <f>IFERROR(__xludf.DUMMYFUNCTION("""COMPUTED_VALUE"""),"Yes")</f>
        <v>Yes</v>
      </c>
      <c r="D306" s="196" t="str">
        <f>IFERROR(__xludf.DUMMYFUNCTION("""COMPUTED_VALUE"""),"Active")</f>
        <v>Active</v>
      </c>
      <c r="E306" s="197">
        <f>IFERROR(__xludf.DUMMYFUNCTION("""COMPUTED_VALUE"""),45743.0)</f>
        <v>45743</v>
      </c>
      <c r="F306" s="198"/>
      <c r="G306" s="199">
        <f>IFERROR(__xludf.DUMMYFUNCTION("""COMPUTED_VALUE"""),6.6000000000000005)</f>
        <v>6.6</v>
      </c>
      <c r="H306" s="197">
        <f>IFERROR(__xludf.DUMMYFUNCTION("""COMPUTED_VALUE"""),45743.0)</f>
        <v>45743</v>
      </c>
      <c r="I306" s="199">
        <f>IFERROR(__xludf.DUMMYFUNCTION("""COMPUTED_VALUE"""),0.0)</f>
        <v>0</v>
      </c>
      <c r="J306" s="200">
        <f>IFERROR(__xludf.DUMMYFUNCTION("""COMPUTED_VALUE"""),75.0)</f>
        <v>75</v>
      </c>
      <c r="K306" s="200">
        <f>IFERROR(__xludf.DUMMYFUNCTION("""COMPUTED_VALUE"""),9.0)</f>
        <v>9</v>
      </c>
      <c r="L306" s="201" t="str">
        <f>IFERROR(__xludf.DUMMYFUNCTION("""COMPUTED_VALUE"""),"Action-Adventure")</f>
        <v>Action-Adventure</v>
      </c>
      <c r="M306" s="201"/>
    </row>
    <row r="307">
      <c r="A307" s="190" t="str">
        <f>IFERROR(__xludf.DUMMYFUNCTION("""COMPUTED_VALUE"""),"Blizzard Arcade Collection")</f>
        <v>Blizzard Arcade Collection</v>
      </c>
      <c r="B307" s="195" t="str">
        <f>IFERROR(__xludf.DUMMYFUNCTION("""COMPUTED_VALUE"""),"Xbox / PC")</f>
        <v>Xbox / PC</v>
      </c>
      <c r="C307" s="196" t="str">
        <f>IFERROR(__xludf.DUMMYFUNCTION("""COMPUTED_VALUE"""),"Yes")</f>
        <v>Yes</v>
      </c>
      <c r="D307" s="196" t="str">
        <f>IFERROR(__xludf.DUMMYFUNCTION("""COMPUTED_VALUE"""),"Active")</f>
        <v>Active</v>
      </c>
      <c r="E307" s="197">
        <f>IFERROR(__xludf.DUMMYFUNCTION("""COMPUTED_VALUE"""),45741.0)</f>
        <v>45741</v>
      </c>
      <c r="F307" s="198"/>
      <c r="G307" s="199">
        <f>IFERROR(__xludf.DUMMYFUNCTION("""COMPUTED_VALUE"""),6.666666666666667)</f>
        <v>6.666666667</v>
      </c>
      <c r="H307" s="197">
        <f>IFERROR(__xludf.DUMMYFUNCTION("""COMPUTED_VALUE"""),44246.0)</f>
        <v>44246</v>
      </c>
      <c r="I307" s="199">
        <f>IFERROR(__xludf.DUMMYFUNCTION("""COMPUTED_VALUE"""),4.1)</f>
        <v>4.1</v>
      </c>
      <c r="J307" s="200">
        <f>IFERROR(__xludf.DUMMYFUNCTION("""COMPUTED_VALUE"""),75.0)</f>
        <v>75</v>
      </c>
      <c r="K307" s="200">
        <f>IFERROR(__xludf.DUMMYFUNCTION("""COMPUTED_VALUE"""),5.0)</f>
        <v>5</v>
      </c>
      <c r="L307" s="201" t="str">
        <f>IFERROR(__xludf.DUMMYFUNCTION("""COMPUTED_VALUE"""),"Compilation")</f>
        <v>Compilation</v>
      </c>
      <c r="M307" s="201"/>
    </row>
    <row r="308">
      <c r="A308" s="190" t="str">
        <f>IFERROR(__xludf.DUMMYFUNCTION("""COMPUTED_VALUE"""),"Sniper Elite: Resistance")</f>
        <v>Sniper Elite: Resistance</v>
      </c>
      <c r="B308" s="195" t="str">
        <f>IFERROR(__xludf.DUMMYFUNCTION("""COMPUTED_VALUE"""),"Xbox / PC")</f>
        <v>Xbox / PC</v>
      </c>
      <c r="C308" s="196" t="str">
        <f>IFERROR(__xludf.DUMMYFUNCTION("""COMPUTED_VALUE"""),"Yes")</f>
        <v>Yes</v>
      </c>
      <c r="D308" s="196" t="str">
        <f>IFERROR(__xludf.DUMMYFUNCTION("""COMPUTED_VALUE"""),"Active")</f>
        <v>Active</v>
      </c>
      <c r="E308" s="197">
        <f>IFERROR(__xludf.DUMMYFUNCTION("""COMPUTED_VALUE"""),45687.0)</f>
        <v>45687</v>
      </c>
      <c r="F308" s="198"/>
      <c r="G308" s="199">
        <f>IFERROR(__xludf.DUMMYFUNCTION("""COMPUTED_VALUE"""),8.5)</f>
        <v>8.5</v>
      </c>
      <c r="H308" s="197">
        <f>IFERROR(__xludf.DUMMYFUNCTION("""COMPUTED_VALUE"""),45687.0)</f>
        <v>45687</v>
      </c>
      <c r="I308" s="199">
        <f>IFERROR(__xludf.DUMMYFUNCTION("""COMPUTED_VALUE"""),0.0)</f>
        <v>0</v>
      </c>
      <c r="J308" s="200">
        <f>IFERROR(__xludf.DUMMYFUNCTION("""COMPUTED_VALUE"""),75.0)</f>
        <v>75</v>
      </c>
      <c r="K308" s="200">
        <f>IFERROR(__xludf.DUMMYFUNCTION("""COMPUTED_VALUE"""),9.0)</f>
        <v>9</v>
      </c>
      <c r="L308" s="201" t="str">
        <f>IFERROR(__xludf.DUMMYFUNCTION("""COMPUTED_VALUE"""),"Shooter")</f>
        <v>Shooter</v>
      </c>
      <c r="M308" s="201"/>
    </row>
    <row r="309">
      <c r="A309" s="190" t="str">
        <f>IFERROR(__xludf.DUMMYFUNCTION("""COMPUTED_VALUE"""),"Aliens: Dark Descent")</f>
        <v>Aliens: Dark Descent</v>
      </c>
      <c r="B309" s="195" t="str">
        <f>IFERROR(__xludf.DUMMYFUNCTION("""COMPUTED_VALUE"""),"Xbox / PC")</f>
        <v>Xbox / PC</v>
      </c>
      <c r="C309" s="196" t="str">
        <f>IFERROR(__xludf.DUMMYFUNCTION("""COMPUTED_VALUE"""),"Yes")</f>
        <v>Yes</v>
      </c>
      <c r="D309" s="196" t="str">
        <f>IFERROR(__xludf.DUMMYFUNCTION("""COMPUTED_VALUE"""),"Active")</f>
        <v>Active</v>
      </c>
      <c r="E309" s="197">
        <f>IFERROR(__xludf.DUMMYFUNCTION("""COMPUTED_VALUE"""),45623.0)</f>
        <v>45623</v>
      </c>
      <c r="F309" s="198"/>
      <c r="G309" s="199">
        <f>IFERROR(__xludf.DUMMYFUNCTION("""COMPUTED_VALUE"""),10.6)</f>
        <v>10.6</v>
      </c>
      <c r="H309" s="197">
        <f>IFERROR(__xludf.DUMMYFUNCTION("""COMPUTED_VALUE"""),45097.0)</f>
        <v>45097</v>
      </c>
      <c r="I309" s="199">
        <f>IFERROR(__xludf.DUMMYFUNCTION("""COMPUTED_VALUE"""),1.4361111111111111)</f>
        <v>1.436111111</v>
      </c>
      <c r="J309" s="200">
        <f>IFERROR(__xludf.DUMMYFUNCTION("""COMPUTED_VALUE"""),75.0)</f>
        <v>75</v>
      </c>
      <c r="K309" s="200">
        <f>IFERROR(__xludf.DUMMYFUNCTION("""COMPUTED_VALUE"""),24.0)</f>
        <v>24</v>
      </c>
      <c r="L309" s="201" t="str">
        <f>IFERROR(__xludf.DUMMYFUNCTION("""COMPUTED_VALUE"""),"Strategy")</f>
        <v>Strategy</v>
      </c>
      <c r="M309" s="201"/>
    </row>
    <row r="310">
      <c r="A310" s="190" t="str">
        <f>IFERROR(__xludf.DUMMYFUNCTION("""COMPUTED_VALUE"""),"South Park: The Fractured but Whole")</f>
        <v>South Park: The Fractured but Whole</v>
      </c>
      <c r="B310" s="195" t="str">
        <f>IFERROR(__xludf.DUMMYFUNCTION("""COMPUTED_VALUE"""),"Xbox / PC")</f>
        <v>Xbox / PC</v>
      </c>
      <c r="C310" s="196" t="str">
        <f>IFERROR(__xludf.DUMMYFUNCTION("""COMPUTED_VALUE"""),"Yes")</f>
        <v>Yes</v>
      </c>
      <c r="D310" s="196" t="str">
        <f>IFERROR(__xludf.DUMMYFUNCTION("""COMPUTED_VALUE"""),"Active")</f>
        <v>Active</v>
      </c>
      <c r="E310" s="197">
        <f>IFERROR(__xludf.DUMMYFUNCTION("""COMPUTED_VALUE"""),45581.0)</f>
        <v>45581</v>
      </c>
      <c r="F310" s="198"/>
      <c r="G310" s="199">
        <f>IFERROR(__xludf.DUMMYFUNCTION("""COMPUTED_VALUE"""),11.966666666666667)</f>
        <v>11.96666667</v>
      </c>
      <c r="H310" s="197">
        <f>IFERROR(__xludf.DUMMYFUNCTION("""COMPUTED_VALUE"""),43312.0)</f>
        <v>43312</v>
      </c>
      <c r="I310" s="199">
        <f>IFERROR(__xludf.DUMMYFUNCTION("""COMPUTED_VALUE"""),6.211111111111111)</f>
        <v>6.211111111</v>
      </c>
      <c r="J310" s="200">
        <f>IFERROR(__xludf.DUMMYFUNCTION("""COMPUTED_VALUE"""),75.0)</f>
        <v>75</v>
      </c>
      <c r="K310" s="200">
        <f>IFERROR(__xludf.DUMMYFUNCTION("""COMPUTED_VALUE"""),18.0)</f>
        <v>18</v>
      </c>
      <c r="L310" s="201" t="str">
        <f>IFERROR(__xludf.DUMMYFUNCTION("""COMPUTED_VALUE"""),"RPG")</f>
        <v>RPG</v>
      </c>
      <c r="M310" s="201"/>
    </row>
    <row r="311">
      <c r="A311" s="190" t="str">
        <f>IFERROR(__xludf.DUMMYFUNCTION("""COMPUTED_VALUE"""),"Creatures of Ava")</f>
        <v>Creatures of Ava</v>
      </c>
      <c r="B311" s="195" t="str">
        <f>IFERROR(__xludf.DUMMYFUNCTION("""COMPUTED_VALUE"""),"Xbox / PC")</f>
        <v>Xbox / PC</v>
      </c>
      <c r="C311" s="196" t="str">
        <f>IFERROR(__xludf.DUMMYFUNCTION("""COMPUTED_VALUE"""),"Yes")</f>
        <v>Yes</v>
      </c>
      <c r="D311" s="196" t="str">
        <f>IFERROR(__xludf.DUMMYFUNCTION("""COMPUTED_VALUE"""),"Active")</f>
        <v>Active</v>
      </c>
      <c r="E311" s="197">
        <f>IFERROR(__xludf.DUMMYFUNCTION("""COMPUTED_VALUE"""),45511.0)</f>
        <v>45511</v>
      </c>
      <c r="F311" s="198"/>
      <c r="G311" s="199">
        <f>IFERROR(__xludf.DUMMYFUNCTION("""COMPUTED_VALUE"""),14.266666666666666)</f>
        <v>14.26666667</v>
      </c>
      <c r="H311" s="197">
        <f>IFERROR(__xludf.DUMMYFUNCTION("""COMPUTED_VALUE"""),45511.0)</f>
        <v>45511</v>
      </c>
      <c r="I311" s="199">
        <f>IFERROR(__xludf.DUMMYFUNCTION("""COMPUTED_VALUE"""),0.0)</f>
        <v>0</v>
      </c>
      <c r="J311" s="200">
        <f>IFERROR(__xludf.DUMMYFUNCTION("""COMPUTED_VALUE"""),75.0)</f>
        <v>75</v>
      </c>
      <c r="K311" s="200">
        <f>IFERROR(__xludf.DUMMYFUNCTION("""COMPUTED_VALUE"""),9.0)</f>
        <v>9</v>
      </c>
      <c r="L311" s="201" t="str">
        <f>IFERROR(__xludf.DUMMYFUNCTION("""COMPUTED_VALUE"""),"Action-Adventure")</f>
        <v>Action-Adventure</v>
      </c>
      <c r="M311" s="201" t="str">
        <f>IFERROR(__xludf.DUMMYFUNCTION("""COMPUTED_VALUE"""),"Exclusive")</f>
        <v>Exclusive</v>
      </c>
    </row>
    <row r="312">
      <c r="A312" s="190" t="str">
        <f>IFERROR(__xludf.DUMMYFUNCTION("""COMPUTED_VALUE"""),"EA Sports FC 24")</f>
        <v>EA Sports FC 24</v>
      </c>
      <c r="B312" s="195" t="str">
        <f>IFERROR(__xludf.DUMMYFUNCTION("""COMPUTED_VALUE"""),"Xbox / PC")</f>
        <v>Xbox / PC</v>
      </c>
      <c r="C312" s="196" t="str">
        <f>IFERROR(__xludf.DUMMYFUNCTION("""COMPUTED_VALUE"""),"Yes")</f>
        <v>Yes</v>
      </c>
      <c r="D312" s="196" t="str">
        <f>IFERROR(__xludf.DUMMYFUNCTION("""COMPUTED_VALUE"""),"Active")</f>
        <v>Active</v>
      </c>
      <c r="E312" s="197">
        <f>IFERROR(__xludf.DUMMYFUNCTION("""COMPUTED_VALUE"""),45468.0)</f>
        <v>45468</v>
      </c>
      <c r="F312" s="198"/>
      <c r="G312" s="199">
        <f>IFERROR(__xludf.DUMMYFUNCTION("""COMPUTED_VALUE"""),15.666666666666668)</f>
        <v>15.66666667</v>
      </c>
      <c r="H312" s="197">
        <f>IFERROR(__xludf.DUMMYFUNCTION("""COMPUTED_VALUE"""),45198.0)</f>
        <v>45198</v>
      </c>
      <c r="I312" s="199">
        <f>IFERROR(__xludf.DUMMYFUNCTION("""COMPUTED_VALUE"""),0.7388888888888889)</f>
        <v>0.7388888889</v>
      </c>
      <c r="J312" s="200">
        <f>IFERROR(__xludf.DUMMYFUNCTION("""COMPUTED_VALUE"""),75.0)</f>
        <v>75</v>
      </c>
      <c r="K312" s="200">
        <f>IFERROR(__xludf.DUMMYFUNCTION("""COMPUTED_VALUE"""),34.0)</f>
        <v>34</v>
      </c>
      <c r="L312" s="201" t="str">
        <f>IFERROR(__xludf.DUMMYFUNCTION("""COMPUTED_VALUE"""),"Sports")</f>
        <v>Sports</v>
      </c>
      <c r="M312" s="201"/>
    </row>
    <row r="313">
      <c r="A313" s="190" t="str">
        <f>IFERROR(__xludf.DUMMYFUNCTION("""COMPUTED_VALUE"""),"Lords of the Fallen")</f>
        <v>Lords of the Fallen</v>
      </c>
      <c r="B313" s="195" t="str">
        <f>IFERROR(__xludf.DUMMYFUNCTION("""COMPUTED_VALUE"""),"Xbox / PC")</f>
        <v>Xbox / PC</v>
      </c>
      <c r="C313" s="196" t="str">
        <f>IFERROR(__xludf.DUMMYFUNCTION("""COMPUTED_VALUE"""),"Yes")</f>
        <v>Yes</v>
      </c>
      <c r="D313" s="196" t="str">
        <f>IFERROR(__xludf.DUMMYFUNCTION("""COMPUTED_VALUE"""),"Active")</f>
        <v>Active</v>
      </c>
      <c r="E313" s="197">
        <f>IFERROR(__xludf.DUMMYFUNCTION("""COMPUTED_VALUE"""),45442.0)</f>
        <v>45442</v>
      </c>
      <c r="F313" s="198"/>
      <c r="G313" s="199">
        <f>IFERROR(__xludf.DUMMYFUNCTION("""COMPUTED_VALUE"""),16.5)</f>
        <v>16.5</v>
      </c>
      <c r="H313" s="197">
        <f>IFERROR(__xludf.DUMMYFUNCTION("""COMPUTED_VALUE"""),45212.0)</f>
        <v>45212</v>
      </c>
      <c r="I313" s="199">
        <f>IFERROR(__xludf.DUMMYFUNCTION("""COMPUTED_VALUE"""),0.6305555555555555)</f>
        <v>0.6305555556</v>
      </c>
      <c r="J313" s="200">
        <f>IFERROR(__xludf.DUMMYFUNCTION("""COMPUTED_VALUE"""),75.0)</f>
        <v>75</v>
      </c>
      <c r="K313" s="200">
        <f>IFERROR(__xludf.DUMMYFUNCTION("""COMPUTED_VALUE"""),15.0)</f>
        <v>15</v>
      </c>
      <c r="L313" s="201" t="str">
        <f>IFERROR(__xludf.DUMMYFUNCTION("""COMPUTED_VALUE"""),"RPG")</f>
        <v>RPG</v>
      </c>
      <c r="M313" s="201" t="str">
        <f>IFERROR(__xludf.DUMMYFUNCTION("""COMPUTED_VALUE"""),"Exclusive")</f>
        <v>Exclusive</v>
      </c>
    </row>
    <row r="314">
      <c r="A314" s="190" t="str">
        <f>IFERROR(__xludf.DUMMYFUNCTION("""COMPUTED_VALUE"""),"Mount &amp; Blade II: Bannerlord")</f>
        <v>Mount &amp; Blade II: Bannerlord</v>
      </c>
      <c r="B314" s="195" t="str">
        <f>IFERROR(__xludf.DUMMYFUNCTION("""COMPUTED_VALUE"""),"Xbox / PC")</f>
        <v>Xbox / PC</v>
      </c>
      <c r="C314" s="196" t="str">
        <f>IFERROR(__xludf.DUMMYFUNCTION("""COMPUTED_VALUE"""),"M+KB")</f>
        <v>M+KB</v>
      </c>
      <c r="D314" s="196" t="str">
        <f>IFERROR(__xludf.DUMMYFUNCTION("""COMPUTED_VALUE"""),"Active")</f>
        <v>Active</v>
      </c>
      <c r="E314" s="197">
        <f>IFERROR(__xludf.DUMMYFUNCTION("""COMPUTED_VALUE"""),44971.0)</f>
        <v>44971</v>
      </c>
      <c r="F314" s="198"/>
      <c r="G314" s="199">
        <f>IFERROR(__xludf.DUMMYFUNCTION("""COMPUTED_VALUE"""),32.03333333333333)</f>
        <v>32.03333333</v>
      </c>
      <c r="H314" s="197">
        <f>IFERROR(__xludf.DUMMYFUNCTION("""COMPUTED_VALUE"""),43920.0)</f>
        <v>43920</v>
      </c>
      <c r="I314" s="199">
        <f>IFERROR(__xludf.DUMMYFUNCTION("""COMPUTED_VALUE"""),2.8722222222222222)</f>
        <v>2.872222222</v>
      </c>
      <c r="J314" s="200">
        <f>IFERROR(__xludf.DUMMYFUNCTION("""COMPUTED_VALUE"""),75.0)</f>
        <v>75</v>
      </c>
      <c r="K314" s="200">
        <f>IFERROR(__xludf.DUMMYFUNCTION("""COMPUTED_VALUE"""),39.0)</f>
        <v>39</v>
      </c>
      <c r="L314" s="201" t="str">
        <f>IFERROR(__xludf.DUMMYFUNCTION("""COMPUTED_VALUE"""),"Action / Adventure / RPG / Simulation")</f>
        <v>Action / Adventure / RPG / Simulation</v>
      </c>
      <c r="M314" s="201"/>
    </row>
    <row r="315">
      <c r="A315" s="190" t="str">
        <f>IFERROR(__xludf.DUMMYFUNCTION("""COMPUTED_VALUE"""),"Disney Dreamlight Valley: Founder's Edition")</f>
        <v>Disney Dreamlight Valley: Founder's Edition</v>
      </c>
      <c r="B315" s="195" t="str">
        <f>IFERROR(__xludf.DUMMYFUNCTION("""COMPUTED_VALUE"""),"Xbox / PC")</f>
        <v>Xbox / PC</v>
      </c>
      <c r="C315" s="196" t="str">
        <f>IFERROR(__xludf.DUMMYFUNCTION("""COMPUTED_VALUE"""),"Touch Controls")</f>
        <v>Touch Controls</v>
      </c>
      <c r="D315" s="196" t="str">
        <f>IFERROR(__xludf.DUMMYFUNCTION("""COMPUTED_VALUE"""),"Active")</f>
        <v>Active</v>
      </c>
      <c r="E315" s="197">
        <f>IFERROR(__xludf.DUMMYFUNCTION("""COMPUTED_VALUE"""),44810.0)</f>
        <v>44810</v>
      </c>
      <c r="F315" s="198"/>
      <c r="G315" s="199">
        <f>IFERROR(__xludf.DUMMYFUNCTION("""COMPUTED_VALUE"""),37.3)</f>
        <v>37.3</v>
      </c>
      <c r="H315" s="197">
        <f>IFERROR(__xludf.DUMMYFUNCTION("""COMPUTED_VALUE"""),44810.0)</f>
        <v>44810</v>
      </c>
      <c r="I315" s="199">
        <f>IFERROR(__xludf.DUMMYFUNCTION("""COMPUTED_VALUE"""),0.0)</f>
        <v>0</v>
      </c>
      <c r="J315" s="200">
        <f>IFERROR(__xludf.DUMMYFUNCTION("""COMPUTED_VALUE"""),75.0)</f>
        <v>75</v>
      </c>
      <c r="K315" s="200">
        <f>IFERROR(__xludf.DUMMYFUNCTION("""COMPUTED_VALUE"""),15.5)</f>
        <v>15.5</v>
      </c>
      <c r="L315" s="201" t="str">
        <f>IFERROR(__xludf.DUMMYFUNCTION("""COMPUTED_VALUE"""),"Simulation")</f>
        <v>Simulation</v>
      </c>
      <c r="M315" s="201"/>
    </row>
    <row r="316">
      <c r="A316" s="190" t="str">
        <f>IFERROR(__xludf.DUMMYFUNCTION("""COMPUTED_VALUE"""),"GRID: Legends")</f>
        <v>GRID: Legends</v>
      </c>
      <c r="B316" s="195" t="str">
        <f>IFERROR(__xludf.DUMMYFUNCTION("""COMPUTED_VALUE"""),"Xbox / PC")</f>
        <v>Xbox / PC</v>
      </c>
      <c r="C316" s="196" t="str">
        <f>IFERROR(__xludf.DUMMYFUNCTION("""COMPUTED_VALUE"""),"Yes")</f>
        <v>Yes</v>
      </c>
      <c r="D316" s="196" t="str">
        <f>IFERROR(__xludf.DUMMYFUNCTION("""COMPUTED_VALUE"""),"Active")</f>
        <v>Active</v>
      </c>
      <c r="E316" s="197">
        <f>IFERROR(__xludf.DUMMYFUNCTION("""COMPUTED_VALUE"""),44805.0)</f>
        <v>44805</v>
      </c>
      <c r="F316" s="198"/>
      <c r="G316" s="199">
        <f>IFERROR(__xludf.DUMMYFUNCTION("""COMPUTED_VALUE"""),37.46666666666667)</f>
        <v>37.46666667</v>
      </c>
      <c r="H316" s="197">
        <f>IFERROR(__xludf.DUMMYFUNCTION("""COMPUTED_VALUE"""),44617.0)</f>
        <v>44617</v>
      </c>
      <c r="I316" s="199">
        <f>IFERROR(__xludf.DUMMYFUNCTION("""COMPUTED_VALUE"""),0.5166666666666667)</f>
        <v>0.5166666667</v>
      </c>
      <c r="J316" s="200">
        <f>IFERROR(__xludf.DUMMYFUNCTION("""COMPUTED_VALUE"""),75.0)</f>
        <v>75</v>
      </c>
      <c r="K316" s="200">
        <f>IFERROR(__xludf.DUMMYFUNCTION("""COMPUTED_VALUE"""),6.0)</f>
        <v>6</v>
      </c>
      <c r="L316" s="201" t="str">
        <f>IFERROR(__xludf.DUMMYFUNCTION("""COMPUTED_VALUE"""),"Driving/Racing")</f>
        <v>Driving/Racing</v>
      </c>
      <c r="M316" s="201"/>
    </row>
    <row r="317">
      <c r="A317" s="190" t="str">
        <f>IFERROR(__xludf.DUMMYFUNCTION("""COMPUTED_VALUE"""),"Monopoly (2024)")</f>
        <v>Monopoly (2024)</v>
      </c>
      <c r="B317" s="195" t="str">
        <f>IFERROR(__xludf.DUMMYFUNCTION("""COMPUTED_VALUE"""),"Xbox / PC")</f>
        <v>Xbox / PC</v>
      </c>
      <c r="C317" s="196" t="str">
        <f>IFERROR(__xludf.DUMMYFUNCTION("""COMPUTED_VALUE"""),"Yes")</f>
        <v>Yes</v>
      </c>
      <c r="D317" s="196" t="str">
        <f>IFERROR(__xludf.DUMMYFUNCTION("""COMPUTED_VALUE"""),"Active")</f>
        <v>Active</v>
      </c>
      <c r="E317" s="197">
        <f>IFERROR(__xludf.DUMMYFUNCTION("""COMPUTED_VALUE"""),45931.0)</f>
        <v>45931</v>
      </c>
      <c r="F317" s="198"/>
      <c r="G317" s="199">
        <f>IFERROR(__xludf.DUMMYFUNCTION("""COMPUTED_VALUE"""),0.4666666666666667)</f>
        <v>0.4666666667</v>
      </c>
      <c r="H317" s="197">
        <f>IFERROR(__xludf.DUMMYFUNCTION("""COMPUTED_VALUE"""),45561.0)</f>
        <v>45561</v>
      </c>
      <c r="I317" s="199">
        <f>IFERROR(__xludf.DUMMYFUNCTION("""COMPUTED_VALUE"""),1.0138888888888888)</f>
        <v>1.013888889</v>
      </c>
      <c r="J317" s="200">
        <f>IFERROR(__xludf.DUMMYFUNCTION("""COMPUTED_VALUE"""),74.0)</f>
        <v>74</v>
      </c>
      <c r="K317" s="200">
        <f>IFERROR(__xludf.DUMMYFUNCTION("""COMPUTED_VALUE"""),14.0)</f>
        <v>14</v>
      </c>
      <c r="L317" s="201" t="str">
        <f>IFERROR(__xludf.DUMMYFUNCTION("""COMPUTED_VALUE"""),"Board")</f>
        <v>Board</v>
      </c>
      <c r="M317" s="201"/>
    </row>
    <row r="318">
      <c r="A318" s="190" t="str">
        <f>IFERROR(__xludf.DUMMYFUNCTION("""COMPUTED_VALUE"""),"Starlink: Battle for Atlas")</f>
        <v>Starlink: Battle for Atlas</v>
      </c>
      <c r="B318" s="195" t="str">
        <f>IFERROR(__xludf.DUMMYFUNCTION("""COMPUTED_VALUE"""),"Xbox / PC")</f>
        <v>Xbox / PC</v>
      </c>
      <c r="C318" s="196" t="str">
        <f>IFERROR(__xludf.DUMMYFUNCTION("""COMPUTED_VALUE"""),"Yes")</f>
        <v>Yes</v>
      </c>
      <c r="D318" s="196" t="str">
        <f>IFERROR(__xludf.DUMMYFUNCTION("""COMPUTED_VALUE"""),"Active")</f>
        <v>Active</v>
      </c>
      <c r="E318" s="197">
        <f>IFERROR(__xludf.DUMMYFUNCTION("""COMPUTED_VALUE"""),45931.0)</f>
        <v>45931</v>
      </c>
      <c r="F318" s="198"/>
      <c r="G318" s="199">
        <f>IFERROR(__xludf.DUMMYFUNCTION("""COMPUTED_VALUE"""),0.4666666666666667)</f>
        <v>0.4666666667</v>
      </c>
      <c r="H318" s="197">
        <f>IFERROR(__xludf.DUMMYFUNCTION("""COMPUTED_VALUE"""),43389.0)</f>
        <v>43389</v>
      </c>
      <c r="I318" s="199">
        <f>IFERROR(__xludf.DUMMYFUNCTION("""COMPUTED_VALUE"""),6.958333333333333)</f>
        <v>6.958333333</v>
      </c>
      <c r="J318" s="200">
        <f>IFERROR(__xludf.DUMMYFUNCTION("""COMPUTED_VALUE"""),74.0)</f>
        <v>74</v>
      </c>
      <c r="K318" s="200">
        <f>IFERROR(__xludf.DUMMYFUNCTION("""COMPUTED_VALUE"""),15.0)</f>
        <v>15</v>
      </c>
      <c r="L318" s="201" t="str">
        <f>IFERROR(__xludf.DUMMYFUNCTION("""COMPUTED_VALUE"""),"Simulation")</f>
        <v>Simulation</v>
      </c>
      <c r="M318" s="201"/>
    </row>
    <row r="319">
      <c r="A319" s="190" t="str">
        <f>IFERROR(__xludf.DUMMYFUNCTION("""COMPUTED_VALUE"""),"WUCHANG: Fallen Feathers")</f>
        <v>WUCHANG: Fallen Feathers</v>
      </c>
      <c r="B319" s="195" t="str">
        <f>IFERROR(__xludf.DUMMYFUNCTION("""COMPUTED_VALUE"""),"Xbox / PC")</f>
        <v>Xbox / PC</v>
      </c>
      <c r="C319" s="196" t="str">
        <f>IFERROR(__xludf.DUMMYFUNCTION("""COMPUTED_VALUE"""),"Yes")</f>
        <v>Yes</v>
      </c>
      <c r="D319" s="196" t="str">
        <f>IFERROR(__xludf.DUMMYFUNCTION("""COMPUTED_VALUE"""),"Active")</f>
        <v>Active</v>
      </c>
      <c r="E319" s="197">
        <f>IFERROR(__xludf.DUMMYFUNCTION("""COMPUTED_VALUE"""),45862.0)</f>
        <v>45862</v>
      </c>
      <c r="F319" s="198"/>
      <c r="G319" s="199">
        <f>IFERROR(__xludf.DUMMYFUNCTION("""COMPUTED_VALUE"""),2.7)</f>
        <v>2.7</v>
      </c>
      <c r="H319" s="197">
        <f>IFERROR(__xludf.DUMMYFUNCTION("""COMPUTED_VALUE"""),45862.0)</f>
        <v>45862</v>
      </c>
      <c r="I319" s="199">
        <f>IFERROR(__xludf.DUMMYFUNCTION("""COMPUTED_VALUE"""),0.0)</f>
        <v>0</v>
      </c>
      <c r="J319" s="200">
        <f>IFERROR(__xludf.DUMMYFUNCTION("""COMPUTED_VALUE"""),74.0)</f>
        <v>74</v>
      </c>
      <c r="K319" s="200">
        <f>IFERROR(__xludf.DUMMYFUNCTION("""COMPUTED_VALUE"""),32.0)</f>
        <v>32</v>
      </c>
      <c r="L319" s="201" t="str">
        <f>IFERROR(__xludf.DUMMYFUNCTION("""COMPUTED_VALUE"""),"RPG")</f>
        <v>RPG</v>
      </c>
      <c r="M319" s="201" t="str">
        <f>IFERROR(__xludf.DUMMYFUNCTION("""COMPUTED_VALUE"""),"Exclusive")</f>
        <v>Exclusive</v>
      </c>
    </row>
    <row r="320">
      <c r="A320" s="190" t="str">
        <f>IFERROR(__xludf.DUMMYFUNCTION("""COMPUTED_VALUE"""),"Tempopo")</f>
        <v>Tempopo</v>
      </c>
      <c r="B320" s="195" t="str">
        <f>IFERROR(__xludf.DUMMYFUNCTION("""COMPUTED_VALUE"""),"Xbox / PC")</f>
        <v>Xbox / PC</v>
      </c>
      <c r="C320" s="196" t="str">
        <f>IFERROR(__xludf.DUMMYFUNCTION("""COMPUTED_VALUE"""),"Yes")</f>
        <v>Yes</v>
      </c>
      <c r="D320" s="196" t="str">
        <f>IFERROR(__xludf.DUMMYFUNCTION("""COMPUTED_VALUE"""),"Active")</f>
        <v>Active</v>
      </c>
      <c r="E320" s="197">
        <f>IFERROR(__xludf.DUMMYFUNCTION("""COMPUTED_VALUE"""),45764.0)</f>
        <v>45764</v>
      </c>
      <c r="F320" s="198"/>
      <c r="G320" s="199">
        <f>IFERROR(__xludf.DUMMYFUNCTION("""COMPUTED_VALUE"""),5.933333333333334)</f>
        <v>5.933333333</v>
      </c>
      <c r="H320" s="197">
        <f>IFERROR(__xludf.DUMMYFUNCTION("""COMPUTED_VALUE"""),45764.0)</f>
        <v>45764</v>
      </c>
      <c r="I320" s="199">
        <f>IFERROR(__xludf.DUMMYFUNCTION("""COMPUTED_VALUE"""),0.0)</f>
        <v>0</v>
      </c>
      <c r="J320" s="200">
        <f>IFERROR(__xludf.DUMMYFUNCTION("""COMPUTED_VALUE"""),74.0)</f>
        <v>74</v>
      </c>
      <c r="K320" s="200">
        <f>IFERROR(__xludf.DUMMYFUNCTION("""COMPUTED_VALUE"""),5.0)</f>
        <v>5</v>
      </c>
      <c r="L320" s="201" t="str">
        <f>IFERROR(__xludf.DUMMYFUNCTION("""COMPUTED_VALUE"""),"Acton Puzzle")</f>
        <v>Acton Puzzle</v>
      </c>
      <c r="M320" s="201"/>
    </row>
    <row r="321">
      <c r="A321" s="190" t="str">
        <f>IFERROR(__xludf.DUMMYFUNCTION("""COMPUTED_VALUE"""),"Star Trucker")</f>
        <v>Star Trucker</v>
      </c>
      <c r="B321" s="195" t="str">
        <f>IFERROR(__xludf.DUMMYFUNCTION("""COMPUTED_VALUE"""),"Xbox / PC")</f>
        <v>Xbox / PC</v>
      </c>
      <c r="C321" s="196" t="str">
        <f>IFERROR(__xludf.DUMMYFUNCTION("""COMPUTED_VALUE"""),"Yes")</f>
        <v>Yes</v>
      </c>
      <c r="D321" s="196" t="str">
        <f>IFERROR(__xludf.DUMMYFUNCTION("""COMPUTED_VALUE"""),"Active")</f>
        <v>Active</v>
      </c>
      <c r="E321" s="197">
        <f>IFERROR(__xludf.DUMMYFUNCTION("""COMPUTED_VALUE"""),45538.0)</f>
        <v>45538</v>
      </c>
      <c r="F321" s="198"/>
      <c r="G321" s="199">
        <f>IFERROR(__xludf.DUMMYFUNCTION("""COMPUTED_VALUE"""),13.4)</f>
        <v>13.4</v>
      </c>
      <c r="H321" s="197">
        <f>IFERROR(__xludf.DUMMYFUNCTION("""COMPUTED_VALUE"""),45538.0)</f>
        <v>45538</v>
      </c>
      <c r="I321" s="199">
        <f>IFERROR(__xludf.DUMMYFUNCTION("""COMPUTED_VALUE"""),0.0)</f>
        <v>0</v>
      </c>
      <c r="J321" s="200">
        <f>IFERROR(__xludf.DUMMYFUNCTION("""COMPUTED_VALUE"""),74.0)</f>
        <v>74</v>
      </c>
      <c r="K321" s="200">
        <f>IFERROR(__xludf.DUMMYFUNCTION("""COMPUTED_VALUE"""),25.0)</f>
        <v>25</v>
      </c>
      <c r="L321" s="201" t="str">
        <f>IFERROR(__xludf.DUMMYFUNCTION("""COMPUTED_VALUE"""),"Simulation")</f>
        <v>Simulation</v>
      </c>
      <c r="M321" s="201"/>
    </row>
    <row r="322">
      <c r="A322" s="190" t="str">
        <f>IFERROR(__xludf.DUMMYFUNCTION("""COMPUTED_VALUE"""),"Still Wakes the Deep")</f>
        <v>Still Wakes the Deep</v>
      </c>
      <c r="B322" s="195" t="str">
        <f>IFERROR(__xludf.DUMMYFUNCTION("""COMPUTED_VALUE"""),"Xbox / PC")</f>
        <v>Xbox / PC</v>
      </c>
      <c r="C322" s="196" t="str">
        <f>IFERROR(__xludf.DUMMYFUNCTION("""COMPUTED_VALUE"""),"Yes")</f>
        <v>Yes</v>
      </c>
      <c r="D322" s="196" t="str">
        <f>IFERROR(__xludf.DUMMYFUNCTION("""COMPUTED_VALUE"""),"Active")</f>
        <v>Active</v>
      </c>
      <c r="E322" s="197">
        <f>IFERROR(__xludf.DUMMYFUNCTION("""COMPUTED_VALUE"""),45461.0)</f>
        <v>45461</v>
      </c>
      <c r="F322" s="198"/>
      <c r="G322" s="199">
        <f>IFERROR(__xludf.DUMMYFUNCTION("""COMPUTED_VALUE"""),15.899999999999999)</f>
        <v>15.9</v>
      </c>
      <c r="H322" s="197">
        <f>IFERROR(__xludf.DUMMYFUNCTION("""COMPUTED_VALUE"""),45461.0)</f>
        <v>45461</v>
      </c>
      <c r="I322" s="199">
        <f>IFERROR(__xludf.DUMMYFUNCTION("""COMPUTED_VALUE"""),0.0)</f>
        <v>0</v>
      </c>
      <c r="J322" s="200">
        <f>IFERROR(__xludf.DUMMYFUNCTION("""COMPUTED_VALUE"""),74.0)</f>
        <v>74</v>
      </c>
      <c r="K322" s="200">
        <f>IFERROR(__xludf.DUMMYFUNCTION("""COMPUTED_VALUE"""),5.0)</f>
        <v>5</v>
      </c>
      <c r="L322" s="201" t="str">
        <f>IFERROR(__xludf.DUMMYFUNCTION("""COMPUTED_VALUE"""),"Survival")</f>
        <v>Survival</v>
      </c>
      <c r="M322" s="201" t="str">
        <f>IFERROR(__xludf.DUMMYFUNCTION("""COMPUTED_VALUE"""),"Exclusive")</f>
        <v>Exclusive</v>
      </c>
    </row>
    <row r="323">
      <c r="A323" s="190" t="str">
        <f>IFERROR(__xludf.DUMMYFUNCTION("""COMPUTED_VALUE"""),"SteamWorld Build")</f>
        <v>SteamWorld Build</v>
      </c>
      <c r="B323" s="195" t="str">
        <f>IFERROR(__xludf.DUMMYFUNCTION("""COMPUTED_VALUE"""),"Xbox / PC")</f>
        <v>Xbox / PC</v>
      </c>
      <c r="C323" s="196" t="str">
        <f>IFERROR(__xludf.DUMMYFUNCTION("""COMPUTED_VALUE"""),"Yes")</f>
        <v>Yes</v>
      </c>
      <c r="D323" s="196" t="str">
        <f>IFERROR(__xludf.DUMMYFUNCTION("""COMPUTED_VALUE"""),"Active")</f>
        <v>Active</v>
      </c>
      <c r="E323" s="197">
        <f>IFERROR(__xludf.DUMMYFUNCTION("""COMPUTED_VALUE"""),45261.0)</f>
        <v>45261</v>
      </c>
      <c r="F323" s="198"/>
      <c r="G323" s="199">
        <f>IFERROR(__xludf.DUMMYFUNCTION("""COMPUTED_VALUE"""),22.46666666666667)</f>
        <v>22.46666667</v>
      </c>
      <c r="H323" s="197">
        <f>IFERROR(__xludf.DUMMYFUNCTION("""COMPUTED_VALUE"""),45261.0)</f>
        <v>45261</v>
      </c>
      <c r="I323" s="199">
        <f>IFERROR(__xludf.DUMMYFUNCTION("""COMPUTED_VALUE"""),0.0)</f>
        <v>0</v>
      </c>
      <c r="J323" s="200">
        <f>IFERROR(__xludf.DUMMYFUNCTION("""COMPUTED_VALUE"""),74.0)</f>
        <v>74</v>
      </c>
      <c r="K323" s="200">
        <f>IFERROR(__xludf.DUMMYFUNCTION("""COMPUTED_VALUE"""),9.0)</f>
        <v>9</v>
      </c>
      <c r="L323" s="201" t="str">
        <f>IFERROR(__xludf.DUMMYFUNCTION("""COMPUTED_VALUE"""),"Strategy / Simulation")</f>
        <v>Strategy / Simulation</v>
      </c>
      <c r="M323" s="201"/>
    </row>
    <row r="324">
      <c r="A324" s="190" t="str">
        <f>IFERROR(__xludf.DUMMYFUNCTION("""COMPUTED_VALUE"""),"Costume Quest")</f>
        <v>Costume Quest</v>
      </c>
      <c r="B324" s="195" t="str">
        <f>IFERROR(__xludf.DUMMYFUNCTION("""COMPUTED_VALUE"""),"Xbox")</f>
        <v>Xbox</v>
      </c>
      <c r="C324" s="196" t="str">
        <f>IFERROR(__xludf.DUMMYFUNCTION("""COMPUTED_VALUE"""),"Yes")</f>
        <v>Yes</v>
      </c>
      <c r="D324" s="196" t="str">
        <f>IFERROR(__xludf.DUMMYFUNCTION("""COMPUTED_VALUE"""),"Active")</f>
        <v>Active</v>
      </c>
      <c r="E324" s="197">
        <f>IFERROR(__xludf.DUMMYFUNCTION("""COMPUTED_VALUE"""),44845.0)</f>
        <v>44845</v>
      </c>
      <c r="F324" s="198"/>
      <c r="G324" s="199">
        <f>IFERROR(__xludf.DUMMYFUNCTION("""COMPUTED_VALUE"""),36.13333333333333)</f>
        <v>36.13333333</v>
      </c>
      <c r="H324" s="197">
        <f>IFERROR(__xludf.DUMMYFUNCTION("""COMPUTED_VALUE"""),40471.0)</f>
        <v>40471</v>
      </c>
      <c r="I324" s="199">
        <f>IFERROR(__xludf.DUMMYFUNCTION("""COMPUTED_VALUE"""),11.975)</f>
        <v>11.975</v>
      </c>
      <c r="J324" s="200">
        <f>IFERROR(__xludf.DUMMYFUNCTION("""COMPUTED_VALUE"""),74.0)</f>
        <v>74</v>
      </c>
      <c r="K324" s="200">
        <f>IFERROR(__xludf.DUMMYFUNCTION("""COMPUTED_VALUE"""),5.5)</f>
        <v>5.5</v>
      </c>
      <c r="L324" s="201" t="str">
        <f>IFERROR(__xludf.DUMMYFUNCTION("""COMPUTED_VALUE"""),"RPG")</f>
        <v>RPG</v>
      </c>
      <c r="M324" s="201"/>
    </row>
    <row r="325">
      <c r="A325" s="190" t="str">
        <f>IFERROR(__xludf.DUMMYFUNCTION("""COMPUTED_VALUE"""),"Need for Speed: Heat - Deluxe Edition")</f>
        <v>Need for Speed: Heat - Deluxe Edition</v>
      </c>
      <c r="B325" s="195" t="str">
        <f>IFERROR(__xludf.DUMMYFUNCTION("""COMPUTED_VALUE"""),"Xbox / PC")</f>
        <v>Xbox / PC</v>
      </c>
      <c r="C325" s="196" t="str">
        <f>IFERROR(__xludf.DUMMYFUNCTION("""COMPUTED_VALUE"""),"Touch Controls")</f>
        <v>Touch Controls</v>
      </c>
      <c r="D325" s="196" t="str">
        <f>IFERROR(__xludf.DUMMYFUNCTION("""COMPUTED_VALUE"""),"Active")</f>
        <v>Active</v>
      </c>
      <c r="E325" s="197">
        <f>IFERROR(__xludf.DUMMYFUNCTION("""COMPUTED_VALUE"""),44145.0)</f>
        <v>44145</v>
      </c>
      <c r="F325" s="198"/>
      <c r="G325" s="199">
        <f>IFERROR(__xludf.DUMMYFUNCTION("""COMPUTED_VALUE"""),59.166666666666664)</f>
        <v>59.16666667</v>
      </c>
      <c r="H325" s="197">
        <f>IFERROR(__xludf.DUMMYFUNCTION("""COMPUTED_VALUE"""),43777.0)</f>
        <v>43777</v>
      </c>
      <c r="I325" s="199">
        <f>IFERROR(__xludf.DUMMYFUNCTION("""COMPUTED_VALUE"""),1.0055555555555555)</f>
        <v>1.005555556</v>
      </c>
      <c r="J325" s="200">
        <f>IFERROR(__xludf.DUMMYFUNCTION("""COMPUTED_VALUE"""),74.0)</f>
        <v>74</v>
      </c>
      <c r="K325" s="200">
        <f>IFERROR(__xludf.DUMMYFUNCTION("""COMPUTED_VALUE"""),12.5)</f>
        <v>12.5</v>
      </c>
      <c r="L325" s="201" t="str">
        <f>IFERROR(__xludf.DUMMYFUNCTION("""COMPUTED_VALUE"""),"Driving/Racing")</f>
        <v>Driving/Racing</v>
      </c>
      <c r="M325" s="201"/>
    </row>
    <row r="326">
      <c r="A326" s="190" t="str">
        <f>IFERROR(__xludf.DUMMYFUNCTION("""COMPUTED_VALUE"""),"Tom Clancy's Rainbow Six: Siege - Deluxe Edition")</f>
        <v>Tom Clancy's Rainbow Six: Siege - Deluxe Edition</v>
      </c>
      <c r="B326" s="195" t="str">
        <f>IFERROR(__xludf.DUMMYFUNCTION("""COMPUTED_VALUE"""),"Xbox / PC")</f>
        <v>Xbox / PC</v>
      </c>
      <c r="C326" s="196" t="str">
        <f>IFERROR(__xludf.DUMMYFUNCTION("""COMPUTED_VALUE"""),"Yes")</f>
        <v>Yes</v>
      </c>
      <c r="D326" s="196" t="str">
        <f>IFERROR(__xludf.DUMMYFUNCTION("""COMPUTED_VALUE"""),"Active")</f>
        <v>Active</v>
      </c>
      <c r="E326" s="197">
        <f>IFERROR(__xludf.DUMMYFUNCTION("""COMPUTED_VALUE"""),44126.0)</f>
        <v>44126</v>
      </c>
      <c r="F326" s="198"/>
      <c r="G326" s="199">
        <f>IFERROR(__xludf.DUMMYFUNCTION("""COMPUTED_VALUE"""),59.766666666666666)</f>
        <v>59.76666667</v>
      </c>
      <c r="H326" s="197">
        <f>IFERROR(__xludf.DUMMYFUNCTION("""COMPUTED_VALUE"""),42339.0)</f>
        <v>42339</v>
      </c>
      <c r="I326" s="199">
        <f>IFERROR(__xludf.DUMMYFUNCTION("""COMPUTED_VALUE"""),4.891666666666667)</f>
        <v>4.891666667</v>
      </c>
      <c r="J326" s="200">
        <f>IFERROR(__xludf.DUMMYFUNCTION("""COMPUTED_VALUE"""),74.0)</f>
        <v>74</v>
      </c>
      <c r="K326" s="200">
        <f>IFERROR(__xludf.DUMMYFUNCTION("""COMPUTED_VALUE"""),7.5)</f>
        <v>7.5</v>
      </c>
      <c r="L326" s="201" t="str">
        <f>IFERROR(__xludf.DUMMYFUNCTION("""COMPUTED_VALUE"""),"First-Person Shooter")</f>
        <v>First-Person Shooter</v>
      </c>
      <c r="M326" s="201" t="str">
        <f>IFERROR(__xludf.DUMMYFUNCTION("""COMPUTED_VALUE"""),"Optimized")</f>
        <v>Optimized</v>
      </c>
    </row>
    <row r="327">
      <c r="A327" s="190" t="str">
        <f>IFERROR(__xludf.DUMMYFUNCTION("""COMPUTED_VALUE"""),"MechWarrior 5: Mercenaries")</f>
        <v>MechWarrior 5: Mercenaries</v>
      </c>
      <c r="B327" s="195" t="str">
        <f>IFERROR(__xludf.DUMMYFUNCTION("""COMPUTED_VALUE"""),"Xbox / PC")</f>
        <v>Xbox / PC</v>
      </c>
      <c r="C327" s="196" t="str">
        <f>IFERROR(__xludf.DUMMYFUNCTION("""COMPUTED_VALUE"""),"Yes")</f>
        <v>Yes</v>
      </c>
      <c r="D327" s="196" t="str">
        <f>IFERROR(__xludf.DUMMYFUNCTION("""COMPUTED_VALUE"""),"Active")</f>
        <v>Active</v>
      </c>
      <c r="E327" s="197">
        <f>IFERROR(__xludf.DUMMYFUNCTION("""COMPUTED_VALUE"""),43958.0)</f>
        <v>43958</v>
      </c>
      <c r="F327" s="198"/>
      <c r="G327" s="199">
        <f>IFERROR(__xludf.DUMMYFUNCTION("""COMPUTED_VALUE"""),65.26666666666667)</f>
        <v>65.26666667</v>
      </c>
      <c r="H327" s="197">
        <f>IFERROR(__xludf.DUMMYFUNCTION("""COMPUTED_VALUE"""),43809.0)</f>
        <v>43809</v>
      </c>
      <c r="I327" s="199">
        <f>IFERROR(__xludf.DUMMYFUNCTION("""COMPUTED_VALUE"""),0.4083333333333333)</f>
        <v>0.4083333333</v>
      </c>
      <c r="J327" s="200">
        <f>IFERROR(__xludf.DUMMYFUNCTION("""COMPUTED_VALUE"""),74.0)</f>
        <v>74</v>
      </c>
      <c r="K327" s="200">
        <f>IFERROR(__xludf.DUMMYFUNCTION("""COMPUTED_VALUE"""),46.5)</f>
        <v>46.5</v>
      </c>
      <c r="L327" s="201" t="str">
        <f>IFERROR(__xludf.DUMMYFUNCTION("""COMPUTED_VALUE"""),"Action / Simulation / Shooter")</f>
        <v>Action / Simulation / Shooter</v>
      </c>
      <c r="M327" s="201"/>
    </row>
    <row r="328">
      <c r="A328" s="190" t="str">
        <f>IFERROR(__xludf.DUMMYFUNCTION("""COMPUTED_VALUE"""),"Phoenix Point")</f>
        <v>Phoenix Point</v>
      </c>
      <c r="B328" s="195" t="str">
        <f>IFERROR(__xludf.DUMMYFUNCTION("""COMPUTED_VALUE"""),"Xbox / PC")</f>
        <v>Xbox / PC</v>
      </c>
      <c r="C328" s="196" t="str">
        <f>IFERROR(__xludf.DUMMYFUNCTION("""COMPUTED_VALUE"""),"Touch Controls")</f>
        <v>Touch Controls</v>
      </c>
      <c r="D328" s="196" t="str">
        <f>IFERROR(__xludf.DUMMYFUNCTION("""COMPUTED_VALUE"""),"Active")</f>
        <v>Active</v>
      </c>
      <c r="E328" s="197">
        <f>IFERROR(__xludf.DUMMYFUNCTION("""COMPUTED_VALUE"""),43819.0)</f>
        <v>43819</v>
      </c>
      <c r="F328" s="198"/>
      <c r="G328" s="199">
        <f>IFERROR(__xludf.DUMMYFUNCTION("""COMPUTED_VALUE"""),69.83333333333334)</f>
        <v>69.83333333</v>
      </c>
      <c r="H328" s="197">
        <f>IFERROR(__xludf.DUMMYFUNCTION("""COMPUTED_VALUE"""),43802.0)</f>
        <v>43802</v>
      </c>
      <c r="I328" s="199">
        <f>IFERROR(__xludf.DUMMYFUNCTION("""COMPUTED_VALUE"""),0.04722222222222222)</f>
        <v>0.04722222222</v>
      </c>
      <c r="J328" s="200">
        <f>IFERROR(__xludf.DUMMYFUNCTION("""COMPUTED_VALUE"""),74.0)</f>
        <v>74</v>
      </c>
      <c r="K328" s="200">
        <f>IFERROR(__xludf.DUMMYFUNCTION("""COMPUTED_VALUE"""),32.0)</f>
        <v>32</v>
      </c>
      <c r="L328" s="201" t="str">
        <f>IFERROR(__xludf.DUMMYFUNCTION("""COMPUTED_VALUE"""),"Strategy")</f>
        <v>Strategy</v>
      </c>
      <c r="M328" s="201"/>
    </row>
    <row r="329">
      <c r="A329" s="190" t="str">
        <f>IFERROR(__xludf.DUMMYFUNCTION("""COMPUTED_VALUE"""),"The Evil Within")</f>
        <v>The Evil Within</v>
      </c>
      <c r="B329" s="195" t="str">
        <f>IFERROR(__xludf.DUMMYFUNCTION("""COMPUTED_VALUE"""),"Xbox / PC")</f>
        <v>Xbox / PC</v>
      </c>
      <c r="C329" s="196" t="str">
        <f>IFERROR(__xludf.DUMMYFUNCTION("""COMPUTED_VALUE"""),"Yes")</f>
        <v>Yes</v>
      </c>
      <c r="D329" s="196" t="str">
        <f>IFERROR(__xludf.DUMMYFUNCTION("""COMPUTED_VALUE"""),"Active")</f>
        <v>Active</v>
      </c>
      <c r="E329" s="197">
        <f>IFERROR(__xludf.DUMMYFUNCTION("""COMPUTED_VALUE"""),44267.0)</f>
        <v>44267</v>
      </c>
      <c r="F329" s="198"/>
      <c r="G329" s="199">
        <f>IFERROR(__xludf.DUMMYFUNCTION("""COMPUTED_VALUE"""),55.1)</f>
        <v>55.1</v>
      </c>
      <c r="H329" s="197">
        <f>IFERROR(__xludf.DUMMYFUNCTION("""COMPUTED_VALUE"""),41926.0)</f>
        <v>41926</v>
      </c>
      <c r="I329" s="199">
        <f>IFERROR(__xludf.DUMMYFUNCTION("""COMPUTED_VALUE"""),6.411111111111111)</f>
        <v>6.411111111</v>
      </c>
      <c r="J329" s="200">
        <f>IFERROR(__xludf.DUMMYFUNCTION("""COMPUTED_VALUE"""),73.5)</f>
        <v>73.5</v>
      </c>
      <c r="K329" s="200">
        <f>IFERROR(__xludf.DUMMYFUNCTION("""COMPUTED_VALUE"""),16.0)</f>
        <v>16</v>
      </c>
      <c r="L329" s="201" t="str">
        <f>IFERROR(__xludf.DUMMYFUNCTION("""COMPUTED_VALUE"""),"Shooter")</f>
        <v>Shooter</v>
      </c>
      <c r="M329" s="201"/>
    </row>
    <row r="330">
      <c r="A330" s="190" t="str">
        <f>IFERROR(__xludf.DUMMYFUNCTION("""COMPUTED_VALUE"""),"Evil West")</f>
        <v>Evil West</v>
      </c>
      <c r="B330" s="195" t="str">
        <f>IFERROR(__xludf.DUMMYFUNCTION("""COMPUTED_VALUE"""),"Xbox / PC")</f>
        <v>Xbox / PC</v>
      </c>
      <c r="C330" s="196" t="str">
        <f>IFERROR(__xludf.DUMMYFUNCTION("""COMPUTED_VALUE"""),"Yes")</f>
        <v>Yes</v>
      </c>
      <c r="D330" s="196" t="str">
        <f>IFERROR(__xludf.DUMMYFUNCTION("""COMPUTED_VALUE"""),"Coming Soon")</f>
        <v>Coming Soon</v>
      </c>
      <c r="E330" s="197">
        <f>IFERROR(__xludf.DUMMYFUNCTION("""COMPUTED_VALUE"""),45951.0)</f>
        <v>45951</v>
      </c>
      <c r="F330" s="198"/>
      <c r="G330" s="199">
        <f>IFERROR(__xludf.DUMMYFUNCTION("""COMPUTED_VALUE"""),-0.2)</f>
        <v>-0.2</v>
      </c>
      <c r="H330" s="197">
        <f>IFERROR(__xludf.DUMMYFUNCTION("""COMPUTED_VALUE"""),44887.0)</f>
        <v>44887</v>
      </c>
      <c r="I330" s="199">
        <f>IFERROR(__xludf.DUMMYFUNCTION("""COMPUTED_VALUE"""),2.9138888888888888)</f>
        <v>2.913888889</v>
      </c>
      <c r="J330" s="200">
        <f>IFERROR(__xludf.DUMMYFUNCTION("""COMPUTED_VALUE"""),73.0)</f>
        <v>73</v>
      </c>
      <c r="K330" s="200">
        <f>IFERROR(__xludf.DUMMYFUNCTION("""COMPUTED_VALUE"""),11.0)</f>
        <v>11</v>
      </c>
      <c r="L330" s="201" t="str">
        <f>IFERROR(__xludf.DUMMYFUNCTION("""COMPUTED_VALUE"""),"Shooter")</f>
        <v>Shooter</v>
      </c>
      <c r="M330" s="201"/>
    </row>
    <row r="331">
      <c r="A331" s="190" t="str">
        <f>IFERROR(__xludf.DUMMYFUNCTION("""COMPUTED_VALUE"""),"To a T")</f>
        <v>To a T</v>
      </c>
      <c r="B331" s="195" t="str">
        <f>IFERROR(__xludf.DUMMYFUNCTION("""COMPUTED_VALUE"""),"Xbox / PC")</f>
        <v>Xbox / PC</v>
      </c>
      <c r="C331" s="196" t="str">
        <f>IFERROR(__xludf.DUMMYFUNCTION("""COMPUTED_VALUE"""),"Yes")</f>
        <v>Yes</v>
      </c>
      <c r="D331" s="196" t="str">
        <f>IFERROR(__xludf.DUMMYFUNCTION("""COMPUTED_VALUE"""),"Active")</f>
        <v>Active</v>
      </c>
      <c r="E331" s="197">
        <f>IFERROR(__xludf.DUMMYFUNCTION("""COMPUTED_VALUE"""),45805.0)</f>
        <v>45805</v>
      </c>
      <c r="F331" s="198"/>
      <c r="G331" s="199">
        <f>IFERROR(__xludf.DUMMYFUNCTION("""COMPUTED_VALUE"""),4.566666666666666)</f>
        <v>4.566666667</v>
      </c>
      <c r="H331" s="197">
        <f>IFERROR(__xludf.DUMMYFUNCTION("""COMPUTED_VALUE"""),45805.0)</f>
        <v>45805</v>
      </c>
      <c r="I331" s="199">
        <f>IFERROR(__xludf.DUMMYFUNCTION("""COMPUTED_VALUE"""),0.0)</f>
        <v>0</v>
      </c>
      <c r="J331" s="200">
        <f>IFERROR(__xludf.DUMMYFUNCTION("""COMPUTED_VALUE"""),73.0)</f>
        <v>73</v>
      </c>
      <c r="K331" s="200">
        <f>IFERROR(__xludf.DUMMYFUNCTION("""COMPUTED_VALUE"""),6.0)</f>
        <v>6</v>
      </c>
      <c r="L331" s="201" t="str">
        <f>IFERROR(__xludf.DUMMYFUNCTION("""COMPUTED_VALUE"""),"Action-Adventure")</f>
        <v>Action-Adventure</v>
      </c>
      <c r="M331" s="201" t="str">
        <f>IFERROR(__xludf.DUMMYFUNCTION("""COMPUTED_VALUE"""),"Exclusive")</f>
        <v>Exclusive</v>
      </c>
    </row>
    <row r="332">
      <c r="A332" s="190" t="str">
        <f>IFERROR(__xludf.DUMMYFUNCTION("""COMPUTED_VALUE"""),"Kulebra and the Souls of Limbo")</f>
        <v>Kulebra and the Souls of Limbo</v>
      </c>
      <c r="B332" s="195" t="str">
        <f>IFERROR(__xludf.DUMMYFUNCTION("""COMPUTED_VALUE"""),"Xbox / PC")</f>
        <v>Xbox / PC</v>
      </c>
      <c r="C332" s="196" t="str">
        <f>IFERROR(__xludf.DUMMYFUNCTION("""COMPUTED_VALUE"""),"Yes")</f>
        <v>Yes</v>
      </c>
      <c r="D332" s="196" t="str">
        <f>IFERROR(__xludf.DUMMYFUNCTION("""COMPUTED_VALUE"""),"Active")</f>
        <v>Active</v>
      </c>
      <c r="E332" s="197">
        <f>IFERROR(__xludf.DUMMYFUNCTION("""COMPUTED_VALUE"""),45793.0)</f>
        <v>45793</v>
      </c>
      <c r="F332" s="198"/>
      <c r="G332" s="199">
        <f>IFERROR(__xludf.DUMMYFUNCTION("""COMPUTED_VALUE"""),4.966666666666667)</f>
        <v>4.966666667</v>
      </c>
      <c r="H332" s="197">
        <f>IFERROR(__xludf.DUMMYFUNCTION("""COMPUTED_VALUE"""),45793.0)</f>
        <v>45793</v>
      </c>
      <c r="I332" s="199">
        <f>IFERROR(__xludf.DUMMYFUNCTION("""COMPUTED_VALUE"""),0.0)</f>
        <v>0</v>
      </c>
      <c r="J332" s="200">
        <f>IFERROR(__xludf.DUMMYFUNCTION("""COMPUTED_VALUE"""),73.0)</f>
        <v>73</v>
      </c>
      <c r="K332" s="200">
        <f>IFERROR(__xludf.DUMMYFUNCTION("""COMPUTED_VALUE"""),10.0)</f>
        <v>10</v>
      </c>
      <c r="L332" s="201" t="str">
        <f>IFERROR(__xludf.DUMMYFUNCTION("""COMPUTED_VALUE"""),"Action-Adventure")</f>
        <v>Action-Adventure</v>
      </c>
      <c r="M332" s="201"/>
    </row>
    <row r="333">
      <c r="A333" s="190" t="str">
        <f>IFERROR(__xludf.DUMMYFUNCTION("""COMPUTED_VALUE"""),"S.T.A.L.K.E.R. 2: Heart of Chornobyl")</f>
        <v>S.T.A.L.K.E.R. 2: Heart of Chornobyl</v>
      </c>
      <c r="B333" s="195" t="str">
        <f>IFERROR(__xludf.DUMMYFUNCTION("""COMPUTED_VALUE"""),"Xbox / PC")</f>
        <v>Xbox / PC</v>
      </c>
      <c r="C333" s="196" t="str">
        <f>IFERROR(__xludf.DUMMYFUNCTION("""COMPUTED_VALUE"""),"Yes")</f>
        <v>Yes</v>
      </c>
      <c r="D333" s="196" t="str">
        <f>IFERROR(__xludf.DUMMYFUNCTION("""COMPUTED_VALUE"""),"Active")</f>
        <v>Active</v>
      </c>
      <c r="E333" s="197">
        <f>IFERROR(__xludf.DUMMYFUNCTION("""COMPUTED_VALUE"""),45616.0)</f>
        <v>45616</v>
      </c>
      <c r="F333" s="198"/>
      <c r="G333" s="199">
        <f>IFERROR(__xludf.DUMMYFUNCTION("""COMPUTED_VALUE"""),10.833333333333334)</f>
        <v>10.83333333</v>
      </c>
      <c r="H333" s="197">
        <f>IFERROR(__xludf.DUMMYFUNCTION("""COMPUTED_VALUE"""),45616.0)</f>
        <v>45616</v>
      </c>
      <c r="I333" s="199">
        <f>IFERROR(__xludf.DUMMYFUNCTION("""COMPUTED_VALUE"""),0.0)</f>
        <v>0</v>
      </c>
      <c r="J333" s="200">
        <f>IFERROR(__xludf.DUMMYFUNCTION("""COMPUTED_VALUE"""),73.0)</f>
        <v>73</v>
      </c>
      <c r="K333" s="200">
        <f>IFERROR(__xludf.DUMMYFUNCTION("""COMPUTED_VALUE"""),31.0)</f>
        <v>31</v>
      </c>
      <c r="L333" s="201" t="str">
        <f>IFERROR(__xludf.DUMMYFUNCTION("""COMPUTED_VALUE"""),"Action-Adventure")</f>
        <v>Action-Adventure</v>
      </c>
      <c r="M333" s="201" t="str">
        <f>IFERROR(__xludf.DUMMYFUNCTION("""COMPUTED_VALUE"""),"Exclusive")</f>
        <v>Exclusive</v>
      </c>
    </row>
    <row r="334">
      <c r="A334" s="190" t="str">
        <f>IFERROR(__xludf.DUMMYFUNCTION("""COMPUTED_VALUE"""),"Dead Island 2")</f>
        <v>Dead Island 2</v>
      </c>
      <c r="B334" s="195" t="str">
        <f>IFERROR(__xludf.DUMMYFUNCTION("""COMPUTED_VALUE"""),"Xbox / PC")</f>
        <v>Xbox / PC</v>
      </c>
      <c r="C334" s="196" t="str">
        <f>IFERROR(__xludf.DUMMYFUNCTION("""COMPUTED_VALUE"""),"Yes")</f>
        <v>Yes</v>
      </c>
      <c r="D334" s="196" t="str">
        <f>IFERROR(__xludf.DUMMYFUNCTION("""COMPUTED_VALUE"""),"Active")</f>
        <v>Active</v>
      </c>
      <c r="E334" s="197">
        <f>IFERROR(__xludf.DUMMYFUNCTION("""COMPUTED_VALUE"""),45342.0)</f>
        <v>45342</v>
      </c>
      <c r="F334" s="198"/>
      <c r="G334" s="199">
        <f>IFERROR(__xludf.DUMMYFUNCTION("""COMPUTED_VALUE"""),19.833333333333332)</f>
        <v>19.83333333</v>
      </c>
      <c r="H334" s="197">
        <f>IFERROR(__xludf.DUMMYFUNCTION("""COMPUTED_VALUE"""),45037.0)</f>
        <v>45037</v>
      </c>
      <c r="I334" s="199">
        <f>IFERROR(__xludf.DUMMYFUNCTION("""COMPUTED_VALUE"""),0.8305555555555556)</f>
        <v>0.8305555556</v>
      </c>
      <c r="J334" s="200">
        <f>IFERROR(__xludf.DUMMYFUNCTION("""COMPUTED_VALUE"""),73.0)</f>
        <v>73</v>
      </c>
      <c r="K334" s="200">
        <f>IFERROR(__xludf.DUMMYFUNCTION("""COMPUTED_VALUE"""),16.0)</f>
        <v>16</v>
      </c>
      <c r="L334" s="201" t="str">
        <f>IFERROR(__xludf.DUMMYFUNCTION("""COMPUTED_VALUE"""),"Shooter")</f>
        <v>Shooter</v>
      </c>
      <c r="M334" s="201"/>
    </row>
    <row r="335">
      <c r="A335" s="190" t="str">
        <f>IFERROR(__xludf.DUMMYFUNCTION("""COMPUTED_VALUE"""),"PlateUp!")</f>
        <v>PlateUp!</v>
      </c>
      <c r="B335" s="195" t="str">
        <f>IFERROR(__xludf.DUMMYFUNCTION("""COMPUTED_VALUE"""),"Xbox / PC")</f>
        <v>Xbox / PC</v>
      </c>
      <c r="C335" s="196" t="str">
        <f>IFERROR(__xludf.DUMMYFUNCTION("""COMPUTED_VALUE"""),"Yes")</f>
        <v>Yes</v>
      </c>
      <c r="D335" s="196" t="str">
        <f>IFERROR(__xludf.DUMMYFUNCTION("""COMPUTED_VALUE"""),"Active")</f>
        <v>Active</v>
      </c>
      <c r="E335" s="197">
        <f>IFERROR(__xludf.DUMMYFUNCTION("""COMPUTED_VALUE"""),45337.0)</f>
        <v>45337</v>
      </c>
      <c r="F335" s="198"/>
      <c r="G335" s="199">
        <f>IFERROR(__xludf.DUMMYFUNCTION("""COMPUTED_VALUE"""),20.0)</f>
        <v>20</v>
      </c>
      <c r="H335" s="197">
        <f>IFERROR(__xludf.DUMMYFUNCTION("""COMPUTED_VALUE"""),44777.0)</f>
        <v>44777</v>
      </c>
      <c r="I335" s="199">
        <f>IFERROR(__xludf.DUMMYFUNCTION("""COMPUTED_VALUE"""),1.5305555555555554)</f>
        <v>1.530555556</v>
      </c>
      <c r="J335" s="200">
        <f>IFERROR(__xludf.DUMMYFUNCTION("""COMPUTED_VALUE"""),73.0)</f>
        <v>73</v>
      </c>
      <c r="K335" s="200">
        <f>IFERROR(__xludf.DUMMYFUNCTION("""COMPUTED_VALUE"""),19.0)</f>
        <v>19</v>
      </c>
      <c r="L335" s="201" t="str">
        <f>IFERROR(__xludf.DUMMYFUNCTION("""COMPUTED_VALUE"""),"Strategy")</f>
        <v>Strategy</v>
      </c>
      <c r="M335" s="201"/>
    </row>
    <row r="336">
      <c r="A336" s="202" t="str">
        <f>IFERROR(__xludf.DUMMYFUNCTION("""COMPUTED_VALUE"""),"Far Cry 6")</f>
        <v>Far Cry 6</v>
      </c>
      <c r="B336" s="195" t="str">
        <f>IFERROR(__xludf.DUMMYFUNCTION("""COMPUTED_VALUE"""),"Xbox / PC")</f>
        <v>Xbox / PC</v>
      </c>
      <c r="C336" s="196" t="str">
        <f>IFERROR(__xludf.DUMMYFUNCTION("""COMPUTED_VALUE"""),"Yes")</f>
        <v>Yes</v>
      </c>
      <c r="D336" s="196" t="str">
        <f>IFERROR(__xludf.DUMMYFUNCTION("""COMPUTED_VALUE"""),"Active")</f>
        <v>Active</v>
      </c>
      <c r="E336" s="197">
        <f>IFERROR(__xludf.DUMMYFUNCTION("""COMPUTED_VALUE"""),45274.0)</f>
        <v>45274</v>
      </c>
      <c r="F336" s="198"/>
      <c r="G336" s="199">
        <f>IFERROR(__xludf.DUMMYFUNCTION("""COMPUTED_VALUE"""),22.03333333333333)</f>
        <v>22.03333333</v>
      </c>
      <c r="H336" s="197">
        <f>IFERROR(__xludf.DUMMYFUNCTION("""COMPUTED_VALUE"""),44476.0)</f>
        <v>44476</v>
      </c>
      <c r="I336" s="199">
        <f>IFERROR(__xludf.DUMMYFUNCTION("""COMPUTED_VALUE"""),2.186111111111111)</f>
        <v>2.186111111</v>
      </c>
      <c r="J336" s="200">
        <f>IFERROR(__xludf.DUMMYFUNCTION("""COMPUTED_VALUE"""),73.0)</f>
        <v>73</v>
      </c>
      <c r="K336" s="200">
        <f>IFERROR(__xludf.DUMMYFUNCTION("""COMPUTED_VALUE"""),24.0)</f>
        <v>24</v>
      </c>
      <c r="L336" s="201" t="str">
        <f>IFERROR(__xludf.DUMMYFUNCTION("""COMPUTED_VALUE"""),"First-Person Shooter")</f>
        <v>First-Person Shooter</v>
      </c>
      <c r="M336" s="201"/>
    </row>
    <row r="337">
      <c r="A337" s="190" t="str">
        <f>IFERROR(__xludf.DUMMYFUNCTION("""COMPUTED_VALUE"""),"World War Z: Aftermath")</f>
        <v>World War Z: Aftermath</v>
      </c>
      <c r="B337" s="195" t="str">
        <f>IFERROR(__xludf.DUMMYFUNCTION("""COMPUTED_VALUE"""),"Xbox / PC")</f>
        <v>Xbox / PC</v>
      </c>
      <c r="C337" s="196" t="str">
        <f>IFERROR(__xludf.DUMMYFUNCTION("""COMPUTED_VALUE"""),"Yes")</f>
        <v>Yes</v>
      </c>
      <c r="D337" s="196" t="str">
        <f>IFERROR(__xludf.DUMMYFUNCTION("""COMPUTED_VALUE"""),"Active")</f>
        <v>Active</v>
      </c>
      <c r="E337" s="197">
        <f>IFERROR(__xludf.DUMMYFUNCTION("""COMPUTED_VALUE"""),45265.0)</f>
        <v>45265</v>
      </c>
      <c r="F337" s="198"/>
      <c r="G337" s="199">
        <f>IFERROR(__xludf.DUMMYFUNCTION("""COMPUTED_VALUE"""),22.333333333333336)</f>
        <v>22.33333333</v>
      </c>
      <c r="H337" s="197">
        <f>IFERROR(__xludf.DUMMYFUNCTION("""COMPUTED_VALUE"""),43571.0)</f>
        <v>43571</v>
      </c>
      <c r="I337" s="199">
        <f>IFERROR(__xludf.DUMMYFUNCTION("""COMPUTED_VALUE"""),4.636111111111111)</f>
        <v>4.636111111</v>
      </c>
      <c r="J337" s="200">
        <f>IFERROR(__xludf.DUMMYFUNCTION("""COMPUTED_VALUE"""),73.0)</f>
        <v>73</v>
      </c>
      <c r="K337" s="200">
        <f>IFERROR(__xludf.DUMMYFUNCTION("""COMPUTED_VALUE"""),7.0)</f>
        <v>7</v>
      </c>
      <c r="L337" s="201" t="str">
        <f>IFERROR(__xludf.DUMMYFUNCTION("""COMPUTED_VALUE"""),"Action")</f>
        <v>Action</v>
      </c>
      <c r="M337" s="201"/>
    </row>
    <row r="338">
      <c r="A338" s="190" t="str">
        <f>IFERROR(__xludf.DUMMYFUNCTION("""COMPUTED_VALUE"""),"Medieval Dynasty")</f>
        <v>Medieval Dynasty</v>
      </c>
      <c r="B338" s="195" t="str">
        <f>IFERROR(__xludf.DUMMYFUNCTION("""COMPUTED_VALUE"""),"Xbox / PC")</f>
        <v>Xbox / PC</v>
      </c>
      <c r="C338" s="196" t="str">
        <f>IFERROR(__xludf.DUMMYFUNCTION("""COMPUTED_VALUE"""),"Yes")</f>
        <v>Yes</v>
      </c>
      <c r="D338" s="196" t="str">
        <f>IFERROR(__xludf.DUMMYFUNCTION("""COMPUTED_VALUE"""),"Active")</f>
        <v>Active</v>
      </c>
      <c r="E338" s="197">
        <f>IFERROR(__xludf.DUMMYFUNCTION("""COMPUTED_VALUE"""),44364.0)</f>
        <v>44364</v>
      </c>
      <c r="F338" s="198"/>
      <c r="G338" s="199">
        <f>IFERROR(__xludf.DUMMYFUNCTION("""COMPUTED_VALUE"""),51.93333333333333)</f>
        <v>51.93333333</v>
      </c>
      <c r="H338" s="197">
        <f>IFERROR(__xludf.DUMMYFUNCTION("""COMPUTED_VALUE"""),44091.0)</f>
        <v>44091</v>
      </c>
      <c r="I338" s="199">
        <f>IFERROR(__xludf.DUMMYFUNCTION("""COMPUTED_VALUE"""),0.75)</f>
        <v>0.75</v>
      </c>
      <c r="J338" s="200">
        <f>IFERROR(__xludf.DUMMYFUNCTION("""COMPUTED_VALUE"""),73.0)</f>
        <v>73</v>
      </c>
      <c r="K338" s="200">
        <f>IFERROR(__xludf.DUMMYFUNCTION("""COMPUTED_VALUE"""),29.5)</f>
        <v>29.5</v>
      </c>
      <c r="L338" s="201" t="str">
        <f>IFERROR(__xludf.DUMMYFUNCTION("""COMPUTED_VALUE"""),"RPG / Simulation / Action-Adventure")</f>
        <v>RPG / Simulation / Action-Adventure</v>
      </c>
      <c r="M338" s="201"/>
    </row>
    <row r="339">
      <c r="A339" s="190" t="str">
        <f>IFERROR(__xludf.DUMMYFUNCTION("""COMPUTED_VALUE"""),"The Walking Dead: A New Frontier")</f>
        <v>The Walking Dead: A New Frontier</v>
      </c>
      <c r="B339" s="195" t="str">
        <f>IFERROR(__xludf.DUMMYFUNCTION("""COMPUTED_VALUE"""),"Xbox / PC")</f>
        <v>Xbox / PC</v>
      </c>
      <c r="C339" s="196" t="str">
        <f>IFERROR(__xludf.DUMMYFUNCTION("""COMPUTED_VALUE"""),"Touch Controls")</f>
        <v>Touch Controls</v>
      </c>
      <c r="D339" s="196" t="str">
        <f>IFERROR(__xludf.DUMMYFUNCTION("""COMPUTED_VALUE"""),"Active")</f>
        <v>Active</v>
      </c>
      <c r="E339" s="197">
        <f>IFERROR(__xludf.DUMMYFUNCTION("""COMPUTED_VALUE"""),43573.0)</f>
        <v>43573</v>
      </c>
      <c r="F339" s="198"/>
      <c r="G339" s="199">
        <f>IFERROR(__xludf.DUMMYFUNCTION("""COMPUTED_VALUE"""),77.89999999999999)</f>
        <v>77.9</v>
      </c>
      <c r="H339" s="197">
        <f>IFERROR(__xludf.DUMMYFUNCTION("""COMPUTED_VALUE"""),42724.0)</f>
        <v>42724</v>
      </c>
      <c r="I339" s="199">
        <f>IFERROR(__xludf.DUMMYFUNCTION("""COMPUTED_VALUE"""),2.327777777777778)</f>
        <v>2.327777778</v>
      </c>
      <c r="J339" s="200">
        <f>IFERROR(__xludf.DUMMYFUNCTION("""COMPUTED_VALUE"""),73.0)</f>
        <v>73</v>
      </c>
      <c r="K339" s="200">
        <f>IFERROR(__xludf.DUMMYFUNCTION("""COMPUTED_VALUE"""),8.0)</f>
        <v>8</v>
      </c>
      <c r="L339" s="201" t="str">
        <f>IFERROR(__xludf.DUMMYFUNCTION("""COMPUTED_VALUE"""),"Adventure")</f>
        <v>Adventure</v>
      </c>
      <c r="M339" s="201"/>
    </row>
    <row r="340">
      <c r="A340" s="190" t="str">
        <f>IFERROR(__xludf.DUMMYFUNCTION("""COMPUTED_VALUE"""),"Human: Fall Flat")</f>
        <v>Human: Fall Flat</v>
      </c>
      <c r="B340" s="195" t="str">
        <f>IFERROR(__xludf.DUMMYFUNCTION("""COMPUTED_VALUE"""),"Xbox / PC")</f>
        <v>Xbox / PC</v>
      </c>
      <c r="C340" s="196" t="str">
        <f>IFERROR(__xludf.DUMMYFUNCTION("""COMPUTED_VALUE"""),"Yes")</f>
        <v>Yes</v>
      </c>
      <c r="D340" s="196" t="str">
        <f>IFERROR(__xludf.DUMMYFUNCTION("""COMPUTED_VALUE"""),"Active")</f>
        <v>Active</v>
      </c>
      <c r="E340" s="197">
        <f>IFERROR(__xludf.DUMMYFUNCTION("""COMPUTED_VALUE"""),43282.0)</f>
        <v>43282</v>
      </c>
      <c r="F340" s="198"/>
      <c r="G340" s="199">
        <f>IFERROR(__xludf.DUMMYFUNCTION("""COMPUTED_VALUE"""),87.46666666666667)</f>
        <v>87.46666667</v>
      </c>
      <c r="H340" s="197">
        <f>IFERROR(__xludf.DUMMYFUNCTION("""COMPUTED_VALUE"""),42573.0)</f>
        <v>42573</v>
      </c>
      <c r="I340" s="199">
        <f>IFERROR(__xludf.DUMMYFUNCTION("""COMPUTED_VALUE"""),1.9416666666666667)</f>
        <v>1.941666667</v>
      </c>
      <c r="J340" s="200">
        <f>IFERROR(__xludf.DUMMYFUNCTION("""COMPUTED_VALUE"""),73.0)</f>
        <v>73</v>
      </c>
      <c r="K340" s="200">
        <f>IFERROR(__xludf.DUMMYFUNCTION("""COMPUTED_VALUE"""),5.5)</f>
        <v>5.5</v>
      </c>
      <c r="L340" s="201" t="str">
        <f>IFERROR(__xludf.DUMMYFUNCTION("""COMPUTED_VALUE"""),"Puzzle")</f>
        <v>Puzzle</v>
      </c>
      <c r="M340" s="201" t="str">
        <f>IFERROR(__xludf.DUMMYFUNCTION("""COMPUTED_VALUE"""),"Optimized")</f>
        <v>Optimized</v>
      </c>
    </row>
    <row r="341">
      <c r="A341" s="190" t="str">
        <f>IFERROR(__xludf.DUMMYFUNCTION("""COMPUTED_VALUE"""),"Banjo-Tooie")</f>
        <v>Banjo-Tooie</v>
      </c>
      <c r="B341" s="195" t="str">
        <f>IFERROR(__xludf.DUMMYFUNCTION("""COMPUTED_VALUE"""),"Xbox")</f>
        <v>Xbox</v>
      </c>
      <c r="C341" s="196" t="str">
        <f>IFERROR(__xludf.DUMMYFUNCTION("""COMPUTED_VALUE"""),"Touch Controls")</f>
        <v>Touch Controls</v>
      </c>
      <c r="D341" s="196" t="str">
        <f>IFERROR(__xludf.DUMMYFUNCTION("""COMPUTED_VALUE"""),"Active")</f>
        <v>Active</v>
      </c>
      <c r="E341" s="197">
        <f>IFERROR(__xludf.DUMMYFUNCTION("""COMPUTED_VALUE"""),42887.0)</f>
        <v>42887</v>
      </c>
      <c r="F341" s="198"/>
      <c r="G341" s="199">
        <f>IFERROR(__xludf.DUMMYFUNCTION("""COMPUTED_VALUE"""),100.46666666666667)</f>
        <v>100.4666667</v>
      </c>
      <c r="H341" s="197">
        <f>IFERROR(__xludf.DUMMYFUNCTION("""COMPUTED_VALUE"""),36849.0)</f>
        <v>36849</v>
      </c>
      <c r="I341" s="199">
        <f>IFERROR(__xludf.DUMMYFUNCTION("""COMPUTED_VALUE"""),16.533333333333335)</f>
        <v>16.53333333</v>
      </c>
      <c r="J341" s="200">
        <f>IFERROR(__xludf.DUMMYFUNCTION("""COMPUTED_VALUE"""),73.0)</f>
        <v>73</v>
      </c>
      <c r="K341" s="200">
        <f>IFERROR(__xludf.DUMMYFUNCTION("""COMPUTED_VALUE"""),16.0)</f>
        <v>16</v>
      </c>
      <c r="L341" s="201" t="str">
        <f>IFERROR(__xludf.DUMMYFUNCTION("""COMPUTED_VALUE"""),"Adventure")</f>
        <v>Adventure</v>
      </c>
      <c r="M341" s="201"/>
    </row>
    <row r="342">
      <c r="A342" s="190" t="str">
        <f>IFERROR(__xludf.DUMMYFUNCTION("""COMPUTED_VALUE"""),"Jetpac Refuelled")</f>
        <v>Jetpac Refuelled</v>
      </c>
      <c r="B342" s="195" t="str">
        <f>IFERROR(__xludf.DUMMYFUNCTION("""COMPUTED_VALUE"""),"Xbox")</f>
        <v>Xbox</v>
      </c>
      <c r="C342" s="196" t="str">
        <f>IFERROR(__xludf.DUMMYFUNCTION("""COMPUTED_VALUE"""),"Touch Controls")</f>
        <v>Touch Controls</v>
      </c>
      <c r="D342" s="196" t="str">
        <f>IFERROR(__xludf.DUMMYFUNCTION("""COMPUTED_VALUE"""),"Active")</f>
        <v>Active</v>
      </c>
      <c r="E342" s="197">
        <f>IFERROR(__xludf.DUMMYFUNCTION("""COMPUTED_VALUE"""),42887.0)</f>
        <v>42887</v>
      </c>
      <c r="F342" s="198"/>
      <c r="G342" s="199">
        <f>IFERROR(__xludf.DUMMYFUNCTION("""COMPUTED_VALUE"""),100.46666666666667)</f>
        <v>100.4666667</v>
      </c>
      <c r="H342" s="197">
        <f>IFERROR(__xludf.DUMMYFUNCTION("""COMPUTED_VALUE"""),39169.0)</f>
        <v>39169</v>
      </c>
      <c r="I342" s="199">
        <f>IFERROR(__xludf.DUMMYFUNCTION("""COMPUTED_VALUE"""),10.175)</f>
        <v>10.175</v>
      </c>
      <c r="J342" s="200">
        <f>IFERROR(__xludf.DUMMYFUNCTION("""COMPUTED_VALUE"""),73.0)</f>
        <v>73</v>
      </c>
      <c r="K342" s="200">
        <f>IFERROR(__xludf.DUMMYFUNCTION("""COMPUTED_VALUE"""),4.5)</f>
        <v>4.5</v>
      </c>
      <c r="L342" s="201" t="str">
        <f>IFERROR(__xludf.DUMMYFUNCTION("""COMPUTED_VALUE"""),"Action / Shooter")</f>
        <v>Action / Shooter</v>
      </c>
      <c r="M342" s="201"/>
    </row>
    <row r="343">
      <c r="A343" s="190" t="str">
        <f>IFERROR(__xludf.DUMMYFUNCTION("""COMPUTED_VALUE"""),"Battletoads")</f>
        <v>Battletoads</v>
      </c>
      <c r="B343" s="195" t="str">
        <f>IFERROR(__xludf.DUMMYFUNCTION("""COMPUTED_VALUE"""),"Xbox / PC")</f>
        <v>Xbox / PC</v>
      </c>
      <c r="C343" s="196" t="str">
        <f>IFERROR(__xludf.DUMMYFUNCTION("""COMPUTED_VALUE"""),"Yes")</f>
        <v>Yes</v>
      </c>
      <c r="D343" s="196" t="str">
        <f>IFERROR(__xludf.DUMMYFUNCTION("""COMPUTED_VALUE"""),"Active")</f>
        <v>Active</v>
      </c>
      <c r="E343" s="197">
        <f>IFERROR(__xludf.DUMMYFUNCTION("""COMPUTED_VALUE"""),44063.0)</f>
        <v>44063</v>
      </c>
      <c r="F343" s="198"/>
      <c r="G343" s="199">
        <f>IFERROR(__xludf.DUMMYFUNCTION("""COMPUTED_VALUE"""),61.83333333333333)</f>
        <v>61.83333333</v>
      </c>
      <c r="H343" s="197">
        <f>IFERROR(__xludf.DUMMYFUNCTION("""COMPUTED_VALUE"""),44063.0)</f>
        <v>44063</v>
      </c>
      <c r="I343" s="199">
        <f>IFERROR(__xludf.DUMMYFUNCTION("""COMPUTED_VALUE"""),0.0)</f>
        <v>0</v>
      </c>
      <c r="J343" s="200">
        <f>IFERROR(__xludf.DUMMYFUNCTION("""COMPUTED_VALUE"""),72.5)</f>
        <v>72.5</v>
      </c>
      <c r="K343" s="200">
        <f>IFERROR(__xludf.DUMMYFUNCTION("""COMPUTED_VALUE"""),4.0)</f>
        <v>4</v>
      </c>
      <c r="L343" s="201" t="str">
        <f>IFERROR(__xludf.DUMMYFUNCTION("""COMPUTED_VALUE"""),"Brawler")</f>
        <v>Brawler</v>
      </c>
      <c r="M343" s="201"/>
    </row>
    <row r="344">
      <c r="A344" s="190" t="str">
        <f>IFERROR(__xludf.DUMMYFUNCTION("""COMPUTED_VALUE"""),"Minecraft: Dungeons")</f>
        <v>Minecraft: Dungeons</v>
      </c>
      <c r="B344" s="195" t="str">
        <f>IFERROR(__xludf.DUMMYFUNCTION("""COMPUTED_VALUE"""),"Xbox / PC")</f>
        <v>Xbox / PC</v>
      </c>
      <c r="C344" s="196" t="str">
        <f>IFERROR(__xludf.DUMMYFUNCTION("""COMPUTED_VALUE"""),"Touch Controls")</f>
        <v>Touch Controls</v>
      </c>
      <c r="D344" s="196" t="str">
        <f>IFERROR(__xludf.DUMMYFUNCTION("""COMPUTED_VALUE"""),"Active")</f>
        <v>Active</v>
      </c>
      <c r="E344" s="197">
        <f>IFERROR(__xludf.DUMMYFUNCTION("""COMPUTED_VALUE"""),43977.0)</f>
        <v>43977</v>
      </c>
      <c r="F344" s="198"/>
      <c r="G344" s="199">
        <f>IFERROR(__xludf.DUMMYFUNCTION("""COMPUTED_VALUE"""),64.63333333333333)</f>
        <v>64.63333333</v>
      </c>
      <c r="H344" s="197">
        <f>IFERROR(__xludf.DUMMYFUNCTION("""COMPUTED_VALUE"""),43977.0)</f>
        <v>43977</v>
      </c>
      <c r="I344" s="199">
        <f>IFERROR(__xludf.DUMMYFUNCTION("""COMPUTED_VALUE"""),0.0)</f>
        <v>0</v>
      </c>
      <c r="J344" s="200">
        <f>IFERROR(__xludf.DUMMYFUNCTION("""COMPUTED_VALUE"""),72.5)</f>
        <v>72.5</v>
      </c>
      <c r="K344" s="200">
        <f>IFERROR(__xludf.DUMMYFUNCTION("""COMPUTED_VALUE"""),5.0)</f>
        <v>5</v>
      </c>
      <c r="L344" s="201" t="str">
        <f>IFERROR(__xludf.DUMMYFUNCTION("""COMPUTED_VALUE"""),"RPG / Action-Adventure")</f>
        <v>RPG / Action-Adventure</v>
      </c>
      <c r="M344" s="201" t="str">
        <f>IFERROR(__xludf.DUMMYFUNCTION("""COMPUTED_VALUE"""),"Optimized")</f>
        <v>Optimized</v>
      </c>
    </row>
    <row r="345">
      <c r="A345" s="190" t="str">
        <f>IFERROR(__xludf.DUMMYFUNCTION("""COMPUTED_VALUE"""),"Assassin's Creed III: Remastered")</f>
        <v>Assassin's Creed III: Remastered</v>
      </c>
      <c r="B345" s="195" t="str">
        <f>IFERROR(__xludf.DUMMYFUNCTION("""COMPUTED_VALUE"""),"Xbox / PC")</f>
        <v>Xbox / PC</v>
      </c>
      <c r="C345" s="196" t="str">
        <f>IFERROR(__xludf.DUMMYFUNCTION("""COMPUTED_VALUE"""),"Yes")</f>
        <v>Yes</v>
      </c>
      <c r="D345" s="196" t="str">
        <f>IFERROR(__xludf.DUMMYFUNCTION("""COMPUTED_VALUE"""),"Active")</f>
        <v>Active</v>
      </c>
      <c r="E345" s="197">
        <f>IFERROR(__xludf.DUMMYFUNCTION("""COMPUTED_VALUE"""),45931.0)</f>
        <v>45931</v>
      </c>
      <c r="F345" s="198"/>
      <c r="G345" s="199">
        <f>IFERROR(__xludf.DUMMYFUNCTION("""COMPUTED_VALUE"""),0.4666666666666667)</f>
        <v>0.4666666667</v>
      </c>
      <c r="H345" s="197">
        <f>IFERROR(__xludf.DUMMYFUNCTION("""COMPUTED_VALUE"""),43553.0)</f>
        <v>43553</v>
      </c>
      <c r="I345" s="199">
        <f>IFERROR(__xludf.DUMMYFUNCTION("""COMPUTED_VALUE"""),6.5055555555555555)</f>
        <v>6.505555556</v>
      </c>
      <c r="J345" s="200">
        <f>IFERROR(__xludf.DUMMYFUNCTION("""COMPUTED_VALUE"""),72.0)</f>
        <v>72</v>
      </c>
      <c r="K345" s="200">
        <f>IFERROR(__xludf.DUMMYFUNCTION("""COMPUTED_VALUE"""),15.0)</f>
        <v>15</v>
      </c>
      <c r="L345" s="201" t="str">
        <f>IFERROR(__xludf.DUMMYFUNCTION("""COMPUTED_VALUE"""),"Action-Adventure")</f>
        <v>Action-Adventure</v>
      </c>
      <c r="M345" s="201"/>
    </row>
    <row r="346">
      <c r="A346" s="190" t="str">
        <f>IFERROR(__xludf.DUMMYFUNCTION("""COMPUTED_VALUE"""),"Assassin's Creed: The Ezio Collection")</f>
        <v>Assassin's Creed: The Ezio Collection</v>
      </c>
      <c r="B346" s="195" t="str">
        <f>IFERROR(__xludf.DUMMYFUNCTION("""COMPUTED_VALUE"""),"Xbox")</f>
        <v>Xbox</v>
      </c>
      <c r="C346" s="196" t="str">
        <f>IFERROR(__xludf.DUMMYFUNCTION("""COMPUTED_VALUE"""),"Yes")</f>
        <v>Yes</v>
      </c>
      <c r="D346" s="196" t="str">
        <f>IFERROR(__xludf.DUMMYFUNCTION("""COMPUTED_VALUE"""),"Active")</f>
        <v>Active</v>
      </c>
      <c r="E346" s="197">
        <f>IFERROR(__xludf.DUMMYFUNCTION("""COMPUTED_VALUE"""),45931.0)</f>
        <v>45931</v>
      </c>
      <c r="F346" s="198"/>
      <c r="G346" s="199">
        <f>IFERROR(__xludf.DUMMYFUNCTION("""COMPUTED_VALUE"""),0.4666666666666667)</f>
        <v>0.4666666667</v>
      </c>
      <c r="H346" s="197">
        <f>IFERROR(__xludf.DUMMYFUNCTION("""COMPUTED_VALUE"""),42689.0)</f>
        <v>42689</v>
      </c>
      <c r="I346" s="199">
        <f>IFERROR(__xludf.DUMMYFUNCTION("""COMPUTED_VALUE"""),8.877777777777778)</f>
        <v>8.877777778</v>
      </c>
      <c r="J346" s="200">
        <f>IFERROR(__xludf.DUMMYFUNCTION("""COMPUTED_VALUE"""),72.0)</f>
        <v>72</v>
      </c>
      <c r="K346" s="200">
        <f>IFERROR(__xludf.DUMMYFUNCTION("""COMPUTED_VALUE"""),72.0)</f>
        <v>72</v>
      </c>
      <c r="L346" s="201" t="str">
        <f>IFERROR(__xludf.DUMMYFUNCTION("""COMPUTED_VALUE"""),"Action-Adventure")</f>
        <v>Action-Adventure</v>
      </c>
      <c r="M346" s="201"/>
    </row>
    <row r="347">
      <c r="A347" s="190" t="str">
        <f>IFERROR(__xludf.DUMMYFUNCTION("""COMPUTED_VALUE"""),"Assassin's Creed Unity")</f>
        <v>Assassin's Creed Unity</v>
      </c>
      <c r="B347" s="195" t="str">
        <f>IFERROR(__xludf.DUMMYFUNCTION("""COMPUTED_VALUE"""),"Xbox / PC")</f>
        <v>Xbox / PC</v>
      </c>
      <c r="C347" s="196" t="str">
        <f>IFERROR(__xludf.DUMMYFUNCTION("""COMPUTED_VALUE"""),"Yes")</f>
        <v>Yes</v>
      </c>
      <c r="D347" s="196" t="str">
        <f>IFERROR(__xludf.DUMMYFUNCTION("""COMPUTED_VALUE"""),"Active")</f>
        <v>Active</v>
      </c>
      <c r="E347" s="197">
        <f>IFERROR(__xludf.DUMMYFUNCTION("""COMPUTED_VALUE"""),45931.0)</f>
        <v>45931</v>
      </c>
      <c r="F347" s="198"/>
      <c r="G347" s="199">
        <f>IFERROR(__xludf.DUMMYFUNCTION("""COMPUTED_VALUE"""),0.4666666666666667)</f>
        <v>0.4666666667</v>
      </c>
      <c r="H347" s="197">
        <f>IFERROR(__xludf.DUMMYFUNCTION("""COMPUTED_VALUE"""),41954.0)</f>
        <v>41954</v>
      </c>
      <c r="I347" s="199">
        <f>IFERROR(__xludf.DUMMYFUNCTION("""COMPUTED_VALUE"""),10.88888888888889)</f>
        <v>10.88888889</v>
      </c>
      <c r="J347" s="200">
        <f>IFERROR(__xludf.DUMMYFUNCTION("""COMPUTED_VALUE"""),72.0)</f>
        <v>72</v>
      </c>
      <c r="K347" s="200">
        <f>IFERROR(__xludf.DUMMYFUNCTION("""COMPUTED_VALUE"""),17.0)</f>
        <v>17</v>
      </c>
      <c r="L347" s="201" t="str">
        <f>IFERROR(__xludf.DUMMYFUNCTION("""COMPUTED_VALUE"""),"Action-Adventure")</f>
        <v>Action-Adventure</v>
      </c>
      <c r="M347" s="201"/>
    </row>
    <row r="348">
      <c r="A348" s="190" t="str">
        <f>IFERROR(__xludf.DUMMYFUNCTION("""COMPUTED_VALUE"""),"Peppa Pig: World Adventures")</f>
        <v>Peppa Pig: World Adventures</v>
      </c>
      <c r="B348" s="195" t="str">
        <f>IFERROR(__xludf.DUMMYFUNCTION("""COMPUTED_VALUE"""),"Xbox / PC")</f>
        <v>Xbox / PC</v>
      </c>
      <c r="C348" s="196" t="str">
        <f>IFERROR(__xludf.DUMMYFUNCTION("""COMPUTED_VALUE"""),"Yes")</f>
        <v>Yes</v>
      </c>
      <c r="D348" s="196" t="str">
        <f>IFERROR(__xludf.DUMMYFUNCTION("""COMPUTED_VALUE"""),"Active")</f>
        <v>Active</v>
      </c>
      <c r="E348" s="197">
        <f>IFERROR(__xludf.DUMMYFUNCTION("""COMPUTED_VALUE"""),45925.0)</f>
        <v>45925</v>
      </c>
      <c r="F348" s="198"/>
      <c r="G348" s="199">
        <f>IFERROR(__xludf.DUMMYFUNCTION("""COMPUTED_VALUE"""),0.6666666666666666)</f>
        <v>0.6666666667</v>
      </c>
      <c r="H348" s="197">
        <f>IFERROR(__xludf.DUMMYFUNCTION("""COMPUTED_VALUE"""),45002.0)</f>
        <v>45002</v>
      </c>
      <c r="I348" s="199">
        <f>IFERROR(__xludf.DUMMYFUNCTION("""COMPUTED_VALUE"""),2.522222222222222)</f>
        <v>2.522222222</v>
      </c>
      <c r="J348" s="200">
        <f>IFERROR(__xludf.DUMMYFUNCTION("""COMPUTED_VALUE"""),72.0)</f>
        <v>72</v>
      </c>
      <c r="K348" s="200">
        <f>IFERROR(__xludf.DUMMYFUNCTION("""COMPUTED_VALUE"""),2.0)</f>
        <v>2</v>
      </c>
      <c r="L348" s="201" t="str">
        <f>IFERROR(__xludf.DUMMYFUNCTION("""COMPUTED_VALUE"""),"Action-Adventure")</f>
        <v>Action-Adventure</v>
      </c>
      <c r="M348" s="201" t="str">
        <f>IFERROR(__xludf.DUMMYFUNCTION("""COMPUTED_VALUE"""),"Exclusive")</f>
        <v>Exclusive</v>
      </c>
    </row>
    <row r="349">
      <c r="A349" s="190" t="str">
        <f>IFERROR(__xludf.DUMMYFUNCTION("""COMPUTED_VALUE"""),"RoboCop: Rogue City")</f>
        <v>RoboCop: Rogue City</v>
      </c>
      <c r="B349" s="195" t="str">
        <f>IFERROR(__xludf.DUMMYFUNCTION("""COMPUTED_VALUE"""),"Xbox / PC")</f>
        <v>Xbox / PC</v>
      </c>
      <c r="C349" s="196" t="str">
        <f>IFERROR(__xludf.DUMMYFUNCTION("""COMPUTED_VALUE"""),"Yes")</f>
        <v>Yes</v>
      </c>
      <c r="D349" s="196" t="str">
        <f>IFERROR(__xludf.DUMMYFUNCTION("""COMPUTED_VALUE"""),"Active")</f>
        <v>Active</v>
      </c>
      <c r="E349" s="197">
        <f>IFERROR(__xludf.DUMMYFUNCTION("""COMPUTED_VALUE"""),45855.0)</f>
        <v>45855</v>
      </c>
      <c r="F349" s="198"/>
      <c r="G349" s="199">
        <f>IFERROR(__xludf.DUMMYFUNCTION("""COMPUTED_VALUE"""),2.933333333333333)</f>
        <v>2.933333333</v>
      </c>
      <c r="H349" s="197">
        <f>IFERROR(__xludf.DUMMYFUNCTION("""COMPUTED_VALUE"""),45232.0)</f>
        <v>45232</v>
      </c>
      <c r="I349" s="199">
        <f>IFERROR(__xludf.DUMMYFUNCTION("""COMPUTED_VALUE"""),1.7083333333333333)</f>
        <v>1.708333333</v>
      </c>
      <c r="J349" s="200">
        <f>IFERROR(__xludf.DUMMYFUNCTION("""COMPUTED_VALUE"""),72.0)</f>
        <v>72</v>
      </c>
      <c r="K349" s="200">
        <f>IFERROR(__xludf.DUMMYFUNCTION("""COMPUTED_VALUE"""),12.0)</f>
        <v>12</v>
      </c>
      <c r="L349" s="201" t="str">
        <f>IFERROR(__xludf.DUMMYFUNCTION("""COMPUTED_VALUE"""),"Shooter")</f>
        <v>Shooter</v>
      </c>
      <c r="M349" s="201" t="str">
        <f>IFERROR(__xludf.DUMMYFUNCTION("""COMPUTED_VALUE"""),"Exclusive")</f>
        <v>Exclusive</v>
      </c>
    </row>
    <row r="350">
      <c r="A350" s="190" t="str">
        <f>IFERROR(__xludf.DUMMYFUNCTION("""COMPUTED_VALUE"""),"Dragon Ball Xenoverse 2")</f>
        <v>Dragon Ball Xenoverse 2</v>
      </c>
      <c r="B350" s="195" t="str">
        <f>IFERROR(__xludf.DUMMYFUNCTION("""COMPUTED_VALUE"""),"Xbox / PC")</f>
        <v>Xbox / PC</v>
      </c>
      <c r="C350" s="196" t="str">
        <f>IFERROR(__xludf.DUMMYFUNCTION("""COMPUTED_VALUE"""),"Yes")</f>
        <v>Yes</v>
      </c>
      <c r="D350" s="196" t="str">
        <f>IFERROR(__xludf.DUMMYFUNCTION("""COMPUTED_VALUE"""),"Active")</f>
        <v>Active</v>
      </c>
      <c r="E350" s="197">
        <f>IFERROR(__xludf.DUMMYFUNCTION("""COMPUTED_VALUE"""),45784.0)</f>
        <v>45784</v>
      </c>
      <c r="F350" s="198"/>
      <c r="G350" s="199">
        <f>IFERROR(__xludf.DUMMYFUNCTION("""COMPUTED_VALUE"""),5.266666666666667)</f>
        <v>5.266666667</v>
      </c>
      <c r="H350" s="197">
        <f>IFERROR(__xludf.DUMMYFUNCTION("""COMPUTED_VALUE"""),42668.0)</f>
        <v>42668</v>
      </c>
      <c r="I350" s="199">
        <f>IFERROR(__xludf.DUMMYFUNCTION("""COMPUTED_VALUE"""),8.533333333333333)</f>
        <v>8.533333333</v>
      </c>
      <c r="J350" s="200">
        <f>IFERROR(__xludf.DUMMYFUNCTION("""COMPUTED_VALUE"""),72.0)</f>
        <v>72</v>
      </c>
      <c r="K350" s="200">
        <f>IFERROR(__xludf.DUMMYFUNCTION("""COMPUTED_VALUE"""),20.0)</f>
        <v>20</v>
      </c>
      <c r="L350" s="201" t="str">
        <f>IFERROR(__xludf.DUMMYFUNCTION("""COMPUTED_VALUE"""),"Fighting")</f>
        <v>Fighting</v>
      </c>
      <c r="M350" s="201"/>
    </row>
    <row r="351">
      <c r="A351" s="190" t="str">
        <f>IFERROR(__xludf.DUMMYFUNCTION("""COMPUTED_VALUE"""),"F1 24")</f>
        <v>F1 24</v>
      </c>
      <c r="B351" s="195" t="str">
        <f>IFERROR(__xludf.DUMMYFUNCTION("""COMPUTED_VALUE"""),"Xbox / PC")</f>
        <v>Xbox / PC</v>
      </c>
      <c r="C351" s="196" t="str">
        <f>IFERROR(__xludf.DUMMYFUNCTION("""COMPUTED_VALUE"""),"Yes")</f>
        <v>Yes</v>
      </c>
      <c r="D351" s="196" t="str">
        <f>IFERROR(__xludf.DUMMYFUNCTION("""COMPUTED_VALUE"""),"Active")</f>
        <v>Active</v>
      </c>
      <c r="E351" s="197">
        <f>IFERROR(__xludf.DUMMYFUNCTION("""COMPUTED_VALUE"""),45708.0)</f>
        <v>45708</v>
      </c>
      <c r="F351" s="198"/>
      <c r="G351" s="199">
        <f>IFERROR(__xludf.DUMMYFUNCTION("""COMPUTED_VALUE"""),7.833333333333334)</f>
        <v>7.833333333</v>
      </c>
      <c r="H351" s="197">
        <f>IFERROR(__xludf.DUMMYFUNCTION("""COMPUTED_VALUE"""),45443.0)</f>
        <v>45443</v>
      </c>
      <c r="I351" s="199">
        <f>IFERROR(__xludf.DUMMYFUNCTION("""COMPUTED_VALUE"""),0.7222222222222222)</f>
        <v>0.7222222222</v>
      </c>
      <c r="J351" s="200">
        <f>IFERROR(__xludf.DUMMYFUNCTION("""COMPUTED_VALUE"""),72.0)</f>
        <v>72</v>
      </c>
      <c r="K351" s="200">
        <f>IFERROR(__xludf.DUMMYFUNCTION("""COMPUTED_VALUE"""),7.0)</f>
        <v>7</v>
      </c>
      <c r="L351" s="201" t="str">
        <f>IFERROR(__xludf.DUMMYFUNCTION("""COMPUTED_VALUE"""),"Racing")</f>
        <v>Racing</v>
      </c>
      <c r="M351" s="201"/>
    </row>
    <row r="352">
      <c r="A352" s="190" t="str">
        <f>IFERROR(__xludf.DUMMYFUNCTION("""COMPUTED_VALUE"""),"Legend of Mana (2021)")</f>
        <v>Legend of Mana (2021)</v>
      </c>
      <c r="B352" s="195" t="str">
        <f>IFERROR(__xludf.DUMMYFUNCTION("""COMPUTED_VALUE"""),"Xbox / PC")</f>
        <v>Xbox / PC</v>
      </c>
      <c r="C352" s="196" t="str">
        <f>IFERROR(__xludf.DUMMYFUNCTION("""COMPUTED_VALUE"""),"Yes")</f>
        <v>Yes</v>
      </c>
      <c r="D352" s="196" t="str">
        <f>IFERROR(__xludf.DUMMYFUNCTION("""COMPUTED_VALUE"""),"Active")</f>
        <v>Active</v>
      </c>
      <c r="E352" s="197">
        <f>IFERROR(__xludf.DUMMYFUNCTION("""COMPUTED_VALUE"""),45561.0)</f>
        <v>45561</v>
      </c>
      <c r="F352" s="198"/>
      <c r="G352" s="199">
        <f>IFERROR(__xludf.DUMMYFUNCTION("""COMPUTED_VALUE"""),12.633333333333333)</f>
        <v>12.63333333</v>
      </c>
      <c r="H352" s="197">
        <f>IFERROR(__xludf.DUMMYFUNCTION("""COMPUTED_VALUE"""),44371.0)</f>
        <v>44371</v>
      </c>
      <c r="I352" s="199">
        <f>IFERROR(__xludf.DUMMYFUNCTION("""COMPUTED_VALUE"""),3.2555555555555555)</f>
        <v>3.255555556</v>
      </c>
      <c r="J352" s="200">
        <f>IFERROR(__xludf.DUMMYFUNCTION("""COMPUTED_VALUE"""),72.0)</f>
        <v>72</v>
      </c>
      <c r="K352" s="200">
        <f>IFERROR(__xludf.DUMMYFUNCTION("""COMPUTED_VALUE"""),18.0)</f>
        <v>18</v>
      </c>
      <c r="L352" s="201" t="str">
        <f>IFERROR(__xludf.DUMMYFUNCTION("""COMPUTED_VALUE"""),"RPG")</f>
        <v>RPG</v>
      </c>
      <c r="M352" s="201"/>
    </row>
    <row r="353">
      <c r="A353" s="190" t="str">
        <f>IFERROR(__xludf.DUMMYFUNCTION("""COMPUTED_VALUE"""),"Massive Chalice")</f>
        <v>Massive Chalice</v>
      </c>
      <c r="B353" s="195" t="str">
        <f>IFERROR(__xludf.DUMMYFUNCTION("""COMPUTED_VALUE"""),"Xbox")</f>
        <v>Xbox</v>
      </c>
      <c r="C353" s="196" t="str">
        <f>IFERROR(__xludf.DUMMYFUNCTION("""COMPUTED_VALUE"""),"Yes")</f>
        <v>Yes</v>
      </c>
      <c r="D353" s="196" t="str">
        <f>IFERROR(__xludf.DUMMYFUNCTION("""COMPUTED_VALUE"""),"Active")</f>
        <v>Active</v>
      </c>
      <c r="E353" s="197">
        <f>IFERROR(__xludf.DUMMYFUNCTION("""COMPUTED_VALUE"""),45071.0)</f>
        <v>45071</v>
      </c>
      <c r="F353" s="198"/>
      <c r="G353" s="199">
        <f>IFERROR(__xludf.DUMMYFUNCTION("""COMPUTED_VALUE"""),28.666666666666664)</f>
        <v>28.66666667</v>
      </c>
      <c r="H353" s="197">
        <f>IFERROR(__xludf.DUMMYFUNCTION("""COMPUTED_VALUE"""),42156.0)</f>
        <v>42156</v>
      </c>
      <c r="I353" s="199">
        <f>IFERROR(__xludf.DUMMYFUNCTION("""COMPUTED_VALUE"""),7.983333333333333)</f>
        <v>7.983333333</v>
      </c>
      <c r="J353" s="200">
        <f>IFERROR(__xludf.DUMMYFUNCTION("""COMPUTED_VALUE"""),72.0)</f>
        <v>72</v>
      </c>
      <c r="K353" s="200">
        <f>IFERROR(__xludf.DUMMYFUNCTION("""COMPUTED_VALUE"""),15.5)</f>
        <v>15.5</v>
      </c>
      <c r="L353" s="201" t="str">
        <f>IFERROR(__xludf.DUMMYFUNCTION("""COMPUTED_VALUE"""),"Strategy / RPG")</f>
        <v>Strategy / RPG</v>
      </c>
      <c r="M353" s="201"/>
    </row>
    <row r="354">
      <c r="A354" s="190" t="str">
        <f>IFERROR(__xludf.DUMMYFUNCTION("""COMPUTED_VALUE"""),"Mirror's Edge: Catalyst")</f>
        <v>Mirror's Edge: Catalyst</v>
      </c>
      <c r="B354" s="195" t="str">
        <f>IFERROR(__xludf.DUMMYFUNCTION("""COMPUTED_VALUE"""),"Xbox / PC")</f>
        <v>Xbox / PC</v>
      </c>
      <c r="C354" s="196" t="str">
        <f>IFERROR(__xludf.DUMMYFUNCTION("""COMPUTED_VALUE"""),"Yes")</f>
        <v>Yes</v>
      </c>
      <c r="D354" s="196" t="str">
        <f>IFERROR(__xludf.DUMMYFUNCTION("""COMPUTED_VALUE"""),"Active")</f>
        <v>Active</v>
      </c>
      <c r="E354" s="197">
        <f>IFERROR(__xludf.DUMMYFUNCTION("""COMPUTED_VALUE"""),44145.0)</f>
        <v>44145</v>
      </c>
      <c r="F354" s="198"/>
      <c r="G354" s="199">
        <f>IFERROR(__xludf.DUMMYFUNCTION("""COMPUTED_VALUE"""),59.166666666666664)</f>
        <v>59.16666667</v>
      </c>
      <c r="H354" s="197">
        <f>IFERROR(__xludf.DUMMYFUNCTION("""COMPUTED_VALUE"""),42528.0)</f>
        <v>42528</v>
      </c>
      <c r="I354" s="199">
        <f>IFERROR(__xludf.DUMMYFUNCTION("""COMPUTED_VALUE"""),4.425)</f>
        <v>4.425</v>
      </c>
      <c r="J354" s="200">
        <f>IFERROR(__xludf.DUMMYFUNCTION("""COMPUTED_VALUE"""),72.0)</f>
        <v>72</v>
      </c>
      <c r="K354" s="200">
        <f>IFERROR(__xludf.DUMMYFUNCTION("""COMPUTED_VALUE"""),8.5)</f>
        <v>8.5</v>
      </c>
      <c r="L354" s="201" t="str">
        <f>IFERROR(__xludf.DUMMYFUNCTION("""COMPUTED_VALUE"""),"Action-Adventure")</f>
        <v>Action-Adventure</v>
      </c>
      <c r="M354" s="201" t="str">
        <f>IFERROR(__xludf.DUMMYFUNCTION("""COMPUTED_VALUE"""),"FPS Boost X Only")</f>
        <v>FPS Boost X Only</v>
      </c>
    </row>
    <row r="355">
      <c r="A355" s="190" t="str">
        <f>IFERROR(__xludf.DUMMYFUNCTION("""COMPUTED_VALUE"""),"RAGE 2")</f>
        <v>RAGE 2</v>
      </c>
      <c r="B355" s="195" t="str">
        <f>IFERROR(__xludf.DUMMYFUNCTION("""COMPUTED_VALUE"""),"Xbox / PC")</f>
        <v>Xbox / PC</v>
      </c>
      <c r="C355" s="196" t="str">
        <f>IFERROR(__xludf.DUMMYFUNCTION("""COMPUTED_VALUE"""),"Yes")</f>
        <v>Yes</v>
      </c>
      <c r="D355" s="196" t="str">
        <f>IFERROR(__xludf.DUMMYFUNCTION("""COMPUTED_VALUE"""),"Active")</f>
        <v>Active</v>
      </c>
      <c r="E355" s="197">
        <f>IFERROR(__xludf.DUMMYFUNCTION("""COMPUTED_VALUE"""),43783.0)</f>
        <v>43783</v>
      </c>
      <c r="F355" s="198"/>
      <c r="G355" s="199">
        <f>IFERROR(__xludf.DUMMYFUNCTION("""COMPUTED_VALUE"""),71.03333333333333)</f>
        <v>71.03333333</v>
      </c>
      <c r="H355" s="197">
        <f>IFERROR(__xludf.DUMMYFUNCTION("""COMPUTED_VALUE"""),43599.0)</f>
        <v>43599</v>
      </c>
      <c r="I355" s="199">
        <f>IFERROR(__xludf.DUMMYFUNCTION("""COMPUTED_VALUE"""),0.5)</f>
        <v>0.5</v>
      </c>
      <c r="J355" s="200">
        <f>IFERROR(__xludf.DUMMYFUNCTION("""COMPUTED_VALUE"""),72.0)</f>
        <v>72</v>
      </c>
      <c r="K355" s="200">
        <f>IFERROR(__xludf.DUMMYFUNCTION("""COMPUTED_VALUE"""),10.0)</f>
        <v>10</v>
      </c>
      <c r="L355" s="201" t="str">
        <f>IFERROR(__xludf.DUMMYFUNCTION("""COMPUTED_VALUE"""),"First-Person Shooter")</f>
        <v>First-Person Shooter</v>
      </c>
      <c r="M355" s="201"/>
    </row>
    <row r="356">
      <c r="A356" s="190" t="str">
        <f>IFERROR(__xludf.DUMMYFUNCTION("""COMPUTED_VALUE"""),"ASTRONEER")</f>
        <v>ASTRONEER</v>
      </c>
      <c r="B356" s="195" t="str">
        <f>IFERROR(__xludf.DUMMYFUNCTION("""COMPUTED_VALUE"""),"Xbox / PC")</f>
        <v>Xbox / PC</v>
      </c>
      <c r="C356" s="196" t="str">
        <f>IFERROR(__xludf.DUMMYFUNCTION("""COMPUTED_VALUE"""),"Yes")</f>
        <v>Yes</v>
      </c>
      <c r="D356" s="196" t="str">
        <f>IFERROR(__xludf.DUMMYFUNCTION("""COMPUTED_VALUE"""),"Active")</f>
        <v>Active</v>
      </c>
      <c r="E356" s="197">
        <f>IFERROR(__xludf.DUMMYFUNCTION("""COMPUTED_VALUE"""),43625.0)</f>
        <v>43625</v>
      </c>
      <c r="F356" s="198"/>
      <c r="G356" s="199">
        <f>IFERROR(__xludf.DUMMYFUNCTION("""COMPUTED_VALUE"""),76.19999999999999)</f>
        <v>76.2</v>
      </c>
      <c r="H356" s="197">
        <f>IFERROR(__xludf.DUMMYFUNCTION("""COMPUTED_VALUE"""),42720.0)</f>
        <v>42720</v>
      </c>
      <c r="I356" s="199">
        <f>IFERROR(__xludf.DUMMYFUNCTION("""COMPUTED_VALUE"""),2.4805555555555556)</f>
        <v>2.480555556</v>
      </c>
      <c r="J356" s="200">
        <f>IFERROR(__xludf.DUMMYFUNCTION("""COMPUTED_VALUE"""),72.0)</f>
        <v>72</v>
      </c>
      <c r="K356" s="200">
        <f>IFERROR(__xludf.DUMMYFUNCTION("""COMPUTED_VALUE"""),18.5)</f>
        <v>18.5</v>
      </c>
      <c r="L356" s="201" t="str">
        <f>IFERROR(__xludf.DUMMYFUNCTION("""COMPUTED_VALUE"""),"Adventure")</f>
        <v>Adventure</v>
      </c>
      <c r="M356" s="201"/>
    </row>
    <row r="357">
      <c r="A357" s="190" t="str">
        <f>IFERROR(__xludf.DUMMYFUNCTION("""COMPUTED_VALUE"""),"Tom Clancy's Rainbow Six: Extraction")</f>
        <v>Tom Clancy's Rainbow Six: Extraction</v>
      </c>
      <c r="B357" s="195" t="str">
        <f>IFERROR(__xludf.DUMMYFUNCTION("""COMPUTED_VALUE"""),"Xbox / PC")</f>
        <v>Xbox / PC</v>
      </c>
      <c r="C357" s="196" t="str">
        <f>IFERROR(__xludf.DUMMYFUNCTION("""COMPUTED_VALUE"""),"Yes")</f>
        <v>Yes</v>
      </c>
      <c r="D357" s="196" t="str">
        <f>IFERROR(__xludf.DUMMYFUNCTION("""COMPUTED_VALUE"""),"Active")</f>
        <v>Active</v>
      </c>
      <c r="E357" s="197">
        <f>IFERROR(__xludf.DUMMYFUNCTION("""COMPUTED_VALUE"""),45931.0)</f>
        <v>45931</v>
      </c>
      <c r="F357" s="198"/>
      <c r="G357" s="199">
        <f>IFERROR(__xludf.DUMMYFUNCTION("""COMPUTED_VALUE"""),0.4666666666666667)</f>
        <v>0.4666666667</v>
      </c>
      <c r="H357" s="197">
        <f>IFERROR(__xludf.DUMMYFUNCTION("""COMPUTED_VALUE"""),44581.0)</f>
        <v>44581</v>
      </c>
      <c r="I357" s="199">
        <f>IFERROR(__xludf.DUMMYFUNCTION("""COMPUTED_VALUE"""),3.6972222222222224)</f>
        <v>3.697222222</v>
      </c>
      <c r="J357" s="200">
        <f>IFERROR(__xludf.DUMMYFUNCTION("""COMPUTED_VALUE"""),71.5)</f>
        <v>71.5</v>
      </c>
      <c r="K357" s="200">
        <f>IFERROR(__xludf.DUMMYFUNCTION("""COMPUTED_VALUE"""),8.0)</f>
        <v>8</v>
      </c>
      <c r="L357" s="201" t="str">
        <f>IFERROR(__xludf.DUMMYFUNCTION("""COMPUTED_VALUE"""),"Shooter")</f>
        <v>Shooter</v>
      </c>
      <c r="M357" s="201"/>
    </row>
    <row r="358">
      <c r="A358" s="190" t="str">
        <f>IFERROR(__xludf.DUMMYFUNCTION("""COMPUTED_VALUE"""),"Assassin's Creed Rogue: Remastered")</f>
        <v>Assassin's Creed Rogue: Remastered</v>
      </c>
      <c r="B358" s="195" t="str">
        <f>IFERROR(__xludf.DUMMYFUNCTION("""COMPUTED_VALUE"""),"Xbox / PC")</f>
        <v>Xbox / PC</v>
      </c>
      <c r="C358" s="196" t="str">
        <f>IFERROR(__xludf.DUMMYFUNCTION("""COMPUTED_VALUE"""),"Yes")</f>
        <v>Yes</v>
      </c>
      <c r="D358" s="196" t="str">
        <f>IFERROR(__xludf.DUMMYFUNCTION("""COMPUTED_VALUE"""),"Active")</f>
        <v>Active</v>
      </c>
      <c r="E358" s="197">
        <f>IFERROR(__xludf.DUMMYFUNCTION("""COMPUTED_VALUE"""),45931.0)</f>
        <v>45931</v>
      </c>
      <c r="F358" s="198"/>
      <c r="G358" s="199">
        <f>IFERROR(__xludf.DUMMYFUNCTION("""COMPUTED_VALUE"""),0.4666666666666667)</f>
        <v>0.4666666667</v>
      </c>
      <c r="H358" s="197">
        <f>IFERROR(__xludf.DUMMYFUNCTION("""COMPUTED_VALUE"""),43179.0)</f>
        <v>43179</v>
      </c>
      <c r="I358" s="199">
        <f>IFERROR(__xludf.DUMMYFUNCTION("""COMPUTED_VALUE"""),7.530555555555556)</f>
        <v>7.530555556</v>
      </c>
      <c r="J358" s="200">
        <f>IFERROR(__xludf.DUMMYFUNCTION("""COMPUTED_VALUE"""),71.0)</f>
        <v>71</v>
      </c>
      <c r="K358" s="200">
        <f>IFERROR(__xludf.DUMMYFUNCTION("""COMPUTED_VALUE"""),11.0)</f>
        <v>11</v>
      </c>
      <c r="L358" s="201" t="str">
        <f>IFERROR(__xludf.DUMMYFUNCTION("""COMPUTED_VALUE"""),"Action-Adventure")</f>
        <v>Action-Adventure</v>
      </c>
      <c r="M358" s="201"/>
    </row>
    <row r="359">
      <c r="A359" s="190" t="str">
        <f>IFERROR(__xludf.DUMMYFUNCTION("""COMPUTED_VALUE"""),"OddBallers")</f>
        <v>OddBallers</v>
      </c>
      <c r="B359" s="195" t="str">
        <f>IFERROR(__xludf.DUMMYFUNCTION("""COMPUTED_VALUE"""),"Xbox / PC")</f>
        <v>Xbox / PC</v>
      </c>
      <c r="C359" s="196" t="str">
        <f>IFERROR(__xludf.DUMMYFUNCTION("""COMPUTED_VALUE"""),"Yes")</f>
        <v>Yes</v>
      </c>
      <c r="D359" s="196" t="str">
        <f>IFERROR(__xludf.DUMMYFUNCTION("""COMPUTED_VALUE"""),"Active")</f>
        <v>Active</v>
      </c>
      <c r="E359" s="197">
        <f>IFERROR(__xludf.DUMMYFUNCTION("""COMPUTED_VALUE"""),45931.0)</f>
        <v>45931</v>
      </c>
      <c r="F359" s="198"/>
      <c r="G359" s="199">
        <f>IFERROR(__xludf.DUMMYFUNCTION("""COMPUTED_VALUE"""),0.4666666666666667)</f>
        <v>0.4666666667</v>
      </c>
      <c r="H359" s="197">
        <f>IFERROR(__xludf.DUMMYFUNCTION("""COMPUTED_VALUE"""),44952.0)</f>
        <v>44952</v>
      </c>
      <c r="I359" s="199">
        <f>IFERROR(__xludf.DUMMYFUNCTION("""COMPUTED_VALUE"""),2.6805555555555554)</f>
        <v>2.680555556</v>
      </c>
      <c r="J359" s="200">
        <f>IFERROR(__xludf.DUMMYFUNCTION("""COMPUTED_VALUE"""),71.0)</f>
        <v>71</v>
      </c>
      <c r="K359" s="200">
        <f>IFERROR(__xludf.DUMMYFUNCTION("""COMPUTED_VALUE"""),8.0)</f>
        <v>8</v>
      </c>
      <c r="L359" s="201" t="str">
        <f>IFERROR(__xludf.DUMMYFUNCTION("""COMPUTED_VALUE"""),"Party")</f>
        <v>Party</v>
      </c>
      <c r="M359" s="201"/>
    </row>
    <row r="360">
      <c r="A360" s="190" t="str">
        <f>IFERROR(__xludf.DUMMYFUNCTION("""COMPUTED_VALUE"""),"Steep")</f>
        <v>Steep</v>
      </c>
      <c r="B360" s="195" t="str">
        <f>IFERROR(__xludf.DUMMYFUNCTION("""COMPUTED_VALUE"""),"Xbox / PC")</f>
        <v>Xbox / PC</v>
      </c>
      <c r="C360" s="196" t="str">
        <f>IFERROR(__xludf.DUMMYFUNCTION("""COMPUTED_VALUE"""),"Yes")</f>
        <v>Yes</v>
      </c>
      <c r="D360" s="196" t="str">
        <f>IFERROR(__xludf.DUMMYFUNCTION("""COMPUTED_VALUE"""),"Active")</f>
        <v>Active</v>
      </c>
      <c r="E360" s="197">
        <f>IFERROR(__xludf.DUMMYFUNCTION("""COMPUTED_VALUE"""),45931.0)</f>
        <v>45931</v>
      </c>
      <c r="F360" s="198"/>
      <c r="G360" s="199">
        <f>IFERROR(__xludf.DUMMYFUNCTION("""COMPUTED_VALUE"""),0.4666666666666667)</f>
        <v>0.4666666667</v>
      </c>
      <c r="H360" s="197">
        <f>IFERROR(__xludf.DUMMYFUNCTION("""COMPUTED_VALUE"""),42703.0)</f>
        <v>42703</v>
      </c>
      <c r="I360" s="199">
        <f>IFERROR(__xludf.DUMMYFUNCTION("""COMPUTED_VALUE"""),8.838888888888889)</f>
        <v>8.838888889</v>
      </c>
      <c r="J360" s="200">
        <f>IFERROR(__xludf.DUMMYFUNCTION("""COMPUTED_VALUE"""),71.0)</f>
        <v>71</v>
      </c>
      <c r="K360" s="200">
        <f>IFERROR(__xludf.DUMMYFUNCTION("""COMPUTED_VALUE"""),12.0)</f>
        <v>12</v>
      </c>
      <c r="L360" s="201" t="str">
        <f>IFERROR(__xludf.DUMMYFUNCTION("""COMPUTED_VALUE"""),"Sports")</f>
        <v>Sports</v>
      </c>
      <c r="M360" s="201"/>
    </row>
    <row r="361">
      <c r="A361" s="190" t="str">
        <f>IFERROR(__xludf.DUMMYFUNCTION("""COMPUTED_VALUE"""),"Transference")</f>
        <v>Transference</v>
      </c>
      <c r="B361" s="195" t="str">
        <f>IFERROR(__xludf.DUMMYFUNCTION("""COMPUTED_VALUE"""),"Xbox")</f>
        <v>Xbox</v>
      </c>
      <c r="C361" s="196" t="str">
        <f>IFERROR(__xludf.DUMMYFUNCTION("""COMPUTED_VALUE"""),"Yes")</f>
        <v>Yes</v>
      </c>
      <c r="D361" s="196" t="str">
        <f>IFERROR(__xludf.DUMMYFUNCTION("""COMPUTED_VALUE"""),"Active")</f>
        <v>Active</v>
      </c>
      <c r="E361" s="197">
        <f>IFERROR(__xludf.DUMMYFUNCTION("""COMPUTED_VALUE"""),45931.0)</f>
        <v>45931</v>
      </c>
      <c r="F361" s="198"/>
      <c r="G361" s="199">
        <f>IFERROR(__xludf.DUMMYFUNCTION("""COMPUTED_VALUE"""),0.4666666666666667)</f>
        <v>0.4666666667</v>
      </c>
      <c r="H361" s="197">
        <f>IFERROR(__xludf.DUMMYFUNCTION("""COMPUTED_VALUE"""),43361.0)</f>
        <v>43361</v>
      </c>
      <c r="I361" s="199">
        <f>IFERROR(__xludf.DUMMYFUNCTION("""COMPUTED_VALUE"""),7.036111111111111)</f>
        <v>7.036111111</v>
      </c>
      <c r="J361" s="200">
        <f>IFERROR(__xludf.DUMMYFUNCTION("""COMPUTED_VALUE"""),71.0)</f>
        <v>71</v>
      </c>
      <c r="K361" s="200">
        <f>IFERROR(__xludf.DUMMYFUNCTION("""COMPUTED_VALUE"""),2.0)</f>
        <v>2</v>
      </c>
      <c r="L361" s="201" t="str">
        <f>IFERROR(__xludf.DUMMYFUNCTION("""COMPUTED_VALUE"""),"Action-Adventure")</f>
        <v>Action-Adventure</v>
      </c>
      <c r="M361" s="201"/>
    </row>
    <row r="362">
      <c r="A362" s="190" t="str">
        <f>IFERROR(__xludf.DUMMYFUNCTION("""COMPUTED_VALUE"""),"Wheel World")</f>
        <v>Wheel World</v>
      </c>
      <c r="B362" s="195" t="str">
        <f>IFERROR(__xludf.DUMMYFUNCTION("""COMPUTED_VALUE"""),"Xbox / PC")</f>
        <v>Xbox / PC</v>
      </c>
      <c r="C362" s="196" t="str">
        <f>IFERROR(__xludf.DUMMYFUNCTION("""COMPUTED_VALUE"""),"Yes")</f>
        <v>Yes</v>
      </c>
      <c r="D362" s="196" t="str">
        <f>IFERROR(__xludf.DUMMYFUNCTION("""COMPUTED_VALUE"""),"Active")</f>
        <v>Active</v>
      </c>
      <c r="E362" s="197">
        <f>IFERROR(__xludf.DUMMYFUNCTION("""COMPUTED_VALUE"""),45861.0)</f>
        <v>45861</v>
      </c>
      <c r="F362" s="198"/>
      <c r="G362" s="199">
        <f>IFERROR(__xludf.DUMMYFUNCTION("""COMPUTED_VALUE"""),2.7333333333333334)</f>
        <v>2.733333333</v>
      </c>
      <c r="H362" s="197">
        <f>IFERROR(__xludf.DUMMYFUNCTION("""COMPUTED_VALUE"""),45861.0)</f>
        <v>45861</v>
      </c>
      <c r="I362" s="199">
        <f>IFERROR(__xludf.DUMMYFUNCTION("""COMPUTED_VALUE"""),0.0)</f>
        <v>0</v>
      </c>
      <c r="J362" s="200">
        <f>IFERROR(__xludf.DUMMYFUNCTION("""COMPUTED_VALUE"""),71.0)</f>
        <v>71</v>
      </c>
      <c r="K362" s="200">
        <f>IFERROR(__xludf.DUMMYFUNCTION("""COMPUTED_VALUE"""),5.0)</f>
        <v>5</v>
      </c>
      <c r="L362" s="201" t="str">
        <f>IFERROR(__xludf.DUMMYFUNCTION("""COMPUTED_VALUE"""),"Action-Adventure")</f>
        <v>Action-Adventure</v>
      </c>
      <c r="M362" s="201" t="str">
        <f>IFERROR(__xludf.DUMMYFUNCTION("""COMPUTED_VALUE"""),"Exclusive")</f>
        <v>Exclusive</v>
      </c>
    </row>
    <row r="363">
      <c r="A363" s="190" t="str">
        <f>IFERROR(__xludf.DUMMYFUNCTION("""COMPUTED_VALUE"""),"Far Cry: New Dawn")</f>
        <v>Far Cry: New Dawn</v>
      </c>
      <c r="B363" s="195" t="str">
        <f>IFERROR(__xludf.DUMMYFUNCTION("""COMPUTED_VALUE"""),"Xbox / PC")</f>
        <v>Xbox / PC</v>
      </c>
      <c r="C363" s="196" t="str">
        <f>IFERROR(__xludf.DUMMYFUNCTION("""COMPUTED_VALUE"""),"Yes")</f>
        <v>Yes</v>
      </c>
      <c r="D363" s="196" t="str">
        <f>IFERROR(__xludf.DUMMYFUNCTION("""COMPUTED_VALUE"""),"Active")</f>
        <v>Active</v>
      </c>
      <c r="E363" s="197">
        <f>IFERROR(__xludf.DUMMYFUNCTION("""COMPUTED_VALUE"""),45692.0)</f>
        <v>45692</v>
      </c>
      <c r="F363" s="198"/>
      <c r="G363" s="199">
        <f>IFERROR(__xludf.DUMMYFUNCTION("""COMPUTED_VALUE"""),8.366666666666667)</f>
        <v>8.366666667</v>
      </c>
      <c r="H363" s="197">
        <f>IFERROR(__xludf.DUMMYFUNCTION("""COMPUTED_VALUE"""),43511.0)</f>
        <v>43511</v>
      </c>
      <c r="I363" s="199">
        <f>IFERROR(__xludf.DUMMYFUNCTION("""COMPUTED_VALUE"""),5.969444444444444)</f>
        <v>5.969444444</v>
      </c>
      <c r="J363" s="200">
        <f>IFERROR(__xludf.DUMMYFUNCTION("""COMPUTED_VALUE"""),71.0)</f>
        <v>71</v>
      </c>
      <c r="K363" s="200">
        <f>IFERROR(__xludf.DUMMYFUNCTION("""COMPUTED_VALUE"""),11.0)</f>
        <v>11</v>
      </c>
      <c r="L363" s="201" t="str">
        <f>IFERROR(__xludf.DUMMYFUNCTION("""COMPUTED_VALUE"""),"Shooter")</f>
        <v>Shooter</v>
      </c>
      <c r="M363" s="201"/>
    </row>
    <row r="364">
      <c r="A364" s="190" t="str">
        <f>IFERROR(__xludf.DUMMYFUNCTION("""COMPUTED_VALUE"""),"Flintlock: The Siege of Dawn")</f>
        <v>Flintlock: The Siege of Dawn</v>
      </c>
      <c r="B364" s="195" t="str">
        <f>IFERROR(__xludf.DUMMYFUNCTION("""COMPUTED_VALUE"""),"Xbox / PC")</f>
        <v>Xbox / PC</v>
      </c>
      <c r="C364" s="196" t="str">
        <f>IFERROR(__xludf.DUMMYFUNCTION("""COMPUTED_VALUE"""),"Yes")</f>
        <v>Yes</v>
      </c>
      <c r="D364" s="196" t="str">
        <f>IFERROR(__xludf.DUMMYFUNCTION("""COMPUTED_VALUE"""),"Active")</f>
        <v>Active</v>
      </c>
      <c r="E364" s="197">
        <f>IFERROR(__xludf.DUMMYFUNCTION("""COMPUTED_VALUE"""),45491.0)</f>
        <v>45491</v>
      </c>
      <c r="F364" s="198"/>
      <c r="G364" s="199">
        <f>IFERROR(__xludf.DUMMYFUNCTION("""COMPUTED_VALUE"""),14.9)</f>
        <v>14.9</v>
      </c>
      <c r="H364" s="197">
        <f>IFERROR(__xludf.DUMMYFUNCTION("""COMPUTED_VALUE"""),45491.0)</f>
        <v>45491</v>
      </c>
      <c r="I364" s="199">
        <f>IFERROR(__xludf.DUMMYFUNCTION("""COMPUTED_VALUE"""),0.0)</f>
        <v>0</v>
      </c>
      <c r="J364" s="200">
        <f>IFERROR(__xludf.DUMMYFUNCTION("""COMPUTED_VALUE"""),71.0)</f>
        <v>71</v>
      </c>
      <c r="K364" s="200">
        <f>IFERROR(__xludf.DUMMYFUNCTION("""COMPUTED_VALUE"""),9.0)</f>
        <v>9</v>
      </c>
      <c r="L364" s="201" t="str">
        <f>IFERROR(__xludf.DUMMYFUNCTION("""COMPUTED_VALUE"""),"Action-Adventure")</f>
        <v>Action-Adventure</v>
      </c>
      <c r="M364" s="201" t="str">
        <f>IFERROR(__xludf.DUMMYFUNCTION("""COMPUTED_VALUE"""),"Exclusive")</f>
        <v>Exclusive</v>
      </c>
    </row>
    <row r="365">
      <c r="A365" s="190" t="str">
        <f>IFERROR(__xludf.DUMMYFUNCTION("""COMPUTED_VALUE"""),"NHL 24")</f>
        <v>NHL 24</v>
      </c>
      <c r="B365" s="195" t="str">
        <f>IFERROR(__xludf.DUMMYFUNCTION("""COMPUTED_VALUE"""),"Xbox")</f>
        <v>Xbox</v>
      </c>
      <c r="C365" s="196" t="str">
        <f>IFERROR(__xludf.DUMMYFUNCTION("""COMPUTED_VALUE"""),"Yes")</f>
        <v>Yes</v>
      </c>
      <c r="D365" s="196" t="str">
        <f>IFERROR(__xludf.DUMMYFUNCTION("""COMPUTED_VALUE"""),"Active")</f>
        <v>Active</v>
      </c>
      <c r="E365" s="197">
        <f>IFERROR(__xludf.DUMMYFUNCTION("""COMPUTED_VALUE"""),45400.0)</f>
        <v>45400</v>
      </c>
      <c r="F365" s="198"/>
      <c r="G365" s="199">
        <f>IFERROR(__xludf.DUMMYFUNCTION("""COMPUTED_VALUE"""),17.9)</f>
        <v>17.9</v>
      </c>
      <c r="H365" s="197">
        <f>IFERROR(__xludf.DUMMYFUNCTION("""COMPUTED_VALUE"""),45205.0)</f>
        <v>45205</v>
      </c>
      <c r="I365" s="199">
        <f>IFERROR(__xludf.DUMMYFUNCTION("""COMPUTED_VALUE"""),0.5333333333333333)</f>
        <v>0.5333333333</v>
      </c>
      <c r="J365" s="200">
        <f>IFERROR(__xludf.DUMMYFUNCTION("""COMPUTED_VALUE"""),71.0)</f>
        <v>71</v>
      </c>
      <c r="K365" s="200"/>
      <c r="L365" s="201" t="str">
        <f>IFERROR(__xludf.DUMMYFUNCTION("""COMPUTED_VALUE"""),"Sports")</f>
        <v>Sports</v>
      </c>
      <c r="M365" s="201"/>
    </row>
    <row r="366">
      <c r="A366" s="190" t="str">
        <f>IFERROR(__xludf.DUMMYFUNCTION("""COMPUTED_VALUE"""),"Blinx: The Time Sweeper")</f>
        <v>Blinx: The Time Sweeper</v>
      </c>
      <c r="B366" s="195" t="str">
        <f>IFERROR(__xludf.DUMMYFUNCTION("""COMPUTED_VALUE"""),"Xbox")</f>
        <v>Xbox</v>
      </c>
      <c r="C366" s="196" t="str">
        <f>IFERROR(__xludf.DUMMYFUNCTION("""COMPUTED_VALUE"""),"Touch Controls")</f>
        <v>Touch Controls</v>
      </c>
      <c r="D366" s="196" t="str">
        <f>IFERROR(__xludf.DUMMYFUNCTION("""COMPUTED_VALUE"""),"Active")</f>
        <v>Active</v>
      </c>
      <c r="E366" s="197">
        <f>IFERROR(__xludf.DUMMYFUNCTION("""COMPUTED_VALUE"""),44399.0)</f>
        <v>44399</v>
      </c>
      <c r="F366" s="198"/>
      <c r="G366" s="199">
        <f>IFERROR(__xludf.DUMMYFUNCTION("""COMPUTED_VALUE"""),50.766666666666666)</f>
        <v>50.76666667</v>
      </c>
      <c r="H366" s="197">
        <f>IFERROR(__xludf.DUMMYFUNCTION("""COMPUTED_VALUE"""),37536.0)</f>
        <v>37536</v>
      </c>
      <c r="I366" s="199">
        <f>IFERROR(__xludf.DUMMYFUNCTION("""COMPUTED_VALUE"""),18.791666666666668)</f>
        <v>18.79166667</v>
      </c>
      <c r="J366" s="200">
        <f>IFERROR(__xludf.DUMMYFUNCTION("""COMPUTED_VALUE"""),71.0)</f>
        <v>71</v>
      </c>
      <c r="K366" s="200">
        <f>IFERROR(__xludf.DUMMYFUNCTION("""COMPUTED_VALUE"""),10.0)</f>
        <v>10</v>
      </c>
      <c r="L366" s="201" t="str">
        <f>IFERROR(__xludf.DUMMYFUNCTION("""COMPUTED_VALUE"""),"Action")</f>
        <v>Action</v>
      </c>
      <c r="M366" s="201"/>
    </row>
    <row r="367">
      <c r="A367" s="190" t="str">
        <f>IFERROR(__xludf.DUMMYFUNCTION("""COMPUTED_VALUE"""),"Madden NFL 25 (2024)")</f>
        <v>Madden NFL 25 (2024)</v>
      </c>
      <c r="B367" s="195" t="str">
        <f>IFERROR(__xludf.DUMMYFUNCTION("""COMPUTED_VALUE"""),"Xbox / PC")</f>
        <v>Xbox / PC</v>
      </c>
      <c r="C367" s="196" t="str">
        <f>IFERROR(__xludf.DUMMYFUNCTION("""COMPUTED_VALUE"""),"Yes")</f>
        <v>Yes</v>
      </c>
      <c r="D367" s="196" t="str">
        <f>IFERROR(__xludf.DUMMYFUNCTION("""COMPUTED_VALUE"""),"Active")</f>
        <v>Active</v>
      </c>
      <c r="E367" s="197">
        <f>IFERROR(__xludf.DUMMYFUNCTION("""COMPUTED_VALUE"""),45694.0)</f>
        <v>45694</v>
      </c>
      <c r="F367" s="198"/>
      <c r="G367" s="199">
        <f>IFERROR(__xludf.DUMMYFUNCTION("""COMPUTED_VALUE"""),8.3)</f>
        <v>8.3</v>
      </c>
      <c r="H367" s="197">
        <f>IFERROR(__xludf.DUMMYFUNCTION("""COMPUTED_VALUE"""),45520.0)</f>
        <v>45520</v>
      </c>
      <c r="I367" s="199">
        <f>IFERROR(__xludf.DUMMYFUNCTION("""COMPUTED_VALUE"""),0.4722222222222222)</f>
        <v>0.4722222222</v>
      </c>
      <c r="J367" s="200">
        <f>IFERROR(__xludf.DUMMYFUNCTION("""COMPUTED_VALUE"""),70.0)</f>
        <v>70</v>
      </c>
      <c r="K367" s="200">
        <f>IFERROR(__xludf.DUMMYFUNCTION("""COMPUTED_VALUE"""),3.1)</f>
        <v>3.1</v>
      </c>
      <c r="L367" s="201" t="str">
        <f>IFERROR(__xludf.DUMMYFUNCTION("""COMPUTED_VALUE"""),"Sports")</f>
        <v>Sports</v>
      </c>
      <c r="M367" s="201"/>
    </row>
    <row r="368">
      <c r="A368" s="190" t="str">
        <f>IFERROR(__xludf.DUMMYFUNCTION("""COMPUTED_VALUE"""),"Orcs Must Die! Deathtrap")</f>
        <v>Orcs Must Die! Deathtrap</v>
      </c>
      <c r="B368" s="195" t="str">
        <f>IFERROR(__xludf.DUMMYFUNCTION("""COMPUTED_VALUE"""),"Xbox / PC")</f>
        <v>Xbox / PC</v>
      </c>
      <c r="C368" s="196" t="str">
        <f>IFERROR(__xludf.DUMMYFUNCTION("""COMPUTED_VALUE"""),"Yes")</f>
        <v>Yes</v>
      </c>
      <c r="D368" s="196" t="str">
        <f>IFERROR(__xludf.DUMMYFUNCTION("""COMPUTED_VALUE"""),"Active")</f>
        <v>Active</v>
      </c>
      <c r="E368" s="197">
        <f>IFERROR(__xludf.DUMMYFUNCTION("""COMPUTED_VALUE"""),45685.0)</f>
        <v>45685</v>
      </c>
      <c r="F368" s="198"/>
      <c r="G368" s="199">
        <f>IFERROR(__xludf.DUMMYFUNCTION("""COMPUTED_VALUE"""),8.566666666666666)</f>
        <v>8.566666667</v>
      </c>
      <c r="H368" s="197">
        <f>IFERROR(__xludf.DUMMYFUNCTION("""COMPUTED_VALUE"""),45685.0)</f>
        <v>45685</v>
      </c>
      <c r="I368" s="199">
        <f>IFERROR(__xludf.DUMMYFUNCTION("""COMPUTED_VALUE"""),0.0)</f>
        <v>0</v>
      </c>
      <c r="J368" s="200">
        <f>IFERROR(__xludf.DUMMYFUNCTION("""COMPUTED_VALUE"""),70.0)</f>
        <v>70</v>
      </c>
      <c r="K368" s="200">
        <f>IFERROR(__xludf.DUMMYFUNCTION("""COMPUTED_VALUE"""),21.0)</f>
        <v>21</v>
      </c>
      <c r="L368" s="201" t="str">
        <f>IFERROR(__xludf.DUMMYFUNCTION("""COMPUTED_VALUE"""),"Roguelike")</f>
        <v>Roguelike</v>
      </c>
      <c r="M368" s="201" t="str">
        <f>IFERROR(__xludf.DUMMYFUNCTION("""COMPUTED_VALUE"""),"Exclusive")</f>
        <v>Exclusive</v>
      </c>
    </row>
    <row r="369">
      <c r="A369" s="190" t="str">
        <f>IFERROR(__xludf.DUMMYFUNCTION("""COMPUTED_VALUE"""),"Car Mechanic Simulator 2021")</f>
        <v>Car Mechanic Simulator 2021</v>
      </c>
      <c r="B369" s="195" t="str">
        <f>IFERROR(__xludf.DUMMYFUNCTION("""COMPUTED_VALUE"""),"Xbox / PC")</f>
        <v>Xbox / PC</v>
      </c>
      <c r="C369" s="196" t="str">
        <f>IFERROR(__xludf.DUMMYFUNCTION("""COMPUTED_VALUE"""),"Yes")</f>
        <v>Yes</v>
      </c>
      <c r="D369" s="196" t="str">
        <f>IFERROR(__xludf.DUMMYFUNCTION("""COMPUTED_VALUE"""),"Active")</f>
        <v>Active</v>
      </c>
      <c r="E369" s="197">
        <f>IFERROR(__xludf.DUMMYFUNCTION("""COMPUTED_VALUE"""),45078.0)</f>
        <v>45078</v>
      </c>
      <c r="F369" s="198"/>
      <c r="G369" s="199">
        <f>IFERROR(__xludf.DUMMYFUNCTION("""COMPUTED_VALUE"""),28.46666666666667)</f>
        <v>28.46666667</v>
      </c>
      <c r="H369" s="197">
        <f>IFERROR(__xludf.DUMMYFUNCTION("""COMPUTED_VALUE"""),44419.0)</f>
        <v>44419</v>
      </c>
      <c r="I369" s="199">
        <f>IFERROR(__xludf.DUMMYFUNCTION("""COMPUTED_VALUE"""),1.8055555555555556)</f>
        <v>1.805555556</v>
      </c>
      <c r="J369" s="200">
        <f>IFERROR(__xludf.DUMMYFUNCTION("""COMPUTED_VALUE"""),70.0)</f>
        <v>70</v>
      </c>
      <c r="K369" s="200">
        <f>IFERROR(__xludf.DUMMYFUNCTION("""COMPUTED_VALUE"""),23.0)</f>
        <v>23</v>
      </c>
      <c r="L369" s="201" t="str">
        <f>IFERROR(__xludf.DUMMYFUNCTION("""COMPUTED_VALUE"""),"Simulation")</f>
        <v>Simulation</v>
      </c>
      <c r="M369" s="201"/>
    </row>
    <row r="370">
      <c r="A370" s="190" t="str">
        <f>IFERROR(__xludf.DUMMYFUNCTION("""COMPUTED_VALUE"""),"Trailmakers")</f>
        <v>Trailmakers</v>
      </c>
      <c r="B370" s="195" t="str">
        <f>IFERROR(__xludf.DUMMYFUNCTION("""COMPUTED_VALUE"""),"Xbox / PC")</f>
        <v>Xbox / PC</v>
      </c>
      <c r="C370" s="196" t="str">
        <f>IFERROR(__xludf.DUMMYFUNCTION("""COMPUTED_VALUE"""),"Yes")</f>
        <v>Yes</v>
      </c>
      <c r="D370" s="196" t="str">
        <f>IFERROR(__xludf.DUMMYFUNCTION("""COMPUTED_VALUE"""),"Active")</f>
        <v>Active</v>
      </c>
      <c r="E370" s="197">
        <f>IFERROR(__xludf.DUMMYFUNCTION("""COMPUTED_VALUE"""),44049.0)</f>
        <v>44049</v>
      </c>
      <c r="F370" s="198"/>
      <c r="G370" s="199">
        <f>IFERROR(__xludf.DUMMYFUNCTION("""COMPUTED_VALUE"""),62.3)</f>
        <v>62.3</v>
      </c>
      <c r="H370" s="197">
        <f>IFERROR(__xludf.DUMMYFUNCTION("""COMPUTED_VALUE"""),43726.0)</f>
        <v>43726</v>
      </c>
      <c r="I370" s="199">
        <f>IFERROR(__xludf.DUMMYFUNCTION("""COMPUTED_VALUE"""),0.8833333333333333)</f>
        <v>0.8833333333</v>
      </c>
      <c r="J370" s="200">
        <f>IFERROR(__xludf.DUMMYFUNCTION("""COMPUTED_VALUE"""),70.0)</f>
        <v>70</v>
      </c>
      <c r="K370" s="200">
        <f>IFERROR(__xludf.DUMMYFUNCTION("""COMPUTED_VALUE"""),11.5)</f>
        <v>11.5</v>
      </c>
      <c r="L370" s="201" t="str">
        <f>IFERROR(__xludf.DUMMYFUNCTION("""COMPUTED_VALUE"""),"Driving/Racing")</f>
        <v>Driving/Racing</v>
      </c>
      <c r="M370" s="201"/>
    </row>
    <row r="371">
      <c r="A371" s="190" t="str">
        <f>IFERROR(__xludf.DUMMYFUNCTION("""COMPUTED_VALUE"""),"Bleeding Edge")</f>
        <v>Bleeding Edge</v>
      </c>
      <c r="B371" s="195" t="str">
        <f>IFERROR(__xludf.DUMMYFUNCTION("""COMPUTED_VALUE"""),"Xbox / PC")</f>
        <v>Xbox / PC</v>
      </c>
      <c r="C371" s="196" t="str">
        <f>IFERROR(__xludf.DUMMYFUNCTION("""COMPUTED_VALUE"""),"Yes")</f>
        <v>Yes</v>
      </c>
      <c r="D371" s="196" t="str">
        <f>IFERROR(__xludf.DUMMYFUNCTION("""COMPUTED_VALUE"""),"Active")</f>
        <v>Active</v>
      </c>
      <c r="E371" s="197">
        <f>IFERROR(__xludf.DUMMYFUNCTION("""COMPUTED_VALUE"""),43914.0)</f>
        <v>43914</v>
      </c>
      <c r="F371" s="198"/>
      <c r="G371" s="199">
        <f>IFERROR(__xludf.DUMMYFUNCTION("""COMPUTED_VALUE"""),66.7)</f>
        <v>66.7</v>
      </c>
      <c r="H371" s="197">
        <f>IFERROR(__xludf.DUMMYFUNCTION("""COMPUTED_VALUE"""),43914.0)</f>
        <v>43914</v>
      </c>
      <c r="I371" s="199">
        <f>IFERROR(__xludf.DUMMYFUNCTION("""COMPUTED_VALUE"""),0.0)</f>
        <v>0</v>
      </c>
      <c r="J371" s="200">
        <f>IFERROR(__xludf.DUMMYFUNCTION("""COMPUTED_VALUE"""),70.0)</f>
        <v>70</v>
      </c>
      <c r="K371" s="200">
        <f>IFERROR(__xludf.DUMMYFUNCTION("""COMPUTED_VALUE"""),6.5)</f>
        <v>6.5</v>
      </c>
      <c r="L371" s="201" t="str">
        <f>IFERROR(__xludf.DUMMYFUNCTION("""COMPUTED_VALUE"""),"Action")</f>
        <v>Action</v>
      </c>
      <c r="M371" s="201"/>
    </row>
    <row r="372">
      <c r="A372" s="190" t="str">
        <f>IFERROR(__xludf.DUMMYFUNCTION("""COMPUTED_VALUE"""),"The Bard's Tale IV: Director's Cut")</f>
        <v>The Bard's Tale IV: Director's Cut</v>
      </c>
      <c r="B372" s="195" t="str">
        <f>IFERROR(__xludf.DUMMYFUNCTION("""COMPUTED_VALUE"""),"Xbox / PC")</f>
        <v>Xbox / PC</v>
      </c>
      <c r="C372" s="196" t="str">
        <f>IFERROR(__xludf.DUMMYFUNCTION("""COMPUTED_VALUE"""),"Touch Controls")</f>
        <v>Touch Controls</v>
      </c>
      <c r="D372" s="196" t="str">
        <f>IFERROR(__xludf.DUMMYFUNCTION("""COMPUTED_VALUE"""),"Active")</f>
        <v>Active</v>
      </c>
      <c r="E372" s="197">
        <f>IFERROR(__xludf.DUMMYFUNCTION("""COMPUTED_VALUE"""),43704.0)</f>
        <v>43704</v>
      </c>
      <c r="F372" s="198"/>
      <c r="G372" s="199">
        <f>IFERROR(__xludf.DUMMYFUNCTION("""COMPUTED_VALUE"""),73.60000000000001)</f>
        <v>73.6</v>
      </c>
      <c r="H372" s="197">
        <f>IFERROR(__xludf.DUMMYFUNCTION("""COMPUTED_VALUE"""),43361.0)</f>
        <v>43361</v>
      </c>
      <c r="I372" s="199">
        <f>IFERROR(__xludf.DUMMYFUNCTION("""COMPUTED_VALUE"""),0.9416666666666667)</f>
        <v>0.9416666667</v>
      </c>
      <c r="J372" s="200">
        <f>IFERROR(__xludf.DUMMYFUNCTION("""COMPUTED_VALUE"""),70.0)</f>
        <v>70</v>
      </c>
      <c r="K372" s="200">
        <f>IFERROR(__xludf.DUMMYFUNCTION("""COMPUTED_VALUE"""),59.5)</f>
        <v>59.5</v>
      </c>
      <c r="L372" s="201" t="str">
        <f>IFERROR(__xludf.DUMMYFUNCTION("""COMPUTED_VALUE"""),"RPG")</f>
        <v>RPG</v>
      </c>
      <c r="M372" s="201"/>
    </row>
    <row r="373">
      <c r="A373" s="190" t="str">
        <f>IFERROR(__xludf.DUMMYFUNCTION("""COMPUTED_VALUE"""),"The Bard's Tale Trilogy")</f>
        <v>The Bard's Tale Trilogy</v>
      </c>
      <c r="B373" s="195" t="str">
        <f>IFERROR(__xludf.DUMMYFUNCTION("""COMPUTED_VALUE"""),"Xbox / PC")</f>
        <v>Xbox / PC</v>
      </c>
      <c r="C373" s="196" t="str">
        <f>IFERROR(__xludf.DUMMYFUNCTION("""COMPUTED_VALUE"""),"Touch Controls")</f>
        <v>Touch Controls</v>
      </c>
      <c r="D373" s="196" t="str">
        <f>IFERROR(__xludf.DUMMYFUNCTION("""COMPUTED_VALUE"""),"Active")</f>
        <v>Active</v>
      </c>
      <c r="E373" s="197">
        <f>IFERROR(__xludf.DUMMYFUNCTION("""COMPUTED_VALUE"""),43690.0)</f>
        <v>43690</v>
      </c>
      <c r="F373" s="198"/>
      <c r="G373" s="199">
        <f>IFERROR(__xludf.DUMMYFUNCTION("""COMPUTED_VALUE"""),74.06666666666666)</f>
        <v>74.06666667</v>
      </c>
      <c r="H373" s="197">
        <f>IFERROR(__xludf.DUMMYFUNCTION("""COMPUTED_VALUE"""),43326.0)</f>
        <v>43326</v>
      </c>
      <c r="I373" s="199">
        <f>IFERROR(__xludf.DUMMYFUNCTION("""COMPUTED_VALUE"""),0.9972222222222222)</f>
        <v>0.9972222222</v>
      </c>
      <c r="J373" s="200">
        <f>IFERROR(__xludf.DUMMYFUNCTION("""COMPUTED_VALUE"""),70.0)</f>
        <v>70</v>
      </c>
      <c r="K373" s="200">
        <f>IFERROR(__xludf.DUMMYFUNCTION("""COMPUTED_VALUE"""),24.0)</f>
        <v>24</v>
      </c>
      <c r="L373" s="201" t="str">
        <f>IFERROR(__xludf.DUMMYFUNCTION("""COMPUTED_VALUE"""),"RPG")</f>
        <v>RPG</v>
      </c>
      <c r="M373" s="201"/>
    </row>
    <row r="374">
      <c r="A374" s="190" t="str">
        <f>IFERROR(__xludf.DUMMYFUNCTION("""COMPUTED_VALUE"""),"Fuzion Frenzy")</f>
        <v>Fuzion Frenzy</v>
      </c>
      <c r="B374" s="195" t="str">
        <f>IFERROR(__xludf.DUMMYFUNCTION("""COMPUTED_VALUE"""),"Xbox")</f>
        <v>Xbox</v>
      </c>
      <c r="C374" s="196" t="str">
        <f>IFERROR(__xludf.DUMMYFUNCTION("""COMPUTED_VALUE"""),"Touch Controls")</f>
        <v>Touch Controls</v>
      </c>
      <c r="D374" s="196" t="str">
        <f>IFERROR(__xludf.DUMMYFUNCTION("""COMPUTED_VALUE"""),"Active")</f>
        <v>Active</v>
      </c>
      <c r="E374" s="197">
        <f>IFERROR(__xludf.DUMMYFUNCTION("""COMPUTED_VALUE"""),42887.0)</f>
        <v>42887</v>
      </c>
      <c r="F374" s="198"/>
      <c r="G374" s="199">
        <f>IFERROR(__xludf.DUMMYFUNCTION("""COMPUTED_VALUE"""),100.46666666666667)</f>
        <v>100.4666667</v>
      </c>
      <c r="H374" s="197">
        <f>IFERROR(__xludf.DUMMYFUNCTION("""COMPUTED_VALUE"""),37209.0)</f>
        <v>37209</v>
      </c>
      <c r="I374" s="199">
        <f>IFERROR(__xludf.DUMMYFUNCTION("""COMPUTED_VALUE"""),15.547222222222222)</f>
        <v>15.54722222</v>
      </c>
      <c r="J374" s="200">
        <f>IFERROR(__xludf.DUMMYFUNCTION("""COMPUTED_VALUE"""),70.0)</f>
        <v>70</v>
      </c>
      <c r="K374" s="200">
        <f>IFERROR(__xludf.DUMMYFUNCTION("""COMPUTED_VALUE"""),4.0)</f>
        <v>4</v>
      </c>
      <c r="L374" s="201" t="str">
        <f>IFERROR(__xludf.DUMMYFUNCTION("""COMPUTED_VALUE"""),"Minigame Collection")</f>
        <v>Minigame Collection</v>
      </c>
      <c r="M374" s="201"/>
    </row>
    <row r="375">
      <c r="A375" s="190" t="str">
        <f>IFERROR(__xludf.DUMMYFUNCTION("""COMPUTED_VALUE"""),"The Ascent")</f>
        <v>The Ascent</v>
      </c>
      <c r="B375" s="195" t="str">
        <f>IFERROR(__xludf.DUMMYFUNCTION("""COMPUTED_VALUE"""),"Xbox / PC")</f>
        <v>Xbox / PC</v>
      </c>
      <c r="C375" s="196" t="str">
        <f>IFERROR(__xludf.DUMMYFUNCTION("""COMPUTED_VALUE"""),"Touch Controls")</f>
        <v>Touch Controls</v>
      </c>
      <c r="D375" s="196" t="str">
        <f>IFERROR(__xludf.DUMMYFUNCTION("""COMPUTED_VALUE"""),"Active")</f>
        <v>Active</v>
      </c>
      <c r="E375" s="197">
        <f>IFERROR(__xludf.DUMMYFUNCTION("""COMPUTED_VALUE"""),45846.0)</f>
        <v>45846</v>
      </c>
      <c r="F375" s="198"/>
      <c r="G375" s="199">
        <f>IFERROR(__xludf.DUMMYFUNCTION("""COMPUTED_VALUE"""),3.2333333333333334)</f>
        <v>3.233333333</v>
      </c>
      <c r="H375" s="197">
        <f>IFERROR(__xludf.DUMMYFUNCTION("""COMPUTED_VALUE"""),44406.0)</f>
        <v>44406</v>
      </c>
      <c r="I375" s="199">
        <f>IFERROR(__xludf.DUMMYFUNCTION("""COMPUTED_VALUE"""),3.941666666666667)</f>
        <v>3.941666667</v>
      </c>
      <c r="J375" s="200">
        <f>IFERROR(__xludf.DUMMYFUNCTION("""COMPUTED_VALUE"""),69.5)</f>
        <v>69.5</v>
      </c>
      <c r="K375" s="200">
        <f>IFERROR(__xludf.DUMMYFUNCTION("""COMPUTED_VALUE"""),9.0)</f>
        <v>9</v>
      </c>
      <c r="L375" s="201" t="str">
        <f>IFERROR(__xludf.DUMMYFUNCTION("""COMPUTED_VALUE"""),"Action / RPG")</f>
        <v>Action / RPG</v>
      </c>
      <c r="M375" s="201" t="str">
        <f>IFERROR(__xludf.DUMMYFUNCTION("""COMPUTED_VALUE"""),"Optimized")</f>
        <v>Optimized</v>
      </c>
    </row>
    <row r="376">
      <c r="A376" s="190" t="str">
        <f>IFERROR(__xludf.DUMMYFUNCTION("""COMPUTED_VALUE"""),"Assassin's Creed Chronicles: China")</f>
        <v>Assassin's Creed Chronicles: China</v>
      </c>
      <c r="B376" s="195" t="str">
        <f>IFERROR(__xludf.DUMMYFUNCTION("""COMPUTED_VALUE"""),"Xbox / PC")</f>
        <v>Xbox / PC</v>
      </c>
      <c r="C376" s="196" t="str">
        <f>IFERROR(__xludf.DUMMYFUNCTION("""COMPUTED_VALUE"""),"Yes")</f>
        <v>Yes</v>
      </c>
      <c r="D376" s="196" t="str">
        <f>IFERROR(__xludf.DUMMYFUNCTION("""COMPUTED_VALUE"""),"Active")</f>
        <v>Active</v>
      </c>
      <c r="E376" s="197">
        <f>IFERROR(__xludf.DUMMYFUNCTION("""COMPUTED_VALUE"""),45931.0)</f>
        <v>45931</v>
      </c>
      <c r="F376" s="198"/>
      <c r="G376" s="199">
        <f>IFERROR(__xludf.DUMMYFUNCTION("""COMPUTED_VALUE"""),0.4666666666666667)</f>
        <v>0.4666666667</v>
      </c>
      <c r="H376" s="197">
        <f>IFERROR(__xludf.DUMMYFUNCTION("""COMPUTED_VALUE"""),42115.0)</f>
        <v>42115</v>
      </c>
      <c r="I376" s="199">
        <f>IFERROR(__xludf.DUMMYFUNCTION("""COMPUTED_VALUE"""),10.444444444444445)</f>
        <v>10.44444444</v>
      </c>
      <c r="J376" s="200">
        <f>IFERROR(__xludf.DUMMYFUNCTION("""COMPUTED_VALUE"""),69.0)</f>
        <v>69</v>
      </c>
      <c r="K376" s="200">
        <f>IFERROR(__xludf.DUMMYFUNCTION("""COMPUTED_VALUE"""),6.0)</f>
        <v>6</v>
      </c>
      <c r="L376" s="201" t="str">
        <f>IFERROR(__xludf.DUMMYFUNCTION("""COMPUTED_VALUE"""),"Action-Adventure")</f>
        <v>Action-Adventure</v>
      </c>
      <c r="M376" s="201"/>
    </row>
    <row r="377">
      <c r="A377" s="190" t="str">
        <f>IFERROR(__xludf.DUMMYFUNCTION("""COMPUTED_VALUE"""),"Rabbids: Party of Legends")</f>
        <v>Rabbids: Party of Legends</v>
      </c>
      <c r="B377" s="195" t="str">
        <f>IFERROR(__xludf.DUMMYFUNCTION("""COMPUTED_VALUE"""),"Xbox / PC")</f>
        <v>Xbox / PC</v>
      </c>
      <c r="C377" s="196" t="str">
        <f>IFERROR(__xludf.DUMMYFUNCTION("""COMPUTED_VALUE"""),"Yes")</f>
        <v>Yes</v>
      </c>
      <c r="D377" s="196" t="str">
        <f>IFERROR(__xludf.DUMMYFUNCTION("""COMPUTED_VALUE"""),"Active")</f>
        <v>Active</v>
      </c>
      <c r="E377" s="197">
        <f>IFERROR(__xludf.DUMMYFUNCTION("""COMPUTED_VALUE"""),45931.0)</f>
        <v>45931</v>
      </c>
      <c r="F377" s="198"/>
      <c r="G377" s="199">
        <f>IFERROR(__xludf.DUMMYFUNCTION("""COMPUTED_VALUE"""),0.4666666666666667)</f>
        <v>0.4666666667</v>
      </c>
      <c r="H377" s="197">
        <f>IFERROR(__xludf.DUMMYFUNCTION("""COMPUTED_VALUE"""),44742.0)</f>
        <v>44742</v>
      </c>
      <c r="I377" s="199">
        <f>IFERROR(__xludf.DUMMYFUNCTION("""COMPUTED_VALUE"""),3.2527777777777778)</f>
        <v>3.252777778</v>
      </c>
      <c r="J377" s="200">
        <f>IFERROR(__xludf.DUMMYFUNCTION("""COMPUTED_VALUE"""),69.0)</f>
        <v>69</v>
      </c>
      <c r="K377" s="200">
        <f>IFERROR(__xludf.DUMMYFUNCTION("""COMPUTED_VALUE"""),3.0)</f>
        <v>3</v>
      </c>
      <c r="L377" s="201" t="str">
        <f>IFERROR(__xludf.DUMMYFUNCTION("""COMPUTED_VALUE"""),"Party")</f>
        <v>Party</v>
      </c>
      <c r="M377" s="201"/>
    </row>
    <row r="378">
      <c r="A378" s="190" t="str">
        <f>IFERROR(__xludf.DUMMYFUNCTION("""COMPUTED_VALUE"""),"Aliens: Fireteam Elite")</f>
        <v>Aliens: Fireteam Elite</v>
      </c>
      <c r="B378" s="195" t="str">
        <f>IFERROR(__xludf.DUMMYFUNCTION("""COMPUTED_VALUE"""),"Xbox / PC")</f>
        <v>Xbox / PC</v>
      </c>
      <c r="C378" s="196" t="str">
        <f>IFERROR(__xludf.DUMMYFUNCTION("""COMPUTED_VALUE"""),"Yes")</f>
        <v>Yes</v>
      </c>
      <c r="D378" s="196" t="str">
        <f>IFERROR(__xludf.DUMMYFUNCTION("""COMPUTED_VALUE"""),"Active")</f>
        <v>Active</v>
      </c>
      <c r="E378" s="197">
        <f>IFERROR(__xludf.DUMMYFUNCTION("""COMPUTED_VALUE"""),45881.0)</f>
        <v>45881</v>
      </c>
      <c r="F378" s="198"/>
      <c r="G378" s="199">
        <f>IFERROR(__xludf.DUMMYFUNCTION("""COMPUTED_VALUE"""),2.0999999999999996)</f>
        <v>2.1</v>
      </c>
      <c r="H378" s="197">
        <f>IFERROR(__xludf.DUMMYFUNCTION("""COMPUTED_VALUE"""),44803.0)</f>
        <v>44803</v>
      </c>
      <c r="I378" s="199">
        <f>IFERROR(__xludf.DUMMYFUNCTION("""COMPUTED_VALUE"""),2.95)</f>
        <v>2.95</v>
      </c>
      <c r="J378" s="200">
        <f>IFERROR(__xludf.DUMMYFUNCTION("""COMPUTED_VALUE"""),69.0)</f>
        <v>69</v>
      </c>
      <c r="K378" s="200">
        <f>IFERROR(__xludf.DUMMYFUNCTION("""COMPUTED_VALUE"""),9.0)</f>
        <v>9</v>
      </c>
      <c r="L378" s="201" t="str">
        <f>IFERROR(__xludf.DUMMYFUNCTION("""COMPUTED_VALUE"""),"Shooter")</f>
        <v>Shooter</v>
      </c>
      <c r="M378" s="201"/>
    </row>
    <row r="379">
      <c r="A379" s="190" t="str">
        <f>IFERROR(__xludf.DUMMYFUNCTION("""COMPUTED_VALUE"""),"Immortals of Aveum")</f>
        <v>Immortals of Aveum</v>
      </c>
      <c r="B379" s="195" t="str">
        <f>IFERROR(__xludf.DUMMYFUNCTION("""COMPUTED_VALUE"""),"Xbox / PC")</f>
        <v>Xbox / PC</v>
      </c>
      <c r="C379" s="196" t="str">
        <f>IFERROR(__xludf.DUMMYFUNCTION("""COMPUTED_VALUE"""),"Yes")</f>
        <v>Yes</v>
      </c>
      <c r="D379" s="196" t="str">
        <f>IFERROR(__xludf.DUMMYFUNCTION("""COMPUTED_VALUE"""),"Active")</f>
        <v>Active</v>
      </c>
      <c r="E379" s="197">
        <f>IFERROR(__xludf.DUMMYFUNCTION("""COMPUTED_VALUE"""),45427.0)</f>
        <v>45427</v>
      </c>
      <c r="F379" s="198"/>
      <c r="G379" s="199">
        <f>IFERROR(__xludf.DUMMYFUNCTION("""COMPUTED_VALUE"""),17.0)</f>
        <v>17</v>
      </c>
      <c r="H379" s="197">
        <f>IFERROR(__xludf.DUMMYFUNCTION("""COMPUTED_VALUE"""),45160.0)</f>
        <v>45160</v>
      </c>
      <c r="I379" s="199">
        <f>IFERROR(__xludf.DUMMYFUNCTION("""COMPUTED_VALUE"""),0.7305555555555555)</f>
        <v>0.7305555556</v>
      </c>
      <c r="J379" s="200">
        <f>IFERROR(__xludf.DUMMYFUNCTION("""COMPUTED_VALUE"""),69.0)</f>
        <v>69</v>
      </c>
      <c r="K379" s="200">
        <f>IFERROR(__xludf.DUMMYFUNCTION("""COMPUTED_VALUE"""),15.0)</f>
        <v>15</v>
      </c>
      <c r="L379" s="201" t="str">
        <f>IFERROR(__xludf.DUMMYFUNCTION("""COMPUTED_VALUE"""),"Shooter")</f>
        <v>Shooter</v>
      </c>
      <c r="M379" s="201" t="str">
        <f>IFERROR(__xludf.DUMMYFUNCTION("""COMPUTED_VALUE"""),"Exclusive")</f>
        <v>Exclusive</v>
      </c>
    </row>
    <row r="380">
      <c r="A380" s="190" t="str">
        <f>IFERROR(__xludf.DUMMYFUNCTION("""COMPUTED_VALUE"""),"The Cave")</f>
        <v>The Cave</v>
      </c>
      <c r="B380" s="195" t="str">
        <f>IFERROR(__xludf.DUMMYFUNCTION("""COMPUTED_VALUE"""),"Xbox")</f>
        <v>Xbox</v>
      </c>
      <c r="C380" s="196" t="str">
        <f>IFERROR(__xludf.DUMMYFUNCTION("""COMPUTED_VALUE"""),"Yes")</f>
        <v>Yes</v>
      </c>
      <c r="D380" s="196" t="str">
        <f>IFERROR(__xludf.DUMMYFUNCTION("""COMPUTED_VALUE"""),"Active")</f>
        <v>Active</v>
      </c>
      <c r="E380" s="197">
        <f>IFERROR(__xludf.DUMMYFUNCTION("""COMPUTED_VALUE"""),45125.0)</f>
        <v>45125</v>
      </c>
      <c r="F380" s="198"/>
      <c r="G380" s="199">
        <f>IFERROR(__xludf.DUMMYFUNCTION("""COMPUTED_VALUE"""),26.9)</f>
        <v>26.9</v>
      </c>
      <c r="H380" s="197">
        <f>IFERROR(__xludf.DUMMYFUNCTION("""COMPUTED_VALUE"""),41600.0)</f>
        <v>41600</v>
      </c>
      <c r="I380" s="199">
        <f>IFERROR(__xludf.DUMMYFUNCTION("""COMPUTED_VALUE"""),9.655555555555555)</f>
        <v>9.655555556</v>
      </c>
      <c r="J380" s="200">
        <f>IFERROR(__xludf.DUMMYFUNCTION("""COMPUTED_VALUE"""),69.0)</f>
        <v>69</v>
      </c>
      <c r="K380" s="200">
        <f>IFERROR(__xludf.DUMMYFUNCTION("""COMPUTED_VALUE"""),5.0)</f>
        <v>5</v>
      </c>
      <c r="L380" s="201" t="str">
        <f>IFERROR(__xludf.DUMMYFUNCTION("""COMPUTED_VALUE"""),"Adventure / Platformer")</f>
        <v>Adventure / Platformer</v>
      </c>
      <c r="M380" s="201"/>
    </row>
    <row r="381">
      <c r="A381" s="190" t="str">
        <f>IFERROR(__xludf.DUMMYFUNCTION("""COMPUTED_VALUE"""),"Minecraft: Legends")</f>
        <v>Minecraft: Legends</v>
      </c>
      <c r="B381" s="195" t="str">
        <f>IFERROR(__xludf.DUMMYFUNCTION("""COMPUTED_VALUE"""),"Xbox / PC")</f>
        <v>Xbox / PC</v>
      </c>
      <c r="C381" s="196" t="str">
        <f>IFERROR(__xludf.DUMMYFUNCTION("""COMPUTED_VALUE"""),"Yes")</f>
        <v>Yes</v>
      </c>
      <c r="D381" s="196" t="str">
        <f>IFERROR(__xludf.DUMMYFUNCTION("""COMPUTED_VALUE"""),"Active")</f>
        <v>Active</v>
      </c>
      <c r="E381" s="197">
        <f>IFERROR(__xludf.DUMMYFUNCTION("""COMPUTED_VALUE"""),45034.0)</f>
        <v>45034</v>
      </c>
      <c r="F381" s="198"/>
      <c r="G381" s="199">
        <f>IFERROR(__xludf.DUMMYFUNCTION("""COMPUTED_VALUE"""),29.9)</f>
        <v>29.9</v>
      </c>
      <c r="H381" s="197">
        <f>IFERROR(__xludf.DUMMYFUNCTION("""COMPUTED_VALUE"""),45034.0)</f>
        <v>45034</v>
      </c>
      <c r="I381" s="199">
        <f>IFERROR(__xludf.DUMMYFUNCTION("""COMPUTED_VALUE"""),0.0)</f>
        <v>0</v>
      </c>
      <c r="J381" s="200">
        <f>IFERROR(__xludf.DUMMYFUNCTION("""COMPUTED_VALUE"""),69.0)</f>
        <v>69</v>
      </c>
      <c r="K381" s="200">
        <f>IFERROR(__xludf.DUMMYFUNCTION("""COMPUTED_VALUE"""),8.0)</f>
        <v>8</v>
      </c>
      <c r="L381" s="201" t="str">
        <f>IFERROR(__xludf.DUMMYFUNCTION("""COMPUTED_VALUE"""),"Action / Strategy")</f>
        <v>Action / Strategy</v>
      </c>
      <c r="M381" s="201" t="str">
        <f>IFERROR(__xludf.DUMMYFUNCTION("""COMPUTED_VALUE"""),"Exclusive")</f>
        <v>Exclusive</v>
      </c>
    </row>
    <row r="382">
      <c r="A382" s="190" t="str">
        <f>IFERROR(__xludf.DUMMYFUNCTION("""COMPUTED_VALUE"""),"No Man's Sky")</f>
        <v>No Man's Sky</v>
      </c>
      <c r="B382" s="195" t="str">
        <f>IFERROR(__xludf.DUMMYFUNCTION("""COMPUTED_VALUE"""),"Xbox / PC")</f>
        <v>Xbox / PC</v>
      </c>
      <c r="C382" s="196" t="str">
        <f>IFERROR(__xludf.DUMMYFUNCTION("""COMPUTED_VALUE"""),"Yes")</f>
        <v>Yes</v>
      </c>
      <c r="D382" s="196" t="str">
        <f>IFERROR(__xludf.DUMMYFUNCTION("""COMPUTED_VALUE"""),"Active")</f>
        <v>Active</v>
      </c>
      <c r="E382" s="197">
        <f>IFERROR(__xludf.DUMMYFUNCTION("""COMPUTED_VALUE"""),43993.0)</f>
        <v>43993</v>
      </c>
      <c r="F382" s="198"/>
      <c r="G382" s="199">
        <f>IFERROR(__xludf.DUMMYFUNCTION("""COMPUTED_VALUE"""),64.13333333333333)</f>
        <v>64.13333333</v>
      </c>
      <c r="H382" s="197">
        <f>IFERROR(__xludf.DUMMYFUNCTION("""COMPUTED_VALUE"""),42591.0)</f>
        <v>42591</v>
      </c>
      <c r="I382" s="199">
        <f>IFERROR(__xludf.DUMMYFUNCTION("""COMPUTED_VALUE"""),3.838888888888889)</f>
        <v>3.838888889</v>
      </c>
      <c r="J382" s="200">
        <f>IFERROR(__xludf.DUMMYFUNCTION("""COMPUTED_VALUE"""),69.0)</f>
        <v>69</v>
      </c>
      <c r="K382" s="200">
        <f>IFERROR(__xludf.DUMMYFUNCTION("""COMPUTED_VALUE"""),30.5)</f>
        <v>30.5</v>
      </c>
      <c r="L382" s="201" t="str">
        <f>IFERROR(__xludf.DUMMYFUNCTION("""COMPUTED_VALUE"""),"Simulation / Action-Adventure")</f>
        <v>Simulation / Action-Adventure</v>
      </c>
      <c r="M382" s="201" t="str">
        <f>IFERROR(__xludf.DUMMYFUNCTION("""COMPUTED_VALUE"""),"Optimized")</f>
        <v>Optimized</v>
      </c>
    </row>
    <row r="383">
      <c r="A383" s="190" t="str">
        <f>IFERROR(__xludf.DUMMYFUNCTION("""COMPUTED_VALUE"""),"ARK: Ultimate Survivor Edition ")</f>
        <v>ARK: Ultimate Survivor Edition </v>
      </c>
      <c r="B383" s="195" t="str">
        <f>IFERROR(__xludf.DUMMYFUNCTION("""COMPUTED_VALUE"""),"Xbox / PC")</f>
        <v>Xbox / PC</v>
      </c>
      <c r="C383" s="196" t="str">
        <f>IFERROR(__xludf.DUMMYFUNCTION("""COMPUTED_VALUE"""),"Yes")</f>
        <v>Yes</v>
      </c>
      <c r="D383" s="196" t="str">
        <f>IFERROR(__xludf.DUMMYFUNCTION("""COMPUTED_VALUE"""),"Active")</f>
        <v>Active</v>
      </c>
      <c r="E383" s="197">
        <f>IFERROR(__xludf.DUMMYFUNCTION("""COMPUTED_VALUE"""),43468.0)</f>
        <v>43468</v>
      </c>
      <c r="F383" s="198"/>
      <c r="G383" s="199">
        <f>IFERROR(__xludf.DUMMYFUNCTION("""COMPUTED_VALUE"""),81.4)</f>
        <v>81.4</v>
      </c>
      <c r="H383" s="197">
        <f>IFERROR(__xludf.DUMMYFUNCTION("""COMPUTED_VALUE"""),42710.0)</f>
        <v>42710</v>
      </c>
      <c r="I383" s="199">
        <f>IFERROR(__xludf.DUMMYFUNCTION("""COMPUTED_VALUE"""),2.075)</f>
        <v>2.075</v>
      </c>
      <c r="J383" s="200">
        <f>IFERROR(__xludf.DUMMYFUNCTION("""COMPUTED_VALUE"""),69.0)</f>
        <v>69</v>
      </c>
      <c r="K383" s="200">
        <f>IFERROR(__xludf.DUMMYFUNCTION("""COMPUTED_VALUE"""),123.0)</f>
        <v>123</v>
      </c>
      <c r="L383" s="201" t="str">
        <f>IFERROR(__xludf.DUMMYFUNCTION("""COMPUTED_VALUE"""),"Action-Adventure")</f>
        <v>Action-Adventure</v>
      </c>
      <c r="M383" s="201" t="str">
        <f>IFERROR(__xludf.DUMMYFUNCTION("""COMPUTED_VALUE"""),"Optimized")</f>
        <v>Optimized</v>
      </c>
    </row>
    <row r="384">
      <c r="A384" s="190" t="str">
        <f>IFERROR(__xludf.DUMMYFUNCTION("""COMPUTED_VALUE"""),"Sea of Thieves")</f>
        <v>Sea of Thieves</v>
      </c>
      <c r="B384" s="195" t="str">
        <f>IFERROR(__xludf.DUMMYFUNCTION("""COMPUTED_VALUE"""),"Xbox / PC")</f>
        <v>Xbox / PC</v>
      </c>
      <c r="C384" s="196" t="str">
        <f>IFERROR(__xludf.DUMMYFUNCTION("""COMPUTED_VALUE"""),"Touch Controls, M+KB")</f>
        <v>Touch Controls, M+KB</v>
      </c>
      <c r="D384" s="196" t="str">
        <f>IFERROR(__xludf.DUMMYFUNCTION("""COMPUTED_VALUE"""),"Active")</f>
        <v>Active</v>
      </c>
      <c r="E384" s="197">
        <f>IFERROR(__xludf.DUMMYFUNCTION("""COMPUTED_VALUE"""),43179.0)</f>
        <v>43179</v>
      </c>
      <c r="F384" s="198"/>
      <c r="G384" s="199">
        <f>IFERROR(__xludf.DUMMYFUNCTION("""COMPUTED_VALUE"""),90.83333333333334)</f>
        <v>90.83333333</v>
      </c>
      <c r="H384" s="197">
        <f>IFERROR(__xludf.DUMMYFUNCTION("""COMPUTED_VALUE"""),43179.0)</f>
        <v>43179</v>
      </c>
      <c r="I384" s="199">
        <f>IFERROR(__xludf.DUMMYFUNCTION("""COMPUTED_VALUE"""),0.0)</f>
        <v>0</v>
      </c>
      <c r="J384" s="200">
        <f>IFERROR(__xludf.DUMMYFUNCTION("""COMPUTED_VALUE"""),69.0)</f>
        <v>69</v>
      </c>
      <c r="K384" s="200">
        <f>IFERROR(__xludf.DUMMYFUNCTION("""COMPUTED_VALUE"""),33.5)</f>
        <v>33.5</v>
      </c>
      <c r="L384" s="201" t="str">
        <f>IFERROR(__xludf.DUMMYFUNCTION("""COMPUTED_VALUE"""),"Action-Adventure")</f>
        <v>Action-Adventure</v>
      </c>
      <c r="M384" s="201" t="str">
        <f>IFERROR(__xludf.DUMMYFUNCTION("""COMPUTED_VALUE"""),"Optimized")</f>
        <v>Optimized</v>
      </c>
    </row>
    <row r="385">
      <c r="A385" s="190" t="str">
        <f>IFERROR(__xludf.DUMMYFUNCTION("""COMPUTED_VALUE"""),"The Grinch: Christmas Adventures")</f>
        <v>The Grinch: Christmas Adventures</v>
      </c>
      <c r="B385" s="195" t="str">
        <f>IFERROR(__xludf.DUMMYFUNCTION("""COMPUTED_VALUE"""),"Xbox / PC")</f>
        <v>Xbox / PC</v>
      </c>
      <c r="C385" s="196" t="str">
        <f>IFERROR(__xludf.DUMMYFUNCTION("""COMPUTED_VALUE"""),"Yes")</f>
        <v>Yes</v>
      </c>
      <c r="D385" s="196" t="str">
        <f>IFERROR(__xludf.DUMMYFUNCTION("""COMPUTED_VALUE"""),"Active")</f>
        <v>Active</v>
      </c>
      <c r="E385" s="197">
        <f>IFERROR(__xludf.DUMMYFUNCTION("""COMPUTED_VALUE"""),45945.0)</f>
        <v>45945</v>
      </c>
      <c r="F385" s="198"/>
      <c r="G385" s="199">
        <f>IFERROR(__xludf.DUMMYFUNCTION("""COMPUTED_VALUE"""),0.0)</f>
        <v>0</v>
      </c>
      <c r="H385" s="197">
        <f>IFERROR(__xludf.DUMMYFUNCTION("""COMPUTED_VALUE"""),45212.0)</f>
        <v>45212</v>
      </c>
      <c r="I385" s="199">
        <f>IFERROR(__xludf.DUMMYFUNCTION("""COMPUTED_VALUE"""),2.0055555555555555)</f>
        <v>2.005555556</v>
      </c>
      <c r="J385" s="200">
        <f>IFERROR(__xludf.DUMMYFUNCTION("""COMPUTED_VALUE"""),68.33333333333333)</f>
        <v>68.33333333</v>
      </c>
      <c r="K385" s="200">
        <f>IFERROR(__xludf.DUMMYFUNCTION("""COMPUTED_VALUE"""),3.0)</f>
        <v>3</v>
      </c>
      <c r="L385" s="201" t="str">
        <f>IFERROR(__xludf.DUMMYFUNCTION("""COMPUTED_VALUE"""),"Platformer")</f>
        <v>Platformer</v>
      </c>
      <c r="M385" s="201"/>
    </row>
    <row r="386">
      <c r="A386" s="190" t="str">
        <f>IFERROR(__xludf.DUMMYFUNCTION("""COMPUTED_VALUE"""),"The Gunk")</f>
        <v>The Gunk</v>
      </c>
      <c r="B386" s="195" t="str">
        <f>IFERROR(__xludf.DUMMYFUNCTION("""COMPUTED_VALUE"""),"Xbox / PC")</f>
        <v>Xbox / PC</v>
      </c>
      <c r="C386" s="196" t="str">
        <f>IFERROR(__xludf.DUMMYFUNCTION("""COMPUTED_VALUE"""),"Touch Controls")</f>
        <v>Touch Controls</v>
      </c>
      <c r="D386" s="196" t="str">
        <f>IFERROR(__xludf.DUMMYFUNCTION("""COMPUTED_VALUE"""),"Active")</f>
        <v>Active</v>
      </c>
      <c r="E386" s="197">
        <f>IFERROR(__xludf.DUMMYFUNCTION("""COMPUTED_VALUE"""),44546.0)</f>
        <v>44546</v>
      </c>
      <c r="F386" s="198"/>
      <c r="G386" s="199">
        <f>IFERROR(__xludf.DUMMYFUNCTION("""COMPUTED_VALUE"""),45.96666666666667)</f>
        <v>45.96666667</v>
      </c>
      <c r="H386" s="197">
        <f>IFERROR(__xludf.DUMMYFUNCTION("""COMPUTED_VALUE"""),44546.0)</f>
        <v>44546</v>
      </c>
      <c r="I386" s="199">
        <f>IFERROR(__xludf.DUMMYFUNCTION("""COMPUTED_VALUE"""),0.0)</f>
        <v>0</v>
      </c>
      <c r="J386" s="200">
        <f>IFERROR(__xludf.DUMMYFUNCTION("""COMPUTED_VALUE"""),68.33333333333333)</f>
        <v>68.33333333</v>
      </c>
      <c r="K386" s="200">
        <f>IFERROR(__xludf.DUMMYFUNCTION("""COMPUTED_VALUE"""),4.5)</f>
        <v>4.5</v>
      </c>
      <c r="L386" s="201" t="str">
        <f>IFERROR(__xludf.DUMMYFUNCTION("""COMPUTED_VALUE"""),"Puzzle / Action-Adventure")</f>
        <v>Puzzle / Action-Adventure</v>
      </c>
      <c r="M386" s="201"/>
    </row>
    <row r="387">
      <c r="A387" s="190" t="str">
        <f>IFERROR(__xludf.DUMMYFUNCTION("""COMPUTED_VALUE"""),"The Casting of Frank Stone")</f>
        <v>The Casting of Frank Stone</v>
      </c>
      <c r="B387" s="195" t="str">
        <f>IFERROR(__xludf.DUMMYFUNCTION("""COMPUTED_VALUE"""),"Xbox / PC")</f>
        <v>Xbox / PC</v>
      </c>
      <c r="C387" s="196" t="str">
        <f>IFERROR(__xludf.DUMMYFUNCTION("""COMPUTED_VALUE"""),"Yes")</f>
        <v>Yes</v>
      </c>
      <c r="D387" s="196" t="str">
        <f>IFERROR(__xludf.DUMMYFUNCTION("""COMPUTED_VALUE"""),"Active")</f>
        <v>Active</v>
      </c>
      <c r="E387" s="197">
        <f>IFERROR(__xludf.DUMMYFUNCTION("""COMPUTED_VALUE"""),45944.0)</f>
        <v>45944</v>
      </c>
      <c r="F387" s="198"/>
      <c r="G387" s="199">
        <f>IFERROR(__xludf.DUMMYFUNCTION("""COMPUTED_VALUE"""),0.03333333333333333)</f>
        <v>0.03333333333</v>
      </c>
      <c r="H387" s="197">
        <f>IFERROR(__xludf.DUMMYFUNCTION("""COMPUTED_VALUE"""),45538.0)</f>
        <v>45538</v>
      </c>
      <c r="I387" s="199">
        <f>IFERROR(__xludf.DUMMYFUNCTION("""COMPUTED_VALUE"""),1.113888888888889)</f>
        <v>1.113888889</v>
      </c>
      <c r="J387" s="200">
        <f>IFERROR(__xludf.DUMMYFUNCTION("""COMPUTED_VALUE"""),68.0)</f>
        <v>68</v>
      </c>
      <c r="K387" s="200">
        <f>IFERROR(__xludf.DUMMYFUNCTION("""COMPUTED_VALUE"""),6.0)</f>
        <v>6</v>
      </c>
      <c r="L387" s="201" t="str">
        <f>IFERROR(__xludf.DUMMYFUNCTION("""COMPUTED_VALUE"""),"Action-Adventure")</f>
        <v>Action-Adventure</v>
      </c>
      <c r="M387" s="201" t="str">
        <f>IFERROR(__xludf.DUMMYFUNCTION("""COMPUTED_VALUE"""),"Exclusive")</f>
        <v>Exclusive</v>
      </c>
    </row>
    <row r="388">
      <c r="A388" s="190" t="str">
        <f>IFERROR(__xludf.DUMMYFUNCTION("""COMPUTED_VALUE"""),"Eternal Strands")</f>
        <v>Eternal Strands</v>
      </c>
      <c r="B388" s="195" t="str">
        <f>IFERROR(__xludf.DUMMYFUNCTION("""COMPUTED_VALUE"""),"Xbox / PC")</f>
        <v>Xbox / PC</v>
      </c>
      <c r="C388" s="196" t="str">
        <f>IFERROR(__xludf.DUMMYFUNCTION("""COMPUTED_VALUE"""),"Yes")</f>
        <v>Yes</v>
      </c>
      <c r="D388" s="196" t="str">
        <f>IFERROR(__xludf.DUMMYFUNCTION("""COMPUTED_VALUE"""),"Active")</f>
        <v>Active</v>
      </c>
      <c r="E388" s="197">
        <f>IFERROR(__xludf.DUMMYFUNCTION("""COMPUTED_VALUE"""),45685.0)</f>
        <v>45685</v>
      </c>
      <c r="F388" s="198"/>
      <c r="G388" s="199">
        <f>IFERROR(__xludf.DUMMYFUNCTION("""COMPUTED_VALUE"""),8.566666666666666)</f>
        <v>8.566666667</v>
      </c>
      <c r="H388" s="197">
        <f>IFERROR(__xludf.DUMMYFUNCTION("""COMPUTED_VALUE"""),45685.0)</f>
        <v>45685</v>
      </c>
      <c r="I388" s="199">
        <f>IFERROR(__xludf.DUMMYFUNCTION("""COMPUTED_VALUE"""),0.0)</f>
        <v>0</v>
      </c>
      <c r="J388" s="200">
        <f>IFERROR(__xludf.DUMMYFUNCTION("""COMPUTED_VALUE"""),68.0)</f>
        <v>68</v>
      </c>
      <c r="K388" s="200">
        <f>IFERROR(__xludf.DUMMYFUNCTION("""COMPUTED_VALUE"""),18.0)</f>
        <v>18</v>
      </c>
      <c r="L388" s="201" t="str">
        <f>IFERROR(__xludf.DUMMYFUNCTION("""COMPUTED_VALUE"""),"Action-Adventure")</f>
        <v>Action-Adventure</v>
      </c>
      <c r="M388" s="201"/>
    </row>
    <row r="389">
      <c r="A389" s="190" t="str">
        <f>IFERROR(__xludf.DUMMYFUNCTION("""COMPUTED_VALUE"""),"Go Mecha Ball")</f>
        <v>Go Mecha Ball</v>
      </c>
      <c r="B389" s="195" t="str">
        <f>IFERROR(__xludf.DUMMYFUNCTION("""COMPUTED_VALUE"""),"Xbox / PC")</f>
        <v>Xbox / PC</v>
      </c>
      <c r="C389" s="196" t="str">
        <f>IFERROR(__xludf.DUMMYFUNCTION("""COMPUTED_VALUE"""),"Yes")</f>
        <v>Yes</v>
      </c>
      <c r="D389" s="196" t="str">
        <f>IFERROR(__xludf.DUMMYFUNCTION("""COMPUTED_VALUE"""),"Active")</f>
        <v>Active</v>
      </c>
      <c r="E389" s="197">
        <f>IFERROR(__xludf.DUMMYFUNCTION("""COMPUTED_VALUE"""),45316.0)</f>
        <v>45316</v>
      </c>
      <c r="F389" s="198"/>
      <c r="G389" s="199">
        <f>IFERROR(__xludf.DUMMYFUNCTION("""COMPUTED_VALUE"""),20.666666666666668)</f>
        <v>20.66666667</v>
      </c>
      <c r="H389" s="197">
        <f>IFERROR(__xludf.DUMMYFUNCTION("""COMPUTED_VALUE"""),45316.0)</f>
        <v>45316</v>
      </c>
      <c r="I389" s="199">
        <f>IFERROR(__xludf.DUMMYFUNCTION("""COMPUTED_VALUE"""),0.0)</f>
        <v>0</v>
      </c>
      <c r="J389" s="200">
        <f>IFERROR(__xludf.DUMMYFUNCTION("""COMPUTED_VALUE"""),68.0)</f>
        <v>68</v>
      </c>
      <c r="K389" s="200">
        <f>IFERROR(__xludf.DUMMYFUNCTION("""COMPUTED_VALUE"""),3.0)</f>
        <v>3</v>
      </c>
      <c r="L389" s="201" t="str">
        <f>IFERROR(__xludf.DUMMYFUNCTION("""COMPUTED_VALUE"""),"Action")</f>
        <v>Action</v>
      </c>
      <c r="M389" s="201"/>
    </row>
    <row r="390">
      <c r="A390" s="202" t="str">
        <f>IFERROR(__xludf.DUMMYFUNCTION("""COMPUTED_VALUE"""),"Goat Simulator 3")</f>
        <v>Goat Simulator 3</v>
      </c>
      <c r="B390" s="195" t="str">
        <f>IFERROR(__xludf.DUMMYFUNCTION("""COMPUTED_VALUE"""),"Xbox / PC")</f>
        <v>Xbox / PC</v>
      </c>
      <c r="C390" s="196" t="str">
        <f>IFERROR(__xludf.DUMMYFUNCTION("""COMPUTED_VALUE"""),"Yes")</f>
        <v>Yes</v>
      </c>
      <c r="D390" s="196" t="str">
        <f>IFERROR(__xludf.DUMMYFUNCTION("""COMPUTED_VALUE"""),"Active")</f>
        <v>Active</v>
      </c>
      <c r="E390" s="197">
        <f>IFERROR(__xludf.DUMMYFUNCTION("""COMPUTED_VALUE"""),45267.0)</f>
        <v>45267</v>
      </c>
      <c r="F390" s="198"/>
      <c r="G390" s="199">
        <f>IFERROR(__xludf.DUMMYFUNCTION("""COMPUTED_VALUE"""),22.266666666666666)</f>
        <v>22.26666667</v>
      </c>
      <c r="H390" s="197">
        <f>IFERROR(__xludf.DUMMYFUNCTION("""COMPUTED_VALUE"""),44882.0)</f>
        <v>44882</v>
      </c>
      <c r="I390" s="199">
        <f>IFERROR(__xludf.DUMMYFUNCTION("""COMPUTED_VALUE"""),1.0555555555555556)</f>
        <v>1.055555556</v>
      </c>
      <c r="J390" s="200">
        <f>IFERROR(__xludf.DUMMYFUNCTION("""COMPUTED_VALUE"""),68.0)</f>
        <v>68</v>
      </c>
      <c r="K390" s="200">
        <f>IFERROR(__xludf.DUMMYFUNCTION("""COMPUTED_VALUE"""),8.0)</f>
        <v>8</v>
      </c>
      <c r="L390" s="201" t="str">
        <f>IFERROR(__xludf.DUMMYFUNCTION("""COMPUTED_VALUE"""),"Simulation")</f>
        <v>Simulation</v>
      </c>
      <c r="M390" s="201" t="str">
        <f>IFERROR(__xludf.DUMMYFUNCTION("""COMPUTED_VALUE"""),"Exclusive")</f>
        <v>Exclusive</v>
      </c>
    </row>
    <row r="391">
      <c r="A391" s="190" t="str">
        <f>IFERROR(__xludf.DUMMYFUNCTION("""COMPUTED_VALUE"""),"House Flipper")</f>
        <v>House Flipper</v>
      </c>
      <c r="B391" s="195" t="str">
        <f>IFERROR(__xludf.DUMMYFUNCTION("""COMPUTED_VALUE"""),"Xbox / PC")</f>
        <v>Xbox / PC</v>
      </c>
      <c r="C391" s="196" t="str">
        <f>IFERROR(__xludf.DUMMYFUNCTION("""COMPUTED_VALUE"""),"M+KB")</f>
        <v>M+KB</v>
      </c>
      <c r="D391" s="196" t="str">
        <f>IFERROR(__xludf.DUMMYFUNCTION("""COMPUTED_VALUE"""),"Active")</f>
        <v>Active</v>
      </c>
      <c r="E391" s="197">
        <f>IFERROR(__xludf.DUMMYFUNCTION("""COMPUTED_VALUE"""),44742.0)</f>
        <v>44742</v>
      </c>
      <c r="F391" s="198"/>
      <c r="G391" s="199">
        <f>IFERROR(__xludf.DUMMYFUNCTION("""COMPUTED_VALUE"""),39.5)</f>
        <v>39.5</v>
      </c>
      <c r="H391" s="197">
        <f>IFERROR(__xludf.DUMMYFUNCTION("""COMPUTED_VALUE"""),43237.0)</f>
        <v>43237</v>
      </c>
      <c r="I391" s="199">
        <f>IFERROR(__xludf.DUMMYFUNCTION("""COMPUTED_VALUE"""),4.1194444444444445)</f>
        <v>4.119444444</v>
      </c>
      <c r="J391" s="200">
        <f>IFERROR(__xludf.DUMMYFUNCTION("""COMPUTED_VALUE"""),68.0)</f>
        <v>68</v>
      </c>
      <c r="K391" s="200">
        <f>IFERROR(__xludf.DUMMYFUNCTION("""COMPUTED_VALUE"""),12.0)</f>
        <v>12</v>
      </c>
      <c r="L391" s="201" t="str">
        <f>IFERROR(__xludf.DUMMYFUNCTION("""COMPUTED_VALUE"""),"Simulation")</f>
        <v>Simulation</v>
      </c>
      <c r="M391" s="201"/>
    </row>
    <row r="392">
      <c r="A392" s="190" t="str">
        <f>IFERROR(__xludf.DUMMYFUNCTION("""COMPUTED_VALUE"""),"Fallout 76")</f>
        <v>Fallout 76</v>
      </c>
      <c r="B392" s="195" t="str">
        <f>IFERROR(__xludf.DUMMYFUNCTION("""COMPUTED_VALUE"""),"Xbox / PC")</f>
        <v>Xbox / PC</v>
      </c>
      <c r="C392" s="196" t="str">
        <f>IFERROR(__xludf.DUMMYFUNCTION("""COMPUTED_VALUE"""),"Yes")</f>
        <v>Yes</v>
      </c>
      <c r="D392" s="196" t="str">
        <f>IFERROR(__xludf.DUMMYFUNCTION("""COMPUTED_VALUE"""),"Active")</f>
        <v>Active</v>
      </c>
      <c r="E392" s="197">
        <f>IFERROR(__xludf.DUMMYFUNCTION("""COMPUTED_VALUE"""),44021.0)</f>
        <v>44021</v>
      </c>
      <c r="F392" s="198"/>
      <c r="G392" s="199">
        <f>IFERROR(__xludf.DUMMYFUNCTION("""COMPUTED_VALUE"""),63.2)</f>
        <v>63.2</v>
      </c>
      <c r="H392" s="197">
        <f>IFERROR(__xludf.DUMMYFUNCTION("""COMPUTED_VALUE"""),43418.0)</f>
        <v>43418</v>
      </c>
      <c r="I392" s="199">
        <f>IFERROR(__xludf.DUMMYFUNCTION("""COMPUTED_VALUE"""),1.6527777777777777)</f>
        <v>1.652777778</v>
      </c>
      <c r="J392" s="200">
        <f>IFERROR(__xludf.DUMMYFUNCTION("""COMPUTED_VALUE"""),68.0)</f>
        <v>68</v>
      </c>
      <c r="K392" s="200">
        <f>IFERROR(__xludf.DUMMYFUNCTION("""COMPUTED_VALUE"""),29.5)</f>
        <v>29.5</v>
      </c>
      <c r="L392" s="201" t="str">
        <f>IFERROR(__xludf.DUMMYFUNCTION("""COMPUTED_VALUE"""),"Sci-Fi / Alternate Historical / Post-Apocalyptic")</f>
        <v>Sci-Fi / Alternate Historical / Post-Apocalyptic</v>
      </c>
      <c r="M392" s="201" t="str">
        <f>IFERROR(__xludf.DUMMYFUNCTION("""COMPUTED_VALUE"""),"FPS Boost")</f>
        <v>FPS Boost</v>
      </c>
    </row>
    <row r="393">
      <c r="A393" s="190" t="str">
        <f>IFERROR(__xludf.DUMMYFUNCTION("""COMPUTED_VALUE"""),"Golf With Your Friends")</f>
        <v>Golf With Your Friends</v>
      </c>
      <c r="B393" s="195" t="str">
        <f>IFERROR(__xludf.DUMMYFUNCTION("""COMPUTED_VALUE"""),"Xbox / PC")</f>
        <v>Xbox / PC</v>
      </c>
      <c r="C393" s="196" t="str">
        <f>IFERROR(__xludf.DUMMYFUNCTION("""COMPUTED_VALUE"""),"Touch Controls")</f>
        <v>Touch Controls</v>
      </c>
      <c r="D393" s="196" t="str">
        <f>IFERROR(__xludf.DUMMYFUNCTION("""COMPUTED_VALUE"""),"Active")</f>
        <v>Active</v>
      </c>
      <c r="E393" s="197">
        <f>IFERROR(__xludf.DUMMYFUNCTION("""COMPUTED_VALUE"""),43970.0)</f>
        <v>43970</v>
      </c>
      <c r="F393" s="198"/>
      <c r="G393" s="199">
        <f>IFERROR(__xludf.DUMMYFUNCTION("""COMPUTED_VALUE"""),64.86666666666667)</f>
        <v>64.86666667</v>
      </c>
      <c r="H393" s="197">
        <f>IFERROR(__xludf.DUMMYFUNCTION("""COMPUTED_VALUE"""),43970.0)</f>
        <v>43970</v>
      </c>
      <c r="I393" s="199">
        <f>IFERROR(__xludf.DUMMYFUNCTION("""COMPUTED_VALUE"""),0.0)</f>
        <v>0</v>
      </c>
      <c r="J393" s="200">
        <f>IFERROR(__xludf.DUMMYFUNCTION("""COMPUTED_VALUE"""),68.0)</f>
        <v>68</v>
      </c>
      <c r="K393" s="200">
        <f>IFERROR(__xludf.DUMMYFUNCTION("""COMPUTED_VALUE"""),23.5)</f>
        <v>23.5</v>
      </c>
      <c r="L393" s="201" t="str">
        <f>IFERROR(__xludf.DUMMYFUNCTION("""COMPUTED_VALUE"""),"Sports / Golf")</f>
        <v>Sports / Golf</v>
      </c>
      <c r="M393" s="201" t="str">
        <f>IFERROR(__xludf.DUMMYFUNCTION("""COMPUTED_VALUE"""),"FPS Boost")</f>
        <v>FPS Boost</v>
      </c>
    </row>
    <row r="394">
      <c r="A394" s="190" t="str">
        <f>IFERROR(__xludf.DUMMYFUNCTION("""COMPUTED_VALUE"""),"Wolfenstein: Youngblood")</f>
        <v>Wolfenstein: Youngblood</v>
      </c>
      <c r="B394" s="195" t="str">
        <f>IFERROR(__xludf.DUMMYFUNCTION("""COMPUTED_VALUE"""),"Xbox / PC")</f>
        <v>Xbox / PC</v>
      </c>
      <c r="C394" s="196" t="str">
        <f>IFERROR(__xludf.DUMMYFUNCTION("""COMPUTED_VALUE"""),"Yes")</f>
        <v>Yes</v>
      </c>
      <c r="D394" s="196" t="str">
        <f>IFERROR(__xludf.DUMMYFUNCTION("""COMPUTED_VALUE"""),"Active")</f>
        <v>Active</v>
      </c>
      <c r="E394" s="197">
        <f>IFERROR(__xludf.DUMMYFUNCTION("""COMPUTED_VALUE"""),43867.0)</f>
        <v>43867</v>
      </c>
      <c r="F394" s="198"/>
      <c r="G394" s="199">
        <f>IFERROR(__xludf.DUMMYFUNCTION("""COMPUTED_VALUE"""),68.3)</f>
        <v>68.3</v>
      </c>
      <c r="H394" s="197">
        <f>IFERROR(__xludf.DUMMYFUNCTION("""COMPUTED_VALUE"""),43671.0)</f>
        <v>43671</v>
      </c>
      <c r="I394" s="199">
        <f>IFERROR(__xludf.DUMMYFUNCTION("""COMPUTED_VALUE"""),0.5305555555555556)</f>
        <v>0.5305555556</v>
      </c>
      <c r="J394" s="200">
        <f>IFERROR(__xludf.DUMMYFUNCTION("""COMPUTED_VALUE"""),68.0)</f>
        <v>68</v>
      </c>
      <c r="K394" s="200">
        <f>IFERROR(__xludf.DUMMYFUNCTION("""COMPUTED_VALUE"""),9.0)</f>
        <v>9</v>
      </c>
      <c r="L394" s="201" t="str">
        <f>IFERROR(__xludf.DUMMYFUNCTION("""COMPUTED_VALUE"""),"First-Person Shooter")</f>
        <v>First-Person Shooter</v>
      </c>
      <c r="M394" s="201"/>
    </row>
    <row r="395">
      <c r="A395" s="190" t="str">
        <f>IFERROR(__xludf.DUMMYFUNCTION("""COMPUTED_VALUE"""),"Rush: A Disney Pixar Adventure")</f>
        <v>Rush: A Disney Pixar Adventure</v>
      </c>
      <c r="B395" s="195" t="str">
        <f>IFERROR(__xludf.DUMMYFUNCTION("""COMPUTED_VALUE"""),"Xbox / PC")</f>
        <v>Xbox / PC</v>
      </c>
      <c r="C395" s="196" t="str">
        <f>IFERROR(__xludf.DUMMYFUNCTION("""COMPUTED_VALUE"""),"Yes")</f>
        <v>Yes</v>
      </c>
      <c r="D395" s="196" t="str">
        <f>IFERROR(__xludf.DUMMYFUNCTION("""COMPUTED_VALUE"""),"Active")</f>
        <v>Active</v>
      </c>
      <c r="E395" s="197">
        <f>IFERROR(__xludf.DUMMYFUNCTION("""COMPUTED_VALUE"""),43313.0)</f>
        <v>43313</v>
      </c>
      <c r="F395" s="198"/>
      <c r="G395" s="199">
        <f>IFERROR(__xludf.DUMMYFUNCTION("""COMPUTED_VALUE"""),86.46666666666667)</f>
        <v>86.46666667</v>
      </c>
      <c r="H395" s="197">
        <f>IFERROR(__xludf.DUMMYFUNCTION("""COMPUTED_VALUE"""),40988.0)</f>
        <v>40988</v>
      </c>
      <c r="I395" s="199">
        <f>IFERROR(__xludf.DUMMYFUNCTION("""COMPUTED_VALUE"""),6.363888888888889)</f>
        <v>6.363888889</v>
      </c>
      <c r="J395" s="200">
        <f>IFERROR(__xludf.DUMMYFUNCTION("""COMPUTED_VALUE"""),68.0)</f>
        <v>68</v>
      </c>
      <c r="K395" s="200">
        <f>IFERROR(__xludf.DUMMYFUNCTION("""COMPUTED_VALUE"""),3.0)</f>
        <v>3</v>
      </c>
      <c r="L395" s="201" t="str">
        <f>IFERROR(__xludf.DUMMYFUNCTION("""COMPUTED_VALUE"""),"Minigame Collection / Platformer")</f>
        <v>Minigame Collection / Platformer</v>
      </c>
      <c r="M395" s="201"/>
    </row>
    <row r="396">
      <c r="A396" s="203" t="str">
        <f>IFERROR(__xludf.DUMMYFUNCTION("""COMPUTED_VALUE"""),"Fable Anniversary")</f>
        <v>Fable Anniversary</v>
      </c>
      <c r="B396" s="204" t="str">
        <f>IFERROR(__xludf.DUMMYFUNCTION("""COMPUTED_VALUE"""),"Xbox")</f>
        <v>Xbox</v>
      </c>
      <c r="C396" s="205" t="str">
        <f>IFERROR(__xludf.DUMMYFUNCTION("""COMPUTED_VALUE"""),"Touch Controls")</f>
        <v>Touch Controls</v>
      </c>
      <c r="D396" s="205" t="str">
        <f>IFERROR(__xludf.DUMMYFUNCTION("""COMPUTED_VALUE"""),"Active")</f>
        <v>Active</v>
      </c>
      <c r="E396" s="166">
        <f>IFERROR(__xludf.DUMMYFUNCTION("""COMPUTED_VALUE"""),43132.0)</f>
        <v>43132</v>
      </c>
      <c r="F396" s="206"/>
      <c r="G396" s="167">
        <f>IFERROR(__xludf.DUMMYFUNCTION("""COMPUTED_VALUE"""),92.46666666666667)</f>
        <v>92.46666667</v>
      </c>
      <c r="H396" s="166">
        <f>IFERROR(__xludf.DUMMYFUNCTION("""COMPUTED_VALUE"""),41674.0)</f>
        <v>41674</v>
      </c>
      <c r="I396" s="167">
        <f>IFERROR(__xludf.DUMMYFUNCTION("""COMPUTED_VALUE"""),3.9916666666666667)</f>
        <v>3.991666667</v>
      </c>
      <c r="J396" s="168">
        <f>IFERROR(__xludf.DUMMYFUNCTION("""COMPUTED_VALUE"""),68.0)</f>
        <v>68</v>
      </c>
      <c r="K396" s="168">
        <f>IFERROR(__xludf.DUMMYFUNCTION("""COMPUTED_VALUE"""),14.0)</f>
        <v>14</v>
      </c>
      <c r="L396" s="207" t="str">
        <f>IFERROR(__xludf.DUMMYFUNCTION("""COMPUTED_VALUE"""),"RPG / Action-Adventure")</f>
        <v>RPG / Action-Adventure</v>
      </c>
      <c r="M396" s="207"/>
    </row>
    <row r="397">
      <c r="A397" s="203" t="str">
        <f>IFERROR(__xludf.DUMMYFUNCTION("""COMPUTED_VALUE"""),"High on Life")</f>
        <v>High on Life</v>
      </c>
      <c r="B397" s="204" t="str">
        <f>IFERROR(__xludf.DUMMYFUNCTION("""COMPUTED_VALUE"""),"Xbox / PC")</f>
        <v>Xbox / PC</v>
      </c>
      <c r="C397" s="205" t="str">
        <f>IFERROR(__xludf.DUMMYFUNCTION("""COMPUTED_VALUE"""),"M+KB")</f>
        <v>M+KB</v>
      </c>
      <c r="D397" s="205" t="str">
        <f>IFERROR(__xludf.DUMMYFUNCTION("""COMPUTED_VALUE"""),"Active")</f>
        <v>Active</v>
      </c>
      <c r="E397" s="166">
        <f>IFERROR(__xludf.DUMMYFUNCTION("""COMPUTED_VALUE"""),45853.0)</f>
        <v>45853</v>
      </c>
      <c r="F397" s="206"/>
      <c r="G397" s="167">
        <f>IFERROR(__xludf.DUMMYFUNCTION("""COMPUTED_VALUE"""),3.0)</f>
        <v>3</v>
      </c>
      <c r="H397" s="166">
        <f>IFERROR(__xludf.DUMMYFUNCTION("""COMPUTED_VALUE"""),44908.0)</f>
        <v>44908</v>
      </c>
      <c r="I397" s="167">
        <f>IFERROR(__xludf.DUMMYFUNCTION("""COMPUTED_VALUE"""),2.588888888888889)</f>
        <v>2.588888889</v>
      </c>
      <c r="J397" s="168">
        <f>IFERROR(__xludf.DUMMYFUNCTION("""COMPUTED_VALUE"""),67.0)</f>
        <v>67</v>
      </c>
      <c r="K397" s="168">
        <f>IFERROR(__xludf.DUMMYFUNCTION("""COMPUTED_VALUE"""),9.0)</f>
        <v>9</v>
      </c>
      <c r="L397" s="207" t="str">
        <f>IFERROR(__xludf.DUMMYFUNCTION("""COMPUTED_VALUE"""),"First-Person Shooter")</f>
        <v>First-Person Shooter</v>
      </c>
      <c r="M397" s="207"/>
    </row>
    <row r="398">
      <c r="A398" s="203" t="str">
        <f>IFERROR(__xludf.DUMMYFUNCTION("""COMPUTED_VALUE"""),"SpongeBob SquarePants: The Patrick Star Game")</f>
        <v>SpongeBob SquarePants: The Patrick Star Game</v>
      </c>
      <c r="B398" s="204" t="str">
        <f>IFERROR(__xludf.DUMMYFUNCTION("""COMPUTED_VALUE"""),"Xbox / PC")</f>
        <v>Xbox / PC</v>
      </c>
      <c r="C398" s="205" t="str">
        <f>IFERROR(__xludf.DUMMYFUNCTION("""COMPUTED_VALUE"""),"Yes")</f>
        <v>Yes</v>
      </c>
      <c r="D398" s="205" t="str">
        <f>IFERROR(__xludf.DUMMYFUNCTION("""COMPUTED_VALUE"""),"Active")</f>
        <v>Active</v>
      </c>
      <c r="E398" s="166">
        <f>IFERROR(__xludf.DUMMYFUNCTION("""COMPUTED_VALUE"""),45763.0)</f>
        <v>45763</v>
      </c>
      <c r="F398" s="206"/>
      <c r="G398" s="167">
        <f>IFERROR(__xludf.DUMMYFUNCTION("""COMPUTED_VALUE"""),5.966666666666667)</f>
        <v>5.966666667</v>
      </c>
      <c r="H398" s="166">
        <f>IFERROR(__xludf.DUMMYFUNCTION("""COMPUTED_VALUE"""),45569.0)</f>
        <v>45569</v>
      </c>
      <c r="I398" s="167">
        <f>IFERROR(__xludf.DUMMYFUNCTION("""COMPUTED_VALUE"""),0.5333333333333333)</f>
        <v>0.5333333333</v>
      </c>
      <c r="J398" s="168">
        <f>IFERROR(__xludf.DUMMYFUNCTION("""COMPUTED_VALUE"""),67.0)</f>
        <v>67</v>
      </c>
      <c r="K398" s="168">
        <f>IFERROR(__xludf.DUMMYFUNCTION("""COMPUTED_VALUE"""),4.0)</f>
        <v>4</v>
      </c>
      <c r="L398" s="207" t="str">
        <f>IFERROR(__xludf.DUMMYFUNCTION("""COMPUTED_VALUE"""),"Platformer")</f>
        <v>Platformer</v>
      </c>
      <c r="M398" s="207"/>
    </row>
    <row r="399">
      <c r="A399" s="203" t="str">
        <f>IFERROR(__xludf.DUMMYFUNCTION("""COMPUTED_VALUE"""),"Gang Beasts")</f>
        <v>Gang Beasts</v>
      </c>
      <c r="B399" s="204" t="str">
        <f>IFERROR(__xludf.DUMMYFUNCTION("""COMPUTED_VALUE"""),"Xbox / PC")</f>
        <v>Xbox / PC</v>
      </c>
      <c r="C399" s="205" t="str">
        <f>IFERROR(__xludf.DUMMYFUNCTION("""COMPUTED_VALUE"""),"Yes")</f>
        <v>Yes</v>
      </c>
      <c r="D399" s="205" t="str">
        <f>IFERROR(__xludf.DUMMYFUNCTION("""COMPUTED_VALUE"""),"Active")</f>
        <v>Active</v>
      </c>
      <c r="E399" s="166">
        <f>IFERROR(__xludf.DUMMYFUNCTION("""COMPUTED_VALUE"""),44378.0)</f>
        <v>44378</v>
      </c>
      <c r="F399" s="206"/>
      <c r="G399" s="167">
        <f>IFERROR(__xludf.DUMMYFUNCTION("""COMPUTED_VALUE"""),51.46666666666667)</f>
        <v>51.46666667</v>
      </c>
      <c r="H399" s="166">
        <f>IFERROR(__xludf.DUMMYFUNCTION("""COMPUTED_VALUE"""),41880.0)</f>
        <v>41880</v>
      </c>
      <c r="I399" s="167">
        <f>IFERROR(__xludf.DUMMYFUNCTION("""COMPUTED_VALUE"""),6.838888888888889)</f>
        <v>6.838888889</v>
      </c>
      <c r="J399" s="168">
        <f>IFERROR(__xludf.DUMMYFUNCTION("""COMPUTED_VALUE"""),67.0)</f>
        <v>67</v>
      </c>
      <c r="K399" s="168">
        <f>IFERROR(__xludf.DUMMYFUNCTION("""COMPUTED_VALUE"""),3.5)</f>
        <v>3.5</v>
      </c>
      <c r="L399" s="207" t="str">
        <f>IFERROR(__xludf.DUMMYFUNCTION("""COMPUTED_VALUE"""),"Brawler")</f>
        <v>Brawler</v>
      </c>
      <c r="M399" s="207"/>
    </row>
    <row r="400">
      <c r="A400" s="203" t="str">
        <f>IFERROR(__xludf.DUMMYFUNCTION("""COMPUTED_VALUE"""),"Disneyland Adventures")</f>
        <v>Disneyland Adventures</v>
      </c>
      <c r="B400" s="204" t="str">
        <f>IFERROR(__xludf.DUMMYFUNCTION("""COMPUTED_VALUE"""),"Xbox / PC")</f>
        <v>Xbox / PC</v>
      </c>
      <c r="C400" s="205" t="str">
        <f>IFERROR(__xludf.DUMMYFUNCTION("""COMPUTED_VALUE"""),"Yes")</f>
        <v>Yes</v>
      </c>
      <c r="D400" s="205" t="str">
        <f>IFERROR(__xludf.DUMMYFUNCTION("""COMPUTED_VALUE"""),"Active")</f>
        <v>Active</v>
      </c>
      <c r="E400" s="166">
        <f>IFERROR(__xludf.DUMMYFUNCTION("""COMPUTED_VALUE"""),43252.0)</f>
        <v>43252</v>
      </c>
      <c r="F400" s="206"/>
      <c r="G400" s="167">
        <f>IFERROR(__xludf.DUMMYFUNCTION("""COMPUTED_VALUE"""),88.46666666666667)</f>
        <v>88.46666667</v>
      </c>
      <c r="H400" s="166">
        <f>IFERROR(__xludf.DUMMYFUNCTION("""COMPUTED_VALUE"""),40862.0)</f>
        <v>40862</v>
      </c>
      <c r="I400" s="167">
        <f>IFERROR(__xludf.DUMMYFUNCTION("""COMPUTED_VALUE"""),6.544444444444444)</f>
        <v>6.544444444</v>
      </c>
      <c r="J400" s="168">
        <f>IFERROR(__xludf.DUMMYFUNCTION("""COMPUTED_VALUE"""),67.0)</f>
        <v>67</v>
      </c>
      <c r="K400" s="168">
        <f>IFERROR(__xludf.DUMMYFUNCTION("""COMPUTED_VALUE"""),16.0)</f>
        <v>16</v>
      </c>
      <c r="L400" s="207" t="str">
        <f>IFERROR(__xludf.DUMMYFUNCTION("""COMPUTED_VALUE"""),"Adventure / Minigame Collection")</f>
        <v>Adventure / Minigame Collection</v>
      </c>
      <c r="M400" s="207"/>
    </row>
    <row r="401">
      <c r="A401" s="203" t="str">
        <f>IFERROR(__xludf.DUMMYFUNCTION("""COMPUTED_VALUE"""),"Joy Ride Turbo")</f>
        <v>Joy Ride Turbo</v>
      </c>
      <c r="B401" s="204" t="str">
        <f>IFERROR(__xludf.DUMMYFUNCTION("""COMPUTED_VALUE"""),"Xbox")</f>
        <v>Xbox</v>
      </c>
      <c r="C401" s="205" t="str">
        <f>IFERROR(__xludf.DUMMYFUNCTION("""COMPUTED_VALUE"""),"Touch Controls")</f>
        <v>Touch Controls</v>
      </c>
      <c r="D401" s="205" t="str">
        <f>IFERROR(__xludf.DUMMYFUNCTION("""COMPUTED_VALUE"""),"Active")</f>
        <v>Active</v>
      </c>
      <c r="E401" s="166">
        <f>IFERROR(__xludf.DUMMYFUNCTION("""COMPUTED_VALUE"""),42887.0)</f>
        <v>42887</v>
      </c>
      <c r="F401" s="206"/>
      <c r="G401" s="167">
        <f>IFERROR(__xludf.DUMMYFUNCTION("""COMPUTED_VALUE"""),100.46666666666667)</f>
        <v>100.4666667</v>
      </c>
      <c r="H401" s="166">
        <f>IFERROR(__xludf.DUMMYFUNCTION("""COMPUTED_VALUE"""),41052.0)</f>
        <v>41052</v>
      </c>
      <c r="I401" s="167">
        <f>IFERROR(__xludf.DUMMYFUNCTION("""COMPUTED_VALUE"""),5.022222222222222)</f>
        <v>5.022222222</v>
      </c>
      <c r="J401" s="168">
        <f>IFERROR(__xludf.DUMMYFUNCTION("""COMPUTED_VALUE"""),67.0)</f>
        <v>67</v>
      </c>
      <c r="K401" s="168">
        <f>IFERROR(__xludf.DUMMYFUNCTION("""COMPUTED_VALUE"""),2.0)</f>
        <v>2</v>
      </c>
      <c r="L401" s="207" t="str">
        <f>IFERROR(__xludf.DUMMYFUNCTION("""COMPUTED_VALUE"""),"Driving/Racing")</f>
        <v>Driving/Racing</v>
      </c>
      <c r="M401" s="207"/>
    </row>
    <row r="402">
      <c r="A402" s="203" t="str">
        <f>IFERROR(__xludf.DUMMYFUNCTION("""COMPUTED_VALUE"""),"Ark: Survival Ascended")</f>
        <v>Ark: Survival Ascended</v>
      </c>
      <c r="B402" s="204" t="str">
        <f>IFERROR(__xludf.DUMMYFUNCTION("""COMPUTED_VALUE"""),"Xbox / PC")</f>
        <v>Xbox / PC</v>
      </c>
      <c r="C402" s="205" t="str">
        <f>IFERROR(__xludf.DUMMYFUNCTION("""COMPUTED_VALUE"""),"M+KB")</f>
        <v>M+KB</v>
      </c>
      <c r="D402" s="205" t="str">
        <f>IFERROR(__xludf.DUMMYFUNCTION("""COMPUTED_VALUE"""),"Active")</f>
        <v>Active</v>
      </c>
      <c r="E402" s="166">
        <f>IFERROR(__xludf.DUMMYFUNCTION("""COMPUTED_VALUE"""),45383.0)</f>
        <v>45383</v>
      </c>
      <c r="F402" s="206"/>
      <c r="G402" s="167">
        <f>IFERROR(__xludf.DUMMYFUNCTION("""COMPUTED_VALUE"""),18.46666666666667)</f>
        <v>18.46666667</v>
      </c>
      <c r="H402" s="166">
        <f>IFERROR(__xludf.DUMMYFUNCTION("""COMPUTED_VALUE"""),45260.0)</f>
        <v>45260</v>
      </c>
      <c r="I402" s="167">
        <f>IFERROR(__xludf.DUMMYFUNCTION("""COMPUTED_VALUE"""),0.33611111111111114)</f>
        <v>0.3361111111</v>
      </c>
      <c r="J402" s="168">
        <f>IFERROR(__xludf.DUMMYFUNCTION("""COMPUTED_VALUE"""),66.66666666666667)</f>
        <v>66.66666667</v>
      </c>
      <c r="K402" s="168">
        <f>IFERROR(__xludf.DUMMYFUNCTION("""COMPUTED_VALUE"""),380.0)</f>
        <v>380</v>
      </c>
      <c r="L402" s="207" t="str">
        <f>IFERROR(__xludf.DUMMYFUNCTION("""COMPUTED_VALUE"""),"Sandbox")</f>
        <v>Sandbox</v>
      </c>
      <c r="M402" s="207" t="str">
        <f>IFERROR(__xludf.DUMMYFUNCTION("""COMPUTED_VALUE"""),"Exclusive")</f>
        <v>Exclusive</v>
      </c>
    </row>
    <row r="403">
      <c r="A403" s="203" t="str">
        <f>IFERROR(__xludf.DUMMYFUNCTION("""COMPUTED_VALUE"""),"Battlefield 2042")</f>
        <v>Battlefield 2042</v>
      </c>
      <c r="B403" s="204" t="str">
        <f>IFERROR(__xludf.DUMMYFUNCTION("""COMPUTED_VALUE"""),"Xbox / PC")</f>
        <v>Xbox / PC</v>
      </c>
      <c r="C403" s="205" t="str">
        <f>IFERROR(__xludf.DUMMYFUNCTION("""COMPUTED_VALUE"""),"Yes")</f>
        <v>Yes</v>
      </c>
      <c r="D403" s="205" t="str">
        <f>IFERROR(__xludf.DUMMYFUNCTION("""COMPUTED_VALUE"""),"Active")</f>
        <v>Active</v>
      </c>
      <c r="E403" s="166">
        <f>IFERROR(__xludf.DUMMYFUNCTION("""COMPUTED_VALUE"""),44887.0)</f>
        <v>44887</v>
      </c>
      <c r="F403" s="206"/>
      <c r="G403" s="167">
        <f>IFERROR(__xludf.DUMMYFUNCTION("""COMPUTED_VALUE"""),34.766666666666666)</f>
        <v>34.76666667</v>
      </c>
      <c r="H403" s="166">
        <f>IFERROR(__xludf.DUMMYFUNCTION("""COMPUTED_VALUE"""),44512.0)</f>
        <v>44512</v>
      </c>
      <c r="I403" s="167">
        <f>IFERROR(__xludf.DUMMYFUNCTION("""COMPUTED_VALUE"""),1.0277777777777777)</f>
        <v>1.027777778</v>
      </c>
      <c r="J403" s="168">
        <f>IFERROR(__xludf.DUMMYFUNCTION("""COMPUTED_VALUE"""),66.0)</f>
        <v>66</v>
      </c>
      <c r="K403" s="168">
        <f>IFERROR(__xludf.DUMMYFUNCTION("""COMPUTED_VALUE"""),58.0)</f>
        <v>58</v>
      </c>
      <c r="L403" s="207" t="str">
        <f>IFERROR(__xludf.DUMMYFUNCTION("""COMPUTED_VALUE"""),"First-Person Shooter")</f>
        <v>First-Person Shooter</v>
      </c>
      <c r="M403" s="207"/>
    </row>
    <row r="404">
      <c r="A404" s="203" t="str">
        <f>IFERROR(__xludf.DUMMYFUNCTION("""COMPUTED_VALUE"""),"Star Wars Battlefront II: Celebration Edition")</f>
        <v>Star Wars Battlefront II: Celebration Edition</v>
      </c>
      <c r="B404" s="204" t="str">
        <f>IFERROR(__xludf.DUMMYFUNCTION("""COMPUTED_VALUE"""),"Xbox / PC")</f>
        <v>Xbox / PC</v>
      </c>
      <c r="C404" s="205" t="str">
        <f>IFERROR(__xludf.DUMMYFUNCTION("""COMPUTED_VALUE"""),"Yes")</f>
        <v>Yes</v>
      </c>
      <c r="D404" s="205" t="str">
        <f>IFERROR(__xludf.DUMMYFUNCTION("""COMPUTED_VALUE"""),"Active")</f>
        <v>Active</v>
      </c>
      <c r="E404" s="166">
        <f>IFERROR(__xludf.DUMMYFUNCTION("""COMPUTED_VALUE"""),44145.0)</f>
        <v>44145</v>
      </c>
      <c r="F404" s="206"/>
      <c r="G404" s="167">
        <f>IFERROR(__xludf.DUMMYFUNCTION("""COMPUTED_VALUE"""),59.166666666666664)</f>
        <v>59.16666667</v>
      </c>
      <c r="H404" s="166">
        <f>IFERROR(__xludf.DUMMYFUNCTION("""COMPUTED_VALUE"""),43056.0)</f>
        <v>43056</v>
      </c>
      <c r="I404" s="167">
        <f>IFERROR(__xludf.DUMMYFUNCTION("""COMPUTED_VALUE"""),2.9805555555555556)</f>
        <v>2.980555556</v>
      </c>
      <c r="J404" s="168">
        <f>IFERROR(__xludf.DUMMYFUNCTION("""COMPUTED_VALUE"""),66.0)</f>
        <v>66</v>
      </c>
      <c r="K404" s="168">
        <f>IFERROR(__xludf.DUMMYFUNCTION("""COMPUTED_VALUE"""),6.0)</f>
        <v>6</v>
      </c>
      <c r="L404" s="207" t="str">
        <f>IFERROR(__xludf.DUMMYFUNCTION("""COMPUTED_VALUE"""),"Action / First-Person Shooter")</f>
        <v>Action / First-Person Shooter</v>
      </c>
      <c r="M404" s="207" t="str">
        <f>IFERROR(__xludf.DUMMYFUNCTION("""COMPUTED_VALUE"""),"FPS Boost X Only")</f>
        <v>FPS Boost X Only</v>
      </c>
    </row>
    <row r="405">
      <c r="A405" s="203" t="str">
        <f>IFERROR(__xludf.DUMMYFUNCTION("""COMPUTED_VALUE"""),"The Sims 4: Deluxe Party Edition")</f>
        <v>The Sims 4: Deluxe Party Edition</v>
      </c>
      <c r="B405" s="204" t="str">
        <f>IFERROR(__xludf.DUMMYFUNCTION("""COMPUTED_VALUE"""),"Xbox / PC")</f>
        <v>Xbox / PC</v>
      </c>
      <c r="C405" s="205" t="str">
        <f>IFERROR(__xludf.DUMMYFUNCTION("""COMPUTED_VALUE"""),"M+KB")</f>
        <v>M+KB</v>
      </c>
      <c r="D405" s="205" t="str">
        <f>IFERROR(__xludf.DUMMYFUNCTION("""COMPUTED_VALUE"""),"Active")</f>
        <v>Active</v>
      </c>
      <c r="E405" s="166">
        <f>IFERROR(__xludf.DUMMYFUNCTION("""COMPUTED_VALUE"""),44145.0)</f>
        <v>44145</v>
      </c>
      <c r="F405" s="206"/>
      <c r="G405" s="167">
        <f>IFERROR(__xludf.DUMMYFUNCTION("""COMPUTED_VALUE"""),59.166666666666664)</f>
        <v>59.16666667</v>
      </c>
      <c r="H405" s="166">
        <f>IFERROR(__xludf.DUMMYFUNCTION("""COMPUTED_VALUE"""),41884.0)</f>
        <v>41884</v>
      </c>
      <c r="I405" s="167">
        <f>IFERROR(__xludf.DUMMYFUNCTION("""COMPUTED_VALUE"""),6.188888888888889)</f>
        <v>6.188888889</v>
      </c>
      <c r="J405" s="168">
        <f>IFERROR(__xludf.DUMMYFUNCTION("""COMPUTED_VALUE"""),66.0)</f>
        <v>66</v>
      </c>
      <c r="K405" s="168">
        <f>IFERROR(__xludf.DUMMYFUNCTION("""COMPUTED_VALUE"""),40.0)</f>
        <v>40</v>
      </c>
      <c r="L405" s="207" t="str">
        <f>IFERROR(__xludf.DUMMYFUNCTION("""COMPUTED_VALUE"""),"Simulation")</f>
        <v>Simulation</v>
      </c>
      <c r="M405" s="207"/>
    </row>
    <row r="406">
      <c r="A406" s="203" t="str">
        <f>IFERROR(__xludf.DUMMYFUNCTION("""COMPUTED_VALUE"""),"Zombi")</f>
        <v>Zombi</v>
      </c>
      <c r="B406" s="204" t="str">
        <f>IFERROR(__xludf.DUMMYFUNCTION("""COMPUTED_VALUE"""),"Xbox / PC")</f>
        <v>Xbox / PC</v>
      </c>
      <c r="C406" s="205" t="str">
        <f>IFERROR(__xludf.DUMMYFUNCTION("""COMPUTED_VALUE"""),"Yes")</f>
        <v>Yes</v>
      </c>
      <c r="D406" s="205" t="str">
        <f>IFERROR(__xludf.DUMMYFUNCTION("""COMPUTED_VALUE"""),"Active")</f>
        <v>Active</v>
      </c>
      <c r="E406" s="166">
        <f>IFERROR(__xludf.DUMMYFUNCTION("""COMPUTED_VALUE"""),45931.0)</f>
        <v>45931</v>
      </c>
      <c r="F406" s="206"/>
      <c r="G406" s="167">
        <f>IFERROR(__xludf.DUMMYFUNCTION("""COMPUTED_VALUE"""),0.4666666666666667)</f>
        <v>0.4666666667</v>
      </c>
      <c r="H406" s="166">
        <f>IFERROR(__xludf.DUMMYFUNCTION("""COMPUTED_VALUE"""),42234.0)</f>
        <v>42234</v>
      </c>
      <c r="I406" s="167">
        <f>IFERROR(__xludf.DUMMYFUNCTION("""COMPUTED_VALUE"""),10.119444444444444)</f>
        <v>10.11944444</v>
      </c>
      <c r="J406" s="168">
        <f>IFERROR(__xludf.DUMMYFUNCTION("""COMPUTED_VALUE"""),65.0)</f>
        <v>65</v>
      </c>
      <c r="K406" s="168">
        <f>IFERROR(__xludf.DUMMYFUNCTION("""COMPUTED_VALUE"""),12.0)</f>
        <v>12</v>
      </c>
      <c r="L406" s="207" t="str">
        <f>IFERROR(__xludf.DUMMYFUNCTION("""COMPUTED_VALUE"""),"Survival")</f>
        <v>Survival</v>
      </c>
      <c r="M406" s="207"/>
    </row>
    <row r="407">
      <c r="A407" s="203" t="str">
        <f>IFERROR(__xludf.DUMMYFUNCTION("""COMPUTED_VALUE"""),"Goat Simulator: Remastered")</f>
        <v>Goat Simulator: Remastered</v>
      </c>
      <c r="B407" s="204" t="str">
        <f>IFERROR(__xludf.DUMMYFUNCTION("""COMPUTED_VALUE"""),"Xbox / PC")</f>
        <v>Xbox / PC</v>
      </c>
      <c r="C407" s="205" t="str">
        <f>IFERROR(__xludf.DUMMYFUNCTION("""COMPUTED_VALUE"""),"Yes")</f>
        <v>Yes</v>
      </c>
      <c r="D407" s="205" t="str">
        <f>IFERROR(__xludf.DUMMYFUNCTION("""COMPUTED_VALUE"""),"Active")</f>
        <v>Active</v>
      </c>
      <c r="E407" s="166">
        <f>IFERROR(__xludf.DUMMYFUNCTION("""COMPUTED_VALUE"""),45603.0)</f>
        <v>45603</v>
      </c>
      <c r="F407" s="206"/>
      <c r="G407" s="167">
        <f>IFERROR(__xludf.DUMMYFUNCTION("""COMPUTED_VALUE"""),11.266666666666666)</f>
        <v>11.26666667</v>
      </c>
      <c r="H407" s="166">
        <f>IFERROR(__xludf.DUMMYFUNCTION("""COMPUTED_VALUE"""),45603.0)</f>
        <v>45603</v>
      </c>
      <c r="I407" s="167">
        <f>IFERROR(__xludf.DUMMYFUNCTION("""COMPUTED_VALUE"""),0.0)</f>
        <v>0</v>
      </c>
      <c r="J407" s="168">
        <f>IFERROR(__xludf.DUMMYFUNCTION("""COMPUTED_VALUE"""),65.0)</f>
        <v>65</v>
      </c>
      <c r="K407" s="168">
        <f>IFERROR(__xludf.DUMMYFUNCTION("""COMPUTED_VALUE"""),3.0)</f>
        <v>3</v>
      </c>
      <c r="L407" s="207" t="str">
        <f>IFERROR(__xludf.DUMMYFUNCTION("""COMPUTED_VALUE"""),"Action-Adventure")</f>
        <v>Action-Adventure</v>
      </c>
      <c r="M407" s="207" t="str">
        <f>IFERROR(__xludf.DUMMYFUNCTION("""COMPUTED_VALUE"""),"Exclusive")</f>
        <v>Exclusive</v>
      </c>
    </row>
    <row r="408">
      <c r="A408" s="203" t="str">
        <f>IFERROR(__xludf.DUMMYFUNCTION("""COMPUTED_VALUE"""),"Madden NFL 24")</f>
        <v>Madden NFL 24</v>
      </c>
      <c r="B408" s="204" t="str">
        <f>IFERROR(__xludf.DUMMYFUNCTION("""COMPUTED_VALUE"""),"Xbox / PC")</f>
        <v>Xbox / PC</v>
      </c>
      <c r="C408" s="205" t="str">
        <f>IFERROR(__xludf.DUMMYFUNCTION("""COMPUTED_VALUE"""),"Yes")</f>
        <v>Yes</v>
      </c>
      <c r="D408" s="205" t="str">
        <f>IFERROR(__xludf.DUMMYFUNCTION("""COMPUTED_VALUE"""),"Active")</f>
        <v>Active</v>
      </c>
      <c r="E408" s="166">
        <f>IFERROR(__xludf.DUMMYFUNCTION("""COMPUTED_VALUE"""),45330.0)</f>
        <v>45330</v>
      </c>
      <c r="F408" s="206"/>
      <c r="G408" s="167">
        <f>IFERROR(__xludf.DUMMYFUNCTION("""COMPUTED_VALUE"""),20.233333333333334)</f>
        <v>20.23333333</v>
      </c>
      <c r="H408" s="166">
        <f>IFERROR(__xludf.DUMMYFUNCTION("""COMPUTED_VALUE"""),45156.0)</f>
        <v>45156</v>
      </c>
      <c r="I408" s="167">
        <f>IFERROR(__xludf.DUMMYFUNCTION("""COMPUTED_VALUE"""),0.4722222222222222)</f>
        <v>0.4722222222</v>
      </c>
      <c r="J408" s="168">
        <f>IFERROR(__xludf.DUMMYFUNCTION("""COMPUTED_VALUE"""),65.0)</f>
        <v>65</v>
      </c>
      <c r="K408" s="168">
        <f>IFERROR(__xludf.DUMMYFUNCTION("""COMPUTED_VALUE"""),14.0)</f>
        <v>14</v>
      </c>
      <c r="L408" s="207" t="str">
        <f>IFERROR(__xludf.DUMMYFUNCTION("""COMPUTED_VALUE"""),"Sports / Football")</f>
        <v>Sports / Football</v>
      </c>
      <c r="M408" s="207"/>
    </row>
    <row r="409">
      <c r="A409" s="203" t="str">
        <f>IFERROR(__xludf.DUMMYFUNCTION("""COMPUTED_VALUE"""),"Grounded")</f>
        <v>Grounded</v>
      </c>
      <c r="B409" s="204" t="str">
        <f>IFERROR(__xludf.DUMMYFUNCTION("""COMPUTED_VALUE"""),"Xbox / PC")</f>
        <v>Xbox / PC</v>
      </c>
      <c r="C409" s="205" t="str">
        <f>IFERROR(__xludf.DUMMYFUNCTION("""COMPUTED_VALUE"""),"M+KB")</f>
        <v>M+KB</v>
      </c>
      <c r="D409" s="205" t="str">
        <f>IFERROR(__xludf.DUMMYFUNCTION("""COMPUTED_VALUE"""),"Active")</f>
        <v>Active</v>
      </c>
      <c r="E409" s="166">
        <f>IFERROR(__xludf.DUMMYFUNCTION("""COMPUTED_VALUE"""),44040.0)</f>
        <v>44040</v>
      </c>
      <c r="F409" s="206"/>
      <c r="G409" s="167">
        <f>IFERROR(__xludf.DUMMYFUNCTION("""COMPUTED_VALUE"""),62.56666666666666)</f>
        <v>62.56666667</v>
      </c>
      <c r="H409" s="166">
        <f>IFERROR(__xludf.DUMMYFUNCTION("""COMPUTED_VALUE"""),44040.0)</f>
        <v>44040</v>
      </c>
      <c r="I409" s="167">
        <f>IFERROR(__xludf.DUMMYFUNCTION("""COMPUTED_VALUE"""),0.0)</f>
        <v>0</v>
      </c>
      <c r="J409" s="168">
        <f>IFERROR(__xludf.DUMMYFUNCTION("""COMPUTED_VALUE"""),65.0)</f>
        <v>65</v>
      </c>
      <c r="K409" s="168">
        <f>IFERROR(__xludf.DUMMYFUNCTION("""COMPUTED_VALUE"""),6.5)</f>
        <v>6.5</v>
      </c>
      <c r="L409" s="207" t="str">
        <f>IFERROR(__xludf.DUMMYFUNCTION("""COMPUTED_VALUE"""),"Action-Adventure")</f>
        <v>Action-Adventure</v>
      </c>
      <c r="M409" s="207" t="str">
        <f>IFERROR(__xludf.DUMMYFUNCTION("""COMPUTED_VALUE"""),"Optimized")</f>
        <v>Optimized</v>
      </c>
    </row>
    <row r="410">
      <c r="A410" s="203" t="str">
        <f>IFERROR(__xludf.DUMMYFUNCTION("""COMPUTED_VALUE"""),"The Crew 2")</f>
        <v>The Crew 2</v>
      </c>
      <c r="B410" s="204" t="str">
        <f>IFERROR(__xludf.DUMMYFUNCTION("""COMPUTED_VALUE"""),"Xbox / PC")</f>
        <v>Xbox / PC</v>
      </c>
      <c r="C410" s="205" t="str">
        <f>IFERROR(__xludf.DUMMYFUNCTION("""COMPUTED_VALUE"""),"Yes")</f>
        <v>Yes</v>
      </c>
      <c r="D410" s="205" t="str">
        <f>IFERROR(__xludf.DUMMYFUNCTION("""COMPUTED_VALUE"""),"Active")</f>
        <v>Active</v>
      </c>
      <c r="E410" s="166">
        <f>IFERROR(__xludf.DUMMYFUNCTION("""COMPUTED_VALUE"""),45931.0)</f>
        <v>45931</v>
      </c>
      <c r="F410" s="206"/>
      <c r="G410" s="167">
        <f>IFERROR(__xludf.DUMMYFUNCTION("""COMPUTED_VALUE"""),0.4666666666666667)</f>
        <v>0.4666666667</v>
      </c>
      <c r="H410" s="166">
        <f>IFERROR(__xludf.DUMMYFUNCTION("""COMPUTED_VALUE"""),43277.0)</f>
        <v>43277</v>
      </c>
      <c r="I410" s="167">
        <f>IFERROR(__xludf.DUMMYFUNCTION("""COMPUTED_VALUE"""),7.263888888888889)</f>
        <v>7.263888889</v>
      </c>
      <c r="J410" s="168">
        <f>IFERROR(__xludf.DUMMYFUNCTION("""COMPUTED_VALUE"""),64.0)</f>
        <v>64</v>
      </c>
      <c r="K410" s="168">
        <f>IFERROR(__xludf.DUMMYFUNCTION("""COMPUTED_VALUE"""),21.0)</f>
        <v>21</v>
      </c>
      <c r="L410" s="207" t="str">
        <f>IFERROR(__xludf.DUMMYFUNCTION("""COMPUTED_VALUE"""),"Racing")</f>
        <v>Racing</v>
      </c>
      <c r="M410" s="207"/>
    </row>
    <row r="411">
      <c r="A411" s="203" t="str">
        <f>IFERROR(__xludf.DUMMYFUNCTION("""COMPUTED_VALUE"""),"FBC: Firebreak")</f>
        <v>FBC: Firebreak</v>
      </c>
      <c r="B411" s="204" t="str">
        <f>IFERROR(__xludf.DUMMYFUNCTION("""COMPUTED_VALUE"""),"Xbox / PC")</f>
        <v>Xbox / PC</v>
      </c>
      <c r="C411" s="205" t="str">
        <f>IFERROR(__xludf.DUMMYFUNCTION("""COMPUTED_VALUE"""),"Yes")</f>
        <v>Yes</v>
      </c>
      <c r="D411" s="205" t="str">
        <f>IFERROR(__xludf.DUMMYFUNCTION("""COMPUTED_VALUE"""),"Active")</f>
        <v>Active</v>
      </c>
      <c r="E411" s="166">
        <f>IFERROR(__xludf.DUMMYFUNCTION("""COMPUTED_VALUE"""),45825.0)</f>
        <v>45825</v>
      </c>
      <c r="F411" s="206"/>
      <c r="G411" s="167">
        <f>IFERROR(__xludf.DUMMYFUNCTION("""COMPUTED_VALUE"""),3.9333333333333336)</f>
        <v>3.933333333</v>
      </c>
      <c r="H411" s="166">
        <f>IFERROR(__xludf.DUMMYFUNCTION("""COMPUTED_VALUE"""),45825.0)</f>
        <v>45825</v>
      </c>
      <c r="I411" s="167">
        <f>IFERROR(__xludf.DUMMYFUNCTION("""COMPUTED_VALUE"""),0.0)</f>
        <v>0</v>
      </c>
      <c r="J411" s="168">
        <f>IFERROR(__xludf.DUMMYFUNCTION("""COMPUTED_VALUE"""),64.0)</f>
        <v>64</v>
      </c>
      <c r="K411" s="168">
        <f>IFERROR(__xludf.DUMMYFUNCTION("""COMPUTED_VALUE"""),7.0)</f>
        <v>7</v>
      </c>
      <c r="L411" s="207" t="str">
        <f>IFERROR(__xludf.DUMMYFUNCTION("""COMPUTED_VALUE"""),"Shooter")</f>
        <v>Shooter</v>
      </c>
      <c r="M411" s="207" t="str">
        <f>IFERROR(__xludf.DUMMYFUNCTION("""COMPUTED_VALUE"""),"Exclusive")</f>
        <v>Exclusive</v>
      </c>
    </row>
    <row r="412">
      <c r="A412" s="203" t="str">
        <f>IFERROR(__xludf.DUMMYFUNCTION("""COMPUTED_VALUE"""),"Atlas Fallen: Reign of Sand")</f>
        <v>Atlas Fallen: Reign of Sand</v>
      </c>
      <c r="B412" s="204" t="str">
        <f>IFERROR(__xludf.DUMMYFUNCTION("""COMPUTED_VALUE"""),"Xbox / PC")</f>
        <v>Xbox / PC</v>
      </c>
      <c r="C412" s="205" t="str">
        <f>IFERROR(__xludf.DUMMYFUNCTION("""COMPUTED_VALUE"""),"Yes")</f>
        <v>Yes</v>
      </c>
      <c r="D412" s="205" t="str">
        <f>IFERROR(__xludf.DUMMYFUNCTION("""COMPUTED_VALUE"""),"Active")</f>
        <v>Active</v>
      </c>
      <c r="E412" s="166">
        <f>IFERROR(__xludf.DUMMYFUNCTION("""COMPUTED_VALUE"""),45526.0)</f>
        <v>45526</v>
      </c>
      <c r="F412" s="206"/>
      <c r="G412" s="167">
        <f>IFERROR(__xludf.DUMMYFUNCTION("""COMPUTED_VALUE"""),13.766666666666666)</f>
        <v>13.76666667</v>
      </c>
      <c r="H412" s="166">
        <f>IFERROR(__xludf.DUMMYFUNCTION("""COMPUTED_VALUE"""),45148.0)</f>
        <v>45148</v>
      </c>
      <c r="I412" s="167">
        <f>IFERROR(__xludf.DUMMYFUNCTION("""COMPUTED_VALUE"""),1.0333333333333334)</f>
        <v>1.033333333</v>
      </c>
      <c r="J412" s="168">
        <f>IFERROR(__xludf.DUMMYFUNCTION("""COMPUTED_VALUE"""),64.0)</f>
        <v>64</v>
      </c>
      <c r="K412" s="168">
        <f>IFERROR(__xludf.DUMMYFUNCTION("""COMPUTED_VALUE"""),11.0)</f>
        <v>11</v>
      </c>
      <c r="L412" s="207" t="str">
        <f>IFERROR(__xludf.DUMMYFUNCTION("""COMPUTED_VALUE"""),"RPG")</f>
        <v>RPG</v>
      </c>
      <c r="M412" s="207" t="str">
        <f>IFERROR(__xludf.DUMMYFUNCTION("""COMPUTED_VALUE"""),"Exclusive")</f>
        <v>Exclusive</v>
      </c>
    </row>
    <row r="413">
      <c r="A413" s="203" t="str">
        <f>IFERROR(__xludf.DUMMYFUNCTION("""COMPUTED_VALUE"""),"We Happy Few")</f>
        <v>We Happy Few</v>
      </c>
      <c r="B413" s="204" t="str">
        <f>IFERROR(__xludf.DUMMYFUNCTION("""COMPUTED_VALUE"""),"Xbox / PC")</f>
        <v>Xbox / PC</v>
      </c>
      <c r="C413" s="205" t="str">
        <f>IFERROR(__xludf.DUMMYFUNCTION("""COMPUTED_VALUE"""),"Yes")</f>
        <v>Yes</v>
      </c>
      <c r="D413" s="205" t="str">
        <f>IFERROR(__xludf.DUMMYFUNCTION("""COMPUTED_VALUE"""),"Active")</f>
        <v>Active</v>
      </c>
      <c r="E413" s="166">
        <f>IFERROR(__xludf.DUMMYFUNCTION("""COMPUTED_VALUE"""),45302.0)</f>
        <v>45302</v>
      </c>
      <c r="F413" s="206"/>
      <c r="G413" s="167">
        <f>IFERROR(__xludf.DUMMYFUNCTION("""COMPUTED_VALUE"""),21.133333333333333)</f>
        <v>21.13333333</v>
      </c>
      <c r="H413" s="166">
        <f>IFERROR(__xludf.DUMMYFUNCTION("""COMPUTED_VALUE"""),43322.0)</f>
        <v>43322</v>
      </c>
      <c r="I413" s="167">
        <f>IFERROR(__xludf.DUMMYFUNCTION("""COMPUTED_VALUE"""),5.419444444444444)</f>
        <v>5.419444444</v>
      </c>
      <c r="J413" s="168">
        <f>IFERROR(__xludf.DUMMYFUNCTION("""COMPUTED_VALUE"""),64.0)</f>
        <v>64</v>
      </c>
      <c r="K413" s="168">
        <f>IFERROR(__xludf.DUMMYFUNCTION("""COMPUTED_VALUE"""),21.0)</f>
        <v>21</v>
      </c>
      <c r="L413" s="207" t="str">
        <f>IFERROR(__xludf.DUMMYFUNCTION("""COMPUTED_VALUE"""),"Adventure / First-Person Shooter")</f>
        <v>Adventure / First-Person Shooter</v>
      </c>
      <c r="M413" s="207" t="str">
        <f>IFERROR(__xludf.DUMMYFUNCTION("""COMPUTED_VALUE"""),"Optimized")</f>
        <v>Optimized</v>
      </c>
    </row>
    <row r="414">
      <c r="A414" s="203" t="str">
        <f>IFERROR(__xludf.DUMMYFUNCTION("""COMPUTED_VALUE"""),"Cooking Simulator")</f>
        <v>Cooking Simulator</v>
      </c>
      <c r="B414" s="204" t="str">
        <f>IFERROR(__xludf.DUMMYFUNCTION("""COMPUTED_VALUE"""),"Xbox / PC")</f>
        <v>Xbox / PC</v>
      </c>
      <c r="C414" s="205" t="str">
        <f>IFERROR(__xludf.DUMMYFUNCTION("""COMPUTED_VALUE"""),"Yes")</f>
        <v>Yes</v>
      </c>
      <c r="D414" s="205" t="str">
        <f>IFERROR(__xludf.DUMMYFUNCTION("""COMPUTED_VALUE"""),"Active")</f>
        <v>Active</v>
      </c>
      <c r="E414" s="166">
        <f>IFERROR(__xludf.DUMMYFUNCTION("""COMPUTED_VALUE"""),44784.0)</f>
        <v>44784</v>
      </c>
      <c r="F414" s="206"/>
      <c r="G414" s="167">
        <f>IFERROR(__xludf.DUMMYFUNCTION("""COMPUTED_VALUE"""),38.13333333333333)</f>
        <v>38.13333333</v>
      </c>
      <c r="H414" s="166">
        <f>IFERROR(__xludf.DUMMYFUNCTION("""COMPUTED_VALUE"""),43622.0)</f>
        <v>43622</v>
      </c>
      <c r="I414" s="167">
        <f>IFERROR(__xludf.DUMMYFUNCTION("""COMPUTED_VALUE"""),3.1805555555555554)</f>
        <v>3.180555556</v>
      </c>
      <c r="J414" s="168">
        <f>IFERROR(__xludf.DUMMYFUNCTION("""COMPUTED_VALUE"""),64.0)</f>
        <v>64</v>
      </c>
      <c r="K414" s="168">
        <f>IFERROR(__xludf.DUMMYFUNCTION("""COMPUTED_VALUE"""),8.5)</f>
        <v>8.5</v>
      </c>
      <c r="L414" s="207" t="str">
        <f>IFERROR(__xludf.DUMMYFUNCTION("""COMPUTED_VALUE"""),"Simulation")</f>
        <v>Simulation</v>
      </c>
      <c r="M414" s="207"/>
    </row>
    <row r="415">
      <c r="A415" s="203" t="str">
        <f>IFERROR(__xludf.DUMMYFUNCTION("""COMPUTED_VALUE"""),"The Walking Dead: Michonne")</f>
        <v>The Walking Dead: Michonne</v>
      </c>
      <c r="B415" s="204" t="str">
        <f>IFERROR(__xludf.DUMMYFUNCTION("""COMPUTED_VALUE"""),"Xbox / PC")</f>
        <v>Xbox / PC</v>
      </c>
      <c r="C415" s="205" t="str">
        <f>IFERROR(__xludf.DUMMYFUNCTION("""COMPUTED_VALUE"""),"Touch Controls")</f>
        <v>Touch Controls</v>
      </c>
      <c r="D415" s="205" t="str">
        <f>IFERROR(__xludf.DUMMYFUNCTION("""COMPUTED_VALUE"""),"Active")</f>
        <v>Active</v>
      </c>
      <c r="E415" s="166">
        <f>IFERROR(__xludf.DUMMYFUNCTION("""COMPUTED_VALUE"""),43552.0)</f>
        <v>43552</v>
      </c>
      <c r="F415" s="206"/>
      <c r="G415" s="167">
        <f>IFERROR(__xludf.DUMMYFUNCTION("""COMPUTED_VALUE"""),78.56666666666666)</f>
        <v>78.56666667</v>
      </c>
      <c r="H415" s="166">
        <f>IFERROR(__xludf.DUMMYFUNCTION("""COMPUTED_VALUE"""),42423.0)</f>
        <v>42423</v>
      </c>
      <c r="I415" s="167">
        <f>IFERROR(__xludf.DUMMYFUNCTION("""COMPUTED_VALUE"""),3.0972222222222223)</f>
        <v>3.097222222</v>
      </c>
      <c r="J415" s="168">
        <f>IFERROR(__xludf.DUMMYFUNCTION("""COMPUTED_VALUE"""),64.0)</f>
        <v>64</v>
      </c>
      <c r="K415" s="168">
        <f>IFERROR(__xludf.DUMMYFUNCTION("""COMPUTED_VALUE"""),4.0)</f>
        <v>4</v>
      </c>
      <c r="L415" s="207" t="str">
        <f>IFERROR(__xludf.DUMMYFUNCTION("""COMPUTED_VALUE"""),"Adventure")</f>
        <v>Adventure</v>
      </c>
      <c r="M415" s="207"/>
    </row>
    <row r="416">
      <c r="A416" s="203" t="str">
        <f>IFERROR(__xludf.DUMMYFUNCTION("""COMPUTED_VALUE"""),"Contrast")</f>
        <v>Contrast</v>
      </c>
      <c r="B416" s="204" t="str">
        <f>IFERROR(__xludf.DUMMYFUNCTION("""COMPUTED_VALUE"""),"Xbox")</f>
        <v>Xbox</v>
      </c>
      <c r="C416" s="205" t="str">
        <f>IFERROR(__xludf.DUMMYFUNCTION("""COMPUTED_VALUE"""),"Touch Controls")</f>
        <v>Touch Controls</v>
      </c>
      <c r="D416" s="205" t="str">
        <f>IFERROR(__xludf.DUMMYFUNCTION("""COMPUTED_VALUE"""),"Active")</f>
        <v>Active</v>
      </c>
      <c r="E416" s="166">
        <f>IFERROR(__xludf.DUMMYFUNCTION("""COMPUTED_VALUE"""),44595.0)</f>
        <v>44595</v>
      </c>
      <c r="F416" s="206"/>
      <c r="G416" s="167">
        <f>IFERROR(__xludf.DUMMYFUNCTION("""COMPUTED_VALUE"""),44.400000000000006)</f>
        <v>44.4</v>
      </c>
      <c r="H416" s="166">
        <f>IFERROR(__xludf.DUMMYFUNCTION("""COMPUTED_VALUE"""),41593.0)</f>
        <v>41593</v>
      </c>
      <c r="I416" s="167">
        <f>IFERROR(__xludf.DUMMYFUNCTION("""COMPUTED_VALUE"""),8.216666666666667)</f>
        <v>8.216666667</v>
      </c>
      <c r="J416" s="168">
        <f>IFERROR(__xludf.DUMMYFUNCTION("""COMPUTED_VALUE"""),63.5)</f>
        <v>63.5</v>
      </c>
      <c r="K416" s="168">
        <f>IFERROR(__xludf.DUMMYFUNCTION("""COMPUTED_VALUE"""),3.5)</f>
        <v>3.5</v>
      </c>
      <c r="L416" s="207" t="str">
        <f>IFERROR(__xludf.DUMMYFUNCTION("""COMPUTED_VALUE"""),"Puzzle / Platformer / Action-Adventure")</f>
        <v>Puzzle / Platformer / Action-Adventure</v>
      </c>
      <c r="M416" s="207"/>
    </row>
    <row r="417">
      <c r="A417" s="203" t="str">
        <f>IFERROR(__xludf.DUMMYFUNCTION("""COMPUTED_VALUE"""),"Assassin's Creed Chronicles: India")</f>
        <v>Assassin's Creed Chronicles: India</v>
      </c>
      <c r="B417" s="204" t="str">
        <f>IFERROR(__xludf.DUMMYFUNCTION("""COMPUTED_VALUE"""),"Xbox / PC")</f>
        <v>Xbox / PC</v>
      </c>
      <c r="C417" s="205" t="str">
        <f>IFERROR(__xludf.DUMMYFUNCTION("""COMPUTED_VALUE"""),"Yes")</f>
        <v>Yes</v>
      </c>
      <c r="D417" s="205" t="str">
        <f>IFERROR(__xludf.DUMMYFUNCTION("""COMPUTED_VALUE"""),"Active")</f>
        <v>Active</v>
      </c>
      <c r="E417" s="166">
        <f>IFERROR(__xludf.DUMMYFUNCTION("""COMPUTED_VALUE"""),45931.0)</f>
        <v>45931</v>
      </c>
      <c r="F417" s="206"/>
      <c r="G417" s="167">
        <f>IFERROR(__xludf.DUMMYFUNCTION("""COMPUTED_VALUE"""),0.4666666666666667)</f>
        <v>0.4666666667</v>
      </c>
      <c r="H417" s="166">
        <f>IFERROR(__xludf.DUMMYFUNCTION("""COMPUTED_VALUE"""),42382.0)</f>
        <v>42382</v>
      </c>
      <c r="I417" s="167">
        <f>IFERROR(__xludf.DUMMYFUNCTION("""COMPUTED_VALUE"""),9.716666666666667)</f>
        <v>9.716666667</v>
      </c>
      <c r="J417" s="168">
        <f>IFERROR(__xludf.DUMMYFUNCTION("""COMPUTED_VALUE"""),63.0)</f>
        <v>63</v>
      </c>
      <c r="K417" s="168">
        <f>IFERROR(__xludf.DUMMYFUNCTION("""COMPUTED_VALUE"""),6.0)</f>
        <v>6</v>
      </c>
      <c r="L417" s="207" t="str">
        <f>IFERROR(__xludf.DUMMYFUNCTION("""COMPUTED_VALUE"""),"Action-Adventure")</f>
        <v>Action-Adventure</v>
      </c>
      <c r="M417" s="207"/>
    </row>
    <row r="418">
      <c r="A418" s="203" t="str">
        <f>IFERROR(__xludf.DUMMYFUNCTION("""COMPUTED_VALUE"""),"Assassin's Creed Chronicles: Russia")</f>
        <v>Assassin's Creed Chronicles: Russia</v>
      </c>
      <c r="B418" s="204" t="str">
        <f>IFERROR(__xludf.DUMMYFUNCTION("""COMPUTED_VALUE"""),"Xbox / PC")</f>
        <v>Xbox / PC</v>
      </c>
      <c r="C418" s="205" t="str">
        <f>IFERROR(__xludf.DUMMYFUNCTION("""COMPUTED_VALUE"""),"Yes")</f>
        <v>Yes</v>
      </c>
      <c r="D418" s="205" t="str">
        <f>IFERROR(__xludf.DUMMYFUNCTION("""COMPUTED_VALUE"""),"Active")</f>
        <v>Active</v>
      </c>
      <c r="E418" s="166">
        <f>IFERROR(__xludf.DUMMYFUNCTION("""COMPUTED_VALUE"""),45931.0)</f>
        <v>45931</v>
      </c>
      <c r="F418" s="206"/>
      <c r="G418" s="167">
        <f>IFERROR(__xludf.DUMMYFUNCTION("""COMPUTED_VALUE"""),0.4666666666666667)</f>
        <v>0.4666666667</v>
      </c>
      <c r="H418" s="166">
        <f>IFERROR(__xludf.DUMMYFUNCTION("""COMPUTED_VALUE"""),42409.0)</f>
        <v>42409</v>
      </c>
      <c r="I418" s="167">
        <f>IFERROR(__xludf.DUMMYFUNCTION("""COMPUTED_VALUE"""),9.644444444444444)</f>
        <v>9.644444444</v>
      </c>
      <c r="J418" s="168">
        <f>IFERROR(__xludf.DUMMYFUNCTION("""COMPUTED_VALUE"""),62.0)</f>
        <v>62</v>
      </c>
      <c r="K418" s="168">
        <f>IFERROR(__xludf.DUMMYFUNCTION("""COMPUTED_VALUE"""),7.0)</f>
        <v>7</v>
      </c>
      <c r="L418" s="207" t="str">
        <f>IFERROR(__xludf.DUMMYFUNCTION("""COMPUTED_VALUE"""),"Action-Adventure")</f>
        <v>Action-Adventure</v>
      </c>
      <c r="M418" s="207"/>
    </row>
    <row r="419">
      <c r="A419" s="203" t="str">
        <f>IFERROR(__xludf.DUMMYFUNCTION("""COMPUTED_VALUE"""),"Mythwrecked: Ambrosia Island")</f>
        <v>Mythwrecked: Ambrosia Island</v>
      </c>
      <c r="B419" s="204" t="str">
        <f>IFERROR(__xludf.DUMMYFUNCTION("""COMPUTED_VALUE"""),"Xbox / PC")</f>
        <v>Xbox / PC</v>
      </c>
      <c r="C419" s="205" t="str">
        <f>IFERROR(__xludf.DUMMYFUNCTION("""COMPUTED_VALUE"""),"Yes")</f>
        <v>Yes</v>
      </c>
      <c r="D419" s="205" t="str">
        <f>IFERROR(__xludf.DUMMYFUNCTION("""COMPUTED_VALUE"""),"Active")</f>
        <v>Active</v>
      </c>
      <c r="E419" s="166">
        <f>IFERROR(__xludf.DUMMYFUNCTION("""COMPUTED_VALUE"""),45736.0)</f>
        <v>45736</v>
      </c>
      <c r="F419" s="206"/>
      <c r="G419" s="167">
        <f>IFERROR(__xludf.DUMMYFUNCTION("""COMPUTED_VALUE"""),6.833333333333333)</f>
        <v>6.833333333</v>
      </c>
      <c r="H419" s="166">
        <f>IFERROR(__xludf.DUMMYFUNCTION("""COMPUTED_VALUE"""),45631.0)</f>
        <v>45631</v>
      </c>
      <c r="I419" s="167">
        <f>IFERROR(__xludf.DUMMYFUNCTION("""COMPUTED_VALUE"""),0.2916666666666667)</f>
        <v>0.2916666667</v>
      </c>
      <c r="J419" s="168">
        <f>IFERROR(__xludf.DUMMYFUNCTION("""COMPUTED_VALUE"""),62.0)</f>
        <v>62</v>
      </c>
      <c r="K419" s="168">
        <f>IFERROR(__xludf.DUMMYFUNCTION("""COMPUTED_VALUE"""),9.0)</f>
        <v>9</v>
      </c>
      <c r="L419" s="207" t="str">
        <f>IFERROR(__xludf.DUMMYFUNCTION("""COMPUTED_VALUE"""),"Action-Adventure")</f>
        <v>Action-Adventure</v>
      </c>
      <c r="M419" s="207"/>
    </row>
    <row r="420">
      <c r="A420" s="203" t="str">
        <f>IFERROR(__xludf.DUMMYFUNCTION("""COMPUTED_VALUE"""),"Risk: Urban Assault")</f>
        <v>Risk: Urban Assault</v>
      </c>
      <c r="B420" s="204" t="str">
        <f>IFERROR(__xludf.DUMMYFUNCTION("""COMPUTED_VALUE"""),"Xbox")</f>
        <v>Xbox</v>
      </c>
      <c r="C420" s="205" t="str">
        <f>IFERROR(__xludf.DUMMYFUNCTION("""COMPUTED_VALUE"""),"Yes")</f>
        <v>Yes</v>
      </c>
      <c r="D420" s="205" t="str">
        <f>IFERROR(__xludf.DUMMYFUNCTION("""COMPUTED_VALUE"""),"Active")</f>
        <v>Active</v>
      </c>
      <c r="E420" s="166">
        <f>IFERROR(__xludf.DUMMYFUNCTION("""COMPUTED_VALUE"""),45931.0)</f>
        <v>45931</v>
      </c>
      <c r="F420" s="206"/>
      <c r="G420" s="167">
        <f>IFERROR(__xludf.DUMMYFUNCTION("""COMPUTED_VALUE"""),0.4666666666666667)</f>
        <v>0.4666666667</v>
      </c>
      <c r="H420" s="166">
        <f>IFERROR(__xludf.DUMMYFUNCTION("""COMPUTED_VALUE"""),42584.0)</f>
        <v>42584</v>
      </c>
      <c r="I420" s="167">
        <f>IFERROR(__xludf.DUMMYFUNCTION("""COMPUTED_VALUE"""),9.16388888888889)</f>
        <v>9.163888889</v>
      </c>
      <c r="J420" s="168">
        <f>IFERROR(__xludf.DUMMYFUNCTION("""COMPUTED_VALUE"""),61.0)</f>
        <v>61</v>
      </c>
      <c r="K420" s="168">
        <f>IFERROR(__xludf.DUMMYFUNCTION("""COMPUTED_VALUE"""),4.0)</f>
        <v>4</v>
      </c>
      <c r="L420" s="207" t="str">
        <f>IFERROR(__xludf.DUMMYFUNCTION("""COMPUTED_VALUE"""),"Board")</f>
        <v>Board</v>
      </c>
      <c r="M420" s="207"/>
    </row>
    <row r="421">
      <c r="A421" s="203" t="str">
        <f>IFERROR(__xludf.DUMMYFUNCTION("""COMPUTED_VALUE"""),"ReCore: Definitive Edition")</f>
        <v>ReCore: Definitive Edition</v>
      </c>
      <c r="B421" s="204" t="str">
        <f>IFERROR(__xludf.DUMMYFUNCTION("""COMPUTED_VALUE"""),"Xbox / PC")</f>
        <v>Xbox / PC</v>
      </c>
      <c r="C421" s="205" t="str">
        <f>IFERROR(__xludf.DUMMYFUNCTION("""COMPUTED_VALUE"""),"Yes")</f>
        <v>Yes</v>
      </c>
      <c r="D421" s="205" t="str">
        <f>IFERROR(__xludf.DUMMYFUNCTION("""COMPUTED_VALUE"""),"Active")</f>
        <v>Active</v>
      </c>
      <c r="E421" s="166">
        <f>IFERROR(__xludf.DUMMYFUNCTION("""COMPUTED_VALUE"""),42976.0)</f>
        <v>42976</v>
      </c>
      <c r="F421" s="206"/>
      <c r="G421" s="167">
        <f>IFERROR(__xludf.DUMMYFUNCTION("""COMPUTED_VALUE"""),97.53333333333333)</f>
        <v>97.53333333</v>
      </c>
      <c r="H421" s="166">
        <f>IFERROR(__xludf.DUMMYFUNCTION("""COMPUTED_VALUE"""),42626.0)</f>
        <v>42626</v>
      </c>
      <c r="I421" s="167">
        <f>IFERROR(__xludf.DUMMYFUNCTION("""COMPUTED_VALUE"""),0.9611111111111111)</f>
        <v>0.9611111111</v>
      </c>
      <c r="J421" s="168">
        <f>IFERROR(__xludf.DUMMYFUNCTION("""COMPUTED_VALUE"""),61.0)</f>
        <v>61</v>
      </c>
      <c r="K421" s="168">
        <f>IFERROR(__xludf.DUMMYFUNCTION("""COMPUTED_VALUE"""),12.0)</f>
        <v>12</v>
      </c>
      <c r="L421" s="207" t="str">
        <f>IFERROR(__xludf.DUMMYFUNCTION("""COMPUTED_VALUE"""),"Adventure")</f>
        <v>Adventure</v>
      </c>
      <c r="M421" s="207" t="str">
        <f>IFERROR(__xludf.DUMMYFUNCTION("""COMPUTED_VALUE"""),"FPS Boost")</f>
        <v>FPS Boost</v>
      </c>
    </row>
    <row r="422">
      <c r="A422" s="203" t="str">
        <f>IFERROR(__xludf.DUMMYFUNCTION("""COMPUTED_VALUE"""),"Firefighting Simulator: The Squad")</f>
        <v>Firefighting Simulator: The Squad</v>
      </c>
      <c r="B422" s="204" t="str">
        <f>IFERROR(__xludf.DUMMYFUNCTION("""COMPUTED_VALUE"""),"Xbox / PC")</f>
        <v>Xbox / PC</v>
      </c>
      <c r="C422" s="205" t="str">
        <f>IFERROR(__xludf.DUMMYFUNCTION("""COMPUTED_VALUE"""),"Yes")</f>
        <v>Yes</v>
      </c>
      <c r="D422" s="205" t="str">
        <f>IFERROR(__xludf.DUMMYFUNCTION("""COMPUTED_VALUE"""),"Active")</f>
        <v>Active</v>
      </c>
      <c r="E422" s="166">
        <f>IFERROR(__xludf.DUMMYFUNCTION("""COMPUTED_VALUE"""),45797.0)</f>
        <v>45797</v>
      </c>
      <c r="F422" s="206"/>
      <c r="G422" s="167">
        <f>IFERROR(__xludf.DUMMYFUNCTION("""COMPUTED_VALUE"""),4.833333333333334)</f>
        <v>4.833333333</v>
      </c>
      <c r="H422" s="166">
        <f>IFERROR(__xludf.DUMMYFUNCTION("""COMPUTED_VALUE"""),44901.0)</f>
        <v>44901</v>
      </c>
      <c r="I422" s="167">
        <f>IFERROR(__xludf.DUMMYFUNCTION("""COMPUTED_VALUE"""),2.4555555555555557)</f>
        <v>2.455555556</v>
      </c>
      <c r="J422" s="168">
        <f>IFERROR(__xludf.DUMMYFUNCTION("""COMPUTED_VALUE"""),60.0)</f>
        <v>60</v>
      </c>
      <c r="K422" s="168">
        <f>IFERROR(__xludf.DUMMYFUNCTION("""COMPUTED_VALUE"""),10.0)</f>
        <v>10</v>
      </c>
      <c r="L422" s="207" t="str">
        <f>IFERROR(__xludf.DUMMYFUNCTION("""COMPUTED_VALUE"""),"Simulation")</f>
        <v>Simulation</v>
      </c>
      <c r="M422" s="207"/>
    </row>
    <row r="423">
      <c r="A423" s="203" t="str">
        <f>IFERROR(__xludf.DUMMYFUNCTION("""COMPUTED_VALUE"""),"One Lonely Outpost")</f>
        <v>One Lonely Outpost</v>
      </c>
      <c r="B423" s="204" t="str">
        <f>IFERROR(__xludf.DUMMYFUNCTION("""COMPUTED_VALUE"""),"Xbox / PC")</f>
        <v>Xbox / PC</v>
      </c>
      <c r="C423" s="205" t="str">
        <f>IFERROR(__xludf.DUMMYFUNCTION("""COMPUTED_VALUE"""),"Yes")</f>
        <v>Yes</v>
      </c>
      <c r="D423" s="205" t="str">
        <f>IFERROR(__xludf.DUMMYFUNCTION("""COMPUTED_VALUE"""),"Active")</f>
        <v>Active</v>
      </c>
      <c r="E423" s="166">
        <f>IFERROR(__xludf.DUMMYFUNCTION("""COMPUTED_VALUE"""),45722.0)</f>
        <v>45722</v>
      </c>
      <c r="F423" s="206"/>
      <c r="G423" s="167">
        <f>IFERROR(__xludf.DUMMYFUNCTION("""COMPUTED_VALUE"""),7.299999999999999)</f>
        <v>7.3</v>
      </c>
      <c r="H423" s="166">
        <f>IFERROR(__xludf.DUMMYFUNCTION("""COMPUTED_VALUE"""),45103.0)</f>
        <v>45103</v>
      </c>
      <c r="I423" s="167">
        <f>IFERROR(__xludf.DUMMYFUNCTION("""COMPUTED_VALUE"""),1.6944444444444444)</f>
        <v>1.694444444</v>
      </c>
      <c r="J423" s="168">
        <f>IFERROR(__xludf.DUMMYFUNCTION("""COMPUTED_VALUE"""),60.0)</f>
        <v>60</v>
      </c>
      <c r="K423" s="168"/>
      <c r="L423" s="207" t="str">
        <f>IFERROR(__xludf.DUMMYFUNCTION("""COMPUTED_VALUE"""),"Virtual Life")</f>
        <v>Virtual Life</v>
      </c>
      <c r="M423" s="207"/>
    </row>
    <row r="424">
      <c r="A424" s="203" t="str">
        <f>IFERROR(__xludf.DUMMYFUNCTION("""COMPUTED_VALUE"""),"Totally Reliable Delivery Service")</f>
        <v>Totally Reliable Delivery Service</v>
      </c>
      <c r="B424" s="204" t="str">
        <f>IFERROR(__xludf.DUMMYFUNCTION("""COMPUTED_VALUE"""),"Xbox / PC")</f>
        <v>Xbox / PC</v>
      </c>
      <c r="C424" s="205" t="str">
        <f>IFERROR(__xludf.DUMMYFUNCTION("""COMPUTED_VALUE"""),"Yes")</f>
        <v>Yes</v>
      </c>
      <c r="D424" s="205" t="str">
        <f>IFERROR(__xludf.DUMMYFUNCTION("""COMPUTED_VALUE"""),"Active")</f>
        <v>Active</v>
      </c>
      <c r="E424" s="166">
        <f>IFERROR(__xludf.DUMMYFUNCTION("""COMPUTED_VALUE"""),43922.0)</f>
        <v>43922</v>
      </c>
      <c r="F424" s="206"/>
      <c r="G424" s="167">
        <f>IFERROR(__xludf.DUMMYFUNCTION("""COMPUTED_VALUE"""),66.46666666666667)</f>
        <v>66.46666667</v>
      </c>
      <c r="H424" s="166">
        <f>IFERROR(__xludf.DUMMYFUNCTION("""COMPUTED_VALUE"""),43922.0)</f>
        <v>43922</v>
      </c>
      <c r="I424" s="167">
        <f>IFERROR(__xludf.DUMMYFUNCTION("""COMPUTED_VALUE"""),0.0)</f>
        <v>0</v>
      </c>
      <c r="J424" s="168">
        <f>IFERROR(__xludf.DUMMYFUNCTION("""COMPUTED_VALUE"""),60.0)</f>
        <v>60</v>
      </c>
      <c r="K424" s="168">
        <f>IFERROR(__xludf.DUMMYFUNCTION("""COMPUTED_VALUE"""),1.0)</f>
        <v>1</v>
      </c>
      <c r="L424" s="207" t="str">
        <f>IFERROR(__xludf.DUMMYFUNCTION("""COMPUTED_VALUE"""),"Action / Simulation")</f>
        <v>Action / Simulation</v>
      </c>
      <c r="M424" s="207" t="str">
        <f>IFERROR(__xludf.DUMMYFUNCTION("""COMPUTED_VALUE"""),"FPS Boost")</f>
        <v>FPS Boost</v>
      </c>
    </row>
    <row r="425">
      <c r="A425" s="203" t="str">
        <f>IFERROR(__xludf.DUMMYFUNCTION("""COMPUTED_VALUE"""),"Wasteland Remastered")</f>
        <v>Wasteland Remastered</v>
      </c>
      <c r="B425" s="204" t="str">
        <f>IFERROR(__xludf.DUMMYFUNCTION("""COMPUTED_VALUE"""),"Xbox / PC")</f>
        <v>Xbox / PC</v>
      </c>
      <c r="C425" s="205" t="str">
        <f>IFERROR(__xludf.DUMMYFUNCTION("""COMPUTED_VALUE"""),"Touch Controls")</f>
        <v>Touch Controls</v>
      </c>
      <c r="D425" s="205" t="str">
        <f>IFERROR(__xludf.DUMMYFUNCTION("""COMPUTED_VALUE"""),"Active")</f>
        <v>Active</v>
      </c>
      <c r="E425" s="166">
        <f>IFERROR(__xludf.DUMMYFUNCTION("""COMPUTED_VALUE"""),43886.0)</f>
        <v>43886</v>
      </c>
      <c r="F425" s="206"/>
      <c r="G425" s="167">
        <f>IFERROR(__xludf.DUMMYFUNCTION("""COMPUTED_VALUE"""),67.66666666666667)</f>
        <v>67.66666667</v>
      </c>
      <c r="H425" s="166">
        <f>IFERROR(__xludf.DUMMYFUNCTION("""COMPUTED_VALUE"""),43886.0)</f>
        <v>43886</v>
      </c>
      <c r="I425" s="167">
        <f>IFERROR(__xludf.DUMMYFUNCTION("""COMPUTED_VALUE"""),0.0)</f>
        <v>0</v>
      </c>
      <c r="J425" s="168">
        <f>IFERROR(__xludf.DUMMYFUNCTION("""COMPUTED_VALUE"""),60.0)</f>
        <v>60</v>
      </c>
      <c r="K425" s="168">
        <f>IFERROR(__xludf.DUMMYFUNCTION("""COMPUTED_VALUE"""),18.5)</f>
        <v>18.5</v>
      </c>
      <c r="L425" s="207" t="str">
        <f>IFERROR(__xludf.DUMMYFUNCTION("""COMPUTED_VALUE"""),"Strategy / RPG")</f>
        <v>Strategy / RPG</v>
      </c>
      <c r="M425" s="207"/>
    </row>
    <row r="426">
      <c r="A426" s="203" t="str">
        <f>IFERROR(__xludf.DUMMYFUNCTION("""COMPUTED_VALUE"""),"Crackdown 3")</f>
        <v>Crackdown 3</v>
      </c>
      <c r="B426" s="204" t="str">
        <f>IFERROR(__xludf.DUMMYFUNCTION("""COMPUTED_VALUE"""),"Xbox / PC")</f>
        <v>Xbox / PC</v>
      </c>
      <c r="C426" s="205" t="str">
        <f>IFERROR(__xludf.DUMMYFUNCTION("""COMPUTED_VALUE"""),"Yes")</f>
        <v>Yes</v>
      </c>
      <c r="D426" s="205" t="str">
        <f>IFERROR(__xludf.DUMMYFUNCTION("""COMPUTED_VALUE"""),"Active")</f>
        <v>Active</v>
      </c>
      <c r="E426" s="166">
        <f>IFERROR(__xludf.DUMMYFUNCTION("""COMPUTED_VALUE"""),43511.0)</f>
        <v>43511</v>
      </c>
      <c r="F426" s="206"/>
      <c r="G426" s="167">
        <f>IFERROR(__xludf.DUMMYFUNCTION("""COMPUTED_VALUE"""),80.0)</f>
        <v>80</v>
      </c>
      <c r="H426" s="166">
        <f>IFERROR(__xludf.DUMMYFUNCTION("""COMPUTED_VALUE"""),43511.0)</f>
        <v>43511</v>
      </c>
      <c r="I426" s="167">
        <f>IFERROR(__xludf.DUMMYFUNCTION("""COMPUTED_VALUE"""),0.0)</f>
        <v>0</v>
      </c>
      <c r="J426" s="168">
        <f>IFERROR(__xludf.DUMMYFUNCTION("""COMPUTED_VALUE"""),60.0)</f>
        <v>60</v>
      </c>
      <c r="K426" s="168">
        <f>IFERROR(__xludf.DUMMYFUNCTION("""COMPUTED_VALUE"""),6.5)</f>
        <v>6.5</v>
      </c>
      <c r="L426" s="207" t="str">
        <f>IFERROR(__xludf.DUMMYFUNCTION("""COMPUTED_VALUE"""),"Action-Adventure")</f>
        <v>Action-Adventure</v>
      </c>
      <c r="M426" s="207"/>
    </row>
    <row r="427">
      <c r="A427" s="203" t="str">
        <f>IFERROR(__xludf.DUMMYFUNCTION("""COMPUTED_VALUE"""),"Ryse: Son of Rome")</f>
        <v>Ryse: Son of Rome</v>
      </c>
      <c r="B427" s="204" t="str">
        <f>IFERROR(__xludf.DUMMYFUNCTION("""COMPUTED_VALUE"""),"Xbox")</f>
        <v>Xbox</v>
      </c>
      <c r="C427" s="205" t="str">
        <f>IFERROR(__xludf.DUMMYFUNCTION("""COMPUTED_VALUE"""),"Yes")</f>
        <v>Yes</v>
      </c>
      <c r="D427" s="205" t="str">
        <f>IFERROR(__xludf.DUMMYFUNCTION("""COMPUTED_VALUE"""),"Active")</f>
        <v>Active</v>
      </c>
      <c r="E427" s="166">
        <f>IFERROR(__xludf.DUMMYFUNCTION("""COMPUTED_VALUE"""),43313.0)</f>
        <v>43313</v>
      </c>
      <c r="F427" s="206"/>
      <c r="G427" s="167">
        <f>IFERROR(__xludf.DUMMYFUNCTION("""COMPUTED_VALUE"""),86.46666666666667)</f>
        <v>86.46666667</v>
      </c>
      <c r="H427" s="166">
        <f>IFERROR(__xludf.DUMMYFUNCTION("""COMPUTED_VALUE"""),41600.0)</f>
        <v>41600</v>
      </c>
      <c r="I427" s="167">
        <f>IFERROR(__xludf.DUMMYFUNCTION("""COMPUTED_VALUE"""),4.691666666666666)</f>
        <v>4.691666667</v>
      </c>
      <c r="J427" s="168">
        <f>IFERROR(__xludf.DUMMYFUNCTION("""COMPUTED_VALUE"""),60.0)</f>
        <v>60</v>
      </c>
      <c r="K427" s="168">
        <f>IFERROR(__xludf.DUMMYFUNCTION("""COMPUTED_VALUE"""),6.5)</f>
        <v>6.5</v>
      </c>
      <c r="L427" s="207" t="str">
        <f>IFERROR(__xludf.DUMMYFUNCTION("""COMPUTED_VALUE"""),"Action / Brawler")</f>
        <v>Action / Brawler</v>
      </c>
      <c r="M427" s="207"/>
    </row>
    <row r="428">
      <c r="A428" s="203" t="str">
        <f>IFERROR(__xludf.DUMMYFUNCTION("""COMPUTED_VALUE"""),"Skull and Bones")</f>
        <v>Skull and Bones</v>
      </c>
      <c r="B428" s="204" t="str">
        <f>IFERROR(__xludf.DUMMYFUNCTION("""COMPUTED_VALUE"""),"Xbox / PC")</f>
        <v>Xbox / PC</v>
      </c>
      <c r="C428" s="205" t="str">
        <f>IFERROR(__xludf.DUMMYFUNCTION("""COMPUTED_VALUE"""),"Yes")</f>
        <v>Yes</v>
      </c>
      <c r="D428" s="205" t="str">
        <f>IFERROR(__xludf.DUMMYFUNCTION("""COMPUTED_VALUE"""),"Active")</f>
        <v>Active</v>
      </c>
      <c r="E428" s="166">
        <f>IFERROR(__xludf.DUMMYFUNCTION("""COMPUTED_VALUE"""),45931.0)</f>
        <v>45931</v>
      </c>
      <c r="F428" s="206"/>
      <c r="G428" s="167">
        <f>IFERROR(__xludf.DUMMYFUNCTION("""COMPUTED_VALUE"""),0.4666666666666667)</f>
        <v>0.4666666667</v>
      </c>
      <c r="H428" s="166">
        <f>IFERROR(__xludf.DUMMYFUNCTION("""COMPUTED_VALUE"""),45338.0)</f>
        <v>45338</v>
      </c>
      <c r="I428" s="167">
        <f>IFERROR(__xludf.DUMMYFUNCTION("""COMPUTED_VALUE"""),1.625)</f>
        <v>1.625</v>
      </c>
      <c r="J428" s="168">
        <f>IFERROR(__xludf.DUMMYFUNCTION("""COMPUTED_VALUE"""),59.0)</f>
        <v>59</v>
      </c>
      <c r="K428" s="168">
        <f>IFERROR(__xludf.DUMMYFUNCTION("""COMPUTED_VALUE"""),32.0)</f>
        <v>32</v>
      </c>
      <c r="L428" s="207" t="str">
        <f>IFERROR(__xludf.DUMMYFUNCTION("""COMPUTED_VALUE"""),"Action-Adventure")</f>
        <v>Action-Adventure</v>
      </c>
      <c r="M428" s="207"/>
    </row>
    <row r="429">
      <c r="A429" s="203" t="str">
        <f>IFERROR(__xludf.DUMMYFUNCTION("""COMPUTED_VALUE"""),"Rain World")</f>
        <v>Rain World</v>
      </c>
      <c r="B429" s="204" t="str">
        <f>IFERROR(__xludf.DUMMYFUNCTION("""COMPUTED_VALUE"""),"Xbox / PC")</f>
        <v>Xbox / PC</v>
      </c>
      <c r="C429" s="205" t="str">
        <f>IFERROR(__xludf.DUMMYFUNCTION("""COMPUTED_VALUE"""),"Yes")</f>
        <v>Yes</v>
      </c>
      <c r="D429" s="205" t="str">
        <f>IFERROR(__xludf.DUMMYFUNCTION("""COMPUTED_VALUE"""),"Active")</f>
        <v>Active</v>
      </c>
      <c r="E429" s="166">
        <f>IFERROR(__xludf.DUMMYFUNCTION("""COMPUTED_VALUE"""),45874.0)</f>
        <v>45874</v>
      </c>
      <c r="F429" s="206"/>
      <c r="G429" s="167">
        <f>IFERROR(__xludf.DUMMYFUNCTION("""COMPUTED_VALUE"""),2.3333333333333335)</f>
        <v>2.333333333</v>
      </c>
      <c r="H429" s="166">
        <f>IFERROR(__xludf.DUMMYFUNCTION("""COMPUTED_VALUE"""),42822.0)</f>
        <v>42822</v>
      </c>
      <c r="I429" s="167">
        <f>IFERROR(__xludf.DUMMYFUNCTION("""COMPUTED_VALUE"""),8.352777777777778)</f>
        <v>8.352777778</v>
      </c>
      <c r="J429" s="168">
        <f>IFERROR(__xludf.DUMMYFUNCTION("""COMPUTED_VALUE"""),59.0)</f>
        <v>59</v>
      </c>
      <c r="K429" s="168">
        <f>IFERROR(__xludf.DUMMYFUNCTION("""COMPUTED_VALUE"""),21.0)</f>
        <v>21</v>
      </c>
      <c r="L429" s="207" t="str">
        <f>IFERROR(__xludf.DUMMYFUNCTION("""COMPUTED_VALUE"""),"Platformer")</f>
        <v>Platformer</v>
      </c>
      <c r="M429" s="207"/>
    </row>
    <row r="430">
      <c r="A430" s="203" t="str">
        <f>IFERROR(__xludf.DUMMYFUNCTION("""COMPUTED_VALUE"""),"Hungry Shark World")</f>
        <v>Hungry Shark World</v>
      </c>
      <c r="B430" s="204" t="str">
        <f>IFERROR(__xludf.DUMMYFUNCTION("""COMPUTED_VALUE"""),"Xbox / PC")</f>
        <v>Xbox / PC</v>
      </c>
      <c r="C430" s="205" t="str">
        <f>IFERROR(__xludf.DUMMYFUNCTION("""COMPUTED_VALUE"""),"Yes")</f>
        <v>Yes</v>
      </c>
      <c r="D430" s="205" t="str">
        <f>IFERROR(__xludf.DUMMYFUNCTION("""COMPUTED_VALUE"""),"Active")</f>
        <v>Active</v>
      </c>
      <c r="E430" s="166">
        <f>IFERROR(__xludf.DUMMYFUNCTION("""COMPUTED_VALUE"""),45931.0)</f>
        <v>45931</v>
      </c>
      <c r="F430" s="206"/>
      <c r="G430" s="167">
        <f>IFERROR(__xludf.DUMMYFUNCTION("""COMPUTED_VALUE"""),0.4666666666666667)</f>
        <v>0.4666666667</v>
      </c>
      <c r="H430" s="166">
        <f>IFERROR(__xludf.DUMMYFUNCTION("""COMPUTED_VALUE"""),43298.0)</f>
        <v>43298</v>
      </c>
      <c r="I430" s="167">
        <f>IFERROR(__xludf.DUMMYFUNCTION("""COMPUTED_VALUE"""),7.205555555555556)</f>
        <v>7.205555556</v>
      </c>
      <c r="J430" s="168">
        <f>IFERROR(__xludf.DUMMYFUNCTION("""COMPUTED_VALUE"""),58.0)</f>
        <v>58</v>
      </c>
      <c r="K430" s="168">
        <f>IFERROR(__xludf.DUMMYFUNCTION("""COMPUTED_VALUE"""),8.0)</f>
        <v>8</v>
      </c>
      <c r="L430" s="207" t="str">
        <f>IFERROR(__xludf.DUMMYFUNCTION("""COMPUTED_VALUE"""),"Action-Adventure")</f>
        <v>Action-Adventure</v>
      </c>
      <c r="M430" s="207"/>
    </row>
    <row r="431">
      <c r="A431" s="203" t="str">
        <f>IFERROR(__xludf.DUMMYFUNCTION("""COMPUTED_VALUE"""),"Police Simulator: Patrol Officers")</f>
        <v>Police Simulator: Patrol Officers</v>
      </c>
      <c r="B431" s="204" t="str">
        <f>IFERROR(__xludf.DUMMYFUNCTION("""COMPUTED_VALUE"""),"Xbox / PC")</f>
        <v>Xbox / PC</v>
      </c>
      <c r="C431" s="205" t="str">
        <f>IFERROR(__xludf.DUMMYFUNCTION("""COMPUTED_VALUE"""),"Yes")</f>
        <v>Yes</v>
      </c>
      <c r="D431" s="205" t="str">
        <f>IFERROR(__xludf.DUMMYFUNCTION("""COMPUTED_VALUE"""),"Active")</f>
        <v>Active</v>
      </c>
      <c r="E431" s="166">
        <f>IFERROR(__xludf.DUMMYFUNCTION("""COMPUTED_VALUE"""),45797.0)</f>
        <v>45797</v>
      </c>
      <c r="F431" s="206"/>
      <c r="G431" s="167">
        <f>IFERROR(__xludf.DUMMYFUNCTION("""COMPUTED_VALUE"""),4.833333333333334)</f>
        <v>4.833333333</v>
      </c>
      <c r="H431" s="166">
        <f>IFERROR(__xludf.DUMMYFUNCTION("""COMPUTED_VALUE"""),44875.0)</f>
        <v>44875</v>
      </c>
      <c r="I431" s="167">
        <f>IFERROR(__xludf.DUMMYFUNCTION("""COMPUTED_VALUE"""),2.5277777777777777)</f>
        <v>2.527777778</v>
      </c>
      <c r="J431" s="168">
        <f>IFERROR(__xludf.DUMMYFUNCTION("""COMPUTED_VALUE"""),58.0)</f>
        <v>58</v>
      </c>
      <c r="K431" s="168">
        <f>IFERROR(__xludf.DUMMYFUNCTION("""COMPUTED_VALUE"""),16.0)</f>
        <v>16</v>
      </c>
      <c r="L431" s="207" t="str">
        <f>IFERROR(__xludf.DUMMYFUNCTION("""COMPUTED_VALUE"""),"Simulation")</f>
        <v>Simulation</v>
      </c>
      <c r="M431" s="207"/>
    </row>
    <row r="432">
      <c r="A432" s="203" t="str">
        <f>IFERROR(__xludf.DUMMYFUNCTION("""COMPUTED_VALUE"""),"Dead by Daylight: Special Edition")</f>
        <v>Dead by Daylight: Special Edition</v>
      </c>
      <c r="B432" s="204" t="str">
        <f>IFERROR(__xludf.DUMMYFUNCTION("""COMPUTED_VALUE"""),"Xbox / PC")</f>
        <v>Xbox / PC</v>
      </c>
      <c r="C432" s="205" t="str">
        <f>IFERROR(__xludf.DUMMYFUNCTION("""COMPUTED_VALUE"""),"Yes")</f>
        <v>Yes</v>
      </c>
      <c r="D432" s="205" t="str">
        <f>IFERROR(__xludf.DUMMYFUNCTION("""COMPUTED_VALUE"""),"Active")</f>
        <v>Active</v>
      </c>
      <c r="E432" s="166">
        <f>IFERROR(__xludf.DUMMYFUNCTION("""COMPUTED_VALUE"""),43615.0)</f>
        <v>43615</v>
      </c>
      <c r="F432" s="206"/>
      <c r="G432" s="167">
        <f>IFERROR(__xludf.DUMMYFUNCTION("""COMPUTED_VALUE"""),76.5)</f>
        <v>76.5</v>
      </c>
      <c r="H432" s="166">
        <f>IFERROR(__xludf.DUMMYFUNCTION("""COMPUTED_VALUE"""),42535.0)</f>
        <v>42535</v>
      </c>
      <c r="I432" s="167">
        <f>IFERROR(__xludf.DUMMYFUNCTION("""COMPUTED_VALUE"""),2.9611111111111112)</f>
        <v>2.961111111</v>
      </c>
      <c r="J432" s="168">
        <f>IFERROR(__xludf.DUMMYFUNCTION("""COMPUTED_VALUE"""),58.0)</f>
        <v>58</v>
      </c>
      <c r="K432" s="168">
        <f>IFERROR(__xludf.DUMMYFUNCTION("""COMPUTED_VALUE"""),608.0)</f>
        <v>608</v>
      </c>
      <c r="L432" s="207" t="str">
        <f>IFERROR(__xludf.DUMMYFUNCTION("""COMPUTED_VALUE"""),"Action")</f>
        <v>Action</v>
      </c>
      <c r="M432" s="207" t="str">
        <f>IFERROR(__xludf.DUMMYFUNCTION("""COMPUTED_VALUE"""),"Optimized")</f>
        <v>Optimized</v>
      </c>
    </row>
    <row r="433">
      <c r="A433" s="203" t="str">
        <f>IFERROR(__xludf.DUMMYFUNCTION("""COMPUTED_VALUE"""),"Cricket 24")</f>
        <v>Cricket 24</v>
      </c>
      <c r="B433" s="204" t="str">
        <f>IFERROR(__xludf.DUMMYFUNCTION("""COMPUTED_VALUE"""),"Xbox / PC")</f>
        <v>Xbox / PC</v>
      </c>
      <c r="C433" s="205" t="str">
        <f>IFERROR(__xludf.DUMMYFUNCTION("""COMPUTED_VALUE"""),"Yes")</f>
        <v>Yes</v>
      </c>
      <c r="D433" s="205" t="str">
        <f>IFERROR(__xludf.DUMMYFUNCTION("""COMPUTED_VALUE"""),"Active")</f>
        <v>Active</v>
      </c>
      <c r="E433" s="166">
        <f>IFERROR(__xludf.DUMMYFUNCTION("""COMPUTED_VALUE"""),45482.0)</f>
        <v>45482</v>
      </c>
      <c r="F433" s="206"/>
      <c r="G433" s="167">
        <f>IFERROR(__xludf.DUMMYFUNCTION("""COMPUTED_VALUE"""),15.2)</f>
        <v>15.2</v>
      </c>
      <c r="H433" s="166">
        <f>IFERROR(__xludf.DUMMYFUNCTION("""COMPUTED_VALUE"""),45204.0)</f>
        <v>45204</v>
      </c>
      <c r="I433" s="167">
        <f>IFERROR(__xludf.DUMMYFUNCTION("""COMPUTED_VALUE"""),0.7611111111111111)</f>
        <v>0.7611111111</v>
      </c>
      <c r="J433" s="168">
        <f>IFERROR(__xludf.DUMMYFUNCTION("""COMPUTED_VALUE"""),57.0)</f>
        <v>57</v>
      </c>
      <c r="K433" s="168">
        <f>IFERROR(__xludf.DUMMYFUNCTION("""COMPUTED_VALUE"""),15.0)</f>
        <v>15</v>
      </c>
      <c r="L433" s="207" t="str">
        <f>IFERROR(__xludf.DUMMYFUNCTION("""COMPUTED_VALUE"""),"Sports")</f>
        <v>Sports</v>
      </c>
      <c r="M433" s="207"/>
    </row>
    <row r="434">
      <c r="A434" s="203" t="str">
        <f>IFERROR(__xludf.DUMMYFUNCTION("""COMPUTED_VALUE"""),"Tom Clancy's Ghost Recon Breakpoint")</f>
        <v>Tom Clancy's Ghost Recon Breakpoint</v>
      </c>
      <c r="B434" s="204" t="str">
        <f>IFERROR(__xludf.DUMMYFUNCTION("""COMPUTED_VALUE"""),"Xbox / PC")</f>
        <v>Xbox / PC</v>
      </c>
      <c r="C434" s="205" t="str">
        <f>IFERROR(__xludf.DUMMYFUNCTION("""COMPUTED_VALUE"""),"Yes")</f>
        <v>Yes</v>
      </c>
      <c r="D434" s="205" t="str">
        <f>IFERROR(__xludf.DUMMYFUNCTION("""COMPUTED_VALUE"""),"Active")</f>
        <v>Active</v>
      </c>
      <c r="E434" s="166">
        <f>IFERROR(__xludf.DUMMYFUNCTION("""COMPUTED_VALUE"""),45931.0)</f>
        <v>45931</v>
      </c>
      <c r="F434" s="206"/>
      <c r="G434" s="167">
        <f>IFERROR(__xludf.DUMMYFUNCTION("""COMPUTED_VALUE"""),0.4666666666666667)</f>
        <v>0.4666666667</v>
      </c>
      <c r="H434" s="166">
        <f>IFERROR(__xludf.DUMMYFUNCTION("""COMPUTED_VALUE"""),43739.0)</f>
        <v>43739</v>
      </c>
      <c r="I434" s="167">
        <f>IFERROR(__xludf.DUMMYFUNCTION("""COMPUTED_VALUE"""),6.0)</f>
        <v>6</v>
      </c>
      <c r="J434" s="168">
        <f>IFERROR(__xludf.DUMMYFUNCTION("""COMPUTED_VALUE"""),56.0)</f>
        <v>56</v>
      </c>
      <c r="K434" s="168">
        <f>IFERROR(__xludf.DUMMYFUNCTION("""COMPUTED_VALUE"""),23.0)</f>
        <v>23</v>
      </c>
      <c r="L434" s="207" t="str">
        <f>IFERROR(__xludf.DUMMYFUNCTION("""COMPUTED_VALUE"""),"Shooter")</f>
        <v>Shooter</v>
      </c>
      <c r="M434" s="207"/>
    </row>
    <row r="435">
      <c r="A435" s="203" t="str">
        <f>IFERROR(__xludf.DUMMYFUNCTION("""COMPUTED_VALUE"""),"Call of Duty: Modern Warfare III")</f>
        <v>Call of Duty: Modern Warfare III</v>
      </c>
      <c r="B435" s="204" t="str">
        <f>IFERROR(__xludf.DUMMYFUNCTION("""COMPUTED_VALUE"""),"Xbox / PC")</f>
        <v>Xbox / PC</v>
      </c>
      <c r="C435" s="205" t="str">
        <f>IFERROR(__xludf.DUMMYFUNCTION("""COMPUTED_VALUE"""),"Yes")</f>
        <v>Yes</v>
      </c>
      <c r="D435" s="205" t="str">
        <f>IFERROR(__xludf.DUMMYFUNCTION("""COMPUTED_VALUE"""),"Active")</f>
        <v>Active</v>
      </c>
      <c r="E435" s="166">
        <f>IFERROR(__xludf.DUMMYFUNCTION("""COMPUTED_VALUE"""),45497.0)</f>
        <v>45497</v>
      </c>
      <c r="F435" s="206"/>
      <c r="G435" s="167">
        <f>IFERROR(__xludf.DUMMYFUNCTION("""COMPUTED_VALUE"""),14.700000000000001)</f>
        <v>14.7</v>
      </c>
      <c r="H435" s="166">
        <f>IFERROR(__xludf.DUMMYFUNCTION("""COMPUTED_VALUE"""),45211.0)</f>
        <v>45211</v>
      </c>
      <c r="I435" s="167">
        <f>IFERROR(__xludf.DUMMYFUNCTION("""COMPUTED_VALUE"""),0.7833333333333333)</f>
        <v>0.7833333333</v>
      </c>
      <c r="J435" s="168">
        <f>IFERROR(__xludf.DUMMYFUNCTION("""COMPUTED_VALUE"""),56.0)</f>
        <v>56</v>
      </c>
      <c r="K435" s="168">
        <f>IFERROR(__xludf.DUMMYFUNCTION("""COMPUTED_VALUE"""),5.0)</f>
        <v>5</v>
      </c>
      <c r="L435" s="207" t="str">
        <f>IFERROR(__xludf.DUMMYFUNCTION("""COMPUTED_VALUE"""),"Shooter")</f>
        <v>Shooter</v>
      </c>
      <c r="M435" s="207"/>
    </row>
    <row r="436">
      <c r="A436" s="203" t="str">
        <f>IFERROR(__xludf.DUMMYFUNCTION("""COMPUTED_VALUE"""),"Bluey: The Videogame")</f>
        <v>Bluey: The Videogame</v>
      </c>
      <c r="B436" s="204" t="str">
        <f>IFERROR(__xludf.DUMMYFUNCTION("""COMPUTED_VALUE"""),"Xbox / PC")</f>
        <v>Xbox / PC</v>
      </c>
      <c r="C436" s="205" t="str">
        <f>IFERROR(__xludf.DUMMYFUNCTION("""COMPUTED_VALUE"""),"Yes")</f>
        <v>Yes</v>
      </c>
      <c r="D436" s="205" t="str">
        <f>IFERROR(__xludf.DUMMYFUNCTION("""COMPUTED_VALUE"""),"Active")</f>
        <v>Active</v>
      </c>
      <c r="E436" s="166">
        <f>IFERROR(__xludf.DUMMYFUNCTION("""COMPUTED_VALUE"""),45344.0)</f>
        <v>45344</v>
      </c>
      <c r="F436" s="206"/>
      <c r="G436" s="167">
        <f>IFERROR(__xludf.DUMMYFUNCTION("""COMPUTED_VALUE"""),19.766666666666666)</f>
        <v>19.76666667</v>
      </c>
      <c r="H436" s="166">
        <f>IFERROR(__xludf.DUMMYFUNCTION("""COMPUTED_VALUE"""),45247.0)</f>
        <v>45247</v>
      </c>
      <c r="I436" s="167">
        <f>IFERROR(__xludf.DUMMYFUNCTION("""COMPUTED_VALUE"""),0.2638888888888889)</f>
        <v>0.2638888889</v>
      </c>
      <c r="J436" s="168">
        <f>IFERROR(__xludf.DUMMYFUNCTION("""COMPUTED_VALUE"""),56.0)</f>
        <v>56</v>
      </c>
      <c r="K436" s="168">
        <f>IFERROR(__xludf.DUMMYFUNCTION("""COMPUTED_VALUE"""),1.0)</f>
        <v>1</v>
      </c>
      <c r="L436" s="207" t="str">
        <f>IFERROR(__xludf.DUMMYFUNCTION("""COMPUTED_VALUE"""),"Adventure")</f>
        <v>Adventure</v>
      </c>
      <c r="M436" s="207"/>
    </row>
    <row r="437">
      <c r="A437" s="203" t="str">
        <f>IFERROR(__xludf.DUMMYFUNCTION("""COMPUTED_VALUE"""),"DayZ")</f>
        <v>DayZ</v>
      </c>
      <c r="B437" s="204" t="str">
        <f>IFERROR(__xludf.DUMMYFUNCTION("""COMPUTED_VALUE"""),"Xbox")</f>
        <v>Xbox</v>
      </c>
      <c r="C437" s="205" t="str">
        <f>IFERROR(__xludf.DUMMYFUNCTION("""COMPUTED_VALUE"""),"Yes")</f>
        <v>Yes</v>
      </c>
      <c r="D437" s="205" t="str">
        <f>IFERROR(__xludf.DUMMYFUNCTION("""COMPUTED_VALUE"""),"Active")</f>
        <v>Active</v>
      </c>
      <c r="E437" s="166">
        <f>IFERROR(__xludf.DUMMYFUNCTION("""COMPUTED_VALUE"""),43958.0)</f>
        <v>43958</v>
      </c>
      <c r="F437" s="206"/>
      <c r="G437" s="167">
        <f>IFERROR(__xludf.DUMMYFUNCTION("""COMPUTED_VALUE"""),65.26666666666667)</f>
        <v>65.26666667</v>
      </c>
      <c r="H437" s="166">
        <f>IFERROR(__xludf.DUMMYFUNCTION("""COMPUTED_VALUE"""),41621.0)</f>
        <v>41621</v>
      </c>
      <c r="I437" s="167">
        <f>IFERROR(__xludf.DUMMYFUNCTION("""COMPUTED_VALUE"""),6.4)</f>
        <v>6.4</v>
      </c>
      <c r="J437" s="168">
        <f>IFERROR(__xludf.DUMMYFUNCTION("""COMPUTED_VALUE"""),56.0)</f>
        <v>56</v>
      </c>
      <c r="K437" s="168">
        <f>IFERROR(__xludf.DUMMYFUNCTION("""COMPUTED_VALUE"""),65.5)</f>
        <v>65.5</v>
      </c>
      <c r="L437" s="207" t="str">
        <f>IFERROR(__xludf.DUMMYFUNCTION("""COMPUTED_VALUE"""),"RPG / Simulation / First-Person Shooter")</f>
        <v>RPG / Simulation / First-Person Shooter</v>
      </c>
      <c r="M437" s="207"/>
    </row>
    <row r="438">
      <c r="A438" s="203" t="str">
        <f>IFERROR(__xludf.DUMMYFUNCTION("""COMPUTED_VALUE"""),"Trials of the Blood Dragon")</f>
        <v>Trials of the Blood Dragon</v>
      </c>
      <c r="B438" s="204" t="str">
        <f>IFERROR(__xludf.DUMMYFUNCTION("""COMPUTED_VALUE"""),"Xbox / PC")</f>
        <v>Xbox / PC</v>
      </c>
      <c r="C438" s="205" t="str">
        <f>IFERROR(__xludf.DUMMYFUNCTION("""COMPUTED_VALUE"""),"Yes")</f>
        <v>Yes</v>
      </c>
      <c r="D438" s="205" t="str">
        <f>IFERROR(__xludf.DUMMYFUNCTION("""COMPUTED_VALUE"""),"Active")</f>
        <v>Active</v>
      </c>
      <c r="E438" s="166">
        <f>IFERROR(__xludf.DUMMYFUNCTION("""COMPUTED_VALUE"""),45931.0)</f>
        <v>45931</v>
      </c>
      <c r="F438" s="206"/>
      <c r="G438" s="167">
        <f>IFERROR(__xludf.DUMMYFUNCTION("""COMPUTED_VALUE"""),0.4666666666666667)</f>
        <v>0.4666666667</v>
      </c>
      <c r="H438" s="166">
        <f>IFERROR(__xludf.DUMMYFUNCTION("""COMPUTED_VALUE"""),42534.0)</f>
        <v>42534</v>
      </c>
      <c r="I438" s="167">
        <f>IFERROR(__xludf.DUMMYFUNCTION("""COMPUTED_VALUE"""),9.3)</f>
        <v>9.3</v>
      </c>
      <c r="J438" s="168">
        <f>IFERROR(__xludf.DUMMYFUNCTION("""COMPUTED_VALUE"""),55.0)</f>
        <v>55</v>
      </c>
      <c r="K438" s="168">
        <f>IFERROR(__xludf.DUMMYFUNCTION("""COMPUTED_VALUE"""),3.0)</f>
        <v>3</v>
      </c>
      <c r="L438" s="207" t="str">
        <f>IFERROR(__xludf.DUMMYFUNCTION("""COMPUTED_VALUE"""),"Racing")</f>
        <v>Racing</v>
      </c>
      <c r="M438" s="207"/>
    </row>
    <row r="439">
      <c r="A439" s="203" t="str">
        <f>IFERROR(__xludf.DUMMYFUNCTION("""COMPUTED_VALUE"""),"Mad Streets")</f>
        <v>Mad Streets</v>
      </c>
      <c r="B439" s="204" t="str">
        <f>IFERROR(__xludf.DUMMYFUNCTION("""COMPUTED_VALUE"""),"Xbox / PC")</f>
        <v>Xbox / PC</v>
      </c>
      <c r="C439" s="205" t="str">
        <f>IFERROR(__xludf.DUMMYFUNCTION("""COMPUTED_VALUE"""),"Yes")</f>
        <v>Yes</v>
      </c>
      <c r="D439" s="205" t="str">
        <f>IFERROR(__xludf.DUMMYFUNCTION("""COMPUTED_VALUE"""),"Active")</f>
        <v>Active</v>
      </c>
      <c r="E439" s="166">
        <f>IFERROR(__xludf.DUMMYFUNCTION("""COMPUTED_VALUE"""),45572.0)</f>
        <v>45572</v>
      </c>
      <c r="F439" s="206"/>
      <c r="G439" s="167">
        <f>IFERROR(__xludf.DUMMYFUNCTION("""COMPUTED_VALUE"""),12.266666666666666)</f>
        <v>12.26666667</v>
      </c>
      <c r="H439" s="166">
        <f>IFERROR(__xludf.DUMMYFUNCTION("""COMPUTED_VALUE"""),44435.0)</f>
        <v>44435</v>
      </c>
      <c r="I439" s="167">
        <f>IFERROR(__xludf.DUMMYFUNCTION("""COMPUTED_VALUE"""),3.111111111111111)</f>
        <v>3.111111111</v>
      </c>
      <c r="J439" s="168">
        <f>IFERROR(__xludf.DUMMYFUNCTION("""COMPUTED_VALUE"""),55.0)</f>
        <v>55</v>
      </c>
      <c r="K439" s="168">
        <f>IFERROR(__xludf.DUMMYFUNCTION("""COMPUTED_VALUE"""),2.0)</f>
        <v>2</v>
      </c>
      <c r="L439" s="207" t="str">
        <f>IFERROR(__xludf.DUMMYFUNCTION("""COMPUTED_VALUE"""),"Beat-'Em-Up ")</f>
        <v>Beat-'Em-Up </v>
      </c>
      <c r="M439" s="207"/>
    </row>
    <row r="440">
      <c r="A440" s="203" t="str">
        <f>IFERROR(__xludf.DUMMYFUNCTION("""COMPUTED_VALUE"""),"Redfall")</f>
        <v>Redfall</v>
      </c>
      <c r="B440" s="204" t="str">
        <f>IFERROR(__xludf.DUMMYFUNCTION("""COMPUTED_VALUE"""),"Xbox / PC")</f>
        <v>Xbox / PC</v>
      </c>
      <c r="C440" s="205" t="str">
        <f>IFERROR(__xludf.DUMMYFUNCTION("""COMPUTED_VALUE"""),"Yes")</f>
        <v>Yes</v>
      </c>
      <c r="D440" s="205" t="str">
        <f>IFERROR(__xludf.DUMMYFUNCTION("""COMPUTED_VALUE"""),"Active")</f>
        <v>Active</v>
      </c>
      <c r="E440" s="166">
        <f>IFERROR(__xludf.DUMMYFUNCTION("""COMPUTED_VALUE"""),45048.0)</f>
        <v>45048</v>
      </c>
      <c r="F440" s="206"/>
      <c r="G440" s="167">
        <f>IFERROR(__xludf.DUMMYFUNCTION("""COMPUTED_VALUE"""),29.433333333333337)</f>
        <v>29.43333333</v>
      </c>
      <c r="H440" s="166">
        <f>IFERROR(__xludf.DUMMYFUNCTION("""COMPUTED_VALUE"""),45048.0)</f>
        <v>45048</v>
      </c>
      <c r="I440" s="167">
        <f>IFERROR(__xludf.DUMMYFUNCTION("""COMPUTED_VALUE"""),0.0)</f>
        <v>0</v>
      </c>
      <c r="J440" s="168">
        <f>IFERROR(__xludf.DUMMYFUNCTION("""COMPUTED_VALUE"""),55.0)</f>
        <v>55</v>
      </c>
      <c r="K440" s="168">
        <f>IFERROR(__xludf.DUMMYFUNCTION("""COMPUTED_VALUE"""),11.0)</f>
        <v>11</v>
      </c>
      <c r="L440" s="207" t="str">
        <f>IFERROR(__xludf.DUMMYFUNCTION("""COMPUTED_VALUE"""),"First-Person Shooter")</f>
        <v>First-Person Shooter</v>
      </c>
      <c r="M440" s="207" t="str">
        <f>IFERROR(__xludf.DUMMYFUNCTION("""COMPUTED_VALUE"""),"Exclusive")</f>
        <v>Exclusive</v>
      </c>
    </row>
    <row r="441">
      <c r="A441" s="203" t="str">
        <f>IFERROR(__xludf.DUMMYFUNCTION("""COMPUTED_VALUE"""),"The Settlers: New Allies")</f>
        <v>The Settlers: New Allies</v>
      </c>
      <c r="B441" s="204" t="str">
        <f>IFERROR(__xludf.DUMMYFUNCTION("""COMPUTED_VALUE"""),"Xbox / PC")</f>
        <v>Xbox / PC</v>
      </c>
      <c r="C441" s="205" t="str">
        <f>IFERROR(__xludf.DUMMYFUNCTION("""COMPUTED_VALUE"""),"Yes")</f>
        <v>Yes</v>
      </c>
      <c r="D441" s="205" t="str">
        <f>IFERROR(__xludf.DUMMYFUNCTION("""COMPUTED_VALUE"""),"Active")</f>
        <v>Active</v>
      </c>
      <c r="E441" s="166">
        <f>IFERROR(__xludf.DUMMYFUNCTION("""COMPUTED_VALUE"""),45931.0)</f>
        <v>45931</v>
      </c>
      <c r="F441" s="206"/>
      <c r="G441" s="167">
        <f>IFERROR(__xludf.DUMMYFUNCTION("""COMPUTED_VALUE"""),0.4666666666666667)</f>
        <v>0.4666666667</v>
      </c>
      <c r="H441" s="166">
        <f>IFERROR(__xludf.DUMMYFUNCTION("""COMPUTED_VALUE"""),44974.0)</f>
        <v>44974</v>
      </c>
      <c r="I441" s="167">
        <f>IFERROR(__xludf.DUMMYFUNCTION("""COMPUTED_VALUE"""),2.6222222222222222)</f>
        <v>2.622222222</v>
      </c>
      <c r="J441" s="168">
        <f>IFERROR(__xludf.DUMMYFUNCTION("""COMPUTED_VALUE"""),54.0)</f>
        <v>54</v>
      </c>
      <c r="K441" s="168">
        <f>IFERROR(__xludf.DUMMYFUNCTION("""COMPUTED_VALUE"""),35.0)</f>
        <v>35</v>
      </c>
      <c r="L441" s="207" t="str">
        <f>IFERROR(__xludf.DUMMYFUNCTION("""COMPUTED_VALUE"""),"Management")</f>
        <v>Management</v>
      </c>
      <c r="M441" s="207"/>
    </row>
    <row r="442">
      <c r="A442" s="203" t="str">
        <f>IFERROR(__xludf.DUMMYFUNCTION("""COMPUTED_VALUE"""),"Rabbids Invasion: The Interactive TV Show")</f>
        <v>Rabbids Invasion: The Interactive TV Show</v>
      </c>
      <c r="B442" s="204" t="str">
        <f>IFERROR(__xludf.DUMMYFUNCTION("""COMPUTED_VALUE"""),"Xbox")</f>
        <v>Xbox</v>
      </c>
      <c r="C442" s="205" t="str">
        <f>IFERROR(__xludf.DUMMYFUNCTION("""COMPUTED_VALUE"""),"Yes")</f>
        <v>Yes</v>
      </c>
      <c r="D442" s="205" t="str">
        <f>IFERROR(__xludf.DUMMYFUNCTION("""COMPUTED_VALUE"""),"Active")</f>
        <v>Active</v>
      </c>
      <c r="E442" s="166">
        <f>IFERROR(__xludf.DUMMYFUNCTION("""COMPUTED_VALUE"""),45931.0)</f>
        <v>45931</v>
      </c>
      <c r="F442" s="206"/>
      <c r="G442" s="167">
        <f>IFERROR(__xludf.DUMMYFUNCTION("""COMPUTED_VALUE"""),0.4666666666666667)</f>
        <v>0.4666666667</v>
      </c>
      <c r="H442" s="166">
        <f>IFERROR(__xludf.DUMMYFUNCTION("""COMPUTED_VALUE"""),41951.0)</f>
        <v>41951</v>
      </c>
      <c r="I442" s="167">
        <f>IFERROR(__xludf.DUMMYFUNCTION("""COMPUTED_VALUE"""),10.897222222222222)</f>
        <v>10.89722222</v>
      </c>
      <c r="J442" s="168">
        <f>IFERROR(__xludf.DUMMYFUNCTION("""COMPUTED_VALUE"""),53.0)</f>
        <v>53</v>
      </c>
      <c r="K442" s="168">
        <f>IFERROR(__xludf.DUMMYFUNCTION("""COMPUTED_VALUE"""),10.0)</f>
        <v>10</v>
      </c>
      <c r="L442" s="207" t="str">
        <f>IFERROR(__xludf.DUMMYFUNCTION("""COMPUTED_VALUE"""),"Party")</f>
        <v>Party</v>
      </c>
      <c r="M442" s="207"/>
    </row>
    <row r="443">
      <c r="A443" s="203" t="str">
        <f>IFERROR(__xludf.DUMMYFUNCTION("""COMPUTED_VALUE"""),"Halo: Spartan Assault")</f>
        <v>Halo: Spartan Assault</v>
      </c>
      <c r="B443" s="204" t="str">
        <f>IFERROR(__xludf.DUMMYFUNCTION("""COMPUTED_VALUE"""),"Xbox / PC")</f>
        <v>Xbox / PC</v>
      </c>
      <c r="C443" s="205" t="str">
        <f>IFERROR(__xludf.DUMMYFUNCTION("""COMPUTED_VALUE"""),"Touch Controls")</f>
        <v>Touch Controls</v>
      </c>
      <c r="D443" s="205" t="str">
        <f>IFERROR(__xludf.DUMMYFUNCTION("""COMPUTED_VALUE"""),"Active")</f>
        <v>Active</v>
      </c>
      <c r="E443" s="166">
        <f>IFERROR(__xludf.DUMMYFUNCTION("""COMPUTED_VALUE"""),42887.0)</f>
        <v>42887</v>
      </c>
      <c r="F443" s="206"/>
      <c r="G443" s="167">
        <f>IFERROR(__xludf.DUMMYFUNCTION("""COMPUTED_VALUE"""),100.46666666666667)</f>
        <v>100.4666667</v>
      </c>
      <c r="H443" s="166">
        <f>IFERROR(__xludf.DUMMYFUNCTION("""COMPUTED_VALUE"""),41473.0)</f>
        <v>41473</v>
      </c>
      <c r="I443" s="167">
        <f>IFERROR(__xludf.DUMMYFUNCTION("""COMPUTED_VALUE"""),3.8694444444444445)</f>
        <v>3.869444444</v>
      </c>
      <c r="J443" s="168">
        <f>IFERROR(__xludf.DUMMYFUNCTION("""COMPUTED_VALUE"""),53.0)</f>
        <v>53</v>
      </c>
      <c r="K443" s="168">
        <f>IFERROR(__xludf.DUMMYFUNCTION("""COMPUTED_VALUE"""),4.0)</f>
        <v>4</v>
      </c>
      <c r="L443" s="207" t="str">
        <f>IFERROR(__xludf.DUMMYFUNCTION("""COMPUTED_VALUE"""),"Dual-Joystick Shooter")</f>
        <v>Dual-Joystick Shooter</v>
      </c>
      <c r="M443" s="207" t="str">
        <f>IFERROR(__xludf.DUMMYFUNCTION("""COMPUTED_VALUE"""),"FPS Boost")</f>
        <v>FPS Boost</v>
      </c>
    </row>
    <row r="444">
      <c r="A444" s="203" t="str">
        <f>IFERROR(__xludf.DUMMYFUNCTION("""COMPUTED_VALUE"""),"Generation Zero")</f>
        <v>Generation Zero</v>
      </c>
      <c r="B444" s="204" t="str">
        <f>IFERROR(__xludf.DUMMYFUNCTION("""COMPUTED_VALUE"""),"Xbox / PC")</f>
        <v>Xbox / PC</v>
      </c>
      <c r="C444" s="205" t="str">
        <f>IFERROR(__xludf.DUMMYFUNCTION("""COMPUTED_VALUE"""),"Yes")</f>
        <v>Yes</v>
      </c>
      <c r="D444" s="205" t="str">
        <f>IFERROR(__xludf.DUMMYFUNCTION("""COMPUTED_VALUE"""),"Active")</f>
        <v>Active</v>
      </c>
      <c r="E444" s="166">
        <f>IFERROR(__xludf.DUMMYFUNCTION("""COMPUTED_VALUE"""),44531.0)</f>
        <v>44531</v>
      </c>
      <c r="F444" s="206"/>
      <c r="G444" s="167">
        <f>IFERROR(__xludf.DUMMYFUNCTION("""COMPUTED_VALUE"""),46.46666666666667)</f>
        <v>46.46666667</v>
      </c>
      <c r="H444" s="166">
        <f>IFERROR(__xludf.DUMMYFUNCTION("""COMPUTED_VALUE"""),43550.0)</f>
        <v>43550</v>
      </c>
      <c r="I444" s="167">
        <f>IFERROR(__xludf.DUMMYFUNCTION("""COMPUTED_VALUE"""),2.6805555555555554)</f>
        <v>2.680555556</v>
      </c>
      <c r="J444" s="168">
        <f>IFERROR(__xludf.DUMMYFUNCTION("""COMPUTED_VALUE"""),50.5)</f>
        <v>50.5</v>
      </c>
      <c r="K444" s="168">
        <f>IFERROR(__xludf.DUMMYFUNCTION("""COMPUTED_VALUE"""),21.5)</f>
        <v>21.5</v>
      </c>
      <c r="L444" s="207" t="str">
        <f>IFERROR(__xludf.DUMMYFUNCTION("""COMPUTED_VALUE"""),"First-Person Shooter")</f>
        <v>First-Person Shooter</v>
      </c>
      <c r="M444" s="207"/>
    </row>
    <row r="445">
      <c r="A445" s="203" t="str">
        <f>IFERROR(__xludf.DUMMYFUNCTION("""COMPUTED_VALUE"""),"The Outer Worlds 2")</f>
        <v>The Outer Worlds 2</v>
      </c>
      <c r="B445" s="204" t="str">
        <f>IFERROR(__xludf.DUMMYFUNCTION("""COMPUTED_VALUE"""),"Xbox / PC")</f>
        <v>Xbox / PC</v>
      </c>
      <c r="C445" s="205" t="str">
        <f>IFERROR(__xludf.DUMMYFUNCTION("""COMPUTED_VALUE"""),"Yes")</f>
        <v>Yes</v>
      </c>
      <c r="D445" s="205" t="str">
        <f>IFERROR(__xludf.DUMMYFUNCTION("""COMPUTED_VALUE"""),"Coming Soon")</f>
        <v>Coming Soon</v>
      </c>
      <c r="E445" s="166">
        <f>IFERROR(__xludf.DUMMYFUNCTION("""COMPUTED_VALUE"""),45959.0)</f>
        <v>45959</v>
      </c>
      <c r="F445" s="206"/>
      <c r="G445" s="167">
        <f>IFERROR(__xludf.DUMMYFUNCTION("""COMPUTED_VALUE"""),-0.4666666666666667)</f>
        <v>-0.4666666667</v>
      </c>
      <c r="H445" s="166">
        <f>IFERROR(__xludf.DUMMYFUNCTION("""COMPUTED_VALUE"""),45959.0)</f>
        <v>45959</v>
      </c>
      <c r="I445" s="167">
        <f>IFERROR(__xludf.DUMMYFUNCTION("""COMPUTED_VALUE"""),0.0)</f>
        <v>0</v>
      </c>
      <c r="J445" s="168"/>
      <c r="K445" s="168"/>
      <c r="L445" s="207" t="str">
        <f>IFERROR(__xludf.DUMMYFUNCTION("""COMPUTED_VALUE"""),"RPG")</f>
        <v>RPG</v>
      </c>
      <c r="M445" s="207" t="str">
        <f>IFERROR(__xludf.DUMMYFUNCTION("""COMPUTED_VALUE"""),"Exclusive")</f>
        <v>Exclusive</v>
      </c>
    </row>
    <row r="446">
      <c r="A446" s="203" t="str">
        <f>IFERROR(__xludf.DUMMYFUNCTION("""COMPUTED_VALUE"""),"Ninja Gaiden 4")</f>
        <v>Ninja Gaiden 4</v>
      </c>
      <c r="B446" s="204" t="str">
        <f>IFERROR(__xludf.DUMMYFUNCTION("""COMPUTED_VALUE"""),"Xbox / PC")</f>
        <v>Xbox / PC</v>
      </c>
      <c r="C446" s="205" t="str">
        <f>IFERROR(__xludf.DUMMYFUNCTION("""COMPUTED_VALUE"""),"Yes")</f>
        <v>Yes</v>
      </c>
      <c r="D446" s="205" t="str">
        <f>IFERROR(__xludf.DUMMYFUNCTION("""COMPUTED_VALUE"""),"Coming Soon")</f>
        <v>Coming Soon</v>
      </c>
      <c r="E446" s="166">
        <f>IFERROR(__xludf.DUMMYFUNCTION("""COMPUTED_VALUE"""),45951.0)</f>
        <v>45951</v>
      </c>
      <c r="F446" s="206"/>
      <c r="G446" s="167">
        <f>IFERROR(__xludf.DUMMYFUNCTION("""COMPUTED_VALUE"""),-0.2)</f>
        <v>-0.2</v>
      </c>
      <c r="H446" s="166">
        <f>IFERROR(__xludf.DUMMYFUNCTION("""COMPUTED_VALUE"""),45951.0)</f>
        <v>45951</v>
      </c>
      <c r="I446" s="167">
        <f>IFERROR(__xludf.DUMMYFUNCTION("""COMPUTED_VALUE"""),0.0)</f>
        <v>0</v>
      </c>
      <c r="J446" s="168"/>
      <c r="K446" s="168"/>
      <c r="L446" s="207" t="str">
        <f>IFERROR(__xludf.DUMMYFUNCTION("""COMPUTED_VALUE"""),"Action-Adventure")</f>
        <v>Action-Adventure</v>
      </c>
      <c r="M446" s="207" t="str">
        <f>IFERROR(__xludf.DUMMYFUNCTION("""COMPUTED_VALUE"""),"Exclusive")</f>
        <v>Exclusive</v>
      </c>
    </row>
    <row r="447">
      <c r="A447" s="203" t="str">
        <f>IFERROR(__xludf.DUMMYFUNCTION("""COMPUTED_VALUE"""),"Keeper")</f>
        <v>Keeper</v>
      </c>
      <c r="B447" s="204" t="str">
        <f>IFERROR(__xludf.DUMMYFUNCTION("""COMPUTED_VALUE"""),"Xbox / PC")</f>
        <v>Xbox / PC</v>
      </c>
      <c r="C447" s="205" t="str">
        <f>IFERROR(__xludf.DUMMYFUNCTION("""COMPUTED_VALUE"""),"Yes")</f>
        <v>Yes</v>
      </c>
      <c r="D447" s="205" t="str">
        <f>IFERROR(__xludf.DUMMYFUNCTION("""COMPUTED_VALUE"""),"Coming Soon")</f>
        <v>Coming Soon</v>
      </c>
      <c r="E447" s="166">
        <f>IFERROR(__xludf.DUMMYFUNCTION("""COMPUTED_VALUE"""),45947.0)</f>
        <v>45947</v>
      </c>
      <c r="F447" s="206"/>
      <c r="G447" s="167">
        <f>IFERROR(__xludf.DUMMYFUNCTION("""COMPUTED_VALUE"""),-0.06666666666666667)</f>
        <v>-0.06666666667</v>
      </c>
      <c r="H447" s="166">
        <f>IFERROR(__xludf.DUMMYFUNCTION("""COMPUTED_VALUE"""),45947.0)</f>
        <v>45947</v>
      </c>
      <c r="I447" s="167">
        <f>IFERROR(__xludf.DUMMYFUNCTION("""COMPUTED_VALUE"""),0.0)</f>
        <v>0</v>
      </c>
      <c r="J447" s="168"/>
      <c r="K447" s="168"/>
      <c r="L447" s="207" t="str">
        <f>IFERROR(__xludf.DUMMYFUNCTION("""COMPUTED_VALUE"""),"Action-Adventure")</f>
        <v>Action-Adventure</v>
      </c>
      <c r="M447" s="207" t="str">
        <f>IFERROR(__xludf.DUMMYFUNCTION("""COMPUTED_VALUE"""),"Exclusive")</f>
        <v>Exclusive</v>
      </c>
    </row>
    <row r="448">
      <c r="A448" s="203" t="str">
        <f>IFERROR(__xludf.DUMMYFUNCTION("""COMPUTED_VALUE"""),"Ball x Pit")</f>
        <v>Ball x Pit</v>
      </c>
      <c r="B448" s="204" t="str">
        <f>IFERROR(__xludf.DUMMYFUNCTION("""COMPUTED_VALUE"""),"Xbox / PC")</f>
        <v>Xbox / PC</v>
      </c>
      <c r="C448" s="205" t="str">
        <f>IFERROR(__xludf.DUMMYFUNCTION("""COMPUTED_VALUE"""),"Yes")</f>
        <v>Yes</v>
      </c>
      <c r="D448" s="205" t="str">
        <f>IFERROR(__xludf.DUMMYFUNCTION("""COMPUTED_VALUE"""),"Active")</f>
        <v>Active</v>
      </c>
      <c r="E448" s="166">
        <f>IFERROR(__xludf.DUMMYFUNCTION("""COMPUTED_VALUE"""),45945.0)</f>
        <v>45945</v>
      </c>
      <c r="F448" s="206"/>
      <c r="G448" s="167">
        <f>IFERROR(__xludf.DUMMYFUNCTION("""COMPUTED_VALUE"""),0.0)</f>
        <v>0</v>
      </c>
      <c r="H448" s="166">
        <f>IFERROR(__xludf.DUMMYFUNCTION("""COMPUTED_VALUE"""),45945.0)</f>
        <v>45945</v>
      </c>
      <c r="I448" s="167">
        <f>IFERROR(__xludf.DUMMYFUNCTION("""COMPUTED_VALUE"""),0.0)</f>
        <v>0</v>
      </c>
      <c r="J448" s="168"/>
      <c r="K448" s="168"/>
      <c r="L448" s="207" t="str">
        <f>IFERROR(__xludf.DUMMYFUNCTION("""COMPUTED_VALUE"""),"Shoot-'Em-Up")</f>
        <v>Shoot-'Em-Up</v>
      </c>
      <c r="M448" s="207"/>
    </row>
    <row r="449">
      <c r="A449" s="203" t="str">
        <f>IFERROR(__xludf.DUMMYFUNCTION("""COMPUTED_VALUE"""),"Supermarket Simulator")</f>
        <v>Supermarket Simulator</v>
      </c>
      <c r="B449" s="204" t="str">
        <f>IFERROR(__xludf.DUMMYFUNCTION("""COMPUTED_VALUE"""),"Xbox / PC")</f>
        <v>Xbox / PC</v>
      </c>
      <c r="C449" s="205" t="str">
        <f>IFERROR(__xludf.DUMMYFUNCTION("""COMPUTED_VALUE"""),"Yes")</f>
        <v>Yes</v>
      </c>
      <c r="D449" s="205" t="str">
        <f>IFERROR(__xludf.DUMMYFUNCTION("""COMPUTED_VALUE"""),"Active")</f>
        <v>Active</v>
      </c>
      <c r="E449" s="166">
        <f>IFERROR(__xludf.DUMMYFUNCTION("""COMPUTED_VALUE"""),45938.0)</f>
        <v>45938</v>
      </c>
      <c r="F449" s="206"/>
      <c r="G449" s="167">
        <f>IFERROR(__xludf.DUMMYFUNCTION("""COMPUTED_VALUE"""),0.23333333333333334)</f>
        <v>0.2333333333</v>
      </c>
      <c r="H449" s="166">
        <f>IFERROR(__xludf.DUMMYFUNCTION("""COMPUTED_VALUE"""),45827.0)</f>
        <v>45827</v>
      </c>
      <c r="I449" s="167">
        <f>IFERROR(__xludf.DUMMYFUNCTION("""COMPUTED_VALUE"""),0.30277777777777776)</f>
        <v>0.3027777778</v>
      </c>
      <c r="J449" s="168"/>
      <c r="K449" s="168"/>
      <c r="L449" s="207" t="str">
        <f>IFERROR(__xludf.DUMMYFUNCTION("""COMPUTED_VALUE"""),"Simulation")</f>
        <v>Simulation</v>
      </c>
      <c r="M449" s="207"/>
    </row>
    <row r="450">
      <c r="A450" s="203" t="str">
        <f>IFERROR(__xludf.DUMMYFUNCTION("""COMPUTED_VALUE"""),"Monopoly Madness")</f>
        <v>Monopoly Madness</v>
      </c>
      <c r="B450" s="204" t="str">
        <f>IFERROR(__xludf.DUMMYFUNCTION("""COMPUTED_VALUE"""),"Xbox / PC")</f>
        <v>Xbox / PC</v>
      </c>
      <c r="C450" s="205" t="str">
        <f>IFERROR(__xludf.DUMMYFUNCTION("""COMPUTED_VALUE"""),"Yes")</f>
        <v>Yes</v>
      </c>
      <c r="D450" s="205" t="str">
        <f>IFERROR(__xludf.DUMMYFUNCTION("""COMPUTED_VALUE"""),"Active")</f>
        <v>Active</v>
      </c>
      <c r="E450" s="166">
        <f>IFERROR(__xludf.DUMMYFUNCTION("""COMPUTED_VALUE"""),45931.0)</f>
        <v>45931</v>
      </c>
      <c r="F450" s="206"/>
      <c r="G450" s="167">
        <f>IFERROR(__xludf.DUMMYFUNCTION("""COMPUTED_VALUE"""),0.4666666666666667)</f>
        <v>0.4666666667</v>
      </c>
      <c r="H450" s="166">
        <f>IFERROR(__xludf.DUMMYFUNCTION("""COMPUTED_VALUE"""),44914.0)</f>
        <v>44914</v>
      </c>
      <c r="I450" s="167">
        <f>IFERROR(__xludf.DUMMYFUNCTION("""COMPUTED_VALUE"""),2.783333333333333)</f>
        <v>2.783333333</v>
      </c>
      <c r="J450" s="168"/>
      <c r="K450" s="168">
        <f>IFERROR(__xludf.DUMMYFUNCTION("""COMPUTED_VALUE"""),6.0)</f>
        <v>6</v>
      </c>
      <c r="L450" s="207" t="str">
        <f>IFERROR(__xludf.DUMMYFUNCTION("""COMPUTED_VALUE"""),"Party")</f>
        <v>Party</v>
      </c>
      <c r="M450" s="207"/>
    </row>
    <row r="451">
      <c r="A451" s="203" t="str">
        <f>IFERROR(__xludf.DUMMYFUNCTION("""COMPUTED_VALUE"""),"SWORN")</f>
        <v>SWORN</v>
      </c>
      <c r="B451" s="204" t="str">
        <f>IFERROR(__xludf.DUMMYFUNCTION("""COMPUTED_VALUE"""),"Xbox / PC")</f>
        <v>Xbox / PC</v>
      </c>
      <c r="C451" s="205" t="str">
        <f>IFERROR(__xludf.DUMMYFUNCTION("""COMPUTED_VALUE"""),"Yes")</f>
        <v>Yes</v>
      </c>
      <c r="D451" s="205" t="str">
        <f>IFERROR(__xludf.DUMMYFUNCTION("""COMPUTED_VALUE"""),"Active")</f>
        <v>Active</v>
      </c>
      <c r="E451" s="166">
        <f>IFERROR(__xludf.DUMMYFUNCTION("""COMPUTED_VALUE"""),45923.0)</f>
        <v>45923</v>
      </c>
      <c r="F451" s="206"/>
      <c r="G451" s="167">
        <f>IFERROR(__xludf.DUMMYFUNCTION("""COMPUTED_VALUE"""),0.7333333333333333)</f>
        <v>0.7333333333</v>
      </c>
      <c r="H451" s="166">
        <f>IFERROR(__xludf.DUMMYFUNCTION("""COMPUTED_VALUE"""),45923.0)</f>
        <v>45923</v>
      </c>
      <c r="I451" s="167">
        <f>IFERROR(__xludf.DUMMYFUNCTION("""COMPUTED_VALUE"""),0.0)</f>
        <v>0</v>
      </c>
      <c r="J451" s="168"/>
      <c r="K451" s="168"/>
      <c r="L451" s="207" t="str">
        <f>IFERROR(__xludf.DUMMYFUNCTION("""COMPUTED_VALUE"""),"RPG")</f>
        <v>RPG</v>
      </c>
      <c r="M451" s="207" t="str">
        <f>IFERROR(__xludf.DUMMYFUNCTION("""COMPUTED_VALUE"""),"Exclusive")</f>
        <v>Exclusive</v>
      </c>
    </row>
    <row r="452">
      <c r="A452" s="203" t="str">
        <f>IFERROR(__xludf.DUMMYFUNCTION("""COMPUTED_VALUE"""),"Deep Rock Galactic: Survivor")</f>
        <v>Deep Rock Galactic: Survivor</v>
      </c>
      <c r="B452" s="204" t="str">
        <f>IFERROR(__xludf.DUMMYFUNCTION("""COMPUTED_VALUE"""),"Xbox / PC")</f>
        <v>Xbox / PC</v>
      </c>
      <c r="C452" s="205" t="str">
        <f>IFERROR(__xludf.DUMMYFUNCTION("""COMPUTED_VALUE"""),"Yes")</f>
        <v>Yes</v>
      </c>
      <c r="D452" s="205" t="str">
        <f>IFERROR(__xludf.DUMMYFUNCTION("""COMPUTED_VALUE"""),"Active")</f>
        <v>Active</v>
      </c>
      <c r="E452" s="166">
        <f>IFERROR(__xludf.DUMMYFUNCTION("""COMPUTED_VALUE"""),45917.0)</f>
        <v>45917</v>
      </c>
      <c r="F452" s="206"/>
      <c r="G452" s="167">
        <f>IFERROR(__xludf.DUMMYFUNCTION("""COMPUTED_VALUE"""),0.9333333333333333)</f>
        <v>0.9333333333</v>
      </c>
      <c r="H452" s="166">
        <f>IFERROR(__xludf.DUMMYFUNCTION("""COMPUTED_VALUE"""),45917.0)</f>
        <v>45917</v>
      </c>
      <c r="I452" s="167">
        <f>IFERROR(__xludf.DUMMYFUNCTION("""COMPUTED_VALUE"""),0.0)</f>
        <v>0</v>
      </c>
      <c r="J452" s="168"/>
      <c r="K452" s="168">
        <f>IFERROR(__xludf.DUMMYFUNCTION("""COMPUTED_VALUE"""),15.0)</f>
        <v>15</v>
      </c>
      <c r="L452" s="207" t="str">
        <f>IFERROR(__xludf.DUMMYFUNCTION("""COMPUTED_VALUE"""),"Shooter")</f>
        <v>Shooter</v>
      </c>
      <c r="M452" s="207" t="str">
        <f>IFERROR(__xludf.DUMMYFUNCTION("""COMPUTED_VALUE"""),"Exclusive")</f>
        <v>Exclusive</v>
      </c>
    </row>
    <row r="453">
      <c r="A453" s="203" t="str">
        <f>IFERROR(__xludf.DUMMYFUNCTION("""COMPUTED_VALUE"""),"Hollow Knight: Silksong")</f>
        <v>Hollow Knight: Silksong</v>
      </c>
      <c r="B453" s="204" t="str">
        <f>IFERROR(__xludf.DUMMYFUNCTION("""COMPUTED_VALUE"""),"Xbox / PC")</f>
        <v>Xbox / PC</v>
      </c>
      <c r="C453" s="205" t="str">
        <f>IFERROR(__xludf.DUMMYFUNCTION("""COMPUTED_VALUE"""),"Yes")</f>
        <v>Yes</v>
      </c>
      <c r="D453" s="205" t="str">
        <f>IFERROR(__xludf.DUMMYFUNCTION("""COMPUTED_VALUE"""),"Active")</f>
        <v>Active</v>
      </c>
      <c r="E453" s="166">
        <f>IFERROR(__xludf.DUMMYFUNCTION("""COMPUTED_VALUE"""),45904.0)</f>
        <v>45904</v>
      </c>
      <c r="F453" s="206"/>
      <c r="G453" s="167">
        <f>IFERROR(__xludf.DUMMYFUNCTION("""COMPUTED_VALUE"""),1.3666666666666667)</f>
        <v>1.366666667</v>
      </c>
      <c r="H453" s="166">
        <f>IFERROR(__xludf.DUMMYFUNCTION("""COMPUTED_VALUE"""),45904.0)</f>
        <v>45904</v>
      </c>
      <c r="I453" s="167">
        <f>IFERROR(__xludf.DUMMYFUNCTION("""COMPUTED_VALUE"""),0.0)</f>
        <v>0</v>
      </c>
      <c r="J453" s="168"/>
      <c r="K453" s="168"/>
      <c r="L453" s="207" t="str">
        <f>IFERROR(__xludf.DUMMYFUNCTION("""COMPUTED_VALUE"""),"Metroidvania")</f>
        <v>Metroidvania</v>
      </c>
      <c r="M453" s="207"/>
    </row>
    <row r="454">
      <c r="A454" s="203" t="str">
        <f>IFERROR(__xludf.DUMMYFUNCTION("""COMPUTED_VALUE"""),"Caesar III")</f>
        <v>Caesar III</v>
      </c>
      <c r="B454" s="204" t="str">
        <f>IFERROR(__xludf.DUMMYFUNCTION("""COMPUTED_VALUE"""),"Xbox / PC")</f>
        <v>Xbox / PC</v>
      </c>
      <c r="C454" s="205" t="str">
        <f>IFERROR(__xludf.DUMMYFUNCTION("""COMPUTED_VALUE"""),"Yes")</f>
        <v>Yes</v>
      </c>
      <c r="D454" s="205" t="str">
        <f>IFERROR(__xludf.DUMMYFUNCTION("""COMPUTED_VALUE"""),"Active")</f>
        <v>Active</v>
      </c>
      <c r="E454" s="166">
        <f>IFERROR(__xludf.DUMMYFUNCTION("""COMPUTED_VALUE"""),45883.0)</f>
        <v>45883</v>
      </c>
      <c r="F454" s="206"/>
      <c r="G454" s="167">
        <f>IFERROR(__xludf.DUMMYFUNCTION("""COMPUTED_VALUE"""),2.033333333333333)</f>
        <v>2.033333333</v>
      </c>
      <c r="H454" s="166">
        <f>IFERROR(__xludf.DUMMYFUNCTION("""COMPUTED_VALUE"""),36068.0)</f>
        <v>36068</v>
      </c>
      <c r="I454" s="167">
        <f>IFERROR(__xludf.DUMMYFUNCTION("""COMPUTED_VALUE"""),26.872222222222224)</f>
        <v>26.87222222</v>
      </c>
      <c r="J454" s="168"/>
      <c r="K454" s="168"/>
      <c r="L454" s="207"/>
      <c r="M454" s="207"/>
    </row>
    <row r="455">
      <c r="A455" s="203" t="str">
        <f>IFERROR(__xludf.DUMMYFUNCTION("""COMPUTED_VALUE"""),"Climber 5")</f>
        <v>Climber 5</v>
      </c>
      <c r="B455" s="204" t="str">
        <f>IFERROR(__xludf.DUMMYFUNCTION("""COMPUTED_VALUE"""),"Xbox / PC")</f>
        <v>Xbox / PC</v>
      </c>
      <c r="C455" s="205" t="str">
        <f>IFERROR(__xludf.DUMMYFUNCTION("""COMPUTED_VALUE"""),"Yes")</f>
        <v>Yes</v>
      </c>
      <c r="D455" s="205" t="str">
        <f>IFERROR(__xludf.DUMMYFUNCTION("""COMPUTED_VALUE"""),"Active")</f>
        <v>Active</v>
      </c>
      <c r="E455" s="166">
        <f>IFERROR(__xludf.DUMMYFUNCTION("""COMPUTED_VALUE"""),45883.0)</f>
        <v>45883</v>
      </c>
      <c r="F455" s="206"/>
      <c r="G455" s="167">
        <f>IFERROR(__xludf.DUMMYFUNCTION("""COMPUTED_VALUE"""),2.033333333333333)</f>
        <v>2.033333333</v>
      </c>
      <c r="H455" s="166">
        <f>IFERROR(__xludf.DUMMYFUNCTION("""COMPUTED_VALUE"""),31778.0)</f>
        <v>31778</v>
      </c>
      <c r="I455" s="167">
        <f>IFERROR(__xludf.DUMMYFUNCTION("""COMPUTED_VALUE"""),38.61944444444445)</f>
        <v>38.61944444</v>
      </c>
      <c r="J455" s="168"/>
      <c r="K455" s="168"/>
      <c r="L455" s="207"/>
      <c r="M455" s="207"/>
    </row>
    <row r="456">
      <c r="A456" s="203" t="str">
        <f>IFERROR(__xludf.DUMMYFUNCTION("""COMPUTED_VALUE"""),"The Colonel's Bequest")</f>
        <v>The Colonel's Bequest</v>
      </c>
      <c r="B456" s="204" t="str">
        <f>IFERROR(__xludf.DUMMYFUNCTION("""COMPUTED_VALUE"""),"Xbox / PC")</f>
        <v>Xbox / PC</v>
      </c>
      <c r="C456" s="205" t="str">
        <f>IFERROR(__xludf.DUMMYFUNCTION("""COMPUTED_VALUE"""),"Yes")</f>
        <v>Yes</v>
      </c>
      <c r="D456" s="205" t="str">
        <f>IFERROR(__xludf.DUMMYFUNCTION("""COMPUTED_VALUE"""),"Active")</f>
        <v>Active</v>
      </c>
      <c r="E456" s="166">
        <f>IFERROR(__xludf.DUMMYFUNCTION("""COMPUTED_VALUE"""),45883.0)</f>
        <v>45883</v>
      </c>
      <c r="F456" s="206"/>
      <c r="G456" s="167">
        <f>IFERROR(__xludf.DUMMYFUNCTION("""COMPUTED_VALUE"""),2.033333333333333)</f>
        <v>2.033333333</v>
      </c>
      <c r="H456" s="166">
        <f>IFERROR(__xludf.DUMMYFUNCTION("""COMPUTED_VALUE"""),32782.0)</f>
        <v>32782</v>
      </c>
      <c r="I456" s="167">
        <f>IFERROR(__xludf.DUMMYFUNCTION("""COMPUTED_VALUE"""),35.86944444444445)</f>
        <v>35.86944444</v>
      </c>
      <c r="J456" s="168"/>
      <c r="K456" s="168"/>
      <c r="L456" s="207"/>
      <c r="M456" s="207"/>
    </row>
    <row r="457">
      <c r="A457" s="203" t="str">
        <f>IFERROR(__xludf.DUMMYFUNCTION("""COMPUTED_VALUE"""),"Private Eye")</f>
        <v>Private Eye</v>
      </c>
      <c r="B457" s="204" t="str">
        <f>IFERROR(__xludf.DUMMYFUNCTION("""COMPUTED_VALUE"""),"Xbox / PC")</f>
        <v>Xbox / PC</v>
      </c>
      <c r="C457" s="205" t="str">
        <f>IFERROR(__xludf.DUMMYFUNCTION("""COMPUTED_VALUE"""),"Yes")</f>
        <v>Yes</v>
      </c>
      <c r="D457" s="205" t="str">
        <f>IFERROR(__xludf.DUMMYFUNCTION("""COMPUTED_VALUE"""),"Active")</f>
        <v>Active</v>
      </c>
      <c r="E457" s="166">
        <f>IFERROR(__xludf.DUMMYFUNCTION("""COMPUTED_VALUE"""),45883.0)</f>
        <v>45883</v>
      </c>
      <c r="F457" s="206"/>
      <c r="G457" s="167">
        <f>IFERROR(__xludf.DUMMYFUNCTION("""COMPUTED_VALUE"""),2.033333333333333)</f>
        <v>2.033333333</v>
      </c>
      <c r="H457" s="166">
        <f>IFERROR(__xludf.DUMMYFUNCTION("""COMPUTED_VALUE"""),30713.0)</f>
        <v>30713</v>
      </c>
      <c r="I457" s="167">
        <f>IFERROR(__xludf.DUMMYFUNCTION("""COMPUTED_VALUE"""),41.53611111111111)</f>
        <v>41.53611111</v>
      </c>
      <c r="J457" s="168"/>
      <c r="K457" s="168"/>
      <c r="L457" s="207"/>
      <c r="M457" s="207"/>
    </row>
    <row r="458">
      <c r="A458" s="203" t="str">
        <f>IFERROR(__xludf.DUMMYFUNCTION("""COMPUTED_VALUE"""),"Oystron")</f>
        <v>Oystron</v>
      </c>
      <c r="B458" s="204" t="str">
        <f>IFERROR(__xludf.DUMMYFUNCTION("""COMPUTED_VALUE"""),"Xbox / PC")</f>
        <v>Xbox / PC</v>
      </c>
      <c r="C458" s="205" t="str">
        <f>IFERROR(__xludf.DUMMYFUNCTION("""COMPUTED_VALUE"""),"Yes")</f>
        <v>Yes</v>
      </c>
      <c r="D458" s="205" t="str">
        <f>IFERROR(__xludf.DUMMYFUNCTION("""COMPUTED_VALUE"""),"Active")</f>
        <v>Active</v>
      </c>
      <c r="E458" s="166">
        <f>IFERROR(__xludf.DUMMYFUNCTION("""COMPUTED_VALUE"""),45883.0)</f>
        <v>45883</v>
      </c>
      <c r="F458" s="206"/>
      <c r="G458" s="167">
        <f>IFERROR(__xludf.DUMMYFUNCTION("""COMPUTED_VALUE"""),2.033333333333333)</f>
        <v>2.033333333</v>
      </c>
      <c r="H458" s="166">
        <f>IFERROR(__xludf.DUMMYFUNCTION("""COMPUTED_VALUE"""),35431.0)</f>
        <v>35431</v>
      </c>
      <c r="I458" s="167">
        <f>IFERROR(__xludf.DUMMYFUNCTION("""COMPUTED_VALUE"""),28.619444444444444)</f>
        <v>28.61944444</v>
      </c>
      <c r="J458" s="168"/>
      <c r="K458" s="168"/>
      <c r="L458" s="207"/>
      <c r="M458" s="207"/>
    </row>
    <row r="459">
      <c r="A459" s="203" t="str">
        <f>IFERROR(__xludf.DUMMYFUNCTION("""COMPUTED_VALUE"""),"Shootin' Gallery")</f>
        <v>Shootin' Gallery</v>
      </c>
      <c r="B459" s="204" t="str">
        <f>IFERROR(__xludf.DUMMYFUNCTION("""COMPUTED_VALUE"""),"Xbox / PC")</f>
        <v>Xbox / PC</v>
      </c>
      <c r="C459" s="205" t="str">
        <f>IFERROR(__xludf.DUMMYFUNCTION("""COMPUTED_VALUE"""),"Yes")</f>
        <v>Yes</v>
      </c>
      <c r="D459" s="205" t="str">
        <f>IFERROR(__xludf.DUMMYFUNCTION("""COMPUTED_VALUE"""),"Active")</f>
        <v>Active</v>
      </c>
      <c r="E459" s="166">
        <f>IFERROR(__xludf.DUMMYFUNCTION("""COMPUTED_VALUE"""),45883.0)</f>
        <v>45883</v>
      </c>
      <c r="F459" s="206"/>
      <c r="G459" s="167">
        <f>IFERROR(__xludf.DUMMYFUNCTION("""COMPUTED_VALUE"""),2.033333333333333)</f>
        <v>2.033333333</v>
      </c>
      <c r="H459" s="166">
        <f>IFERROR(__xludf.DUMMYFUNCTION("""COMPUTED_VALUE"""),29952.0)</f>
        <v>29952</v>
      </c>
      <c r="I459" s="167">
        <f>IFERROR(__xludf.DUMMYFUNCTION("""COMPUTED_VALUE"""),43.61944444444445)</f>
        <v>43.61944444</v>
      </c>
      <c r="J459" s="168"/>
      <c r="K459" s="168"/>
      <c r="L459" s="207"/>
      <c r="M459" s="207"/>
    </row>
    <row r="460">
      <c r="A460" s="203" t="str">
        <f>IFERROR(__xludf.DUMMYFUNCTION("""COMPUTED_VALUE"""),"Wing War")</f>
        <v>Wing War</v>
      </c>
      <c r="B460" s="204" t="str">
        <f>IFERROR(__xludf.DUMMYFUNCTION("""COMPUTED_VALUE"""),"Xbox / PC")</f>
        <v>Xbox / PC</v>
      </c>
      <c r="C460" s="205" t="str">
        <f>IFERROR(__xludf.DUMMYFUNCTION("""COMPUTED_VALUE"""),"Yes")</f>
        <v>Yes</v>
      </c>
      <c r="D460" s="205" t="str">
        <f>IFERROR(__xludf.DUMMYFUNCTION("""COMPUTED_VALUE"""),"Active")</f>
        <v>Active</v>
      </c>
      <c r="E460" s="166">
        <f>IFERROR(__xludf.DUMMYFUNCTION("""COMPUTED_VALUE"""),45883.0)</f>
        <v>45883</v>
      </c>
      <c r="F460" s="206"/>
      <c r="G460" s="167">
        <f>IFERROR(__xludf.DUMMYFUNCTION("""COMPUTED_VALUE"""),2.033333333333333)</f>
        <v>2.033333333</v>
      </c>
      <c r="H460" s="166">
        <f>IFERROR(__xludf.DUMMYFUNCTION("""COMPUTED_VALUE"""),30681.0)</f>
        <v>30681</v>
      </c>
      <c r="I460" s="167">
        <f>IFERROR(__xludf.DUMMYFUNCTION("""COMPUTED_VALUE"""),41.62222222222222)</f>
        <v>41.62222222</v>
      </c>
      <c r="J460" s="168"/>
      <c r="K460" s="168"/>
      <c r="L460" s="207"/>
      <c r="M460" s="207"/>
    </row>
    <row r="461">
      <c r="A461" s="203" t="str">
        <f>IFERROR(__xludf.DUMMYFUNCTION("""COMPUTED_VALUE"""),"Grounded 2 (Game Preview)")</f>
        <v>Grounded 2 (Game Preview)</v>
      </c>
      <c r="B461" s="204" t="str">
        <f>IFERROR(__xludf.DUMMYFUNCTION("""COMPUTED_VALUE"""),"Xbox / PC")</f>
        <v>Xbox / PC</v>
      </c>
      <c r="C461" s="205" t="str">
        <f>IFERROR(__xludf.DUMMYFUNCTION("""COMPUTED_VALUE"""),"Yes")</f>
        <v>Yes</v>
      </c>
      <c r="D461" s="205" t="str">
        <f>IFERROR(__xludf.DUMMYFUNCTION("""COMPUTED_VALUE"""),"Active")</f>
        <v>Active</v>
      </c>
      <c r="E461" s="166">
        <f>IFERROR(__xludf.DUMMYFUNCTION("""COMPUTED_VALUE"""),45867.0)</f>
        <v>45867</v>
      </c>
      <c r="F461" s="206"/>
      <c r="G461" s="167">
        <f>IFERROR(__xludf.DUMMYFUNCTION("""COMPUTED_VALUE"""),2.533333333333333)</f>
        <v>2.533333333</v>
      </c>
      <c r="H461" s="166">
        <f>IFERROR(__xludf.DUMMYFUNCTION("""COMPUTED_VALUE"""),45867.0)</f>
        <v>45867</v>
      </c>
      <c r="I461" s="167">
        <f>IFERROR(__xludf.DUMMYFUNCTION("""COMPUTED_VALUE"""),0.0)</f>
        <v>0</v>
      </c>
      <c r="J461" s="168"/>
      <c r="K461" s="168"/>
      <c r="L461" s="207" t="str">
        <f>IFERROR(__xludf.DUMMYFUNCTION("""COMPUTED_VALUE"""),"Sandbox")</f>
        <v>Sandbox</v>
      </c>
      <c r="M461" s="207" t="str">
        <f>IFERROR(__xludf.DUMMYFUNCTION("""COMPUTED_VALUE"""),"Exclusive")</f>
        <v>Exclusive</v>
      </c>
    </row>
    <row r="462">
      <c r="A462" s="203" t="str">
        <f>IFERROR(__xludf.DUMMYFUNCTION("""COMPUTED_VALUE"""),"Descenders Next (Game Preview)")</f>
        <v>Descenders Next (Game Preview)</v>
      </c>
      <c r="B462" s="204" t="str">
        <f>IFERROR(__xludf.DUMMYFUNCTION("""COMPUTED_VALUE"""),"Xbox / PC")</f>
        <v>Xbox / PC</v>
      </c>
      <c r="C462" s="205" t="str">
        <f>IFERROR(__xludf.DUMMYFUNCTION("""COMPUTED_VALUE"""),"Yes")</f>
        <v>Yes</v>
      </c>
      <c r="D462" s="205" t="str">
        <f>IFERROR(__xludf.DUMMYFUNCTION("""COMPUTED_VALUE"""),"Active")</f>
        <v>Active</v>
      </c>
      <c r="E462" s="166">
        <f>IFERROR(__xludf.DUMMYFUNCTION("""COMPUTED_VALUE"""),45859.0)</f>
        <v>45859</v>
      </c>
      <c r="F462" s="206"/>
      <c r="G462" s="167">
        <f>IFERROR(__xludf.DUMMYFUNCTION("""COMPUTED_VALUE"""),2.8)</f>
        <v>2.8</v>
      </c>
      <c r="H462" s="166">
        <f>IFERROR(__xludf.DUMMYFUNCTION("""COMPUTED_VALUE"""),45859.0)</f>
        <v>45859</v>
      </c>
      <c r="I462" s="167">
        <f>IFERROR(__xludf.DUMMYFUNCTION("""COMPUTED_VALUE"""),0.0)</f>
        <v>0</v>
      </c>
      <c r="J462" s="168"/>
      <c r="K462" s="168"/>
      <c r="L462" s="207" t="str">
        <f>IFERROR(__xludf.DUMMYFUNCTION("""COMPUTED_VALUE"""),"Sports")</f>
        <v>Sports</v>
      </c>
      <c r="M462" s="207"/>
    </row>
    <row r="463">
      <c r="A463" s="203" t="str">
        <f>IFERROR(__xludf.DUMMYFUNCTION("""COMPUTED_VALUE"""),"Caesar")</f>
        <v>Caesar</v>
      </c>
      <c r="B463" s="204" t="str">
        <f>IFERROR(__xludf.DUMMYFUNCTION("""COMPUTED_VALUE"""),"Xbox / PC")</f>
        <v>Xbox / PC</v>
      </c>
      <c r="C463" s="205" t="str">
        <f>IFERROR(__xludf.DUMMYFUNCTION("""COMPUTED_VALUE"""),"Yes")</f>
        <v>Yes</v>
      </c>
      <c r="D463" s="205" t="str">
        <f>IFERROR(__xludf.DUMMYFUNCTION("""COMPUTED_VALUE"""),"Active")</f>
        <v>Active</v>
      </c>
      <c r="E463" s="166">
        <f>IFERROR(__xludf.DUMMYFUNCTION("""COMPUTED_VALUE"""),45859.0)</f>
        <v>45859</v>
      </c>
      <c r="F463" s="206"/>
      <c r="G463" s="167">
        <f>IFERROR(__xludf.DUMMYFUNCTION("""COMPUTED_VALUE"""),2.8)</f>
        <v>2.8</v>
      </c>
      <c r="H463" s="166">
        <f>IFERROR(__xludf.DUMMYFUNCTION("""COMPUTED_VALUE"""),33604.0)</f>
        <v>33604</v>
      </c>
      <c r="I463" s="167">
        <f>IFERROR(__xludf.DUMMYFUNCTION("""COMPUTED_VALUE"""),33.55555555555556)</f>
        <v>33.55555556</v>
      </c>
      <c r="J463" s="168"/>
      <c r="K463" s="168"/>
      <c r="L463" s="207"/>
      <c r="M463" s="207"/>
    </row>
    <row r="464">
      <c r="A464" s="203" t="str">
        <f>IFERROR(__xludf.DUMMYFUNCTION("""COMPUTED_VALUE"""),"Conquests of Camelot: The Search for the Grail")</f>
        <v>Conquests of Camelot: The Search for the Grail</v>
      </c>
      <c r="B464" s="204" t="str">
        <f>IFERROR(__xludf.DUMMYFUNCTION("""COMPUTED_VALUE"""),"Xbox / PC")</f>
        <v>Xbox / PC</v>
      </c>
      <c r="C464" s="205" t="str">
        <f>IFERROR(__xludf.DUMMYFUNCTION("""COMPUTED_VALUE"""),"Yes")</f>
        <v>Yes</v>
      </c>
      <c r="D464" s="205" t="str">
        <f>IFERROR(__xludf.DUMMYFUNCTION("""COMPUTED_VALUE"""),"Active")</f>
        <v>Active</v>
      </c>
      <c r="E464" s="166">
        <f>IFERROR(__xludf.DUMMYFUNCTION("""COMPUTED_VALUE"""),45859.0)</f>
        <v>45859</v>
      </c>
      <c r="F464" s="206"/>
      <c r="G464" s="167">
        <f>IFERROR(__xludf.DUMMYFUNCTION("""COMPUTED_VALUE"""),2.8)</f>
        <v>2.8</v>
      </c>
      <c r="H464" s="166">
        <f>IFERROR(__xludf.DUMMYFUNCTION("""COMPUTED_VALUE"""),32874.0)</f>
        <v>32874</v>
      </c>
      <c r="I464" s="167">
        <f>IFERROR(__xludf.DUMMYFUNCTION("""COMPUTED_VALUE"""),35.55555555555556)</f>
        <v>35.55555556</v>
      </c>
      <c r="J464" s="168"/>
      <c r="K464" s="168"/>
      <c r="L464" s="207"/>
      <c r="M464" s="207"/>
    </row>
    <row r="465">
      <c r="A465" s="203" t="str">
        <f>IFERROR(__xludf.DUMMYFUNCTION("""COMPUTED_VALUE"""),"Gabriel Knight: Sins of the Fathers")</f>
        <v>Gabriel Knight: Sins of the Fathers</v>
      </c>
      <c r="B465" s="204" t="str">
        <f>IFERROR(__xludf.DUMMYFUNCTION("""COMPUTED_VALUE"""),"Xbox / PC")</f>
        <v>Xbox / PC</v>
      </c>
      <c r="C465" s="205" t="str">
        <f>IFERROR(__xludf.DUMMYFUNCTION("""COMPUTED_VALUE"""),"Yes")</f>
        <v>Yes</v>
      </c>
      <c r="D465" s="205" t="str">
        <f>IFERROR(__xludf.DUMMYFUNCTION("""COMPUTED_VALUE"""),"Active")</f>
        <v>Active</v>
      </c>
      <c r="E465" s="166">
        <f>IFERROR(__xludf.DUMMYFUNCTION("""COMPUTED_VALUE"""),45859.0)</f>
        <v>45859</v>
      </c>
      <c r="F465" s="206"/>
      <c r="G465" s="167">
        <f>IFERROR(__xludf.DUMMYFUNCTION("""COMPUTED_VALUE"""),2.8)</f>
        <v>2.8</v>
      </c>
      <c r="H465" s="166">
        <f>IFERROR(__xludf.DUMMYFUNCTION("""COMPUTED_VALUE"""),33970.0)</f>
        <v>33970</v>
      </c>
      <c r="I465" s="167">
        <f>IFERROR(__xludf.DUMMYFUNCTION("""COMPUTED_VALUE"""),32.55555555555556)</f>
        <v>32.55555556</v>
      </c>
      <c r="J465" s="168"/>
      <c r="K465" s="168"/>
      <c r="L465" s="207"/>
      <c r="M465" s="207"/>
    </row>
    <row r="466">
      <c r="A466" s="203" t="str">
        <f>IFERROR(__xludf.DUMMYFUNCTION("""COMPUTED_VALUE"""),"Hard Head")</f>
        <v>Hard Head</v>
      </c>
      <c r="B466" s="204" t="str">
        <f>IFERROR(__xludf.DUMMYFUNCTION("""COMPUTED_VALUE"""),"Xbox / PC")</f>
        <v>Xbox / PC</v>
      </c>
      <c r="C466" s="205" t="str">
        <f>IFERROR(__xludf.DUMMYFUNCTION("""COMPUTED_VALUE"""),"Yes")</f>
        <v>Yes</v>
      </c>
      <c r="D466" s="205" t="str">
        <f>IFERROR(__xludf.DUMMYFUNCTION("""COMPUTED_VALUE"""),"Active")</f>
        <v>Active</v>
      </c>
      <c r="E466" s="166">
        <f>IFERROR(__xludf.DUMMYFUNCTION("""COMPUTED_VALUE"""),45859.0)</f>
        <v>45859</v>
      </c>
      <c r="F466" s="206"/>
      <c r="G466" s="167">
        <f>IFERROR(__xludf.DUMMYFUNCTION("""COMPUTED_VALUE"""),2.8)</f>
        <v>2.8</v>
      </c>
      <c r="H466" s="166">
        <f>IFERROR(__xludf.DUMMYFUNCTION("""COMPUTED_VALUE"""),30317.0)</f>
        <v>30317</v>
      </c>
      <c r="I466" s="167">
        <f>IFERROR(__xludf.DUMMYFUNCTION("""COMPUTED_VALUE"""),42.55555555555556)</f>
        <v>42.55555556</v>
      </c>
      <c r="J466" s="168"/>
      <c r="K466" s="168"/>
      <c r="L466" s="207"/>
      <c r="M466" s="207"/>
    </row>
    <row r="467">
      <c r="A467" s="203" t="str">
        <f>IFERROR(__xludf.DUMMYFUNCTION("""COMPUTED_VALUE"""),"Okie Dokie")</f>
        <v>Okie Dokie</v>
      </c>
      <c r="B467" s="204" t="str">
        <f>IFERROR(__xludf.DUMMYFUNCTION("""COMPUTED_VALUE"""),"Xbox / PC")</f>
        <v>Xbox / PC</v>
      </c>
      <c r="C467" s="205" t="str">
        <f>IFERROR(__xludf.DUMMYFUNCTION("""COMPUTED_VALUE"""),"Yes")</f>
        <v>Yes</v>
      </c>
      <c r="D467" s="205" t="str">
        <f>IFERROR(__xludf.DUMMYFUNCTION("""COMPUTED_VALUE"""),"Active")</f>
        <v>Active</v>
      </c>
      <c r="E467" s="166">
        <f>IFERROR(__xludf.DUMMYFUNCTION("""COMPUTED_VALUE"""),45859.0)</f>
        <v>45859</v>
      </c>
      <c r="F467" s="206"/>
      <c r="G467" s="167">
        <f>IFERROR(__xludf.DUMMYFUNCTION("""COMPUTED_VALUE"""),2.8)</f>
        <v>2.8</v>
      </c>
      <c r="H467" s="166">
        <f>IFERROR(__xludf.DUMMYFUNCTION("""COMPUTED_VALUE"""),35065.0)</f>
        <v>35065</v>
      </c>
      <c r="I467" s="167">
        <f>IFERROR(__xludf.DUMMYFUNCTION("""COMPUTED_VALUE"""),29.555555555555557)</f>
        <v>29.55555556</v>
      </c>
      <c r="J467" s="168"/>
      <c r="K467" s="168"/>
      <c r="L467" s="207"/>
      <c r="M467" s="207"/>
    </row>
    <row r="468">
      <c r="A468" s="203" t="str">
        <f>IFERROR(__xludf.DUMMYFUNCTION("""COMPUTED_VALUE"""),"Skate Boardin'")</f>
        <v>Skate Boardin'</v>
      </c>
      <c r="B468" s="204" t="str">
        <f>IFERROR(__xludf.DUMMYFUNCTION("""COMPUTED_VALUE"""),"Xbox / PC")</f>
        <v>Xbox / PC</v>
      </c>
      <c r="C468" s="205" t="str">
        <f>IFERROR(__xludf.DUMMYFUNCTION("""COMPUTED_VALUE"""),"Yes")</f>
        <v>Yes</v>
      </c>
      <c r="D468" s="205" t="str">
        <f>IFERROR(__xludf.DUMMYFUNCTION("""COMPUTED_VALUE"""),"Active")</f>
        <v>Active</v>
      </c>
      <c r="E468" s="166">
        <f>IFERROR(__xludf.DUMMYFUNCTION("""COMPUTED_VALUE"""),45859.0)</f>
        <v>45859</v>
      </c>
      <c r="F468" s="206"/>
      <c r="G468" s="167">
        <f>IFERROR(__xludf.DUMMYFUNCTION("""COMPUTED_VALUE"""),2.8)</f>
        <v>2.8</v>
      </c>
      <c r="H468" s="166">
        <f>IFERROR(__xludf.DUMMYFUNCTION("""COMPUTED_VALUE"""),31972.0)</f>
        <v>31972</v>
      </c>
      <c r="I468" s="167">
        <f>IFERROR(__xludf.DUMMYFUNCTION("""COMPUTED_VALUE"""),38.019444444444446)</f>
        <v>38.01944444</v>
      </c>
      <c r="J468" s="168"/>
      <c r="K468" s="168"/>
      <c r="L468" s="207"/>
      <c r="M468" s="207"/>
    </row>
    <row r="469">
      <c r="A469" s="203" t="str">
        <f>IFERROR(__xludf.DUMMYFUNCTION("""COMPUTED_VALUE"""),"Skeleton+")</f>
        <v>Skeleton+</v>
      </c>
      <c r="B469" s="204" t="str">
        <f>IFERROR(__xludf.DUMMYFUNCTION("""COMPUTED_VALUE"""),"Xbox / PC")</f>
        <v>Xbox / PC</v>
      </c>
      <c r="C469" s="205" t="str">
        <f>IFERROR(__xludf.DUMMYFUNCTION("""COMPUTED_VALUE"""),"Yes")</f>
        <v>Yes</v>
      </c>
      <c r="D469" s="205" t="str">
        <f>IFERROR(__xludf.DUMMYFUNCTION("""COMPUTED_VALUE"""),"Active")</f>
        <v>Active</v>
      </c>
      <c r="E469" s="166">
        <f>IFERROR(__xludf.DUMMYFUNCTION("""COMPUTED_VALUE"""),45859.0)</f>
        <v>45859</v>
      </c>
      <c r="F469" s="206"/>
      <c r="G469" s="167">
        <f>IFERROR(__xludf.DUMMYFUNCTION("""COMPUTED_VALUE"""),2.8)</f>
        <v>2.8</v>
      </c>
      <c r="H469" s="166">
        <f>IFERROR(__xludf.DUMMYFUNCTION("""COMPUTED_VALUE"""),37622.0)</f>
        <v>37622</v>
      </c>
      <c r="I469" s="167">
        <f>IFERROR(__xludf.DUMMYFUNCTION("""COMPUTED_VALUE"""),22.555555555555557)</f>
        <v>22.55555556</v>
      </c>
      <c r="J469" s="168"/>
      <c r="K469" s="168"/>
      <c r="L469" s="207"/>
      <c r="M469" s="207"/>
    </row>
    <row r="470">
      <c r="A470" s="203" t="str">
        <f>IFERROR(__xludf.DUMMYFUNCTION("""COMPUTED_VALUE"""),"Cosmic Commuter")</f>
        <v>Cosmic Commuter</v>
      </c>
      <c r="B470" s="204" t="str">
        <f>IFERROR(__xludf.DUMMYFUNCTION("""COMPUTED_VALUE"""),"Xbox / PC")</f>
        <v>Xbox / PC</v>
      </c>
      <c r="C470" s="205" t="str">
        <f>IFERROR(__xludf.DUMMYFUNCTION("""COMPUTED_VALUE"""),"Yes")</f>
        <v>Yes</v>
      </c>
      <c r="D470" s="205" t="str">
        <f>IFERROR(__xludf.DUMMYFUNCTION("""COMPUTED_VALUE"""),"Active")</f>
        <v>Active</v>
      </c>
      <c r="E470" s="166">
        <f>IFERROR(__xludf.DUMMYFUNCTION("""COMPUTED_VALUE"""),45839.0)</f>
        <v>45839</v>
      </c>
      <c r="F470" s="206"/>
      <c r="G470" s="167">
        <f>IFERROR(__xludf.DUMMYFUNCTION("""COMPUTED_VALUE"""),3.4666666666666663)</f>
        <v>3.466666667</v>
      </c>
      <c r="H470" s="166">
        <f>IFERROR(__xludf.DUMMYFUNCTION("""COMPUTED_VALUE"""),31048.0)</f>
        <v>31048</v>
      </c>
      <c r="I470" s="167">
        <f>IFERROR(__xludf.DUMMYFUNCTION("""COMPUTED_VALUE"""),40.5)</f>
        <v>40.5</v>
      </c>
      <c r="J470" s="168"/>
      <c r="K470" s="168"/>
      <c r="L470" s="207"/>
      <c r="M470" s="207"/>
    </row>
    <row r="471">
      <c r="A471" s="203" t="str">
        <f>IFERROR(__xludf.DUMMYFUNCTION("""COMPUTED_VALUE"""),"Heart of China")</f>
        <v>Heart of China</v>
      </c>
      <c r="B471" s="204" t="str">
        <f>IFERROR(__xludf.DUMMYFUNCTION("""COMPUTED_VALUE"""),"Xbox / PC")</f>
        <v>Xbox / PC</v>
      </c>
      <c r="C471" s="205" t="str">
        <f>IFERROR(__xludf.DUMMYFUNCTION("""COMPUTED_VALUE"""),"Yes")</f>
        <v>Yes</v>
      </c>
      <c r="D471" s="205" t="str">
        <f>IFERROR(__xludf.DUMMYFUNCTION("""COMPUTED_VALUE"""),"Active")</f>
        <v>Active</v>
      </c>
      <c r="E471" s="166">
        <f>IFERROR(__xludf.DUMMYFUNCTION("""COMPUTED_VALUE"""),45839.0)</f>
        <v>45839</v>
      </c>
      <c r="F471" s="206"/>
      <c r="G471" s="167">
        <f>IFERROR(__xludf.DUMMYFUNCTION("""COMPUTED_VALUE"""),3.4666666666666663)</f>
        <v>3.466666667</v>
      </c>
      <c r="H471" s="166">
        <f>IFERROR(__xludf.DUMMYFUNCTION("""COMPUTED_VALUE"""),33239.0)</f>
        <v>33239</v>
      </c>
      <c r="I471" s="167">
        <f>IFERROR(__xludf.DUMMYFUNCTION("""COMPUTED_VALUE"""),34.5)</f>
        <v>34.5</v>
      </c>
      <c r="J471" s="168"/>
      <c r="K471" s="168">
        <f>IFERROR(__xludf.DUMMYFUNCTION("""COMPUTED_VALUE"""),4.0)</f>
        <v>4</v>
      </c>
      <c r="L471" s="207"/>
      <c r="M471" s="207"/>
    </row>
    <row r="472">
      <c r="A472" s="203" t="str">
        <f>IFERROR(__xludf.DUMMYFUNCTION("""COMPUTED_VALUE"""),"Skiing")</f>
        <v>Skiing</v>
      </c>
      <c r="B472" s="204" t="str">
        <f>IFERROR(__xludf.DUMMYFUNCTION("""COMPUTED_VALUE"""),"Xbox / PC")</f>
        <v>Xbox / PC</v>
      </c>
      <c r="C472" s="205" t="str">
        <f>IFERROR(__xludf.DUMMYFUNCTION("""COMPUTED_VALUE"""),"Yes")</f>
        <v>Yes</v>
      </c>
      <c r="D472" s="205" t="str">
        <f>IFERROR(__xludf.DUMMYFUNCTION("""COMPUTED_VALUE"""),"Active")</f>
        <v>Active</v>
      </c>
      <c r="E472" s="166">
        <f>IFERROR(__xludf.DUMMYFUNCTION("""COMPUTED_VALUE"""),45839.0)</f>
        <v>45839</v>
      </c>
      <c r="F472" s="206"/>
      <c r="G472" s="167">
        <f>IFERROR(__xludf.DUMMYFUNCTION("""COMPUTED_VALUE"""),3.4666666666666663)</f>
        <v>3.466666667</v>
      </c>
      <c r="H472" s="166">
        <f>IFERROR(__xludf.DUMMYFUNCTION("""COMPUTED_VALUE"""),29221.0)</f>
        <v>29221</v>
      </c>
      <c r="I472" s="167">
        <f>IFERROR(__xludf.DUMMYFUNCTION("""COMPUTED_VALUE"""),45.5)</f>
        <v>45.5</v>
      </c>
      <c r="J472" s="168"/>
      <c r="K472" s="168">
        <f>IFERROR(__xludf.DUMMYFUNCTION("""COMPUTED_VALUE"""),1.0)</f>
        <v>1</v>
      </c>
      <c r="L472" s="207"/>
      <c r="M472" s="207"/>
    </row>
    <row r="473">
      <c r="A473" s="203" t="str">
        <f>IFERROR(__xludf.DUMMYFUNCTION("""COMPUTED_VALUE"""),"Solar Storm")</f>
        <v>Solar Storm</v>
      </c>
      <c r="B473" s="204" t="str">
        <f>IFERROR(__xludf.DUMMYFUNCTION("""COMPUTED_VALUE"""),"Xbox / PC")</f>
        <v>Xbox / PC</v>
      </c>
      <c r="C473" s="205" t="str">
        <f>IFERROR(__xludf.DUMMYFUNCTION("""COMPUTED_VALUE"""),"Yes")</f>
        <v>Yes</v>
      </c>
      <c r="D473" s="205" t="str">
        <f>IFERROR(__xludf.DUMMYFUNCTION("""COMPUTED_VALUE"""),"Active")</f>
        <v>Active</v>
      </c>
      <c r="E473" s="166">
        <f>IFERROR(__xludf.DUMMYFUNCTION("""COMPUTED_VALUE"""),45839.0)</f>
        <v>45839</v>
      </c>
      <c r="F473" s="206"/>
      <c r="G473" s="167">
        <f>IFERROR(__xludf.DUMMYFUNCTION("""COMPUTED_VALUE"""),3.4666666666666663)</f>
        <v>3.466666667</v>
      </c>
      <c r="H473" s="166">
        <f>IFERROR(__xludf.DUMMYFUNCTION("""COMPUTED_VALUE"""),30317.0)</f>
        <v>30317</v>
      </c>
      <c r="I473" s="167">
        <f>IFERROR(__xludf.DUMMYFUNCTION("""COMPUTED_VALUE"""),42.5)</f>
        <v>42.5</v>
      </c>
      <c r="J473" s="168"/>
      <c r="K473" s="168"/>
      <c r="L473" s="207"/>
      <c r="M473" s="207"/>
    </row>
    <row r="474">
      <c r="A474" s="203" t="str">
        <f>IFERROR(__xludf.DUMMYFUNCTION("""COMPUTED_VALUE"""),"Subterranea")</f>
        <v>Subterranea</v>
      </c>
      <c r="B474" s="204" t="str">
        <f>IFERROR(__xludf.DUMMYFUNCTION("""COMPUTED_VALUE"""),"Xbox / PC")</f>
        <v>Xbox / PC</v>
      </c>
      <c r="C474" s="205" t="str">
        <f>IFERROR(__xludf.DUMMYFUNCTION("""COMPUTED_VALUE"""),"Yes")</f>
        <v>Yes</v>
      </c>
      <c r="D474" s="205" t="str">
        <f>IFERROR(__xludf.DUMMYFUNCTION("""COMPUTED_VALUE"""),"Active")</f>
        <v>Active</v>
      </c>
      <c r="E474" s="166">
        <f>IFERROR(__xludf.DUMMYFUNCTION("""COMPUTED_VALUE"""),45839.0)</f>
        <v>45839</v>
      </c>
      <c r="F474" s="206"/>
      <c r="G474" s="167">
        <f>IFERROR(__xludf.DUMMYFUNCTION("""COMPUTED_VALUE"""),3.4666666666666663)</f>
        <v>3.466666667</v>
      </c>
      <c r="H474" s="166">
        <f>IFERROR(__xludf.DUMMYFUNCTION("""COMPUTED_VALUE"""),30317.0)</f>
        <v>30317</v>
      </c>
      <c r="I474" s="167">
        <f>IFERROR(__xludf.DUMMYFUNCTION("""COMPUTED_VALUE"""),42.5)</f>
        <v>42.5</v>
      </c>
      <c r="J474" s="168"/>
      <c r="K474" s="168"/>
      <c r="L474" s="207"/>
      <c r="M474" s="207"/>
    </row>
    <row r="475">
      <c r="A475" s="203" t="str">
        <f>IFERROR(__xludf.DUMMYFUNCTION("""COMPUTED_VALUE"""),"Activision Prototype #1")</f>
        <v>Activision Prototype #1</v>
      </c>
      <c r="B475" s="204" t="str">
        <f>IFERROR(__xludf.DUMMYFUNCTION("""COMPUTED_VALUE"""),"Xbox / PC")</f>
        <v>Xbox / PC</v>
      </c>
      <c r="C475" s="205" t="str">
        <f>IFERROR(__xludf.DUMMYFUNCTION("""COMPUTED_VALUE"""),"Yes")</f>
        <v>Yes</v>
      </c>
      <c r="D475" s="205" t="str">
        <f>IFERROR(__xludf.DUMMYFUNCTION("""COMPUTED_VALUE"""),"Active")</f>
        <v>Active</v>
      </c>
      <c r="E475" s="166">
        <f>IFERROR(__xludf.DUMMYFUNCTION("""COMPUTED_VALUE"""),45798.0)</f>
        <v>45798</v>
      </c>
      <c r="F475" s="206"/>
      <c r="G475" s="167">
        <f>IFERROR(__xludf.DUMMYFUNCTION("""COMPUTED_VALUE"""),4.800000000000001)</f>
        <v>4.8</v>
      </c>
      <c r="H475" s="166">
        <f>IFERROR(__xludf.DUMMYFUNCTION("""COMPUTED_VALUE"""),30317.0)</f>
        <v>30317</v>
      </c>
      <c r="I475" s="167">
        <f>IFERROR(__xludf.DUMMYFUNCTION("""COMPUTED_VALUE"""),42.388888888888886)</f>
        <v>42.38888889</v>
      </c>
      <c r="J475" s="168"/>
      <c r="K475" s="168"/>
      <c r="L475" s="207"/>
      <c r="M475" s="207"/>
    </row>
    <row r="476">
      <c r="A476" s="203" t="str">
        <f>IFERROR(__xludf.DUMMYFUNCTION("""COMPUTED_VALUE"""),"Atlantis")</f>
        <v>Atlantis</v>
      </c>
      <c r="B476" s="204" t="str">
        <f>IFERROR(__xludf.DUMMYFUNCTION("""COMPUTED_VALUE"""),"Xbox / PC")</f>
        <v>Xbox / PC</v>
      </c>
      <c r="C476" s="205" t="str">
        <f>IFERROR(__xludf.DUMMYFUNCTION("""COMPUTED_VALUE"""),"Yes")</f>
        <v>Yes</v>
      </c>
      <c r="D476" s="205" t="str">
        <f>IFERROR(__xludf.DUMMYFUNCTION("""COMPUTED_VALUE"""),"Active")</f>
        <v>Active</v>
      </c>
      <c r="E476" s="166">
        <f>IFERROR(__xludf.DUMMYFUNCTION("""COMPUTED_VALUE"""),45798.0)</f>
        <v>45798</v>
      </c>
      <c r="F476" s="206"/>
      <c r="G476" s="167">
        <f>IFERROR(__xludf.DUMMYFUNCTION("""COMPUTED_VALUE"""),4.800000000000001)</f>
        <v>4.8</v>
      </c>
      <c r="H476" s="166">
        <f>IFERROR(__xludf.DUMMYFUNCTION("""COMPUTED_VALUE"""),32255.0)</f>
        <v>32255</v>
      </c>
      <c r="I476" s="167">
        <f>IFERROR(__xludf.DUMMYFUNCTION("""COMPUTED_VALUE"""),37.080555555555556)</f>
        <v>37.08055556</v>
      </c>
      <c r="J476" s="168"/>
      <c r="K476" s="168"/>
      <c r="L476" s="207"/>
      <c r="M476" s="207"/>
    </row>
    <row r="477">
      <c r="A477" s="203" t="str">
        <f>IFERROR(__xludf.DUMMYFUNCTION("""COMPUTED_VALUE"""),"Atlantis II")</f>
        <v>Atlantis II</v>
      </c>
      <c r="B477" s="204" t="str">
        <f>IFERROR(__xludf.DUMMYFUNCTION("""COMPUTED_VALUE"""),"Xbox / PC")</f>
        <v>Xbox / PC</v>
      </c>
      <c r="C477" s="205" t="str">
        <f>IFERROR(__xludf.DUMMYFUNCTION("""COMPUTED_VALUE"""),"Yes")</f>
        <v>Yes</v>
      </c>
      <c r="D477" s="205" t="str">
        <f>IFERROR(__xludf.DUMMYFUNCTION("""COMPUTED_VALUE"""),"Active")</f>
        <v>Active</v>
      </c>
      <c r="E477" s="166">
        <f>IFERROR(__xludf.DUMMYFUNCTION("""COMPUTED_VALUE"""),45798.0)</f>
        <v>45798</v>
      </c>
      <c r="F477" s="206"/>
      <c r="G477" s="167">
        <f>IFERROR(__xludf.DUMMYFUNCTION("""COMPUTED_VALUE"""),4.800000000000001)</f>
        <v>4.8</v>
      </c>
      <c r="H477" s="166">
        <f>IFERROR(__xludf.DUMMYFUNCTION("""COMPUTED_VALUE"""),32255.0)</f>
        <v>32255</v>
      </c>
      <c r="I477" s="167">
        <f>IFERROR(__xludf.DUMMYFUNCTION("""COMPUTED_VALUE"""),37.080555555555556)</f>
        <v>37.08055556</v>
      </c>
      <c r="J477" s="168"/>
      <c r="K477" s="168">
        <f>IFERROR(__xludf.DUMMYFUNCTION("""COMPUTED_VALUE"""),7.0)</f>
        <v>7</v>
      </c>
      <c r="L477" s="207"/>
      <c r="M477" s="207"/>
    </row>
    <row r="478">
      <c r="A478" s="203" t="str">
        <f>IFERROR(__xludf.DUMMYFUNCTION("""COMPUTED_VALUE"""),"Barnstorming")</f>
        <v>Barnstorming</v>
      </c>
      <c r="B478" s="204" t="str">
        <f>IFERROR(__xludf.DUMMYFUNCTION("""COMPUTED_VALUE"""),"Xbox / PC")</f>
        <v>Xbox / PC</v>
      </c>
      <c r="C478" s="205" t="str">
        <f>IFERROR(__xludf.DUMMYFUNCTION("""COMPUTED_VALUE"""),"Yes")</f>
        <v>Yes</v>
      </c>
      <c r="D478" s="205" t="str">
        <f>IFERROR(__xludf.DUMMYFUNCTION("""COMPUTED_VALUE"""),"Active")</f>
        <v>Active</v>
      </c>
      <c r="E478" s="166">
        <f>IFERROR(__xludf.DUMMYFUNCTION("""COMPUTED_VALUE"""),45798.0)</f>
        <v>45798</v>
      </c>
      <c r="F478" s="206"/>
      <c r="G478" s="167">
        <f>IFERROR(__xludf.DUMMYFUNCTION("""COMPUTED_VALUE"""),4.800000000000001)</f>
        <v>4.8</v>
      </c>
      <c r="H478" s="166">
        <f>IFERROR(__xludf.DUMMYFUNCTION("""COMPUTED_VALUE"""),30011.0)</f>
        <v>30011</v>
      </c>
      <c r="I478" s="167">
        <f>IFERROR(__xludf.DUMMYFUNCTION("""COMPUTED_VALUE"""),43.22222222222222)</f>
        <v>43.22222222</v>
      </c>
      <c r="J478" s="168"/>
      <c r="K478" s="168"/>
      <c r="L478" s="207"/>
      <c r="M478" s="207"/>
    </row>
    <row r="479">
      <c r="A479" s="203" t="str">
        <f>IFERROR(__xludf.DUMMYFUNCTION("""COMPUTED_VALUE"""),"Baseball")</f>
        <v>Baseball</v>
      </c>
      <c r="B479" s="204" t="str">
        <f>IFERROR(__xludf.DUMMYFUNCTION("""COMPUTED_VALUE"""),"Xbox / PC")</f>
        <v>Xbox / PC</v>
      </c>
      <c r="C479" s="205" t="str">
        <f>IFERROR(__xludf.DUMMYFUNCTION("""COMPUTED_VALUE"""),"Yes")</f>
        <v>Yes</v>
      </c>
      <c r="D479" s="205" t="str">
        <f>IFERROR(__xludf.DUMMYFUNCTION("""COMPUTED_VALUE"""),"Active")</f>
        <v>Active</v>
      </c>
      <c r="E479" s="166">
        <f>IFERROR(__xludf.DUMMYFUNCTION("""COMPUTED_VALUE"""),45798.0)</f>
        <v>45798</v>
      </c>
      <c r="F479" s="206"/>
      <c r="G479" s="167">
        <f>IFERROR(__xludf.DUMMYFUNCTION("""COMPUTED_VALUE"""),4.800000000000001)</f>
        <v>4.8</v>
      </c>
      <c r="H479" s="166">
        <f>IFERROR(__xludf.DUMMYFUNCTION("""COMPUTED_VALUE"""),32214.0)</f>
        <v>32214</v>
      </c>
      <c r="I479" s="167">
        <f>IFERROR(__xludf.DUMMYFUNCTION("""COMPUTED_VALUE"""),37.19166666666667)</f>
        <v>37.19166667</v>
      </c>
      <c r="J479" s="168"/>
      <c r="K479" s="168"/>
      <c r="L479" s="207"/>
      <c r="M479" s="207"/>
    </row>
    <row r="480">
      <c r="A480" s="203" t="str">
        <f>IFERROR(__xludf.DUMMYFUNCTION("""COMPUTED_VALUE"""),"Beamrider")</f>
        <v>Beamrider</v>
      </c>
      <c r="B480" s="204" t="str">
        <f>IFERROR(__xludf.DUMMYFUNCTION("""COMPUTED_VALUE"""),"Xbox / PC")</f>
        <v>Xbox / PC</v>
      </c>
      <c r="C480" s="205" t="str">
        <f>IFERROR(__xludf.DUMMYFUNCTION("""COMPUTED_VALUE"""),"Yes")</f>
        <v>Yes</v>
      </c>
      <c r="D480" s="205" t="str">
        <f>IFERROR(__xludf.DUMMYFUNCTION("""COMPUTED_VALUE"""),"Active")</f>
        <v>Active</v>
      </c>
      <c r="E480" s="166">
        <f>IFERROR(__xludf.DUMMYFUNCTION("""COMPUTED_VALUE"""),45798.0)</f>
        <v>45798</v>
      </c>
      <c r="F480" s="206"/>
      <c r="G480" s="167">
        <f>IFERROR(__xludf.DUMMYFUNCTION("""COMPUTED_VALUE"""),4.800000000000001)</f>
        <v>4.8</v>
      </c>
      <c r="H480" s="166">
        <f>IFERROR(__xludf.DUMMYFUNCTION("""COMPUTED_VALUE"""),30705.0)</f>
        <v>30705</v>
      </c>
      <c r="I480" s="167">
        <f>IFERROR(__xludf.DUMMYFUNCTION("""COMPUTED_VALUE"""),41.325)</f>
        <v>41.325</v>
      </c>
      <c r="J480" s="168"/>
      <c r="K480" s="168"/>
      <c r="L480" s="207"/>
      <c r="M480" s="207"/>
    </row>
    <row r="481">
      <c r="A481" s="203" t="str">
        <f>IFERROR(__xludf.DUMMYFUNCTION("""COMPUTED_VALUE"""),"Bloody Human Freeway")</f>
        <v>Bloody Human Freeway</v>
      </c>
      <c r="B481" s="204" t="str">
        <f>IFERROR(__xludf.DUMMYFUNCTION("""COMPUTED_VALUE"""),"Xbox / PC")</f>
        <v>Xbox / PC</v>
      </c>
      <c r="C481" s="205" t="str">
        <f>IFERROR(__xludf.DUMMYFUNCTION("""COMPUTED_VALUE"""),"Yes")</f>
        <v>Yes</v>
      </c>
      <c r="D481" s="205" t="str">
        <f>IFERROR(__xludf.DUMMYFUNCTION("""COMPUTED_VALUE"""),"Active")</f>
        <v>Active</v>
      </c>
      <c r="E481" s="166">
        <f>IFERROR(__xludf.DUMMYFUNCTION("""COMPUTED_VALUE"""),45798.0)</f>
        <v>45798</v>
      </c>
      <c r="F481" s="206"/>
      <c r="G481" s="167">
        <f>IFERROR(__xludf.DUMMYFUNCTION("""COMPUTED_VALUE"""),4.800000000000001)</f>
        <v>4.8</v>
      </c>
      <c r="H481" s="166">
        <f>IFERROR(__xludf.DUMMYFUNCTION("""COMPUTED_VALUE"""),29768.0)</f>
        <v>29768</v>
      </c>
      <c r="I481" s="167">
        <f>IFERROR(__xludf.DUMMYFUNCTION("""COMPUTED_VALUE"""),43.888888888888886)</f>
        <v>43.88888889</v>
      </c>
      <c r="J481" s="168"/>
      <c r="K481" s="168"/>
      <c r="L481" s="207"/>
      <c r="M481" s="207"/>
    </row>
    <row r="482">
      <c r="A482" s="203" t="str">
        <f>IFERROR(__xludf.DUMMYFUNCTION("""COMPUTED_VALUE"""),"Boxing")</f>
        <v>Boxing</v>
      </c>
      <c r="B482" s="204" t="str">
        <f>IFERROR(__xludf.DUMMYFUNCTION("""COMPUTED_VALUE"""),"Xbox / PC")</f>
        <v>Xbox / PC</v>
      </c>
      <c r="C482" s="205" t="str">
        <f>IFERROR(__xludf.DUMMYFUNCTION("""COMPUTED_VALUE"""),"Yes")</f>
        <v>Yes</v>
      </c>
      <c r="D482" s="205" t="str">
        <f>IFERROR(__xludf.DUMMYFUNCTION("""COMPUTED_VALUE"""),"Active")</f>
        <v>Active</v>
      </c>
      <c r="E482" s="166">
        <f>IFERROR(__xludf.DUMMYFUNCTION("""COMPUTED_VALUE"""),45798.0)</f>
        <v>45798</v>
      </c>
      <c r="F482" s="206"/>
      <c r="G482" s="167">
        <f>IFERROR(__xludf.DUMMYFUNCTION("""COMPUTED_VALUE"""),4.800000000000001)</f>
        <v>4.8</v>
      </c>
      <c r="H482" s="166">
        <f>IFERROR(__xludf.DUMMYFUNCTION("""COMPUTED_VALUE"""),29403.0)</f>
        <v>29403</v>
      </c>
      <c r="I482" s="167">
        <f>IFERROR(__xludf.DUMMYFUNCTION("""COMPUTED_VALUE"""),44.888888888888886)</f>
        <v>44.88888889</v>
      </c>
      <c r="J482" s="168"/>
      <c r="K482" s="168"/>
      <c r="L482" s="207"/>
      <c r="M482" s="207"/>
    </row>
    <row r="483">
      <c r="A483" s="203" t="str">
        <f>IFERROR(__xludf.DUMMYFUNCTION("""COMPUTED_VALUE"""),"Bridge")</f>
        <v>Bridge</v>
      </c>
      <c r="B483" s="204" t="str">
        <f>IFERROR(__xludf.DUMMYFUNCTION("""COMPUTED_VALUE"""),"Xbox / PC")</f>
        <v>Xbox / PC</v>
      </c>
      <c r="C483" s="205" t="str">
        <f>IFERROR(__xludf.DUMMYFUNCTION("""COMPUTED_VALUE"""),"Yes")</f>
        <v>Yes</v>
      </c>
      <c r="D483" s="205" t="str">
        <f>IFERROR(__xludf.DUMMYFUNCTION("""COMPUTED_VALUE"""),"Active")</f>
        <v>Active</v>
      </c>
      <c r="E483" s="166">
        <f>IFERROR(__xludf.DUMMYFUNCTION("""COMPUTED_VALUE"""),45798.0)</f>
        <v>45798</v>
      </c>
      <c r="F483" s="206"/>
      <c r="G483" s="167">
        <f>IFERROR(__xludf.DUMMYFUNCTION("""COMPUTED_VALUE"""),4.800000000000001)</f>
        <v>4.8</v>
      </c>
      <c r="H483" s="166">
        <f>IFERROR(__xludf.DUMMYFUNCTION("""COMPUTED_VALUE"""),29556.0)</f>
        <v>29556</v>
      </c>
      <c r="I483" s="167">
        <f>IFERROR(__xludf.DUMMYFUNCTION("""COMPUTED_VALUE"""),44.47222222222222)</f>
        <v>44.47222222</v>
      </c>
      <c r="J483" s="168"/>
      <c r="K483" s="168"/>
      <c r="L483" s="207"/>
      <c r="M483" s="207"/>
    </row>
    <row r="484">
      <c r="A484" s="203" t="str">
        <f>IFERROR(__xludf.DUMMYFUNCTION("""COMPUTED_VALUE"""),"Caesar II")</f>
        <v>Caesar II</v>
      </c>
      <c r="B484" s="204" t="str">
        <f>IFERROR(__xludf.DUMMYFUNCTION("""COMPUTED_VALUE"""),"Xbox / PC")</f>
        <v>Xbox / PC</v>
      </c>
      <c r="C484" s="205" t="str">
        <f>IFERROR(__xludf.DUMMYFUNCTION("""COMPUTED_VALUE"""),"Yes")</f>
        <v>Yes</v>
      </c>
      <c r="D484" s="205" t="str">
        <f>IFERROR(__xludf.DUMMYFUNCTION("""COMPUTED_VALUE"""),"Active")</f>
        <v>Active</v>
      </c>
      <c r="E484" s="166">
        <f>IFERROR(__xludf.DUMMYFUNCTION("""COMPUTED_VALUE"""),45798.0)</f>
        <v>45798</v>
      </c>
      <c r="F484" s="206"/>
      <c r="G484" s="167">
        <f>IFERROR(__xludf.DUMMYFUNCTION("""COMPUTED_VALUE"""),4.800000000000001)</f>
        <v>4.8</v>
      </c>
      <c r="H484" s="166">
        <f>IFERROR(__xludf.DUMMYFUNCTION("""COMPUTED_VALUE"""),34700.0)</f>
        <v>34700</v>
      </c>
      <c r="I484" s="167">
        <f>IFERROR(__xludf.DUMMYFUNCTION("""COMPUTED_VALUE"""),30.38888888888889)</f>
        <v>30.38888889</v>
      </c>
      <c r="J484" s="168"/>
      <c r="K484" s="168">
        <f>IFERROR(__xludf.DUMMYFUNCTION("""COMPUTED_VALUE"""),7.0)</f>
        <v>7</v>
      </c>
      <c r="L484" s="207"/>
      <c r="M484" s="207"/>
    </row>
    <row r="485">
      <c r="A485" s="203" t="str">
        <f>IFERROR(__xludf.DUMMYFUNCTION("""COMPUTED_VALUE"""),"Checkers")</f>
        <v>Checkers</v>
      </c>
      <c r="B485" s="204" t="str">
        <f>IFERROR(__xludf.DUMMYFUNCTION("""COMPUTED_VALUE"""),"Xbox / PC")</f>
        <v>Xbox / PC</v>
      </c>
      <c r="C485" s="205" t="str">
        <f>IFERROR(__xludf.DUMMYFUNCTION("""COMPUTED_VALUE"""),"Yes")</f>
        <v>Yes</v>
      </c>
      <c r="D485" s="205" t="str">
        <f>IFERROR(__xludf.DUMMYFUNCTION("""COMPUTED_VALUE"""),"Active")</f>
        <v>Active</v>
      </c>
      <c r="E485" s="166">
        <f>IFERROR(__xludf.DUMMYFUNCTION("""COMPUTED_VALUE"""),45798.0)</f>
        <v>45798</v>
      </c>
      <c r="F485" s="206"/>
      <c r="G485" s="167">
        <f>IFERROR(__xludf.DUMMYFUNCTION("""COMPUTED_VALUE"""),4.800000000000001)</f>
        <v>4.8</v>
      </c>
      <c r="H485" s="166">
        <f>IFERROR(__xludf.DUMMYFUNCTION("""COMPUTED_VALUE"""),29403.0)</f>
        <v>29403</v>
      </c>
      <c r="I485" s="167">
        <f>IFERROR(__xludf.DUMMYFUNCTION("""COMPUTED_VALUE"""),44.888888888888886)</f>
        <v>44.88888889</v>
      </c>
      <c r="J485" s="168"/>
      <c r="K485" s="168"/>
      <c r="L485" s="207"/>
      <c r="M485" s="207"/>
    </row>
    <row r="486">
      <c r="A486" s="203" t="str">
        <f>IFERROR(__xludf.DUMMYFUNCTION("""COMPUTED_VALUE"""),"Chopper Command")</f>
        <v>Chopper Command</v>
      </c>
      <c r="B486" s="204" t="str">
        <f>IFERROR(__xludf.DUMMYFUNCTION("""COMPUTED_VALUE"""),"Xbox / PC")</f>
        <v>Xbox / PC</v>
      </c>
      <c r="C486" s="205" t="str">
        <f>IFERROR(__xludf.DUMMYFUNCTION("""COMPUTED_VALUE"""),"Yes")</f>
        <v>Yes</v>
      </c>
      <c r="D486" s="205" t="str">
        <f>IFERROR(__xludf.DUMMYFUNCTION("""COMPUTED_VALUE"""),"Active")</f>
        <v>Active</v>
      </c>
      <c r="E486" s="166">
        <f>IFERROR(__xludf.DUMMYFUNCTION("""COMPUTED_VALUE"""),45798.0)</f>
        <v>45798</v>
      </c>
      <c r="F486" s="206"/>
      <c r="G486" s="167">
        <f>IFERROR(__xludf.DUMMYFUNCTION("""COMPUTED_VALUE"""),4.800000000000001)</f>
        <v>4.8</v>
      </c>
      <c r="H486" s="166">
        <f>IFERROR(__xludf.DUMMYFUNCTION("""COMPUTED_VALUE"""),30072.0)</f>
        <v>30072</v>
      </c>
      <c r="I486" s="167">
        <f>IFERROR(__xludf.DUMMYFUNCTION("""COMPUTED_VALUE"""),43.05555555555556)</f>
        <v>43.05555556</v>
      </c>
      <c r="J486" s="168"/>
      <c r="K486" s="168"/>
      <c r="L486" s="207"/>
      <c r="M486" s="207"/>
    </row>
    <row r="487">
      <c r="A487" s="203" t="str">
        <f>IFERROR(__xludf.DUMMYFUNCTION("""COMPUTED_VALUE"""),"Commando")</f>
        <v>Commando</v>
      </c>
      <c r="B487" s="204" t="str">
        <f>IFERROR(__xludf.DUMMYFUNCTION("""COMPUTED_VALUE"""),"Xbox / PC")</f>
        <v>Xbox / PC</v>
      </c>
      <c r="C487" s="205" t="str">
        <f>IFERROR(__xludf.DUMMYFUNCTION("""COMPUTED_VALUE"""),"Yes")</f>
        <v>Yes</v>
      </c>
      <c r="D487" s="205" t="str">
        <f>IFERROR(__xludf.DUMMYFUNCTION("""COMPUTED_VALUE"""),"Active")</f>
        <v>Active</v>
      </c>
      <c r="E487" s="166">
        <f>IFERROR(__xludf.DUMMYFUNCTION("""COMPUTED_VALUE"""),45798.0)</f>
        <v>45798</v>
      </c>
      <c r="F487" s="206"/>
      <c r="G487" s="167">
        <f>IFERROR(__xludf.DUMMYFUNCTION("""COMPUTED_VALUE"""),4.800000000000001)</f>
        <v>4.8</v>
      </c>
      <c r="H487" s="166">
        <f>IFERROR(__xludf.DUMMYFUNCTION("""COMPUTED_VALUE"""),30393.0)</f>
        <v>30393</v>
      </c>
      <c r="I487" s="167">
        <f>IFERROR(__xludf.DUMMYFUNCTION("""COMPUTED_VALUE"""),42.175)</f>
        <v>42.175</v>
      </c>
      <c r="J487" s="168"/>
      <c r="K487" s="168"/>
      <c r="L487" s="207"/>
      <c r="M487" s="207"/>
    </row>
    <row r="488">
      <c r="A488" s="203" t="str">
        <f>IFERROR(__xludf.DUMMYFUNCTION("""COMPUTED_VALUE"""),"Conquests of the Longbow: The Legend of Robin Hood")</f>
        <v>Conquests of the Longbow: The Legend of Robin Hood</v>
      </c>
      <c r="B488" s="204" t="str">
        <f>IFERROR(__xludf.DUMMYFUNCTION("""COMPUTED_VALUE"""),"Xbox / PC")</f>
        <v>Xbox / PC</v>
      </c>
      <c r="C488" s="205" t="str">
        <f>IFERROR(__xludf.DUMMYFUNCTION("""COMPUTED_VALUE"""),"Yes")</f>
        <v>Yes</v>
      </c>
      <c r="D488" s="205" t="str">
        <f>IFERROR(__xludf.DUMMYFUNCTION("""COMPUTED_VALUE"""),"Active")</f>
        <v>Active</v>
      </c>
      <c r="E488" s="166">
        <f>IFERROR(__xludf.DUMMYFUNCTION("""COMPUTED_VALUE"""),45798.0)</f>
        <v>45798</v>
      </c>
      <c r="F488" s="206"/>
      <c r="G488" s="167">
        <f>IFERROR(__xludf.DUMMYFUNCTION("""COMPUTED_VALUE"""),4.800000000000001)</f>
        <v>4.8</v>
      </c>
      <c r="H488" s="166">
        <f>IFERROR(__xludf.DUMMYFUNCTION("""COMPUTED_VALUE"""),33239.0)</f>
        <v>33239</v>
      </c>
      <c r="I488" s="167">
        <f>IFERROR(__xludf.DUMMYFUNCTION("""COMPUTED_VALUE"""),34.388888888888886)</f>
        <v>34.38888889</v>
      </c>
      <c r="J488" s="168"/>
      <c r="K488" s="168">
        <f>IFERROR(__xludf.DUMMYFUNCTION("""COMPUTED_VALUE"""),6.0)</f>
        <v>6</v>
      </c>
      <c r="L488" s="207"/>
      <c r="M488" s="207"/>
    </row>
    <row r="489">
      <c r="A489" s="203" t="str">
        <f>IFERROR(__xludf.DUMMYFUNCTION("""COMPUTED_VALUE"""),"Cosmic Ark")</f>
        <v>Cosmic Ark</v>
      </c>
      <c r="B489" s="204" t="str">
        <f>IFERROR(__xludf.DUMMYFUNCTION("""COMPUTED_VALUE"""),"Xbox / PC")</f>
        <v>Xbox / PC</v>
      </c>
      <c r="C489" s="205" t="str">
        <f>IFERROR(__xludf.DUMMYFUNCTION("""COMPUTED_VALUE"""),"Yes")</f>
        <v>Yes</v>
      </c>
      <c r="D489" s="205" t="str">
        <f>IFERROR(__xludf.DUMMYFUNCTION("""COMPUTED_VALUE"""),"Active")</f>
        <v>Active</v>
      </c>
      <c r="E489" s="166">
        <f>IFERROR(__xludf.DUMMYFUNCTION("""COMPUTED_VALUE"""),45798.0)</f>
        <v>45798</v>
      </c>
      <c r="F489" s="206"/>
      <c r="G489" s="167">
        <f>IFERROR(__xludf.DUMMYFUNCTION("""COMPUTED_VALUE"""),4.800000000000001)</f>
        <v>4.8</v>
      </c>
      <c r="H489" s="166">
        <f>IFERROR(__xludf.DUMMYFUNCTION("""COMPUTED_VALUE"""),30164.0)</f>
        <v>30164</v>
      </c>
      <c r="I489" s="167">
        <f>IFERROR(__xludf.DUMMYFUNCTION("""COMPUTED_VALUE"""),42.80555555555556)</f>
        <v>42.80555556</v>
      </c>
      <c r="J489" s="168"/>
      <c r="K489" s="168"/>
      <c r="L489" s="207"/>
      <c r="M489" s="207"/>
    </row>
    <row r="490">
      <c r="A490" s="203" t="str">
        <f>IFERROR(__xludf.DUMMYFUNCTION("""COMPUTED_VALUE"""),"Crackpots")</f>
        <v>Crackpots</v>
      </c>
      <c r="B490" s="204" t="str">
        <f>IFERROR(__xludf.DUMMYFUNCTION("""COMPUTED_VALUE"""),"Xbox / PC")</f>
        <v>Xbox / PC</v>
      </c>
      <c r="C490" s="205" t="str">
        <f>IFERROR(__xludf.DUMMYFUNCTION("""COMPUTED_VALUE"""),"Yes")</f>
        <v>Yes</v>
      </c>
      <c r="D490" s="205" t="str">
        <f>IFERROR(__xludf.DUMMYFUNCTION("""COMPUTED_VALUE"""),"Active")</f>
        <v>Active</v>
      </c>
      <c r="E490" s="166">
        <f>IFERROR(__xludf.DUMMYFUNCTION("""COMPUTED_VALUE"""),45798.0)</f>
        <v>45798</v>
      </c>
      <c r="F490" s="206"/>
      <c r="G490" s="167">
        <f>IFERROR(__xludf.DUMMYFUNCTION("""COMPUTED_VALUE"""),4.800000000000001)</f>
        <v>4.8</v>
      </c>
      <c r="H490" s="166">
        <f>IFERROR(__xludf.DUMMYFUNCTION("""COMPUTED_VALUE"""),30452.0)</f>
        <v>30452</v>
      </c>
      <c r="I490" s="167">
        <f>IFERROR(__xludf.DUMMYFUNCTION("""COMPUTED_VALUE"""),42.013888888888886)</f>
        <v>42.01388889</v>
      </c>
      <c r="J490" s="168"/>
      <c r="K490" s="168"/>
      <c r="L490" s="207"/>
      <c r="M490" s="207"/>
    </row>
    <row r="491">
      <c r="A491" s="203" t="str">
        <f>IFERROR(__xludf.DUMMYFUNCTION("""COMPUTED_VALUE"""),"Decathlon")</f>
        <v>Decathlon</v>
      </c>
      <c r="B491" s="204" t="str">
        <f>IFERROR(__xludf.DUMMYFUNCTION("""COMPUTED_VALUE"""),"Xbox / PC")</f>
        <v>Xbox / PC</v>
      </c>
      <c r="C491" s="205" t="str">
        <f>IFERROR(__xludf.DUMMYFUNCTION("""COMPUTED_VALUE"""),"Yes")</f>
        <v>Yes</v>
      </c>
      <c r="D491" s="205" t="str">
        <f>IFERROR(__xludf.DUMMYFUNCTION("""COMPUTED_VALUE"""),"Active")</f>
        <v>Active</v>
      </c>
      <c r="E491" s="166">
        <f>IFERROR(__xludf.DUMMYFUNCTION("""COMPUTED_VALUE"""),45798.0)</f>
        <v>45798</v>
      </c>
      <c r="F491" s="206"/>
      <c r="G491" s="167">
        <f>IFERROR(__xludf.DUMMYFUNCTION("""COMPUTED_VALUE"""),4.800000000000001)</f>
        <v>4.8</v>
      </c>
      <c r="H491" s="166">
        <f>IFERROR(__xludf.DUMMYFUNCTION("""COMPUTED_VALUE"""),30393.0)</f>
        <v>30393</v>
      </c>
      <c r="I491" s="167">
        <f>IFERROR(__xludf.DUMMYFUNCTION("""COMPUTED_VALUE"""),42.175)</f>
        <v>42.175</v>
      </c>
      <c r="J491" s="168"/>
      <c r="K491" s="168"/>
      <c r="L491" s="207"/>
      <c r="M491" s="207"/>
    </row>
    <row r="492">
      <c r="A492" s="203" t="str">
        <f>IFERROR(__xludf.DUMMYFUNCTION("""COMPUTED_VALUE"""),"Demon Attack")</f>
        <v>Demon Attack</v>
      </c>
      <c r="B492" s="204" t="str">
        <f>IFERROR(__xludf.DUMMYFUNCTION("""COMPUTED_VALUE"""),"Xbox / PC")</f>
        <v>Xbox / PC</v>
      </c>
      <c r="C492" s="205" t="str">
        <f>IFERROR(__xludf.DUMMYFUNCTION("""COMPUTED_VALUE"""),"Yes")</f>
        <v>Yes</v>
      </c>
      <c r="D492" s="205" t="str">
        <f>IFERROR(__xludf.DUMMYFUNCTION("""COMPUTED_VALUE"""),"Active")</f>
        <v>Active</v>
      </c>
      <c r="E492" s="166">
        <f>IFERROR(__xludf.DUMMYFUNCTION("""COMPUTED_VALUE"""),45798.0)</f>
        <v>45798</v>
      </c>
      <c r="F492" s="206"/>
      <c r="G492" s="167">
        <f>IFERROR(__xludf.DUMMYFUNCTION("""COMPUTED_VALUE"""),4.800000000000001)</f>
        <v>4.8</v>
      </c>
      <c r="H492" s="166">
        <f>IFERROR(__xludf.DUMMYFUNCTION("""COMPUTED_VALUE"""),32255.0)</f>
        <v>32255</v>
      </c>
      <c r="I492" s="167">
        <f>IFERROR(__xludf.DUMMYFUNCTION("""COMPUTED_VALUE"""),37.080555555555556)</f>
        <v>37.08055556</v>
      </c>
      <c r="J492" s="168"/>
      <c r="K492" s="168"/>
      <c r="L492" s="207"/>
      <c r="M492" s="207"/>
    </row>
    <row r="493">
      <c r="A493" s="203" t="str">
        <f>IFERROR(__xludf.DUMMYFUNCTION("""COMPUTED_VALUE"""),"Dolphin")</f>
        <v>Dolphin</v>
      </c>
      <c r="B493" s="204" t="str">
        <f>IFERROR(__xludf.DUMMYFUNCTION("""COMPUTED_VALUE"""),"Xbox / PC")</f>
        <v>Xbox / PC</v>
      </c>
      <c r="C493" s="205" t="str">
        <f>IFERROR(__xludf.DUMMYFUNCTION("""COMPUTED_VALUE"""),"Yes")</f>
        <v>Yes</v>
      </c>
      <c r="D493" s="205" t="str">
        <f>IFERROR(__xludf.DUMMYFUNCTION("""COMPUTED_VALUE"""),"Active")</f>
        <v>Active</v>
      </c>
      <c r="E493" s="166">
        <f>IFERROR(__xludf.DUMMYFUNCTION("""COMPUTED_VALUE"""),45798.0)</f>
        <v>45798</v>
      </c>
      <c r="F493" s="206"/>
      <c r="G493" s="167">
        <f>IFERROR(__xludf.DUMMYFUNCTION("""COMPUTED_VALUE"""),4.800000000000001)</f>
        <v>4.8</v>
      </c>
      <c r="H493" s="166">
        <f>IFERROR(__xludf.DUMMYFUNCTION("""COMPUTED_VALUE"""),30677.0)</f>
        <v>30677</v>
      </c>
      <c r="I493" s="167">
        <f>IFERROR(__xludf.DUMMYFUNCTION("""COMPUTED_VALUE"""),41.4)</f>
        <v>41.4</v>
      </c>
      <c r="J493" s="168"/>
      <c r="K493" s="168"/>
      <c r="L493" s="207"/>
      <c r="M493" s="207"/>
    </row>
    <row r="494">
      <c r="A494" s="203" t="str">
        <f>IFERROR(__xludf.DUMMYFUNCTION("""COMPUTED_VALUE"""),"Dragster")</f>
        <v>Dragster</v>
      </c>
      <c r="B494" s="204" t="str">
        <f>IFERROR(__xludf.DUMMYFUNCTION("""COMPUTED_VALUE"""),"Xbox / PC")</f>
        <v>Xbox / PC</v>
      </c>
      <c r="C494" s="205" t="str">
        <f>IFERROR(__xludf.DUMMYFUNCTION("""COMPUTED_VALUE"""),"Yes")</f>
        <v>Yes</v>
      </c>
      <c r="D494" s="205" t="str">
        <f>IFERROR(__xludf.DUMMYFUNCTION("""COMPUTED_VALUE"""),"Active")</f>
        <v>Active</v>
      </c>
      <c r="E494" s="166">
        <f>IFERROR(__xludf.DUMMYFUNCTION("""COMPUTED_VALUE"""),45798.0)</f>
        <v>45798</v>
      </c>
      <c r="F494" s="206"/>
      <c r="G494" s="167">
        <f>IFERROR(__xludf.DUMMYFUNCTION("""COMPUTED_VALUE"""),4.800000000000001)</f>
        <v>4.8</v>
      </c>
      <c r="H494" s="166">
        <f>IFERROR(__xludf.DUMMYFUNCTION("""COMPUTED_VALUE"""),29403.0)</f>
        <v>29403</v>
      </c>
      <c r="I494" s="167">
        <f>IFERROR(__xludf.DUMMYFUNCTION("""COMPUTED_VALUE"""),44.888888888888886)</f>
        <v>44.88888889</v>
      </c>
      <c r="J494" s="168"/>
      <c r="K494" s="168"/>
      <c r="L494" s="207"/>
      <c r="M494" s="207"/>
    </row>
    <row r="495">
      <c r="A495" s="203" t="str">
        <f>IFERROR(__xludf.DUMMYFUNCTION("""COMPUTED_VALUE"""),"Enduro")</f>
        <v>Enduro</v>
      </c>
      <c r="B495" s="204" t="str">
        <f>IFERROR(__xludf.DUMMYFUNCTION("""COMPUTED_VALUE"""),"Xbox / PC")</f>
        <v>Xbox / PC</v>
      </c>
      <c r="C495" s="205" t="str">
        <f>IFERROR(__xludf.DUMMYFUNCTION("""COMPUTED_VALUE"""),"Yes")</f>
        <v>Yes</v>
      </c>
      <c r="D495" s="205" t="str">
        <f>IFERROR(__xludf.DUMMYFUNCTION("""COMPUTED_VALUE"""),"Active")</f>
        <v>Active</v>
      </c>
      <c r="E495" s="166">
        <f>IFERROR(__xludf.DUMMYFUNCTION("""COMPUTED_VALUE"""),45798.0)</f>
        <v>45798</v>
      </c>
      <c r="F495" s="206"/>
      <c r="G495" s="167">
        <f>IFERROR(__xludf.DUMMYFUNCTION("""COMPUTED_VALUE"""),4.800000000000001)</f>
        <v>4.8</v>
      </c>
      <c r="H495" s="166">
        <f>IFERROR(__xludf.DUMMYFUNCTION("""COMPUTED_VALUE"""),30348.0)</f>
        <v>30348</v>
      </c>
      <c r="I495" s="167">
        <f>IFERROR(__xludf.DUMMYFUNCTION("""COMPUTED_VALUE"""),42.30555555555556)</f>
        <v>42.30555556</v>
      </c>
      <c r="J495" s="168"/>
      <c r="K495" s="168"/>
      <c r="L495" s="207"/>
      <c r="M495" s="207"/>
    </row>
    <row r="496">
      <c r="A496" s="203" t="str">
        <f>IFERROR(__xludf.DUMMYFUNCTION("""COMPUTED_VALUE"""),"Fathom")</f>
        <v>Fathom</v>
      </c>
      <c r="B496" s="204" t="str">
        <f>IFERROR(__xludf.DUMMYFUNCTION("""COMPUTED_VALUE"""),"Xbox / PC")</f>
        <v>Xbox / PC</v>
      </c>
      <c r="C496" s="205" t="str">
        <f>IFERROR(__xludf.DUMMYFUNCTION("""COMPUTED_VALUE"""),"Yes")</f>
        <v>Yes</v>
      </c>
      <c r="D496" s="205" t="str">
        <f>IFERROR(__xludf.DUMMYFUNCTION("""COMPUTED_VALUE"""),"Active")</f>
        <v>Active</v>
      </c>
      <c r="E496" s="166">
        <f>IFERROR(__xludf.DUMMYFUNCTION("""COMPUTED_VALUE"""),45798.0)</f>
        <v>45798</v>
      </c>
      <c r="F496" s="206"/>
      <c r="G496" s="167">
        <f>IFERROR(__xludf.DUMMYFUNCTION("""COMPUTED_VALUE"""),4.800000000000001)</f>
        <v>4.8</v>
      </c>
      <c r="H496" s="166">
        <f>IFERROR(__xludf.DUMMYFUNCTION("""COMPUTED_VALUE"""),30529.0)</f>
        <v>30529</v>
      </c>
      <c r="I496" s="167">
        <f>IFERROR(__xludf.DUMMYFUNCTION("""COMPUTED_VALUE"""),41.80555555555556)</f>
        <v>41.80555556</v>
      </c>
      <c r="J496" s="168"/>
      <c r="K496" s="168"/>
      <c r="L496" s="207"/>
      <c r="M496" s="207"/>
    </row>
    <row r="497">
      <c r="A497" s="203" t="str">
        <f>IFERROR(__xludf.DUMMYFUNCTION("""COMPUTED_VALUE"""),"Fire Fighter")</f>
        <v>Fire Fighter</v>
      </c>
      <c r="B497" s="204" t="str">
        <f>IFERROR(__xludf.DUMMYFUNCTION("""COMPUTED_VALUE"""),"Xbox / PC")</f>
        <v>Xbox / PC</v>
      </c>
      <c r="C497" s="205" t="str">
        <f>IFERROR(__xludf.DUMMYFUNCTION("""COMPUTED_VALUE"""),"Yes")</f>
        <v>Yes</v>
      </c>
      <c r="D497" s="205" t="str">
        <f>IFERROR(__xludf.DUMMYFUNCTION("""COMPUTED_VALUE"""),"Active")</f>
        <v>Active</v>
      </c>
      <c r="E497" s="166">
        <f>IFERROR(__xludf.DUMMYFUNCTION("""COMPUTED_VALUE"""),45798.0)</f>
        <v>45798</v>
      </c>
      <c r="F497" s="206"/>
      <c r="G497" s="167">
        <f>IFERROR(__xludf.DUMMYFUNCTION("""COMPUTED_VALUE"""),4.800000000000001)</f>
        <v>4.8</v>
      </c>
      <c r="H497" s="166">
        <f>IFERROR(__xludf.DUMMYFUNCTION("""COMPUTED_VALUE"""),30195.0)</f>
        <v>30195</v>
      </c>
      <c r="I497" s="167">
        <f>IFERROR(__xludf.DUMMYFUNCTION("""COMPUTED_VALUE"""),42.72222222222222)</f>
        <v>42.72222222</v>
      </c>
      <c r="J497" s="168"/>
      <c r="K497" s="168"/>
      <c r="L497" s="207"/>
      <c r="M497" s="207"/>
    </row>
    <row r="498">
      <c r="A498" s="203" t="str">
        <f>IFERROR(__xludf.DUMMYFUNCTION("""COMPUTED_VALUE"""),"Fishing Derby")</f>
        <v>Fishing Derby</v>
      </c>
      <c r="B498" s="204" t="str">
        <f>IFERROR(__xludf.DUMMYFUNCTION("""COMPUTED_VALUE"""),"Xbox / PC")</f>
        <v>Xbox / PC</v>
      </c>
      <c r="C498" s="205" t="str">
        <f>IFERROR(__xludf.DUMMYFUNCTION("""COMPUTED_VALUE"""),"Yes")</f>
        <v>Yes</v>
      </c>
      <c r="D498" s="205" t="str">
        <f>IFERROR(__xludf.DUMMYFUNCTION("""COMPUTED_VALUE"""),"Active")</f>
        <v>Active</v>
      </c>
      <c r="E498" s="166">
        <f>IFERROR(__xludf.DUMMYFUNCTION("""COMPUTED_VALUE"""),45798.0)</f>
        <v>45798</v>
      </c>
      <c r="F498" s="206"/>
      <c r="G498" s="167">
        <f>IFERROR(__xludf.DUMMYFUNCTION("""COMPUTED_VALUE"""),4.800000000000001)</f>
        <v>4.8</v>
      </c>
      <c r="H498" s="166">
        <f>IFERROR(__xludf.DUMMYFUNCTION("""COMPUTED_VALUE"""),29403.0)</f>
        <v>29403</v>
      </c>
      <c r="I498" s="167">
        <f>IFERROR(__xludf.DUMMYFUNCTION("""COMPUTED_VALUE"""),44.888888888888886)</f>
        <v>44.88888889</v>
      </c>
      <c r="J498" s="168"/>
      <c r="K498" s="168"/>
      <c r="L498" s="207"/>
      <c r="M498" s="207"/>
    </row>
    <row r="499">
      <c r="A499" s="203" t="str">
        <f>IFERROR(__xludf.DUMMYFUNCTION("""COMPUTED_VALUE"""),"Freddy Pharkas: Frontier Pharmacist")</f>
        <v>Freddy Pharkas: Frontier Pharmacist</v>
      </c>
      <c r="B499" s="204" t="str">
        <f>IFERROR(__xludf.DUMMYFUNCTION("""COMPUTED_VALUE"""),"Xbox / PC")</f>
        <v>Xbox / PC</v>
      </c>
      <c r="C499" s="205" t="str">
        <f>IFERROR(__xludf.DUMMYFUNCTION("""COMPUTED_VALUE"""),"Yes")</f>
        <v>Yes</v>
      </c>
      <c r="D499" s="205" t="str">
        <f>IFERROR(__xludf.DUMMYFUNCTION("""COMPUTED_VALUE"""),"Active")</f>
        <v>Active</v>
      </c>
      <c r="E499" s="166">
        <f>IFERROR(__xludf.DUMMYFUNCTION("""COMPUTED_VALUE"""),45798.0)</f>
        <v>45798</v>
      </c>
      <c r="F499" s="206"/>
      <c r="G499" s="167">
        <f>IFERROR(__xludf.DUMMYFUNCTION("""COMPUTED_VALUE"""),4.800000000000001)</f>
        <v>4.8</v>
      </c>
      <c r="H499" s="166">
        <f>IFERROR(__xludf.DUMMYFUNCTION("""COMPUTED_VALUE"""),33970.0)</f>
        <v>33970</v>
      </c>
      <c r="I499" s="167">
        <f>IFERROR(__xludf.DUMMYFUNCTION("""COMPUTED_VALUE"""),32.388888888888886)</f>
        <v>32.38888889</v>
      </c>
      <c r="J499" s="168"/>
      <c r="K499" s="168"/>
      <c r="L499" s="207"/>
      <c r="M499" s="207"/>
    </row>
    <row r="500">
      <c r="A500" s="203" t="str">
        <f>IFERROR(__xludf.DUMMYFUNCTION("""COMPUTED_VALUE"""),"Freeway")</f>
        <v>Freeway</v>
      </c>
      <c r="B500" s="204" t="str">
        <f>IFERROR(__xludf.DUMMYFUNCTION("""COMPUTED_VALUE"""),"Xbox / PC")</f>
        <v>Xbox / PC</v>
      </c>
      <c r="C500" s="205" t="str">
        <f>IFERROR(__xludf.DUMMYFUNCTION("""COMPUTED_VALUE"""),"Yes")</f>
        <v>Yes</v>
      </c>
      <c r="D500" s="205" t="str">
        <f>IFERROR(__xludf.DUMMYFUNCTION("""COMPUTED_VALUE"""),"Active")</f>
        <v>Active</v>
      </c>
      <c r="E500" s="166">
        <f>IFERROR(__xludf.DUMMYFUNCTION("""COMPUTED_VALUE"""),45798.0)</f>
        <v>45798</v>
      </c>
      <c r="F500" s="206"/>
      <c r="G500" s="167">
        <f>IFERROR(__xludf.DUMMYFUNCTION("""COMPUTED_VALUE"""),4.800000000000001)</f>
        <v>4.8</v>
      </c>
      <c r="H500" s="166">
        <f>IFERROR(__xludf.DUMMYFUNCTION("""COMPUTED_VALUE"""),29768.0)</f>
        <v>29768</v>
      </c>
      <c r="I500" s="167">
        <f>IFERROR(__xludf.DUMMYFUNCTION("""COMPUTED_VALUE"""),43.888888888888886)</f>
        <v>43.88888889</v>
      </c>
      <c r="J500" s="168"/>
      <c r="K500" s="168"/>
      <c r="L500" s="207"/>
      <c r="M500" s="207"/>
    </row>
    <row r="501">
      <c r="A501" s="203" t="str">
        <f>IFERROR(__xludf.DUMMYFUNCTION("""COMPUTED_VALUE"""),"Frostbite")</f>
        <v>Frostbite</v>
      </c>
      <c r="B501" s="204" t="str">
        <f>IFERROR(__xludf.DUMMYFUNCTION("""COMPUTED_VALUE"""),"Xbox / PC")</f>
        <v>Xbox / PC</v>
      </c>
      <c r="C501" s="205" t="str">
        <f>IFERROR(__xludf.DUMMYFUNCTION("""COMPUTED_VALUE"""),"Yes")</f>
        <v>Yes</v>
      </c>
      <c r="D501" s="205" t="str">
        <f>IFERROR(__xludf.DUMMYFUNCTION("""COMPUTED_VALUE"""),"Active")</f>
        <v>Active</v>
      </c>
      <c r="E501" s="166">
        <f>IFERROR(__xludf.DUMMYFUNCTION("""COMPUTED_VALUE"""),45798.0)</f>
        <v>45798</v>
      </c>
      <c r="F501" s="206"/>
      <c r="G501" s="167">
        <f>IFERROR(__xludf.DUMMYFUNCTION("""COMPUTED_VALUE"""),4.800000000000001)</f>
        <v>4.8</v>
      </c>
      <c r="H501" s="166">
        <f>IFERROR(__xludf.DUMMYFUNCTION("""COMPUTED_VALUE"""),30542.0)</f>
        <v>30542</v>
      </c>
      <c r="I501" s="167">
        <f>IFERROR(__xludf.DUMMYFUNCTION("""COMPUTED_VALUE"""),41.769444444444446)</f>
        <v>41.76944444</v>
      </c>
      <c r="J501" s="168"/>
      <c r="K501" s="168"/>
      <c r="L501" s="207"/>
      <c r="M501" s="207"/>
    </row>
    <row r="502">
      <c r="A502" s="203" t="str">
        <f>IFERROR(__xludf.DUMMYFUNCTION("""COMPUTED_VALUE"""),"Grand Prix")</f>
        <v>Grand Prix</v>
      </c>
      <c r="B502" s="204" t="str">
        <f>IFERROR(__xludf.DUMMYFUNCTION("""COMPUTED_VALUE"""),"Xbox / PC")</f>
        <v>Xbox / PC</v>
      </c>
      <c r="C502" s="205" t="str">
        <f>IFERROR(__xludf.DUMMYFUNCTION("""COMPUTED_VALUE"""),"Yes")</f>
        <v>Yes</v>
      </c>
      <c r="D502" s="205" t="str">
        <f>IFERROR(__xludf.DUMMYFUNCTION("""COMPUTED_VALUE"""),"Active")</f>
        <v>Active</v>
      </c>
      <c r="E502" s="166">
        <f>IFERROR(__xludf.DUMMYFUNCTION("""COMPUTED_VALUE"""),45798.0)</f>
        <v>45798</v>
      </c>
      <c r="F502" s="206"/>
      <c r="G502" s="167">
        <f>IFERROR(__xludf.DUMMYFUNCTION("""COMPUTED_VALUE"""),4.800000000000001)</f>
        <v>4.8</v>
      </c>
      <c r="H502" s="166">
        <f>IFERROR(__xludf.DUMMYFUNCTION("""COMPUTED_VALUE"""),30011.0)</f>
        <v>30011</v>
      </c>
      <c r="I502" s="167">
        <f>IFERROR(__xludf.DUMMYFUNCTION("""COMPUTED_VALUE"""),43.22222222222222)</f>
        <v>43.22222222</v>
      </c>
      <c r="J502" s="168"/>
      <c r="K502" s="168"/>
      <c r="L502" s="207"/>
      <c r="M502" s="207"/>
    </row>
    <row r="503">
      <c r="A503" s="203" t="str">
        <f>IFERROR(__xludf.DUMMYFUNCTION("""COMPUTED_VALUE"""),"H.E.R.O.")</f>
        <v>H.E.R.O.</v>
      </c>
      <c r="B503" s="204" t="str">
        <f>IFERROR(__xludf.DUMMYFUNCTION("""COMPUTED_VALUE"""),"Xbox / PC")</f>
        <v>Xbox / PC</v>
      </c>
      <c r="C503" s="205" t="str">
        <f>IFERROR(__xludf.DUMMYFUNCTION("""COMPUTED_VALUE"""),"Yes")</f>
        <v>Yes</v>
      </c>
      <c r="D503" s="205" t="str">
        <f>IFERROR(__xludf.DUMMYFUNCTION("""COMPUTED_VALUE"""),"Active")</f>
        <v>Active</v>
      </c>
      <c r="E503" s="166">
        <f>IFERROR(__xludf.DUMMYFUNCTION("""COMPUTED_VALUE"""),45798.0)</f>
        <v>45798</v>
      </c>
      <c r="F503" s="206"/>
      <c r="G503" s="167">
        <f>IFERROR(__xludf.DUMMYFUNCTION("""COMPUTED_VALUE"""),4.800000000000001)</f>
        <v>4.8</v>
      </c>
      <c r="H503" s="166">
        <f>IFERROR(__xludf.DUMMYFUNCTION("""COMPUTED_VALUE"""),30764.0)</f>
        <v>30764</v>
      </c>
      <c r="I503" s="167">
        <f>IFERROR(__xludf.DUMMYFUNCTION("""COMPUTED_VALUE"""),41.16111111111111)</f>
        <v>41.16111111</v>
      </c>
      <c r="J503" s="168"/>
      <c r="K503" s="168"/>
      <c r="L503" s="207"/>
      <c r="M503" s="207"/>
    </row>
    <row r="504">
      <c r="A504" s="203" t="str">
        <f>IFERROR(__xludf.DUMMYFUNCTION("""COMPUTED_VALUE"""),"Kaboom!")</f>
        <v>Kaboom!</v>
      </c>
      <c r="B504" s="204" t="str">
        <f>IFERROR(__xludf.DUMMYFUNCTION("""COMPUTED_VALUE"""),"Xbox / PC")</f>
        <v>Xbox / PC</v>
      </c>
      <c r="C504" s="205" t="str">
        <f>IFERROR(__xludf.DUMMYFUNCTION("""COMPUTED_VALUE"""),"Yes")</f>
        <v>Yes</v>
      </c>
      <c r="D504" s="205" t="str">
        <f>IFERROR(__xludf.DUMMYFUNCTION("""COMPUTED_VALUE"""),"Active")</f>
        <v>Active</v>
      </c>
      <c r="E504" s="166">
        <f>IFERROR(__xludf.DUMMYFUNCTION("""COMPUTED_VALUE"""),45798.0)</f>
        <v>45798</v>
      </c>
      <c r="F504" s="206"/>
      <c r="G504" s="167">
        <f>IFERROR(__xludf.DUMMYFUNCTION("""COMPUTED_VALUE"""),4.800000000000001)</f>
        <v>4.8</v>
      </c>
      <c r="H504" s="166">
        <f>IFERROR(__xludf.DUMMYFUNCTION("""COMPUTED_VALUE"""),30682.0)</f>
        <v>30682</v>
      </c>
      <c r="I504" s="167">
        <f>IFERROR(__xludf.DUMMYFUNCTION("""COMPUTED_VALUE"""),41.388888888888886)</f>
        <v>41.38888889</v>
      </c>
      <c r="J504" s="168"/>
      <c r="K504" s="168"/>
      <c r="L504" s="207"/>
      <c r="M504" s="207"/>
    </row>
    <row r="505">
      <c r="A505" s="203" t="str">
        <f>IFERROR(__xludf.DUMMYFUNCTION("""COMPUTED_VALUE"""),"Laser Blast")</f>
        <v>Laser Blast</v>
      </c>
      <c r="B505" s="204" t="str">
        <f>IFERROR(__xludf.DUMMYFUNCTION("""COMPUTED_VALUE"""),"Xbox / PC")</f>
        <v>Xbox / PC</v>
      </c>
      <c r="C505" s="205" t="str">
        <f>IFERROR(__xludf.DUMMYFUNCTION("""COMPUTED_VALUE"""),"Yes")</f>
        <v>Yes</v>
      </c>
      <c r="D505" s="205" t="str">
        <f>IFERROR(__xludf.DUMMYFUNCTION("""COMPUTED_VALUE"""),"Active")</f>
        <v>Active</v>
      </c>
      <c r="E505" s="166">
        <f>IFERROR(__xludf.DUMMYFUNCTION("""COMPUTED_VALUE"""),45798.0)</f>
        <v>45798</v>
      </c>
      <c r="F505" s="206"/>
      <c r="G505" s="167">
        <f>IFERROR(__xludf.DUMMYFUNCTION("""COMPUTED_VALUE"""),4.800000000000001)</f>
        <v>4.8</v>
      </c>
      <c r="H505" s="166">
        <f>IFERROR(__xludf.DUMMYFUNCTION("""COMPUTED_VALUE"""),29646.0)</f>
        <v>29646</v>
      </c>
      <c r="I505" s="167">
        <f>IFERROR(__xludf.DUMMYFUNCTION("""COMPUTED_VALUE"""),44.22222222222222)</f>
        <v>44.22222222</v>
      </c>
      <c r="J505" s="168"/>
      <c r="K505" s="168"/>
      <c r="L505" s="207"/>
      <c r="M505" s="207"/>
    </row>
    <row r="506">
      <c r="A506" s="203" t="str">
        <f>IFERROR(__xludf.DUMMYFUNCTION("""COMPUTED_VALUE"""),"MechWarrior")</f>
        <v>MechWarrior</v>
      </c>
      <c r="B506" s="204" t="str">
        <f>IFERROR(__xludf.DUMMYFUNCTION("""COMPUTED_VALUE"""),"Xbox / PC")</f>
        <v>Xbox / PC</v>
      </c>
      <c r="C506" s="205" t="str">
        <f>IFERROR(__xludf.DUMMYFUNCTION("""COMPUTED_VALUE"""),"Yes")</f>
        <v>Yes</v>
      </c>
      <c r="D506" s="205" t="str">
        <f>IFERROR(__xludf.DUMMYFUNCTION("""COMPUTED_VALUE"""),"Active")</f>
        <v>Active</v>
      </c>
      <c r="E506" s="166">
        <f>IFERROR(__xludf.DUMMYFUNCTION("""COMPUTED_VALUE"""),45798.0)</f>
        <v>45798</v>
      </c>
      <c r="F506" s="206"/>
      <c r="G506" s="167">
        <f>IFERROR(__xludf.DUMMYFUNCTION("""COMPUTED_VALUE"""),4.800000000000001)</f>
        <v>4.8</v>
      </c>
      <c r="H506" s="166">
        <f>IFERROR(__xludf.DUMMYFUNCTION("""COMPUTED_VALUE"""),32843.0)</f>
        <v>32843</v>
      </c>
      <c r="I506" s="167">
        <f>IFERROR(__xludf.DUMMYFUNCTION("""COMPUTED_VALUE"""),35.47222222222222)</f>
        <v>35.47222222</v>
      </c>
      <c r="J506" s="168"/>
      <c r="K506" s="168"/>
      <c r="L506" s="207"/>
      <c r="M506" s="207"/>
    </row>
    <row r="507">
      <c r="A507" s="203" t="str">
        <f>IFERROR(__xludf.DUMMYFUNCTION("""COMPUTED_VALUE"""),"MechWarrior 2: 31st Century Combat")</f>
        <v>MechWarrior 2: 31st Century Combat</v>
      </c>
      <c r="B507" s="204" t="str">
        <f>IFERROR(__xludf.DUMMYFUNCTION("""COMPUTED_VALUE"""),"Xbox / PC")</f>
        <v>Xbox / PC</v>
      </c>
      <c r="C507" s="205" t="str">
        <f>IFERROR(__xludf.DUMMYFUNCTION("""COMPUTED_VALUE"""),"Yes")</f>
        <v>Yes</v>
      </c>
      <c r="D507" s="205" t="str">
        <f>IFERROR(__xludf.DUMMYFUNCTION("""COMPUTED_VALUE"""),"Active")</f>
        <v>Active</v>
      </c>
      <c r="E507" s="166">
        <f>IFERROR(__xludf.DUMMYFUNCTION("""COMPUTED_VALUE"""),45798.0)</f>
        <v>45798</v>
      </c>
      <c r="F507" s="206"/>
      <c r="G507" s="167">
        <f>IFERROR(__xludf.DUMMYFUNCTION("""COMPUTED_VALUE"""),4.800000000000001)</f>
        <v>4.8</v>
      </c>
      <c r="H507" s="166">
        <f>IFERROR(__xludf.DUMMYFUNCTION("""COMPUTED_VALUE"""),34904.0)</f>
        <v>34904</v>
      </c>
      <c r="I507" s="167">
        <f>IFERROR(__xludf.DUMMYFUNCTION("""COMPUTED_VALUE"""),29.825)</f>
        <v>29.825</v>
      </c>
      <c r="J507" s="168"/>
      <c r="K507" s="168"/>
      <c r="L507" s="207"/>
      <c r="M507" s="207"/>
    </row>
    <row r="508">
      <c r="A508" s="203" t="str">
        <f>IFERROR(__xludf.DUMMYFUNCTION("""COMPUTED_VALUE"""),"Megamania")</f>
        <v>Megamania</v>
      </c>
      <c r="B508" s="204" t="str">
        <f>IFERROR(__xludf.DUMMYFUNCTION("""COMPUTED_VALUE"""),"Xbox / PC")</f>
        <v>Xbox / PC</v>
      </c>
      <c r="C508" s="205" t="str">
        <f>IFERROR(__xludf.DUMMYFUNCTION("""COMPUTED_VALUE"""),"Yes")</f>
        <v>Yes</v>
      </c>
      <c r="D508" s="205" t="str">
        <f>IFERROR(__xludf.DUMMYFUNCTION("""COMPUTED_VALUE"""),"Active")</f>
        <v>Active</v>
      </c>
      <c r="E508" s="166">
        <f>IFERROR(__xludf.DUMMYFUNCTION("""COMPUTED_VALUE"""),45798.0)</f>
        <v>45798</v>
      </c>
      <c r="F508" s="206"/>
      <c r="G508" s="167">
        <f>IFERROR(__xludf.DUMMYFUNCTION("""COMPUTED_VALUE"""),4.800000000000001)</f>
        <v>4.8</v>
      </c>
      <c r="H508" s="166">
        <f>IFERROR(__xludf.DUMMYFUNCTION("""COMPUTED_VALUE"""),30050.0)</f>
        <v>30050</v>
      </c>
      <c r="I508" s="167">
        <f>IFERROR(__xludf.DUMMYFUNCTION("""COMPUTED_VALUE"""),43.11666666666667)</f>
        <v>43.11666667</v>
      </c>
      <c r="J508" s="168"/>
      <c r="K508" s="168"/>
      <c r="L508" s="207"/>
      <c r="M508" s="207"/>
    </row>
    <row r="509">
      <c r="A509" s="203" t="str">
        <f>IFERROR(__xludf.DUMMYFUNCTION("""COMPUTED_VALUE"""),"Pitfall II: Lost Caverns")</f>
        <v>Pitfall II: Lost Caverns</v>
      </c>
      <c r="B509" s="204" t="str">
        <f>IFERROR(__xludf.DUMMYFUNCTION("""COMPUTED_VALUE"""),"Xbox / PC")</f>
        <v>Xbox / PC</v>
      </c>
      <c r="C509" s="205" t="str">
        <f>IFERROR(__xludf.DUMMYFUNCTION("""COMPUTED_VALUE"""),"Yes")</f>
        <v>Yes</v>
      </c>
      <c r="D509" s="205" t="str">
        <f>IFERROR(__xludf.DUMMYFUNCTION("""COMPUTED_VALUE"""),"Active")</f>
        <v>Active</v>
      </c>
      <c r="E509" s="166">
        <f>IFERROR(__xludf.DUMMYFUNCTION("""COMPUTED_VALUE"""),45798.0)</f>
        <v>45798</v>
      </c>
      <c r="F509" s="206"/>
      <c r="G509" s="167">
        <f>IFERROR(__xludf.DUMMYFUNCTION("""COMPUTED_VALUE"""),4.800000000000001)</f>
        <v>4.8</v>
      </c>
      <c r="H509" s="166">
        <f>IFERROR(__xludf.DUMMYFUNCTION("""COMPUTED_VALUE"""),30575.0)</f>
        <v>30575</v>
      </c>
      <c r="I509" s="167">
        <f>IFERROR(__xludf.DUMMYFUNCTION("""COMPUTED_VALUE"""),41.68055555555556)</f>
        <v>41.68055556</v>
      </c>
      <c r="J509" s="168"/>
      <c r="K509" s="168"/>
      <c r="L509" s="207"/>
      <c r="M509" s="207"/>
    </row>
    <row r="510">
      <c r="A510" s="203" t="str">
        <f>IFERROR(__xludf.DUMMYFUNCTION("""COMPUTED_VALUE"""),"Pitfall!")</f>
        <v>Pitfall!</v>
      </c>
      <c r="B510" s="204" t="str">
        <f>IFERROR(__xludf.DUMMYFUNCTION("""COMPUTED_VALUE"""),"Xbox / PC")</f>
        <v>Xbox / PC</v>
      </c>
      <c r="C510" s="205" t="str">
        <f>IFERROR(__xludf.DUMMYFUNCTION("""COMPUTED_VALUE"""),"Yes")</f>
        <v>Yes</v>
      </c>
      <c r="D510" s="205" t="str">
        <f>IFERROR(__xludf.DUMMYFUNCTION("""COMPUTED_VALUE"""),"Active")</f>
        <v>Active</v>
      </c>
      <c r="E510" s="166">
        <f>IFERROR(__xludf.DUMMYFUNCTION("""COMPUTED_VALUE"""),45798.0)</f>
        <v>45798</v>
      </c>
      <c r="F510" s="206"/>
      <c r="G510" s="167">
        <f>IFERROR(__xludf.DUMMYFUNCTION("""COMPUTED_VALUE"""),4.800000000000001)</f>
        <v>4.8</v>
      </c>
      <c r="H510" s="166">
        <f>IFERROR(__xludf.DUMMYFUNCTION("""COMPUTED_VALUE"""),30061.0)</f>
        <v>30061</v>
      </c>
      <c r="I510" s="167">
        <f>IFERROR(__xludf.DUMMYFUNCTION("""COMPUTED_VALUE"""),43.08611111111111)</f>
        <v>43.08611111</v>
      </c>
      <c r="J510" s="168"/>
      <c r="K510" s="168"/>
      <c r="L510" s="207"/>
      <c r="M510" s="207"/>
    </row>
    <row r="511">
      <c r="A511" s="203" t="str">
        <f>IFERROR(__xludf.DUMMYFUNCTION("""COMPUTED_VALUE"""),"Police Quest")</f>
        <v>Police Quest</v>
      </c>
      <c r="B511" s="204" t="str">
        <f>IFERROR(__xludf.DUMMYFUNCTION("""COMPUTED_VALUE"""),"Xbox / PC")</f>
        <v>Xbox / PC</v>
      </c>
      <c r="C511" s="205" t="str">
        <f>IFERROR(__xludf.DUMMYFUNCTION("""COMPUTED_VALUE"""),"Yes")</f>
        <v>Yes</v>
      </c>
      <c r="D511" s="205" t="str">
        <f>IFERROR(__xludf.DUMMYFUNCTION("""COMPUTED_VALUE"""),"Active")</f>
        <v>Active</v>
      </c>
      <c r="E511" s="166">
        <f>IFERROR(__xludf.DUMMYFUNCTION("""COMPUTED_VALUE"""),45798.0)</f>
        <v>45798</v>
      </c>
      <c r="F511" s="206"/>
      <c r="G511" s="167">
        <f>IFERROR(__xludf.DUMMYFUNCTION("""COMPUTED_VALUE"""),4.800000000000001)</f>
        <v>4.8</v>
      </c>
      <c r="H511" s="166">
        <f>IFERROR(__xludf.DUMMYFUNCTION("""COMPUTED_VALUE"""),31778.0)</f>
        <v>31778</v>
      </c>
      <c r="I511" s="167">
        <f>IFERROR(__xludf.DUMMYFUNCTION("""COMPUTED_VALUE"""),38.388888888888886)</f>
        <v>38.38888889</v>
      </c>
      <c r="J511" s="168"/>
      <c r="K511" s="168"/>
      <c r="L511" s="207"/>
      <c r="M511" s="207"/>
    </row>
    <row r="512">
      <c r="A512" s="203" t="str">
        <f>IFERROR(__xludf.DUMMYFUNCTION("""COMPUTED_VALUE"""),"Pressure Cooker")</f>
        <v>Pressure Cooker</v>
      </c>
      <c r="B512" s="204" t="str">
        <f>IFERROR(__xludf.DUMMYFUNCTION("""COMPUTED_VALUE"""),"Xbox / PC")</f>
        <v>Xbox / PC</v>
      </c>
      <c r="C512" s="205" t="str">
        <f>IFERROR(__xludf.DUMMYFUNCTION("""COMPUTED_VALUE"""),"Yes")</f>
        <v>Yes</v>
      </c>
      <c r="D512" s="205" t="str">
        <f>IFERROR(__xludf.DUMMYFUNCTION("""COMPUTED_VALUE"""),"Active")</f>
        <v>Active</v>
      </c>
      <c r="E512" s="166">
        <f>IFERROR(__xludf.DUMMYFUNCTION("""COMPUTED_VALUE"""),45798.0)</f>
        <v>45798</v>
      </c>
      <c r="F512" s="206"/>
      <c r="G512" s="167">
        <f>IFERROR(__xludf.DUMMYFUNCTION("""COMPUTED_VALUE"""),4.800000000000001)</f>
        <v>4.8</v>
      </c>
      <c r="H512" s="166">
        <f>IFERROR(__xludf.DUMMYFUNCTION("""COMPUTED_VALUE"""),30369.0)</f>
        <v>30369</v>
      </c>
      <c r="I512" s="167">
        <f>IFERROR(__xludf.DUMMYFUNCTION("""COMPUTED_VALUE"""),42.24722222222222)</f>
        <v>42.24722222</v>
      </c>
      <c r="J512" s="168"/>
      <c r="K512" s="168"/>
      <c r="L512" s="207"/>
      <c r="M512" s="207"/>
    </row>
    <row r="513">
      <c r="A513" s="203" t="str">
        <f>IFERROR(__xludf.DUMMYFUNCTION("""COMPUTED_VALUE"""),"Quest for Glory: So You Want to Be a Hero")</f>
        <v>Quest for Glory: So You Want to Be a Hero</v>
      </c>
      <c r="B513" s="204" t="str">
        <f>IFERROR(__xludf.DUMMYFUNCTION("""COMPUTED_VALUE"""),"Xbox / PC")</f>
        <v>Xbox / PC</v>
      </c>
      <c r="C513" s="205" t="str">
        <f>IFERROR(__xludf.DUMMYFUNCTION("""COMPUTED_VALUE"""),"Yes")</f>
        <v>Yes</v>
      </c>
      <c r="D513" s="205" t="str">
        <f>IFERROR(__xludf.DUMMYFUNCTION("""COMPUTED_VALUE"""),"Active")</f>
        <v>Active</v>
      </c>
      <c r="E513" s="166">
        <f>IFERROR(__xludf.DUMMYFUNCTION("""COMPUTED_VALUE"""),45798.0)</f>
        <v>45798</v>
      </c>
      <c r="F513" s="206"/>
      <c r="G513" s="167">
        <f>IFERROR(__xludf.DUMMYFUNCTION("""COMPUTED_VALUE"""),4.800000000000001)</f>
        <v>4.8</v>
      </c>
      <c r="H513" s="166">
        <f>IFERROR(__xludf.DUMMYFUNCTION("""COMPUTED_VALUE"""),32782.0)</f>
        <v>32782</v>
      </c>
      <c r="I513" s="167">
        <f>IFERROR(__xludf.DUMMYFUNCTION("""COMPUTED_VALUE"""),35.638888888888886)</f>
        <v>35.63888889</v>
      </c>
      <c r="J513" s="168"/>
      <c r="K513" s="168"/>
      <c r="L513" s="207"/>
      <c r="M513" s="207"/>
    </row>
    <row r="514">
      <c r="A514" s="203" t="str">
        <f>IFERROR(__xludf.DUMMYFUNCTION("""COMPUTED_VALUE"""),"Riddle of the Sphinx")</f>
        <v>Riddle of the Sphinx</v>
      </c>
      <c r="B514" s="204" t="str">
        <f>IFERROR(__xludf.DUMMYFUNCTION("""COMPUTED_VALUE"""),"Xbox / PC")</f>
        <v>Xbox / PC</v>
      </c>
      <c r="C514" s="205" t="str">
        <f>IFERROR(__xludf.DUMMYFUNCTION("""COMPUTED_VALUE"""),"Yes")</f>
        <v>Yes</v>
      </c>
      <c r="D514" s="205" t="str">
        <f>IFERROR(__xludf.DUMMYFUNCTION("""COMPUTED_VALUE"""),"Active")</f>
        <v>Active</v>
      </c>
      <c r="E514" s="166">
        <f>IFERROR(__xludf.DUMMYFUNCTION("""COMPUTED_VALUE"""),45798.0)</f>
        <v>45798</v>
      </c>
      <c r="F514" s="206"/>
      <c r="G514" s="167">
        <f>IFERROR(__xludf.DUMMYFUNCTION("""COMPUTED_VALUE"""),4.800000000000001)</f>
        <v>4.8</v>
      </c>
      <c r="H514" s="166">
        <f>IFERROR(__xludf.DUMMYFUNCTION("""COMPUTED_VALUE"""),29952.0)</f>
        <v>29952</v>
      </c>
      <c r="I514" s="167">
        <f>IFERROR(__xludf.DUMMYFUNCTION("""COMPUTED_VALUE"""),43.388888888888886)</f>
        <v>43.38888889</v>
      </c>
      <c r="J514" s="168"/>
      <c r="K514" s="168"/>
      <c r="L514" s="207"/>
      <c r="M514" s="207"/>
    </row>
    <row r="515">
      <c r="A515" s="203" t="str">
        <f>IFERROR(__xludf.DUMMYFUNCTION("""COMPUTED_VALUE"""),"River Raid")</f>
        <v>River Raid</v>
      </c>
      <c r="B515" s="204" t="str">
        <f>IFERROR(__xludf.DUMMYFUNCTION("""COMPUTED_VALUE"""),"Xbox / PC")</f>
        <v>Xbox / PC</v>
      </c>
      <c r="C515" s="205" t="str">
        <f>IFERROR(__xludf.DUMMYFUNCTION("""COMPUTED_VALUE"""),"Yes")</f>
        <v>Yes</v>
      </c>
      <c r="D515" s="205" t="str">
        <f>IFERROR(__xludf.DUMMYFUNCTION("""COMPUTED_VALUE"""),"Active")</f>
        <v>Active</v>
      </c>
      <c r="E515" s="166">
        <f>IFERROR(__xludf.DUMMYFUNCTION("""COMPUTED_VALUE"""),45798.0)</f>
        <v>45798</v>
      </c>
      <c r="F515" s="206"/>
      <c r="G515" s="167">
        <f>IFERROR(__xludf.DUMMYFUNCTION("""COMPUTED_VALUE"""),4.800000000000001)</f>
        <v>4.8</v>
      </c>
      <c r="H515" s="166">
        <f>IFERROR(__xludf.DUMMYFUNCTION("""COMPUTED_VALUE"""),30164.0)</f>
        <v>30164</v>
      </c>
      <c r="I515" s="167">
        <f>IFERROR(__xludf.DUMMYFUNCTION("""COMPUTED_VALUE"""),42.80555555555556)</f>
        <v>42.80555556</v>
      </c>
      <c r="J515" s="168"/>
      <c r="K515" s="168"/>
      <c r="L515" s="207"/>
      <c r="M515" s="207"/>
    </row>
    <row r="516">
      <c r="A516" s="203" t="str">
        <f>IFERROR(__xludf.DUMMYFUNCTION("""COMPUTED_VALUE"""),"River Raid II")</f>
        <v>River Raid II</v>
      </c>
      <c r="B516" s="204" t="str">
        <f>IFERROR(__xludf.DUMMYFUNCTION("""COMPUTED_VALUE"""),"Xbox / PC")</f>
        <v>Xbox / PC</v>
      </c>
      <c r="C516" s="205" t="str">
        <f>IFERROR(__xludf.DUMMYFUNCTION("""COMPUTED_VALUE"""),"Yes")</f>
        <v>Yes</v>
      </c>
      <c r="D516" s="205" t="str">
        <f>IFERROR(__xludf.DUMMYFUNCTION("""COMPUTED_VALUE"""),"Active")</f>
        <v>Active</v>
      </c>
      <c r="E516" s="166">
        <f>IFERROR(__xludf.DUMMYFUNCTION("""COMPUTED_VALUE"""),45798.0)</f>
        <v>45798</v>
      </c>
      <c r="F516" s="206"/>
      <c r="G516" s="167">
        <f>IFERROR(__xludf.DUMMYFUNCTION("""COMPUTED_VALUE"""),4.800000000000001)</f>
        <v>4.8</v>
      </c>
      <c r="H516" s="166">
        <f>IFERROR(__xludf.DUMMYFUNCTION("""COMPUTED_VALUE"""),32352.0)</f>
        <v>32352</v>
      </c>
      <c r="I516" s="167">
        <f>IFERROR(__xludf.DUMMYFUNCTION("""COMPUTED_VALUE"""),36.81388888888889)</f>
        <v>36.81388889</v>
      </c>
      <c r="J516" s="168"/>
      <c r="K516" s="168"/>
      <c r="L516" s="207"/>
      <c r="M516" s="207"/>
    </row>
    <row r="517">
      <c r="A517" s="203" t="str">
        <f>IFERROR(__xludf.DUMMYFUNCTION("""COMPUTED_VALUE"""),"Robot Tank")</f>
        <v>Robot Tank</v>
      </c>
      <c r="B517" s="204" t="str">
        <f>IFERROR(__xludf.DUMMYFUNCTION("""COMPUTED_VALUE"""),"Xbox / PC")</f>
        <v>Xbox / PC</v>
      </c>
      <c r="C517" s="205" t="str">
        <f>IFERROR(__xludf.DUMMYFUNCTION("""COMPUTED_VALUE"""),"Yes")</f>
        <v>Yes</v>
      </c>
      <c r="D517" s="205" t="str">
        <f>IFERROR(__xludf.DUMMYFUNCTION("""COMPUTED_VALUE"""),"Active")</f>
        <v>Active</v>
      </c>
      <c r="E517" s="166">
        <f>IFERROR(__xludf.DUMMYFUNCTION("""COMPUTED_VALUE"""),45798.0)</f>
        <v>45798</v>
      </c>
      <c r="F517" s="206"/>
      <c r="G517" s="167">
        <f>IFERROR(__xludf.DUMMYFUNCTION("""COMPUTED_VALUE"""),4.800000000000001)</f>
        <v>4.8</v>
      </c>
      <c r="H517" s="166">
        <f>IFERROR(__xludf.DUMMYFUNCTION("""COMPUTED_VALUE"""),30399.0)</f>
        <v>30399</v>
      </c>
      <c r="I517" s="167">
        <f>IFERROR(__xludf.DUMMYFUNCTION("""COMPUTED_VALUE"""),42.15833333333333)</f>
        <v>42.15833333</v>
      </c>
      <c r="J517" s="168"/>
      <c r="K517" s="168"/>
      <c r="L517" s="207"/>
      <c r="M517" s="207"/>
    </row>
    <row r="518">
      <c r="A518" s="203" t="str">
        <f>IFERROR(__xludf.DUMMYFUNCTION("""COMPUTED_VALUE"""),"Sky Jinks")</f>
        <v>Sky Jinks</v>
      </c>
      <c r="B518" s="204" t="str">
        <f>IFERROR(__xludf.DUMMYFUNCTION("""COMPUTED_VALUE"""),"Xbox / PC")</f>
        <v>Xbox / PC</v>
      </c>
      <c r="C518" s="205" t="str">
        <f>IFERROR(__xludf.DUMMYFUNCTION("""COMPUTED_VALUE"""),"Yes")</f>
        <v>Yes</v>
      </c>
      <c r="D518" s="205" t="str">
        <f>IFERROR(__xludf.DUMMYFUNCTION("""COMPUTED_VALUE"""),"Active")</f>
        <v>Active</v>
      </c>
      <c r="E518" s="166">
        <f>IFERROR(__xludf.DUMMYFUNCTION("""COMPUTED_VALUE"""),45798.0)</f>
        <v>45798</v>
      </c>
      <c r="F518" s="206"/>
      <c r="G518" s="167">
        <f>IFERROR(__xludf.DUMMYFUNCTION("""COMPUTED_VALUE"""),4.800000000000001)</f>
        <v>4.8</v>
      </c>
      <c r="H518" s="166">
        <f>IFERROR(__xludf.DUMMYFUNCTION("""COMPUTED_VALUE"""),30256.0)</f>
        <v>30256</v>
      </c>
      <c r="I518" s="167">
        <f>IFERROR(__xludf.DUMMYFUNCTION("""COMPUTED_VALUE"""),42.55555555555556)</f>
        <v>42.55555556</v>
      </c>
      <c r="J518" s="168"/>
      <c r="K518" s="168"/>
      <c r="L518" s="207"/>
      <c r="M518" s="207"/>
    </row>
    <row r="519">
      <c r="A519" s="203" t="str">
        <f>IFERROR(__xludf.DUMMYFUNCTION("""COMPUTED_VALUE"""),"Space Quest 2")</f>
        <v>Space Quest 2</v>
      </c>
      <c r="B519" s="204" t="str">
        <f>IFERROR(__xludf.DUMMYFUNCTION("""COMPUTED_VALUE"""),"Xbox / PC")</f>
        <v>Xbox / PC</v>
      </c>
      <c r="C519" s="205" t="str">
        <f>IFERROR(__xludf.DUMMYFUNCTION("""COMPUTED_VALUE"""),"Yes")</f>
        <v>Yes</v>
      </c>
      <c r="D519" s="205" t="str">
        <f>IFERROR(__xludf.DUMMYFUNCTION("""COMPUTED_VALUE"""),"Active")</f>
        <v>Active</v>
      </c>
      <c r="E519" s="166">
        <f>IFERROR(__xludf.DUMMYFUNCTION("""COMPUTED_VALUE"""),45798.0)</f>
        <v>45798</v>
      </c>
      <c r="F519" s="206"/>
      <c r="G519" s="167">
        <f>IFERROR(__xludf.DUMMYFUNCTION("""COMPUTED_VALUE"""),4.800000000000001)</f>
        <v>4.8</v>
      </c>
      <c r="H519" s="166">
        <f>IFERROR(__xludf.DUMMYFUNCTION("""COMPUTED_VALUE"""),31778.0)</f>
        <v>31778</v>
      </c>
      <c r="I519" s="167">
        <f>IFERROR(__xludf.DUMMYFUNCTION("""COMPUTED_VALUE"""),38.388888888888886)</f>
        <v>38.38888889</v>
      </c>
      <c r="J519" s="168"/>
      <c r="K519" s="168"/>
      <c r="L519" s="207"/>
      <c r="M519" s="207"/>
    </row>
    <row r="520">
      <c r="A520" s="203" t="str">
        <f>IFERROR(__xludf.DUMMYFUNCTION("""COMPUTED_VALUE"""),"Space Quest 6")</f>
        <v>Space Quest 6</v>
      </c>
      <c r="B520" s="204" t="str">
        <f>IFERROR(__xludf.DUMMYFUNCTION("""COMPUTED_VALUE"""),"Xbox / PC")</f>
        <v>Xbox / PC</v>
      </c>
      <c r="C520" s="205" t="str">
        <f>IFERROR(__xludf.DUMMYFUNCTION("""COMPUTED_VALUE"""),"Yes")</f>
        <v>Yes</v>
      </c>
      <c r="D520" s="205" t="str">
        <f>IFERROR(__xludf.DUMMYFUNCTION("""COMPUTED_VALUE"""),"Active")</f>
        <v>Active</v>
      </c>
      <c r="E520" s="166">
        <f>IFERROR(__xludf.DUMMYFUNCTION("""COMPUTED_VALUE"""),45798.0)</f>
        <v>45798</v>
      </c>
      <c r="F520" s="206"/>
      <c r="G520" s="167">
        <f>IFERROR(__xludf.DUMMYFUNCTION("""COMPUTED_VALUE"""),4.800000000000001)</f>
        <v>4.8</v>
      </c>
      <c r="H520" s="166">
        <f>IFERROR(__xludf.DUMMYFUNCTION("""COMPUTED_VALUE"""),34700.0)</f>
        <v>34700</v>
      </c>
      <c r="I520" s="167">
        <f>IFERROR(__xludf.DUMMYFUNCTION("""COMPUTED_VALUE"""),30.38888888888889)</f>
        <v>30.38888889</v>
      </c>
      <c r="J520" s="168"/>
      <c r="K520" s="168"/>
      <c r="L520" s="207"/>
      <c r="M520" s="207"/>
    </row>
    <row r="521">
      <c r="A521" s="203" t="str">
        <f>IFERROR(__xludf.DUMMYFUNCTION("""COMPUTED_VALUE"""),"Space Treat Deluxe")</f>
        <v>Space Treat Deluxe</v>
      </c>
      <c r="B521" s="204" t="str">
        <f>IFERROR(__xludf.DUMMYFUNCTION("""COMPUTED_VALUE"""),"Xbox / PC")</f>
        <v>Xbox / PC</v>
      </c>
      <c r="C521" s="205" t="str">
        <f>IFERROR(__xludf.DUMMYFUNCTION("""COMPUTED_VALUE"""),"Yes")</f>
        <v>Yes</v>
      </c>
      <c r="D521" s="205" t="str">
        <f>IFERROR(__xludf.DUMMYFUNCTION("""COMPUTED_VALUE"""),"Active")</f>
        <v>Active</v>
      </c>
      <c r="E521" s="166">
        <f>IFERROR(__xludf.DUMMYFUNCTION("""COMPUTED_VALUE"""),45798.0)</f>
        <v>45798</v>
      </c>
      <c r="F521" s="206"/>
      <c r="G521" s="167">
        <f>IFERROR(__xludf.DUMMYFUNCTION("""COMPUTED_VALUE"""),4.800000000000001)</f>
        <v>4.8</v>
      </c>
      <c r="H521" s="166">
        <f>IFERROR(__xludf.DUMMYFUNCTION("""COMPUTED_VALUE"""),37714.0)</f>
        <v>37714</v>
      </c>
      <c r="I521" s="167">
        <f>IFERROR(__xludf.DUMMYFUNCTION("""COMPUTED_VALUE"""),22.133333333333333)</f>
        <v>22.13333333</v>
      </c>
      <c r="J521" s="168"/>
      <c r="K521" s="168"/>
      <c r="L521" s="207"/>
      <c r="M521" s="207"/>
    </row>
    <row r="522">
      <c r="A522" s="203" t="str">
        <f>IFERROR(__xludf.DUMMYFUNCTION("""COMPUTED_VALUE"""),"Spider Fighter")</f>
        <v>Spider Fighter</v>
      </c>
      <c r="B522" s="204" t="str">
        <f>IFERROR(__xludf.DUMMYFUNCTION("""COMPUTED_VALUE"""),"Xbox / PC")</f>
        <v>Xbox / PC</v>
      </c>
      <c r="C522" s="205" t="str">
        <f>IFERROR(__xludf.DUMMYFUNCTION("""COMPUTED_VALUE"""),"Yes")</f>
        <v>Yes</v>
      </c>
      <c r="D522" s="205" t="str">
        <f>IFERROR(__xludf.DUMMYFUNCTION("""COMPUTED_VALUE"""),"Active")</f>
        <v>Active</v>
      </c>
      <c r="E522" s="166">
        <f>IFERROR(__xludf.DUMMYFUNCTION("""COMPUTED_VALUE"""),45798.0)</f>
        <v>45798</v>
      </c>
      <c r="F522" s="206"/>
      <c r="G522" s="167">
        <f>IFERROR(__xludf.DUMMYFUNCTION("""COMPUTED_VALUE"""),4.800000000000001)</f>
        <v>4.8</v>
      </c>
      <c r="H522" s="166">
        <f>IFERROR(__xludf.DUMMYFUNCTION("""COMPUTED_VALUE"""),30317.0)</f>
        <v>30317</v>
      </c>
      <c r="I522" s="167">
        <f>IFERROR(__xludf.DUMMYFUNCTION("""COMPUTED_VALUE"""),42.388888888888886)</f>
        <v>42.38888889</v>
      </c>
      <c r="J522" s="168"/>
      <c r="K522" s="168"/>
      <c r="L522" s="207"/>
      <c r="M522" s="207"/>
    </row>
    <row r="523">
      <c r="A523" s="203" t="str">
        <f>IFERROR(__xludf.DUMMYFUNCTION("""COMPUTED_VALUE"""),"Star Voyager")</f>
        <v>Star Voyager</v>
      </c>
      <c r="B523" s="204" t="str">
        <f>IFERROR(__xludf.DUMMYFUNCTION("""COMPUTED_VALUE"""),"Xbox / PC")</f>
        <v>Xbox / PC</v>
      </c>
      <c r="C523" s="205" t="str">
        <f>IFERROR(__xludf.DUMMYFUNCTION("""COMPUTED_VALUE"""),"Yes")</f>
        <v>Yes</v>
      </c>
      <c r="D523" s="205" t="str">
        <f>IFERROR(__xludf.DUMMYFUNCTION("""COMPUTED_VALUE"""),"Active")</f>
        <v>Active</v>
      </c>
      <c r="E523" s="166">
        <f>IFERROR(__xludf.DUMMYFUNCTION("""COMPUTED_VALUE"""),45798.0)</f>
        <v>45798</v>
      </c>
      <c r="F523" s="206"/>
      <c r="G523" s="167">
        <f>IFERROR(__xludf.DUMMYFUNCTION("""COMPUTED_VALUE"""),4.800000000000001)</f>
        <v>4.8</v>
      </c>
      <c r="H523" s="166">
        <f>IFERROR(__xludf.DUMMYFUNCTION("""COMPUTED_VALUE"""),30042.0)</f>
        <v>30042</v>
      </c>
      <c r="I523" s="167">
        <f>IFERROR(__xludf.DUMMYFUNCTION("""COMPUTED_VALUE"""),43.138888888888886)</f>
        <v>43.13888889</v>
      </c>
      <c r="J523" s="168"/>
      <c r="K523" s="168"/>
      <c r="L523" s="207"/>
      <c r="M523" s="207"/>
    </row>
    <row r="524">
      <c r="A524" s="203" t="str">
        <f>IFERROR(__xludf.DUMMYFUNCTION("""COMPUTED_VALUE"""),"Tennis")</f>
        <v>Tennis</v>
      </c>
      <c r="B524" s="204" t="str">
        <f>IFERROR(__xludf.DUMMYFUNCTION("""COMPUTED_VALUE"""),"Xbox / PC")</f>
        <v>Xbox / PC</v>
      </c>
      <c r="C524" s="205" t="str">
        <f>IFERROR(__xludf.DUMMYFUNCTION("""COMPUTED_VALUE"""),"Yes")</f>
        <v>Yes</v>
      </c>
      <c r="D524" s="205" t="str">
        <f>IFERROR(__xludf.DUMMYFUNCTION("""COMPUTED_VALUE"""),"Active")</f>
        <v>Active</v>
      </c>
      <c r="E524" s="166">
        <f>IFERROR(__xludf.DUMMYFUNCTION("""COMPUTED_VALUE"""),45798.0)</f>
        <v>45798</v>
      </c>
      <c r="F524" s="206"/>
      <c r="G524" s="167">
        <f>IFERROR(__xludf.DUMMYFUNCTION("""COMPUTED_VALUE"""),4.800000000000001)</f>
        <v>4.8</v>
      </c>
      <c r="H524" s="166">
        <f>IFERROR(__xludf.DUMMYFUNCTION("""COMPUTED_VALUE"""),29646.0)</f>
        <v>29646</v>
      </c>
      <c r="I524" s="167">
        <f>IFERROR(__xludf.DUMMYFUNCTION("""COMPUTED_VALUE"""),44.22222222222222)</f>
        <v>44.22222222</v>
      </c>
      <c r="J524" s="168"/>
      <c r="K524" s="168"/>
      <c r="L524" s="207"/>
      <c r="M524" s="207"/>
    </row>
    <row r="525">
      <c r="A525" s="203" t="str">
        <f>IFERROR(__xludf.DUMMYFUNCTION("""COMPUTED_VALUE"""),"The Adventures of Willy Beamish")</f>
        <v>The Adventures of Willy Beamish</v>
      </c>
      <c r="B525" s="204" t="str">
        <f>IFERROR(__xludf.DUMMYFUNCTION("""COMPUTED_VALUE"""),"Xbox / PC")</f>
        <v>Xbox / PC</v>
      </c>
      <c r="C525" s="205" t="str">
        <f>IFERROR(__xludf.DUMMYFUNCTION("""COMPUTED_VALUE"""),"Yes")</f>
        <v>Yes</v>
      </c>
      <c r="D525" s="205" t="str">
        <f>IFERROR(__xludf.DUMMYFUNCTION("""COMPUTED_VALUE"""),"Active")</f>
        <v>Active</v>
      </c>
      <c r="E525" s="166">
        <f>IFERROR(__xludf.DUMMYFUNCTION("""COMPUTED_VALUE"""),45798.0)</f>
        <v>45798</v>
      </c>
      <c r="F525" s="206"/>
      <c r="G525" s="167">
        <f>IFERROR(__xludf.DUMMYFUNCTION("""COMPUTED_VALUE"""),4.800000000000001)</f>
        <v>4.8</v>
      </c>
      <c r="H525" s="166">
        <f>IFERROR(__xludf.DUMMYFUNCTION("""COMPUTED_VALUE"""),33239.0)</f>
        <v>33239</v>
      </c>
      <c r="I525" s="167">
        <f>IFERROR(__xludf.DUMMYFUNCTION("""COMPUTED_VALUE"""),34.388888888888886)</f>
        <v>34.38888889</v>
      </c>
      <c r="J525" s="168"/>
      <c r="K525" s="168"/>
      <c r="L525" s="207"/>
      <c r="M525" s="207"/>
    </row>
    <row r="526">
      <c r="A526" s="203" t="str">
        <f>IFERROR(__xludf.DUMMYFUNCTION("""COMPUTED_VALUE"""),"The Dagger of Amon Ra")</f>
        <v>The Dagger of Amon Ra</v>
      </c>
      <c r="B526" s="204" t="str">
        <f>IFERROR(__xludf.DUMMYFUNCTION("""COMPUTED_VALUE"""),"Xbox / PC")</f>
        <v>Xbox / PC</v>
      </c>
      <c r="C526" s="205" t="str">
        <f>IFERROR(__xludf.DUMMYFUNCTION("""COMPUTED_VALUE"""),"Yes")</f>
        <v>Yes</v>
      </c>
      <c r="D526" s="205" t="str">
        <f>IFERROR(__xludf.DUMMYFUNCTION("""COMPUTED_VALUE"""),"Active")</f>
        <v>Active</v>
      </c>
      <c r="E526" s="166">
        <f>IFERROR(__xludf.DUMMYFUNCTION("""COMPUTED_VALUE"""),45798.0)</f>
        <v>45798</v>
      </c>
      <c r="F526" s="206"/>
      <c r="G526" s="167">
        <f>IFERROR(__xludf.DUMMYFUNCTION("""COMPUTED_VALUE"""),4.800000000000001)</f>
        <v>4.8</v>
      </c>
      <c r="H526" s="166">
        <f>IFERROR(__xludf.DUMMYFUNCTION("""COMPUTED_VALUE"""),33604.0)</f>
        <v>33604</v>
      </c>
      <c r="I526" s="167">
        <f>IFERROR(__xludf.DUMMYFUNCTION("""COMPUTED_VALUE"""),33.388888888888886)</f>
        <v>33.38888889</v>
      </c>
      <c r="J526" s="168"/>
      <c r="K526" s="168"/>
      <c r="L526" s="207"/>
      <c r="M526" s="207"/>
    </row>
    <row r="527">
      <c r="A527" s="203" t="str">
        <f>IFERROR(__xludf.DUMMYFUNCTION("""COMPUTED_VALUE"""),"Thwocker")</f>
        <v>Thwocker</v>
      </c>
      <c r="B527" s="204" t="str">
        <f>IFERROR(__xludf.DUMMYFUNCTION("""COMPUTED_VALUE"""),"Xbox / PC")</f>
        <v>Xbox / PC</v>
      </c>
      <c r="C527" s="205" t="str">
        <f>IFERROR(__xludf.DUMMYFUNCTION("""COMPUTED_VALUE"""),"Yes")</f>
        <v>Yes</v>
      </c>
      <c r="D527" s="205" t="str">
        <f>IFERROR(__xludf.DUMMYFUNCTION("""COMPUTED_VALUE"""),"Active")</f>
        <v>Active</v>
      </c>
      <c r="E527" s="166">
        <f>IFERROR(__xludf.DUMMYFUNCTION("""COMPUTED_VALUE"""),45798.0)</f>
        <v>45798</v>
      </c>
      <c r="F527" s="206"/>
      <c r="G527" s="167">
        <f>IFERROR(__xludf.DUMMYFUNCTION("""COMPUTED_VALUE"""),4.800000000000001)</f>
        <v>4.8</v>
      </c>
      <c r="H527" s="166">
        <f>IFERROR(__xludf.DUMMYFUNCTION("""COMPUTED_VALUE"""),30682.0)</f>
        <v>30682</v>
      </c>
      <c r="I527" s="167">
        <f>IFERROR(__xludf.DUMMYFUNCTION("""COMPUTED_VALUE"""),41.388888888888886)</f>
        <v>41.38888889</v>
      </c>
      <c r="J527" s="168"/>
      <c r="K527" s="168"/>
      <c r="L527" s="207"/>
      <c r="M527" s="207"/>
    </row>
    <row r="528">
      <c r="A528" s="203" t="str">
        <f>IFERROR(__xludf.DUMMYFUNCTION("""COMPUTED_VALUE"""),"Title Match Pro Wrestling")</f>
        <v>Title Match Pro Wrestling</v>
      </c>
      <c r="B528" s="204" t="str">
        <f>IFERROR(__xludf.DUMMYFUNCTION("""COMPUTED_VALUE"""),"Xbox / PC")</f>
        <v>Xbox / PC</v>
      </c>
      <c r="C528" s="205" t="str">
        <f>IFERROR(__xludf.DUMMYFUNCTION("""COMPUTED_VALUE"""),"Yes")</f>
        <v>Yes</v>
      </c>
      <c r="D528" s="205" t="str">
        <f>IFERROR(__xludf.DUMMYFUNCTION("""COMPUTED_VALUE"""),"Active")</f>
        <v>Active</v>
      </c>
      <c r="E528" s="166">
        <f>IFERROR(__xludf.DUMMYFUNCTION("""COMPUTED_VALUE"""),45798.0)</f>
        <v>45798</v>
      </c>
      <c r="F528" s="206"/>
      <c r="G528" s="167">
        <f>IFERROR(__xludf.DUMMYFUNCTION("""COMPUTED_VALUE"""),4.800000000000001)</f>
        <v>4.8</v>
      </c>
      <c r="H528" s="166">
        <f>IFERROR(__xludf.DUMMYFUNCTION("""COMPUTED_VALUE"""),31972.0)</f>
        <v>31972</v>
      </c>
      <c r="I528" s="167">
        <f>IFERROR(__xludf.DUMMYFUNCTION("""COMPUTED_VALUE"""),37.852777777777774)</f>
        <v>37.85277778</v>
      </c>
      <c r="J528" s="168"/>
      <c r="K528" s="168"/>
      <c r="L528" s="207"/>
      <c r="M528" s="207"/>
    </row>
    <row r="529">
      <c r="A529" s="203" t="str">
        <f>IFERROR(__xludf.DUMMYFUNCTION("""COMPUTED_VALUE"""),"Torin's Passage")</f>
        <v>Torin's Passage</v>
      </c>
      <c r="B529" s="204" t="str">
        <f>IFERROR(__xludf.DUMMYFUNCTION("""COMPUTED_VALUE"""),"Xbox / PC")</f>
        <v>Xbox / PC</v>
      </c>
      <c r="C529" s="205" t="str">
        <f>IFERROR(__xludf.DUMMYFUNCTION("""COMPUTED_VALUE"""),"Yes")</f>
        <v>Yes</v>
      </c>
      <c r="D529" s="205" t="str">
        <f>IFERROR(__xludf.DUMMYFUNCTION("""COMPUTED_VALUE"""),"Active")</f>
        <v>Active</v>
      </c>
      <c r="E529" s="166">
        <f>IFERROR(__xludf.DUMMYFUNCTION("""COMPUTED_VALUE"""),45798.0)</f>
        <v>45798</v>
      </c>
      <c r="F529" s="206"/>
      <c r="G529" s="167">
        <f>IFERROR(__xludf.DUMMYFUNCTION("""COMPUTED_VALUE"""),4.800000000000001)</f>
        <v>4.8</v>
      </c>
      <c r="H529" s="166">
        <f>IFERROR(__xludf.DUMMYFUNCTION("""COMPUTED_VALUE"""),35003.0)</f>
        <v>35003</v>
      </c>
      <c r="I529" s="167">
        <f>IFERROR(__xludf.DUMMYFUNCTION("""COMPUTED_VALUE"""),29.558333333333334)</f>
        <v>29.55833333</v>
      </c>
      <c r="J529" s="168"/>
      <c r="K529" s="168"/>
      <c r="L529" s="207"/>
      <c r="M529" s="207"/>
    </row>
    <row r="530">
      <c r="A530" s="203" t="str">
        <f>IFERROR(__xludf.DUMMYFUNCTION("""COMPUTED_VALUE"""),"Trick Shot")</f>
        <v>Trick Shot</v>
      </c>
      <c r="B530" s="204" t="str">
        <f>IFERROR(__xludf.DUMMYFUNCTION("""COMPUTED_VALUE"""),"Xbox / PC")</f>
        <v>Xbox / PC</v>
      </c>
      <c r="C530" s="205" t="str">
        <f>IFERROR(__xludf.DUMMYFUNCTION("""COMPUTED_VALUE"""),"Yes")</f>
        <v>Yes</v>
      </c>
      <c r="D530" s="205" t="str">
        <f>IFERROR(__xludf.DUMMYFUNCTION("""COMPUTED_VALUE"""),"Active")</f>
        <v>Active</v>
      </c>
      <c r="E530" s="166">
        <f>IFERROR(__xludf.DUMMYFUNCTION("""COMPUTED_VALUE"""),45798.0)</f>
        <v>45798</v>
      </c>
      <c r="F530" s="206"/>
      <c r="G530" s="167">
        <f>IFERROR(__xludf.DUMMYFUNCTION("""COMPUTED_VALUE"""),4.800000000000001)</f>
        <v>4.8</v>
      </c>
      <c r="H530" s="166">
        <f>IFERROR(__xludf.DUMMYFUNCTION("""COMPUTED_VALUE"""),29952.0)</f>
        <v>29952</v>
      </c>
      <c r="I530" s="167">
        <f>IFERROR(__xludf.DUMMYFUNCTION("""COMPUTED_VALUE"""),43.388888888888886)</f>
        <v>43.38888889</v>
      </c>
      <c r="J530" s="168"/>
      <c r="K530" s="168"/>
      <c r="L530" s="207"/>
      <c r="M530" s="207"/>
    </row>
    <row r="531">
      <c r="A531" s="203" t="str">
        <f>IFERROR(__xludf.DUMMYFUNCTION("""COMPUTED_VALUE"""),"Vault Assault")</f>
        <v>Vault Assault</v>
      </c>
      <c r="B531" s="204" t="str">
        <f>IFERROR(__xludf.DUMMYFUNCTION("""COMPUTED_VALUE"""),"Xbox / PC")</f>
        <v>Xbox / PC</v>
      </c>
      <c r="C531" s="205" t="str">
        <f>IFERROR(__xludf.DUMMYFUNCTION("""COMPUTED_VALUE"""),"Yes")</f>
        <v>Yes</v>
      </c>
      <c r="D531" s="205" t="str">
        <f>IFERROR(__xludf.DUMMYFUNCTION("""COMPUTED_VALUE"""),"Active")</f>
        <v>Active</v>
      </c>
      <c r="E531" s="166">
        <f>IFERROR(__xludf.DUMMYFUNCTION("""COMPUTED_VALUE"""),45798.0)</f>
        <v>45798</v>
      </c>
      <c r="F531" s="206"/>
      <c r="G531" s="167">
        <f>IFERROR(__xludf.DUMMYFUNCTION("""COMPUTED_VALUE"""),4.800000000000001)</f>
        <v>4.8</v>
      </c>
      <c r="H531" s="166">
        <f>IFERROR(__xludf.DUMMYFUNCTION("""COMPUTED_VALUE"""),37114.0)</f>
        <v>37114</v>
      </c>
      <c r="I531" s="167">
        <f>IFERROR(__xludf.DUMMYFUNCTION("""COMPUTED_VALUE"""),23.77777777777778)</f>
        <v>23.77777778</v>
      </c>
      <c r="J531" s="168"/>
      <c r="K531" s="168"/>
      <c r="L531" s="207"/>
      <c r="M531" s="207"/>
    </row>
    <row r="532">
      <c r="A532" s="203" t="str">
        <f>IFERROR(__xludf.DUMMYFUNCTION("""COMPUTED_VALUE"""),"Venetian Blinds")</f>
        <v>Venetian Blinds</v>
      </c>
      <c r="B532" s="204" t="str">
        <f>IFERROR(__xludf.DUMMYFUNCTION("""COMPUTED_VALUE"""),"Xbox / PC")</f>
        <v>Xbox / PC</v>
      </c>
      <c r="C532" s="205" t="str">
        <f>IFERROR(__xludf.DUMMYFUNCTION("""COMPUTED_VALUE"""),"Yes")</f>
        <v>Yes</v>
      </c>
      <c r="D532" s="205" t="str">
        <f>IFERROR(__xludf.DUMMYFUNCTION("""COMPUTED_VALUE"""),"Active")</f>
        <v>Active</v>
      </c>
      <c r="E532" s="166">
        <f>IFERROR(__xludf.DUMMYFUNCTION("""COMPUTED_VALUE"""),45798.0)</f>
        <v>45798</v>
      </c>
      <c r="F532" s="206"/>
      <c r="G532" s="167">
        <f>IFERROR(__xludf.DUMMYFUNCTION("""COMPUTED_VALUE"""),4.800000000000001)</f>
        <v>4.8</v>
      </c>
      <c r="H532" s="166">
        <f>IFERROR(__xludf.DUMMYFUNCTION("""COMPUTED_VALUE"""),29587.0)</f>
        <v>29587</v>
      </c>
      <c r="I532" s="167">
        <f>IFERROR(__xludf.DUMMYFUNCTION("""COMPUTED_VALUE"""),44.388888888888886)</f>
        <v>44.38888889</v>
      </c>
      <c r="J532" s="168"/>
      <c r="K532" s="168"/>
      <c r="L532" s="207"/>
      <c r="M532" s="207"/>
    </row>
    <row r="533">
      <c r="A533" s="203" t="str">
        <f>IFERROR(__xludf.DUMMYFUNCTION("""COMPUTED_VALUE"""),"Zork I: The Great Underground ")</f>
        <v>Zork I: The Great Underground </v>
      </c>
      <c r="B533" s="204" t="str">
        <f>IFERROR(__xludf.DUMMYFUNCTION("""COMPUTED_VALUE"""),"Xbox / PC")</f>
        <v>Xbox / PC</v>
      </c>
      <c r="C533" s="205" t="str">
        <f>IFERROR(__xludf.DUMMYFUNCTION("""COMPUTED_VALUE"""),"Yes")</f>
        <v>Yes</v>
      </c>
      <c r="D533" s="205" t="str">
        <f>IFERROR(__xludf.DUMMYFUNCTION("""COMPUTED_VALUE"""),"Active")</f>
        <v>Active</v>
      </c>
      <c r="E533" s="166">
        <f>IFERROR(__xludf.DUMMYFUNCTION("""COMPUTED_VALUE"""),45798.0)</f>
        <v>45798</v>
      </c>
      <c r="F533" s="206"/>
      <c r="G533" s="167">
        <f>IFERROR(__xludf.DUMMYFUNCTION("""COMPUTED_VALUE"""),4.800000000000001)</f>
        <v>4.8</v>
      </c>
      <c r="H533" s="166">
        <f>IFERROR(__xludf.DUMMYFUNCTION("""COMPUTED_VALUE"""),29221.0)</f>
        <v>29221</v>
      </c>
      <c r="I533" s="167">
        <f>IFERROR(__xludf.DUMMYFUNCTION("""COMPUTED_VALUE"""),45.388888888888886)</f>
        <v>45.38888889</v>
      </c>
      <c r="J533" s="168"/>
      <c r="K533" s="168"/>
      <c r="L533" s="207" t="str">
        <f>IFERROR(__xludf.DUMMYFUNCTION("""COMPUTED_VALUE"""),"Text Adventure")</f>
        <v>Text Adventure</v>
      </c>
      <c r="M533" s="207"/>
    </row>
    <row r="534">
      <c r="A534" s="203" t="str">
        <f>IFERROR(__xludf.DUMMYFUNCTION("""COMPUTED_VALUE"""),"Zork Zero: The Revenge of Megaboz")</f>
        <v>Zork Zero: The Revenge of Megaboz</v>
      </c>
      <c r="B534" s="204" t="str">
        <f>IFERROR(__xludf.DUMMYFUNCTION("""COMPUTED_VALUE"""),"Xbox / PC")</f>
        <v>Xbox / PC</v>
      </c>
      <c r="C534" s="205" t="str">
        <f>IFERROR(__xludf.DUMMYFUNCTION("""COMPUTED_VALUE"""),"Yes")</f>
        <v>Yes</v>
      </c>
      <c r="D534" s="205" t="str">
        <f>IFERROR(__xludf.DUMMYFUNCTION("""COMPUTED_VALUE"""),"Active")</f>
        <v>Active</v>
      </c>
      <c r="E534" s="166">
        <f>IFERROR(__xludf.DUMMYFUNCTION("""COMPUTED_VALUE"""),45798.0)</f>
        <v>45798</v>
      </c>
      <c r="F534" s="206"/>
      <c r="G534" s="167">
        <f>IFERROR(__xludf.DUMMYFUNCTION("""COMPUTED_VALUE"""),4.800000000000001)</f>
        <v>4.8</v>
      </c>
      <c r="H534" s="166">
        <f>IFERROR(__xludf.DUMMYFUNCTION("""COMPUTED_VALUE"""),32435.0)</f>
        <v>32435</v>
      </c>
      <c r="I534" s="167">
        <f>IFERROR(__xludf.DUMMYFUNCTION("""COMPUTED_VALUE"""),36.58888888888889)</f>
        <v>36.58888889</v>
      </c>
      <c r="J534" s="168"/>
      <c r="K534" s="168"/>
      <c r="L534" s="207" t="str">
        <f>IFERROR(__xludf.DUMMYFUNCTION("""COMPUTED_VALUE"""),"Text Adventure")</f>
        <v>Text Adventure</v>
      </c>
      <c r="M534" s="207"/>
    </row>
    <row r="535">
      <c r="A535" s="203" t="str">
        <f>IFERROR(__xludf.DUMMYFUNCTION("""COMPUTED_VALUE"""),"Towerborne (Game Preview)")</f>
        <v>Towerborne (Game Preview)</v>
      </c>
      <c r="B535" s="204" t="str">
        <f>IFERROR(__xludf.DUMMYFUNCTION("""COMPUTED_VALUE"""),"Xbox / PC")</f>
        <v>Xbox / PC</v>
      </c>
      <c r="C535" s="205" t="str">
        <f>IFERROR(__xludf.DUMMYFUNCTION("""COMPUTED_VALUE"""),"Yes")</f>
        <v>Yes</v>
      </c>
      <c r="D535" s="205" t="str">
        <f>IFERROR(__xludf.DUMMYFUNCTION("""COMPUTED_VALUE"""),"Active")</f>
        <v>Active</v>
      </c>
      <c r="E535" s="166">
        <f>IFERROR(__xludf.DUMMYFUNCTION("""COMPUTED_VALUE"""),45776.0)</f>
        <v>45776</v>
      </c>
      <c r="F535" s="206"/>
      <c r="G535" s="167">
        <f>IFERROR(__xludf.DUMMYFUNCTION("""COMPUTED_VALUE"""),5.533333333333333)</f>
        <v>5.533333333</v>
      </c>
      <c r="H535" s="166">
        <f>IFERROR(__xludf.DUMMYFUNCTION("""COMPUTED_VALUE"""),45776.0)</f>
        <v>45776</v>
      </c>
      <c r="I535" s="167">
        <f>IFERROR(__xludf.DUMMYFUNCTION("""COMPUTED_VALUE"""),0.0)</f>
        <v>0</v>
      </c>
      <c r="J535" s="168"/>
      <c r="K535" s="168"/>
      <c r="L535" s="207" t="str">
        <f>IFERROR(__xludf.DUMMYFUNCTION("""COMPUTED_VALUE"""),"Beat-'Em-Up ")</f>
        <v>Beat-'Em-Up </v>
      </c>
      <c r="M535" s="207" t="str">
        <f>IFERROR(__xludf.DUMMYFUNCTION("""COMPUTED_VALUE"""),"Exclusive")</f>
        <v>Exclusive</v>
      </c>
    </row>
    <row r="536">
      <c r="A536" s="203" t="str">
        <f>IFERROR(__xludf.DUMMYFUNCTION("""COMPUTED_VALUE"""),"33 Immortals (Game Preview)")</f>
        <v>33 Immortals (Game Preview)</v>
      </c>
      <c r="B536" s="204" t="str">
        <f>IFERROR(__xludf.DUMMYFUNCTION("""COMPUTED_VALUE"""),"Xbox / PC")</f>
        <v>Xbox / PC</v>
      </c>
      <c r="C536" s="205" t="str">
        <f>IFERROR(__xludf.DUMMYFUNCTION("""COMPUTED_VALUE"""),"Yes")</f>
        <v>Yes</v>
      </c>
      <c r="D536" s="205" t="str">
        <f>IFERROR(__xludf.DUMMYFUNCTION("""COMPUTED_VALUE"""),"Active")</f>
        <v>Active</v>
      </c>
      <c r="E536" s="166">
        <f>IFERROR(__xludf.DUMMYFUNCTION("""COMPUTED_VALUE"""),45734.0)</f>
        <v>45734</v>
      </c>
      <c r="F536" s="206"/>
      <c r="G536" s="167">
        <f>IFERROR(__xludf.DUMMYFUNCTION("""COMPUTED_VALUE"""),6.8999999999999995)</f>
        <v>6.9</v>
      </c>
      <c r="H536" s="166">
        <f>IFERROR(__xludf.DUMMYFUNCTION("""COMPUTED_VALUE"""),45734.0)</f>
        <v>45734</v>
      </c>
      <c r="I536" s="167">
        <f>IFERROR(__xludf.DUMMYFUNCTION("""COMPUTED_VALUE"""),0.0)</f>
        <v>0</v>
      </c>
      <c r="J536" s="168"/>
      <c r="K536" s="168">
        <f>IFERROR(__xludf.DUMMYFUNCTION("""COMPUTED_VALUE"""),5.0)</f>
        <v>5</v>
      </c>
      <c r="L536" s="207" t="str">
        <f>IFERROR(__xludf.DUMMYFUNCTION("""COMPUTED_VALUE"""),"RPG")</f>
        <v>RPG</v>
      </c>
      <c r="M536" s="207" t="str">
        <f>IFERROR(__xludf.DUMMYFUNCTION("""COMPUTED_VALUE"""),"Exclusive")</f>
        <v>Exclusive</v>
      </c>
    </row>
    <row r="537">
      <c r="A537" s="203" t="str">
        <f>IFERROR(__xludf.DUMMYFUNCTION("""COMPUTED_VALUE"""),"Overthrown (Game Preview)")</f>
        <v>Overthrown (Game Preview)</v>
      </c>
      <c r="B537" s="204" t="str">
        <f>IFERROR(__xludf.DUMMYFUNCTION("""COMPUTED_VALUE"""),"Xbox / PC")</f>
        <v>Xbox / PC</v>
      </c>
      <c r="C537" s="205" t="str">
        <f>IFERROR(__xludf.DUMMYFUNCTION("""COMPUTED_VALUE"""),"Yes")</f>
        <v>Yes</v>
      </c>
      <c r="D537" s="205" t="str">
        <f>IFERROR(__xludf.DUMMYFUNCTION("""COMPUTED_VALUE"""),"Active")</f>
        <v>Active</v>
      </c>
      <c r="E537" s="166">
        <f>IFERROR(__xludf.DUMMYFUNCTION("""COMPUTED_VALUE"""),45631.0)</f>
        <v>45631</v>
      </c>
      <c r="F537" s="206"/>
      <c r="G537" s="167">
        <f>IFERROR(__xludf.DUMMYFUNCTION("""COMPUTED_VALUE"""),10.333333333333334)</f>
        <v>10.33333333</v>
      </c>
      <c r="H537" s="166">
        <f>IFERROR(__xludf.DUMMYFUNCTION("""COMPUTED_VALUE"""),45631.0)</f>
        <v>45631</v>
      </c>
      <c r="I537" s="167">
        <f>IFERROR(__xludf.DUMMYFUNCTION("""COMPUTED_VALUE"""),0.0)</f>
        <v>0</v>
      </c>
      <c r="J537" s="168"/>
      <c r="K537" s="168"/>
      <c r="L537" s="207" t="str">
        <f>IFERROR(__xludf.DUMMYFUNCTION("""COMPUTED_VALUE"""),"Sandbox")</f>
        <v>Sandbox</v>
      </c>
      <c r="M537" s="207" t="str">
        <f>IFERROR(__xludf.DUMMYFUNCTION("""COMPUTED_VALUE"""),"Exclusive")</f>
        <v>Exclusive</v>
      </c>
    </row>
    <row r="538">
      <c r="A538" s="203" t="str">
        <f>IFERROR(__xludf.DUMMYFUNCTION("""COMPUTED_VALUE"""),"Lightyear Frontier (Game Preview)")</f>
        <v>Lightyear Frontier (Game Preview)</v>
      </c>
      <c r="B538" s="204" t="str">
        <f>IFERROR(__xludf.DUMMYFUNCTION("""COMPUTED_VALUE"""),"Xbox / PC")</f>
        <v>Xbox / PC</v>
      </c>
      <c r="C538" s="205" t="str">
        <f>IFERROR(__xludf.DUMMYFUNCTION("""COMPUTED_VALUE"""),"Yes")</f>
        <v>Yes</v>
      </c>
      <c r="D538" s="205" t="str">
        <f>IFERROR(__xludf.DUMMYFUNCTION("""COMPUTED_VALUE"""),"Active")</f>
        <v>Active</v>
      </c>
      <c r="E538" s="166">
        <f>IFERROR(__xludf.DUMMYFUNCTION("""COMPUTED_VALUE"""),45370.0)</f>
        <v>45370</v>
      </c>
      <c r="F538" s="206"/>
      <c r="G538" s="167">
        <f>IFERROR(__xludf.DUMMYFUNCTION("""COMPUTED_VALUE"""),18.866666666666667)</f>
        <v>18.86666667</v>
      </c>
      <c r="H538" s="166">
        <f>IFERROR(__xludf.DUMMYFUNCTION("""COMPUTED_VALUE"""),45370.0)</f>
        <v>45370</v>
      </c>
      <c r="I538" s="167">
        <f>IFERROR(__xludf.DUMMYFUNCTION("""COMPUTED_VALUE"""),0.0)</f>
        <v>0</v>
      </c>
      <c r="J538" s="168"/>
      <c r="K538" s="168"/>
      <c r="L538" s="207" t="str">
        <f>IFERROR(__xludf.DUMMYFUNCTION("""COMPUTED_VALUE"""),"Sandbox")</f>
        <v>Sandbox</v>
      </c>
      <c r="M538" s="207" t="str">
        <f>IFERROR(__xludf.DUMMYFUNCTION("""COMPUTED_VALUE"""),"Exclusive")</f>
        <v>Exclusive</v>
      </c>
    </row>
    <row r="539">
      <c r="A539" s="203" t="str">
        <f>IFERROR(__xludf.DUMMYFUNCTION("""COMPUTED_VALUE"""),"Palworld (Game Preview)")</f>
        <v>Palworld (Game Preview)</v>
      </c>
      <c r="B539" s="204" t="str">
        <f>IFERROR(__xludf.DUMMYFUNCTION("""COMPUTED_VALUE"""),"Xbox / PC")</f>
        <v>Xbox / PC</v>
      </c>
      <c r="C539" s="205" t="str">
        <f>IFERROR(__xludf.DUMMYFUNCTION("""COMPUTED_VALUE"""),"Yes")</f>
        <v>Yes</v>
      </c>
      <c r="D539" s="205" t="str">
        <f>IFERROR(__xludf.DUMMYFUNCTION("""COMPUTED_VALUE"""),"Active")</f>
        <v>Active</v>
      </c>
      <c r="E539" s="166">
        <f>IFERROR(__xludf.DUMMYFUNCTION("""COMPUTED_VALUE"""),45310.0)</f>
        <v>45310</v>
      </c>
      <c r="F539" s="206"/>
      <c r="G539" s="167">
        <f>IFERROR(__xludf.DUMMYFUNCTION("""COMPUTED_VALUE"""),20.866666666666667)</f>
        <v>20.86666667</v>
      </c>
      <c r="H539" s="166">
        <f>IFERROR(__xludf.DUMMYFUNCTION("""COMPUTED_VALUE"""),45310.0)</f>
        <v>45310</v>
      </c>
      <c r="I539" s="167">
        <f>IFERROR(__xludf.DUMMYFUNCTION("""COMPUTED_VALUE"""),0.0)</f>
        <v>0</v>
      </c>
      <c r="J539" s="168"/>
      <c r="K539" s="168">
        <f>IFERROR(__xludf.DUMMYFUNCTION("""COMPUTED_VALUE"""),31.0)</f>
        <v>31</v>
      </c>
      <c r="L539" s="207" t="str">
        <f>IFERROR(__xludf.DUMMYFUNCTION("""COMPUTED_VALUE"""),"Action")</f>
        <v>Action</v>
      </c>
      <c r="M539" s="207"/>
    </row>
    <row r="540">
      <c r="A540" s="203" t="str">
        <f>IFERROR(__xludf.DUMMYFUNCTION("""COMPUTED_VALUE"""),"Techtonica (Game Preview)")</f>
        <v>Techtonica (Game Preview)</v>
      </c>
      <c r="B540" s="204" t="str">
        <f>IFERROR(__xludf.DUMMYFUNCTION("""COMPUTED_VALUE"""),"Xbox / PC")</f>
        <v>Xbox / PC</v>
      </c>
      <c r="C540" s="205" t="str">
        <f>IFERROR(__xludf.DUMMYFUNCTION("""COMPUTED_VALUE"""),"Yes")</f>
        <v>Yes</v>
      </c>
      <c r="D540" s="205" t="str">
        <f>IFERROR(__xludf.DUMMYFUNCTION("""COMPUTED_VALUE"""),"Active")</f>
        <v>Active</v>
      </c>
      <c r="E540" s="166">
        <f>IFERROR(__xludf.DUMMYFUNCTION("""COMPUTED_VALUE"""),45125.0)</f>
        <v>45125</v>
      </c>
      <c r="F540" s="206"/>
      <c r="G540" s="167">
        <f>IFERROR(__xludf.DUMMYFUNCTION("""COMPUTED_VALUE"""),26.9)</f>
        <v>26.9</v>
      </c>
      <c r="H540" s="166">
        <f>IFERROR(__xludf.DUMMYFUNCTION("""COMPUTED_VALUE"""),45125.0)</f>
        <v>45125</v>
      </c>
      <c r="I540" s="167">
        <f>IFERROR(__xludf.DUMMYFUNCTION("""COMPUTED_VALUE"""),0.0)</f>
        <v>0</v>
      </c>
      <c r="J540" s="168"/>
      <c r="K540" s="168"/>
      <c r="L540" s="207" t="str">
        <f>IFERROR(__xludf.DUMMYFUNCTION("""COMPUTED_VALUE"""),"Strategy / Simulation")</f>
        <v>Strategy / Simulation</v>
      </c>
      <c r="M540" s="207"/>
    </row>
    <row r="541">
      <c r="A541" s="203"/>
      <c r="B541" s="204"/>
      <c r="C541" s="205"/>
      <c r="D541" s="205"/>
      <c r="E541" s="166"/>
      <c r="F541" s="206"/>
      <c r="G541" s="167"/>
      <c r="H541" s="166"/>
      <c r="I541" s="167"/>
      <c r="J541" s="168"/>
      <c r="K541" s="169"/>
      <c r="L541" s="207"/>
      <c r="M541" s="207"/>
    </row>
    <row r="542">
      <c r="A542" s="203"/>
      <c r="B542" s="204"/>
      <c r="C542" s="205"/>
      <c r="D542" s="205"/>
      <c r="E542" s="166"/>
      <c r="F542" s="206"/>
      <c r="G542" s="167"/>
      <c r="H542" s="166"/>
      <c r="I542" s="167"/>
      <c r="J542" s="168"/>
      <c r="K542" s="169"/>
      <c r="L542" s="207"/>
      <c r="M542" s="207"/>
    </row>
    <row r="543">
      <c r="A543" s="203"/>
      <c r="B543" s="204"/>
      <c r="C543" s="205"/>
      <c r="D543" s="205"/>
      <c r="E543" s="166"/>
      <c r="F543" s="206"/>
      <c r="G543" s="167"/>
      <c r="H543" s="166"/>
      <c r="I543" s="167"/>
      <c r="J543" s="168"/>
      <c r="K543" s="169"/>
      <c r="L543" s="207"/>
      <c r="M543" s="207"/>
    </row>
    <row r="544">
      <c r="A544" s="203"/>
      <c r="B544" s="204"/>
      <c r="C544" s="205"/>
      <c r="D544" s="205"/>
      <c r="E544" s="166"/>
      <c r="F544" s="206"/>
      <c r="G544" s="167"/>
      <c r="H544" s="166"/>
      <c r="I544" s="167"/>
      <c r="J544" s="168"/>
      <c r="K544" s="169"/>
      <c r="L544" s="207"/>
      <c r="M544" s="207"/>
    </row>
    <row r="545">
      <c r="A545" s="203"/>
      <c r="B545" s="204"/>
      <c r="C545" s="205"/>
      <c r="D545" s="205"/>
      <c r="E545" s="166"/>
      <c r="F545" s="206"/>
      <c r="G545" s="167"/>
      <c r="H545" s="166"/>
      <c r="I545" s="167"/>
      <c r="J545" s="168"/>
      <c r="K545" s="169"/>
      <c r="L545" s="207"/>
      <c r="M545" s="207"/>
    </row>
    <row r="546">
      <c r="A546" s="203"/>
      <c r="B546" s="204"/>
      <c r="C546" s="205"/>
      <c r="D546" s="205"/>
      <c r="E546" s="166"/>
      <c r="F546" s="206"/>
      <c r="G546" s="167"/>
      <c r="H546" s="166"/>
      <c r="I546" s="167"/>
      <c r="J546" s="168"/>
      <c r="K546" s="169"/>
      <c r="L546" s="207"/>
      <c r="M546" s="207"/>
    </row>
    <row r="547">
      <c r="A547" s="203"/>
      <c r="B547" s="204"/>
      <c r="C547" s="205"/>
      <c r="D547" s="205"/>
      <c r="E547" s="166"/>
      <c r="F547" s="206"/>
      <c r="G547" s="167"/>
      <c r="H547" s="166"/>
      <c r="I547" s="167"/>
      <c r="J547" s="168"/>
      <c r="K547" s="169"/>
      <c r="L547" s="207"/>
      <c r="M547" s="207"/>
    </row>
    <row r="548">
      <c r="A548" s="203"/>
      <c r="B548" s="204"/>
      <c r="C548" s="205"/>
      <c r="D548" s="205"/>
      <c r="E548" s="166"/>
      <c r="F548" s="206"/>
      <c r="G548" s="167"/>
      <c r="H548" s="166"/>
      <c r="I548" s="167"/>
      <c r="J548" s="168"/>
      <c r="K548" s="169"/>
      <c r="L548" s="207"/>
      <c r="M548" s="207"/>
    </row>
    <row r="549">
      <c r="A549" s="203"/>
      <c r="B549" s="204"/>
      <c r="C549" s="205"/>
      <c r="D549" s="205"/>
      <c r="E549" s="166"/>
      <c r="F549" s="206"/>
      <c r="G549" s="167"/>
      <c r="H549" s="166"/>
      <c r="I549" s="167"/>
      <c r="J549" s="168"/>
      <c r="K549" s="169"/>
      <c r="L549" s="207"/>
      <c r="M549" s="207"/>
    </row>
    <row r="550">
      <c r="A550" s="203"/>
      <c r="B550" s="204"/>
      <c r="C550" s="205"/>
      <c r="D550" s="205"/>
      <c r="E550" s="166"/>
      <c r="F550" s="206"/>
      <c r="G550" s="167"/>
      <c r="H550" s="166"/>
      <c r="I550" s="167"/>
      <c r="J550" s="168"/>
      <c r="K550" s="169"/>
      <c r="L550" s="207"/>
      <c r="M550" s="207"/>
    </row>
    <row r="551">
      <c r="A551" s="203"/>
      <c r="B551" s="204"/>
      <c r="C551" s="205"/>
      <c r="D551" s="205"/>
      <c r="E551" s="166"/>
      <c r="F551" s="206"/>
      <c r="G551" s="167"/>
      <c r="H551" s="166"/>
      <c r="I551" s="167"/>
      <c r="J551" s="168"/>
      <c r="K551" s="169"/>
      <c r="L551" s="207"/>
      <c r="M551" s="207"/>
    </row>
    <row r="552">
      <c r="A552" s="203"/>
      <c r="B552" s="204"/>
      <c r="C552" s="205"/>
      <c r="D552" s="205"/>
      <c r="E552" s="166"/>
      <c r="F552" s="206"/>
      <c r="G552" s="167"/>
      <c r="H552" s="166"/>
      <c r="I552" s="167"/>
      <c r="J552" s="168"/>
      <c r="K552" s="169"/>
      <c r="L552" s="207"/>
      <c r="M552" s="207"/>
    </row>
    <row r="553">
      <c r="A553" s="203"/>
      <c r="B553" s="204"/>
      <c r="C553" s="205"/>
      <c r="D553" s="205"/>
      <c r="E553" s="166"/>
      <c r="F553" s="206"/>
      <c r="G553" s="167"/>
      <c r="H553" s="166"/>
      <c r="I553" s="167"/>
      <c r="J553" s="168"/>
      <c r="K553" s="169"/>
      <c r="L553" s="207"/>
      <c r="M553" s="207"/>
    </row>
    <row r="554">
      <c r="A554" s="203"/>
      <c r="B554" s="204"/>
      <c r="C554" s="205"/>
      <c r="D554" s="205"/>
      <c r="E554" s="166"/>
      <c r="F554" s="206"/>
      <c r="G554" s="167"/>
      <c r="H554" s="166"/>
      <c r="I554" s="167"/>
      <c r="J554" s="168"/>
      <c r="K554" s="169"/>
      <c r="L554" s="207"/>
      <c r="M554" s="207"/>
    </row>
    <row r="555">
      <c r="A555" s="203"/>
      <c r="B555" s="204"/>
      <c r="C555" s="205"/>
      <c r="D555" s="205"/>
      <c r="E555" s="166"/>
      <c r="F555" s="206"/>
      <c r="G555" s="167"/>
      <c r="H555" s="166"/>
      <c r="I555" s="167"/>
      <c r="J555" s="168"/>
      <c r="K555" s="169"/>
      <c r="L555" s="207"/>
      <c r="M555" s="207"/>
    </row>
    <row r="556">
      <c r="A556" s="203"/>
      <c r="B556" s="204"/>
      <c r="C556" s="205"/>
      <c r="D556" s="205"/>
      <c r="E556" s="166"/>
      <c r="F556" s="206"/>
      <c r="G556" s="167"/>
      <c r="H556" s="166"/>
      <c r="I556" s="167"/>
      <c r="J556" s="168"/>
      <c r="K556" s="169"/>
      <c r="L556" s="207"/>
      <c r="M556" s="207"/>
    </row>
    <row r="557">
      <c r="A557" s="203"/>
      <c r="B557" s="204"/>
      <c r="C557" s="205"/>
      <c r="D557" s="205"/>
      <c r="E557" s="166"/>
      <c r="F557" s="206"/>
      <c r="G557" s="167"/>
      <c r="H557" s="166"/>
      <c r="I557" s="167"/>
      <c r="J557" s="168"/>
      <c r="K557" s="169"/>
      <c r="L557" s="207"/>
      <c r="M557" s="207"/>
    </row>
    <row r="558">
      <c r="A558" s="203"/>
      <c r="B558" s="204"/>
      <c r="C558" s="205"/>
      <c r="D558" s="205"/>
      <c r="E558" s="166"/>
      <c r="F558" s="206"/>
      <c r="G558" s="167"/>
      <c r="H558" s="166"/>
      <c r="I558" s="167"/>
      <c r="J558" s="168"/>
      <c r="K558" s="169"/>
      <c r="L558" s="207"/>
      <c r="M558" s="207"/>
    </row>
    <row r="559">
      <c r="A559" s="203"/>
      <c r="B559" s="204"/>
      <c r="C559" s="205"/>
      <c r="D559" s="205"/>
      <c r="E559" s="166"/>
      <c r="F559" s="206"/>
      <c r="G559" s="167"/>
      <c r="H559" s="166"/>
      <c r="I559" s="167"/>
      <c r="J559" s="168"/>
      <c r="K559" s="169"/>
      <c r="L559" s="207"/>
      <c r="M559" s="207"/>
    </row>
    <row r="560">
      <c r="A560" s="203"/>
      <c r="B560" s="204"/>
      <c r="C560" s="205"/>
      <c r="D560" s="205"/>
      <c r="E560" s="166"/>
      <c r="F560" s="206"/>
      <c r="G560" s="167"/>
      <c r="H560" s="166"/>
      <c r="I560" s="167"/>
      <c r="J560" s="168"/>
      <c r="K560" s="169"/>
      <c r="L560" s="207"/>
      <c r="M560" s="207"/>
    </row>
    <row r="561">
      <c r="A561" s="203"/>
      <c r="B561" s="204"/>
      <c r="C561" s="205"/>
      <c r="D561" s="205"/>
      <c r="E561" s="166"/>
      <c r="F561" s="206"/>
      <c r="G561" s="167"/>
      <c r="H561" s="166"/>
      <c r="I561" s="167"/>
      <c r="J561" s="168"/>
      <c r="K561" s="169"/>
      <c r="L561" s="207"/>
      <c r="M561" s="207"/>
    </row>
    <row r="562">
      <c r="A562" s="203"/>
      <c r="B562" s="204"/>
      <c r="C562" s="205"/>
      <c r="D562" s="205"/>
      <c r="E562" s="166"/>
      <c r="F562" s="206"/>
      <c r="G562" s="167"/>
      <c r="H562" s="166"/>
      <c r="I562" s="167"/>
      <c r="J562" s="168"/>
      <c r="K562" s="169"/>
      <c r="L562" s="207"/>
      <c r="M562" s="207"/>
    </row>
    <row r="563">
      <c r="A563" s="203"/>
      <c r="B563" s="204"/>
      <c r="C563" s="205"/>
      <c r="D563" s="205"/>
      <c r="E563" s="166"/>
      <c r="F563" s="206"/>
      <c r="G563" s="167"/>
      <c r="H563" s="166"/>
      <c r="I563" s="167"/>
      <c r="J563" s="168"/>
      <c r="K563" s="169"/>
      <c r="L563" s="207"/>
      <c r="M563" s="207"/>
    </row>
    <row r="564">
      <c r="A564" s="203"/>
      <c r="B564" s="204"/>
      <c r="C564" s="205"/>
      <c r="D564" s="205"/>
      <c r="E564" s="166"/>
      <c r="F564" s="206"/>
      <c r="G564" s="167"/>
      <c r="H564" s="166"/>
      <c r="I564" s="167"/>
      <c r="J564" s="168"/>
      <c r="K564" s="169"/>
      <c r="L564" s="207"/>
      <c r="M564" s="207"/>
    </row>
    <row r="565">
      <c r="A565" s="203"/>
      <c r="B565" s="204"/>
      <c r="C565" s="205"/>
      <c r="D565" s="205"/>
      <c r="E565" s="166"/>
      <c r="F565" s="206"/>
      <c r="G565" s="167"/>
      <c r="H565" s="166"/>
      <c r="I565" s="167"/>
      <c r="J565" s="168"/>
      <c r="K565" s="169"/>
      <c r="L565" s="207"/>
      <c r="M565" s="207"/>
    </row>
    <row r="566">
      <c r="A566" s="203"/>
      <c r="B566" s="204"/>
      <c r="C566" s="205"/>
      <c r="D566" s="205"/>
      <c r="E566" s="166"/>
      <c r="F566" s="206"/>
      <c r="G566" s="167"/>
      <c r="H566" s="166"/>
      <c r="I566" s="167"/>
      <c r="J566" s="168"/>
      <c r="K566" s="169"/>
      <c r="L566" s="207"/>
      <c r="M566" s="207"/>
    </row>
    <row r="567">
      <c r="A567" s="203"/>
      <c r="B567" s="204"/>
      <c r="C567" s="205"/>
      <c r="D567" s="205"/>
      <c r="E567" s="166"/>
      <c r="F567" s="206"/>
      <c r="G567" s="167"/>
      <c r="H567" s="166"/>
      <c r="I567" s="167"/>
      <c r="J567" s="168"/>
      <c r="K567" s="169"/>
      <c r="L567" s="207"/>
      <c r="M567" s="207"/>
    </row>
    <row r="568">
      <c r="A568" s="203"/>
      <c r="B568" s="204"/>
      <c r="C568" s="205"/>
      <c r="D568" s="205"/>
      <c r="E568" s="166"/>
      <c r="F568" s="206"/>
      <c r="G568" s="167"/>
      <c r="H568" s="166"/>
      <c r="I568" s="167"/>
      <c r="J568" s="168"/>
      <c r="K568" s="169"/>
      <c r="L568" s="207"/>
      <c r="M568" s="207"/>
    </row>
    <row r="569">
      <c r="A569" s="203"/>
      <c r="B569" s="204"/>
      <c r="C569" s="205"/>
      <c r="D569" s="205"/>
      <c r="E569" s="166"/>
      <c r="F569" s="206"/>
      <c r="G569" s="167"/>
      <c r="H569" s="166"/>
      <c r="I569" s="167"/>
      <c r="J569" s="168"/>
      <c r="K569" s="169"/>
      <c r="L569" s="207"/>
      <c r="M569" s="207"/>
    </row>
    <row r="570">
      <c r="A570" s="203"/>
      <c r="B570" s="204"/>
      <c r="C570" s="205"/>
      <c r="D570" s="205"/>
      <c r="E570" s="166"/>
      <c r="F570" s="206"/>
      <c r="G570" s="167"/>
      <c r="H570" s="166"/>
      <c r="I570" s="167"/>
      <c r="J570" s="168"/>
      <c r="K570" s="169"/>
      <c r="L570" s="207"/>
      <c r="M570" s="207"/>
    </row>
    <row r="571">
      <c r="A571" s="203"/>
      <c r="B571" s="204"/>
      <c r="C571" s="205"/>
      <c r="D571" s="205"/>
      <c r="E571" s="166"/>
      <c r="F571" s="206"/>
      <c r="G571" s="167"/>
      <c r="H571" s="166"/>
      <c r="I571" s="167"/>
      <c r="J571" s="168"/>
      <c r="K571" s="169"/>
      <c r="L571" s="207"/>
      <c r="M571" s="207"/>
    </row>
    <row r="572">
      <c r="A572" s="203"/>
      <c r="B572" s="204"/>
      <c r="C572" s="205"/>
      <c r="D572" s="205"/>
      <c r="E572" s="166"/>
      <c r="F572" s="206"/>
      <c r="G572" s="167"/>
      <c r="H572" s="166"/>
      <c r="I572" s="167"/>
      <c r="J572" s="168"/>
      <c r="K572" s="169"/>
      <c r="L572" s="207"/>
      <c r="M572" s="207"/>
    </row>
    <row r="573">
      <c r="A573" s="203"/>
      <c r="B573" s="204"/>
      <c r="C573" s="205"/>
      <c r="D573" s="205"/>
      <c r="E573" s="166"/>
      <c r="F573" s="206"/>
      <c r="G573" s="167"/>
      <c r="H573" s="166"/>
      <c r="I573" s="167"/>
      <c r="J573" s="168"/>
      <c r="K573" s="169"/>
      <c r="L573" s="207"/>
      <c r="M573" s="207"/>
    </row>
    <row r="574">
      <c r="A574" s="203"/>
      <c r="B574" s="204"/>
      <c r="C574" s="205"/>
      <c r="D574" s="205"/>
      <c r="E574" s="166"/>
      <c r="F574" s="206"/>
      <c r="G574" s="167"/>
      <c r="H574" s="166"/>
      <c r="I574" s="167"/>
      <c r="J574" s="168"/>
      <c r="K574" s="169"/>
      <c r="L574" s="207"/>
      <c r="M574" s="207"/>
    </row>
    <row r="575">
      <c r="A575" s="203"/>
      <c r="B575" s="204"/>
      <c r="C575" s="205"/>
      <c r="D575" s="205"/>
      <c r="E575" s="166"/>
      <c r="F575" s="206"/>
      <c r="G575" s="167"/>
      <c r="H575" s="166"/>
      <c r="I575" s="167"/>
      <c r="J575" s="168"/>
      <c r="K575" s="169"/>
      <c r="L575" s="207"/>
      <c r="M575" s="207"/>
    </row>
    <row r="576">
      <c r="A576" s="203"/>
      <c r="B576" s="204"/>
      <c r="C576" s="205"/>
      <c r="D576" s="205"/>
      <c r="E576" s="166"/>
      <c r="F576" s="206"/>
      <c r="G576" s="167"/>
      <c r="H576" s="166"/>
      <c r="I576" s="167"/>
      <c r="J576" s="168"/>
      <c r="K576" s="169"/>
      <c r="L576" s="207"/>
      <c r="M576" s="207"/>
    </row>
    <row r="577">
      <c r="A577" s="203"/>
      <c r="B577" s="204"/>
      <c r="C577" s="205"/>
      <c r="D577" s="205"/>
      <c r="E577" s="166"/>
      <c r="F577" s="206"/>
      <c r="G577" s="167"/>
      <c r="H577" s="166"/>
      <c r="I577" s="167"/>
      <c r="J577" s="168"/>
      <c r="K577" s="169"/>
      <c r="L577" s="207"/>
      <c r="M577" s="207"/>
    </row>
    <row r="578">
      <c r="A578" s="203"/>
      <c r="B578" s="204"/>
      <c r="C578" s="205"/>
      <c r="D578" s="205"/>
      <c r="E578" s="166"/>
      <c r="F578" s="206"/>
      <c r="G578" s="167"/>
      <c r="H578" s="166"/>
      <c r="I578" s="167"/>
      <c r="J578" s="168"/>
      <c r="K578" s="169"/>
      <c r="L578" s="207"/>
      <c r="M578" s="207"/>
    </row>
    <row r="579">
      <c r="A579" s="203"/>
      <c r="B579" s="204"/>
      <c r="C579" s="205"/>
      <c r="D579" s="205"/>
      <c r="E579" s="166"/>
      <c r="F579" s="206"/>
      <c r="G579" s="167"/>
      <c r="H579" s="166"/>
      <c r="I579" s="167"/>
      <c r="J579" s="168"/>
      <c r="K579" s="169"/>
      <c r="L579" s="207"/>
      <c r="M579" s="207"/>
    </row>
    <row r="580">
      <c r="A580" s="203"/>
      <c r="B580" s="204"/>
      <c r="C580" s="205"/>
      <c r="D580" s="205"/>
      <c r="E580" s="166"/>
      <c r="F580" s="206"/>
      <c r="G580" s="167"/>
      <c r="H580" s="166"/>
      <c r="I580" s="167"/>
      <c r="J580" s="168"/>
      <c r="K580" s="169"/>
      <c r="L580" s="207"/>
      <c r="M580" s="207"/>
    </row>
    <row r="581">
      <c r="A581" s="203"/>
      <c r="B581" s="204"/>
      <c r="C581" s="205"/>
      <c r="D581" s="205"/>
      <c r="E581" s="166"/>
      <c r="F581" s="206"/>
      <c r="G581" s="167"/>
      <c r="H581" s="166"/>
      <c r="I581" s="167"/>
      <c r="J581" s="168"/>
      <c r="K581" s="169"/>
      <c r="L581" s="207"/>
      <c r="M581" s="207"/>
    </row>
    <row r="582">
      <c r="A582" s="203"/>
      <c r="B582" s="204"/>
      <c r="C582" s="205"/>
      <c r="D582" s="205"/>
      <c r="E582" s="166"/>
      <c r="F582" s="206"/>
      <c r="G582" s="167"/>
      <c r="H582" s="166"/>
      <c r="I582" s="167"/>
      <c r="J582" s="168"/>
      <c r="K582" s="169"/>
      <c r="L582" s="207"/>
      <c r="M582" s="207"/>
    </row>
    <row r="583">
      <c r="A583" s="203"/>
      <c r="B583" s="204"/>
      <c r="C583" s="205"/>
      <c r="D583" s="205"/>
      <c r="E583" s="166"/>
      <c r="F583" s="206"/>
      <c r="G583" s="167"/>
      <c r="H583" s="166"/>
      <c r="I583" s="167"/>
      <c r="J583" s="168"/>
      <c r="K583" s="169"/>
      <c r="L583" s="207"/>
      <c r="M583" s="207"/>
    </row>
    <row r="584">
      <c r="A584" s="203"/>
      <c r="B584" s="204"/>
      <c r="C584" s="205"/>
      <c r="D584" s="205"/>
      <c r="E584" s="166"/>
      <c r="F584" s="206"/>
      <c r="G584" s="167"/>
      <c r="H584" s="166"/>
      <c r="I584" s="167"/>
      <c r="J584" s="168"/>
      <c r="K584" s="169"/>
      <c r="L584" s="207"/>
      <c r="M584" s="207"/>
    </row>
    <row r="585">
      <c r="A585" s="203"/>
      <c r="B585" s="204"/>
      <c r="C585" s="205"/>
      <c r="D585" s="205"/>
      <c r="E585" s="166"/>
      <c r="F585" s="206"/>
      <c r="G585" s="167"/>
      <c r="H585" s="166"/>
      <c r="I585" s="167"/>
      <c r="J585" s="168"/>
      <c r="K585" s="169"/>
      <c r="L585" s="207"/>
      <c r="M585" s="207"/>
    </row>
    <row r="586">
      <c r="A586" s="203"/>
      <c r="B586" s="204"/>
      <c r="C586" s="205"/>
      <c r="D586" s="205"/>
      <c r="E586" s="166"/>
      <c r="F586" s="206"/>
      <c r="G586" s="167"/>
      <c r="H586" s="166"/>
      <c r="I586" s="167"/>
      <c r="J586" s="168"/>
      <c r="K586" s="169"/>
      <c r="L586" s="207"/>
      <c r="M586" s="207"/>
    </row>
    <row r="587">
      <c r="A587" s="203"/>
      <c r="B587" s="204"/>
      <c r="C587" s="205"/>
      <c r="D587" s="205"/>
      <c r="E587" s="166"/>
      <c r="F587" s="206"/>
      <c r="G587" s="167"/>
      <c r="H587" s="166"/>
      <c r="I587" s="167"/>
      <c r="J587" s="168"/>
      <c r="K587" s="169"/>
      <c r="L587" s="207"/>
      <c r="M587" s="207"/>
    </row>
    <row r="588">
      <c r="A588" s="203"/>
      <c r="B588" s="204"/>
      <c r="C588" s="205"/>
      <c r="D588" s="205"/>
      <c r="E588" s="166"/>
      <c r="F588" s="206"/>
      <c r="G588" s="167"/>
      <c r="H588" s="166"/>
      <c r="I588" s="167"/>
      <c r="J588" s="168"/>
      <c r="K588" s="169"/>
      <c r="L588" s="207"/>
      <c r="M588" s="207"/>
    </row>
    <row r="589">
      <c r="A589" s="203"/>
      <c r="B589" s="204"/>
      <c r="C589" s="205"/>
      <c r="D589" s="205"/>
      <c r="E589" s="166"/>
      <c r="F589" s="206"/>
      <c r="G589" s="167"/>
      <c r="H589" s="166"/>
      <c r="I589" s="167"/>
      <c r="J589" s="168"/>
      <c r="K589" s="169"/>
      <c r="L589" s="207"/>
      <c r="M589" s="207"/>
    </row>
    <row r="590">
      <c r="A590" s="203"/>
      <c r="B590" s="204"/>
      <c r="C590" s="205"/>
      <c r="D590" s="205"/>
      <c r="E590" s="166"/>
      <c r="F590" s="206"/>
      <c r="G590" s="167"/>
      <c r="H590" s="166"/>
      <c r="I590" s="167"/>
      <c r="J590" s="168"/>
      <c r="K590" s="169"/>
      <c r="L590" s="207"/>
      <c r="M590" s="207"/>
    </row>
    <row r="591">
      <c r="A591" s="203"/>
      <c r="B591" s="204"/>
      <c r="C591" s="205"/>
      <c r="D591" s="205"/>
      <c r="E591" s="166"/>
      <c r="F591" s="206"/>
      <c r="G591" s="167"/>
      <c r="H591" s="166"/>
      <c r="I591" s="167"/>
      <c r="J591" s="168"/>
      <c r="K591" s="169"/>
      <c r="L591" s="207"/>
      <c r="M591" s="207"/>
    </row>
    <row r="592">
      <c r="A592" s="203"/>
      <c r="B592" s="204"/>
      <c r="C592" s="205"/>
      <c r="D592" s="205"/>
      <c r="E592" s="166"/>
      <c r="F592" s="206"/>
      <c r="G592" s="167"/>
      <c r="H592" s="166"/>
      <c r="I592" s="167"/>
      <c r="J592" s="168"/>
      <c r="K592" s="169"/>
      <c r="L592" s="207"/>
      <c r="M592" s="207"/>
    </row>
    <row r="593">
      <c r="A593" s="203"/>
      <c r="B593" s="204"/>
      <c r="C593" s="205"/>
      <c r="D593" s="205"/>
      <c r="E593" s="166"/>
      <c r="F593" s="206"/>
      <c r="G593" s="167"/>
      <c r="H593" s="166"/>
      <c r="I593" s="167"/>
      <c r="J593" s="168"/>
      <c r="K593" s="169"/>
      <c r="L593" s="207"/>
      <c r="M593" s="207"/>
    </row>
    <row r="594">
      <c r="A594" s="203"/>
      <c r="B594" s="204"/>
      <c r="C594" s="205"/>
      <c r="D594" s="205"/>
      <c r="E594" s="166"/>
      <c r="F594" s="206"/>
      <c r="G594" s="167"/>
      <c r="H594" s="166"/>
      <c r="I594" s="167"/>
      <c r="J594" s="168"/>
      <c r="K594" s="169"/>
      <c r="L594" s="207"/>
      <c r="M594" s="207"/>
    </row>
    <row r="595">
      <c r="A595" s="203"/>
      <c r="B595" s="204"/>
      <c r="C595" s="205"/>
      <c r="D595" s="205"/>
      <c r="E595" s="166"/>
      <c r="F595" s="206"/>
      <c r="G595" s="167"/>
      <c r="H595" s="166"/>
      <c r="I595" s="167"/>
      <c r="J595" s="168"/>
      <c r="K595" s="169"/>
      <c r="L595" s="207"/>
      <c r="M595" s="207"/>
    </row>
    <row r="596">
      <c r="A596" s="203"/>
      <c r="B596" s="204"/>
      <c r="C596" s="205"/>
      <c r="D596" s="205"/>
      <c r="E596" s="166"/>
      <c r="F596" s="206"/>
      <c r="G596" s="167"/>
      <c r="H596" s="166"/>
      <c r="I596" s="167"/>
      <c r="J596" s="168"/>
      <c r="K596" s="169"/>
      <c r="L596" s="207"/>
      <c r="M596" s="207"/>
    </row>
    <row r="597">
      <c r="A597" s="203"/>
      <c r="B597" s="204"/>
      <c r="C597" s="205"/>
      <c r="D597" s="205"/>
      <c r="E597" s="166"/>
      <c r="F597" s="206"/>
      <c r="G597" s="167"/>
      <c r="H597" s="166"/>
      <c r="I597" s="167"/>
      <c r="J597" s="168"/>
      <c r="K597" s="169"/>
      <c r="L597" s="207"/>
      <c r="M597" s="207"/>
    </row>
    <row r="598">
      <c r="A598" s="203"/>
      <c r="B598" s="204"/>
      <c r="C598" s="205"/>
      <c r="D598" s="205"/>
      <c r="E598" s="166"/>
      <c r="F598" s="206"/>
      <c r="G598" s="167"/>
      <c r="H598" s="166"/>
      <c r="I598" s="167"/>
      <c r="J598" s="168"/>
      <c r="K598" s="169"/>
      <c r="L598" s="207"/>
      <c r="M598" s="207"/>
    </row>
    <row r="599">
      <c r="A599" s="203"/>
      <c r="B599" s="204"/>
      <c r="C599" s="205"/>
      <c r="D599" s="205"/>
      <c r="E599" s="166"/>
      <c r="F599" s="206"/>
      <c r="G599" s="167"/>
      <c r="H599" s="166"/>
      <c r="I599" s="167"/>
      <c r="J599" s="168"/>
      <c r="K599" s="169"/>
      <c r="L599" s="207"/>
      <c r="M599" s="207"/>
    </row>
    <row r="600">
      <c r="A600" s="203"/>
      <c r="B600" s="204"/>
      <c r="C600" s="205"/>
      <c r="D600" s="205"/>
      <c r="E600" s="166"/>
      <c r="F600" s="206"/>
      <c r="G600" s="167"/>
      <c r="H600" s="166"/>
      <c r="I600" s="167"/>
      <c r="J600" s="168"/>
      <c r="K600" s="169"/>
      <c r="L600" s="207"/>
      <c r="M600" s="207"/>
    </row>
    <row r="601">
      <c r="A601" s="203"/>
      <c r="B601" s="204"/>
      <c r="C601" s="205"/>
      <c r="D601" s="205"/>
      <c r="E601" s="166"/>
      <c r="F601" s="206"/>
      <c r="G601" s="167"/>
      <c r="H601" s="166"/>
      <c r="I601" s="167"/>
      <c r="J601" s="168"/>
      <c r="K601" s="169"/>
      <c r="L601" s="207"/>
      <c r="M601" s="207"/>
    </row>
    <row r="602">
      <c r="A602" s="203"/>
      <c r="B602" s="204"/>
      <c r="C602" s="205"/>
      <c r="D602" s="205"/>
      <c r="E602" s="166"/>
      <c r="F602" s="206"/>
      <c r="G602" s="167"/>
      <c r="H602" s="166"/>
      <c r="I602" s="167"/>
      <c r="J602" s="168"/>
      <c r="K602" s="169"/>
      <c r="L602" s="207"/>
      <c r="M602" s="207"/>
    </row>
    <row r="603">
      <c r="A603" s="203"/>
      <c r="B603" s="204"/>
      <c r="C603" s="205"/>
      <c r="D603" s="205"/>
      <c r="E603" s="166"/>
      <c r="F603" s="206"/>
      <c r="G603" s="167"/>
      <c r="H603" s="166"/>
      <c r="I603" s="167"/>
      <c r="J603" s="168"/>
      <c r="K603" s="169"/>
      <c r="L603" s="207"/>
      <c r="M603" s="207"/>
    </row>
    <row r="604">
      <c r="A604" s="203"/>
      <c r="B604" s="204"/>
      <c r="C604" s="205"/>
      <c r="D604" s="205"/>
      <c r="E604" s="166"/>
      <c r="F604" s="206"/>
      <c r="G604" s="167"/>
      <c r="H604" s="166"/>
      <c r="I604" s="167"/>
      <c r="J604" s="168"/>
      <c r="K604" s="169"/>
      <c r="L604" s="207"/>
      <c r="M604" s="207"/>
    </row>
    <row r="605">
      <c r="A605" s="203"/>
      <c r="B605" s="204"/>
      <c r="C605" s="205"/>
      <c r="D605" s="205"/>
      <c r="E605" s="166"/>
      <c r="F605" s="206"/>
      <c r="G605" s="167"/>
      <c r="H605" s="166"/>
      <c r="I605" s="167"/>
      <c r="J605" s="168"/>
      <c r="K605" s="169"/>
      <c r="L605" s="207"/>
      <c r="M605" s="207"/>
    </row>
    <row r="606">
      <c r="A606" s="203"/>
      <c r="B606" s="204"/>
      <c r="C606" s="205"/>
      <c r="D606" s="205"/>
      <c r="E606" s="166"/>
      <c r="F606" s="206"/>
      <c r="G606" s="167"/>
      <c r="H606" s="166"/>
      <c r="I606" s="167"/>
      <c r="J606" s="168"/>
      <c r="K606" s="169"/>
      <c r="L606" s="207"/>
      <c r="M606" s="207"/>
    </row>
    <row r="607">
      <c r="A607" s="203"/>
      <c r="B607" s="204"/>
      <c r="C607" s="205"/>
      <c r="D607" s="205"/>
      <c r="E607" s="166"/>
      <c r="F607" s="206"/>
      <c r="G607" s="167"/>
      <c r="H607" s="166"/>
      <c r="I607" s="167"/>
      <c r="J607" s="168"/>
      <c r="K607" s="169"/>
      <c r="L607" s="207"/>
      <c r="M607" s="207"/>
    </row>
    <row r="608">
      <c r="A608" s="203"/>
      <c r="B608" s="204"/>
      <c r="C608" s="205"/>
      <c r="D608" s="205"/>
      <c r="E608" s="166"/>
      <c r="F608" s="206"/>
      <c r="G608" s="167"/>
      <c r="H608" s="166"/>
      <c r="I608" s="167"/>
      <c r="J608" s="168"/>
      <c r="K608" s="169"/>
      <c r="L608" s="207"/>
      <c r="M608" s="207"/>
    </row>
    <row r="609">
      <c r="A609" s="203"/>
      <c r="B609" s="204"/>
      <c r="C609" s="205"/>
      <c r="D609" s="205"/>
      <c r="E609" s="166"/>
      <c r="F609" s="206"/>
      <c r="G609" s="167"/>
      <c r="H609" s="166"/>
      <c r="I609" s="167"/>
      <c r="J609" s="168"/>
      <c r="K609" s="169"/>
      <c r="L609" s="207"/>
      <c r="M609" s="207"/>
    </row>
    <row r="610">
      <c r="A610" s="203"/>
      <c r="B610" s="204"/>
      <c r="C610" s="205"/>
      <c r="D610" s="205"/>
      <c r="E610" s="166"/>
      <c r="F610" s="206"/>
      <c r="G610" s="167"/>
      <c r="H610" s="166"/>
      <c r="I610" s="167"/>
      <c r="J610" s="168"/>
      <c r="K610" s="169"/>
      <c r="L610" s="207"/>
      <c r="M610" s="207"/>
    </row>
    <row r="611">
      <c r="A611" s="203"/>
      <c r="B611" s="204"/>
      <c r="C611" s="205"/>
      <c r="D611" s="205"/>
      <c r="E611" s="166"/>
      <c r="F611" s="206"/>
      <c r="G611" s="167"/>
      <c r="H611" s="166"/>
      <c r="I611" s="167"/>
      <c r="J611" s="168"/>
      <c r="K611" s="169"/>
      <c r="L611" s="207"/>
      <c r="M611" s="207"/>
    </row>
    <row r="612">
      <c r="A612" s="203"/>
      <c r="B612" s="204"/>
      <c r="C612" s="205"/>
      <c r="D612" s="205"/>
      <c r="E612" s="166"/>
      <c r="F612" s="206"/>
      <c r="G612" s="167"/>
      <c r="H612" s="166"/>
      <c r="I612" s="167"/>
      <c r="J612" s="168"/>
      <c r="K612" s="169"/>
      <c r="L612" s="207"/>
      <c r="M612" s="207"/>
    </row>
    <row r="613">
      <c r="A613" s="203"/>
      <c r="B613" s="204"/>
      <c r="C613" s="205"/>
      <c r="D613" s="205"/>
      <c r="E613" s="166"/>
      <c r="F613" s="206"/>
      <c r="G613" s="167"/>
      <c r="H613" s="166"/>
      <c r="I613" s="167"/>
      <c r="J613" s="168"/>
      <c r="K613" s="169"/>
      <c r="L613" s="207"/>
      <c r="M613" s="207"/>
    </row>
    <row r="614">
      <c r="A614" s="203"/>
      <c r="B614" s="204"/>
      <c r="C614" s="205"/>
      <c r="D614" s="205"/>
      <c r="E614" s="166"/>
      <c r="F614" s="206"/>
      <c r="G614" s="167"/>
      <c r="H614" s="166"/>
      <c r="I614" s="167"/>
      <c r="J614" s="168"/>
      <c r="K614" s="169"/>
      <c r="L614" s="207"/>
      <c r="M614" s="207"/>
    </row>
    <row r="615">
      <c r="A615" s="203"/>
      <c r="B615" s="204"/>
      <c r="C615" s="205"/>
      <c r="D615" s="205"/>
      <c r="E615" s="166"/>
      <c r="F615" s="206"/>
      <c r="G615" s="167"/>
      <c r="H615" s="166"/>
      <c r="I615" s="167"/>
      <c r="J615" s="168"/>
      <c r="K615" s="169"/>
      <c r="L615" s="207"/>
      <c r="M615" s="207"/>
    </row>
    <row r="616">
      <c r="A616" s="203"/>
      <c r="B616" s="204"/>
      <c r="C616" s="205"/>
      <c r="D616" s="205"/>
      <c r="E616" s="166"/>
      <c r="F616" s="206"/>
      <c r="G616" s="167"/>
      <c r="H616" s="166"/>
      <c r="I616" s="167"/>
      <c r="J616" s="168"/>
      <c r="K616" s="169"/>
      <c r="L616" s="207"/>
      <c r="M616" s="207"/>
    </row>
    <row r="617">
      <c r="A617" s="203"/>
      <c r="B617" s="204"/>
      <c r="C617" s="205"/>
      <c r="D617" s="205"/>
      <c r="E617" s="166"/>
      <c r="F617" s="206"/>
      <c r="G617" s="167"/>
      <c r="H617" s="166"/>
      <c r="I617" s="167"/>
      <c r="J617" s="168"/>
      <c r="K617" s="169"/>
      <c r="L617" s="207"/>
      <c r="M617" s="207"/>
    </row>
    <row r="618">
      <c r="A618" s="203"/>
      <c r="B618" s="204"/>
      <c r="C618" s="205"/>
      <c r="D618" s="205"/>
      <c r="E618" s="166"/>
      <c r="F618" s="206"/>
      <c r="G618" s="167"/>
      <c r="H618" s="166"/>
      <c r="I618" s="167"/>
      <c r="J618" s="168"/>
      <c r="K618" s="169"/>
      <c r="L618" s="207"/>
      <c r="M618" s="207"/>
    </row>
    <row r="619">
      <c r="A619" s="203"/>
      <c r="B619" s="204"/>
      <c r="C619" s="205"/>
      <c r="D619" s="205"/>
      <c r="E619" s="166"/>
      <c r="F619" s="206"/>
      <c r="G619" s="167"/>
      <c r="H619" s="166"/>
      <c r="I619" s="167"/>
      <c r="J619" s="168"/>
      <c r="K619" s="169"/>
      <c r="L619" s="207"/>
      <c r="M619" s="207"/>
    </row>
    <row r="620">
      <c r="A620" s="203"/>
      <c r="B620" s="204"/>
      <c r="C620" s="205"/>
      <c r="D620" s="205"/>
      <c r="E620" s="166"/>
      <c r="F620" s="206"/>
      <c r="G620" s="167"/>
      <c r="H620" s="166"/>
      <c r="I620" s="167"/>
      <c r="J620" s="168"/>
      <c r="K620" s="169"/>
      <c r="L620" s="207"/>
      <c r="M620" s="207"/>
    </row>
    <row r="621">
      <c r="A621" s="203"/>
      <c r="B621" s="204"/>
      <c r="C621" s="205"/>
      <c r="D621" s="205"/>
      <c r="E621" s="166"/>
      <c r="F621" s="206"/>
      <c r="G621" s="167"/>
      <c r="H621" s="166"/>
      <c r="I621" s="167"/>
      <c r="J621" s="168"/>
      <c r="K621" s="169"/>
      <c r="L621" s="207"/>
      <c r="M621" s="207"/>
    </row>
    <row r="622">
      <c r="A622" s="203"/>
      <c r="B622" s="204"/>
      <c r="C622" s="205"/>
      <c r="D622" s="205"/>
      <c r="E622" s="166"/>
      <c r="F622" s="206"/>
      <c r="G622" s="167"/>
      <c r="H622" s="166"/>
      <c r="I622" s="167"/>
      <c r="J622" s="168"/>
      <c r="K622" s="169"/>
      <c r="L622" s="207"/>
      <c r="M622" s="207"/>
    </row>
    <row r="623">
      <c r="A623" s="203"/>
      <c r="B623" s="204"/>
      <c r="C623" s="205"/>
      <c r="D623" s="205"/>
      <c r="E623" s="166"/>
      <c r="F623" s="206"/>
      <c r="G623" s="167"/>
      <c r="H623" s="166"/>
      <c r="I623" s="167"/>
      <c r="J623" s="168"/>
      <c r="K623" s="169"/>
      <c r="L623" s="207"/>
      <c r="M623" s="207"/>
    </row>
    <row r="624">
      <c r="A624" s="203"/>
      <c r="B624" s="204"/>
      <c r="C624" s="205"/>
      <c r="D624" s="205"/>
      <c r="E624" s="166"/>
      <c r="F624" s="206"/>
      <c r="G624" s="167"/>
      <c r="H624" s="166"/>
      <c r="I624" s="167"/>
      <c r="J624" s="168"/>
      <c r="K624" s="169"/>
      <c r="L624" s="207"/>
      <c r="M624" s="207"/>
    </row>
    <row r="625">
      <c r="A625" s="203"/>
      <c r="B625" s="204"/>
      <c r="C625" s="205"/>
      <c r="D625" s="205"/>
      <c r="E625" s="166"/>
      <c r="F625" s="206"/>
      <c r="G625" s="167"/>
      <c r="H625" s="166"/>
      <c r="I625" s="167"/>
      <c r="J625" s="168"/>
      <c r="K625" s="169"/>
      <c r="L625" s="207"/>
      <c r="M625" s="207"/>
    </row>
    <row r="626">
      <c r="A626" s="203"/>
      <c r="B626" s="204"/>
      <c r="C626" s="205"/>
      <c r="D626" s="205"/>
      <c r="E626" s="166"/>
      <c r="F626" s="206"/>
      <c r="G626" s="167"/>
      <c r="H626" s="166"/>
      <c r="I626" s="167"/>
      <c r="J626" s="168"/>
      <c r="K626" s="169"/>
      <c r="L626" s="207"/>
      <c r="M626" s="207"/>
    </row>
    <row r="627">
      <c r="A627" s="203"/>
      <c r="B627" s="204"/>
      <c r="C627" s="205"/>
      <c r="D627" s="205"/>
      <c r="E627" s="166"/>
      <c r="F627" s="206"/>
      <c r="G627" s="167"/>
      <c r="H627" s="166"/>
      <c r="I627" s="167"/>
      <c r="J627" s="168"/>
      <c r="K627" s="169"/>
      <c r="L627" s="207"/>
      <c r="M627" s="207"/>
    </row>
    <row r="628">
      <c r="A628" s="203"/>
      <c r="B628" s="204"/>
      <c r="C628" s="205"/>
      <c r="D628" s="205"/>
      <c r="E628" s="166"/>
      <c r="F628" s="206"/>
      <c r="G628" s="167"/>
      <c r="H628" s="166"/>
      <c r="I628" s="167"/>
      <c r="J628" s="168"/>
      <c r="K628" s="169"/>
      <c r="L628" s="207"/>
      <c r="M628" s="207"/>
    </row>
    <row r="629">
      <c r="A629" s="203"/>
      <c r="B629" s="204"/>
      <c r="C629" s="205"/>
      <c r="D629" s="205"/>
      <c r="E629" s="166"/>
      <c r="F629" s="206"/>
      <c r="G629" s="167"/>
      <c r="H629" s="166"/>
      <c r="I629" s="167"/>
      <c r="J629" s="168"/>
      <c r="K629" s="169"/>
      <c r="L629" s="207"/>
      <c r="M629" s="207"/>
    </row>
    <row r="630">
      <c r="A630" s="203"/>
      <c r="B630" s="204"/>
      <c r="C630" s="205"/>
      <c r="D630" s="205"/>
      <c r="E630" s="166"/>
      <c r="F630" s="206"/>
      <c r="G630" s="167"/>
      <c r="H630" s="166"/>
      <c r="I630" s="167"/>
      <c r="J630" s="168"/>
      <c r="K630" s="169"/>
      <c r="L630" s="207"/>
      <c r="M630" s="207"/>
    </row>
    <row r="631">
      <c r="A631" s="203"/>
      <c r="B631" s="204"/>
      <c r="C631" s="205"/>
      <c r="D631" s="205"/>
      <c r="E631" s="166"/>
      <c r="F631" s="206"/>
      <c r="G631" s="167"/>
      <c r="H631" s="166"/>
      <c r="I631" s="167"/>
      <c r="J631" s="168"/>
      <c r="K631" s="169"/>
      <c r="L631" s="207"/>
      <c r="M631" s="207"/>
    </row>
    <row r="632">
      <c r="A632" s="203"/>
      <c r="B632" s="204"/>
      <c r="C632" s="205"/>
      <c r="D632" s="205"/>
      <c r="E632" s="166"/>
      <c r="F632" s="206"/>
      <c r="G632" s="167"/>
      <c r="H632" s="166"/>
      <c r="I632" s="167"/>
      <c r="J632" s="168"/>
      <c r="K632" s="169"/>
      <c r="L632" s="207"/>
      <c r="M632" s="207"/>
    </row>
    <row r="633">
      <c r="A633" s="203"/>
      <c r="B633" s="204"/>
      <c r="C633" s="205"/>
      <c r="D633" s="205"/>
      <c r="E633" s="166"/>
      <c r="F633" s="206"/>
      <c r="G633" s="167"/>
      <c r="H633" s="166"/>
      <c r="I633" s="167"/>
      <c r="J633" s="168"/>
      <c r="K633" s="169"/>
      <c r="L633" s="207"/>
      <c r="M633" s="207"/>
    </row>
    <row r="634">
      <c r="A634" s="203"/>
      <c r="B634" s="204"/>
      <c r="C634" s="205"/>
      <c r="D634" s="205"/>
      <c r="E634" s="166"/>
      <c r="F634" s="206"/>
      <c r="G634" s="167"/>
      <c r="H634" s="166"/>
      <c r="I634" s="167"/>
      <c r="J634" s="168"/>
      <c r="K634" s="169"/>
      <c r="L634" s="207"/>
      <c r="M634" s="207"/>
    </row>
    <row r="635">
      <c r="A635" s="203"/>
      <c r="B635" s="204"/>
      <c r="C635" s="205"/>
      <c r="D635" s="205"/>
      <c r="E635" s="166"/>
      <c r="F635" s="206"/>
      <c r="G635" s="167"/>
      <c r="H635" s="166"/>
      <c r="I635" s="167"/>
      <c r="J635" s="168"/>
      <c r="K635" s="169"/>
      <c r="L635" s="207"/>
      <c r="M635" s="207"/>
    </row>
    <row r="636">
      <c r="A636" s="203"/>
      <c r="B636" s="204"/>
      <c r="C636" s="205"/>
      <c r="D636" s="205"/>
      <c r="E636" s="166"/>
      <c r="F636" s="206"/>
      <c r="G636" s="167"/>
      <c r="H636" s="166"/>
      <c r="I636" s="167"/>
      <c r="J636" s="168"/>
      <c r="K636" s="169"/>
      <c r="L636" s="207"/>
      <c r="M636" s="207"/>
    </row>
    <row r="637">
      <c r="A637" s="203"/>
      <c r="B637" s="204"/>
      <c r="C637" s="205"/>
      <c r="D637" s="205"/>
      <c r="E637" s="166"/>
      <c r="F637" s="206"/>
      <c r="G637" s="167"/>
      <c r="H637" s="166"/>
      <c r="I637" s="167"/>
      <c r="J637" s="168"/>
      <c r="K637" s="169"/>
      <c r="L637" s="207"/>
      <c r="M637" s="207"/>
    </row>
    <row r="638">
      <c r="A638" s="203"/>
      <c r="B638" s="204"/>
      <c r="C638" s="205"/>
      <c r="D638" s="205"/>
      <c r="E638" s="166"/>
      <c r="F638" s="206"/>
      <c r="G638" s="167"/>
      <c r="H638" s="166"/>
      <c r="I638" s="167"/>
      <c r="J638" s="168"/>
      <c r="K638" s="169"/>
      <c r="L638" s="207"/>
      <c r="M638" s="207"/>
    </row>
    <row r="639">
      <c r="A639" s="203"/>
      <c r="B639" s="204"/>
      <c r="C639" s="205"/>
      <c r="D639" s="205"/>
      <c r="E639" s="166"/>
      <c r="F639" s="206"/>
      <c r="G639" s="167"/>
      <c r="H639" s="166"/>
      <c r="I639" s="167"/>
      <c r="J639" s="168"/>
      <c r="K639" s="169"/>
      <c r="L639" s="207"/>
      <c r="M639" s="207"/>
    </row>
    <row r="640">
      <c r="A640" s="203"/>
      <c r="B640" s="204"/>
      <c r="C640" s="205"/>
      <c r="D640" s="205"/>
      <c r="E640" s="166"/>
      <c r="F640" s="206"/>
      <c r="G640" s="167"/>
      <c r="H640" s="166"/>
      <c r="I640" s="167"/>
      <c r="J640" s="168"/>
      <c r="K640" s="169"/>
      <c r="L640" s="207"/>
      <c r="M640" s="207"/>
    </row>
    <row r="641">
      <c r="A641" s="203"/>
      <c r="B641" s="204"/>
      <c r="C641" s="205"/>
      <c r="D641" s="205"/>
      <c r="E641" s="166"/>
      <c r="F641" s="206"/>
      <c r="G641" s="167"/>
      <c r="H641" s="166"/>
      <c r="I641" s="167"/>
      <c r="J641" s="168"/>
      <c r="K641" s="169"/>
      <c r="L641" s="207"/>
      <c r="M641" s="207"/>
    </row>
    <row r="642">
      <c r="A642" s="203"/>
      <c r="B642" s="204"/>
      <c r="C642" s="205"/>
      <c r="D642" s="205"/>
      <c r="E642" s="166"/>
      <c r="F642" s="206"/>
      <c r="G642" s="167"/>
      <c r="H642" s="166"/>
      <c r="I642" s="167"/>
      <c r="J642" s="168"/>
      <c r="K642" s="169"/>
      <c r="L642" s="207"/>
      <c r="M642" s="207"/>
    </row>
    <row r="643">
      <c r="A643" s="203"/>
      <c r="B643" s="204"/>
      <c r="C643" s="205"/>
      <c r="D643" s="205"/>
      <c r="E643" s="166"/>
      <c r="F643" s="206"/>
      <c r="G643" s="167"/>
      <c r="H643" s="166"/>
      <c r="I643" s="167"/>
      <c r="J643" s="168"/>
      <c r="K643" s="169"/>
      <c r="L643" s="207"/>
      <c r="M643" s="207"/>
    </row>
    <row r="644">
      <c r="A644" s="203"/>
      <c r="B644" s="204"/>
      <c r="C644" s="205"/>
      <c r="D644" s="205"/>
      <c r="E644" s="166"/>
      <c r="F644" s="206"/>
      <c r="G644" s="167"/>
      <c r="H644" s="166"/>
      <c r="I644" s="167"/>
      <c r="J644" s="168"/>
      <c r="K644" s="169"/>
      <c r="L644" s="207"/>
      <c r="M644" s="207"/>
    </row>
    <row r="645">
      <c r="A645" s="203"/>
      <c r="B645" s="204"/>
      <c r="C645" s="205"/>
      <c r="D645" s="205"/>
      <c r="E645" s="166"/>
      <c r="F645" s="206"/>
      <c r="G645" s="167"/>
      <c r="H645" s="166"/>
      <c r="I645" s="167"/>
      <c r="J645" s="168"/>
      <c r="K645" s="169"/>
      <c r="L645" s="207"/>
      <c r="M645" s="207"/>
    </row>
    <row r="646">
      <c r="A646" s="203"/>
      <c r="B646" s="204"/>
      <c r="C646" s="205"/>
      <c r="D646" s="205"/>
      <c r="E646" s="166"/>
      <c r="F646" s="206"/>
      <c r="G646" s="167"/>
      <c r="H646" s="166"/>
      <c r="I646" s="167"/>
      <c r="J646" s="168"/>
      <c r="K646" s="169"/>
      <c r="L646" s="207"/>
      <c r="M646" s="207"/>
    </row>
    <row r="647">
      <c r="A647" s="203"/>
      <c r="B647" s="204"/>
      <c r="C647" s="205"/>
      <c r="D647" s="205"/>
      <c r="E647" s="166"/>
      <c r="F647" s="206"/>
      <c r="G647" s="167"/>
      <c r="H647" s="166"/>
      <c r="I647" s="167"/>
      <c r="J647" s="168"/>
      <c r="K647" s="169"/>
      <c r="L647" s="207"/>
      <c r="M647" s="207"/>
    </row>
    <row r="648">
      <c r="A648" s="203"/>
      <c r="B648" s="204"/>
      <c r="C648" s="205"/>
      <c r="D648" s="205"/>
      <c r="E648" s="166"/>
      <c r="F648" s="206"/>
      <c r="G648" s="167"/>
      <c r="H648" s="166"/>
      <c r="I648" s="167"/>
      <c r="J648" s="168"/>
      <c r="K648" s="169"/>
      <c r="L648" s="207"/>
      <c r="M648" s="207"/>
    </row>
    <row r="649">
      <c r="A649" s="203"/>
      <c r="B649" s="204"/>
      <c r="C649" s="205"/>
      <c r="D649" s="205"/>
      <c r="E649" s="166"/>
      <c r="F649" s="206"/>
      <c r="G649" s="167"/>
      <c r="H649" s="166"/>
      <c r="I649" s="167"/>
      <c r="J649" s="168"/>
      <c r="K649" s="169"/>
      <c r="L649" s="207"/>
      <c r="M649" s="207"/>
    </row>
    <row r="650">
      <c r="A650" s="203"/>
      <c r="B650" s="204"/>
      <c r="C650" s="205"/>
      <c r="D650" s="205"/>
      <c r="E650" s="166"/>
      <c r="F650" s="206"/>
      <c r="G650" s="167"/>
      <c r="H650" s="166"/>
      <c r="I650" s="167"/>
      <c r="J650" s="168"/>
      <c r="K650" s="169"/>
      <c r="L650" s="207"/>
      <c r="M650" s="207"/>
    </row>
    <row r="651">
      <c r="A651" s="203"/>
      <c r="B651" s="204"/>
      <c r="C651" s="205"/>
      <c r="D651" s="205"/>
      <c r="E651" s="166"/>
      <c r="F651" s="206"/>
      <c r="G651" s="167"/>
      <c r="H651" s="166"/>
      <c r="I651" s="167"/>
      <c r="J651" s="168"/>
      <c r="K651" s="169"/>
      <c r="L651" s="207"/>
      <c r="M651" s="207"/>
    </row>
    <row r="652">
      <c r="A652" s="203"/>
      <c r="B652" s="204"/>
      <c r="C652" s="205"/>
      <c r="D652" s="205"/>
      <c r="E652" s="166"/>
      <c r="F652" s="206"/>
      <c r="G652" s="167"/>
      <c r="H652" s="166"/>
      <c r="I652" s="167"/>
      <c r="J652" s="168"/>
      <c r="K652" s="169"/>
      <c r="L652" s="207"/>
      <c r="M652" s="207"/>
    </row>
    <row r="653">
      <c r="A653" s="203"/>
      <c r="B653" s="204"/>
      <c r="C653" s="205"/>
      <c r="D653" s="205"/>
      <c r="E653" s="166"/>
      <c r="F653" s="206"/>
      <c r="G653" s="167"/>
      <c r="H653" s="166"/>
      <c r="I653" s="167"/>
      <c r="J653" s="168"/>
      <c r="K653" s="169"/>
      <c r="L653" s="207"/>
      <c r="M653" s="207"/>
    </row>
    <row r="654">
      <c r="A654" s="203"/>
      <c r="B654" s="204"/>
      <c r="C654" s="205"/>
      <c r="D654" s="205"/>
      <c r="E654" s="166"/>
      <c r="F654" s="206"/>
      <c r="G654" s="167"/>
      <c r="H654" s="166"/>
      <c r="I654" s="167"/>
      <c r="J654" s="168"/>
      <c r="K654" s="169"/>
      <c r="L654" s="207"/>
      <c r="M654" s="207"/>
    </row>
    <row r="655">
      <c r="A655" s="203"/>
      <c r="B655" s="204"/>
      <c r="C655" s="205"/>
      <c r="D655" s="205"/>
      <c r="E655" s="166"/>
      <c r="F655" s="206"/>
      <c r="G655" s="167"/>
      <c r="H655" s="166"/>
      <c r="I655" s="167"/>
      <c r="J655" s="168"/>
      <c r="K655" s="169"/>
      <c r="L655" s="207"/>
      <c r="M655" s="207"/>
    </row>
    <row r="656">
      <c r="A656" s="203"/>
      <c r="B656" s="204"/>
      <c r="C656" s="205"/>
      <c r="D656" s="205"/>
      <c r="E656" s="166"/>
      <c r="F656" s="206"/>
      <c r="G656" s="167"/>
      <c r="H656" s="166"/>
      <c r="I656" s="167"/>
      <c r="J656" s="168"/>
      <c r="K656" s="169"/>
      <c r="L656" s="207"/>
      <c r="M656" s="207"/>
    </row>
    <row r="657">
      <c r="A657" s="203"/>
      <c r="B657" s="204"/>
      <c r="C657" s="205"/>
      <c r="D657" s="205"/>
      <c r="E657" s="166"/>
      <c r="F657" s="206"/>
      <c r="G657" s="167"/>
      <c r="H657" s="166"/>
      <c r="I657" s="167"/>
      <c r="J657" s="168"/>
      <c r="K657" s="169"/>
      <c r="L657" s="207"/>
      <c r="M657" s="207"/>
    </row>
    <row r="658">
      <c r="A658" s="203"/>
      <c r="B658" s="204"/>
      <c r="C658" s="205"/>
      <c r="D658" s="205"/>
      <c r="E658" s="166"/>
      <c r="F658" s="206"/>
      <c r="G658" s="167"/>
      <c r="H658" s="166"/>
      <c r="I658" s="167"/>
      <c r="J658" s="168"/>
      <c r="K658" s="169"/>
      <c r="L658" s="207"/>
      <c r="M658" s="207"/>
    </row>
    <row r="659">
      <c r="A659" s="203"/>
      <c r="B659" s="204"/>
      <c r="C659" s="205"/>
      <c r="D659" s="205"/>
      <c r="E659" s="166"/>
      <c r="F659" s="206"/>
      <c r="G659" s="167"/>
      <c r="H659" s="166"/>
      <c r="I659" s="167"/>
      <c r="J659" s="168"/>
      <c r="K659" s="169"/>
      <c r="L659" s="207"/>
      <c r="M659" s="207"/>
    </row>
    <row r="660">
      <c r="A660" s="203"/>
      <c r="B660" s="204"/>
      <c r="C660" s="205"/>
      <c r="D660" s="205"/>
      <c r="E660" s="166"/>
      <c r="F660" s="206"/>
      <c r="G660" s="167"/>
      <c r="H660" s="166"/>
      <c r="I660" s="167"/>
      <c r="J660" s="168"/>
      <c r="K660" s="169"/>
      <c r="L660" s="207"/>
      <c r="M660" s="207"/>
    </row>
    <row r="661">
      <c r="A661" s="203"/>
      <c r="B661" s="204"/>
      <c r="C661" s="205"/>
      <c r="D661" s="205"/>
      <c r="E661" s="166"/>
      <c r="F661" s="206"/>
      <c r="G661" s="167"/>
      <c r="H661" s="166"/>
      <c r="I661" s="167"/>
      <c r="J661" s="168"/>
      <c r="K661" s="169"/>
      <c r="L661" s="207"/>
      <c r="M661" s="207"/>
    </row>
    <row r="662">
      <c r="A662" s="203"/>
      <c r="B662" s="204"/>
      <c r="C662" s="205"/>
      <c r="D662" s="205"/>
      <c r="E662" s="166"/>
      <c r="F662" s="206"/>
      <c r="G662" s="167"/>
      <c r="H662" s="166"/>
      <c r="I662" s="167"/>
      <c r="J662" s="168"/>
      <c r="K662" s="169"/>
      <c r="L662" s="207"/>
      <c r="M662" s="207"/>
    </row>
    <row r="663">
      <c r="A663" s="203"/>
      <c r="B663" s="204"/>
      <c r="C663" s="205"/>
      <c r="D663" s="205"/>
      <c r="E663" s="166"/>
      <c r="F663" s="206"/>
      <c r="G663" s="167"/>
      <c r="H663" s="166"/>
      <c r="I663" s="167"/>
      <c r="J663" s="168"/>
      <c r="K663" s="169"/>
      <c r="L663" s="207"/>
      <c r="M663" s="207"/>
    </row>
    <row r="664">
      <c r="A664" s="203"/>
      <c r="B664" s="204"/>
      <c r="C664" s="205"/>
      <c r="D664" s="205"/>
      <c r="E664" s="166"/>
      <c r="F664" s="206"/>
      <c r="G664" s="167"/>
      <c r="H664" s="166"/>
      <c r="I664" s="167"/>
      <c r="J664" s="168"/>
      <c r="K664" s="169"/>
      <c r="L664" s="207"/>
      <c r="M664" s="207"/>
    </row>
    <row r="665">
      <c r="A665" s="203"/>
      <c r="B665" s="204"/>
      <c r="C665" s="205"/>
      <c r="D665" s="205"/>
      <c r="E665" s="166"/>
      <c r="F665" s="206"/>
      <c r="G665" s="167"/>
      <c r="H665" s="166"/>
      <c r="I665" s="167"/>
      <c r="J665" s="168"/>
      <c r="K665" s="169"/>
      <c r="L665" s="207"/>
      <c r="M665" s="207"/>
    </row>
    <row r="666">
      <c r="A666" s="203"/>
      <c r="B666" s="204"/>
      <c r="C666" s="205"/>
      <c r="D666" s="205"/>
      <c r="E666" s="166"/>
      <c r="F666" s="206"/>
      <c r="G666" s="167"/>
      <c r="H666" s="166"/>
      <c r="I666" s="167"/>
      <c r="J666" s="168"/>
      <c r="K666" s="169"/>
      <c r="L666" s="207"/>
      <c r="M666" s="207"/>
    </row>
    <row r="667">
      <c r="A667" s="203"/>
      <c r="B667" s="204"/>
      <c r="C667" s="205"/>
      <c r="D667" s="205"/>
      <c r="E667" s="166"/>
      <c r="F667" s="206"/>
      <c r="G667" s="167"/>
      <c r="H667" s="166"/>
      <c r="I667" s="167"/>
      <c r="J667" s="168"/>
      <c r="K667" s="169"/>
      <c r="L667" s="207"/>
      <c r="M667" s="207"/>
    </row>
    <row r="668">
      <c r="A668" s="203"/>
      <c r="B668" s="204"/>
      <c r="C668" s="205"/>
      <c r="D668" s="205"/>
      <c r="E668" s="166"/>
      <c r="F668" s="206"/>
      <c r="G668" s="167"/>
      <c r="H668" s="166"/>
      <c r="I668" s="167"/>
      <c r="J668" s="168"/>
      <c r="K668" s="169"/>
      <c r="L668" s="207"/>
      <c r="M668" s="207"/>
    </row>
    <row r="669">
      <c r="A669" s="203"/>
      <c r="B669" s="204"/>
      <c r="C669" s="205"/>
      <c r="D669" s="205"/>
      <c r="E669" s="166"/>
      <c r="F669" s="206"/>
      <c r="G669" s="167"/>
      <c r="H669" s="166"/>
      <c r="I669" s="167"/>
      <c r="J669" s="168"/>
      <c r="K669" s="169"/>
      <c r="L669" s="207"/>
      <c r="M669" s="207"/>
    </row>
    <row r="670">
      <c r="A670" s="203"/>
      <c r="B670" s="204"/>
      <c r="C670" s="205"/>
      <c r="D670" s="205"/>
      <c r="E670" s="166"/>
      <c r="F670" s="206"/>
      <c r="G670" s="167"/>
      <c r="H670" s="166"/>
      <c r="I670" s="167"/>
      <c r="J670" s="168"/>
      <c r="K670" s="169"/>
      <c r="L670" s="207"/>
      <c r="M670" s="207"/>
    </row>
    <row r="671">
      <c r="A671" s="203"/>
      <c r="B671" s="204"/>
      <c r="C671" s="205"/>
      <c r="D671" s="205"/>
      <c r="E671" s="166"/>
      <c r="F671" s="206"/>
      <c r="G671" s="167"/>
      <c r="H671" s="166"/>
      <c r="I671" s="167"/>
      <c r="J671" s="168"/>
      <c r="K671" s="169"/>
      <c r="L671" s="207"/>
      <c r="M671" s="207"/>
    </row>
    <row r="672">
      <c r="A672" s="203"/>
      <c r="B672" s="204"/>
      <c r="C672" s="205"/>
      <c r="D672" s="205"/>
      <c r="E672" s="166"/>
      <c r="F672" s="206"/>
      <c r="G672" s="167"/>
      <c r="H672" s="166"/>
      <c r="I672" s="167"/>
      <c r="J672" s="168"/>
      <c r="K672" s="169"/>
      <c r="L672" s="207"/>
      <c r="M672" s="207"/>
    </row>
    <row r="673">
      <c r="A673" s="203"/>
      <c r="B673" s="204"/>
      <c r="C673" s="205"/>
      <c r="D673" s="205"/>
      <c r="E673" s="166"/>
      <c r="F673" s="206"/>
      <c r="G673" s="167"/>
      <c r="H673" s="166"/>
      <c r="I673" s="167"/>
      <c r="J673" s="168"/>
      <c r="K673" s="169"/>
      <c r="L673" s="207"/>
      <c r="M673" s="207"/>
    </row>
    <row r="674">
      <c r="A674" s="203"/>
      <c r="B674" s="204"/>
      <c r="C674" s="205"/>
      <c r="D674" s="205"/>
      <c r="E674" s="166"/>
      <c r="F674" s="206"/>
      <c r="G674" s="167"/>
      <c r="H674" s="166"/>
      <c r="I674" s="167"/>
      <c r="J674" s="168"/>
      <c r="K674" s="169"/>
      <c r="L674" s="207"/>
      <c r="M674" s="207"/>
    </row>
    <row r="675">
      <c r="A675" s="203"/>
      <c r="B675" s="204"/>
      <c r="C675" s="205"/>
      <c r="D675" s="205"/>
      <c r="E675" s="166"/>
      <c r="F675" s="206"/>
      <c r="G675" s="167"/>
      <c r="H675" s="166"/>
      <c r="I675" s="167"/>
      <c r="J675" s="168"/>
      <c r="K675" s="169"/>
      <c r="L675" s="207"/>
      <c r="M675" s="207"/>
    </row>
    <row r="676">
      <c r="A676" s="203"/>
      <c r="B676" s="204"/>
      <c r="C676" s="205"/>
      <c r="D676" s="205"/>
      <c r="E676" s="166"/>
      <c r="F676" s="206"/>
      <c r="G676" s="167"/>
      <c r="H676" s="166"/>
      <c r="I676" s="167"/>
      <c r="J676" s="168"/>
      <c r="K676" s="169"/>
      <c r="L676" s="207"/>
      <c r="M676" s="207"/>
    </row>
    <row r="677">
      <c r="A677" s="203"/>
      <c r="B677" s="204"/>
      <c r="C677" s="205"/>
      <c r="D677" s="205"/>
      <c r="E677" s="166"/>
      <c r="F677" s="206"/>
      <c r="G677" s="167"/>
      <c r="H677" s="166"/>
      <c r="I677" s="167"/>
      <c r="J677" s="168"/>
      <c r="K677" s="169"/>
      <c r="L677" s="207"/>
      <c r="M677" s="207"/>
    </row>
    <row r="678">
      <c r="A678" s="203"/>
      <c r="B678" s="204"/>
      <c r="C678" s="205"/>
      <c r="D678" s="205"/>
      <c r="E678" s="166"/>
      <c r="F678" s="206"/>
      <c r="G678" s="167"/>
      <c r="H678" s="166"/>
      <c r="I678" s="167"/>
      <c r="J678" s="168"/>
      <c r="K678" s="169"/>
      <c r="L678" s="207"/>
      <c r="M678" s="207"/>
    </row>
    <row r="679">
      <c r="A679" s="203"/>
      <c r="B679" s="204"/>
      <c r="C679" s="205"/>
      <c r="D679" s="205"/>
      <c r="E679" s="166"/>
      <c r="F679" s="206"/>
      <c r="G679" s="167"/>
      <c r="H679" s="166"/>
      <c r="I679" s="167"/>
      <c r="J679" s="168"/>
      <c r="K679" s="169"/>
      <c r="L679" s="207"/>
      <c r="M679" s="207"/>
    </row>
    <row r="680">
      <c r="A680" s="203"/>
      <c r="B680" s="204"/>
      <c r="C680" s="205"/>
      <c r="D680" s="205"/>
      <c r="E680" s="166"/>
      <c r="F680" s="206"/>
      <c r="G680" s="167"/>
      <c r="H680" s="166"/>
      <c r="I680" s="167"/>
      <c r="J680" s="168"/>
      <c r="K680" s="169"/>
      <c r="L680" s="207"/>
      <c r="M680" s="207"/>
    </row>
    <row r="681">
      <c r="A681" s="203"/>
      <c r="B681" s="204"/>
      <c r="C681" s="205"/>
      <c r="D681" s="205"/>
      <c r="E681" s="166"/>
      <c r="F681" s="206"/>
      <c r="G681" s="167"/>
      <c r="H681" s="166"/>
      <c r="I681" s="167"/>
      <c r="J681" s="168"/>
      <c r="K681" s="169"/>
      <c r="L681" s="207"/>
      <c r="M681" s="207"/>
    </row>
    <row r="682">
      <c r="A682" s="203"/>
      <c r="B682" s="204"/>
      <c r="C682" s="205"/>
      <c r="D682" s="205"/>
      <c r="E682" s="166"/>
      <c r="F682" s="206"/>
      <c r="G682" s="167"/>
      <c r="H682" s="166"/>
      <c r="I682" s="167"/>
      <c r="J682" s="168"/>
      <c r="K682" s="169"/>
      <c r="L682" s="207"/>
      <c r="M682" s="207"/>
    </row>
    <row r="683">
      <c r="A683" s="203"/>
      <c r="B683" s="204"/>
      <c r="C683" s="205"/>
      <c r="D683" s="205"/>
      <c r="E683" s="166"/>
      <c r="F683" s="206"/>
      <c r="G683" s="167"/>
      <c r="H683" s="166"/>
      <c r="I683" s="167"/>
      <c r="J683" s="168"/>
      <c r="K683" s="169"/>
      <c r="L683" s="207"/>
      <c r="M683" s="207"/>
    </row>
    <row r="684">
      <c r="A684" s="203"/>
      <c r="B684" s="204"/>
      <c r="C684" s="205"/>
      <c r="D684" s="205"/>
      <c r="E684" s="166"/>
      <c r="F684" s="206"/>
      <c r="G684" s="167"/>
      <c r="H684" s="166"/>
      <c r="I684" s="167"/>
      <c r="J684" s="168"/>
      <c r="K684" s="169"/>
      <c r="L684" s="207"/>
      <c r="M684" s="207"/>
    </row>
    <row r="685">
      <c r="A685" s="203"/>
      <c r="B685" s="204"/>
      <c r="C685" s="205"/>
      <c r="D685" s="205"/>
      <c r="E685" s="166"/>
      <c r="F685" s="206"/>
      <c r="G685" s="167"/>
      <c r="H685" s="166"/>
      <c r="I685" s="167"/>
      <c r="J685" s="168"/>
      <c r="K685" s="169"/>
      <c r="L685" s="207"/>
      <c r="M685" s="207"/>
    </row>
    <row r="686">
      <c r="A686" s="203"/>
      <c r="B686" s="204"/>
      <c r="C686" s="205"/>
      <c r="D686" s="205"/>
      <c r="E686" s="166"/>
      <c r="F686" s="206"/>
      <c r="G686" s="167"/>
      <c r="H686" s="166"/>
      <c r="I686" s="167"/>
      <c r="J686" s="168"/>
      <c r="K686" s="169"/>
      <c r="L686" s="207"/>
      <c r="M686" s="207"/>
    </row>
    <row r="687">
      <c r="A687" s="203"/>
      <c r="B687" s="204"/>
      <c r="C687" s="205"/>
      <c r="D687" s="205"/>
      <c r="E687" s="166"/>
      <c r="F687" s="206"/>
      <c r="G687" s="167"/>
      <c r="H687" s="166"/>
      <c r="I687" s="167"/>
      <c r="J687" s="168"/>
      <c r="K687" s="169"/>
      <c r="L687" s="207"/>
      <c r="M687" s="207"/>
    </row>
    <row r="688">
      <c r="A688" s="203"/>
      <c r="B688" s="204"/>
      <c r="C688" s="205"/>
      <c r="D688" s="205"/>
      <c r="E688" s="166"/>
      <c r="F688" s="206"/>
      <c r="G688" s="167"/>
      <c r="H688" s="166"/>
      <c r="I688" s="167"/>
      <c r="J688" s="168"/>
      <c r="K688" s="169"/>
      <c r="L688" s="207"/>
      <c r="M688" s="207"/>
    </row>
    <row r="689">
      <c r="A689" s="203"/>
      <c r="B689" s="204"/>
      <c r="C689" s="205"/>
      <c r="D689" s="205"/>
      <c r="E689" s="166"/>
      <c r="F689" s="206"/>
      <c r="G689" s="167"/>
      <c r="H689" s="166"/>
      <c r="I689" s="167"/>
      <c r="J689" s="168"/>
      <c r="K689" s="169"/>
      <c r="L689" s="207"/>
      <c r="M689" s="207"/>
    </row>
    <row r="690">
      <c r="A690" s="203"/>
      <c r="B690" s="204"/>
      <c r="C690" s="205"/>
      <c r="D690" s="205"/>
      <c r="E690" s="166"/>
      <c r="F690" s="206"/>
      <c r="G690" s="167"/>
      <c r="H690" s="166"/>
      <c r="I690" s="167"/>
      <c r="J690" s="168"/>
      <c r="K690" s="169"/>
      <c r="L690" s="207"/>
      <c r="M690" s="207"/>
    </row>
    <row r="691">
      <c r="A691" s="203"/>
      <c r="B691" s="204"/>
      <c r="C691" s="205"/>
      <c r="D691" s="205"/>
      <c r="E691" s="166"/>
      <c r="F691" s="206"/>
      <c r="G691" s="167"/>
      <c r="H691" s="166"/>
      <c r="I691" s="167"/>
      <c r="J691" s="168"/>
      <c r="K691" s="169"/>
      <c r="L691" s="207"/>
      <c r="M691" s="207"/>
    </row>
    <row r="692">
      <c r="A692" s="203"/>
      <c r="B692" s="204"/>
      <c r="C692" s="205"/>
      <c r="D692" s="205"/>
      <c r="E692" s="166"/>
      <c r="F692" s="206"/>
      <c r="G692" s="167"/>
      <c r="H692" s="166"/>
      <c r="I692" s="167"/>
      <c r="J692" s="168"/>
      <c r="K692" s="169"/>
      <c r="L692" s="207"/>
      <c r="M692" s="207"/>
    </row>
    <row r="693">
      <c r="A693" s="203"/>
      <c r="B693" s="204"/>
      <c r="C693" s="205"/>
      <c r="D693" s="205"/>
      <c r="E693" s="166"/>
      <c r="F693" s="206"/>
      <c r="G693" s="167"/>
      <c r="H693" s="166"/>
      <c r="I693" s="167"/>
      <c r="J693" s="168"/>
      <c r="K693" s="169"/>
      <c r="L693" s="207"/>
      <c r="M693" s="207"/>
    </row>
    <row r="694">
      <c r="A694" s="203"/>
      <c r="B694" s="204"/>
      <c r="C694" s="205"/>
      <c r="D694" s="205"/>
      <c r="E694" s="166"/>
      <c r="F694" s="206"/>
      <c r="G694" s="167"/>
      <c r="H694" s="166"/>
      <c r="I694" s="167"/>
      <c r="J694" s="168"/>
      <c r="K694" s="169"/>
      <c r="L694" s="207"/>
      <c r="M694" s="207"/>
    </row>
    <row r="695">
      <c r="A695" s="203"/>
      <c r="B695" s="204"/>
      <c r="C695" s="205"/>
      <c r="D695" s="205"/>
      <c r="E695" s="166"/>
      <c r="F695" s="206"/>
      <c r="G695" s="167"/>
      <c r="H695" s="166"/>
      <c r="I695" s="167"/>
      <c r="J695" s="168"/>
      <c r="K695" s="169"/>
      <c r="L695" s="207"/>
      <c r="M695" s="207"/>
    </row>
    <row r="696">
      <c r="A696" s="203"/>
      <c r="B696" s="204"/>
      <c r="C696" s="205"/>
      <c r="D696" s="205"/>
      <c r="E696" s="166"/>
      <c r="F696" s="206"/>
      <c r="G696" s="167"/>
      <c r="H696" s="166"/>
      <c r="I696" s="167"/>
      <c r="J696" s="168"/>
      <c r="K696" s="169"/>
      <c r="L696" s="207"/>
      <c r="M696" s="207"/>
    </row>
    <row r="697">
      <c r="A697" s="203"/>
      <c r="B697" s="204"/>
      <c r="C697" s="205"/>
      <c r="D697" s="205"/>
      <c r="E697" s="166"/>
      <c r="F697" s="206"/>
      <c r="G697" s="167"/>
      <c r="H697" s="166"/>
      <c r="I697" s="167"/>
      <c r="J697" s="168"/>
      <c r="K697" s="169"/>
      <c r="L697" s="207"/>
      <c r="M697" s="207"/>
    </row>
    <row r="698">
      <c r="A698" s="203"/>
      <c r="B698" s="204"/>
      <c r="C698" s="205"/>
      <c r="D698" s="205"/>
      <c r="E698" s="166"/>
      <c r="F698" s="206"/>
      <c r="G698" s="167"/>
      <c r="H698" s="166"/>
      <c r="I698" s="167"/>
      <c r="J698" s="168"/>
      <c r="K698" s="169"/>
      <c r="L698" s="207"/>
      <c r="M698" s="207"/>
    </row>
    <row r="699">
      <c r="A699" s="203"/>
      <c r="B699" s="204"/>
      <c r="C699" s="205"/>
      <c r="D699" s="205"/>
      <c r="E699" s="166"/>
      <c r="F699" s="206"/>
      <c r="G699" s="167"/>
      <c r="H699" s="166"/>
      <c r="I699" s="167"/>
      <c r="J699" s="168"/>
      <c r="K699" s="169"/>
      <c r="L699" s="207"/>
      <c r="M699" s="207"/>
    </row>
    <row r="700">
      <c r="A700" s="203"/>
      <c r="B700" s="204"/>
      <c r="C700" s="205"/>
      <c r="D700" s="205"/>
      <c r="E700" s="166"/>
      <c r="F700" s="206"/>
      <c r="G700" s="167"/>
      <c r="H700" s="166"/>
      <c r="I700" s="167"/>
      <c r="J700" s="168"/>
      <c r="K700" s="169"/>
      <c r="L700" s="207"/>
      <c r="M700" s="207"/>
    </row>
    <row r="701">
      <c r="A701" s="203"/>
      <c r="B701" s="204"/>
      <c r="C701" s="205"/>
      <c r="D701" s="205"/>
      <c r="E701" s="166"/>
      <c r="F701" s="206"/>
      <c r="G701" s="167"/>
      <c r="H701" s="166"/>
      <c r="I701" s="167"/>
      <c r="J701" s="168"/>
      <c r="K701" s="169"/>
      <c r="L701" s="207"/>
      <c r="M701" s="207"/>
    </row>
    <row r="702">
      <c r="A702" s="203"/>
      <c r="B702" s="204"/>
      <c r="C702" s="205"/>
      <c r="D702" s="205"/>
      <c r="E702" s="166"/>
      <c r="F702" s="206"/>
      <c r="G702" s="167"/>
      <c r="H702" s="166"/>
      <c r="I702" s="167"/>
      <c r="J702" s="168"/>
      <c r="K702" s="169"/>
      <c r="L702" s="207"/>
      <c r="M702" s="207"/>
    </row>
    <row r="703">
      <c r="A703" s="203"/>
      <c r="B703" s="204"/>
      <c r="C703" s="205"/>
      <c r="D703" s="205"/>
      <c r="E703" s="166"/>
      <c r="F703" s="206"/>
      <c r="G703" s="167"/>
      <c r="H703" s="166"/>
      <c r="I703" s="167"/>
      <c r="J703" s="168"/>
      <c r="K703" s="169"/>
      <c r="L703" s="207"/>
      <c r="M703" s="207"/>
    </row>
    <row r="704">
      <c r="A704" s="203"/>
      <c r="B704" s="204"/>
      <c r="C704" s="205"/>
      <c r="D704" s="205"/>
      <c r="E704" s="166"/>
      <c r="F704" s="206"/>
      <c r="G704" s="167"/>
      <c r="H704" s="166"/>
      <c r="I704" s="167"/>
      <c r="J704" s="168"/>
      <c r="K704" s="169"/>
      <c r="L704" s="207"/>
      <c r="M704" s="207"/>
    </row>
    <row r="705">
      <c r="A705" s="203"/>
      <c r="B705" s="204"/>
      <c r="C705" s="205"/>
      <c r="D705" s="205"/>
      <c r="E705" s="166"/>
      <c r="F705" s="206"/>
      <c r="G705" s="167"/>
      <c r="H705" s="166"/>
      <c r="I705" s="167"/>
      <c r="J705" s="168"/>
      <c r="K705" s="169"/>
      <c r="L705" s="207"/>
      <c r="M705" s="207"/>
    </row>
    <row r="706">
      <c r="A706" s="203"/>
      <c r="B706" s="204"/>
      <c r="C706" s="205"/>
      <c r="D706" s="205"/>
      <c r="E706" s="166"/>
      <c r="F706" s="206"/>
      <c r="G706" s="167"/>
      <c r="H706" s="166"/>
      <c r="I706" s="167"/>
      <c r="J706" s="168"/>
      <c r="K706" s="169"/>
      <c r="L706" s="207"/>
      <c r="M706" s="207"/>
    </row>
    <row r="707">
      <c r="A707" s="203"/>
      <c r="B707" s="204"/>
      <c r="C707" s="205"/>
      <c r="D707" s="205"/>
      <c r="E707" s="166"/>
      <c r="F707" s="206"/>
      <c r="G707" s="167"/>
      <c r="H707" s="166"/>
      <c r="I707" s="167"/>
      <c r="J707" s="168"/>
      <c r="K707" s="169"/>
      <c r="L707" s="207"/>
      <c r="M707" s="207"/>
    </row>
    <row r="708">
      <c r="A708" s="203"/>
      <c r="B708" s="204"/>
      <c r="C708" s="205"/>
      <c r="D708" s="205"/>
      <c r="E708" s="166"/>
      <c r="F708" s="206"/>
      <c r="G708" s="167"/>
      <c r="H708" s="166"/>
      <c r="I708" s="167"/>
      <c r="J708" s="168"/>
      <c r="K708" s="169"/>
      <c r="L708" s="207"/>
      <c r="M708" s="207"/>
    </row>
    <row r="709">
      <c r="A709" s="203"/>
      <c r="B709" s="204"/>
      <c r="C709" s="205"/>
      <c r="D709" s="205"/>
      <c r="E709" s="166"/>
      <c r="F709" s="206"/>
      <c r="G709" s="167"/>
      <c r="H709" s="166"/>
      <c r="I709" s="167"/>
      <c r="J709" s="168"/>
      <c r="K709" s="169"/>
      <c r="L709" s="207"/>
      <c r="M709" s="207"/>
    </row>
    <row r="710">
      <c r="A710" s="203"/>
      <c r="B710" s="204"/>
      <c r="C710" s="205"/>
      <c r="D710" s="205"/>
      <c r="E710" s="166"/>
      <c r="F710" s="206"/>
      <c r="G710" s="167"/>
      <c r="H710" s="166"/>
      <c r="I710" s="167"/>
      <c r="J710" s="168"/>
      <c r="K710" s="169"/>
      <c r="L710" s="207"/>
      <c r="M710" s="207"/>
    </row>
    <row r="711">
      <c r="A711" s="203"/>
      <c r="B711" s="204"/>
      <c r="C711" s="205"/>
      <c r="D711" s="205"/>
      <c r="E711" s="166"/>
      <c r="F711" s="206"/>
      <c r="G711" s="167"/>
      <c r="H711" s="166"/>
      <c r="I711" s="167"/>
      <c r="J711" s="168"/>
      <c r="K711" s="169"/>
      <c r="L711" s="207"/>
      <c r="M711" s="207"/>
    </row>
    <row r="712">
      <c r="A712" s="203"/>
      <c r="B712" s="204"/>
      <c r="C712" s="205"/>
      <c r="D712" s="205"/>
      <c r="E712" s="166"/>
      <c r="F712" s="206"/>
      <c r="G712" s="167"/>
      <c r="H712" s="166"/>
      <c r="I712" s="167"/>
      <c r="J712" s="168"/>
      <c r="K712" s="169"/>
      <c r="L712" s="207"/>
      <c r="M712" s="207"/>
    </row>
    <row r="713">
      <c r="A713" s="203"/>
      <c r="B713" s="204"/>
      <c r="C713" s="205"/>
      <c r="D713" s="205"/>
      <c r="E713" s="166"/>
      <c r="F713" s="206"/>
      <c r="G713" s="167"/>
      <c r="H713" s="166"/>
      <c r="I713" s="167"/>
      <c r="J713" s="168"/>
      <c r="K713" s="169"/>
      <c r="L713" s="207"/>
      <c r="M713" s="207"/>
    </row>
    <row r="714">
      <c r="A714" s="203"/>
      <c r="B714" s="204"/>
      <c r="C714" s="205"/>
      <c r="D714" s="205"/>
      <c r="E714" s="166"/>
      <c r="F714" s="206"/>
      <c r="G714" s="167"/>
      <c r="H714" s="166"/>
      <c r="I714" s="167"/>
      <c r="J714" s="168"/>
      <c r="K714" s="169"/>
      <c r="L714" s="207"/>
      <c r="M714" s="207"/>
    </row>
    <row r="715">
      <c r="A715" s="203"/>
      <c r="B715" s="204"/>
      <c r="C715" s="205"/>
      <c r="D715" s="205"/>
      <c r="E715" s="166"/>
      <c r="F715" s="206"/>
      <c r="G715" s="167"/>
      <c r="H715" s="166"/>
      <c r="I715" s="167"/>
      <c r="J715" s="168"/>
      <c r="K715" s="169"/>
      <c r="L715" s="207"/>
      <c r="M715" s="207"/>
    </row>
    <row r="716">
      <c r="A716" s="203"/>
      <c r="B716" s="204"/>
      <c r="C716" s="205"/>
      <c r="D716" s="205"/>
      <c r="E716" s="166"/>
      <c r="F716" s="206"/>
      <c r="G716" s="167"/>
      <c r="H716" s="166"/>
      <c r="I716" s="167"/>
      <c r="J716" s="168"/>
      <c r="K716" s="169"/>
      <c r="L716" s="207"/>
      <c r="M716" s="207"/>
    </row>
    <row r="717">
      <c r="A717" s="203"/>
      <c r="B717" s="204"/>
      <c r="C717" s="205"/>
      <c r="D717" s="205"/>
      <c r="E717" s="166"/>
      <c r="F717" s="206"/>
      <c r="G717" s="167"/>
      <c r="H717" s="166"/>
      <c r="I717" s="167"/>
      <c r="J717" s="168"/>
      <c r="K717" s="169"/>
      <c r="L717" s="207"/>
      <c r="M717" s="207"/>
    </row>
    <row r="718">
      <c r="A718" s="203"/>
      <c r="B718" s="204"/>
      <c r="C718" s="205"/>
      <c r="D718" s="205"/>
      <c r="E718" s="166"/>
      <c r="F718" s="206"/>
      <c r="G718" s="167"/>
      <c r="H718" s="166"/>
      <c r="I718" s="167"/>
      <c r="J718" s="168"/>
      <c r="K718" s="169"/>
      <c r="L718" s="207"/>
      <c r="M718" s="207"/>
    </row>
    <row r="719">
      <c r="A719" s="203"/>
      <c r="B719" s="204"/>
      <c r="C719" s="205"/>
      <c r="D719" s="205"/>
      <c r="E719" s="166"/>
      <c r="F719" s="206"/>
      <c r="G719" s="167"/>
      <c r="H719" s="166"/>
      <c r="I719" s="167"/>
      <c r="J719" s="168"/>
      <c r="K719" s="169"/>
      <c r="L719" s="207"/>
      <c r="M719" s="207"/>
    </row>
    <row r="720">
      <c r="A720" s="203"/>
      <c r="B720" s="204"/>
      <c r="C720" s="205"/>
      <c r="D720" s="205"/>
      <c r="E720" s="166"/>
      <c r="F720" s="206"/>
      <c r="G720" s="167"/>
      <c r="H720" s="166"/>
      <c r="I720" s="167"/>
      <c r="J720" s="168"/>
      <c r="K720" s="169"/>
      <c r="L720" s="207"/>
      <c r="M720" s="207"/>
    </row>
    <row r="721">
      <c r="A721" s="203"/>
      <c r="B721" s="204"/>
      <c r="C721" s="205"/>
      <c r="D721" s="205"/>
      <c r="E721" s="166"/>
      <c r="F721" s="206"/>
      <c r="G721" s="167"/>
      <c r="H721" s="166"/>
      <c r="I721" s="167"/>
      <c r="J721" s="168"/>
      <c r="K721" s="169"/>
      <c r="L721" s="207"/>
      <c r="M721" s="207"/>
    </row>
    <row r="722">
      <c r="A722" s="203"/>
      <c r="B722" s="204"/>
      <c r="C722" s="205"/>
      <c r="D722" s="205"/>
      <c r="E722" s="166"/>
      <c r="F722" s="206"/>
      <c r="G722" s="167"/>
      <c r="H722" s="166"/>
      <c r="I722" s="167"/>
      <c r="J722" s="168"/>
      <c r="K722" s="169"/>
      <c r="L722" s="207"/>
      <c r="M722" s="207"/>
    </row>
    <row r="723">
      <c r="A723" s="203"/>
      <c r="B723" s="204"/>
      <c r="C723" s="205"/>
      <c r="D723" s="205"/>
      <c r="E723" s="166"/>
      <c r="F723" s="206"/>
      <c r="G723" s="167"/>
      <c r="H723" s="166"/>
      <c r="I723" s="167"/>
      <c r="J723" s="168"/>
      <c r="K723" s="169"/>
      <c r="L723" s="207"/>
      <c r="M723" s="207"/>
    </row>
    <row r="724">
      <c r="A724" s="203"/>
      <c r="B724" s="204"/>
      <c r="C724" s="205"/>
      <c r="D724" s="205"/>
      <c r="E724" s="166"/>
      <c r="F724" s="206"/>
      <c r="G724" s="167"/>
      <c r="H724" s="166"/>
      <c r="I724" s="167"/>
      <c r="J724" s="168"/>
      <c r="K724" s="169"/>
      <c r="L724" s="207"/>
      <c r="M724" s="207"/>
    </row>
    <row r="725">
      <c r="A725" s="203"/>
      <c r="B725" s="204"/>
      <c r="C725" s="205"/>
      <c r="D725" s="205"/>
      <c r="E725" s="166"/>
      <c r="F725" s="206"/>
      <c r="G725" s="167"/>
      <c r="H725" s="166"/>
      <c r="I725" s="167"/>
      <c r="J725" s="168"/>
      <c r="K725" s="169"/>
      <c r="L725" s="207"/>
      <c r="M725" s="207"/>
    </row>
    <row r="726">
      <c r="A726" s="203"/>
      <c r="B726" s="204"/>
      <c r="C726" s="205"/>
      <c r="D726" s="205"/>
      <c r="E726" s="166"/>
      <c r="F726" s="206"/>
      <c r="G726" s="167"/>
      <c r="H726" s="166"/>
      <c r="I726" s="167"/>
      <c r="J726" s="168"/>
      <c r="K726" s="169"/>
      <c r="L726" s="207"/>
      <c r="M726" s="207"/>
    </row>
    <row r="727">
      <c r="A727" s="203"/>
      <c r="B727" s="204"/>
      <c r="C727" s="205"/>
      <c r="D727" s="205"/>
      <c r="E727" s="166"/>
      <c r="F727" s="206"/>
      <c r="G727" s="167"/>
      <c r="H727" s="166"/>
      <c r="I727" s="167"/>
      <c r="J727" s="168"/>
      <c r="K727" s="169"/>
      <c r="L727" s="207"/>
      <c r="M727" s="207"/>
    </row>
    <row r="728">
      <c r="A728" s="203"/>
      <c r="B728" s="204"/>
      <c r="C728" s="205"/>
      <c r="D728" s="205"/>
      <c r="E728" s="166"/>
      <c r="F728" s="206"/>
      <c r="G728" s="167"/>
      <c r="H728" s="166"/>
      <c r="I728" s="167"/>
      <c r="J728" s="168"/>
      <c r="K728" s="169"/>
      <c r="L728" s="207"/>
      <c r="M728" s="207"/>
    </row>
    <row r="729">
      <c r="A729" s="203"/>
      <c r="B729" s="204"/>
      <c r="C729" s="205"/>
      <c r="D729" s="205"/>
      <c r="E729" s="166"/>
      <c r="F729" s="206"/>
      <c r="G729" s="167"/>
      <c r="H729" s="166"/>
      <c r="I729" s="167"/>
      <c r="J729" s="168"/>
      <c r="K729" s="169"/>
      <c r="L729" s="207"/>
      <c r="M729" s="207"/>
    </row>
    <row r="730">
      <c r="A730" s="203"/>
      <c r="B730" s="204"/>
      <c r="C730" s="205"/>
      <c r="D730" s="205"/>
      <c r="E730" s="166"/>
      <c r="F730" s="206"/>
      <c r="G730" s="167"/>
      <c r="H730" s="166"/>
      <c r="I730" s="167"/>
      <c r="J730" s="168"/>
      <c r="K730" s="169"/>
      <c r="L730" s="207"/>
      <c r="M730" s="207"/>
    </row>
    <row r="731">
      <c r="A731" s="203"/>
      <c r="B731" s="204"/>
      <c r="C731" s="205"/>
      <c r="D731" s="205"/>
      <c r="E731" s="166"/>
      <c r="F731" s="206"/>
      <c r="G731" s="167"/>
      <c r="H731" s="166"/>
      <c r="I731" s="167"/>
      <c r="J731" s="168"/>
      <c r="K731" s="169"/>
      <c r="L731" s="207"/>
      <c r="M731" s="207"/>
    </row>
    <row r="732">
      <c r="A732" s="203"/>
      <c r="B732" s="204"/>
      <c r="C732" s="205"/>
      <c r="D732" s="205"/>
      <c r="E732" s="166"/>
      <c r="F732" s="206"/>
      <c r="G732" s="167"/>
      <c r="H732" s="166"/>
      <c r="I732" s="167"/>
      <c r="J732" s="168"/>
      <c r="K732" s="169"/>
      <c r="L732" s="207"/>
      <c r="M732" s="207"/>
    </row>
    <row r="733">
      <c r="A733" s="203"/>
      <c r="B733" s="204"/>
      <c r="C733" s="205"/>
      <c r="D733" s="205"/>
      <c r="E733" s="166"/>
      <c r="F733" s="206"/>
      <c r="G733" s="167"/>
      <c r="H733" s="166"/>
      <c r="I733" s="167"/>
      <c r="J733" s="168"/>
      <c r="K733" s="169"/>
      <c r="L733" s="207"/>
      <c r="M733" s="207"/>
    </row>
    <row r="734">
      <c r="A734" s="203"/>
      <c r="B734" s="204"/>
      <c r="C734" s="205"/>
      <c r="D734" s="205"/>
      <c r="E734" s="166"/>
      <c r="F734" s="206"/>
      <c r="G734" s="167"/>
      <c r="H734" s="166"/>
      <c r="I734" s="167"/>
      <c r="J734" s="168"/>
      <c r="K734" s="169"/>
      <c r="L734" s="207"/>
      <c r="M734" s="207"/>
    </row>
    <row r="735">
      <c r="A735" s="203"/>
      <c r="B735" s="204"/>
      <c r="C735" s="205"/>
      <c r="D735" s="205"/>
      <c r="E735" s="166"/>
      <c r="F735" s="206"/>
      <c r="G735" s="167"/>
      <c r="H735" s="166"/>
      <c r="I735" s="167"/>
      <c r="J735" s="168"/>
      <c r="K735" s="169"/>
      <c r="L735" s="207"/>
      <c r="M735" s="207"/>
    </row>
    <row r="736">
      <c r="A736" s="203"/>
      <c r="B736" s="204"/>
      <c r="C736" s="205"/>
      <c r="D736" s="205"/>
      <c r="E736" s="166"/>
      <c r="F736" s="206"/>
      <c r="G736" s="167"/>
      <c r="H736" s="166"/>
      <c r="I736" s="167"/>
      <c r="J736" s="168"/>
      <c r="K736" s="169"/>
      <c r="L736" s="207"/>
      <c r="M736" s="207"/>
    </row>
    <row r="737">
      <c r="A737" s="203"/>
      <c r="B737" s="204"/>
      <c r="C737" s="205"/>
      <c r="D737" s="205"/>
      <c r="E737" s="166"/>
      <c r="F737" s="206"/>
      <c r="G737" s="167"/>
      <c r="H737" s="166"/>
      <c r="I737" s="167"/>
      <c r="J737" s="168"/>
      <c r="K737" s="169"/>
      <c r="L737" s="207"/>
      <c r="M737" s="207"/>
    </row>
    <row r="738">
      <c r="A738" s="203"/>
      <c r="B738" s="204"/>
      <c r="C738" s="205"/>
      <c r="D738" s="205"/>
      <c r="E738" s="166"/>
      <c r="F738" s="206"/>
      <c r="G738" s="167"/>
      <c r="H738" s="166"/>
      <c r="I738" s="167"/>
      <c r="J738" s="168"/>
      <c r="K738" s="169"/>
      <c r="L738" s="207"/>
      <c r="M738" s="207"/>
    </row>
    <row r="739">
      <c r="A739" s="203"/>
      <c r="B739" s="204"/>
      <c r="C739" s="205"/>
      <c r="D739" s="205"/>
      <c r="E739" s="166"/>
      <c r="F739" s="206"/>
      <c r="G739" s="167"/>
      <c r="H739" s="166"/>
      <c r="I739" s="167"/>
      <c r="J739" s="168"/>
      <c r="K739" s="169"/>
      <c r="L739" s="207"/>
      <c r="M739" s="207"/>
    </row>
    <row r="740">
      <c r="A740" s="203"/>
      <c r="B740" s="204"/>
      <c r="C740" s="205"/>
      <c r="D740" s="205"/>
      <c r="E740" s="166"/>
      <c r="F740" s="206"/>
      <c r="G740" s="167"/>
      <c r="H740" s="166"/>
      <c r="I740" s="167"/>
      <c r="J740" s="168"/>
      <c r="K740" s="169"/>
      <c r="L740" s="207"/>
      <c r="M740" s="207"/>
    </row>
    <row r="741">
      <c r="A741" s="203"/>
      <c r="B741" s="204"/>
      <c r="C741" s="205"/>
      <c r="D741" s="205"/>
      <c r="E741" s="166"/>
      <c r="F741" s="206"/>
      <c r="G741" s="167"/>
      <c r="H741" s="166"/>
      <c r="I741" s="167"/>
      <c r="J741" s="168"/>
      <c r="K741" s="169"/>
      <c r="L741" s="207"/>
      <c r="M741" s="207"/>
    </row>
    <row r="742">
      <c r="A742" s="203"/>
      <c r="B742" s="204"/>
      <c r="C742" s="205"/>
      <c r="D742" s="205"/>
      <c r="E742" s="166"/>
      <c r="F742" s="206"/>
      <c r="G742" s="167"/>
      <c r="H742" s="166"/>
      <c r="I742" s="167"/>
      <c r="J742" s="168"/>
      <c r="K742" s="169"/>
      <c r="L742" s="207"/>
      <c r="M742" s="207"/>
    </row>
    <row r="743">
      <c r="A743" s="203"/>
      <c r="B743" s="204"/>
      <c r="C743" s="205"/>
      <c r="D743" s="205"/>
      <c r="E743" s="166"/>
      <c r="F743" s="206"/>
      <c r="G743" s="167"/>
      <c r="H743" s="166"/>
      <c r="I743" s="167"/>
      <c r="J743" s="168"/>
      <c r="K743" s="169"/>
      <c r="L743" s="207"/>
      <c r="M743" s="207"/>
    </row>
    <row r="744">
      <c r="A744" s="203"/>
      <c r="B744" s="204"/>
      <c r="C744" s="205"/>
      <c r="D744" s="205"/>
      <c r="E744" s="166"/>
      <c r="F744" s="206"/>
      <c r="G744" s="167"/>
      <c r="H744" s="166"/>
      <c r="I744" s="167"/>
      <c r="J744" s="168"/>
      <c r="K744" s="169"/>
      <c r="L744" s="207"/>
      <c r="M744" s="207"/>
    </row>
    <row r="745">
      <c r="A745" s="203"/>
      <c r="B745" s="204"/>
      <c r="C745" s="205"/>
      <c r="D745" s="205"/>
      <c r="E745" s="166"/>
      <c r="F745" s="206"/>
      <c r="G745" s="167"/>
      <c r="H745" s="166"/>
      <c r="I745" s="167"/>
      <c r="J745" s="168"/>
      <c r="K745" s="169"/>
      <c r="L745" s="207"/>
      <c r="M745" s="207"/>
    </row>
    <row r="746">
      <c r="A746" s="203"/>
      <c r="B746" s="204"/>
      <c r="C746" s="205"/>
      <c r="D746" s="205"/>
      <c r="E746" s="166"/>
      <c r="F746" s="206"/>
      <c r="G746" s="167"/>
      <c r="H746" s="166"/>
      <c r="I746" s="167"/>
      <c r="J746" s="168"/>
      <c r="K746" s="169"/>
      <c r="L746" s="207"/>
      <c r="M746" s="207"/>
    </row>
    <row r="747">
      <c r="A747" s="203"/>
      <c r="B747" s="204"/>
      <c r="C747" s="205"/>
      <c r="D747" s="205"/>
      <c r="E747" s="166"/>
      <c r="F747" s="206"/>
      <c r="G747" s="167"/>
      <c r="H747" s="166"/>
      <c r="I747" s="167"/>
      <c r="J747" s="168"/>
      <c r="K747" s="169"/>
      <c r="L747" s="207"/>
      <c r="M747" s="207"/>
    </row>
    <row r="748">
      <c r="A748" s="203"/>
      <c r="B748" s="204"/>
      <c r="C748" s="205"/>
      <c r="D748" s="205"/>
      <c r="E748" s="166"/>
      <c r="F748" s="206"/>
      <c r="G748" s="167"/>
      <c r="H748" s="166"/>
      <c r="I748" s="167"/>
      <c r="J748" s="168"/>
      <c r="K748" s="169"/>
      <c r="L748" s="207"/>
      <c r="M748" s="207"/>
    </row>
    <row r="749">
      <c r="A749" s="203"/>
      <c r="B749" s="204"/>
      <c r="C749" s="205"/>
      <c r="D749" s="205"/>
      <c r="E749" s="166"/>
      <c r="F749" s="206"/>
      <c r="G749" s="167"/>
      <c r="H749" s="166"/>
      <c r="I749" s="167"/>
      <c r="J749" s="168"/>
      <c r="K749" s="169"/>
      <c r="L749" s="207"/>
      <c r="M749" s="207"/>
    </row>
    <row r="750">
      <c r="A750" s="203"/>
      <c r="B750" s="204"/>
      <c r="C750" s="205"/>
      <c r="D750" s="205"/>
      <c r="E750" s="166"/>
      <c r="F750" s="206"/>
      <c r="G750" s="167"/>
      <c r="H750" s="166"/>
      <c r="I750" s="167"/>
      <c r="J750" s="168"/>
      <c r="K750" s="169"/>
      <c r="L750" s="207"/>
      <c r="M750" s="207"/>
    </row>
    <row r="751">
      <c r="A751" s="203"/>
      <c r="B751" s="204"/>
      <c r="C751" s="205"/>
      <c r="D751" s="205"/>
      <c r="E751" s="166"/>
      <c r="F751" s="206"/>
      <c r="G751" s="167"/>
      <c r="H751" s="166"/>
      <c r="I751" s="167"/>
      <c r="J751" s="168"/>
      <c r="K751" s="169"/>
      <c r="L751" s="207"/>
      <c r="M751" s="207"/>
    </row>
    <row r="752">
      <c r="A752" s="203"/>
      <c r="B752" s="204"/>
      <c r="C752" s="205"/>
      <c r="D752" s="205"/>
      <c r="E752" s="166"/>
      <c r="F752" s="206"/>
      <c r="G752" s="167"/>
      <c r="H752" s="166"/>
      <c r="I752" s="167"/>
      <c r="J752" s="168"/>
      <c r="K752" s="169"/>
      <c r="L752" s="207"/>
      <c r="M752" s="207"/>
    </row>
    <row r="753">
      <c r="A753" s="203"/>
      <c r="B753" s="204"/>
      <c r="C753" s="205"/>
      <c r="D753" s="205"/>
      <c r="E753" s="166"/>
      <c r="F753" s="206"/>
      <c r="G753" s="167"/>
      <c r="H753" s="166"/>
      <c r="I753" s="167"/>
      <c r="J753" s="168"/>
      <c r="K753" s="169"/>
      <c r="L753" s="207"/>
      <c r="M753" s="207"/>
    </row>
    <row r="754">
      <c r="A754" s="203"/>
      <c r="B754" s="204"/>
      <c r="C754" s="205"/>
      <c r="D754" s="205"/>
      <c r="E754" s="166"/>
      <c r="F754" s="206"/>
      <c r="G754" s="167"/>
      <c r="H754" s="166"/>
      <c r="I754" s="167"/>
      <c r="J754" s="168"/>
      <c r="K754" s="169"/>
      <c r="L754" s="207"/>
      <c r="M754" s="207"/>
    </row>
    <row r="755">
      <c r="A755" s="203"/>
      <c r="B755" s="204"/>
      <c r="C755" s="205"/>
      <c r="D755" s="205"/>
      <c r="E755" s="166"/>
      <c r="F755" s="206"/>
      <c r="G755" s="167"/>
      <c r="H755" s="166"/>
      <c r="I755" s="167"/>
      <c r="J755" s="168"/>
      <c r="K755" s="169"/>
      <c r="L755" s="207"/>
      <c r="M755" s="207"/>
    </row>
    <row r="756">
      <c r="A756" s="203"/>
      <c r="B756" s="204"/>
      <c r="C756" s="205"/>
      <c r="D756" s="205"/>
      <c r="E756" s="166"/>
      <c r="F756" s="206"/>
      <c r="G756" s="167"/>
      <c r="H756" s="166"/>
      <c r="I756" s="167"/>
      <c r="J756" s="168"/>
      <c r="K756" s="169"/>
      <c r="L756" s="207"/>
      <c r="M756" s="207"/>
    </row>
    <row r="757">
      <c r="A757" s="203"/>
      <c r="B757" s="204"/>
      <c r="C757" s="205"/>
      <c r="D757" s="205"/>
      <c r="E757" s="166"/>
      <c r="F757" s="206"/>
      <c r="G757" s="167"/>
      <c r="H757" s="166"/>
      <c r="I757" s="167"/>
      <c r="J757" s="168"/>
      <c r="K757" s="169"/>
      <c r="L757" s="207"/>
      <c r="M757" s="207"/>
    </row>
    <row r="758">
      <c r="A758" s="203"/>
      <c r="B758" s="204"/>
      <c r="C758" s="205"/>
      <c r="D758" s="205"/>
      <c r="E758" s="166"/>
      <c r="F758" s="206"/>
      <c r="G758" s="167"/>
      <c r="H758" s="166"/>
      <c r="I758" s="167"/>
      <c r="J758" s="168"/>
      <c r="K758" s="169"/>
      <c r="L758" s="207"/>
      <c r="M758" s="207"/>
    </row>
    <row r="759">
      <c r="A759" s="203"/>
      <c r="B759" s="204"/>
      <c r="C759" s="205"/>
      <c r="D759" s="205"/>
      <c r="E759" s="166"/>
      <c r="F759" s="206"/>
      <c r="G759" s="167"/>
      <c r="H759" s="166"/>
      <c r="I759" s="167"/>
      <c r="J759" s="168"/>
      <c r="K759" s="169"/>
      <c r="L759" s="207"/>
      <c r="M759" s="207"/>
    </row>
    <row r="760">
      <c r="A760" s="203"/>
      <c r="B760" s="204"/>
      <c r="C760" s="205"/>
      <c r="D760" s="205"/>
      <c r="E760" s="166"/>
      <c r="F760" s="206"/>
      <c r="G760" s="167"/>
      <c r="H760" s="166"/>
      <c r="I760" s="167"/>
      <c r="J760" s="168"/>
      <c r="K760" s="169"/>
      <c r="L760" s="207"/>
      <c r="M760" s="207"/>
    </row>
    <row r="761">
      <c r="A761" s="203"/>
      <c r="B761" s="204"/>
      <c r="C761" s="205"/>
      <c r="D761" s="205"/>
      <c r="E761" s="166"/>
      <c r="F761" s="206"/>
      <c r="G761" s="167"/>
      <c r="H761" s="166"/>
      <c r="I761" s="167"/>
      <c r="J761" s="168"/>
      <c r="K761" s="169"/>
      <c r="L761" s="207"/>
      <c r="M761" s="207"/>
    </row>
    <row r="762">
      <c r="A762" s="203"/>
      <c r="B762" s="204"/>
      <c r="C762" s="205"/>
      <c r="D762" s="205"/>
      <c r="E762" s="166"/>
      <c r="F762" s="206"/>
      <c r="G762" s="167"/>
      <c r="H762" s="166"/>
      <c r="I762" s="167"/>
      <c r="J762" s="168"/>
      <c r="K762" s="169"/>
      <c r="L762" s="207"/>
      <c r="M762" s="207"/>
    </row>
    <row r="763">
      <c r="A763" s="203"/>
      <c r="B763" s="204"/>
      <c r="C763" s="205"/>
      <c r="D763" s="205"/>
      <c r="E763" s="166"/>
      <c r="F763" s="206"/>
      <c r="G763" s="167"/>
      <c r="H763" s="166"/>
      <c r="I763" s="167"/>
      <c r="J763" s="168"/>
      <c r="K763" s="169"/>
      <c r="L763" s="207"/>
      <c r="M763" s="207"/>
    </row>
    <row r="764">
      <c r="A764" s="203"/>
      <c r="B764" s="204"/>
      <c r="C764" s="205"/>
      <c r="D764" s="205"/>
      <c r="E764" s="166"/>
      <c r="F764" s="206"/>
      <c r="G764" s="167"/>
      <c r="H764" s="166"/>
      <c r="I764" s="167"/>
      <c r="J764" s="168"/>
      <c r="K764" s="169"/>
      <c r="L764" s="207"/>
      <c r="M764" s="207"/>
    </row>
    <row r="765">
      <c r="A765" s="203"/>
      <c r="B765" s="204"/>
      <c r="C765" s="205"/>
      <c r="D765" s="205"/>
      <c r="E765" s="166"/>
      <c r="F765" s="206"/>
      <c r="G765" s="167"/>
      <c r="H765" s="166"/>
      <c r="I765" s="167"/>
      <c r="J765" s="168"/>
      <c r="K765" s="169"/>
      <c r="L765" s="207"/>
      <c r="M765" s="207"/>
    </row>
    <row r="766">
      <c r="A766" s="203"/>
      <c r="B766" s="204"/>
      <c r="C766" s="205"/>
      <c r="D766" s="205"/>
      <c r="E766" s="166"/>
      <c r="F766" s="206"/>
      <c r="G766" s="167"/>
      <c r="H766" s="166"/>
      <c r="I766" s="167"/>
      <c r="J766" s="168"/>
      <c r="K766" s="169"/>
      <c r="L766" s="207"/>
      <c r="M766" s="207"/>
    </row>
    <row r="767">
      <c r="A767" s="203"/>
      <c r="B767" s="204"/>
      <c r="C767" s="205"/>
      <c r="D767" s="205"/>
      <c r="E767" s="166"/>
      <c r="F767" s="206"/>
      <c r="G767" s="167"/>
      <c r="H767" s="166"/>
      <c r="I767" s="167"/>
      <c r="J767" s="168"/>
      <c r="K767" s="169"/>
      <c r="L767" s="207"/>
      <c r="M767" s="207"/>
    </row>
    <row r="768">
      <c r="A768" s="203"/>
      <c r="B768" s="204"/>
      <c r="C768" s="205"/>
      <c r="D768" s="205"/>
      <c r="E768" s="166"/>
      <c r="F768" s="206"/>
      <c r="G768" s="167"/>
      <c r="H768" s="166"/>
      <c r="I768" s="167"/>
      <c r="J768" s="168"/>
      <c r="K768" s="169"/>
      <c r="L768" s="207"/>
      <c r="M768" s="207"/>
    </row>
    <row r="769">
      <c r="A769" s="203"/>
      <c r="B769" s="204"/>
      <c r="C769" s="205"/>
      <c r="D769" s="205"/>
      <c r="E769" s="166"/>
      <c r="F769" s="206"/>
      <c r="G769" s="167"/>
      <c r="H769" s="166"/>
      <c r="I769" s="167"/>
      <c r="J769" s="168"/>
      <c r="K769" s="169"/>
      <c r="L769" s="207"/>
      <c r="M769" s="207"/>
    </row>
    <row r="770">
      <c r="A770" s="203"/>
      <c r="B770" s="204"/>
      <c r="C770" s="205"/>
      <c r="D770" s="205"/>
      <c r="E770" s="166"/>
      <c r="F770" s="206"/>
      <c r="G770" s="167"/>
      <c r="H770" s="166"/>
      <c r="I770" s="167"/>
      <c r="J770" s="168"/>
      <c r="K770" s="169"/>
      <c r="L770" s="207"/>
      <c r="M770" s="207"/>
    </row>
    <row r="771">
      <c r="A771" s="203"/>
      <c r="B771" s="204"/>
      <c r="C771" s="205"/>
      <c r="D771" s="205"/>
      <c r="E771" s="166"/>
      <c r="F771" s="206"/>
      <c r="G771" s="167"/>
      <c r="H771" s="166"/>
      <c r="I771" s="167"/>
      <c r="J771" s="168"/>
      <c r="K771" s="169"/>
      <c r="L771" s="207"/>
      <c r="M771" s="207"/>
    </row>
    <row r="772">
      <c r="A772" s="203"/>
      <c r="B772" s="204"/>
      <c r="C772" s="205"/>
      <c r="D772" s="205"/>
      <c r="E772" s="166"/>
      <c r="F772" s="206"/>
      <c r="G772" s="167"/>
      <c r="H772" s="166"/>
      <c r="I772" s="167"/>
      <c r="J772" s="168"/>
      <c r="K772" s="169"/>
      <c r="L772" s="207"/>
      <c r="M772" s="207"/>
    </row>
    <row r="773">
      <c r="A773" s="203"/>
      <c r="B773" s="204"/>
      <c r="C773" s="205"/>
      <c r="D773" s="205"/>
      <c r="E773" s="166"/>
      <c r="F773" s="206"/>
      <c r="G773" s="167"/>
      <c r="H773" s="166"/>
      <c r="I773" s="167"/>
      <c r="J773" s="168"/>
      <c r="K773" s="169"/>
      <c r="L773" s="207"/>
      <c r="M773" s="207"/>
    </row>
    <row r="774">
      <c r="A774" s="203"/>
      <c r="B774" s="204"/>
      <c r="C774" s="205"/>
      <c r="D774" s="205"/>
      <c r="E774" s="166"/>
      <c r="F774" s="206"/>
      <c r="G774" s="167"/>
      <c r="H774" s="166"/>
      <c r="I774" s="167"/>
      <c r="J774" s="168"/>
      <c r="K774" s="169"/>
      <c r="L774" s="207"/>
      <c r="M774" s="207"/>
    </row>
    <row r="775">
      <c r="A775" s="203"/>
      <c r="B775" s="204"/>
      <c r="C775" s="205"/>
      <c r="D775" s="205"/>
      <c r="E775" s="166"/>
      <c r="F775" s="206"/>
      <c r="G775" s="167"/>
      <c r="H775" s="166"/>
      <c r="I775" s="167"/>
      <c r="J775" s="168"/>
      <c r="K775" s="169"/>
      <c r="L775" s="207"/>
      <c r="M775" s="207"/>
    </row>
    <row r="776">
      <c r="A776" s="203"/>
      <c r="B776" s="204"/>
      <c r="C776" s="205"/>
      <c r="D776" s="205"/>
      <c r="E776" s="166"/>
      <c r="F776" s="206"/>
      <c r="G776" s="167"/>
      <c r="H776" s="166"/>
      <c r="I776" s="167"/>
      <c r="J776" s="168"/>
      <c r="K776" s="169"/>
      <c r="L776" s="207"/>
      <c r="M776" s="207"/>
    </row>
    <row r="777">
      <c r="A777" s="203"/>
      <c r="B777" s="204"/>
      <c r="C777" s="205"/>
      <c r="D777" s="205"/>
      <c r="E777" s="166"/>
      <c r="F777" s="206"/>
      <c r="G777" s="167"/>
      <c r="H777" s="166"/>
      <c r="I777" s="167"/>
      <c r="J777" s="168"/>
      <c r="K777" s="169"/>
      <c r="L777" s="207"/>
      <c r="M777" s="207"/>
    </row>
    <row r="778">
      <c r="A778" s="203"/>
      <c r="B778" s="204"/>
      <c r="C778" s="205"/>
      <c r="D778" s="205"/>
      <c r="E778" s="166"/>
      <c r="F778" s="206"/>
      <c r="G778" s="167"/>
      <c r="H778" s="166"/>
      <c r="I778" s="167"/>
      <c r="J778" s="168"/>
      <c r="K778" s="169"/>
      <c r="L778" s="207"/>
      <c r="M778" s="207"/>
    </row>
    <row r="779">
      <c r="A779" s="203"/>
      <c r="B779" s="204"/>
      <c r="C779" s="205"/>
      <c r="D779" s="205"/>
      <c r="E779" s="166"/>
      <c r="F779" s="206"/>
      <c r="G779" s="167"/>
      <c r="H779" s="166"/>
      <c r="I779" s="167"/>
      <c r="J779" s="168"/>
      <c r="K779" s="169"/>
      <c r="L779" s="207"/>
      <c r="M779" s="207"/>
    </row>
    <row r="780">
      <c r="A780" s="203"/>
      <c r="B780" s="204"/>
      <c r="C780" s="205"/>
      <c r="D780" s="205"/>
      <c r="E780" s="166"/>
      <c r="F780" s="206"/>
      <c r="G780" s="167"/>
      <c r="H780" s="166"/>
      <c r="I780" s="167"/>
      <c r="J780" s="168"/>
      <c r="K780" s="169"/>
      <c r="L780" s="207"/>
      <c r="M780" s="207"/>
    </row>
    <row r="781">
      <c r="A781" s="203"/>
      <c r="B781" s="204"/>
      <c r="C781" s="205"/>
      <c r="D781" s="205"/>
      <c r="E781" s="166"/>
      <c r="F781" s="206"/>
      <c r="G781" s="167"/>
      <c r="H781" s="166"/>
      <c r="I781" s="167"/>
      <c r="J781" s="168"/>
      <c r="K781" s="169"/>
      <c r="L781" s="207"/>
      <c r="M781" s="207"/>
    </row>
    <row r="782">
      <c r="A782" s="203"/>
      <c r="B782" s="204"/>
      <c r="C782" s="205"/>
      <c r="D782" s="205"/>
      <c r="E782" s="166"/>
      <c r="F782" s="206"/>
      <c r="G782" s="167"/>
      <c r="H782" s="166"/>
      <c r="I782" s="167"/>
      <c r="J782" s="168"/>
      <c r="K782" s="169"/>
      <c r="L782" s="207"/>
      <c r="M782" s="207"/>
    </row>
    <row r="783">
      <c r="A783" s="203"/>
      <c r="B783" s="204"/>
      <c r="C783" s="205"/>
      <c r="D783" s="205"/>
      <c r="E783" s="166"/>
      <c r="F783" s="206"/>
      <c r="G783" s="167"/>
      <c r="H783" s="166"/>
      <c r="I783" s="167"/>
      <c r="J783" s="168"/>
      <c r="K783" s="169"/>
      <c r="L783" s="207"/>
      <c r="M783" s="207"/>
    </row>
    <row r="784">
      <c r="A784" s="203"/>
      <c r="B784" s="204"/>
      <c r="C784" s="205"/>
      <c r="D784" s="205"/>
      <c r="E784" s="166"/>
      <c r="F784" s="206"/>
      <c r="G784" s="167"/>
      <c r="H784" s="166"/>
      <c r="I784" s="167"/>
      <c r="J784" s="168"/>
      <c r="K784" s="169"/>
      <c r="L784" s="207"/>
      <c r="M784" s="207"/>
    </row>
    <row r="785">
      <c r="A785" s="203"/>
      <c r="B785" s="204"/>
      <c r="C785" s="205"/>
      <c r="D785" s="205"/>
      <c r="E785" s="166"/>
      <c r="F785" s="206"/>
      <c r="G785" s="167"/>
      <c r="H785" s="166"/>
      <c r="I785" s="167"/>
      <c r="J785" s="168"/>
      <c r="K785" s="169"/>
      <c r="L785" s="207"/>
      <c r="M785" s="207"/>
    </row>
    <row r="786">
      <c r="A786" s="203"/>
      <c r="B786" s="204"/>
      <c r="C786" s="205"/>
      <c r="D786" s="205"/>
      <c r="E786" s="166"/>
      <c r="F786" s="206"/>
      <c r="G786" s="167"/>
      <c r="H786" s="166"/>
      <c r="I786" s="167"/>
      <c r="J786" s="168"/>
      <c r="K786" s="169"/>
      <c r="L786" s="207"/>
      <c r="M786" s="207"/>
    </row>
    <row r="787">
      <c r="A787" s="203"/>
      <c r="B787" s="204"/>
      <c r="C787" s="205"/>
      <c r="D787" s="205"/>
      <c r="E787" s="166"/>
      <c r="F787" s="206"/>
      <c r="G787" s="167"/>
      <c r="H787" s="166"/>
      <c r="I787" s="167"/>
      <c r="J787" s="168"/>
      <c r="K787" s="169"/>
      <c r="L787" s="207"/>
      <c r="M787" s="207"/>
    </row>
    <row r="788">
      <c r="A788" s="203"/>
      <c r="B788" s="204"/>
      <c r="C788" s="205"/>
      <c r="D788" s="205"/>
      <c r="E788" s="166"/>
      <c r="F788" s="206"/>
      <c r="G788" s="167"/>
      <c r="H788" s="166"/>
      <c r="I788" s="167"/>
      <c r="J788" s="168"/>
      <c r="K788" s="169"/>
      <c r="L788" s="207"/>
      <c r="M788" s="207"/>
    </row>
    <row r="789">
      <c r="A789" s="203"/>
      <c r="B789" s="204"/>
      <c r="C789" s="205"/>
      <c r="D789" s="205"/>
      <c r="E789" s="166"/>
      <c r="F789" s="206"/>
      <c r="G789" s="167"/>
      <c r="H789" s="166"/>
      <c r="I789" s="167"/>
      <c r="J789" s="168"/>
      <c r="K789" s="169"/>
      <c r="L789" s="207"/>
      <c r="M789" s="207"/>
    </row>
    <row r="790">
      <c r="A790" s="203"/>
      <c r="B790" s="204"/>
      <c r="C790" s="205"/>
      <c r="D790" s="205"/>
      <c r="E790" s="166"/>
      <c r="F790" s="206"/>
      <c r="G790" s="167"/>
      <c r="H790" s="166"/>
      <c r="I790" s="167"/>
      <c r="J790" s="168"/>
      <c r="K790" s="169"/>
      <c r="L790" s="207"/>
      <c r="M790" s="207"/>
    </row>
    <row r="791">
      <c r="A791" s="203"/>
      <c r="B791" s="204"/>
      <c r="C791" s="205"/>
      <c r="D791" s="205"/>
      <c r="E791" s="166"/>
      <c r="F791" s="206"/>
      <c r="G791" s="167"/>
      <c r="H791" s="166"/>
      <c r="I791" s="167"/>
      <c r="J791" s="168"/>
      <c r="K791" s="169"/>
      <c r="L791" s="207"/>
      <c r="M791" s="207"/>
    </row>
    <row r="792">
      <c r="A792" s="203"/>
      <c r="B792" s="204"/>
      <c r="C792" s="205"/>
      <c r="D792" s="205"/>
      <c r="E792" s="166"/>
      <c r="F792" s="206"/>
      <c r="G792" s="167"/>
      <c r="H792" s="166"/>
      <c r="I792" s="167"/>
      <c r="J792" s="168"/>
      <c r="K792" s="169"/>
      <c r="L792" s="207"/>
      <c r="M792" s="207"/>
    </row>
    <row r="793">
      <c r="A793" s="203"/>
      <c r="B793" s="204"/>
      <c r="C793" s="205"/>
      <c r="D793" s="205"/>
      <c r="E793" s="166"/>
      <c r="F793" s="206"/>
      <c r="G793" s="167"/>
      <c r="H793" s="166"/>
      <c r="I793" s="167"/>
      <c r="J793" s="168"/>
      <c r="K793" s="169"/>
      <c r="L793" s="207"/>
      <c r="M793" s="207"/>
    </row>
    <row r="794">
      <c r="A794" s="203"/>
      <c r="B794" s="204"/>
      <c r="C794" s="205"/>
      <c r="D794" s="205"/>
      <c r="E794" s="166"/>
      <c r="F794" s="206"/>
      <c r="G794" s="167"/>
      <c r="H794" s="166"/>
      <c r="I794" s="167"/>
      <c r="J794" s="168"/>
      <c r="K794" s="169"/>
      <c r="L794" s="207"/>
      <c r="M794" s="207"/>
    </row>
    <row r="795">
      <c r="A795" s="203"/>
      <c r="B795" s="204"/>
      <c r="C795" s="205"/>
      <c r="D795" s="205"/>
      <c r="E795" s="166"/>
      <c r="F795" s="206"/>
      <c r="G795" s="167"/>
      <c r="H795" s="166"/>
      <c r="I795" s="167"/>
      <c r="J795" s="168"/>
      <c r="K795" s="169"/>
      <c r="L795" s="207"/>
      <c r="M795" s="207"/>
    </row>
    <row r="796">
      <c r="A796" s="203"/>
      <c r="B796" s="204"/>
      <c r="C796" s="205"/>
      <c r="D796" s="205"/>
      <c r="E796" s="166"/>
      <c r="F796" s="206"/>
      <c r="G796" s="167"/>
      <c r="H796" s="166"/>
      <c r="I796" s="167"/>
      <c r="J796" s="168"/>
      <c r="K796" s="169"/>
      <c r="L796" s="207"/>
      <c r="M796" s="207"/>
    </row>
    <row r="797">
      <c r="A797" s="203"/>
      <c r="B797" s="204"/>
      <c r="C797" s="205"/>
      <c r="D797" s="205"/>
      <c r="E797" s="166"/>
      <c r="F797" s="206"/>
      <c r="G797" s="167"/>
      <c r="H797" s="166"/>
      <c r="I797" s="167"/>
      <c r="J797" s="168"/>
      <c r="K797" s="169"/>
      <c r="L797" s="207"/>
      <c r="M797" s="207"/>
    </row>
    <row r="798">
      <c r="A798" s="203"/>
      <c r="B798" s="204"/>
      <c r="C798" s="205"/>
      <c r="D798" s="205"/>
      <c r="E798" s="166"/>
      <c r="F798" s="206"/>
      <c r="G798" s="167"/>
      <c r="H798" s="166"/>
      <c r="I798" s="167"/>
      <c r="J798" s="168"/>
      <c r="K798" s="169"/>
      <c r="L798" s="207"/>
      <c r="M798" s="207"/>
    </row>
    <row r="799">
      <c r="A799" s="203"/>
      <c r="B799" s="204"/>
      <c r="C799" s="205"/>
      <c r="D799" s="205"/>
      <c r="E799" s="166"/>
      <c r="F799" s="206"/>
      <c r="G799" s="167"/>
      <c r="H799" s="166"/>
      <c r="I799" s="167"/>
      <c r="J799" s="168"/>
      <c r="K799" s="169"/>
      <c r="L799" s="207"/>
      <c r="M799" s="207"/>
    </row>
    <row r="800">
      <c r="A800" s="203"/>
      <c r="B800" s="204"/>
      <c r="C800" s="205"/>
      <c r="D800" s="205"/>
      <c r="E800" s="166"/>
      <c r="F800" s="206"/>
      <c r="G800" s="167"/>
      <c r="H800" s="166"/>
      <c r="I800" s="167"/>
      <c r="J800" s="168"/>
      <c r="K800" s="169"/>
      <c r="L800" s="207"/>
      <c r="M800" s="207"/>
    </row>
    <row r="801">
      <c r="A801" s="203"/>
      <c r="B801" s="204"/>
      <c r="C801" s="205"/>
      <c r="D801" s="205"/>
      <c r="E801" s="166"/>
      <c r="F801" s="206"/>
      <c r="G801" s="167"/>
      <c r="H801" s="166"/>
      <c r="I801" s="167"/>
      <c r="J801" s="168"/>
      <c r="K801" s="169"/>
      <c r="L801" s="207"/>
      <c r="M801" s="207"/>
    </row>
  </sheetData>
  <autoFilter ref="$A$2:$L$173"/>
  <conditionalFormatting sqref="A2 D2">
    <cfRule type="expression" dxfId="2" priority="1">
      <formula>AND($D3&lt;&gt;"",(($D3-$G3)/365*12)&lt;1)</formula>
    </cfRule>
  </conditionalFormatting>
  <conditionalFormatting sqref="B1:B2">
    <cfRule type="cellIs" dxfId="0" priority="2" operator="equal">
      <formula>"Xbox"</formula>
    </cfRule>
  </conditionalFormatting>
  <conditionalFormatting sqref="E3:E801 I3:I801">
    <cfRule type="expression" dxfId="2" priority="3">
      <formula>AND($E3&lt;&gt;"",(($E3-$H3)/365*12)&lt;1)</formula>
    </cfRule>
  </conditionalFormatting>
  <conditionalFormatting sqref="B3:B801">
    <cfRule type="expression" dxfId="6" priority="4">
      <formula>AND(MATCH(A3,INDIRECT("'Cross Play'!D2:D"),0),MATCH(A3,INDIRECT("'Cross Play'!A2:A"),0))</formula>
    </cfRule>
  </conditionalFormatting>
  <conditionalFormatting sqref="B3:B801">
    <cfRule type="expression" dxfId="7" priority="5">
      <formula>MATCH(A3,INDIRECT("'Cross Play'!A2:A"),0)</formula>
    </cfRule>
  </conditionalFormatting>
  <conditionalFormatting sqref="B3:B801">
    <cfRule type="expression" dxfId="8" priority="6">
      <formula>MATCH(A3,INDIRECT("'Cross Play'!D2:D"),0)</formula>
    </cfRule>
  </conditionalFormatting>
  <conditionalFormatting sqref="A2:A801 D2:D801">
    <cfRule type="expression" dxfId="3" priority="7">
      <formula>$D2="Coming Soon"</formula>
    </cfRule>
  </conditionalFormatting>
  <conditionalFormatting sqref="A2:A801 D2:D801">
    <cfRule type="expression" dxfId="4" priority="8">
      <formula>$D2="Removed"</formula>
    </cfRule>
  </conditionalFormatting>
  <conditionalFormatting sqref="A2:A801 D2:D801">
    <cfRule type="expression" dxfId="5" priority="9">
      <formula>$D2="Leaving Soon"</formula>
    </cfRule>
  </conditionalFormatting>
  <conditionalFormatting sqref="J2:J801">
    <cfRule type="cellIs" dxfId="2" priority="10" operator="between">
      <formula>75</formula>
      <formula>100</formula>
    </cfRule>
  </conditionalFormatting>
  <conditionalFormatting sqref="J2:J801">
    <cfRule type="cellIs" dxfId="1" priority="11" operator="between">
      <formula>50</formula>
      <formula>74</formula>
    </cfRule>
  </conditionalFormatting>
  <conditionalFormatting sqref="J2:J801">
    <cfRule type="cellIs" dxfId="4" priority="12" operator="between">
      <formula>1</formula>
      <formula>49</formula>
    </cfRule>
  </conditionalFormatting>
  <conditionalFormatting sqref="B1">
    <cfRule type="expression" dxfId="4" priority="13">
      <formula>$O1="Removed"</formula>
    </cfRule>
  </conditionalFormatting>
  <conditionalFormatting sqref="B1 A2:A801">
    <cfRule type="expression" dxfId="1" priority="14">
      <formula>MATCH(B1,INDIRECT("'Xbox Game Studios'!A:A"),0)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75"/>
  <cols>
    <col customWidth="1" min="1" max="1" width="35.88"/>
    <col customWidth="1" min="12" max="27" width="21.0"/>
  </cols>
  <sheetData>
    <row r="1">
      <c r="A1" s="208" t="s">
        <v>2956</v>
      </c>
      <c r="B1" s="192">
        <f>COUNTIF(D2:D590,"Active")+COUNTIF(D2:D590,"Leaving Soon")</f>
        <v>0</v>
      </c>
      <c r="C1" s="191"/>
      <c r="D1" s="191"/>
      <c r="E1" s="191"/>
      <c r="F1" s="191"/>
      <c r="G1" s="191"/>
      <c r="H1" s="191"/>
      <c r="I1" s="191"/>
      <c r="J1" s="191"/>
      <c r="K1" s="191"/>
      <c r="L1" s="191"/>
      <c r="M1" s="191"/>
      <c r="N1" s="191"/>
      <c r="O1" s="191"/>
      <c r="P1" s="191"/>
      <c r="Q1" s="191"/>
      <c r="R1" s="191"/>
      <c r="S1" s="191"/>
      <c r="T1" s="191"/>
      <c r="U1" s="191"/>
      <c r="V1" s="191"/>
      <c r="W1" s="191"/>
      <c r="X1" s="191"/>
      <c r="Y1" s="191"/>
      <c r="Z1" s="191"/>
      <c r="AA1" s="191"/>
    </row>
    <row r="2">
      <c r="A2" s="193" t="s">
        <v>8</v>
      </c>
      <c r="B2" s="171" t="s">
        <v>9</v>
      </c>
      <c r="C2" s="170" t="s">
        <v>10</v>
      </c>
      <c r="D2" s="171" t="s">
        <v>11</v>
      </c>
      <c r="E2" s="171" t="s">
        <v>12</v>
      </c>
      <c r="F2" s="170" t="s">
        <v>13</v>
      </c>
      <c r="G2" s="194" t="s">
        <v>14</v>
      </c>
      <c r="H2" s="172" t="s">
        <v>15</v>
      </c>
      <c r="I2" s="172" t="s">
        <v>16</v>
      </c>
      <c r="J2" s="172" t="s">
        <v>17</v>
      </c>
      <c r="K2" s="172" t="s">
        <v>18</v>
      </c>
      <c r="L2" s="172" t="s">
        <v>2847</v>
      </c>
      <c r="M2" s="172"/>
      <c r="N2" s="172"/>
      <c r="O2" s="172"/>
      <c r="P2" s="172"/>
      <c r="Q2" s="172"/>
      <c r="R2" s="172"/>
      <c r="S2" s="172"/>
      <c r="T2" s="172"/>
      <c r="U2" s="172"/>
      <c r="V2" s="172"/>
      <c r="W2" s="172"/>
      <c r="X2" s="172"/>
      <c r="Y2" s="172"/>
      <c r="Z2" s="172"/>
      <c r="AA2" s="172"/>
    </row>
    <row r="3">
      <c r="A3" s="190" t="str">
        <f>IFERROR(__xludf.DUMMYFUNCTION("FILTER('Master List'!A2:L590, REGEXMATCH('Master List'!D2:D590, ""Leaving Soon""))"),"#N/A")</f>
        <v>#N/A</v>
      </c>
      <c r="B3" s="195"/>
      <c r="C3" s="195"/>
      <c r="D3" s="196"/>
      <c r="E3" s="209"/>
      <c r="F3" s="198"/>
      <c r="G3" s="199"/>
      <c r="H3" s="210"/>
      <c r="I3" s="199"/>
      <c r="J3" s="200"/>
      <c r="K3" s="211"/>
      <c r="L3" s="201"/>
      <c r="M3" s="207"/>
      <c r="N3" s="207"/>
      <c r="O3" s="207"/>
      <c r="P3" s="207"/>
      <c r="Q3" s="207"/>
      <c r="R3" s="207"/>
      <c r="S3" s="207"/>
      <c r="T3" s="207"/>
      <c r="U3" s="207"/>
      <c r="V3" s="207"/>
      <c r="W3" s="207"/>
      <c r="X3" s="207"/>
      <c r="Y3" s="207"/>
      <c r="Z3" s="207"/>
      <c r="AA3" s="207"/>
    </row>
    <row r="4">
      <c r="A4" s="190"/>
      <c r="B4" s="195"/>
      <c r="C4" s="195"/>
      <c r="D4" s="196"/>
      <c r="E4" s="209"/>
      <c r="F4" s="198"/>
      <c r="G4" s="199"/>
      <c r="H4" s="210"/>
      <c r="I4" s="199"/>
      <c r="J4" s="200"/>
      <c r="K4" s="211"/>
      <c r="L4" s="201"/>
      <c r="M4" s="207"/>
      <c r="N4" s="207"/>
      <c r="O4" s="207"/>
      <c r="P4" s="207"/>
      <c r="Q4" s="207"/>
      <c r="R4" s="207"/>
      <c r="S4" s="207"/>
      <c r="T4" s="207"/>
      <c r="U4" s="207"/>
      <c r="V4" s="207"/>
      <c r="W4" s="207"/>
      <c r="X4" s="207"/>
      <c r="Y4" s="207"/>
      <c r="Z4" s="207"/>
      <c r="AA4" s="207"/>
    </row>
    <row r="5">
      <c r="A5" s="190"/>
      <c r="B5" s="195"/>
      <c r="C5" s="195"/>
      <c r="D5" s="196"/>
      <c r="E5" s="209"/>
      <c r="F5" s="198"/>
      <c r="G5" s="199"/>
      <c r="H5" s="210"/>
      <c r="I5" s="199"/>
      <c r="J5" s="200"/>
      <c r="K5" s="211"/>
      <c r="L5" s="201"/>
      <c r="M5" s="207"/>
      <c r="N5" s="207"/>
      <c r="O5" s="207"/>
      <c r="P5" s="207"/>
      <c r="Q5" s="207"/>
      <c r="R5" s="207"/>
      <c r="S5" s="207"/>
      <c r="T5" s="207"/>
      <c r="U5" s="207"/>
      <c r="V5" s="207"/>
      <c r="W5" s="207"/>
      <c r="X5" s="207"/>
      <c r="Y5" s="207"/>
      <c r="Z5" s="207"/>
      <c r="AA5" s="207"/>
    </row>
    <row r="6">
      <c r="A6" s="190"/>
      <c r="B6" s="195"/>
      <c r="C6" s="195"/>
      <c r="D6" s="196"/>
      <c r="E6" s="209"/>
      <c r="F6" s="198"/>
      <c r="G6" s="199"/>
      <c r="H6" s="210"/>
      <c r="I6" s="199"/>
      <c r="J6" s="200"/>
      <c r="K6" s="211"/>
      <c r="L6" s="201"/>
      <c r="M6" s="207"/>
      <c r="N6" s="207"/>
      <c r="O6" s="207"/>
      <c r="P6" s="207"/>
      <c r="Q6" s="207"/>
      <c r="R6" s="207"/>
      <c r="S6" s="207"/>
      <c r="T6" s="207"/>
      <c r="U6" s="207"/>
      <c r="V6" s="207"/>
      <c r="W6" s="207"/>
      <c r="X6" s="207"/>
      <c r="Y6" s="207"/>
      <c r="Z6" s="207"/>
      <c r="AA6" s="207"/>
    </row>
    <row r="7">
      <c r="A7" s="190"/>
      <c r="B7" s="195"/>
      <c r="C7" s="195"/>
      <c r="D7" s="196"/>
      <c r="E7" s="209"/>
      <c r="F7" s="198"/>
      <c r="G7" s="199"/>
      <c r="H7" s="210"/>
      <c r="I7" s="199"/>
      <c r="J7" s="200"/>
      <c r="K7" s="211"/>
      <c r="L7" s="201"/>
      <c r="M7" s="207"/>
      <c r="N7" s="207"/>
      <c r="O7" s="207"/>
      <c r="P7" s="207"/>
      <c r="Q7" s="207"/>
      <c r="R7" s="207"/>
      <c r="S7" s="207"/>
      <c r="T7" s="207"/>
      <c r="U7" s="207"/>
      <c r="V7" s="207"/>
      <c r="W7" s="207"/>
      <c r="X7" s="207"/>
      <c r="Y7" s="207"/>
      <c r="Z7" s="207"/>
      <c r="AA7" s="207"/>
    </row>
    <row r="8">
      <c r="A8" s="190"/>
      <c r="B8" s="195"/>
      <c r="C8" s="195"/>
      <c r="D8" s="196"/>
      <c r="E8" s="209"/>
      <c r="F8" s="198"/>
      <c r="G8" s="199"/>
      <c r="H8" s="210"/>
      <c r="I8" s="199"/>
      <c r="J8" s="200"/>
      <c r="K8" s="211"/>
      <c r="L8" s="201"/>
      <c r="M8" s="207"/>
      <c r="N8" s="207"/>
      <c r="O8" s="207"/>
      <c r="P8" s="207"/>
      <c r="Q8" s="207"/>
      <c r="R8" s="207"/>
      <c r="S8" s="207"/>
      <c r="T8" s="207"/>
      <c r="U8" s="207"/>
      <c r="V8" s="207"/>
      <c r="W8" s="207"/>
      <c r="X8" s="207"/>
      <c r="Y8" s="207"/>
      <c r="Z8" s="207"/>
      <c r="AA8" s="207"/>
    </row>
    <row r="9">
      <c r="A9" s="190"/>
      <c r="B9" s="195"/>
      <c r="C9" s="195"/>
      <c r="D9" s="196"/>
      <c r="E9" s="209"/>
      <c r="F9" s="198"/>
      <c r="G9" s="199"/>
      <c r="H9" s="210"/>
      <c r="I9" s="199"/>
      <c r="J9" s="200"/>
      <c r="K9" s="211"/>
      <c r="L9" s="201"/>
      <c r="M9" s="207"/>
      <c r="N9" s="207"/>
      <c r="O9" s="207"/>
      <c r="P9" s="207"/>
      <c r="Q9" s="207"/>
      <c r="R9" s="207"/>
      <c r="S9" s="207"/>
      <c r="T9" s="207"/>
      <c r="U9" s="207"/>
      <c r="V9" s="207"/>
      <c r="W9" s="207"/>
      <c r="X9" s="207"/>
      <c r="Y9" s="207"/>
      <c r="Z9" s="207"/>
      <c r="AA9" s="207"/>
    </row>
    <row r="10">
      <c r="A10" s="190"/>
      <c r="B10" s="195"/>
      <c r="C10" s="195"/>
      <c r="D10" s="196"/>
      <c r="E10" s="209"/>
      <c r="F10" s="198"/>
      <c r="G10" s="199"/>
      <c r="H10" s="210"/>
      <c r="I10" s="199"/>
      <c r="J10" s="200"/>
      <c r="K10" s="211"/>
      <c r="L10" s="201"/>
      <c r="M10" s="207"/>
      <c r="N10" s="207"/>
      <c r="O10" s="207"/>
      <c r="P10" s="207"/>
      <c r="Q10" s="207"/>
      <c r="R10" s="207"/>
      <c r="S10" s="207"/>
      <c r="T10" s="207"/>
      <c r="U10" s="207"/>
      <c r="V10" s="207"/>
      <c r="W10" s="207"/>
      <c r="X10" s="207"/>
      <c r="Y10" s="207"/>
      <c r="Z10" s="207"/>
      <c r="AA10" s="207"/>
    </row>
    <row r="11">
      <c r="A11" s="190"/>
      <c r="B11" s="195"/>
      <c r="C11" s="195"/>
      <c r="D11" s="196"/>
      <c r="E11" s="209"/>
      <c r="F11" s="198"/>
      <c r="G11" s="199"/>
      <c r="H11" s="210"/>
      <c r="I11" s="199"/>
      <c r="J11" s="200"/>
      <c r="K11" s="211"/>
      <c r="L11" s="201"/>
      <c r="M11" s="207"/>
      <c r="N11" s="207"/>
      <c r="O11" s="207"/>
      <c r="P11" s="207"/>
      <c r="Q11" s="207"/>
      <c r="R11" s="207"/>
      <c r="S11" s="207"/>
      <c r="T11" s="207"/>
      <c r="U11" s="207"/>
      <c r="V11" s="207"/>
      <c r="W11" s="207"/>
      <c r="X11" s="207"/>
      <c r="Y11" s="207"/>
      <c r="Z11" s="207"/>
      <c r="AA11" s="207"/>
    </row>
    <row r="12">
      <c r="A12" s="190"/>
      <c r="B12" s="195"/>
      <c r="C12" s="195"/>
      <c r="D12" s="196"/>
      <c r="E12" s="209"/>
      <c r="F12" s="198"/>
      <c r="G12" s="199"/>
      <c r="H12" s="210"/>
      <c r="I12" s="199"/>
      <c r="J12" s="200"/>
      <c r="K12" s="211"/>
      <c r="L12" s="201"/>
      <c r="M12" s="207"/>
      <c r="N12" s="207"/>
      <c r="O12" s="207"/>
      <c r="P12" s="207"/>
      <c r="Q12" s="207"/>
      <c r="R12" s="207"/>
      <c r="S12" s="207"/>
      <c r="T12" s="207"/>
      <c r="U12" s="207"/>
      <c r="V12" s="207"/>
      <c r="W12" s="207"/>
      <c r="X12" s="207"/>
      <c r="Y12" s="207"/>
      <c r="Z12" s="207"/>
      <c r="AA12" s="207"/>
    </row>
    <row r="13">
      <c r="A13" s="190"/>
      <c r="B13" s="195"/>
      <c r="C13" s="195"/>
      <c r="D13" s="196"/>
      <c r="E13" s="209"/>
      <c r="F13" s="198"/>
      <c r="G13" s="199"/>
      <c r="H13" s="210"/>
      <c r="I13" s="199"/>
      <c r="J13" s="200"/>
      <c r="K13" s="211"/>
      <c r="L13" s="201"/>
      <c r="M13" s="207"/>
      <c r="N13" s="207"/>
      <c r="O13" s="207"/>
      <c r="P13" s="207"/>
      <c r="Q13" s="207"/>
      <c r="R13" s="207"/>
      <c r="S13" s="207"/>
      <c r="T13" s="207"/>
      <c r="U13" s="207"/>
      <c r="V13" s="207"/>
      <c r="W13" s="207"/>
      <c r="X13" s="207"/>
      <c r="Y13" s="207"/>
      <c r="Z13" s="207"/>
      <c r="AA13" s="207"/>
    </row>
    <row r="14">
      <c r="A14" s="190"/>
      <c r="B14" s="195"/>
      <c r="C14" s="195"/>
      <c r="D14" s="196"/>
      <c r="E14" s="209"/>
      <c r="F14" s="198"/>
      <c r="G14" s="199"/>
      <c r="H14" s="210"/>
      <c r="I14" s="199"/>
      <c r="J14" s="200"/>
      <c r="K14" s="211"/>
      <c r="L14" s="201"/>
      <c r="M14" s="207"/>
      <c r="N14" s="207"/>
      <c r="O14" s="207"/>
      <c r="P14" s="207"/>
      <c r="Q14" s="207"/>
      <c r="R14" s="207"/>
      <c r="S14" s="207"/>
      <c r="T14" s="207"/>
      <c r="U14" s="207"/>
      <c r="V14" s="207"/>
      <c r="W14" s="207"/>
      <c r="X14" s="207"/>
      <c r="Y14" s="207"/>
      <c r="Z14" s="207"/>
      <c r="AA14" s="207"/>
    </row>
    <row r="15">
      <c r="A15" s="190"/>
      <c r="B15" s="195"/>
      <c r="C15" s="195"/>
      <c r="D15" s="196"/>
      <c r="E15" s="209"/>
      <c r="F15" s="198"/>
      <c r="G15" s="199"/>
      <c r="H15" s="210"/>
      <c r="I15" s="199"/>
      <c r="J15" s="200"/>
      <c r="K15" s="211"/>
      <c r="L15" s="201"/>
      <c r="M15" s="207"/>
      <c r="N15" s="207"/>
      <c r="O15" s="207"/>
      <c r="P15" s="207"/>
      <c r="Q15" s="207"/>
      <c r="R15" s="207"/>
      <c r="S15" s="207"/>
      <c r="T15" s="207"/>
      <c r="U15" s="207"/>
      <c r="V15" s="207"/>
      <c r="W15" s="207"/>
      <c r="X15" s="207"/>
      <c r="Y15" s="207"/>
      <c r="Z15" s="207"/>
      <c r="AA15" s="207"/>
    </row>
    <row r="16">
      <c r="A16" s="190"/>
      <c r="B16" s="195"/>
      <c r="C16" s="195"/>
      <c r="D16" s="196"/>
      <c r="E16" s="209"/>
      <c r="F16" s="198"/>
      <c r="G16" s="199"/>
      <c r="H16" s="210"/>
      <c r="I16" s="199"/>
      <c r="J16" s="200"/>
      <c r="K16" s="211"/>
      <c r="L16" s="201"/>
      <c r="M16" s="207"/>
      <c r="N16" s="207"/>
      <c r="O16" s="207"/>
      <c r="P16" s="207"/>
      <c r="Q16" s="207"/>
      <c r="R16" s="207"/>
      <c r="S16" s="207"/>
      <c r="T16" s="207"/>
      <c r="U16" s="207"/>
      <c r="V16" s="207"/>
      <c r="W16" s="207"/>
      <c r="X16" s="207"/>
      <c r="Y16" s="207"/>
      <c r="Z16" s="207"/>
      <c r="AA16" s="207"/>
    </row>
    <row r="17">
      <c r="A17" s="190"/>
      <c r="B17" s="195"/>
      <c r="C17" s="195"/>
      <c r="D17" s="196"/>
      <c r="E17" s="209"/>
      <c r="F17" s="198"/>
      <c r="G17" s="199"/>
      <c r="H17" s="210"/>
      <c r="I17" s="199"/>
      <c r="J17" s="200"/>
      <c r="K17" s="211"/>
      <c r="L17" s="201"/>
      <c r="M17" s="207"/>
      <c r="N17" s="207"/>
      <c r="O17" s="207"/>
      <c r="P17" s="207"/>
      <c r="Q17" s="207"/>
      <c r="R17" s="207"/>
      <c r="S17" s="207"/>
      <c r="T17" s="207"/>
      <c r="U17" s="207"/>
      <c r="V17" s="207"/>
      <c r="W17" s="207"/>
      <c r="X17" s="207"/>
      <c r="Y17" s="207"/>
      <c r="Z17" s="207"/>
      <c r="AA17" s="207"/>
    </row>
    <row r="18">
      <c r="A18" s="190"/>
      <c r="B18" s="195"/>
      <c r="C18" s="195"/>
      <c r="D18" s="196"/>
      <c r="E18" s="209"/>
      <c r="F18" s="198"/>
      <c r="G18" s="199"/>
      <c r="H18" s="210"/>
      <c r="I18" s="199"/>
      <c r="J18" s="200"/>
      <c r="K18" s="211"/>
      <c r="L18" s="201"/>
      <c r="M18" s="207"/>
      <c r="N18" s="207"/>
      <c r="O18" s="207"/>
      <c r="P18" s="207"/>
      <c r="Q18" s="207"/>
      <c r="R18" s="207"/>
      <c r="S18" s="207"/>
      <c r="T18" s="207"/>
      <c r="U18" s="207"/>
      <c r="V18" s="207"/>
      <c r="W18" s="207"/>
      <c r="X18" s="207"/>
      <c r="Y18" s="207"/>
      <c r="Z18" s="207"/>
      <c r="AA18" s="207"/>
    </row>
    <row r="19">
      <c r="A19" s="190"/>
      <c r="B19" s="195"/>
      <c r="C19" s="195"/>
      <c r="D19" s="196"/>
      <c r="E19" s="209"/>
      <c r="F19" s="198"/>
      <c r="G19" s="199"/>
      <c r="H19" s="210"/>
      <c r="I19" s="199"/>
      <c r="J19" s="200"/>
      <c r="K19" s="211"/>
      <c r="L19" s="201"/>
      <c r="M19" s="207"/>
      <c r="N19" s="207"/>
      <c r="O19" s="207"/>
      <c r="P19" s="207"/>
      <c r="Q19" s="207"/>
      <c r="R19" s="207"/>
      <c r="S19" s="207"/>
      <c r="T19" s="207"/>
      <c r="U19" s="207"/>
      <c r="V19" s="207"/>
      <c r="W19" s="207"/>
      <c r="X19" s="207"/>
      <c r="Y19" s="207"/>
      <c r="Z19" s="207"/>
      <c r="AA19" s="207"/>
    </row>
    <row r="20">
      <c r="A20" s="203"/>
      <c r="B20" s="204"/>
      <c r="C20" s="204"/>
      <c r="D20" s="205"/>
      <c r="E20" s="212"/>
      <c r="F20" s="206"/>
      <c r="G20" s="167"/>
      <c r="H20" s="213"/>
      <c r="I20" s="167"/>
      <c r="J20" s="168"/>
      <c r="K20" s="169"/>
      <c r="L20" s="207"/>
      <c r="M20" s="207"/>
      <c r="N20" s="207"/>
      <c r="O20" s="207"/>
      <c r="P20" s="207"/>
      <c r="Q20" s="207"/>
      <c r="R20" s="207"/>
      <c r="S20" s="207"/>
      <c r="T20" s="207"/>
      <c r="U20" s="207"/>
      <c r="V20" s="207"/>
      <c r="W20" s="207"/>
      <c r="X20" s="207"/>
      <c r="Y20" s="207"/>
      <c r="Z20" s="207"/>
      <c r="AA20" s="207"/>
    </row>
    <row r="21">
      <c r="A21" s="203"/>
      <c r="B21" s="204"/>
      <c r="C21" s="204"/>
      <c r="D21" s="205"/>
      <c r="E21" s="212"/>
      <c r="F21" s="206"/>
      <c r="G21" s="167"/>
      <c r="H21" s="213"/>
      <c r="I21" s="167"/>
      <c r="J21" s="168"/>
      <c r="K21" s="169"/>
      <c r="L21" s="207"/>
      <c r="M21" s="207"/>
      <c r="N21" s="207"/>
      <c r="O21" s="207"/>
      <c r="P21" s="207"/>
      <c r="Q21" s="207"/>
      <c r="R21" s="207"/>
      <c r="S21" s="207"/>
      <c r="T21" s="207"/>
      <c r="U21" s="207"/>
      <c r="V21" s="207"/>
      <c r="W21" s="207"/>
      <c r="X21" s="207"/>
      <c r="Y21" s="207"/>
      <c r="Z21" s="207"/>
      <c r="AA21" s="207"/>
    </row>
    <row r="22">
      <c r="A22" s="203"/>
      <c r="B22" s="204"/>
      <c r="C22" s="204"/>
      <c r="D22" s="205"/>
      <c r="E22" s="212"/>
      <c r="F22" s="206"/>
      <c r="G22" s="167"/>
      <c r="H22" s="213"/>
      <c r="I22" s="167"/>
      <c r="J22" s="168"/>
      <c r="K22" s="169"/>
      <c r="L22" s="207"/>
      <c r="M22" s="207"/>
      <c r="N22" s="207"/>
      <c r="O22" s="207"/>
      <c r="P22" s="207"/>
      <c r="Q22" s="207"/>
      <c r="R22" s="207"/>
      <c r="S22" s="207"/>
      <c r="T22" s="207"/>
      <c r="U22" s="207"/>
      <c r="V22" s="207"/>
      <c r="W22" s="207"/>
      <c r="X22" s="207"/>
      <c r="Y22" s="207"/>
      <c r="Z22" s="207"/>
      <c r="AA22" s="207"/>
    </row>
    <row r="23">
      <c r="A23" s="203"/>
      <c r="B23" s="204"/>
      <c r="C23" s="204"/>
      <c r="D23" s="205"/>
      <c r="E23" s="212"/>
      <c r="F23" s="206"/>
      <c r="G23" s="167"/>
      <c r="H23" s="213"/>
      <c r="I23" s="167"/>
      <c r="J23" s="168"/>
      <c r="K23" s="169"/>
      <c r="L23" s="207"/>
      <c r="M23" s="207"/>
      <c r="N23" s="207"/>
      <c r="O23" s="207"/>
      <c r="P23" s="207"/>
      <c r="Q23" s="207"/>
      <c r="R23" s="207"/>
      <c r="S23" s="207"/>
      <c r="T23" s="207"/>
      <c r="U23" s="207"/>
      <c r="V23" s="207"/>
      <c r="W23" s="207"/>
      <c r="X23" s="207"/>
      <c r="Y23" s="207"/>
      <c r="Z23" s="207"/>
      <c r="AA23" s="207"/>
    </row>
    <row r="24">
      <c r="A24" s="203"/>
      <c r="B24" s="204"/>
      <c r="C24" s="204"/>
      <c r="D24" s="205"/>
      <c r="E24" s="212"/>
      <c r="F24" s="206"/>
      <c r="G24" s="167"/>
      <c r="H24" s="213"/>
      <c r="I24" s="167"/>
      <c r="J24" s="168"/>
      <c r="K24" s="169"/>
      <c r="L24" s="207"/>
      <c r="M24" s="207"/>
      <c r="N24" s="207"/>
      <c r="O24" s="207"/>
      <c r="P24" s="207"/>
      <c r="Q24" s="207"/>
      <c r="R24" s="207"/>
      <c r="S24" s="207"/>
      <c r="T24" s="207"/>
      <c r="U24" s="207"/>
      <c r="V24" s="207"/>
      <c r="W24" s="207"/>
      <c r="X24" s="207"/>
      <c r="Y24" s="207"/>
      <c r="Z24" s="207"/>
      <c r="AA24" s="207"/>
    </row>
    <row r="25">
      <c r="A25" s="203"/>
      <c r="B25" s="204"/>
      <c r="C25" s="204"/>
      <c r="D25" s="205"/>
      <c r="E25" s="212"/>
      <c r="F25" s="206"/>
      <c r="G25" s="167"/>
      <c r="H25" s="213"/>
      <c r="I25" s="167"/>
      <c r="J25" s="168"/>
      <c r="K25" s="169"/>
      <c r="L25" s="207"/>
      <c r="M25" s="207"/>
      <c r="N25" s="207"/>
      <c r="O25" s="207"/>
      <c r="P25" s="207"/>
      <c r="Q25" s="207"/>
      <c r="R25" s="207"/>
      <c r="S25" s="207"/>
      <c r="T25" s="207"/>
      <c r="U25" s="207"/>
      <c r="V25" s="207"/>
      <c r="W25" s="207"/>
      <c r="X25" s="207"/>
      <c r="Y25" s="207"/>
      <c r="Z25" s="207"/>
      <c r="AA25" s="207"/>
    </row>
    <row r="26">
      <c r="A26" s="203"/>
      <c r="B26" s="204"/>
      <c r="C26" s="204"/>
      <c r="D26" s="205"/>
      <c r="E26" s="212"/>
      <c r="F26" s="206"/>
      <c r="G26" s="167"/>
      <c r="H26" s="213"/>
      <c r="I26" s="167"/>
      <c r="J26" s="168"/>
      <c r="K26" s="169"/>
      <c r="L26" s="207"/>
      <c r="M26" s="207"/>
      <c r="N26" s="207"/>
      <c r="O26" s="207"/>
      <c r="P26" s="207"/>
      <c r="Q26" s="207"/>
      <c r="R26" s="207"/>
      <c r="S26" s="207"/>
      <c r="T26" s="207"/>
      <c r="U26" s="207"/>
      <c r="V26" s="207"/>
      <c r="W26" s="207"/>
      <c r="X26" s="207"/>
      <c r="Y26" s="207"/>
      <c r="Z26" s="207"/>
      <c r="AA26" s="207"/>
    </row>
    <row r="27">
      <c r="A27" s="203"/>
      <c r="B27" s="204"/>
      <c r="C27" s="204"/>
      <c r="D27" s="205"/>
      <c r="E27" s="212"/>
      <c r="F27" s="206"/>
      <c r="G27" s="167"/>
      <c r="H27" s="213"/>
      <c r="I27" s="167"/>
      <c r="J27" s="168"/>
      <c r="K27" s="169"/>
      <c r="L27" s="207"/>
      <c r="M27" s="207"/>
      <c r="N27" s="207"/>
      <c r="O27" s="207"/>
      <c r="P27" s="207"/>
      <c r="Q27" s="207"/>
      <c r="R27" s="207"/>
      <c r="S27" s="207"/>
      <c r="T27" s="207"/>
      <c r="U27" s="207"/>
      <c r="V27" s="207"/>
      <c r="W27" s="207"/>
      <c r="X27" s="207"/>
      <c r="Y27" s="207"/>
      <c r="Z27" s="207"/>
      <c r="AA27" s="207"/>
    </row>
    <row r="28">
      <c r="A28" s="203"/>
      <c r="B28" s="204"/>
      <c r="C28" s="204"/>
      <c r="D28" s="205"/>
      <c r="E28" s="212"/>
      <c r="F28" s="206"/>
      <c r="G28" s="167"/>
      <c r="H28" s="213"/>
      <c r="I28" s="167"/>
      <c r="J28" s="168"/>
      <c r="K28" s="169"/>
      <c r="L28" s="207"/>
      <c r="M28" s="207"/>
      <c r="N28" s="207"/>
      <c r="O28" s="207"/>
      <c r="P28" s="207"/>
      <c r="Q28" s="207"/>
      <c r="R28" s="207"/>
      <c r="S28" s="207"/>
      <c r="T28" s="207"/>
      <c r="U28" s="207"/>
      <c r="V28" s="207"/>
      <c r="W28" s="207"/>
      <c r="X28" s="207"/>
      <c r="Y28" s="207"/>
      <c r="Z28" s="207"/>
      <c r="AA28" s="207"/>
    </row>
    <row r="29">
      <c r="A29" s="203"/>
      <c r="B29" s="204"/>
      <c r="C29" s="204"/>
      <c r="D29" s="205"/>
      <c r="E29" s="212"/>
      <c r="F29" s="206"/>
      <c r="G29" s="167"/>
      <c r="H29" s="213"/>
      <c r="I29" s="167"/>
      <c r="J29" s="168"/>
      <c r="K29" s="169"/>
      <c r="L29" s="207"/>
      <c r="M29" s="207"/>
      <c r="N29" s="207"/>
      <c r="O29" s="207"/>
      <c r="P29" s="207"/>
      <c r="Q29" s="207"/>
      <c r="R29" s="207"/>
      <c r="S29" s="207"/>
      <c r="T29" s="207"/>
      <c r="U29" s="207"/>
      <c r="V29" s="207"/>
      <c r="W29" s="207"/>
      <c r="X29" s="207"/>
      <c r="Y29" s="207"/>
      <c r="Z29" s="207"/>
      <c r="AA29" s="207"/>
    </row>
    <row r="30">
      <c r="A30" s="203"/>
      <c r="B30" s="204"/>
      <c r="C30" s="204"/>
      <c r="D30" s="205"/>
      <c r="E30" s="212"/>
      <c r="F30" s="206"/>
      <c r="G30" s="167"/>
      <c r="H30" s="213"/>
      <c r="I30" s="167"/>
      <c r="J30" s="168"/>
      <c r="K30" s="169"/>
      <c r="L30" s="207"/>
      <c r="M30" s="207"/>
      <c r="N30" s="207"/>
      <c r="O30" s="207"/>
      <c r="P30" s="207"/>
      <c r="Q30" s="207"/>
      <c r="R30" s="207"/>
      <c r="S30" s="207"/>
      <c r="T30" s="207"/>
      <c r="U30" s="207"/>
      <c r="V30" s="207"/>
      <c r="W30" s="207"/>
      <c r="X30" s="207"/>
      <c r="Y30" s="207"/>
      <c r="Z30" s="207"/>
      <c r="AA30" s="207"/>
    </row>
    <row r="31">
      <c r="A31" s="203"/>
      <c r="B31" s="204"/>
      <c r="C31" s="204"/>
      <c r="D31" s="205"/>
      <c r="E31" s="212"/>
      <c r="F31" s="206"/>
      <c r="G31" s="167"/>
      <c r="H31" s="213"/>
      <c r="I31" s="167"/>
      <c r="J31" s="168"/>
      <c r="K31" s="169"/>
      <c r="L31" s="207"/>
      <c r="M31" s="207"/>
      <c r="N31" s="207"/>
      <c r="O31" s="207"/>
      <c r="P31" s="207"/>
      <c r="Q31" s="207"/>
      <c r="R31" s="207"/>
      <c r="S31" s="207"/>
      <c r="T31" s="207"/>
      <c r="U31" s="207"/>
      <c r="V31" s="207"/>
      <c r="W31" s="207"/>
      <c r="X31" s="207"/>
      <c r="Y31" s="207"/>
      <c r="Z31" s="207"/>
      <c r="AA31" s="207"/>
    </row>
    <row r="32">
      <c r="A32" s="203"/>
      <c r="B32" s="204"/>
      <c r="C32" s="204"/>
      <c r="D32" s="205"/>
      <c r="E32" s="212"/>
      <c r="F32" s="206"/>
      <c r="G32" s="167"/>
      <c r="H32" s="213"/>
      <c r="I32" s="167"/>
      <c r="J32" s="168"/>
      <c r="K32" s="169"/>
      <c r="L32" s="207"/>
      <c r="M32" s="207"/>
      <c r="N32" s="207"/>
      <c r="O32" s="207"/>
      <c r="P32" s="207"/>
      <c r="Q32" s="207"/>
      <c r="R32" s="207"/>
      <c r="S32" s="207"/>
      <c r="T32" s="207"/>
      <c r="U32" s="207"/>
      <c r="V32" s="207"/>
      <c r="W32" s="207"/>
      <c r="X32" s="207"/>
      <c r="Y32" s="207"/>
      <c r="Z32" s="207"/>
      <c r="AA32" s="207"/>
    </row>
    <row r="33">
      <c r="A33" s="203"/>
      <c r="B33" s="204"/>
      <c r="C33" s="204"/>
      <c r="D33" s="205"/>
      <c r="E33" s="212"/>
      <c r="F33" s="206"/>
      <c r="G33" s="167"/>
      <c r="H33" s="213"/>
      <c r="I33" s="167"/>
      <c r="J33" s="168"/>
      <c r="K33" s="169"/>
      <c r="L33" s="207"/>
      <c r="M33" s="207"/>
      <c r="N33" s="207"/>
      <c r="O33" s="207"/>
      <c r="P33" s="207"/>
      <c r="Q33" s="207"/>
      <c r="R33" s="207"/>
      <c r="S33" s="207"/>
      <c r="T33" s="207"/>
      <c r="U33" s="207"/>
      <c r="V33" s="207"/>
      <c r="W33" s="207"/>
      <c r="X33" s="207"/>
      <c r="Y33" s="207"/>
      <c r="Z33" s="207"/>
      <c r="AA33" s="207"/>
    </row>
    <row r="34">
      <c r="A34" s="203"/>
      <c r="B34" s="204"/>
      <c r="C34" s="204"/>
      <c r="D34" s="205"/>
      <c r="E34" s="212"/>
      <c r="F34" s="206"/>
      <c r="G34" s="167"/>
      <c r="H34" s="213"/>
      <c r="I34" s="167"/>
      <c r="J34" s="168"/>
      <c r="K34" s="169"/>
      <c r="L34" s="207"/>
      <c r="M34" s="207"/>
      <c r="N34" s="207"/>
      <c r="O34" s="207"/>
      <c r="P34" s="207"/>
      <c r="Q34" s="207"/>
      <c r="R34" s="207"/>
      <c r="S34" s="207"/>
      <c r="T34" s="207"/>
      <c r="U34" s="207"/>
      <c r="V34" s="207"/>
      <c r="W34" s="207"/>
      <c r="X34" s="207"/>
      <c r="Y34" s="207"/>
      <c r="Z34" s="207"/>
      <c r="AA34" s="207"/>
    </row>
    <row r="35">
      <c r="A35" s="203"/>
      <c r="B35" s="204"/>
      <c r="C35" s="204"/>
      <c r="D35" s="205"/>
      <c r="E35" s="212"/>
      <c r="F35" s="206"/>
      <c r="G35" s="167"/>
      <c r="H35" s="213"/>
      <c r="I35" s="167"/>
      <c r="J35" s="168"/>
      <c r="K35" s="169"/>
      <c r="L35" s="207"/>
      <c r="M35" s="207"/>
      <c r="N35" s="207"/>
      <c r="O35" s="207"/>
      <c r="P35" s="207"/>
      <c r="Q35" s="207"/>
      <c r="R35" s="207"/>
      <c r="S35" s="207"/>
      <c r="T35" s="207"/>
      <c r="U35" s="207"/>
      <c r="V35" s="207"/>
      <c r="W35" s="207"/>
      <c r="X35" s="207"/>
      <c r="Y35" s="207"/>
      <c r="Z35" s="207"/>
      <c r="AA35" s="207"/>
    </row>
    <row r="36">
      <c r="A36" s="203"/>
      <c r="B36" s="204"/>
      <c r="C36" s="204"/>
      <c r="D36" s="205"/>
      <c r="E36" s="212"/>
      <c r="F36" s="206"/>
      <c r="G36" s="167"/>
      <c r="H36" s="213"/>
      <c r="I36" s="167"/>
      <c r="J36" s="168"/>
      <c r="K36" s="169"/>
      <c r="L36" s="207"/>
      <c r="M36" s="207"/>
      <c r="N36" s="207"/>
      <c r="O36" s="207"/>
      <c r="P36" s="207"/>
      <c r="Q36" s="207"/>
      <c r="R36" s="207"/>
      <c r="S36" s="207"/>
      <c r="T36" s="207"/>
      <c r="U36" s="207"/>
      <c r="V36" s="207"/>
      <c r="W36" s="207"/>
      <c r="X36" s="207"/>
      <c r="Y36" s="207"/>
      <c r="Z36" s="207"/>
      <c r="AA36" s="207"/>
    </row>
    <row r="37">
      <c r="A37" s="203"/>
      <c r="B37" s="204"/>
      <c r="C37" s="204"/>
      <c r="D37" s="205"/>
      <c r="E37" s="212"/>
      <c r="F37" s="206"/>
      <c r="G37" s="167"/>
      <c r="H37" s="213"/>
      <c r="I37" s="167"/>
      <c r="J37" s="168"/>
      <c r="K37" s="169"/>
      <c r="L37" s="207"/>
      <c r="M37" s="207"/>
      <c r="N37" s="207"/>
      <c r="O37" s="207"/>
      <c r="P37" s="207"/>
      <c r="Q37" s="207"/>
      <c r="R37" s="207"/>
      <c r="S37" s="207"/>
      <c r="T37" s="207"/>
      <c r="U37" s="207"/>
      <c r="V37" s="207"/>
      <c r="W37" s="207"/>
      <c r="X37" s="207"/>
      <c r="Y37" s="207"/>
      <c r="Z37" s="207"/>
      <c r="AA37" s="207"/>
    </row>
    <row r="38">
      <c r="A38" s="203"/>
      <c r="B38" s="204"/>
      <c r="C38" s="204"/>
      <c r="D38" s="205"/>
      <c r="E38" s="212"/>
      <c r="F38" s="206"/>
      <c r="G38" s="167"/>
      <c r="H38" s="213"/>
      <c r="I38" s="167"/>
      <c r="J38" s="168"/>
      <c r="K38" s="169"/>
      <c r="L38" s="207"/>
      <c r="M38" s="207"/>
      <c r="N38" s="207"/>
      <c r="O38" s="207"/>
      <c r="P38" s="207"/>
      <c r="Q38" s="207"/>
      <c r="R38" s="207"/>
      <c r="S38" s="207"/>
      <c r="T38" s="207"/>
      <c r="U38" s="207"/>
      <c r="V38" s="207"/>
      <c r="W38" s="207"/>
      <c r="X38" s="207"/>
      <c r="Y38" s="207"/>
      <c r="Z38" s="207"/>
      <c r="AA38" s="207"/>
    </row>
    <row r="39">
      <c r="A39" s="203"/>
      <c r="B39" s="204"/>
      <c r="C39" s="204"/>
      <c r="D39" s="205"/>
      <c r="E39" s="212"/>
      <c r="F39" s="206"/>
      <c r="G39" s="167"/>
      <c r="H39" s="213"/>
      <c r="I39" s="167"/>
      <c r="J39" s="168"/>
      <c r="K39" s="169"/>
      <c r="L39" s="207"/>
      <c r="M39" s="207"/>
      <c r="N39" s="207"/>
      <c r="O39" s="207"/>
      <c r="P39" s="207"/>
      <c r="Q39" s="207"/>
      <c r="R39" s="207"/>
      <c r="S39" s="207"/>
      <c r="T39" s="207"/>
      <c r="U39" s="207"/>
      <c r="V39" s="207"/>
      <c r="W39" s="207"/>
      <c r="X39" s="207"/>
      <c r="Y39" s="207"/>
      <c r="Z39" s="207"/>
      <c r="AA39" s="207"/>
    </row>
    <row r="40">
      <c r="A40" s="203"/>
      <c r="B40" s="204"/>
      <c r="C40" s="204"/>
      <c r="D40" s="205"/>
      <c r="E40" s="212"/>
      <c r="F40" s="206"/>
      <c r="G40" s="167"/>
      <c r="H40" s="213"/>
      <c r="I40" s="167"/>
      <c r="J40" s="168"/>
      <c r="K40" s="169"/>
      <c r="L40" s="207"/>
      <c r="M40" s="207"/>
      <c r="N40" s="207"/>
      <c r="O40" s="207"/>
      <c r="P40" s="207"/>
      <c r="Q40" s="207"/>
      <c r="R40" s="207"/>
      <c r="S40" s="207"/>
      <c r="T40" s="207"/>
      <c r="U40" s="207"/>
      <c r="V40" s="207"/>
      <c r="W40" s="207"/>
      <c r="X40" s="207"/>
      <c r="Y40" s="207"/>
      <c r="Z40" s="207"/>
      <c r="AA40" s="207"/>
    </row>
    <row r="41">
      <c r="A41" s="203"/>
      <c r="B41" s="204"/>
      <c r="C41" s="204"/>
      <c r="D41" s="205"/>
      <c r="E41" s="212"/>
      <c r="F41" s="206"/>
      <c r="G41" s="167"/>
      <c r="H41" s="213"/>
      <c r="I41" s="167"/>
      <c r="J41" s="168"/>
      <c r="K41" s="169"/>
      <c r="L41" s="207"/>
      <c r="M41" s="207"/>
      <c r="N41" s="207"/>
      <c r="O41" s="207"/>
      <c r="P41" s="207"/>
      <c r="Q41" s="207"/>
      <c r="R41" s="207"/>
      <c r="S41" s="207"/>
      <c r="T41" s="207"/>
      <c r="U41" s="207"/>
      <c r="V41" s="207"/>
      <c r="W41" s="207"/>
      <c r="X41" s="207"/>
      <c r="Y41" s="207"/>
      <c r="Z41" s="207"/>
      <c r="AA41" s="207"/>
    </row>
    <row r="42">
      <c r="A42" s="203"/>
      <c r="B42" s="204"/>
      <c r="C42" s="204"/>
      <c r="D42" s="205"/>
      <c r="E42" s="212"/>
      <c r="F42" s="206"/>
      <c r="G42" s="167"/>
      <c r="H42" s="213"/>
      <c r="I42" s="167"/>
      <c r="J42" s="168"/>
      <c r="K42" s="169"/>
      <c r="L42" s="207"/>
      <c r="M42" s="207"/>
      <c r="N42" s="207"/>
      <c r="O42" s="207"/>
      <c r="P42" s="207"/>
      <c r="Q42" s="207"/>
      <c r="R42" s="207"/>
      <c r="S42" s="207"/>
      <c r="T42" s="207"/>
      <c r="U42" s="207"/>
      <c r="V42" s="207"/>
      <c r="W42" s="207"/>
      <c r="X42" s="207"/>
      <c r="Y42" s="207"/>
      <c r="Z42" s="207"/>
      <c r="AA42" s="207"/>
    </row>
    <row r="43">
      <c r="A43" s="203"/>
      <c r="B43" s="204"/>
      <c r="C43" s="204"/>
      <c r="D43" s="205"/>
      <c r="E43" s="212"/>
      <c r="F43" s="206"/>
      <c r="G43" s="167"/>
      <c r="H43" s="213"/>
      <c r="I43" s="167"/>
      <c r="J43" s="168"/>
      <c r="K43" s="169"/>
      <c r="L43" s="207"/>
      <c r="M43" s="207"/>
      <c r="N43" s="207"/>
      <c r="O43" s="207"/>
      <c r="P43" s="207"/>
      <c r="Q43" s="207"/>
      <c r="R43" s="207"/>
      <c r="S43" s="207"/>
      <c r="T43" s="207"/>
      <c r="U43" s="207"/>
      <c r="V43" s="207"/>
      <c r="W43" s="207"/>
      <c r="X43" s="207"/>
      <c r="Y43" s="207"/>
      <c r="Z43" s="207"/>
      <c r="AA43" s="207"/>
    </row>
    <row r="44">
      <c r="A44" s="203"/>
      <c r="B44" s="204"/>
      <c r="C44" s="204"/>
      <c r="D44" s="205"/>
      <c r="E44" s="212"/>
      <c r="F44" s="206"/>
      <c r="G44" s="167"/>
      <c r="H44" s="213"/>
      <c r="I44" s="167"/>
      <c r="J44" s="168"/>
      <c r="K44" s="169"/>
      <c r="L44" s="207"/>
      <c r="M44" s="207"/>
      <c r="N44" s="207"/>
      <c r="O44" s="207"/>
      <c r="P44" s="207"/>
      <c r="Q44" s="207"/>
      <c r="R44" s="207"/>
      <c r="S44" s="207"/>
      <c r="T44" s="207"/>
      <c r="U44" s="207"/>
      <c r="V44" s="207"/>
      <c r="W44" s="207"/>
      <c r="X44" s="207"/>
      <c r="Y44" s="207"/>
      <c r="Z44" s="207"/>
      <c r="AA44" s="207"/>
    </row>
    <row r="45">
      <c r="A45" s="203"/>
      <c r="B45" s="204"/>
      <c r="C45" s="204"/>
      <c r="D45" s="205"/>
      <c r="E45" s="212"/>
      <c r="F45" s="206"/>
      <c r="G45" s="167"/>
      <c r="H45" s="213"/>
      <c r="I45" s="167"/>
      <c r="J45" s="168"/>
      <c r="K45" s="169"/>
      <c r="L45" s="207"/>
      <c r="M45" s="207"/>
      <c r="N45" s="207"/>
      <c r="O45" s="207"/>
      <c r="P45" s="207"/>
      <c r="Q45" s="207"/>
      <c r="R45" s="207"/>
      <c r="S45" s="207"/>
      <c r="T45" s="207"/>
      <c r="U45" s="207"/>
      <c r="V45" s="207"/>
      <c r="W45" s="207"/>
      <c r="X45" s="207"/>
      <c r="Y45" s="207"/>
      <c r="Z45" s="207"/>
      <c r="AA45" s="207"/>
    </row>
    <row r="46">
      <c r="A46" s="203"/>
      <c r="B46" s="204"/>
      <c r="C46" s="204"/>
      <c r="D46" s="205"/>
      <c r="E46" s="212"/>
      <c r="F46" s="206"/>
      <c r="G46" s="167"/>
      <c r="H46" s="213"/>
      <c r="I46" s="167"/>
      <c r="J46" s="168"/>
      <c r="K46" s="169"/>
      <c r="L46" s="207"/>
      <c r="M46" s="207"/>
      <c r="N46" s="207"/>
      <c r="O46" s="207"/>
      <c r="P46" s="207"/>
      <c r="Q46" s="207"/>
      <c r="R46" s="207"/>
      <c r="S46" s="207"/>
      <c r="T46" s="207"/>
      <c r="U46" s="207"/>
      <c r="V46" s="207"/>
      <c r="W46" s="207"/>
      <c r="X46" s="207"/>
      <c r="Y46" s="207"/>
      <c r="Z46" s="207"/>
      <c r="AA46" s="207"/>
    </row>
    <row r="47">
      <c r="A47" s="203"/>
      <c r="B47" s="204"/>
      <c r="C47" s="204"/>
      <c r="D47" s="205"/>
      <c r="E47" s="212"/>
      <c r="F47" s="206"/>
      <c r="G47" s="167"/>
      <c r="H47" s="213"/>
      <c r="I47" s="167"/>
      <c r="J47" s="168"/>
      <c r="K47" s="169"/>
      <c r="L47" s="207"/>
      <c r="M47" s="207"/>
      <c r="N47" s="207"/>
      <c r="O47" s="207"/>
      <c r="P47" s="207"/>
      <c r="Q47" s="207"/>
      <c r="R47" s="207"/>
      <c r="S47" s="207"/>
      <c r="T47" s="207"/>
      <c r="U47" s="207"/>
      <c r="V47" s="207"/>
      <c r="W47" s="207"/>
      <c r="X47" s="207"/>
      <c r="Y47" s="207"/>
      <c r="Z47" s="207"/>
      <c r="AA47" s="207"/>
    </row>
    <row r="48">
      <c r="A48" s="203"/>
      <c r="B48" s="204"/>
      <c r="C48" s="204"/>
      <c r="D48" s="205"/>
      <c r="E48" s="212"/>
      <c r="F48" s="206"/>
      <c r="G48" s="167"/>
      <c r="H48" s="213"/>
      <c r="I48" s="167"/>
      <c r="J48" s="168"/>
      <c r="K48" s="169"/>
      <c r="L48" s="207"/>
      <c r="M48" s="207"/>
      <c r="N48" s="207"/>
      <c r="O48" s="207"/>
      <c r="P48" s="207"/>
      <c r="Q48" s="207"/>
      <c r="R48" s="207"/>
      <c r="S48" s="207"/>
      <c r="T48" s="207"/>
      <c r="U48" s="207"/>
      <c r="V48" s="207"/>
      <c r="W48" s="207"/>
      <c r="X48" s="207"/>
      <c r="Y48" s="207"/>
      <c r="Z48" s="207"/>
      <c r="AA48" s="207"/>
    </row>
    <row r="49">
      <c r="A49" s="203"/>
      <c r="B49" s="204"/>
      <c r="C49" s="204"/>
      <c r="D49" s="205"/>
      <c r="E49" s="212"/>
      <c r="F49" s="206"/>
      <c r="G49" s="167"/>
      <c r="H49" s="213"/>
      <c r="I49" s="167"/>
      <c r="J49" s="168"/>
      <c r="K49" s="169"/>
      <c r="L49" s="207"/>
      <c r="M49" s="207"/>
      <c r="N49" s="207"/>
      <c r="O49" s="207"/>
      <c r="P49" s="207"/>
      <c r="Q49" s="207"/>
      <c r="R49" s="207"/>
      <c r="S49" s="207"/>
      <c r="T49" s="207"/>
      <c r="U49" s="207"/>
      <c r="V49" s="207"/>
      <c r="W49" s="207"/>
      <c r="X49" s="207"/>
      <c r="Y49" s="207"/>
      <c r="Z49" s="207"/>
      <c r="AA49" s="207"/>
    </row>
    <row r="50">
      <c r="A50" s="203"/>
      <c r="B50" s="204"/>
      <c r="C50" s="204"/>
      <c r="D50" s="205"/>
      <c r="E50" s="212"/>
      <c r="F50" s="206"/>
      <c r="G50" s="167"/>
      <c r="H50" s="213"/>
      <c r="I50" s="167"/>
      <c r="J50" s="168"/>
      <c r="K50" s="169"/>
      <c r="L50" s="207"/>
      <c r="M50" s="207"/>
      <c r="N50" s="207"/>
      <c r="O50" s="207"/>
      <c r="P50" s="207"/>
      <c r="Q50" s="207"/>
      <c r="R50" s="207"/>
      <c r="S50" s="207"/>
      <c r="T50" s="207"/>
      <c r="U50" s="207"/>
      <c r="V50" s="207"/>
      <c r="W50" s="207"/>
      <c r="X50" s="207"/>
      <c r="Y50" s="207"/>
      <c r="Z50" s="207"/>
      <c r="AA50" s="207"/>
    </row>
    <row r="51">
      <c r="A51" s="203"/>
      <c r="B51" s="204"/>
      <c r="C51" s="204"/>
      <c r="D51" s="205"/>
      <c r="E51" s="212"/>
      <c r="F51" s="206"/>
      <c r="G51" s="167"/>
      <c r="H51" s="213"/>
      <c r="I51" s="167"/>
      <c r="J51" s="168"/>
      <c r="K51" s="169"/>
      <c r="L51" s="207"/>
      <c r="M51" s="207"/>
      <c r="N51" s="207"/>
      <c r="O51" s="207"/>
      <c r="P51" s="207"/>
      <c r="Q51" s="207"/>
      <c r="R51" s="207"/>
      <c r="S51" s="207"/>
      <c r="T51" s="207"/>
      <c r="U51" s="207"/>
      <c r="V51" s="207"/>
      <c r="W51" s="207"/>
      <c r="X51" s="207"/>
      <c r="Y51" s="207"/>
      <c r="Z51" s="207"/>
      <c r="AA51" s="207"/>
    </row>
    <row r="52">
      <c r="A52" s="203"/>
      <c r="B52" s="204"/>
      <c r="C52" s="204"/>
      <c r="D52" s="205"/>
      <c r="E52" s="212"/>
      <c r="F52" s="206"/>
      <c r="G52" s="167"/>
      <c r="H52" s="213"/>
      <c r="I52" s="167"/>
      <c r="J52" s="168"/>
      <c r="K52" s="169"/>
      <c r="L52" s="207"/>
      <c r="M52" s="207"/>
      <c r="N52" s="207"/>
      <c r="O52" s="207"/>
      <c r="P52" s="207"/>
      <c r="Q52" s="207"/>
      <c r="R52" s="207"/>
      <c r="S52" s="207"/>
      <c r="T52" s="207"/>
      <c r="U52" s="207"/>
      <c r="V52" s="207"/>
      <c r="W52" s="207"/>
      <c r="X52" s="207"/>
      <c r="Y52" s="207"/>
      <c r="Z52" s="207"/>
      <c r="AA52" s="207"/>
    </row>
    <row r="53">
      <c r="A53" s="203"/>
      <c r="B53" s="204"/>
      <c r="C53" s="204"/>
      <c r="D53" s="205"/>
      <c r="E53" s="212"/>
      <c r="F53" s="206"/>
      <c r="G53" s="167"/>
      <c r="H53" s="213"/>
      <c r="I53" s="167"/>
      <c r="J53" s="168"/>
      <c r="K53" s="169"/>
      <c r="L53" s="207"/>
      <c r="M53" s="207"/>
      <c r="N53" s="207"/>
      <c r="O53" s="207"/>
      <c r="P53" s="207"/>
      <c r="Q53" s="207"/>
      <c r="R53" s="207"/>
      <c r="S53" s="207"/>
      <c r="T53" s="207"/>
      <c r="U53" s="207"/>
      <c r="V53" s="207"/>
      <c r="W53" s="207"/>
      <c r="X53" s="207"/>
      <c r="Y53" s="207"/>
      <c r="Z53" s="207"/>
      <c r="AA53" s="207"/>
    </row>
    <row r="54">
      <c r="A54" s="203"/>
      <c r="B54" s="204"/>
      <c r="C54" s="204"/>
      <c r="D54" s="205"/>
      <c r="E54" s="212"/>
      <c r="F54" s="206"/>
      <c r="G54" s="167"/>
      <c r="H54" s="213"/>
      <c r="I54" s="167"/>
      <c r="J54" s="168"/>
      <c r="K54" s="169"/>
      <c r="L54" s="207"/>
      <c r="M54" s="207"/>
      <c r="N54" s="207"/>
      <c r="O54" s="207"/>
      <c r="P54" s="207"/>
      <c r="Q54" s="207"/>
      <c r="R54" s="207"/>
      <c r="S54" s="207"/>
      <c r="T54" s="207"/>
      <c r="U54" s="207"/>
      <c r="V54" s="207"/>
      <c r="W54" s="207"/>
      <c r="X54" s="207"/>
      <c r="Y54" s="207"/>
      <c r="Z54" s="207"/>
      <c r="AA54" s="207"/>
    </row>
    <row r="55">
      <c r="A55" s="203"/>
      <c r="B55" s="204"/>
      <c r="C55" s="204"/>
      <c r="D55" s="205"/>
      <c r="E55" s="212"/>
      <c r="F55" s="206"/>
      <c r="G55" s="167"/>
      <c r="H55" s="213"/>
      <c r="I55" s="167"/>
      <c r="J55" s="168"/>
      <c r="K55" s="169"/>
      <c r="L55" s="207"/>
      <c r="M55" s="207"/>
      <c r="N55" s="207"/>
      <c r="O55" s="207"/>
      <c r="P55" s="207"/>
      <c r="Q55" s="207"/>
      <c r="R55" s="207"/>
      <c r="S55" s="207"/>
      <c r="T55" s="207"/>
      <c r="U55" s="207"/>
      <c r="V55" s="207"/>
      <c r="W55" s="207"/>
      <c r="X55" s="207"/>
      <c r="Y55" s="207"/>
      <c r="Z55" s="207"/>
      <c r="AA55" s="207"/>
    </row>
    <row r="56">
      <c r="A56" s="203"/>
      <c r="B56" s="204"/>
      <c r="C56" s="204"/>
      <c r="D56" s="205"/>
      <c r="E56" s="212"/>
      <c r="F56" s="206"/>
      <c r="G56" s="167"/>
      <c r="H56" s="213"/>
      <c r="I56" s="167"/>
      <c r="J56" s="168"/>
      <c r="K56" s="169"/>
      <c r="L56" s="207"/>
      <c r="M56" s="207"/>
      <c r="N56" s="207"/>
      <c r="O56" s="207"/>
      <c r="P56" s="207"/>
      <c r="Q56" s="207"/>
      <c r="R56" s="207"/>
      <c r="S56" s="207"/>
      <c r="T56" s="207"/>
      <c r="U56" s="207"/>
      <c r="V56" s="207"/>
      <c r="W56" s="207"/>
      <c r="X56" s="207"/>
      <c r="Y56" s="207"/>
      <c r="Z56" s="207"/>
      <c r="AA56" s="207"/>
    </row>
    <row r="57">
      <c r="A57" s="203"/>
      <c r="B57" s="204"/>
      <c r="C57" s="204"/>
      <c r="D57" s="205"/>
      <c r="E57" s="212"/>
      <c r="F57" s="206"/>
      <c r="G57" s="167"/>
      <c r="H57" s="213"/>
      <c r="I57" s="167"/>
      <c r="J57" s="168"/>
      <c r="K57" s="169"/>
      <c r="L57" s="207"/>
      <c r="M57" s="207"/>
      <c r="N57" s="207"/>
      <c r="O57" s="207"/>
      <c r="P57" s="207"/>
      <c r="Q57" s="207"/>
      <c r="R57" s="207"/>
      <c r="S57" s="207"/>
      <c r="T57" s="207"/>
      <c r="U57" s="207"/>
      <c r="V57" s="207"/>
      <c r="W57" s="207"/>
      <c r="X57" s="207"/>
      <c r="Y57" s="207"/>
      <c r="Z57" s="207"/>
      <c r="AA57" s="207"/>
    </row>
    <row r="58">
      <c r="A58" s="203"/>
      <c r="B58" s="204"/>
      <c r="C58" s="204"/>
      <c r="D58" s="205"/>
      <c r="E58" s="212"/>
      <c r="F58" s="206"/>
      <c r="G58" s="167"/>
      <c r="H58" s="213"/>
      <c r="I58" s="167"/>
      <c r="J58" s="168"/>
      <c r="K58" s="169"/>
      <c r="L58" s="207"/>
      <c r="M58" s="207"/>
      <c r="N58" s="207"/>
      <c r="O58" s="207"/>
      <c r="P58" s="207"/>
      <c r="Q58" s="207"/>
      <c r="R58" s="207"/>
      <c r="S58" s="207"/>
      <c r="T58" s="207"/>
      <c r="U58" s="207"/>
      <c r="V58" s="207"/>
      <c r="W58" s="207"/>
      <c r="X58" s="207"/>
      <c r="Y58" s="207"/>
      <c r="Z58" s="207"/>
      <c r="AA58" s="207"/>
    </row>
    <row r="59">
      <c r="A59" s="203"/>
      <c r="B59" s="204"/>
      <c r="C59" s="204"/>
      <c r="D59" s="205"/>
      <c r="E59" s="212"/>
      <c r="F59" s="206"/>
      <c r="G59" s="167"/>
      <c r="H59" s="213"/>
      <c r="I59" s="167"/>
      <c r="J59" s="168"/>
      <c r="K59" s="169"/>
      <c r="L59" s="207"/>
      <c r="M59" s="207"/>
      <c r="N59" s="207"/>
      <c r="O59" s="207"/>
      <c r="P59" s="207"/>
      <c r="Q59" s="207"/>
      <c r="R59" s="207"/>
      <c r="S59" s="207"/>
      <c r="T59" s="207"/>
      <c r="U59" s="207"/>
      <c r="V59" s="207"/>
      <c r="W59" s="207"/>
      <c r="X59" s="207"/>
      <c r="Y59" s="207"/>
      <c r="Z59" s="207"/>
      <c r="AA59" s="207"/>
    </row>
    <row r="60">
      <c r="A60" s="203"/>
      <c r="B60" s="204"/>
      <c r="C60" s="204"/>
      <c r="D60" s="205"/>
      <c r="E60" s="212"/>
      <c r="F60" s="206"/>
      <c r="G60" s="167"/>
      <c r="H60" s="213"/>
      <c r="I60" s="167"/>
      <c r="J60" s="168"/>
      <c r="K60" s="169"/>
      <c r="L60" s="207"/>
      <c r="M60" s="207"/>
      <c r="N60" s="207"/>
      <c r="O60" s="207"/>
      <c r="P60" s="207"/>
      <c r="Q60" s="207"/>
      <c r="R60" s="207"/>
      <c r="S60" s="207"/>
      <c r="T60" s="207"/>
      <c r="U60" s="207"/>
      <c r="V60" s="207"/>
      <c r="W60" s="207"/>
      <c r="X60" s="207"/>
      <c r="Y60" s="207"/>
      <c r="Z60" s="207"/>
      <c r="AA60" s="207"/>
    </row>
    <row r="61">
      <c r="A61" s="203"/>
      <c r="B61" s="204"/>
      <c r="C61" s="204"/>
      <c r="D61" s="205"/>
      <c r="E61" s="212"/>
      <c r="F61" s="206"/>
      <c r="G61" s="167"/>
      <c r="H61" s="213"/>
      <c r="I61" s="167"/>
      <c r="J61" s="168"/>
      <c r="K61" s="169"/>
      <c r="L61" s="207"/>
      <c r="M61" s="207"/>
      <c r="N61" s="207"/>
      <c r="O61" s="207"/>
      <c r="P61" s="207"/>
      <c r="Q61" s="207"/>
      <c r="R61" s="207"/>
      <c r="S61" s="207"/>
      <c r="T61" s="207"/>
      <c r="U61" s="207"/>
      <c r="V61" s="207"/>
      <c r="W61" s="207"/>
      <c r="X61" s="207"/>
      <c r="Y61" s="207"/>
      <c r="Z61" s="207"/>
      <c r="AA61" s="207"/>
    </row>
    <row r="62">
      <c r="A62" s="203"/>
      <c r="B62" s="204"/>
      <c r="C62" s="204"/>
      <c r="D62" s="205"/>
      <c r="E62" s="212"/>
      <c r="F62" s="206"/>
      <c r="G62" s="167"/>
      <c r="H62" s="213"/>
      <c r="I62" s="167"/>
      <c r="J62" s="168"/>
      <c r="K62" s="169"/>
      <c r="L62" s="207"/>
      <c r="M62" s="207"/>
      <c r="N62" s="207"/>
      <c r="O62" s="207"/>
      <c r="P62" s="207"/>
      <c r="Q62" s="207"/>
      <c r="R62" s="207"/>
      <c r="S62" s="207"/>
      <c r="T62" s="207"/>
      <c r="U62" s="207"/>
      <c r="V62" s="207"/>
      <c r="W62" s="207"/>
      <c r="X62" s="207"/>
      <c r="Y62" s="207"/>
      <c r="Z62" s="207"/>
      <c r="AA62" s="207"/>
    </row>
    <row r="63">
      <c r="A63" s="203"/>
      <c r="B63" s="204"/>
      <c r="C63" s="204"/>
      <c r="D63" s="205"/>
      <c r="E63" s="212"/>
      <c r="F63" s="206"/>
      <c r="G63" s="167"/>
      <c r="H63" s="213"/>
      <c r="I63" s="167"/>
      <c r="J63" s="168"/>
      <c r="K63" s="169"/>
      <c r="L63" s="207"/>
      <c r="M63" s="207"/>
      <c r="N63" s="207"/>
      <c r="O63" s="207"/>
      <c r="P63" s="207"/>
      <c r="Q63" s="207"/>
      <c r="R63" s="207"/>
      <c r="S63" s="207"/>
      <c r="T63" s="207"/>
      <c r="U63" s="207"/>
      <c r="V63" s="207"/>
      <c r="W63" s="207"/>
      <c r="X63" s="207"/>
      <c r="Y63" s="207"/>
      <c r="Z63" s="207"/>
      <c r="AA63" s="207"/>
    </row>
    <row r="64">
      <c r="A64" s="203"/>
      <c r="B64" s="204"/>
      <c r="C64" s="204"/>
      <c r="D64" s="205"/>
      <c r="E64" s="212"/>
      <c r="F64" s="206"/>
      <c r="G64" s="167"/>
      <c r="H64" s="213"/>
      <c r="I64" s="167"/>
      <c r="J64" s="168"/>
      <c r="K64" s="169"/>
      <c r="L64" s="207"/>
      <c r="M64" s="207"/>
      <c r="N64" s="207"/>
      <c r="O64" s="207"/>
      <c r="P64" s="207"/>
      <c r="Q64" s="207"/>
      <c r="R64" s="207"/>
      <c r="S64" s="207"/>
      <c r="T64" s="207"/>
      <c r="U64" s="207"/>
      <c r="V64" s="207"/>
      <c r="W64" s="207"/>
      <c r="X64" s="207"/>
      <c r="Y64" s="207"/>
      <c r="Z64" s="207"/>
      <c r="AA64" s="207"/>
    </row>
    <row r="65">
      <c r="A65" s="203"/>
      <c r="B65" s="204"/>
      <c r="C65" s="204"/>
      <c r="D65" s="205"/>
      <c r="E65" s="212"/>
      <c r="F65" s="206"/>
      <c r="G65" s="167"/>
      <c r="H65" s="213"/>
      <c r="I65" s="167"/>
      <c r="J65" s="168"/>
      <c r="K65" s="169"/>
      <c r="L65" s="207"/>
      <c r="M65" s="207"/>
      <c r="N65" s="207"/>
      <c r="O65" s="207"/>
      <c r="P65" s="207"/>
      <c r="Q65" s="207"/>
      <c r="R65" s="207"/>
      <c r="S65" s="207"/>
      <c r="T65" s="207"/>
      <c r="U65" s="207"/>
      <c r="V65" s="207"/>
      <c r="W65" s="207"/>
      <c r="X65" s="207"/>
      <c r="Y65" s="207"/>
      <c r="Z65" s="207"/>
      <c r="AA65" s="207"/>
    </row>
    <row r="66">
      <c r="A66" s="203"/>
      <c r="B66" s="204"/>
      <c r="C66" s="204"/>
      <c r="D66" s="205"/>
      <c r="E66" s="212"/>
      <c r="F66" s="206"/>
      <c r="G66" s="167"/>
      <c r="H66" s="213"/>
      <c r="I66" s="167"/>
      <c r="J66" s="168"/>
      <c r="K66" s="169"/>
      <c r="L66" s="207"/>
      <c r="M66" s="207"/>
      <c r="N66" s="207"/>
      <c r="O66" s="207"/>
      <c r="P66" s="207"/>
      <c r="Q66" s="207"/>
      <c r="R66" s="207"/>
      <c r="S66" s="207"/>
      <c r="T66" s="207"/>
      <c r="U66" s="207"/>
      <c r="V66" s="207"/>
      <c r="W66" s="207"/>
      <c r="X66" s="207"/>
      <c r="Y66" s="207"/>
      <c r="Z66" s="207"/>
      <c r="AA66" s="207"/>
    </row>
    <row r="67">
      <c r="A67" s="203"/>
      <c r="B67" s="204"/>
      <c r="C67" s="204"/>
      <c r="D67" s="205"/>
      <c r="E67" s="212"/>
      <c r="F67" s="206"/>
      <c r="G67" s="167"/>
      <c r="H67" s="213"/>
      <c r="I67" s="167"/>
      <c r="J67" s="168"/>
      <c r="K67" s="169"/>
      <c r="L67" s="207"/>
      <c r="M67" s="207"/>
      <c r="N67" s="207"/>
      <c r="O67" s="207"/>
      <c r="P67" s="207"/>
      <c r="Q67" s="207"/>
      <c r="R67" s="207"/>
      <c r="S67" s="207"/>
      <c r="T67" s="207"/>
      <c r="U67" s="207"/>
      <c r="V67" s="207"/>
      <c r="W67" s="207"/>
      <c r="X67" s="207"/>
      <c r="Y67" s="207"/>
      <c r="Z67" s="207"/>
      <c r="AA67" s="207"/>
    </row>
    <row r="68">
      <c r="A68" s="203"/>
      <c r="B68" s="204"/>
      <c r="C68" s="204"/>
      <c r="D68" s="205"/>
      <c r="E68" s="212"/>
      <c r="F68" s="206"/>
      <c r="G68" s="167"/>
      <c r="H68" s="213"/>
      <c r="I68" s="167"/>
      <c r="J68" s="168"/>
      <c r="K68" s="169"/>
      <c r="L68" s="207"/>
      <c r="M68" s="207"/>
      <c r="N68" s="207"/>
      <c r="O68" s="207"/>
      <c r="P68" s="207"/>
      <c r="Q68" s="207"/>
      <c r="R68" s="207"/>
      <c r="S68" s="207"/>
      <c r="T68" s="207"/>
      <c r="U68" s="207"/>
      <c r="V68" s="207"/>
      <c r="W68" s="207"/>
      <c r="X68" s="207"/>
      <c r="Y68" s="207"/>
      <c r="Z68" s="207"/>
      <c r="AA68" s="207"/>
    </row>
    <row r="69">
      <c r="A69" s="203"/>
      <c r="B69" s="204"/>
      <c r="C69" s="204"/>
      <c r="D69" s="205"/>
      <c r="E69" s="212"/>
      <c r="F69" s="206"/>
      <c r="G69" s="167"/>
      <c r="H69" s="213"/>
      <c r="I69" s="167"/>
      <c r="J69" s="168"/>
      <c r="K69" s="169"/>
      <c r="L69" s="207"/>
      <c r="M69" s="207"/>
      <c r="N69" s="207"/>
      <c r="O69" s="207"/>
      <c r="P69" s="207"/>
      <c r="Q69" s="207"/>
      <c r="R69" s="207"/>
      <c r="S69" s="207"/>
      <c r="T69" s="207"/>
      <c r="U69" s="207"/>
      <c r="V69" s="207"/>
      <c r="W69" s="207"/>
      <c r="X69" s="207"/>
      <c r="Y69" s="207"/>
      <c r="Z69" s="207"/>
      <c r="AA69" s="207"/>
    </row>
    <row r="70">
      <c r="A70" s="203"/>
      <c r="B70" s="204"/>
      <c r="C70" s="204"/>
      <c r="D70" s="205"/>
      <c r="E70" s="212"/>
      <c r="F70" s="206"/>
      <c r="G70" s="167"/>
      <c r="H70" s="213"/>
      <c r="I70" s="167"/>
      <c r="J70" s="168"/>
      <c r="K70" s="169"/>
      <c r="L70" s="207"/>
      <c r="M70" s="207"/>
      <c r="N70" s="207"/>
      <c r="O70" s="207"/>
      <c r="P70" s="207"/>
      <c r="Q70" s="207"/>
      <c r="R70" s="207"/>
      <c r="S70" s="207"/>
      <c r="T70" s="207"/>
      <c r="U70" s="207"/>
      <c r="V70" s="207"/>
      <c r="W70" s="207"/>
      <c r="X70" s="207"/>
      <c r="Y70" s="207"/>
      <c r="Z70" s="207"/>
      <c r="AA70" s="207"/>
    </row>
    <row r="71">
      <c r="A71" s="203"/>
      <c r="B71" s="204"/>
      <c r="C71" s="204"/>
      <c r="D71" s="205"/>
      <c r="E71" s="212"/>
      <c r="F71" s="206"/>
      <c r="G71" s="167"/>
      <c r="H71" s="213"/>
      <c r="I71" s="167"/>
      <c r="J71" s="168"/>
      <c r="K71" s="169"/>
      <c r="L71" s="207"/>
      <c r="M71" s="207"/>
      <c r="N71" s="207"/>
      <c r="O71" s="207"/>
      <c r="P71" s="207"/>
      <c r="Q71" s="207"/>
      <c r="R71" s="207"/>
      <c r="S71" s="207"/>
      <c r="T71" s="207"/>
      <c r="U71" s="207"/>
      <c r="V71" s="207"/>
      <c r="W71" s="207"/>
      <c r="X71" s="207"/>
      <c r="Y71" s="207"/>
      <c r="Z71" s="207"/>
      <c r="AA71" s="207"/>
    </row>
    <row r="72">
      <c r="A72" s="203"/>
      <c r="B72" s="204"/>
      <c r="C72" s="204"/>
      <c r="D72" s="205"/>
      <c r="E72" s="212"/>
      <c r="F72" s="206"/>
      <c r="G72" s="167"/>
      <c r="H72" s="213"/>
      <c r="I72" s="167"/>
      <c r="J72" s="168"/>
      <c r="K72" s="169"/>
      <c r="L72" s="207"/>
      <c r="M72" s="207"/>
      <c r="N72" s="207"/>
      <c r="O72" s="207"/>
      <c r="P72" s="207"/>
      <c r="Q72" s="207"/>
      <c r="R72" s="207"/>
      <c r="S72" s="207"/>
      <c r="T72" s="207"/>
      <c r="U72" s="207"/>
      <c r="V72" s="207"/>
      <c r="W72" s="207"/>
      <c r="X72" s="207"/>
      <c r="Y72" s="207"/>
      <c r="Z72" s="207"/>
      <c r="AA72" s="207"/>
    </row>
    <row r="73">
      <c r="A73" s="203"/>
      <c r="B73" s="204"/>
      <c r="C73" s="204"/>
      <c r="D73" s="205"/>
      <c r="E73" s="212"/>
      <c r="F73" s="206"/>
      <c r="G73" s="167"/>
      <c r="H73" s="213"/>
      <c r="I73" s="167"/>
      <c r="J73" s="168"/>
      <c r="K73" s="169"/>
      <c r="L73" s="207"/>
      <c r="M73" s="207"/>
      <c r="N73" s="207"/>
      <c r="O73" s="207"/>
      <c r="P73" s="207"/>
      <c r="Q73" s="207"/>
      <c r="R73" s="207"/>
      <c r="S73" s="207"/>
      <c r="T73" s="207"/>
      <c r="U73" s="207"/>
      <c r="V73" s="207"/>
      <c r="W73" s="207"/>
      <c r="X73" s="207"/>
      <c r="Y73" s="207"/>
      <c r="Z73" s="207"/>
      <c r="AA73" s="207"/>
    </row>
    <row r="74">
      <c r="A74" s="203"/>
      <c r="B74" s="204"/>
      <c r="C74" s="204"/>
      <c r="D74" s="205"/>
      <c r="E74" s="212"/>
      <c r="F74" s="206"/>
      <c r="G74" s="167"/>
      <c r="H74" s="213"/>
      <c r="I74" s="167"/>
      <c r="J74" s="168"/>
      <c r="K74" s="169"/>
      <c r="L74" s="207"/>
      <c r="M74" s="207"/>
      <c r="N74" s="207"/>
      <c r="O74" s="207"/>
      <c r="P74" s="207"/>
      <c r="Q74" s="207"/>
      <c r="R74" s="207"/>
      <c r="S74" s="207"/>
      <c r="T74" s="207"/>
      <c r="U74" s="207"/>
      <c r="V74" s="207"/>
      <c r="W74" s="207"/>
      <c r="X74" s="207"/>
      <c r="Y74" s="207"/>
      <c r="Z74" s="207"/>
      <c r="AA74" s="207"/>
    </row>
    <row r="75">
      <c r="A75" s="203"/>
      <c r="B75" s="204"/>
      <c r="C75" s="204"/>
      <c r="D75" s="205"/>
      <c r="E75" s="212"/>
      <c r="F75" s="206"/>
      <c r="G75" s="167"/>
      <c r="H75" s="213"/>
      <c r="I75" s="167"/>
      <c r="J75" s="168"/>
      <c r="K75" s="169"/>
      <c r="L75" s="207"/>
      <c r="M75" s="207"/>
      <c r="N75" s="207"/>
      <c r="O75" s="207"/>
      <c r="P75" s="207"/>
      <c r="Q75" s="207"/>
      <c r="R75" s="207"/>
      <c r="S75" s="207"/>
      <c r="T75" s="207"/>
      <c r="U75" s="207"/>
      <c r="V75" s="207"/>
      <c r="W75" s="207"/>
      <c r="X75" s="207"/>
      <c r="Y75" s="207"/>
      <c r="Z75" s="207"/>
      <c r="AA75" s="207"/>
    </row>
    <row r="76">
      <c r="A76" s="203"/>
      <c r="B76" s="204"/>
      <c r="C76" s="204"/>
      <c r="D76" s="205"/>
      <c r="E76" s="212"/>
      <c r="F76" s="206"/>
      <c r="G76" s="167"/>
      <c r="H76" s="213"/>
      <c r="I76" s="167"/>
      <c r="J76" s="168"/>
      <c r="K76" s="169"/>
      <c r="L76" s="207"/>
      <c r="M76" s="207"/>
      <c r="N76" s="207"/>
      <c r="O76" s="207"/>
      <c r="P76" s="207"/>
      <c r="Q76" s="207"/>
      <c r="R76" s="207"/>
      <c r="S76" s="207"/>
      <c r="T76" s="207"/>
      <c r="U76" s="207"/>
      <c r="V76" s="207"/>
      <c r="W76" s="207"/>
      <c r="X76" s="207"/>
      <c r="Y76" s="207"/>
      <c r="Z76" s="207"/>
      <c r="AA76" s="207"/>
    </row>
    <row r="77">
      <c r="A77" s="203"/>
      <c r="B77" s="204"/>
      <c r="C77" s="204"/>
      <c r="D77" s="205"/>
      <c r="E77" s="212"/>
      <c r="F77" s="206"/>
      <c r="G77" s="167"/>
      <c r="H77" s="213"/>
      <c r="I77" s="167"/>
      <c r="J77" s="168"/>
      <c r="K77" s="169"/>
      <c r="L77" s="207"/>
      <c r="M77" s="207"/>
      <c r="N77" s="207"/>
      <c r="O77" s="207"/>
      <c r="P77" s="207"/>
      <c r="Q77" s="207"/>
      <c r="R77" s="207"/>
      <c r="S77" s="207"/>
      <c r="T77" s="207"/>
      <c r="U77" s="207"/>
      <c r="V77" s="207"/>
      <c r="W77" s="207"/>
      <c r="X77" s="207"/>
      <c r="Y77" s="207"/>
      <c r="Z77" s="207"/>
      <c r="AA77" s="207"/>
    </row>
    <row r="78">
      <c r="A78" s="203"/>
      <c r="B78" s="204"/>
      <c r="C78" s="204"/>
      <c r="D78" s="205"/>
      <c r="E78" s="212"/>
      <c r="F78" s="206"/>
      <c r="G78" s="167"/>
      <c r="H78" s="213"/>
      <c r="I78" s="167"/>
      <c r="J78" s="168"/>
      <c r="K78" s="169"/>
      <c r="L78" s="207"/>
      <c r="M78" s="207"/>
      <c r="N78" s="207"/>
      <c r="O78" s="207"/>
      <c r="P78" s="207"/>
      <c r="Q78" s="207"/>
      <c r="R78" s="207"/>
      <c r="S78" s="207"/>
      <c r="T78" s="207"/>
      <c r="U78" s="207"/>
      <c r="V78" s="207"/>
      <c r="W78" s="207"/>
      <c r="X78" s="207"/>
      <c r="Y78" s="207"/>
      <c r="Z78" s="207"/>
      <c r="AA78" s="207"/>
    </row>
    <row r="79">
      <c r="A79" s="203"/>
      <c r="B79" s="204"/>
      <c r="C79" s="204"/>
      <c r="D79" s="205"/>
      <c r="E79" s="212"/>
      <c r="F79" s="206"/>
      <c r="G79" s="167"/>
      <c r="H79" s="213"/>
      <c r="I79" s="167"/>
      <c r="J79" s="168"/>
      <c r="K79" s="169"/>
      <c r="L79" s="207"/>
      <c r="M79" s="207"/>
      <c r="N79" s="207"/>
      <c r="O79" s="207"/>
      <c r="P79" s="207"/>
      <c r="Q79" s="207"/>
      <c r="R79" s="207"/>
      <c r="S79" s="207"/>
      <c r="T79" s="207"/>
      <c r="U79" s="207"/>
      <c r="V79" s="207"/>
      <c r="W79" s="207"/>
      <c r="X79" s="207"/>
      <c r="Y79" s="207"/>
      <c r="Z79" s="207"/>
      <c r="AA79" s="207"/>
    </row>
    <row r="80">
      <c r="A80" s="203"/>
      <c r="B80" s="204"/>
      <c r="C80" s="204"/>
      <c r="D80" s="205"/>
      <c r="E80" s="212"/>
      <c r="F80" s="206"/>
      <c r="G80" s="167"/>
      <c r="H80" s="213"/>
      <c r="I80" s="167"/>
      <c r="J80" s="168"/>
      <c r="K80" s="169"/>
      <c r="L80" s="207"/>
      <c r="M80" s="207"/>
      <c r="N80" s="207"/>
      <c r="O80" s="207"/>
      <c r="P80" s="207"/>
      <c r="Q80" s="207"/>
      <c r="R80" s="207"/>
      <c r="S80" s="207"/>
      <c r="T80" s="207"/>
      <c r="U80" s="207"/>
      <c r="V80" s="207"/>
      <c r="W80" s="207"/>
      <c r="X80" s="207"/>
      <c r="Y80" s="207"/>
      <c r="Z80" s="207"/>
      <c r="AA80" s="207"/>
    </row>
    <row r="81">
      <c r="A81" s="203"/>
      <c r="B81" s="204"/>
      <c r="C81" s="204"/>
      <c r="D81" s="205"/>
      <c r="E81" s="212"/>
      <c r="F81" s="206"/>
      <c r="G81" s="167"/>
      <c r="H81" s="213"/>
      <c r="I81" s="167"/>
      <c r="J81" s="168"/>
      <c r="K81" s="169"/>
      <c r="L81" s="207"/>
      <c r="M81" s="207"/>
      <c r="N81" s="207"/>
      <c r="O81" s="207"/>
      <c r="P81" s="207"/>
      <c r="Q81" s="207"/>
      <c r="R81" s="207"/>
      <c r="S81" s="207"/>
      <c r="T81" s="207"/>
      <c r="U81" s="207"/>
      <c r="V81" s="207"/>
      <c r="W81" s="207"/>
      <c r="X81" s="207"/>
      <c r="Y81" s="207"/>
      <c r="Z81" s="207"/>
      <c r="AA81" s="207"/>
    </row>
    <row r="82">
      <c r="A82" s="203"/>
      <c r="B82" s="204"/>
      <c r="C82" s="204"/>
      <c r="D82" s="205"/>
      <c r="E82" s="212"/>
      <c r="F82" s="206"/>
      <c r="G82" s="167"/>
      <c r="H82" s="213"/>
      <c r="I82" s="167"/>
      <c r="J82" s="168"/>
      <c r="K82" s="169"/>
      <c r="L82" s="207"/>
      <c r="M82" s="207"/>
      <c r="N82" s="207"/>
      <c r="O82" s="207"/>
      <c r="P82" s="207"/>
      <c r="Q82" s="207"/>
      <c r="R82" s="207"/>
      <c r="S82" s="207"/>
      <c r="T82" s="207"/>
      <c r="U82" s="207"/>
      <c r="V82" s="207"/>
      <c r="W82" s="207"/>
      <c r="X82" s="207"/>
      <c r="Y82" s="207"/>
      <c r="Z82" s="207"/>
      <c r="AA82" s="207"/>
    </row>
    <row r="83">
      <c r="A83" s="203"/>
      <c r="B83" s="204"/>
      <c r="C83" s="204"/>
      <c r="D83" s="205"/>
      <c r="E83" s="212"/>
      <c r="F83" s="206"/>
      <c r="G83" s="167"/>
      <c r="H83" s="213"/>
      <c r="I83" s="167"/>
      <c r="J83" s="168"/>
      <c r="K83" s="169"/>
      <c r="L83" s="207"/>
      <c r="M83" s="207"/>
      <c r="N83" s="207"/>
      <c r="O83" s="207"/>
      <c r="P83" s="207"/>
      <c r="Q83" s="207"/>
      <c r="R83" s="207"/>
      <c r="S83" s="207"/>
      <c r="T83" s="207"/>
      <c r="U83" s="207"/>
      <c r="V83" s="207"/>
      <c r="W83" s="207"/>
      <c r="X83" s="207"/>
      <c r="Y83" s="207"/>
      <c r="Z83" s="207"/>
      <c r="AA83" s="207"/>
    </row>
    <row r="84">
      <c r="A84" s="203"/>
      <c r="B84" s="204"/>
      <c r="C84" s="204"/>
      <c r="D84" s="205"/>
      <c r="E84" s="212"/>
      <c r="F84" s="206"/>
      <c r="G84" s="167"/>
      <c r="H84" s="213"/>
      <c r="I84" s="167"/>
      <c r="J84" s="168"/>
      <c r="K84" s="169"/>
      <c r="L84" s="207"/>
      <c r="M84" s="207"/>
      <c r="N84" s="207"/>
      <c r="O84" s="207"/>
      <c r="P84" s="207"/>
      <c r="Q84" s="207"/>
      <c r="R84" s="207"/>
      <c r="S84" s="207"/>
      <c r="T84" s="207"/>
      <c r="U84" s="207"/>
      <c r="V84" s="207"/>
      <c r="W84" s="207"/>
      <c r="X84" s="207"/>
      <c r="Y84" s="207"/>
      <c r="Z84" s="207"/>
      <c r="AA84" s="207"/>
    </row>
    <row r="85">
      <c r="A85" s="203"/>
      <c r="B85" s="204"/>
      <c r="C85" s="204"/>
      <c r="D85" s="205"/>
      <c r="E85" s="212"/>
      <c r="F85" s="206"/>
      <c r="G85" s="167"/>
      <c r="H85" s="213"/>
      <c r="I85" s="167"/>
      <c r="J85" s="168"/>
      <c r="K85" s="169"/>
      <c r="L85" s="207"/>
      <c r="M85" s="207"/>
      <c r="N85" s="207"/>
      <c r="O85" s="207"/>
      <c r="P85" s="207"/>
      <c r="Q85" s="207"/>
      <c r="R85" s="207"/>
      <c r="S85" s="207"/>
      <c r="T85" s="207"/>
      <c r="U85" s="207"/>
      <c r="V85" s="207"/>
      <c r="W85" s="207"/>
      <c r="X85" s="207"/>
      <c r="Y85" s="207"/>
      <c r="Z85" s="207"/>
      <c r="AA85" s="207"/>
    </row>
    <row r="86">
      <c r="A86" s="203"/>
      <c r="B86" s="204"/>
      <c r="C86" s="204"/>
      <c r="D86" s="205"/>
      <c r="E86" s="212"/>
      <c r="F86" s="206"/>
      <c r="G86" s="167"/>
      <c r="H86" s="213"/>
      <c r="I86" s="167"/>
      <c r="J86" s="168"/>
      <c r="K86" s="169"/>
      <c r="L86" s="207"/>
      <c r="M86" s="207"/>
      <c r="N86" s="207"/>
      <c r="O86" s="207"/>
      <c r="P86" s="207"/>
      <c r="Q86" s="207"/>
      <c r="R86" s="207"/>
      <c r="S86" s="207"/>
      <c r="T86" s="207"/>
      <c r="U86" s="207"/>
      <c r="V86" s="207"/>
      <c r="W86" s="207"/>
      <c r="X86" s="207"/>
      <c r="Y86" s="207"/>
      <c r="Z86" s="207"/>
      <c r="AA86" s="207"/>
    </row>
    <row r="87">
      <c r="A87" s="203"/>
      <c r="B87" s="204"/>
      <c r="C87" s="204"/>
      <c r="D87" s="205"/>
      <c r="E87" s="212"/>
      <c r="F87" s="206"/>
      <c r="G87" s="167"/>
      <c r="H87" s="213"/>
      <c r="I87" s="167"/>
      <c r="J87" s="168"/>
      <c r="K87" s="169"/>
      <c r="L87" s="207"/>
      <c r="M87" s="207"/>
      <c r="N87" s="207"/>
      <c r="O87" s="207"/>
      <c r="P87" s="207"/>
      <c r="Q87" s="207"/>
      <c r="R87" s="207"/>
      <c r="S87" s="207"/>
      <c r="T87" s="207"/>
      <c r="U87" s="207"/>
      <c r="V87" s="207"/>
      <c r="W87" s="207"/>
      <c r="X87" s="207"/>
      <c r="Y87" s="207"/>
      <c r="Z87" s="207"/>
      <c r="AA87" s="207"/>
    </row>
    <row r="88">
      <c r="A88" s="203"/>
      <c r="B88" s="204"/>
      <c r="C88" s="204"/>
      <c r="D88" s="205"/>
      <c r="E88" s="212"/>
      <c r="F88" s="206"/>
      <c r="G88" s="167"/>
      <c r="H88" s="213"/>
      <c r="I88" s="167"/>
      <c r="J88" s="168"/>
      <c r="K88" s="169"/>
      <c r="L88" s="207"/>
      <c r="M88" s="207"/>
      <c r="N88" s="207"/>
      <c r="O88" s="207"/>
      <c r="P88" s="207"/>
      <c r="Q88" s="207"/>
      <c r="R88" s="207"/>
      <c r="S88" s="207"/>
      <c r="T88" s="207"/>
      <c r="U88" s="207"/>
      <c r="V88" s="207"/>
      <c r="W88" s="207"/>
      <c r="X88" s="207"/>
      <c r="Y88" s="207"/>
      <c r="Z88" s="207"/>
      <c r="AA88" s="207"/>
    </row>
    <row r="89">
      <c r="A89" s="203"/>
      <c r="B89" s="204"/>
      <c r="C89" s="204"/>
      <c r="D89" s="205"/>
      <c r="E89" s="212"/>
      <c r="F89" s="206"/>
      <c r="G89" s="167"/>
      <c r="H89" s="213"/>
      <c r="I89" s="167"/>
      <c r="J89" s="168"/>
      <c r="K89" s="169"/>
      <c r="L89" s="207"/>
      <c r="M89" s="207"/>
      <c r="N89" s="207"/>
      <c r="O89" s="207"/>
      <c r="P89" s="207"/>
      <c r="Q89" s="207"/>
      <c r="R89" s="207"/>
      <c r="S89" s="207"/>
      <c r="T89" s="207"/>
      <c r="U89" s="207"/>
      <c r="V89" s="207"/>
      <c r="W89" s="207"/>
      <c r="X89" s="207"/>
      <c r="Y89" s="207"/>
      <c r="Z89" s="207"/>
      <c r="AA89" s="207"/>
    </row>
    <row r="90">
      <c r="A90" s="203"/>
      <c r="B90" s="204"/>
      <c r="C90" s="204"/>
      <c r="D90" s="205"/>
      <c r="E90" s="212"/>
      <c r="F90" s="206"/>
      <c r="G90" s="167"/>
      <c r="H90" s="213"/>
      <c r="I90" s="167"/>
      <c r="J90" s="168"/>
      <c r="K90" s="169"/>
      <c r="L90" s="207"/>
      <c r="M90" s="207"/>
      <c r="N90" s="207"/>
      <c r="O90" s="207"/>
      <c r="P90" s="207"/>
      <c r="Q90" s="207"/>
      <c r="R90" s="207"/>
      <c r="S90" s="207"/>
      <c r="T90" s="207"/>
      <c r="U90" s="207"/>
      <c r="V90" s="207"/>
      <c r="W90" s="207"/>
      <c r="X90" s="207"/>
      <c r="Y90" s="207"/>
      <c r="Z90" s="207"/>
      <c r="AA90" s="207"/>
    </row>
    <row r="91">
      <c r="A91" s="203"/>
      <c r="B91" s="204"/>
      <c r="C91" s="204"/>
      <c r="D91" s="205"/>
      <c r="E91" s="212"/>
      <c r="F91" s="206"/>
      <c r="G91" s="167"/>
      <c r="H91" s="213"/>
      <c r="I91" s="167"/>
      <c r="J91" s="168"/>
      <c r="K91" s="169"/>
      <c r="L91" s="207"/>
      <c r="M91" s="207"/>
      <c r="N91" s="207"/>
      <c r="O91" s="207"/>
      <c r="P91" s="207"/>
      <c r="Q91" s="207"/>
      <c r="R91" s="207"/>
      <c r="S91" s="207"/>
      <c r="T91" s="207"/>
      <c r="U91" s="207"/>
      <c r="V91" s="207"/>
      <c r="W91" s="207"/>
      <c r="X91" s="207"/>
      <c r="Y91" s="207"/>
      <c r="Z91" s="207"/>
      <c r="AA91" s="207"/>
    </row>
    <row r="92">
      <c r="A92" s="203"/>
      <c r="B92" s="204"/>
      <c r="C92" s="204"/>
      <c r="D92" s="205"/>
      <c r="E92" s="212"/>
      <c r="F92" s="206"/>
      <c r="G92" s="167"/>
      <c r="H92" s="213"/>
      <c r="I92" s="167"/>
      <c r="J92" s="168"/>
      <c r="K92" s="169"/>
      <c r="L92" s="207"/>
      <c r="M92" s="207"/>
      <c r="N92" s="207"/>
      <c r="O92" s="207"/>
      <c r="P92" s="207"/>
      <c r="Q92" s="207"/>
      <c r="R92" s="207"/>
      <c r="S92" s="207"/>
      <c r="T92" s="207"/>
      <c r="U92" s="207"/>
      <c r="V92" s="207"/>
      <c r="W92" s="207"/>
      <c r="X92" s="207"/>
      <c r="Y92" s="207"/>
      <c r="Z92" s="207"/>
      <c r="AA92" s="207"/>
    </row>
    <row r="93">
      <c r="A93" s="203"/>
      <c r="B93" s="204"/>
      <c r="C93" s="204"/>
      <c r="D93" s="205"/>
      <c r="E93" s="212"/>
      <c r="F93" s="206"/>
      <c r="G93" s="167"/>
      <c r="H93" s="213"/>
      <c r="I93" s="167"/>
      <c r="J93" s="168"/>
      <c r="K93" s="169"/>
      <c r="L93" s="207"/>
      <c r="M93" s="207"/>
      <c r="N93" s="207"/>
      <c r="O93" s="207"/>
      <c r="P93" s="207"/>
      <c r="Q93" s="207"/>
      <c r="R93" s="207"/>
      <c r="S93" s="207"/>
      <c r="T93" s="207"/>
      <c r="U93" s="207"/>
      <c r="V93" s="207"/>
      <c r="W93" s="207"/>
      <c r="X93" s="207"/>
      <c r="Y93" s="207"/>
      <c r="Z93" s="207"/>
      <c r="AA93" s="207"/>
    </row>
    <row r="94">
      <c r="A94" s="203"/>
      <c r="B94" s="204"/>
      <c r="C94" s="204"/>
      <c r="D94" s="205"/>
      <c r="E94" s="212"/>
      <c r="F94" s="206"/>
      <c r="G94" s="167"/>
      <c r="H94" s="213"/>
      <c r="I94" s="167"/>
      <c r="J94" s="168"/>
      <c r="K94" s="169"/>
      <c r="L94" s="207"/>
      <c r="M94" s="207"/>
      <c r="N94" s="207"/>
      <c r="O94" s="207"/>
      <c r="P94" s="207"/>
      <c r="Q94" s="207"/>
      <c r="R94" s="207"/>
      <c r="S94" s="207"/>
      <c r="T94" s="207"/>
      <c r="U94" s="207"/>
      <c r="V94" s="207"/>
      <c r="W94" s="207"/>
      <c r="X94" s="207"/>
      <c r="Y94" s="207"/>
      <c r="Z94" s="207"/>
      <c r="AA94" s="207"/>
    </row>
    <row r="95">
      <c r="A95" s="203"/>
      <c r="B95" s="204"/>
      <c r="C95" s="204"/>
      <c r="D95" s="205"/>
      <c r="E95" s="212"/>
      <c r="F95" s="206"/>
      <c r="G95" s="167"/>
      <c r="H95" s="213"/>
      <c r="I95" s="167"/>
      <c r="J95" s="168"/>
      <c r="K95" s="169"/>
      <c r="L95" s="207"/>
      <c r="M95" s="207"/>
      <c r="N95" s="207"/>
      <c r="O95" s="207"/>
      <c r="P95" s="207"/>
      <c r="Q95" s="207"/>
      <c r="R95" s="207"/>
      <c r="S95" s="207"/>
      <c r="T95" s="207"/>
      <c r="U95" s="207"/>
      <c r="V95" s="207"/>
      <c r="W95" s="207"/>
      <c r="X95" s="207"/>
      <c r="Y95" s="207"/>
      <c r="Z95" s="207"/>
      <c r="AA95" s="207"/>
    </row>
    <row r="96">
      <c r="A96" s="203"/>
      <c r="B96" s="204"/>
      <c r="C96" s="204"/>
      <c r="D96" s="205"/>
      <c r="E96" s="212"/>
      <c r="F96" s="206"/>
      <c r="G96" s="167"/>
      <c r="H96" s="213"/>
      <c r="I96" s="167"/>
      <c r="J96" s="168"/>
      <c r="K96" s="169"/>
      <c r="L96" s="207"/>
      <c r="M96" s="207"/>
      <c r="N96" s="207"/>
      <c r="O96" s="207"/>
      <c r="P96" s="207"/>
      <c r="Q96" s="207"/>
      <c r="R96" s="207"/>
      <c r="S96" s="207"/>
      <c r="T96" s="207"/>
      <c r="U96" s="207"/>
      <c r="V96" s="207"/>
      <c r="W96" s="207"/>
      <c r="X96" s="207"/>
      <c r="Y96" s="207"/>
      <c r="Z96" s="207"/>
      <c r="AA96" s="207"/>
    </row>
    <row r="97">
      <c r="A97" s="203"/>
      <c r="B97" s="204"/>
      <c r="C97" s="204"/>
      <c r="D97" s="205"/>
      <c r="E97" s="212"/>
      <c r="F97" s="206"/>
      <c r="G97" s="167"/>
      <c r="H97" s="213"/>
      <c r="I97" s="167"/>
      <c r="J97" s="168"/>
      <c r="K97" s="169"/>
      <c r="L97" s="207"/>
      <c r="M97" s="207"/>
      <c r="N97" s="207"/>
      <c r="O97" s="207"/>
      <c r="P97" s="207"/>
      <c r="Q97" s="207"/>
      <c r="R97" s="207"/>
      <c r="S97" s="207"/>
      <c r="T97" s="207"/>
      <c r="U97" s="207"/>
      <c r="V97" s="207"/>
      <c r="W97" s="207"/>
      <c r="X97" s="207"/>
      <c r="Y97" s="207"/>
      <c r="Z97" s="207"/>
      <c r="AA97" s="207"/>
    </row>
    <row r="98">
      <c r="A98" s="203"/>
      <c r="B98" s="204"/>
      <c r="C98" s="204"/>
      <c r="D98" s="205"/>
      <c r="E98" s="212"/>
      <c r="F98" s="206"/>
      <c r="G98" s="167"/>
      <c r="H98" s="213"/>
      <c r="I98" s="167"/>
      <c r="J98" s="168"/>
      <c r="K98" s="169"/>
      <c r="L98" s="207"/>
      <c r="M98" s="207"/>
      <c r="N98" s="207"/>
      <c r="O98" s="207"/>
      <c r="P98" s="207"/>
      <c r="Q98" s="207"/>
      <c r="R98" s="207"/>
      <c r="S98" s="207"/>
      <c r="T98" s="207"/>
      <c r="U98" s="207"/>
      <c r="V98" s="207"/>
      <c r="W98" s="207"/>
      <c r="X98" s="207"/>
      <c r="Y98" s="207"/>
      <c r="Z98" s="207"/>
      <c r="AA98" s="207"/>
    </row>
    <row r="99">
      <c r="A99" s="203"/>
      <c r="B99" s="204"/>
      <c r="C99" s="204"/>
      <c r="D99" s="205"/>
      <c r="E99" s="212"/>
      <c r="F99" s="206"/>
      <c r="G99" s="167"/>
      <c r="H99" s="213"/>
      <c r="I99" s="167"/>
      <c r="J99" s="168"/>
      <c r="K99" s="169"/>
      <c r="L99" s="207"/>
      <c r="M99" s="207"/>
      <c r="N99" s="207"/>
      <c r="O99" s="207"/>
      <c r="P99" s="207"/>
      <c r="Q99" s="207"/>
      <c r="R99" s="207"/>
      <c r="S99" s="207"/>
      <c r="T99" s="207"/>
      <c r="U99" s="207"/>
      <c r="V99" s="207"/>
      <c r="W99" s="207"/>
      <c r="X99" s="207"/>
      <c r="Y99" s="207"/>
      <c r="Z99" s="207"/>
      <c r="AA99" s="207"/>
    </row>
    <row r="100">
      <c r="A100" s="203"/>
      <c r="B100" s="204"/>
      <c r="C100" s="204"/>
      <c r="D100" s="205"/>
      <c r="E100" s="212"/>
      <c r="F100" s="206"/>
      <c r="G100" s="167"/>
      <c r="H100" s="213"/>
      <c r="I100" s="167"/>
      <c r="J100" s="168"/>
      <c r="K100" s="169"/>
      <c r="L100" s="207"/>
      <c r="M100" s="207"/>
      <c r="N100" s="207"/>
      <c r="O100" s="207"/>
      <c r="P100" s="207"/>
      <c r="Q100" s="207"/>
      <c r="R100" s="207"/>
      <c r="S100" s="207"/>
      <c r="T100" s="207"/>
      <c r="U100" s="207"/>
      <c r="V100" s="207"/>
      <c r="W100" s="207"/>
      <c r="X100" s="207"/>
      <c r="Y100" s="207"/>
      <c r="Z100" s="207"/>
      <c r="AA100" s="207"/>
    </row>
    <row r="101">
      <c r="A101" s="203"/>
      <c r="B101" s="204"/>
      <c r="C101" s="204"/>
      <c r="D101" s="205"/>
      <c r="E101" s="212"/>
      <c r="F101" s="206"/>
      <c r="G101" s="167"/>
      <c r="H101" s="213"/>
      <c r="I101" s="167"/>
      <c r="J101" s="168"/>
      <c r="K101" s="169"/>
      <c r="L101" s="207"/>
      <c r="M101" s="207"/>
      <c r="N101" s="207"/>
      <c r="O101" s="207"/>
      <c r="P101" s="207"/>
      <c r="Q101" s="207"/>
      <c r="R101" s="207"/>
      <c r="S101" s="207"/>
      <c r="T101" s="207"/>
      <c r="U101" s="207"/>
      <c r="V101" s="207"/>
      <c r="W101" s="207"/>
      <c r="X101" s="207"/>
      <c r="Y101" s="207"/>
      <c r="Z101" s="207"/>
      <c r="AA101" s="207"/>
    </row>
    <row r="102">
      <c r="A102" s="203"/>
      <c r="B102" s="204"/>
      <c r="C102" s="204"/>
      <c r="D102" s="205"/>
      <c r="E102" s="212"/>
      <c r="F102" s="206"/>
      <c r="G102" s="167"/>
      <c r="H102" s="213"/>
      <c r="I102" s="167"/>
      <c r="J102" s="168"/>
      <c r="K102" s="169"/>
      <c r="L102" s="207"/>
      <c r="M102" s="207"/>
      <c r="N102" s="207"/>
      <c r="O102" s="207"/>
      <c r="P102" s="207"/>
      <c r="Q102" s="207"/>
      <c r="R102" s="207"/>
      <c r="S102" s="207"/>
      <c r="T102" s="207"/>
      <c r="U102" s="207"/>
      <c r="V102" s="207"/>
      <c r="W102" s="207"/>
      <c r="X102" s="207"/>
      <c r="Y102" s="207"/>
      <c r="Z102" s="207"/>
      <c r="AA102" s="207"/>
    </row>
    <row r="103">
      <c r="A103" s="203"/>
      <c r="B103" s="204"/>
      <c r="C103" s="204"/>
      <c r="D103" s="205"/>
      <c r="E103" s="212"/>
      <c r="F103" s="206"/>
      <c r="G103" s="167"/>
      <c r="H103" s="213"/>
      <c r="I103" s="167"/>
      <c r="J103" s="168"/>
      <c r="K103" s="169"/>
      <c r="L103" s="207"/>
      <c r="M103" s="207"/>
      <c r="N103" s="207"/>
      <c r="O103" s="207"/>
      <c r="P103" s="207"/>
      <c r="Q103" s="207"/>
      <c r="R103" s="207"/>
      <c r="S103" s="207"/>
      <c r="T103" s="207"/>
      <c r="U103" s="207"/>
      <c r="V103" s="207"/>
      <c r="W103" s="207"/>
      <c r="X103" s="207"/>
      <c r="Y103" s="207"/>
      <c r="Z103" s="207"/>
      <c r="AA103" s="207"/>
    </row>
    <row r="104">
      <c r="A104" s="203"/>
      <c r="B104" s="204"/>
      <c r="C104" s="204"/>
      <c r="D104" s="205"/>
      <c r="E104" s="212"/>
      <c r="F104" s="206"/>
      <c r="G104" s="167"/>
      <c r="H104" s="213"/>
      <c r="I104" s="167"/>
      <c r="J104" s="168"/>
      <c r="K104" s="169"/>
      <c r="L104" s="207"/>
      <c r="M104" s="207"/>
      <c r="N104" s="207"/>
      <c r="O104" s="207"/>
      <c r="P104" s="207"/>
      <c r="Q104" s="207"/>
      <c r="R104" s="207"/>
      <c r="S104" s="207"/>
      <c r="T104" s="207"/>
      <c r="U104" s="207"/>
      <c r="V104" s="207"/>
      <c r="W104" s="207"/>
      <c r="X104" s="207"/>
      <c r="Y104" s="207"/>
      <c r="Z104" s="207"/>
      <c r="AA104" s="207"/>
    </row>
    <row r="105">
      <c r="A105" s="203"/>
      <c r="B105" s="204"/>
      <c r="C105" s="204"/>
      <c r="D105" s="205"/>
      <c r="E105" s="212"/>
      <c r="F105" s="206"/>
      <c r="G105" s="167"/>
      <c r="H105" s="213"/>
      <c r="I105" s="167"/>
      <c r="J105" s="168"/>
      <c r="K105" s="169"/>
      <c r="L105" s="207"/>
      <c r="M105" s="207"/>
      <c r="N105" s="207"/>
      <c r="O105" s="207"/>
      <c r="P105" s="207"/>
      <c r="Q105" s="207"/>
      <c r="R105" s="207"/>
      <c r="S105" s="207"/>
      <c r="T105" s="207"/>
      <c r="U105" s="207"/>
      <c r="V105" s="207"/>
      <c r="W105" s="207"/>
      <c r="X105" s="207"/>
      <c r="Y105" s="207"/>
      <c r="Z105" s="207"/>
      <c r="AA105" s="207"/>
    </row>
    <row r="106">
      <c r="A106" s="203"/>
      <c r="B106" s="204"/>
      <c r="C106" s="204"/>
      <c r="D106" s="205"/>
      <c r="E106" s="212"/>
      <c r="F106" s="206"/>
      <c r="G106" s="167"/>
      <c r="H106" s="213"/>
      <c r="I106" s="167"/>
      <c r="J106" s="168"/>
      <c r="K106" s="169"/>
      <c r="L106" s="207"/>
      <c r="M106" s="207"/>
      <c r="N106" s="207"/>
      <c r="O106" s="207"/>
      <c r="P106" s="207"/>
      <c r="Q106" s="207"/>
      <c r="R106" s="207"/>
      <c r="S106" s="207"/>
      <c r="T106" s="207"/>
      <c r="U106" s="207"/>
      <c r="V106" s="207"/>
      <c r="W106" s="207"/>
      <c r="X106" s="207"/>
      <c r="Y106" s="207"/>
      <c r="Z106" s="207"/>
      <c r="AA106" s="207"/>
    </row>
    <row r="107">
      <c r="A107" s="203"/>
      <c r="B107" s="204"/>
      <c r="C107" s="204"/>
      <c r="D107" s="205"/>
      <c r="E107" s="212"/>
      <c r="F107" s="206"/>
      <c r="G107" s="167"/>
      <c r="H107" s="213"/>
      <c r="I107" s="167"/>
      <c r="J107" s="168"/>
      <c r="K107" s="169"/>
      <c r="L107" s="207"/>
      <c r="M107" s="207"/>
      <c r="N107" s="207"/>
      <c r="O107" s="207"/>
      <c r="P107" s="207"/>
      <c r="Q107" s="207"/>
      <c r="R107" s="207"/>
      <c r="S107" s="207"/>
      <c r="T107" s="207"/>
      <c r="U107" s="207"/>
      <c r="V107" s="207"/>
      <c r="W107" s="207"/>
      <c r="X107" s="207"/>
      <c r="Y107" s="207"/>
      <c r="Z107" s="207"/>
      <c r="AA107" s="207"/>
    </row>
    <row r="108">
      <c r="A108" s="203"/>
      <c r="B108" s="204"/>
      <c r="C108" s="204"/>
      <c r="D108" s="205"/>
      <c r="E108" s="212"/>
      <c r="F108" s="206"/>
      <c r="G108" s="167"/>
      <c r="H108" s="213"/>
      <c r="I108" s="167"/>
      <c r="J108" s="168"/>
      <c r="K108" s="169"/>
      <c r="L108" s="207"/>
      <c r="M108" s="207"/>
      <c r="N108" s="207"/>
      <c r="O108" s="207"/>
      <c r="P108" s="207"/>
      <c r="Q108" s="207"/>
      <c r="R108" s="207"/>
      <c r="S108" s="207"/>
      <c r="T108" s="207"/>
      <c r="U108" s="207"/>
      <c r="V108" s="207"/>
      <c r="W108" s="207"/>
      <c r="X108" s="207"/>
      <c r="Y108" s="207"/>
      <c r="Z108" s="207"/>
      <c r="AA108" s="207"/>
    </row>
    <row r="109">
      <c r="A109" s="203"/>
      <c r="B109" s="204"/>
      <c r="C109" s="204"/>
      <c r="D109" s="205"/>
      <c r="E109" s="212"/>
      <c r="F109" s="206"/>
      <c r="G109" s="167"/>
      <c r="H109" s="213"/>
      <c r="I109" s="167"/>
      <c r="J109" s="168"/>
      <c r="K109" s="169"/>
      <c r="L109" s="207"/>
      <c r="M109" s="207"/>
      <c r="N109" s="207"/>
      <c r="O109" s="207"/>
      <c r="P109" s="207"/>
      <c r="Q109" s="207"/>
      <c r="R109" s="207"/>
      <c r="S109" s="207"/>
      <c r="T109" s="207"/>
      <c r="U109" s="207"/>
      <c r="V109" s="207"/>
      <c r="W109" s="207"/>
      <c r="X109" s="207"/>
      <c r="Y109" s="207"/>
      <c r="Z109" s="207"/>
      <c r="AA109" s="207"/>
    </row>
    <row r="110">
      <c r="A110" s="203"/>
      <c r="B110" s="204"/>
      <c r="C110" s="204"/>
      <c r="D110" s="205"/>
      <c r="E110" s="212"/>
      <c r="F110" s="206"/>
      <c r="G110" s="167"/>
      <c r="H110" s="213"/>
      <c r="I110" s="167"/>
      <c r="J110" s="168"/>
      <c r="K110" s="169"/>
      <c r="L110" s="207"/>
      <c r="M110" s="207"/>
      <c r="N110" s="207"/>
      <c r="O110" s="207"/>
      <c r="P110" s="207"/>
      <c r="Q110" s="207"/>
      <c r="R110" s="207"/>
      <c r="S110" s="207"/>
      <c r="T110" s="207"/>
      <c r="U110" s="207"/>
      <c r="V110" s="207"/>
      <c r="W110" s="207"/>
      <c r="X110" s="207"/>
      <c r="Y110" s="207"/>
      <c r="Z110" s="207"/>
      <c r="AA110" s="207"/>
    </row>
    <row r="111">
      <c r="A111" s="203"/>
      <c r="B111" s="204"/>
      <c r="C111" s="204"/>
      <c r="D111" s="205"/>
      <c r="E111" s="212"/>
      <c r="F111" s="206"/>
      <c r="G111" s="167"/>
      <c r="H111" s="213"/>
      <c r="I111" s="167"/>
      <c r="J111" s="168"/>
      <c r="K111" s="169"/>
      <c r="L111" s="207"/>
      <c r="M111" s="207"/>
      <c r="N111" s="207"/>
      <c r="O111" s="207"/>
      <c r="P111" s="207"/>
      <c r="Q111" s="207"/>
      <c r="R111" s="207"/>
      <c r="S111" s="207"/>
      <c r="T111" s="207"/>
      <c r="U111" s="207"/>
      <c r="V111" s="207"/>
      <c r="W111" s="207"/>
      <c r="X111" s="207"/>
      <c r="Y111" s="207"/>
      <c r="Z111" s="207"/>
      <c r="AA111" s="207"/>
    </row>
    <row r="112">
      <c r="A112" s="203"/>
      <c r="B112" s="204"/>
      <c r="C112" s="204"/>
      <c r="D112" s="205"/>
      <c r="E112" s="212"/>
      <c r="F112" s="206"/>
      <c r="G112" s="167"/>
      <c r="H112" s="213"/>
      <c r="I112" s="167"/>
      <c r="J112" s="168"/>
      <c r="K112" s="169"/>
      <c r="L112" s="207"/>
      <c r="M112" s="207"/>
      <c r="N112" s="207"/>
      <c r="O112" s="207"/>
      <c r="P112" s="207"/>
      <c r="Q112" s="207"/>
      <c r="R112" s="207"/>
      <c r="S112" s="207"/>
      <c r="T112" s="207"/>
      <c r="U112" s="207"/>
      <c r="V112" s="207"/>
      <c r="W112" s="207"/>
      <c r="X112" s="207"/>
      <c r="Y112" s="207"/>
      <c r="Z112" s="207"/>
      <c r="AA112" s="207"/>
    </row>
    <row r="113">
      <c r="A113" s="203"/>
      <c r="B113" s="204"/>
      <c r="C113" s="204"/>
      <c r="D113" s="205"/>
      <c r="E113" s="212"/>
      <c r="F113" s="206"/>
      <c r="G113" s="167"/>
      <c r="H113" s="213"/>
      <c r="I113" s="167"/>
      <c r="J113" s="168"/>
      <c r="K113" s="169"/>
      <c r="L113" s="207"/>
      <c r="M113" s="207"/>
      <c r="N113" s="207"/>
      <c r="O113" s="207"/>
      <c r="P113" s="207"/>
      <c r="Q113" s="207"/>
      <c r="R113" s="207"/>
      <c r="S113" s="207"/>
      <c r="T113" s="207"/>
      <c r="U113" s="207"/>
      <c r="V113" s="207"/>
      <c r="W113" s="207"/>
      <c r="X113" s="207"/>
      <c r="Y113" s="207"/>
      <c r="Z113" s="207"/>
      <c r="AA113" s="207"/>
    </row>
    <row r="114">
      <c r="A114" s="203"/>
      <c r="B114" s="204"/>
      <c r="C114" s="204"/>
      <c r="D114" s="205"/>
      <c r="E114" s="212"/>
      <c r="F114" s="206"/>
      <c r="G114" s="167"/>
      <c r="H114" s="213"/>
      <c r="I114" s="167"/>
      <c r="J114" s="168"/>
      <c r="K114" s="169"/>
      <c r="L114" s="207"/>
      <c r="M114" s="207"/>
      <c r="N114" s="207"/>
      <c r="O114" s="207"/>
      <c r="P114" s="207"/>
      <c r="Q114" s="207"/>
      <c r="R114" s="207"/>
      <c r="S114" s="207"/>
      <c r="T114" s="207"/>
      <c r="U114" s="207"/>
      <c r="V114" s="207"/>
      <c r="W114" s="207"/>
      <c r="X114" s="207"/>
      <c r="Y114" s="207"/>
      <c r="Z114" s="207"/>
      <c r="AA114" s="207"/>
    </row>
    <row r="115">
      <c r="A115" s="203"/>
      <c r="B115" s="204"/>
      <c r="C115" s="204"/>
      <c r="D115" s="205"/>
      <c r="E115" s="212"/>
      <c r="F115" s="206"/>
      <c r="G115" s="167"/>
      <c r="H115" s="213"/>
      <c r="I115" s="167"/>
      <c r="J115" s="168"/>
      <c r="K115" s="169"/>
      <c r="L115" s="207"/>
      <c r="M115" s="207"/>
      <c r="N115" s="207"/>
      <c r="O115" s="207"/>
      <c r="P115" s="207"/>
      <c r="Q115" s="207"/>
      <c r="R115" s="207"/>
      <c r="S115" s="207"/>
      <c r="T115" s="207"/>
      <c r="U115" s="207"/>
      <c r="V115" s="207"/>
      <c r="W115" s="207"/>
      <c r="X115" s="207"/>
      <c r="Y115" s="207"/>
      <c r="Z115" s="207"/>
      <c r="AA115" s="207"/>
    </row>
    <row r="116">
      <c r="A116" s="203"/>
      <c r="B116" s="204"/>
      <c r="C116" s="204"/>
      <c r="D116" s="205"/>
      <c r="E116" s="212"/>
      <c r="F116" s="206"/>
      <c r="G116" s="167"/>
      <c r="H116" s="213"/>
      <c r="I116" s="167"/>
      <c r="J116" s="168"/>
      <c r="K116" s="169"/>
      <c r="L116" s="207"/>
      <c r="M116" s="207"/>
      <c r="N116" s="207"/>
      <c r="O116" s="207"/>
      <c r="P116" s="207"/>
      <c r="Q116" s="207"/>
      <c r="R116" s="207"/>
      <c r="S116" s="207"/>
      <c r="T116" s="207"/>
      <c r="U116" s="207"/>
      <c r="V116" s="207"/>
      <c r="W116" s="207"/>
      <c r="X116" s="207"/>
      <c r="Y116" s="207"/>
      <c r="Z116" s="207"/>
      <c r="AA116" s="207"/>
    </row>
    <row r="117">
      <c r="A117" s="203"/>
      <c r="B117" s="204"/>
      <c r="C117" s="204"/>
      <c r="D117" s="205"/>
      <c r="E117" s="212"/>
      <c r="F117" s="206"/>
      <c r="G117" s="167"/>
      <c r="H117" s="213"/>
      <c r="I117" s="167"/>
      <c r="J117" s="168"/>
      <c r="K117" s="169"/>
      <c r="L117" s="207"/>
      <c r="M117" s="207"/>
      <c r="N117" s="207"/>
      <c r="O117" s="207"/>
      <c r="P117" s="207"/>
      <c r="Q117" s="207"/>
      <c r="R117" s="207"/>
      <c r="S117" s="207"/>
      <c r="T117" s="207"/>
      <c r="U117" s="207"/>
      <c r="V117" s="207"/>
      <c r="W117" s="207"/>
      <c r="X117" s="207"/>
      <c r="Y117" s="207"/>
      <c r="Z117" s="207"/>
      <c r="AA117" s="207"/>
    </row>
    <row r="118">
      <c r="A118" s="203"/>
      <c r="B118" s="204"/>
      <c r="C118" s="204"/>
      <c r="D118" s="205"/>
      <c r="E118" s="212"/>
      <c r="F118" s="206"/>
      <c r="G118" s="167"/>
      <c r="H118" s="213"/>
      <c r="I118" s="167"/>
      <c r="J118" s="168"/>
      <c r="K118" s="169"/>
      <c r="L118" s="207"/>
      <c r="M118" s="207"/>
      <c r="N118" s="207"/>
      <c r="O118" s="207"/>
      <c r="P118" s="207"/>
      <c r="Q118" s="207"/>
      <c r="R118" s="207"/>
      <c r="S118" s="207"/>
      <c r="T118" s="207"/>
      <c r="U118" s="207"/>
      <c r="V118" s="207"/>
      <c r="W118" s="207"/>
      <c r="X118" s="207"/>
      <c r="Y118" s="207"/>
      <c r="Z118" s="207"/>
      <c r="AA118" s="207"/>
    </row>
    <row r="119">
      <c r="A119" s="203"/>
      <c r="B119" s="204"/>
      <c r="C119" s="204"/>
      <c r="D119" s="205"/>
      <c r="E119" s="212"/>
      <c r="F119" s="206"/>
      <c r="G119" s="167"/>
      <c r="H119" s="213"/>
      <c r="I119" s="167"/>
      <c r="J119" s="168"/>
      <c r="K119" s="169"/>
      <c r="L119" s="207"/>
      <c r="M119" s="207"/>
      <c r="N119" s="207"/>
      <c r="O119" s="207"/>
      <c r="P119" s="207"/>
      <c r="Q119" s="207"/>
      <c r="R119" s="207"/>
      <c r="S119" s="207"/>
      <c r="T119" s="207"/>
      <c r="U119" s="207"/>
      <c r="V119" s="207"/>
      <c r="W119" s="207"/>
      <c r="X119" s="207"/>
      <c r="Y119" s="207"/>
      <c r="Z119" s="207"/>
      <c r="AA119" s="207"/>
    </row>
    <row r="120">
      <c r="A120" s="203"/>
      <c r="B120" s="204"/>
      <c r="C120" s="204"/>
      <c r="D120" s="205"/>
      <c r="E120" s="212"/>
      <c r="F120" s="206"/>
      <c r="G120" s="167"/>
      <c r="H120" s="213"/>
      <c r="I120" s="167"/>
      <c r="J120" s="168"/>
      <c r="K120" s="169"/>
      <c r="L120" s="207"/>
      <c r="M120" s="207"/>
      <c r="N120" s="207"/>
      <c r="O120" s="207"/>
      <c r="P120" s="207"/>
      <c r="Q120" s="207"/>
      <c r="R120" s="207"/>
      <c r="S120" s="207"/>
      <c r="T120" s="207"/>
      <c r="U120" s="207"/>
      <c r="V120" s="207"/>
      <c r="W120" s="207"/>
      <c r="X120" s="207"/>
      <c r="Y120" s="207"/>
      <c r="Z120" s="207"/>
      <c r="AA120" s="207"/>
    </row>
    <row r="121">
      <c r="A121" s="203"/>
      <c r="B121" s="204"/>
      <c r="C121" s="204"/>
      <c r="D121" s="205"/>
      <c r="E121" s="212"/>
      <c r="F121" s="206"/>
      <c r="G121" s="167"/>
      <c r="H121" s="213"/>
      <c r="I121" s="167"/>
      <c r="J121" s="168"/>
      <c r="K121" s="169"/>
      <c r="L121" s="207"/>
      <c r="M121" s="207"/>
      <c r="N121" s="207"/>
      <c r="O121" s="207"/>
      <c r="P121" s="207"/>
      <c r="Q121" s="207"/>
      <c r="R121" s="207"/>
      <c r="S121" s="207"/>
      <c r="T121" s="207"/>
      <c r="U121" s="207"/>
      <c r="V121" s="207"/>
      <c r="W121" s="207"/>
      <c r="X121" s="207"/>
      <c r="Y121" s="207"/>
      <c r="Z121" s="207"/>
      <c r="AA121" s="207"/>
    </row>
    <row r="122">
      <c r="A122" s="203"/>
      <c r="B122" s="204"/>
      <c r="C122" s="204"/>
      <c r="D122" s="205"/>
      <c r="E122" s="212"/>
      <c r="F122" s="206"/>
      <c r="G122" s="167"/>
      <c r="H122" s="213"/>
      <c r="I122" s="167"/>
      <c r="J122" s="168"/>
      <c r="K122" s="169"/>
      <c r="L122" s="207"/>
      <c r="M122" s="207"/>
      <c r="N122" s="207"/>
      <c r="O122" s="207"/>
      <c r="P122" s="207"/>
      <c r="Q122" s="207"/>
      <c r="R122" s="207"/>
      <c r="S122" s="207"/>
      <c r="T122" s="207"/>
      <c r="U122" s="207"/>
      <c r="V122" s="207"/>
      <c r="W122" s="207"/>
      <c r="X122" s="207"/>
      <c r="Y122" s="207"/>
      <c r="Z122" s="207"/>
      <c r="AA122" s="207"/>
    </row>
    <row r="123">
      <c r="A123" s="203"/>
      <c r="B123" s="204"/>
      <c r="C123" s="204"/>
      <c r="D123" s="205"/>
      <c r="E123" s="212"/>
      <c r="F123" s="206"/>
      <c r="G123" s="167"/>
      <c r="H123" s="213"/>
      <c r="I123" s="167"/>
      <c r="J123" s="168"/>
      <c r="K123" s="169"/>
      <c r="L123" s="207"/>
      <c r="M123" s="207"/>
      <c r="N123" s="207"/>
      <c r="O123" s="207"/>
      <c r="P123" s="207"/>
      <c r="Q123" s="207"/>
      <c r="R123" s="207"/>
      <c r="S123" s="207"/>
      <c r="T123" s="207"/>
      <c r="U123" s="207"/>
      <c r="V123" s="207"/>
      <c r="W123" s="207"/>
      <c r="X123" s="207"/>
      <c r="Y123" s="207"/>
      <c r="Z123" s="207"/>
      <c r="AA123" s="207"/>
    </row>
    <row r="124">
      <c r="A124" s="203"/>
      <c r="B124" s="204"/>
      <c r="C124" s="204"/>
      <c r="D124" s="205"/>
      <c r="E124" s="212"/>
      <c r="F124" s="206"/>
      <c r="G124" s="167"/>
      <c r="H124" s="213"/>
      <c r="I124" s="167"/>
      <c r="J124" s="168"/>
      <c r="K124" s="169"/>
      <c r="L124" s="207"/>
      <c r="M124" s="207"/>
      <c r="N124" s="207"/>
      <c r="O124" s="207"/>
      <c r="P124" s="207"/>
      <c r="Q124" s="207"/>
      <c r="R124" s="207"/>
      <c r="S124" s="207"/>
      <c r="T124" s="207"/>
      <c r="U124" s="207"/>
      <c r="V124" s="207"/>
      <c r="W124" s="207"/>
      <c r="X124" s="207"/>
      <c r="Y124" s="207"/>
      <c r="Z124" s="207"/>
      <c r="AA124" s="207"/>
    </row>
    <row r="125">
      <c r="A125" s="203"/>
      <c r="B125" s="204"/>
      <c r="C125" s="204"/>
      <c r="D125" s="205"/>
      <c r="E125" s="212"/>
      <c r="F125" s="206"/>
      <c r="G125" s="167"/>
      <c r="H125" s="213"/>
      <c r="I125" s="167"/>
      <c r="J125" s="168"/>
      <c r="K125" s="169"/>
      <c r="L125" s="207"/>
      <c r="M125" s="207"/>
      <c r="N125" s="207"/>
      <c r="O125" s="207"/>
      <c r="P125" s="207"/>
      <c r="Q125" s="207"/>
      <c r="R125" s="207"/>
      <c r="S125" s="207"/>
      <c r="T125" s="207"/>
      <c r="U125" s="207"/>
      <c r="V125" s="207"/>
      <c r="W125" s="207"/>
      <c r="X125" s="207"/>
      <c r="Y125" s="207"/>
      <c r="Z125" s="207"/>
      <c r="AA125" s="207"/>
    </row>
    <row r="126">
      <c r="A126" s="203"/>
      <c r="B126" s="204"/>
      <c r="C126" s="204"/>
      <c r="D126" s="205"/>
      <c r="E126" s="212"/>
      <c r="F126" s="206"/>
      <c r="G126" s="167"/>
      <c r="H126" s="213"/>
      <c r="I126" s="167"/>
      <c r="J126" s="168"/>
      <c r="K126" s="169"/>
      <c r="L126" s="207"/>
      <c r="M126" s="207"/>
      <c r="N126" s="207"/>
      <c r="O126" s="207"/>
      <c r="P126" s="207"/>
      <c r="Q126" s="207"/>
      <c r="R126" s="207"/>
      <c r="S126" s="207"/>
      <c r="T126" s="207"/>
      <c r="U126" s="207"/>
      <c r="V126" s="207"/>
      <c r="W126" s="207"/>
      <c r="X126" s="207"/>
      <c r="Y126" s="207"/>
      <c r="Z126" s="207"/>
      <c r="AA126" s="207"/>
    </row>
    <row r="127">
      <c r="A127" s="203"/>
      <c r="B127" s="204"/>
      <c r="C127" s="204"/>
      <c r="D127" s="205"/>
      <c r="E127" s="212"/>
      <c r="F127" s="206"/>
      <c r="G127" s="167"/>
      <c r="H127" s="213"/>
      <c r="I127" s="167"/>
      <c r="J127" s="168"/>
      <c r="K127" s="169"/>
      <c r="L127" s="207"/>
      <c r="M127" s="207"/>
      <c r="N127" s="207"/>
      <c r="O127" s="207"/>
      <c r="P127" s="207"/>
      <c r="Q127" s="207"/>
      <c r="R127" s="207"/>
      <c r="S127" s="207"/>
      <c r="T127" s="207"/>
      <c r="U127" s="207"/>
      <c r="V127" s="207"/>
      <c r="W127" s="207"/>
      <c r="X127" s="207"/>
      <c r="Y127" s="207"/>
      <c r="Z127" s="207"/>
      <c r="AA127" s="207"/>
    </row>
    <row r="128">
      <c r="A128" s="203"/>
      <c r="B128" s="204"/>
      <c r="C128" s="204"/>
      <c r="D128" s="205"/>
      <c r="E128" s="212"/>
      <c r="F128" s="206"/>
      <c r="G128" s="167"/>
      <c r="H128" s="213"/>
      <c r="I128" s="167"/>
      <c r="J128" s="168"/>
      <c r="K128" s="169"/>
      <c r="L128" s="207"/>
      <c r="M128" s="207"/>
      <c r="N128" s="207"/>
      <c r="O128" s="207"/>
      <c r="P128" s="207"/>
      <c r="Q128" s="207"/>
      <c r="R128" s="207"/>
      <c r="S128" s="207"/>
      <c r="T128" s="207"/>
      <c r="U128" s="207"/>
      <c r="V128" s="207"/>
      <c r="W128" s="207"/>
      <c r="X128" s="207"/>
      <c r="Y128" s="207"/>
      <c r="Z128" s="207"/>
      <c r="AA128" s="207"/>
    </row>
    <row r="129">
      <c r="A129" s="203"/>
      <c r="B129" s="204"/>
      <c r="C129" s="204"/>
      <c r="D129" s="205"/>
      <c r="E129" s="212"/>
      <c r="F129" s="206"/>
      <c r="G129" s="167"/>
      <c r="H129" s="213"/>
      <c r="I129" s="167"/>
      <c r="J129" s="168"/>
      <c r="K129" s="169"/>
      <c r="L129" s="207"/>
      <c r="M129" s="207"/>
      <c r="N129" s="207"/>
      <c r="O129" s="207"/>
      <c r="P129" s="207"/>
      <c r="Q129" s="207"/>
      <c r="R129" s="207"/>
      <c r="S129" s="207"/>
      <c r="T129" s="207"/>
      <c r="U129" s="207"/>
      <c r="V129" s="207"/>
      <c r="W129" s="207"/>
      <c r="X129" s="207"/>
      <c r="Y129" s="207"/>
      <c r="Z129" s="207"/>
      <c r="AA129" s="207"/>
    </row>
    <row r="130">
      <c r="A130" s="203"/>
      <c r="B130" s="204"/>
      <c r="C130" s="204"/>
      <c r="D130" s="205"/>
      <c r="E130" s="212"/>
      <c r="F130" s="206"/>
      <c r="G130" s="167"/>
      <c r="H130" s="213"/>
      <c r="I130" s="167"/>
      <c r="J130" s="168"/>
      <c r="K130" s="169"/>
      <c r="L130" s="207"/>
      <c r="M130" s="207"/>
      <c r="N130" s="207"/>
      <c r="O130" s="207"/>
      <c r="P130" s="207"/>
      <c r="Q130" s="207"/>
      <c r="R130" s="207"/>
      <c r="S130" s="207"/>
      <c r="T130" s="207"/>
      <c r="U130" s="207"/>
      <c r="V130" s="207"/>
      <c r="W130" s="207"/>
      <c r="X130" s="207"/>
      <c r="Y130" s="207"/>
      <c r="Z130" s="207"/>
      <c r="AA130" s="207"/>
    </row>
    <row r="131">
      <c r="A131" s="203"/>
      <c r="B131" s="204"/>
      <c r="C131" s="204"/>
      <c r="D131" s="205"/>
      <c r="E131" s="212"/>
      <c r="F131" s="206"/>
      <c r="G131" s="167"/>
      <c r="H131" s="213"/>
      <c r="I131" s="167"/>
      <c r="J131" s="168"/>
      <c r="K131" s="169"/>
      <c r="L131" s="207"/>
      <c r="M131" s="207"/>
      <c r="N131" s="207"/>
      <c r="O131" s="207"/>
      <c r="P131" s="207"/>
      <c r="Q131" s="207"/>
      <c r="R131" s="207"/>
      <c r="S131" s="207"/>
      <c r="T131" s="207"/>
      <c r="U131" s="207"/>
      <c r="V131" s="207"/>
      <c r="W131" s="207"/>
      <c r="X131" s="207"/>
      <c r="Y131" s="207"/>
      <c r="Z131" s="207"/>
      <c r="AA131" s="207"/>
    </row>
    <row r="132">
      <c r="A132" s="203"/>
      <c r="B132" s="204"/>
      <c r="C132" s="204"/>
      <c r="D132" s="205"/>
      <c r="E132" s="212"/>
      <c r="F132" s="206"/>
      <c r="G132" s="167"/>
      <c r="H132" s="213"/>
      <c r="I132" s="167"/>
      <c r="J132" s="168"/>
      <c r="K132" s="169"/>
      <c r="L132" s="207"/>
      <c r="M132" s="207"/>
      <c r="N132" s="207"/>
      <c r="O132" s="207"/>
      <c r="P132" s="207"/>
      <c r="Q132" s="207"/>
      <c r="R132" s="207"/>
      <c r="S132" s="207"/>
      <c r="T132" s="207"/>
      <c r="U132" s="207"/>
      <c r="V132" s="207"/>
      <c r="W132" s="207"/>
      <c r="X132" s="207"/>
      <c r="Y132" s="207"/>
      <c r="Z132" s="207"/>
      <c r="AA132" s="207"/>
    </row>
    <row r="133">
      <c r="A133" s="203"/>
      <c r="B133" s="204"/>
      <c r="C133" s="204"/>
      <c r="D133" s="205"/>
      <c r="E133" s="212"/>
      <c r="F133" s="206"/>
      <c r="G133" s="167"/>
      <c r="H133" s="213"/>
      <c r="I133" s="167"/>
      <c r="J133" s="168"/>
      <c r="K133" s="169"/>
      <c r="L133" s="207"/>
      <c r="M133" s="207"/>
      <c r="N133" s="207"/>
      <c r="O133" s="207"/>
      <c r="P133" s="207"/>
      <c r="Q133" s="207"/>
      <c r="R133" s="207"/>
      <c r="S133" s="207"/>
      <c r="T133" s="207"/>
      <c r="U133" s="207"/>
      <c r="V133" s="207"/>
      <c r="W133" s="207"/>
      <c r="X133" s="207"/>
      <c r="Y133" s="207"/>
      <c r="Z133" s="207"/>
      <c r="AA133" s="207"/>
    </row>
    <row r="134">
      <c r="A134" s="203"/>
      <c r="B134" s="204"/>
      <c r="C134" s="204"/>
      <c r="D134" s="205"/>
      <c r="E134" s="212"/>
      <c r="F134" s="206"/>
      <c r="G134" s="167"/>
      <c r="H134" s="213"/>
      <c r="I134" s="167"/>
      <c r="J134" s="168"/>
      <c r="K134" s="169"/>
      <c r="L134" s="207"/>
      <c r="M134" s="207"/>
      <c r="N134" s="207"/>
      <c r="O134" s="207"/>
      <c r="P134" s="207"/>
      <c r="Q134" s="207"/>
      <c r="R134" s="207"/>
      <c r="S134" s="207"/>
      <c r="T134" s="207"/>
      <c r="U134" s="207"/>
      <c r="V134" s="207"/>
      <c r="W134" s="207"/>
      <c r="X134" s="207"/>
      <c r="Y134" s="207"/>
      <c r="Z134" s="207"/>
      <c r="AA134" s="207"/>
    </row>
    <row r="135">
      <c r="A135" s="203"/>
      <c r="B135" s="204"/>
      <c r="C135" s="204"/>
      <c r="D135" s="205"/>
      <c r="E135" s="212"/>
      <c r="F135" s="206"/>
      <c r="G135" s="167"/>
      <c r="H135" s="213"/>
      <c r="I135" s="167"/>
      <c r="J135" s="168"/>
      <c r="K135" s="169"/>
      <c r="L135" s="207"/>
      <c r="M135" s="207"/>
      <c r="N135" s="207"/>
      <c r="O135" s="207"/>
      <c r="P135" s="207"/>
      <c r="Q135" s="207"/>
      <c r="R135" s="207"/>
      <c r="S135" s="207"/>
      <c r="T135" s="207"/>
      <c r="U135" s="207"/>
      <c r="V135" s="207"/>
      <c r="W135" s="207"/>
      <c r="X135" s="207"/>
      <c r="Y135" s="207"/>
      <c r="Z135" s="207"/>
      <c r="AA135" s="207"/>
    </row>
    <row r="136">
      <c r="A136" s="203"/>
      <c r="B136" s="204"/>
      <c r="C136" s="204"/>
      <c r="D136" s="205"/>
      <c r="E136" s="212"/>
      <c r="F136" s="206"/>
      <c r="G136" s="167"/>
      <c r="H136" s="213"/>
      <c r="I136" s="167"/>
      <c r="J136" s="168"/>
      <c r="K136" s="169"/>
      <c r="L136" s="207"/>
      <c r="M136" s="207"/>
      <c r="N136" s="207"/>
      <c r="O136" s="207"/>
      <c r="P136" s="207"/>
      <c r="Q136" s="207"/>
      <c r="R136" s="207"/>
      <c r="S136" s="207"/>
      <c r="T136" s="207"/>
      <c r="U136" s="207"/>
      <c r="V136" s="207"/>
      <c r="W136" s="207"/>
      <c r="X136" s="207"/>
      <c r="Y136" s="207"/>
      <c r="Z136" s="207"/>
      <c r="AA136" s="207"/>
    </row>
    <row r="137">
      <c r="A137" s="203"/>
      <c r="B137" s="204"/>
      <c r="C137" s="204"/>
      <c r="D137" s="205"/>
      <c r="E137" s="212"/>
      <c r="F137" s="206"/>
      <c r="G137" s="167"/>
      <c r="H137" s="213"/>
      <c r="I137" s="167"/>
      <c r="J137" s="168"/>
      <c r="K137" s="169"/>
      <c r="L137" s="207"/>
      <c r="M137" s="207"/>
      <c r="N137" s="207"/>
      <c r="O137" s="207"/>
      <c r="P137" s="207"/>
      <c r="Q137" s="207"/>
      <c r="R137" s="207"/>
      <c r="S137" s="207"/>
      <c r="T137" s="207"/>
      <c r="U137" s="207"/>
      <c r="V137" s="207"/>
      <c r="W137" s="207"/>
      <c r="X137" s="207"/>
      <c r="Y137" s="207"/>
      <c r="Z137" s="207"/>
      <c r="AA137" s="207"/>
    </row>
    <row r="138">
      <c r="A138" s="203"/>
      <c r="B138" s="204"/>
      <c r="C138" s="204"/>
      <c r="D138" s="205"/>
      <c r="E138" s="212"/>
      <c r="F138" s="206"/>
      <c r="G138" s="167"/>
      <c r="H138" s="213"/>
      <c r="I138" s="167"/>
      <c r="J138" s="168"/>
      <c r="K138" s="169"/>
      <c r="L138" s="207"/>
      <c r="M138" s="207"/>
      <c r="N138" s="207"/>
      <c r="O138" s="207"/>
      <c r="P138" s="207"/>
      <c r="Q138" s="207"/>
      <c r="R138" s="207"/>
      <c r="S138" s="207"/>
      <c r="T138" s="207"/>
      <c r="U138" s="207"/>
      <c r="V138" s="207"/>
      <c r="W138" s="207"/>
      <c r="X138" s="207"/>
      <c r="Y138" s="207"/>
      <c r="Z138" s="207"/>
      <c r="AA138" s="207"/>
    </row>
    <row r="139">
      <c r="A139" s="203"/>
      <c r="B139" s="204"/>
      <c r="C139" s="204"/>
      <c r="D139" s="205"/>
      <c r="E139" s="212"/>
      <c r="F139" s="206"/>
      <c r="G139" s="167"/>
      <c r="H139" s="213"/>
      <c r="I139" s="167"/>
      <c r="J139" s="168"/>
      <c r="K139" s="169"/>
      <c r="L139" s="207"/>
      <c r="M139" s="207"/>
      <c r="N139" s="207"/>
      <c r="O139" s="207"/>
      <c r="P139" s="207"/>
      <c r="Q139" s="207"/>
      <c r="R139" s="207"/>
      <c r="S139" s="207"/>
      <c r="T139" s="207"/>
      <c r="U139" s="207"/>
      <c r="V139" s="207"/>
      <c r="W139" s="207"/>
      <c r="X139" s="207"/>
      <c r="Y139" s="207"/>
      <c r="Z139" s="207"/>
      <c r="AA139" s="207"/>
    </row>
    <row r="140">
      <c r="A140" s="203"/>
      <c r="B140" s="204"/>
      <c r="C140" s="204"/>
      <c r="D140" s="205"/>
      <c r="E140" s="212"/>
      <c r="F140" s="206"/>
      <c r="G140" s="167"/>
      <c r="H140" s="213"/>
      <c r="I140" s="167"/>
      <c r="J140" s="168"/>
      <c r="K140" s="169"/>
      <c r="L140" s="207"/>
      <c r="M140" s="207"/>
      <c r="N140" s="207"/>
      <c r="O140" s="207"/>
      <c r="P140" s="207"/>
      <c r="Q140" s="207"/>
      <c r="R140" s="207"/>
      <c r="S140" s="207"/>
      <c r="T140" s="207"/>
      <c r="U140" s="207"/>
      <c r="V140" s="207"/>
      <c r="W140" s="207"/>
      <c r="X140" s="207"/>
      <c r="Y140" s="207"/>
      <c r="Z140" s="207"/>
      <c r="AA140" s="207"/>
    </row>
    <row r="141">
      <c r="A141" s="203"/>
      <c r="B141" s="204"/>
      <c r="C141" s="204"/>
      <c r="D141" s="205"/>
      <c r="E141" s="212"/>
      <c r="F141" s="206"/>
      <c r="G141" s="167"/>
      <c r="H141" s="213"/>
      <c r="I141" s="167"/>
      <c r="J141" s="168"/>
      <c r="K141" s="169"/>
      <c r="L141" s="207"/>
      <c r="M141" s="207"/>
      <c r="N141" s="207"/>
      <c r="O141" s="207"/>
      <c r="P141" s="207"/>
      <c r="Q141" s="207"/>
      <c r="R141" s="207"/>
      <c r="S141" s="207"/>
      <c r="T141" s="207"/>
      <c r="U141" s="207"/>
      <c r="V141" s="207"/>
      <c r="W141" s="207"/>
      <c r="X141" s="207"/>
      <c r="Y141" s="207"/>
      <c r="Z141" s="207"/>
      <c r="AA141" s="207"/>
    </row>
    <row r="142">
      <c r="A142" s="203"/>
      <c r="B142" s="204"/>
      <c r="C142" s="204"/>
      <c r="D142" s="205"/>
      <c r="E142" s="212"/>
      <c r="F142" s="206"/>
      <c r="G142" s="167"/>
      <c r="H142" s="213"/>
      <c r="I142" s="167"/>
      <c r="J142" s="168"/>
      <c r="K142" s="169"/>
      <c r="L142" s="207"/>
      <c r="M142" s="207"/>
      <c r="N142" s="207"/>
      <c r="O142" s="207"/>
      <c r="P142" s="207"/>
      <c r="Q142" s="207"/>
      <c r="R142" s="207"/>
      <c r="S142" s="207"/>
      <c r="T142" s="207"/>
      <c r="U142" s="207"/>
      <c r="V142" s="207"/>
      <c r="W142" s="207"/>
      <c r="X142" s="207"/>
      <c r="Y142" s="207"/>
      <c r="Z142" s="207"/>
      <c r="AA142" s="207"/>
    </row>
    <row r="143">
      <c r="A143" s="203"/>
      <c r="B143" s="204"/>
      <c r="C143" s="204"/>
      <c r="D143" s="205"/>
      <c r="E143" s="212"/>
      <c r="F143" s="206"/>
      <c r="G143" s="167"/>
      <c r="H143" s="213"/>
      <c r="I143" s="167"/>
      <c r="J143" s="168"/>
      <c r="K143" s="169"/>
      <c r="L143" s="207"/>
      <c r="M143" s="207"/>
      <c r="N143" s="207"/>
      <c r="O143" s="207"/>
      <c r="P143" s="207"/>
      <c r="Q143" s="207"/>
      <c r="R143" s="207"/>
      <c r="S143" s="207"/>
      <c r="T143" s="207"/>
      <c r="U143" s="207"/>
      <c r="V143" s="207"/>
      <c r="W143" s="207"/>
      <c r="X143" s="207"/>
      <c r="Y143" s="207"/>
      <c r="Z143" s="207"/>
      <c r="AA143" s="207"/>
    </row>
    <row r="144">
      <c r="A144" s="203"/>
      <c r="B144" s="204"/>
      <c r="C144" s="204"/>
      <c r="D144" s="205"/>
      <c r="E144" s="212"/>
      <c r="F144" s="206"/>
      <c r="G144" s="167"/>
      <c r="H144" s="213"/>
      <c r="I144" s="167"/>
      <c r="J144" s="168"/>
      <c r="K144" s="169"/>
      <c r="L144" s="207"/>
      <c r="M144" s="207"/>
      <c r="N144" s="207"/>
      <c r="O144" s="207"/>
      <c r="P144" s="207"/>
      <c r="Q144" s="207"/>
      <c r="R144" s="207"/>
      <c r="S144" s="207"/>
      <c r="T144" s="207"/>
      <c r="U144" s="207"/>
      <c r="V144" s="207"/>
      <c r="W144" s="207"/>
      <c r="X144" s="207"/>
      <c r="Y144" s="207"/>
      <c r="Z144" s="207"/>
      <c r="AA144" s="207"/>
    </row>
    <row r="145">
      <c r="A145" s="203"/>
      <c r="B145" s="204"/>
      <c r="C145" s="204"/>
      <c r="D145" s="205"/>
      <c r="E145" s="212"/>
      <c r="F145" s="206"/>
      <c r="G145" s="167"/>
      <c r="H145" s="213"/>
      <c r="I145" s="167"/>
      <c r="J145" s="168"/>
      <c r="K145" s="169"/>
      <c r="L145" s="207"/>
      <c r="M145" s="207"/>
      <c r="N145" s="207"/>
      <c r="O145" s="207"/>
      <c r="P145" s="207"/>
      <c r="Q145" s="207"/>
      <c r="R145" s="207"/>
      <c r="S145" s="207"/>
      <c r="T145" s="207"/>
      <c r="U145" s="207"/>
      <c r="V145" s="207"/>
      <c r="W145" s="207"/>
      <c r="X145" s="207"/>
      <c r="Y145" s="207"/>
      <c r="Z145" s="207"/>
      <c r="AA145" s="207"/>
    </row>
    <row r="146">
      <c r="A146" s="203"/>
      <c r="B146" s="204"/>
      <c r="C146" s="204"/>
      <c r="D146" s="205"/>
      <c r="E146" s="212"/>
      <c r="F146" s="206"/>
      <c r="G146" s="167"/>
      <c r="H146" s="213"/>
      <c r="I146" s="167"/>
      <c r="J146" s="168"/>
      <c r="K146" s="169"/>
      <c r="L146" s="207"/>
      <c r="M146" s="207"/>
      <c r="N146" s="207"/>
      <c r="O146" s="207"/>
      <c r="P146" s="207"/>
      <c r="Q146" s="207"/>
      <c r="R146" s="207"/>
      <c r="S146" s="207"/>
      <c r="T146" s="207"/>
      <c r="U146" s="207"/>
      <c r="V146" s="207"/>
      <c r="W146" s="207"/>
      <c r="X146" s="207"/>
      <c r="Y146" s="207"/>
      <c r="Z146" s="207"/>
      <c r="AA146" s="207"/>
    </row>
    <row r="147">
      <c r="A147" s="203"/>
      <c r="B147" s="204"/>
      <c r="C147" s="204"/>
      <c r="D147" s="205"/>
      <c r="E147" s="212"/>
      <c r="F147" s="206"/>
      <c r="G147" s="167"/>
      <c r="H147" s="213"/>
      <c r="I147" s="167"/>
      <c r="J147" s="168"/>
      <c r="K147" s="169"/>
      <c r="L147" s="207"/>
      <c r="M147" s="207"/>
      <c r="N147" s="207"/>
      <c r="O147" s="207"/>
      <c r="P147" s="207"/>
      <c r="Q147" s="207"/>
      <c r="R147" s="207"/>
      <c r="S147" s="207"/>
      <c r="T147" s="207"/>
      <c r="U147" s="207"/>
      <c r="V147" s="207"/>
      <c r="W147" s="207"/>
      <c r="X147" s="207"/>
      <c r="Y147" s="207"/>
      <c r="Z147" s="207"/>
      <c r="AA147" s="207"/>
    </row>
    <row r="148">
      <c r="A148" s="203"/>
      <c r="B148" s="204"/>
      <c r="C148" s="204"/>
      <c r="D148" s="205"/>
      <c r="E148" s="212"/>
      <c r="F148" s="206"/>
      <c r="G148" s="167"/>
      <c r="H148" s="213"/>
      <c r="I148" s="167"/>
      <c r="J148" s="168"/>
      <c r="K148" s="169"/>
      <c r="L148" s="207"/>
      <c r="M148" s="207"/>
      <c r="N148" s="207"/>
      <c r="O148" s="207"/>
      <c r="P148" s="207"/>
      <c r="Q148" s="207"/>
      <c r="R148" s="207"/>
      <c r="S148" s="207"/>
      <c r="T148" s="207"/>
      <c r="U148" s="207"/>
      <c r="V148" s="207"/>
      <c r="W148" s="207"/>
      <c r="X148" s="207"/>
      <c r="Y148" s="207"/>
      <c r="Z148" s="207"/>
      <c r="AA148" s="207"/>
    </row>
    <row r="149">
      <c r="A149" s="203"/>
      <c r="B149" s="204"/>
      <c r="C149" s="204"/>
      <c r="D149" s="205"/>
      <c r="E149" s="212"/>
      <c r="F149" s="206"/>
      <c r="G149" s="167"/>
      <c r="H149" s="213"/>
      <c r="I149" s="167"/>
      <c r="J149" s="168"/>
      <c r="K149" s="169"/>
      <c r="L149" s="207"/>
      <c r="M149" s="207"/>
      <c r="N149" s="207"/>
      <c r="O149" s="207"/>
      <c r="P149" s="207"/>
      <c r="Q149" s="207"/>
      <c r="R149" s="207"/>
      <c r="S149" s="207"/>
      <c r="T149" s="207"/>
      <c r="U149" s="207"/>
      <c r="V149" s="207"/>
      <c r="W149" s="207"/>
      <c r="X149" s="207"/>
      <c r="Y149" s="207"/>
      <c r="Z149" s="207"/>
      <c r="AA149" s="207"/>
    </row>
    <row r="150">
      <c r="A150" s="203"/>
      <c r="B150" s="204"/>
      <c r="C150" s="204"/>
      <c r="D150" s="205"/>
      <c r="E150" s="212"/>
      <c r="F150" s="206"/>
      <c r="G150" s="167"/>
      <c r="H150" s="213"/>
      <c r="I150" s="167"/>
      <c r="J150" s="168"/>
      <c r="K150" s="169"/>
      <c r="L150" s="207"/>
      <c r="M150" s="207"/>
      <c r="N150" s="207"/>
      <c r="O150" s="207"/>
      <c r="P150" s="207"/>
      <c r="Q150" s="207"/>
      <c r="R150" s="207"/>
      <c r="S150" s="207"/>
      <c r="T150" s="207"/>
      <c r="U150" s="207"/>
      <c r="V150" s="207"/>
      <c r="W150" s="207"/>
      <c r="X150" s="207"/>
      <c r="Y150" s="207"/>
      <c r="Z150" s="207"/>
      <c r="AA150" s="207"/>
    </row>
    <row r="151">
      <c r="A151" s="203"/>
      <c r="B151" s="204"/>
      <c r="C151" s="204"/>
      <c r="D151" s="205"/>
      <c r="E151" s="212"/>
      <c r="F151" s="206"/>
      <c r="G151" s="167"/>
      <c r="H151" s="213"/>
      <c r="I151" s="167"/>
      <c r="J151" s="168"/>
      <c r="K151" s="169"/>
      <c r="L151" s="207"/>
      <c r="M151" s="207"/>
      <c r="N151" s="207"/>
      <c r="O151" s="207"/>
      <c r="P151" s="207"/>
      <c r="Q151" s="207"/>
      <c r="R151" s="207"/>
      <c r="S151" s="207"/>
      <c r="T151" s="207"/>
      <c r="U151" s="207"/>
      <c r="V151" s="207"/>
      <c r="W151" s="207"/>
      <c r="X151" s="207"/>
      <c r="Y151" s="207"/>
      <c r="Z151" s="207"/>
      <c r="AA151" s="207"/>
    </row>
    <row r="152">
      <c r="A152" s="203"/>
      <c r="B152" s="204"/>
      <c r="C152" s="204"/>
      <c r="D152" s="205"/>
      <c r="E152" s="212"/>
      <c r="F152" s="206"/>
      <c r="G152" s="167"/>
      <c r="H152" s="213"/>
      <c r="I152" s="167"/>
      <c r="J152" s="168"/>
      <c r="K152" s="169"/>
      <c r="L152" s="207"/>
      <c r="M152" s="207"/>
      <c r="N152" s="207"/>
      <c r="O152" s="207"/>
      <c r="P152" s="207"/>
      <c r="Q152" s="207"/>
      <c r="R152" s="207"/>
      <c r="S152" s="207"/>
      <c r="T152" s="207"/>
      <c r="U152" s="207"/>
      <c r="V152" s="207"/>
      <c r="W152" s="207"/>
      <c r="X152" s="207"/>
      <c r="Y152" s="207"/>
      <c r="Z152" s="207"/>
      <c r="AA152" s="207"/>
    </row>
    <row r="153">
      <c r="A153" s="203"/>
      <c r="B153" s="204"/>
      <c r="C153" s="204"/>
      <c r="D153" s="205"/>
      <c r="E153" s="212"/>
      <c r="F153" s="206"/>
      <c r="G153" s="167"/>
      <c r="H153" s="213"/>
      <c r="I153" s="167"/>
      <c r="J153" s="168"/>
      <c r="K153" s="169"/>
      <c r="L153" s="207"/>
      <c r="M153" s="207"/>
      <c r="N153" s="207"/>
      <c r="O153" s="207"/>
      <c r="P153" s="207"/>
      <c r="Q153" s="207"/>
      <c r="R153" s="207"/>
      <c r="S153" s="207"/>
      <c r="T153" s="207"/>
      <c r="U153" s="207"/>
      <c r="V153" s="207"/>
      <c r="W153" s="207"/>
      <c r="X153" s="207"/>
      <c r="Y153" s="207"/>
      <c r="Z153" s="207"/>
      <c r="AA153" s="207"/>
    </row>
    <row r="154">
      <c r="A154" s="203"/>
      <c r="B154" s="204"/>
      <c r="C154" s="204"/>
      <c r="D154" s="205"/>
      <c r="E154" s="212"/>
      <c r="F154" s="206"/>
      <c r="G154" s="167"/>
      <c r="H154" s="213"/>
      <c r="I154" s="167"/>
      <c r="J154" s="168"/>
      <c r="K154" s="169"/>
      <c r="L154" s="207"/>
      <c r="M154" s="207"/>
      <c r="N154" s="207"/>
      <c r="O154" s="207"/>
      <c r="P154" s="207"/>
      <c r="Q154" s="207"/>
      <c r="R154" s="207"/>
      <c r="S154" s="207"/>
      <c r="T154" s="207"/>
      <c r="U154" s="207"/>
      <c r="V154" s="207"/>
      <c r="W154" s="207"/>
      <c r="X154" s="207"/>
      <c r="Y154" s="207"/>
      <c r="Z154" s="207"/>
      <c r="AA154" s="207"/>
    </row>
    <row r="155">
      <c r="A155" s="203"/>
      <c r="B155" s="204"/>
      <c r="C155" s="204"/>
      <c r="D155" s="205"/>
      <c r="E155" s="212"/>
      <c r="F155" s="206"/>
      <c r="G155" s="167"/>
      <c r="H155" s="213"/>
      <c r="I155" s="167"/>
      <c r="J155" s="168"/>
      <c r="K155" s="169"/>
      <c r="L155" s="207"/>
      <c r="M155" s="207"/>
      <c r="N155" s="207"/>
      <c r="O155" s="207"/>
      <c r="P155" s="207"/>
      <c r="Q155" s="207"/>
      <c r="R155" s="207"/>
      <c r="S155" s="207"/>
      <c r="T155" s="207"/>
      <c r="U155" s="207"/>
      <c r="V155" s="207"/>
      <c r="W155" s="207"/>
      <c r="X155" s="207"/>
      <c r="Y155" s="207"/>
      <c r="Z155" s="207"/>
      <c r="AA155" s="207"/>
    </row>
    <row r="156">
      <c r="A156" s="203"/>
      <c r="B156" s="204"/>
      <c r="C156" s="204"/>
      <c r="D156" s="205"/>
      <c r="E156" s="212"/>
      <c r="F156" s="206"/>
      <c r="G156" s="167"/>
      <c r="H156" s="213"/>
      <c r="I156" s="167"/>
      <c r="J156" s="168"/>
      <c r="K156" s="169"/>
      <c r="L156" s="207"/>
      <c r="M156" s="207"/>
      <c r="N156" s="207"/>
      <c r="O156" s="207"/>
      <c r="P156" s="207"/>
      <c r="Q156" s="207"/>
      <c r="R156" s="207"/>
      <c r="S156" s="207"/>
      <c r="T156" s="207"/>
      <c r="U156" s="207"/>
      <c r="V156" s="207"/>
      <c r="W156" s="207"/>
      <c r="X156" s="207"/>
      <c r="Y156" s="207"/>
      <c r="Z156" s="207"/>
      <c r="AA156" s="207"/>
    </row>
    <row r="157">
      <c r="A157" s="203"/>
      <c r="B157" s="204"/>
      <c r="C157" s="204"/>
      <c r="D157" s="205"/>
      <c r="E157" s="212"/>
      <c r="F157" s="206"/>
      <c r="G157" s="167"/>
      <c r="H157" s="213"/>
      <c r="I157" s="167"/>
      <c r="J157" s="168"/>
      <c r="K157" s="169"/>
      <c r="L157" s="207"/>
      <c r="M157" s="207"/>
      <c r="N157" s="207"/>
      <c r="O157" s="207"/>
      <c r="P157" s="207"/>
      <c r="Q157" s="207"/>
      <c r="R157" s="207"/>
      <c r="S157" s="207"/>
      <c r="T157" s="207"/>
      <c r="U157" s="207"/>
      <c r="V157" s="207"/>
      <c r="W157" s="207"/>
      <c r="X157" s="207"/>
      <c r="Y157" s="207"/>
      <c r="Z157" s="207"/>
      <c r="AA157" s="207"/>
    </row>
    <row r="158">
      <c r="A158" s="203"/>
      <c r="B158" s="204"/>
      <c r="C158" s="204"/>
      <c r="D158" s="205"/>
      <c r="E158" s="212"/>
      <c r="F158" s="206"/>
      <c r="G158" s="167"/>
      <c r="H158" s="213"/>
      <c r="I158" s="167"/>
      <c r="J158" s="168"/>
      <c r="K158" s="169"/>
      <c r="L158" s="207"/>
      <c r="M158" s="207"/>
      <c r="N158" s="207"/>
      <c r="O158" s="207"/>
      <c r="P158" s="207"/>
      <c r="Q158" s="207"/>
      <c r="R158" s="207"/>
      <c r="S158" s="207"/>
      <c r="T158" s="207"/>
      <c r="U158" s="207"/>
      <c r="V158" s="207"/>
      <c r="W158" s="207"/>
      <c r="X158" s="207"/>
      <c r="Y158" s="207"/>
      <c r="Z158" s="207"/>
      <c r="AA158" s="207"/>
    </row>
    <row r="159">
      <c r="A159" s="203"/>
      <c r="B159" s="204"/>
      <c r="C159" s="204"/>
      <c r="D159" s="205"/>
      <c r="E159" s="212"/>
      <c r="F159" s="206"/>
      <c r="G159" s="167"/>
      <c r="H159" s="213"/>
      <c r="I159" s="167"/>
      <c r="J159" s="168"/>
      <c r="K159" s="169"/>
      <c r="L159" s="207"/>
      <c r="M159" s="207"/>
      <c r="N159" s="207"/>
      <c r="O159" s="207"/>
      <c r="P159" s="207"/>
      <c r="Q159" s="207"/>
      <c r="R159" s="207"/>
      <c r="S159" s="207"/>
      <c r="T159" s="207"/>
      <c r="U159" s="207"/>
      <c r="V159" s="207"/>
      <c r="W159" s="207"/>
      <c r="X159" s="207"/>
      <c r="Y159" s="207"/>
      <c r="Z159" s="207"/>
      <c r="AA159" s="207"/>
    </row>
    <row r="160">
      <c r="A160" s="203"/>
      <c r="B160" s="204"/>
      <c r="C160" s="204"/>
      <c r="D160" s="205"/>
      <c r="E160" s="212"/>
      <c r="F160" s="206"/>
      <c r="G160" s="167"/>
      <c r="H160" s="213"/>
      <c r="I160" s="167"/>
      <c r="J160" s="168"/>
      <c r="K160" s="169"/>
      <c r="L160" s="207"/>
      <c r="M160" s="207"/>
      <c r="N160" s="207"/>
      <c r="O160" s="207"/>
      <c r="P160" s="207"/>
      <c r="Q160" s="207"/>
      <c r="R160" s="207"/>
      <c r="S160" s="207"/>
      <c r="T160" s="207"/>
      <c r="U160" s="207"/>
      <c r="V160" s="207"/>
      <c r="W160" s="207"/>
      <c r="X160" s="207"/>
      <c r="Y160" s="207"/>
      <c r="Z160" s="207"/>
      <c r="AA160" s="207"/>
    </row>
    <row r="161">
      <c r="A161" s="203"/>
      <c r="B161" s="204"/>
      <c r="C161" s="204"/>
      <c r="D161" s="205"/>
      <c r="E161" s="212"/>
      <c r="F161" s="206"/>
      <c r="G161" s="167"/>
      <c r="H161" s="213"/>
      <c r="I161" s="167"/>
      <c r="J161" s="168"/>
      <c r="K161" s="169"/>
      <c r="L161" s="207"/>
      <c r="M161" s="207"/>
      <c r="N161" s="207"/>
      <c r="O161" s="207"/>
      <c r="P161" s="207"/>
      <c r="Q161" s="207"/>
      <c r="R161" s="207"/>
      <c r="S161" s="207"/>
      <c r="T161" s="207"/>
      <c r="U161" s="207"/>
      <c r="V161" s="207"/>
      <c r="W161" s="207"/>
      <c r="X161" s="207"/>
      <c r="Y161" s="207"/>
      <c r="Z161" s="207"/>
      <c r="AA161" s="207"/>
    </row>
    <row r="162">
      <c r="A162" s="203"/>
      <c r="B162" s="204"/>
      <c r="C162" s="204"/>
      <c r="D162" s="205"/>
      <c r="E162" s="212"/>
      <c r="F162" s="206"/>
      <c r="G162" s="167"/>
      <c r="H162" s="213"/>
      <c r="I162" s="167"/>
      <c r="J162" s="168"/>
      <c r="K162" s="169"/>
      <c r="L162" s="207"/>
      <c r="M162" s="207"/>
      <c r="N162" s="207"/>
      <c r="O162" s="207"/>
      <c r="P162" s="207"/>
      <c r="Q162" s="207"/>
      <c r="R162" s="207"/>
      <c r="S162" s="207"/>
      <c r="T162" s="207"/>
      <c r="U162" s="207"/>
      <c r="V162" s="207"/>
      <c r="W162" s="207"/>
      <c r="X162" s="207"/>
      <c r="Y162" s="207"/>
      <c r="Z162" s="207"/>
      <c r="AA162" s="207"/>
    </row>
    <row r="163">
      <c r="A163" s="203"/>
      <c r="B163" s="204"/>
      <c r="C163" s="204"/>
      <c r="D163" s="205"/>
      <c r="E163" s="212"/>
      <c r="F163" s="206"/>
      <c r="G163" s="167"/>
      <c r="H163" s="213"/>
      <c r="I163" s="167"/>
      <c r="J163" s="168"/>
      <c r="K163" s="169"/>
      <c r="L163" s="207"/>
      <c r="M163" s="207"/>
      <c r="N163" s="207"/>
      <c r="O163" s="207"/>
      <c r="P163" s="207"/>
      <c r="Q163" s="207"/>
      <c r="R163" s="207"/>
      <c r="S163" s="207"/>
      <c r="T163" s="207"/>
      <c r="U163" s="207"/>
      <c r="V163" s="207"/>
      <c r="W163" s="207"/>
      <c r="X163" s="207"/>
      <c r="Y163" s="207"/>
      <c r="Z163" s="207"/>
      <c r="AA163" s="207"/>
    </row>
    <row r="164">
      <c r="A164" s="203"/>
      <c r="B164" s="204"/>
      <c r="C164" s="204"/>
      <c r="D164" s="205"/>
      <c r="E164" s="212"/>
      <c r="F164" s="206"/>
      <c r="G164" s="167"/>
      <c r="H164" s="213"/>
      <c r="I164" s="167"/>
      <c r="J164" s="168"/>
      <c r="K164" s="169"/>
      <c r="L164" s="207"/>
      <c r="M164" s="207"/>
      <c r="N164" s="207"/>
      <c r="O164" s="207"/>
      <c r="P164" s="207"/>
      <c r="Q164" s="207"/>
      <c r="R164" s="207"/>
      <c r="S164" s="207"/>
      <c r="T164" s="207"/>
      <c r="U164" s="207"/>
      <c r="V164" s="207"/>
      <c r="W164" s="207"/>
      <c r="X164" s="207"/>
      <c r="Y164" s="207"/>
      <c r="Z164" s="207"/>
      <c r="AA164" s="207"/>
    </row>
    <row r="165">
      <c r="A165" s="203"/>
      <c r="B165" s="204"/>
      <c r="C165" s="204"/>
      <c r="D165" s="205"/>
      <c r="E165" s="212"/>
      <c r="F165" s="206"/>
      <c r="G165" s="167"/>
      <c r="H165" s="213"/>
      <c r="I165" s="167"/>
      <c r="J165" s="168"/>
      <c r="K165" s="169"/>
      <c r="L165" s="207"/>
      <c r="M165" s="207"/>
      <c r="N165" s="207"/>
      <c r="O165" s="207"/>
      <c r="P165" s="207"/>
      <c r="Q165" s="207"/>
      <c r="R165" s="207"/>
      <c r="S165" s="207"/>
      <c r="T165" s="207"/>
      <c r="U165" s="207"/>
      <c r="V165" s="207"/>
      <c r="W165" s="207"/>
      <c r="X165" s="207"/>
      <c r="Y165" s="207"/>
      <c r="Z165" s="207"/>
      <c r="AA165" s="207"/>
    </row>
    <row r="166">
      <c r="A166" s="203"/>
      <c r="B166" s="204"/>
      <c r="C166" s="204"/>
      <c r="D166" s="205"/>
      <c r="E166" s="212"/>
      <c r="F166" s="206"/>
      <c r="G166" s="167"/>
      <c r="H166" s="213"/>
      <c r="I166" s="167"/>
      <c r="J166" s="168"/>
      <c r="K166" s="169"/>
      <c r="L166" s="207"/>
      <c r="M166" s="207"/>
      <c r="N166" s="207"/>
      <c r="O166" s="207"/>
      <c r="P166" s="207"/>
      <c r="Q166" s="207"/>
      <c r="R166" s="207"/>
      <c r="S166" s="207"/>
      <c r="T166" s="207"/>
      <c r="U166" s="207"/>
      <c r="V166" s="207"/>
      <c r="W166" s="207"/>
      <c r="X166" s="207"/>
      <c r="Y166" s="207"/>
      <c r="Z166" s="207"/>
      <c r="AA166" s="207"/>
    </row>
    <row r="167">
      <c r="A167" s="203"/>
      <c r="B167" s="204"/>
      <c r="C167" s="204"/>
      <c r="D167" s="205"/>
      <c r="E167" s="212"/>
      <c r="F167" s="206"/>
      <c r="G167" s="167"/>
      <c r="H167" s="213"/>
      <c r="I167" s="167"/>
      <c r="J167" s="168"/>
      <c r="K167" s="169"/>
      <c r="L167" s="207"/>
      <c r="M167" s="207"/>
      <c r="N167" s="207"/>
      <c r="O167" s="207"/>
      <c r="P167" s="207"/>
      <c r="Q167" s="207"/>
      <c r="R167" s="207"/>
      <c r="S167" s="207"/>
      <c r="T167" s="207"/>
      <c r="U167" s="207"/>
      <c r="V167" s="207"/>
      <c r="W167" s="207"/>
      <c r="X167" s="207"/>
      <c r="Y167" s="207"/>
      <c r="Z167" s="207"/>
      <c r="AA167" s="207"/>
    </row>
    <row r="168">
      <c r="A168" s="203"/>
      <c r="B168" s="204"/>
      <c r="C168" s="204"/>
      <c r="D168" s="205"/>
      <c r="E168" s="212"/>
      <c r="F168" s="206"/>
      <c r="G168" s="167"/>
      <c r="H168" s="213"/>
      <c r="I168" s="167"/>
      <c r="J168" s="168"/>
      <c r="K168" s="169"/>
      <c r="L168" s="207"/>
      <c r="M168" s="207"/>
      <c r="N168" s="207"/>
      <c r="O168" s="207"/>
      <c r="P168" s="207"/>
      <c r="Q168" s="207"/>
      <c r="R168" s="207"/>
      <c r="S168" s="207"/>
      <c r="T168" s="207"/>
      <c r="U168" s="207"/>
      <c r="V168" s="207"/>
      <c r="W168" s="207"/>
      <c r="X168" s="207"/>
      <c r="Y168" s="207"/>
      <c r="Z168" s="207"/>
      <c r="AA168" s="207"/>
    </row>
    <row r="169">
      <c r="A169" s="203"/>
      <c r="B169" s="204"/>
      <c r="C169" s="204"/>
      <c r="D169" s="205"/>
      <c r="E169" s="212"/>
      <c r="F169" s="206"/>
      <c r="G169" s="167"/>
      <c r="H169" s="213"/>
      <c r="I169" s="167"/>
      <c r="J169" s="168"/>
      <c r="K169" s="169"/>
      <c r="L169" s="207"/>
      <c r="M169" s="207"/>
      <c r="N169" s="207"/>
      <c r="O169" s="207"/>
      <c r="P169" s="207"/>
      <c r="Q169" s="207"/>
      <c r="R169" s="207"/>
      <c r="S169" s="207"/>
      <c r="T169" s="207"/>
      <c r="U169" s="207"/>
      <c r="V169" s="207"/>
      <c r="W169" s="207"/>
      <c r="X169" s="207"/>
      <c r="Y169" s="207"/>
      <c r="Z169" s="207"/>
      <c r="AA169" s="207"/>
    </row>
    <row r="170">
      <c r="A170" s="203"/>
      <c r="B170" s="204"/>
      <c r="C170" s="204"/>
      <c r="D170" s="205"/>
      <c r="E170" s="212"/>
      <c r="F170" s="206"/>
      <c r="G170" s="167"/>
      <c r="H170" s="213"/>
      <c r="I170" s="167"/>
      <c r="J170" s="168"/>
      <c r="K170" s="169"/>
      <c r="L170" s="207"/>
      <c r="M170" s="207"/>
      <c r="N170" s="207"/>
      <c r="O170" s="207"/>
      <c r="P170" s="207"/>
      <c r="Q170" s="207"/>
      <c r="R170" s="207"/>
      <c r="S170" s="207"/>
      <c r="T170" s="207"/>
      <c r="U170" s="207"/>
      <c r="V170" s="207"/>
      <c r="W170" s="207"/>
      <c r="X170" s="207"/>
      <c r="Y170" s="207"/>
      <c r="Z170" s="207"/>
      <c r="AA170" s="207"/>
    </row>
    <row r="171">
      <c r="A171" s="203"/>
      <c r="B171" s="204"/>
      <c r="C171" s="204"/>
      <c r="D171" s="205"/>
      <c r="E171" s="212"/>
      <c r="F171" s="206"/>
      <c r="G171" s="167"/>
      <c r="H171" s="213"/>
      <c r="I171" s="167"/>
      <c r="J171" s="168"/>
      <c r="K171" s="169"/>
      <c r="L171" s="207"/>
      <c r="M171" s="207"/>
      <c r="N171" s="207"/>
      <c r="O171" s="207"/>
      <c r="P171" s="207"/>
      <c r="Q171" s="207"/>
      <c r="R171" s="207"/>
      <c r="S171" s="207"/>
      <c r="T171" s="207"/>
      <c r="U171" s="207"/>
      <c r="V171" s="207"/>
      <c r="W171" s="207"/>
      <c r="X171" s="207"/>
      <c r="Y171" s="207"/>
      <c r="Z171" s="207"/>
      <c r="AA171" s="207"/>
    </row>
    <row r="172">
      <c r="A172" s="203"/>
      <c r="B172" s="204"/>
      <c r="C172" s="204"/>
      <c r="D172" s="205"/>
      <c r="E172" s="212"/>
      <c r="F172" s="206"/>
      <c r="G172" s="167"/>
      <c r="H172" s="213"/>
      <c r="I172" s="167"/>
      <c r="J172" s="168"/>
      <c r="K172" s="169"/>
      <c r="L172" s="207"/>
      <c r="M172" s="207"/>
      <c r="N172" s="207"/>
      <c r="O172" s="207"/>
      <c r="P172" s="207"/>
      <c r="Q172" s="207"/>
      <c r="R172" s="207"/>
      <c r="S172" s="207"/>
      <c r="T172" s="207"/>
      <c r="U172" s="207"/>
      <c r="V172" s="207"/>
      <c r="W172" s="207"/>
      <c r="X172" s="207"/>
      <c r="Y172" s="207"/>
      <c r="Z172" s="207"/>
      <c r="AA172" s="207"/>
    </row>
    <row r="173">
      <c r="A173" s="203"/>
      <c r="B173" s="204"/>
      <c r="C173" s="204"/>
      <c r="D173" s="205"/>
      <c r="E173" s="212"/>
      <c r="F173" s="206"/>
      <c r="G173" s="167"/>
      <c r="H173" s="213"/>
      <c r="I173" s="167"/>
      <c r="J173" s="168"/>
      <c r="K173" s="169"/>
      <c r="L173" s="207"/>
      <c r="M173" s="207"/>
      <c r="N173" s="207"/>
      <c r="O173" s="207"/>
      <c r="P173" s="207"/>
      <c r="Q173" s="207"/>
      <c r="R173" s="207"/>
      <c r="S173" s="207"/>
      <c r="T173" s="207"/>
      <c r="U173" s="207"/>
      <c r="V173" s="207"/>
      <c r="W173" s="207"/>
      <c r="X173" s="207"/>
      <c r="Y173" s="207"/>
      <c r="Z173" s="207"/>
      <c r="AA173" s="207"/>
    </row>
    <row r="174">
      <c r="A174" s="203"/>
      <c r="B174" s="204"/>
      <c r="C174" s="204"/>
      <c r="D174" s="205"/>
      <c r="E174" s="212"/>
      <c r="F174" s="206"/>
      <c r="G174" s="167"/>
      <c r="H174" s="213"/>
      <c r="I174" s="167"/>
      <c r="J174" s="168"/>
      <c r="K174" s="169"/>
      <c r="L174" s="207"/>
      <c r="M174" s="207"/>
      <c r="N174" s="207"/>
      <c r="O174" s="207"/>
      <c r="P174" s="207"/>
      <c r="Q174" s="207"/>
      <c r="R174" s="207"/>
      <c r="S174" s="207"/>
      <c r="T174" s="207"/>
      <c r="U174" s="207"/>
      <c r="V174" s="207"/>
      <c r="W174" s="207"/>
      <c r="X174" s="207"/>
      <c r="Y174" s="207"/>
      <c r="Z174" s="207"/>
      <c r="AA174" s="207"/>
    </row>
    <row r="175">
      <c r="A175" s="203"/>
      <c r="B175" s="204"/>
      <c r="C175" s="204"/>
      <c r="D175" s="205"/>
      <c r="E175" s="212"/>
      <c r="F175" s="206"/>
      <c r="G175" s="167"/>
      <c r="H175" s="213"/>
      <c r="I175" s="167"/>
      <c r="J175" s="168"/>
      <c r="K175" s="169"/>
      <c r="L175" s="207"/>
      <c r="M175" s="207"/>
      <c r="N175" s="207"/>
      <c r="O175" s="207"/>
      <c r="P175" s="207"/>
      <c r="Q175" s="207"/>
      <c r="R175" s="207"/>
      <c r="S175" s="207"/>
      <c r="T175" s="207"/>
      <c r="U175" s="207"/>
      <c r="V175" s="207"/>
      <c r="W175" s="207"/>
      <c r="X175" s="207"/>
      <c r="Y175" s="207"/>
      <c r="Z175" s="207"/>
      <c r="AA175" s="207"/>
    </row>
    <row r="176">
      <c r="A176" s="203"/>
      <c r="B176" s="204"/>
      <c r="C176" s="204"/>
      <c r="D176" s="205"/>
      <c r="E176" s="212"/>
      <c r="F176" s="206"/>
      <c r="G176" s="167"/>
      <c r="H176" s="213"/>
      <c r="I176" s="167"/>
      <c r="J176" s="168"/>
      <c r="K176" s="169"/>
      <c r="L176" s="207"/>
      <c r="M176" s="207"/>
      <c r="N176" s="207"/>
      <c r="O176" s="207"/>
      <c r="P176" s="207"/>
      <c r="Q176" s="207"/>
      <c r="R176" s="207"/>
      <c r="S176" s="207"/>
      <c r="T176" s="207"/>
      <c r="U176" s="207"/>
      <c r="V176" s="207"/>
      <c r="W176" s="207"/>
      <c r="X176" s="207"/>
      <c r="Y176" s="207"/>
      <c r="Z176" s="207"/>
      <c r="AA176" s="207"/>
    </row>
    <row r="177">
      <c r="A177" s="203"/>
      <c r="B177" s="204"/>
      <c r="C177" s="204"/>
      <c r="D177" s="205"/>
      <c r="E177" s="212"/>
      <c r="F177" s="206"/>
      <c r="G177" s="167"/>
      <c r="H177" s="213"/>
      <c r="I177" s="167"/>
      <c r="J177" s="168"/>
      <c r="K177" s="169"/>
      <c r="L177" s="207"/>
      <c r="M177" s="207"/>
      <c r="N177" s="207"/>
      <c r="O177" s="207"/>
      <c r="P177" s="207"/>
      <c r="Q177" s="207"/>
      <c r="R177" s="207"/>
      <c r="S177" s="207"/>
      <c r="T177" s="207"/>
      <c r="U177" s="207"/>
      <c r="V177" s="207"/>
      <c r="W177" s="207"/>
      <c r="X177" s="207"/>
      <c r="Y177" s="207"/>
      <c r="Z177" s="207"/>
      <c r="AA177" s="207"/>
    </row>
    <row r="178">
      <c r="A178" s="203"/>
      <c r="B178" s="204"/>
      <c r="C178" s="204"/>
      <c r="D178" s="205"/>
      <c r="E178" s="212"/>
      <c r="F178" s="206"/>
      <c r="G178" s="167"/>
      <c r="H178" s="213"/>
      <c r="I178" s="167"/>
      <c r="J178" s="168"/>
      <c r="K178" s="169"/>
      <c r="L178" s="207"/>
      <c r="M178" s="207"/>
      <c r="N178" s="207"/>
      <c r="O178" s="207"/>
      <c r="P178" s="207"/>
      <c r="Q178" s="207"/>
      <c r="R178" s="207"/>
      <c r="S178" s="207"/>
      <c r="T178" s="207"/>
      <c r="U178" s="207"/>
      <c r="V178" s="207"/>
      <c r="W178" s="207"/>
      <c r="X178" s="207"/>
      <c r="Y178" s="207"/>
      <c r="Z178" s="207"/>
      <c r="AA178" s="207"/>
    </row>
    <row r="179">
      <c r="A179" s="203"/>
      <c r="B179" s="204"/>
      <c r="C179" s="204"/>
      <c r="D179" s="205"/>
      <c r="E179" s="212"/>
      <c r="F179" s="206"/>
      <c r="G179" s="167"/>
      <c r="H179" s="213"/>
      <c r="I179" s="167"/>
      <c r="J179" s="168"/>
      <c r="K179" s="169"/>
      <c r="L179" s="207"/>
      <c r="M179" s="207"/>
      <c r="N179" s="207"/>
      <c r="O179" s="207"/>
      <c r="P179" s="207"/>
      <c r="Q179" s="207"/>
      <c r="R179" s="207"/>
      <c r="S179" s="207"/>
      <c r="T179" s="207"/>
      <c r="U179" s="207"/>
      <c r="V179" s="207"/>
      <c r="W179" s="207"/>
      <c r="X179" s="207"/>
      <c r="Y179" s="207"/>
      <c r="Z179" s="207"/>
      <c r="AA179" s="207"/>
    </row>
    <row r="180">
      <c r="A180" s="203"/>
      <c r="B180" s="204"/>
      <c r="C180" s="204"/>
      <c r="D180" s="205"/>
      <c r="E180" s="212"/>
      <c r="F180" s="206"/>
      <c r="G180" s="167"/>
      <c r="H180" s="213"/>
      <c r="I180" s="167"/>
      <c r="J180" s="168"/>
      <c r="K180" s="169"/>
      <c r="L180" s="207"/>
      <c r="M180" s="207"/>
      <c r="N180" s="207"/>
      <c r="O180" s="207"/>
      <c r="P180" s="207"/>
      <c r="Q180" s="207"/>
      <c r="R180" s="207"/>
      <c r="S180" s="207"/>
      <c r="T180" s="207"/>
      <c r="U180" s="207"/>
      <c r="V180" s="207"/>
      <c r="W180" s="207"/>
      <c r="X180" s="207"/>
      <c r="Y180" s="207"/>
      <c r="Z180" s="207"/>
      <c r="AA180" s="207"/>
    </row>
    <row r="181">
      <c r="A181" s="203"/>
      <c r="B181" s="204"/>
      <c r="C181" s="204"/>
      <c r="D181" s="205"/>
      <c r="E181" s="212"/>
      <c r="F181" s="206"/>
      <c r="G181" s="167"/>
      <c r="H181" s="213"/>
      <c r="I181" s="167"/>
      <c r="J181" s="168"/>
      <c r="K181" s="169"/>
      <c r="L181" s="207"/>
      <c r="M181" s="207"/>
      <c r="N181" s="207"/>
      <c r="O181" s="207"/>
      <c r="P181" s="207"/>
      <c r="Q181" s="207"/>
      <c r="R181" s="207"/>
      <c r="S181" s="207"/>
      <c r="T181" s="207"/>
      <c r="U181" s="207"/>
      <c r="V181" s="207"/>
      <c r="W181" s="207"/>
      <c r="X181" s="207"/>
      <c r="Y181" s="207"/>
      <c r="Z181" s="207"/>
      <c r="AA181" s="207"/>
    </row>
    <row r="182">
      <c r="A182" s="203"/>
      <c r="B182" s="204"/>
      <c r="C182" s="204"/>
      <c r="D182" s="205"/>
      <c r="E182" s="212"/>
      <c r="F182" s="206"/>
      <c r="G182" s="167"/>
      <c r="H182" s="213"/>
      <c r="I182" s="167"/>
      <c r="J182" s="168"/>
      <c r="K182" s="169"/>
      <c r="L182" s="207"/>
      <c r="M182" s="207"/>
      <c r="N182" s="207"/>
      <c r="O182" s="207"/>
      <c r="P182" s="207"/>
      <c r="Q182" s="207"/>
      <c r="R182" s="207"/>
      <c r="S182" s="207"/>
      <c r="T182" s="207"/>
      <c r="U182" s="207"/>
      <c r="V182" s="207"/>
      <c r="W182" s="207"/>
      <c r="X182" s="207"/>
      <c r="Y182" s="207"/>
      <c r="Z182" s="207"/>
      <c r="AA182" s="207"/>
    </row>
    <row r="183">
      <c r="A183" s="203"/>
      <c r="B183" s="204"/>
      <c r="C183" s="204"/>
      <c r="D183" s="205"/>
      <c r="E183" s="212"/>
      <c r="F183" s="206"/>
      <c r="G183" s="167"/>
      <c r="H183" s="213"/>
      <c r="I183" s="167"/>
      <c r="J183" s="168"/>
      <c r="K183" s="169"/>
      <c r="L183" s="207"/>
      <c r="M183" s="207"/>
      <c r="N183" s="207"/>
      <c r="O183" s="207"/>
      <c r="P183" s="207"/>
      <c r="Q183" s="207"/>
      <c r="R183" s="207"/>
      <c r="S183" s="207"/>
      <c r="T183" s="207"/>
      <c r="U183" s="207"/>
      <c r="V183" s="207"/>
      <c r="W183" s="207"/>
      <c r="X183" s="207"/>
      <c r="Y183" s="207"/>
      <c r="Z183" s="207"/>
      <c r="AA183" s="207"/>
    </row>
    <row r="184">
      <c r="A184" s="203"/>
      <c r="B184" s="204"/>
      <c r="C184" s="204"/>
      <c r="D184" s="205"/>
      <c r="E184" s="212"/>
      <c r="F184" s="206"/>
      <c r="G184" s="167"/>
      <c r="H184" s="213"/>
      <c r="I184" s="167"/>
      <c r="J184" s="168"/>
      <c r="K184" s="169"/>
      <c r="L184" s="207"/>
      <c r="M184" s="207"/>
      <c r="N184" s="207"/>
      <c r="O184" s="207"/>
      <c r="P184" s="207"/>
      <c r="Q184" s="207"/>
      <c r="R184" s="207"/>
      <c r="S184" s="207"/>
      <c r="T184" s="207"/>
      <c r="U184" s="207"/>
      <c r="V184" s="207"/>
      <c r="W184" s="207"/>
      <c r="X184" s="207"/>
      <c r="Y184" s="207"/>
      <c r="Z184" s="207"/>
      <c r="AA184" s="207"/>
    </row>
    <row r="185">
      <c r="A185" s="203"/>
      <c r="B185" s="204"/>
      <c r="C185" s="204"/>
      <c r="D185" s="205"/>
      <c r="E185" s="212"/>
      <c r="F185" s="206"/>
      <c r="G185" s="167"/>
      <c r="H185" s="213"/>
      <c r="I185" s="167"/>
      <c r="J185" s="168"/>
      <c r="K185" s="169"/>
      <c r="L185" s="207"/>
      <c r="M185" s="207"/>
      <c r="N185" s="207"/>
      <c r="O185" s="207"/>
      <c r="P185" s="207"/>
      <c r="Q185" s="207"/>
      <c r="R185" s="207"/>
      <c r="S185" s="207"/>
      <c r="T185" s="207"/>
      <c r="U185" s="207"/>
      <c r="V185" s="207"/>
      <c r="W185" s="207"/>
      <c r="X185" s="207"/>
      <c r="Y185" s="207"/>
      <c r="Z185" s="207"/>
      <c r="AA185" s="207"/>
    </row>
    <row r="186">
      <c r="A186" s="203"/>
      <c r="B186" s="204"/>
      <c r="C186" s="204"/>
      <c r="D186" s="205"/>
      <c r="E186" s="212"/>
      <c r="F186" s="206"/>
      <c r="G186" s="167"/>
      <c r="H186" s="213"/>
      <c r="I186" s="167"/>
      <c r="J186" s="168"/>
      <c r="K186" s="169"/>
      <c r="L186" s="207"/>
      <c r="M186" s="207"/>
      <c r="N186" s="207"/>
      <c r="O186" s="207"/>
      <c r="P186" s="207"/>
      <c r="Q186" s="207"/>
      <c r="R186" s="207"/>
      <c r="S186" s="207"/>
      <c r="T186" s="207"/>
      <c r="U186" s="207"/>
      <c r="V186" s="207"/>
      <c r="W186" s="207"/>
      <c r="X186" s="207"/>
      <c r="Y186" s="207"/>
      <c r="Z186" s="207"/>
      <c r="AA186" s="207"/>
    </row>
    <row r="187">
      <c r="A187" s="203"/>
      <c r="B187" s="204"/>
      <c r="C187" s="204"/>
      <c r="D187" s="205"/>
      <c r="E187" s="212"/>
      <c r="F187" s="206"/>
      <c r="G187" s="167"/>
      <c r="H187" s="213"/>
      <c r="I187" s="167"/>
      <c r="J187" s="168"/>
      <c r="K187" s="169"/>
      <c r="L187" s="207"/>
      <c r="M187" s="207"/>
      <c r="N187" s="207"/>
      <c r="O187" s="207"/>
      <c r="P187" s="207"/>
      <c r="Q187" s="207"/>
      <c r="R187" s="207"/>
      <c r="S187" s="207"/>
      <c r="T187" s="207"/>
      <c r="U187" s="207"/>
      <c r="V187" s="207"/>
      <c r="W187" s="207"/>
      <c r="X187" s="207"/>
      <c r="Y187" s="207"/>
      <c r="Z187" s="207"/>
      <c r="AA187" s="207"/>
    </row>
    <row r="188">
      <c r="A188" s="203"/>
      <c r="B188" s="204"/>
      <c r="C188" s="204"/>
      <c r="D188" s="205"/>
      <c r="E188" s="212"/>
      <c r="F188" s="206"/>
      <c r="G188" s="167"/>
      <c r="H188" s="213"/>
      <c r="I188" s="167"/>
      <c r="J188" s="168"/>
      <c r="K188" s="169"/>
      <c r="L188" s="207"/>
      <c r="M188" s="207"/>
      <c r="N188" s="207"/>
      <c r="O188" s="207"/>
      <c r="P188" s="207"/>
      <c r="Q188" s="207"/>
      <c r="R188" s="207"/>
      <c r="S188" s="207"/>
      <c r="T188" s="207"/>
      <c r="U188" s="207"/>
      <c r="V188" s="207"/>
      <c r="W188" s="207"/>
      <c r="X188" s="207"/>
      <c r="Y188" s="207"/>
      <c r="Z188" s="207"/>
      <c r="AA188" s="207"/>
    </row>
    <row r="189">
      <c r="A189" s="203"/>
      <c r="B189" s="204"/>
      <c r="C189" s="204"/>
      <c r="D189" s="205"/>
      <c r="E189" s="212"/>
      <c r="F189" s="206"/>
      <c r="G189" s="167"/>
      <c r="H189" s="213"/>
      <c r="I189" s="167"/>
      <c r="J189" s="168"/>
      <c r="K189" s="169"/>
      <c r="L189" s="207"/>
      <c r="M189" s="207"/>
      <c r="N189" s="207"/>
      <c r="O189" s="207"/>
      <c r="P189" s="207"/>
      <c r="Q189" s="207"/>
      <c r="R189" s="207"/>
      <c r="S189" s="207"/>
      <c r="T189" s="207"/>
      <c r="U189" s="207"/>
      <c r="V189" s="207"/>
      <c r="W189" s="207"/>
      <c r="X189" s="207"/>
      <c r="Y189" s="207"/>
      <c r="Z189" s="207"/>
      <c r="AA189" s="207"/>
    </row>
    <row r="190">
      <c r="A190" s="203"/>
      <c r="B190" s="204"/>
      <c r="C190" s="204"/>
      <c r="D190" s="205"/>
      <c r="E190" s="212"/>
      <c r="F190" s="206"/>
      <c r="G190" s="167"/>
      <c r="H190" s="213"/>
      <c r="I190" s="167"/>
      <c r="J190" s="168"/>
      <c r="K190" s="169"/>
      <c r="L190" s="207"/>
      <c r="M190" s="207"/>
      <c r="N190" s="207"/>
      <c r="O190" s="207"/>
      <c r="P190" s="207"/>
      <c r="Q190" s="207"/>
      <c r="R190" s="207"/>
      <c r="S190" s="207"/>
      <c r="T190" s="207"/>
      <c r="U190" s="207"/>
      <c r="V190" s="207"/>
      <c r="W190" s="207"/>
      <c r="X190" s="207"/>
      <c r="Y190" s="207"/>
      <c r="Z190" s="207"/>
      <c r="AA190" s="207"/>
    </row>
    <row r="191">
      <c r="A191" s="203"/>
      <c r="B191" s="204"/>
      <c r="C191" s="204"/>
      <c r="D191" s="205"/>
      <c r="E191" s="212"/>
      <c r="F191" s="206"/>
      <c r="G191" s="167"/>
      <c r="H191" s="213"/>
      <c r="I191" s="167"/>
      <c r="J191" s="168"/>
      <c r="K191" s="169"/>
      <c r="L191" s="207"/>
      <c r="M191" s="207"/>
      <c r="N191" s="207"/>
      <c r="O191" s="207"/>
      <c r="P191" s="207"/>
      <c r="Q191" s="207"/>
      <c r="R191" s="207"/>
      <c r="S191" s="207"/>
      <c r="T191" s="207"/>
      <c r="U191" s="207"/>
      <c r="V191" s="207"/>
      <c r="W191" s="207"/>
      <c r="X191" s="207"/>
      <c r="Y191" s="207"/>
      <c r="Z191" s="207"/>
      <c r="AA191" s="207"/>
    </row>
    <row r="192">
      <c r="A192" s="203"/>
      <c r="B192" s="204"/>
      <c r="C192" s="204"/>
      <c r="D192" s="205"/>
      <c r="E192" s="212"/>
      <c r="F192" s="206"/>
      <c r="G192" s="167"/>
      <c r="H192" s="213"/>
      <c r="I192" s="167"/>
      <c r="J192" s="168"/>
      <c r="K192" s="169"/>
      <c r="L192" s="207"/>
      <c r="M192" s="207"/>
      <c r="N192" s="207"/>
      <c r="O192" s="207"/>
      <c r="P192" s="207"/>
      <c r="Q192" s="207"/>
      <c r="R192" s="207"/>
      <c r="S192" s="207"/>
      <c r="T192" s="207"/>
      <c r="U192" s="207"/>
      <c r="V192" s="207"/>
      <c r="W192" s="207"/>
      <c r="X192" s="207"/>
      <c r="Y192" s="207"/>
      <c r="Z192" s="207"/>
      <c r="AA192" s="207"/>
    </row>
    <row r="193">
      <c r="A193" s="203"/>
      <c r="B193" s="204"/>
      <c r="C193" s="204"/>
      <c r="D193" s="205"/>
      <c r="E193" s="212"/>
      <c r="F193" s="206"/>
      <c r="G193" s="167"/>
      <c r="H193" s="213"/>
      <c r="I193" s="167"/>
      <c r="J193" s="168"/>
      <c r="K193" s="169"/>
      <c r="L193" s="207"/>
      <c r="M193" s="207"/>
      <c r="N193" s="207"/>
      <c r="O193" s="207"/>
      <c r="P193" s="207"/>
      <c r="Q193" s="207"/>
      <c r="R193" s="207"/>
      <c r="S193" s="207"/>
      <c r="T193" s="207"/>
      <c r="U193" s="207"/>
      <c r="V193" s="207"/>
      <c r="W193" s="207"/>
      <c r="X193" s="207"/>
      <c r="Y193" s="207"/>
      <c r="Z193" s="207"/>
      <c r="AA193" s="207"/>
    </row>
    <row r="194">
      <c r="A194" s="203"/>
      <c r="B194" s="204"/>
      <c r="C194" s="204"/>
      <c r="D194" s="205"/>
      <c r="E194" s="212"/>
      <c r="F194" s="206"/>
      <c r="G194" s="167"/>
      <c r="H194" s="213"/>
      <c r="I194" s="167"/>
      <c r="J194" s="168"/>
      <c r="K194" s="169"/>
      <c r="L194" s="207"/>
      <c r="M194" s="207"/>
      <c r="N194" s="207"/>
      <c r="O194" s="207"/>
      <c r="P194" s="207"/>
      <c r="Q194" s="207"/>
      <c r="R194" s="207"/>
      <c r="S194" s="207"/>
      <c r="T194" s="207"/>
      <c r="U194" s="207"/>
      <c r="V194" s="207"/>
      <c r="W194" s="207"/>
      <c r="X194" s="207"/>
      <c r="Y194" s="207"/>
      <c r="Z194" s="207"/>
      <c r="AA194" s="207"/>
    </row>
    <row r="195">
      <c r="A195" s="203"/>
      <c r="B195" s="204"/>
      <c r="C195" s="204"/>
      <c r="D195" s="205"/>
      <c r="E195" s="212"/>
      <c r="F195" s="206"/>
      <c r="G195" s="167"/>
      <c r="H195" s="213"/>
      <c r="I195" s="167"/>
      <c r="J195" s="168"/>
      <c r="K195" s="169"/>
      <c r="L195" s="207"/>
      <c r="M195" s="207"/>
      <c r="N195" s="207"/>
      <c r="O195" s="207"/>
      <c r="P195" s="207"/>
      <c r="Q195" s="207"/>
      <c r="R195" s="207"/>
      <c r="S195" s="207"/>
      <c r="T195" s="207"/>
      <c r="U195" s="207"/>
      <c r="V195" s="207"/>
      <c r="W195" s="207"/>
      <c r="X195" s="207"/>
      <c r="Y195" s="207"/>
      <c r="Z195" s="207"/>
      <c r="AA195" s="207"/>
    </row>
    <row r="196">
      <c r="A196" s="203"/>
      <c r="B196" s="204"/>
      <c r="C196" s="204"/>
      <c r="D196" s="205"/>
      <c r="E196" s="212"/>
      <c r="F196" s="206"/>
      <c r="G196" s="167"/>
      <c r="H196" s="213"/>
      <c r="I196" s="167"/>
      <c r="J196" s="168"/>
      <c r="K196" s="169"/>
      <c r="L196" s="207"/>
      <c r="M196" s="207"/>
      <c r="N196" s="207"/>
      <c r="O196" s="207"/>
      <c r="P196" s="207"/>
      <c r="Q196" s="207"/>
      <c r="R196" s="207"/>
      <c r="S196" s="207"/>
      <c r="T196" s="207"/>
      <c r="U196" s="207"/>
      <c r="V196" s="207"/>
      <c r="W196" s="207"/>
      <c r="X196" s="207"/>
      <c r="Y196" s="207"/>
      <c r="Z196" s="207"/>
      <c r="AA196" s="207"/>
    </row>
    <row r="197">
      <c r="A197" s="203"/>
      <c r="B197" s="204"/>
      <c r="C197" s="204"/>
      <c r="D197" s="205"/>
      <c r="E197" s="212"/>
      <c r="F197" s="206"/>
      <c r="G197" s="167"/>
      <c r="H197" s="213"/>
      <c r="I197" s="167"/>
      <c r="J197" s="168"/>
      <c r="K197" s="169"/>
      <c r="L197" s="207"/>
      <c r="M197" s="207"/>
      <c r="N197" s="207"/>
      <c r="O197" s="207"/>
      <c r="P197" s="207"/>
      <c r="Q197" s="207"/>
      <c r="R197" s="207"/>
      <c r="S197" s="207"/>
      <c r="T197" s="207"/>
      <c r="U197" s="207"/>
      <c r="V197" s="207"/>
      <c r="W197" s="207"/>
      <c r="X197" s="207"/>
      <c r="Y197" s="207"/>
      <c r="Z197" s="207"/>
      <c r="AA197" s="207"/>
    </row>
    <row r="198">
      <c r="A198" s="203"/>
      <c r="B198" s="204"/>
      <c r="C198" s="204"/>
      <c r="D198" s="205"/>
      <c r="E198" s="212"/>
      <c r="F198" s="206"/>
      <c r="G198" s="167"/>
      <c r="H198" s="213"/>
      <c r="I198" s="167"/>
      <c r="J198" s="168"/>
      <c r="K198" s="169"/>
      <c r="L198" s="207"/>
      <c r="M198" s="207"/>
      <c r="N198" s="207"/>
      <c r="O198" s="207"/>
      <c r="P198" s="207"/>
      <c r="Q198" s="207"/>
      <c r="R198" s="207"/>
      <c r="S198" s="207"/>
      <c r="T198" s="207"/>
      <c r="U198" s="207"/>
      <c r="V198" s="207"/>
      <c r="W198" s="207"/>
      <c r="X198" s="207"/>
      <c r="Y198" s="207"/>
      <c r="Z198" s="207"/>
      <c r="AA198" s="207"/>
    </row>
    <row r="199">
      <c r="A199" s="203"/>
      <c r="B199" s="204"/>
      <c r="C199" s="204"/>
      <c r="D199" s="205"/>
      <c r="E199" s="212"/>
      <c r="F199" s="206"/>
      <c r="G199" s="167"/>
      <c r="H199" s="213"/>
      <c r="I199" s="167"/>
      <c r="J199" s="168"/>
      <c r="K199" s="169"/>
      <c r="L199" s="207"/>
      <c r="M199" s="207"/>
      <c r="N199" s="207"/>
      <c r="O199" s="207"/>
      <c r="P199" s="207"/>
      <c r="Q199" s="207"/>
      <c r="R199" s="207"/>
      <c r="S199" s="207"/>
      <c r="T199" s="207"/>
      <c r="U199" s="207"/>
      <c r="V199" s="207"/>
      <c r="W199" s="207"/>
      <c r="X199" s="207"/>
      <c r="Y199" s="207"/>
      <c r="Z199" s="207"/>
      <c r="AA199" s="207"/>
    </row>
    <row r="200">
      <c r="A200" s="203"/>
      <c r="B200" s="204"/>
      <c r="C200" s="204"/>
      <c r="D200" s="205"/>
      <c r="E200" s="212"/>
      <c r="F200" s="206"/>
      <c r="G200" s="167"/>
      <c r="H200" s="213"/>
      <c r="I200" s="167"/>
      <c r="J200" s="168"/>
      <c r="K200" s="169"/>
      <c r="L200" s="207"/>
      <c r="M200" s="207"/>
      <c r="N200" s="207"/>
      <c r="O200" s="207"/>
      <c r="P200" s="207"/>
      <c r="Q200" s="207"/>
      <c r="R200" s="207"/>
      <c r="S200" s="207"/>
      <c r="T200" s="207"/>
      <c r="U200" s="207"/>
      <c r="V200" s="207"/>
      <c r="W200" s="207"/>
      <c r="X200" s="207"/>
      <c r="Y200" s="207"/>
      <c r="Z200" s="207"/>
      <c r="AA200" s="207"/>
    </row>
    <row r="201">
      <c r="A201" s="203"/>
      <c r="B201" s="204"/>
      <c r="C201" s="204"/>
      <c r="D201" s="205"/>
      <c r="E201" s="212"/>
      <c r="F201" s="206"/>
      <c r="G201" s="167"/>
      <c r="H201" s="213"/>
      <c r="I201" s="167"/>
      <c r="J201" s="168"/>
      <c r="K201" s="169"/>
      <c r="L201" s="207"/>
      <c r="M201" s="207"/>
      <c r="N201" s="207"/>
      <c r="O201" s="207"/>
      <c r="P201" s="207"/>
      <c r="Q201" s="207"/>
      <c r="R201" s="207"/>
      <c r="S201" s="207"/>
      <c r="T201" s="207"/>
      <c r="U201" s="207"/>
      <c r="V201" s="207"/>
      <c r="W201" s="207"/>
      <c r="X201" s="207"/>
      <c r="Y201" s="207"/>
      <c r="Z201" s="207"/>
      <c r="AA201" s="207"/>
    </row>
    <row r="202">
      <c r="A202" s="203"/>
      <c r="B202" s="204"/>
      <c r="C202" s="204"/>
      <c r="D202" s="205"/>
      <c r="E202" s="212"/>
      <c r="F202" s="206"/>
      <c r="G202" s="167"/>
      <c r="H202" s="213"/>
      <c r="I202" s="167"/>
      <c r="J202" s="168"/>
      <c r="K202" s="169"/>
      <c r="L202" s="207"/>
      <c r="M202" s="207"/>
      <c r="N202" s="207"/>
      <c r="O202" s="207"/>
      <c r="P202" s="207"/>
      <c r="Q202" s="207"/>
      <c r="R202" s="207"/>
      <c r="S202" s="207"/>
      <c r="T202" s="207"/>
      <c r="U202" s="207"/>
      <c r="V202" s="207"/>
      <c r="W202" s="207"/>
      <c r="X202" s="207"/>
      <c r="Y202" s="207"/>
      <c r="Z202" s="207"/>
      <c r="AA202" s="207"/>
    </row>
    <row r="203">
      <c r="A203" s="203"/>
      <c r="B203" s="204"/>
      <c r="C203" s="204"/>
      <c r="D203" s="205"/>
      <c r="E203" s="212"/>
      <c r="F203" s="206"/>
      <c r="G203" s="167"/>
      <c r="H203" s="213"/>
      <c r="I203" s="167"/>
      <c r="J203" s="168"/>
      <c r="K203" s="169"/>
      <c r="L203" s="207"/>
      <c r="M203" s="207"/>
      <c r="N203" s="207"/>
      <c r="O203" s="207"/>
      <c r="P203" s="207"/>
      <c r="Q203" s="207"/>
      <c r="R203" s="207"/>
      <c r="S203" s="207"/>
      <c r="T203" s="207"/>
      <c r="U203" s="207"/>
      <c r="V203" s="207"/>
      <c r="W203" s="207"/>
      <c r="X203" s="207"/>
      <c r="Y203" s="207"/>
      <c r="Z203" s="207"/>
      <c r="AA203" s="207"/>
    </row>
    <row r="204">
      <c r="A204" s="203"/>
      <c r="B204" s="204"/>
      <c r="C204" s="204"/>
      <c r="D204" s="205"/>
      <c r="E204" s="212"/>
      <c r="F204" s="206"/>
      <c r="G204" s="167"/>
      <c r="H204" s="213"/>
      <c r="I204" s="167"/>
      <c r="J204" s="168"/>
      <c r="K204" s="169"/>
      <c r="L204" s="207"/>
      <c r="M204" s="207"/>
      <c r="N204" s="207"/>
      <c r="O204" s="207"/>
      <c r="P204" s="207"/>
      <c r="Q204" s="207"/>
      <c r="R204" s="207"/>
      <c r="S204" s="207"/>
      <c r="T204" s="207"/>
      <c r="U204" s="207"/>
      <c r="V204" s="207"/>
      <c r="W204" s="207"/>
      <c r="X204" s="207"/>
      <c r="Y204" s="207"/>
      <c r="Z204" s="207"/>
      <c r="AA204" s="207"/>
    </row>
    <row r="205">
      <c r="A205" s="203"/>
      <c r="B205" s="204"/>
      <c r="C205" s="204"/>
      <c r="D205" s="205"/>
      <c r="E205" s="212"/>
      <c r="F205" s="206"/>
      <c r="G205" s="167"/>
      <c r="H205" s="213"/>
      <c r="I205" s="167"/>
      <c r="J205" s="168"/>
      <c r="K205" s="169"/>
      <c r="L205" s="207"/>
      <c r="M205" s="207"/>
      <c r="N205" s="207"/>
      <c r="O205" s="207"/>
      <c r="P205" s="207"/>
      <c r="Q205" s="207"/>
      <c r="R205" s="207"/>
      <c r="S205" s="207"/>
      <c r="T205" s="207"/>
      <c r="U205" s="207"/>
      <c r="V205" s="207"/>
      <c r="W205" s="207"/>
      <c r="X205" s="207"/>
      <c r="Y205" s="207"/>
      <c r="Z205" s="207"/>
      <c r="AA205" s="207"/>
    </row>
    <row r="206">
      <c r="A206" s="203"/>
      <c r="B206" s="204"/>
      <c r="C206" s="204"/>
      <c r="D206" s="205"/>
      <c r="E206" s="212"/>
      <c r="F206" s="206"/>
      <c r="G206" s="167"/>
      <c r="H206" s="213"/>
      <c r="I206" s="167"/>
      <c r="J206" s="168"/>
      <c r="K206" s="169"/>
      <c r="L206" s="207"/>
      <c r="M206" s="207"/>
      <c r="N206" s="207"/>
      <c r="O206" s="207"/>
      <c r="P206" s="207"/>
      <c r="Q206" s="207"/>
      <c r="R206" s="207"/>
      <c r="S206" s="207"/>
      <c r="T206" s="207"/>
      <c r="U206" s="207"/>
      <c r="V206" s="207"/>
      <c r="W206" s="207"/>
      <c r="X206" s="207"/>
      <c r="Y206" s="207"/>
      <c r="Z206" s="207"/>
      <c r="AA206" s="207"/>
    </row>
    <row r="207">
      <c r="A207" s="203"/>
      <c r="B207" s="204"/>
      <c r="C207" s="204"/>
      <c r="D207" s="205"/>
      <c r="E207" s="212"/>
      <c r="F207" s="206"/>
      <c r="G207" s="167"/>
      <c r="H207" s="213"/>
      <c r="I207" s="167"/>
      <c r="J207" s="168"/>
      <c r="K207" s="169"/>
      <c r="L207" s="207"/>
      <c r="M207" s="207"/>
      <c r="N207" s="207"/>
      <c r="O207" s="207"/>
      <c r="P207" s="207"/>
      <c r="Q207" s="207"/>
      <c r="R207" s="207"/>
      <c r="S207" s="207"/>
      <c r="T207" s="207"/>
      <c r="U207" s="207"/>
      <c r="V207" s="207"/>
      <c r="W207" s="207"/>
      <c r="X207" s="207"/>
      <c r="Y207" s="207"/>
      <c r="Z207" s="207"/>
      <c r="AA207" s="207"/>
    </row>
    <row r="208">
      <c r="A208" s="203"/>
      <c r="B208" s="204"/>
      <c r="C208" s="204"/>
      <c r="D208" s="205"/>
      <c r="E208" s="212"/>
      <c r="F208" s="206"/>
      <c r="G208" s="167"/>
      <c r="H208" s="213"/>
      <c r="I208" s="167"/>
      <c r="J208" s="168"/>
      <c r="K208" s="169"/>
      <c r="L208" s="207"/>
      <c r="M208" s="207"/>
      <c r="N208" s="207"/>
      <c r="O208" s="207"/>
      <c r="P208" s="207"/>
      <c r="Q208" s="207"/>
      <c r="R208" s="207"/>
      <c r="S208" s="207"/>
      <c r="T208" s="207"/>
      <c r="U208" s="207"/>
      <c r="V208" s="207"/>
      <c r="W208" s="207"/>
      <c r="X208" s="207"/>
      <c r="Y208" s="207"/>
      <c r="Z208" s="207"/>
      <c r="AA208" s="207"/>
    </row>
    <row r="209">
      <c r="A209" s="203"/>
      <c r="B209" s="204"/>
      <c r="C209" s="204"/>
      <c r="D209" s="205"/>
      <c r="E209" s="212"/>
      <c r="F209" s="206"/>
      <c r="G209" s="167"/>
      <c r="H209" s="213"/>
      <c r="I209" s="167"/>
      <c r="J209" s="168"/>
      <c r="K209" s="169"/>
      <c r="L209" s="207"/>
      <c r="M209" s="207"/>
      <c r="N209" s="207"/>
      <c r="O209" s="207"/>
      <c r="P209" s="207"/>
      <c r="Q209" s="207"/>
      <c r="R209" s="207"/>
      <c r="S209" s="207"/>
      <c r="T209" s="207"/>
      <c r="U209" s="207"/>
      <c r="V209" s="207"/>
      <c r="W209" s="207"/>
      <c r="X209" s="207"/>
      <c r="Y209" s="207"/>
      <c r="Z209" s="207"/>
      <c r="AA209" s="207"/>
    </row>
    <row r="210">
      <c r="A210" s="203"/>
      <c r="B210" s="204"/>
      <c r="C210" s="204"/>
      <c r="D210" s="205"/>
      <c r="E210" s="212"/>
      <c r="F210" s="206"/>
      <c r="G210" s="167"/>
      <c r="H210" s="213"/>
      <c r="I210" s="167"/>
      <c r="J210" s="168"/>
      <c r="K210" s="169"/>
      <c r="L210" s="207"/>
      <c r="M210" s="207"/>
      <c r="N210" s="207"/>
      <c r="O210" s="207"/>
      <c r="P210" s="207"/>
      <c r="Q210" s="207"/>
      <c r="R210" s="207"/>
      <c r="S210" s="207"/>
      <c r="T210" s="207"/>
      <c r="U210" s="207"/>
      <c r="V210" s="207"/>
      <c r="W210" s="207"/>
      <c r="X210" s="207"/>
      <c r="Y210" s="207"/>
      <c r="Z210" s="207"/>
      <c r="AA210" s="207"/>
    </row>
    <row r="211">
      <c r="A211" s="203"/>
      <c r="B211" s="204"/>
      <c r="C211" s="204"/>
      <c r="D211" s="205"/>
      <c r="E211" s="212"/>
      <c r="F211" s="206"/>
      <c r="G211" s="167"/>
      <c r="H211" s="213"/>
      <c r="I211" s="167"/>
      <c r="J211" s="168"/>
      <c r="K211" s="169"/>
      <c r="L211" s="207"/>
      <c r="M211" s="207"/>
      <c r="N211" s="207"/>
      <c r="O211" s="207"/>
      <c r="P211" s="207"/>
      <c r="Q211" s="207"/>
      <c r="R211" s="207"/>
      <c r="S211" s="207"/>
      <c r="T211" s="207"/>
      <c r="U211" s="207"/>
      <c r="V211" s="207"/>
      <c r="W211" s="207"/>
      <c r="X211" s="207"/>
      <c r="Y211" s="207"/>
      <c r="Z211" s="207"/>
      <c r="AA211" s="207"/>
    </row>
    <row r="212">
      <c r="A212" s="203"/>
      <c r="B212" s="204"/>
      <c r="C212" s="204"/>
      <c r="D212" s="205"/>
      <c r="E212" s="212"/>
      <c r="F212" s="206"/>
      <c r="G212" s="167"/>
      <c r="H212" s="213"/>
      <c r="I212" s="167"/>
      <c r="J212" s="168"/>
      <c r="K212" s="169"/>
      <c r="L212" s="207"/>
      <c r="M212" s="207"/>
      <c r="N212" s="207"/>
      <c r="O212" s="207"/>
      <c r="P212" s="207"/>
      <c r="Q212" s="207"/>
      <c r="R212" s="207"/>
      <c r="S212" s="207"/>
      <c r="T212" s="207"/>
      <c r="U212" s="207"/>
      <c r="V212" s="207"/>
      <c r="W212" s="207"/>
      <c r="X212" s="207"/>
      <c r="Y212" s="207"/>
      <c r="Z212" s="207"/>
      <c r="AA212" s="207"/>
    </row>
    <row r="213">
      <c r="A213" s="203"/>
      <c r="B213" s="204"/>
      <c r="C213" s="204"/>
      <c r="D213" s="205"/>
      <c r="E213" s="212"/>
      <c r="F213" s="206"/>
      <c r="G213" s="167"/>
      <c r="H213" s="213"/>
      <c r="I213" s="167"/>
      <c r="J213" s="168"/>
      <c r="K213" s="169"/>
      <c r="L213" s="207"/>
      <c r="M213" s="207"/>
      <c r="N213" s="207"/>
      <c r="O213" s="207"/>
      <c r="P213" s="207"/>
      <c r="Q213" s="207"/>
      <c r="R213" s="207"/>
      <c r="S213" s="207"/>
      <c r="T213" s="207"/>
      <c r="U213" s="207"/>
      <c r="V213" s="207"/>
      <c r="W213" s="207"/>
      <c r="X213" s="207"/>
      <c r="Y213" s="207"/>
      <c r="Z213" s="207"/>
      <c r="AA213" s="207"/>
    </row>
    <row r="214">
      <c r="A214" s="203"/>
      <c r="B214" s="204"/>
      <c r="C214" s="204"/>
      <c r="D214" s="205"/>
      <c r="E214" s="212"/>
      <c r="F214" s="206"/>
      <c r="G214" s="167"/>
      <c r="H214" s="213"/>
      <c r="I214" s="167"/>
      <c r="J214" s="168"/>
      <c r="K214" s="169"/>
      <c r="L214" s="207"/>
      <c r="M214" s="207"/>
      <c r="N214" s="207"/>
      <c r="O214" s="207"/>
      <c r="P214" s="207"/>
      <c r="Q214" s="207"/>
      <c r="R214" s="207"/>
      <c r="S214" s="207"/>
      <c r="T214" s="207"/>
      <c r="U214" s="207"/>
      <c r="V214" s="207"/>
      <c r="W214" s="207"/>
      <c r="X214" s="207"/>
      <c r="Y214" s="207"/>
      <c r="Z214" s="207"/>
      <c r="AA214" s="207"/>
    </row>
    <row r="215">
      <c r="A215" s="203"/>
      <c r="B215" s="204"/>
      <c r="C215" s="204"/>
      <c r="D215" s="205"/>
      <c r="E215" s="212"/>
      <c r="F215" s="206"/>
      <c r="G215" s="167"/>
      <c r="H215" s="213"/>
      <c r="I215" s="167"/>
      <c r="J215" s="168"/>
      <c r="K215" s="169"/>
      <c r="L215" s="207"/>
      <c r="M215" s="207"/>
      <c r="N215" s="207"/>
      <c r="O215" s="207"/>
      <c r="P215" s="207"/>
      <c r="Q215" s="207"/>
      <c r="R215" s="207"/>
      <c r="S215" s="207"/>
      <c r="T215" s="207"/>
      <c r="U215" s="207"/>
      <c r="V215" s="207"/>
      <c r="W215" s="207"/>
      <c r="X215" s="207"/>
      <c r="Y215" s="207"/>
      <c r="Z215" s="207"/>
      <c r="AA215" s="207"/>
    </row>
    <row r="216">
      <c r="A216" s="203"/>
      <c r="B216" s="204"/>
      <c r="C216" s="204"/>
      <c r="D216" s="205"/>
      <c r="E216" s="212"/>
      <c r="F216" s="206"/>
      <c r="G216" s="167"/>
      <c r="H216" s="213"/>
      <c r="I216" s="167"/>
      <c r="J216" s="168"/>
      <c r="K216" s="169"/>
      <c r="L216" s="207"/>
      <c r="M216" s="207"/>
      <c r="N216" s="207"/>
      <c r="O216" s="207"/>
      <c r="P216" s="207"/>
      <c r="Q216" s="207"/>
      <c r="R216" s="207"/>
      <c r="S216" s="207"/>
      <c r="T216" s="207"/>
      <c r="U216" s="207"/>
      <c r="V216" s="207"/>
      <c r="W216" s="207"/>
      <c r="X216" s="207"/>
      <c r="Y216" s="207"/>
      <c r="Z216" s="207"/>
      <c r="AA216" s="207"/>
    </row>
    <row r="217">
      <c r="A217" s="203"/>
      <c r="B217" s="204"/>
      <c r="C217" s="204"/>
      <c r="D217" s="205"/>
      <c r="E217" s="212"/>
      <c r="F217" s="206"/>
      <c r="G217" s="167"/>
      <c r="H217" s="213"/>
      <c r="I217" s="167"/>
      <c r="J217" s="168"/>
      <c r="K217" s="169"/>
      <c r="L217" s="207"/>
      <c r="M217" s="207"/>
      <c r="N217" s="207"/>
      <c r="O217" s="207"/>
      <c r="P217" s="207"/>
      <c r="Q217" s="207"/>
      <c r="R217" s="207"/>
      <c r="S217" s="207"/>
      <c r="T217" s="207"/>
      <c r="U217" s="207"/>
      <c r="V217" s="207"/>
      <c r="W217" s="207"/>
      <c r="X217" s="207"/>
      <c r="Y217" s="207"/>
      <c r="Z217" s="207"/>
      <c r="AA217" s="207"/>
    </row>
    <row r="218">
      <c r="A218" s="203"/>
      <c r="B218" s="204"/>
      <c r="C218" s="204"/>
      <c r="D218" s="205"/>
      <c r="E218" s="212"/>
      <c r="F218" s="206"/>
      <c r="G218" s="167"/>
      <c r="H218" s="213"/>
      <c r="I218" s="167"/>
      <c r="J218" s="168"/>
      <c r="K218" s="169"/>
      <c r="L218" s="207"/>
      <c r="M218" s="207"/>
      <c r="N218" s="207"/>
      <c r="O218" s="207"/>
      <c r="P218" s="207"/>
      <c r="Q218" s="207"/>
      <c r="R218" s="207"/>
      <c r="S218" s="207"/>
      <c r="T218" s="207"/>
      <c r="U218" s="207"/>
      <c r="V218" s="207"/>
      <c r="W218" s="207"/>
      <c r="X218" s="207"/>
      <c r="Y218" s="207"/>
      <c r="Z218" s="207"/>
      <c r="AA218" s="207"/>
    </row>
    <row r="219">
      <c r="A219" s="203"/>
      <c r="B219" s="204"/>
      <c r="C219" s="204"/>
      <c r="D219" s="205"/>
      <c r="E219" s="212"/>
      <c r="F219" s="206"/>
      <c r="G219" s="167"/>
      <c r="H219" s="213"/>
      <c r="I219" s="167"/>
      <c r="J219" s="168"/>
      <c r="K219" s="169"/>
      <c r="L219" s="207"/>
      <c r="M219" s="207"/>
      <c r="N219" s="207"/>
      <c r="O219" s="207"/>
      <c r="P219" s="207"/>
      <c r="Q219" s="207"/>
      <c r="R219" s="207"/>
      <c r="S219" s="207"/>
      <c r="T219" s="207"/>
      <c r="U219" s="207"/>
      <c r="V219" s="207"/>
      <c r="W219" s="207"/>
      <c r="X219" s="207"/>
      <c r="Y219" s="207"/>
      <c r="Z219" s="207"/>
      <c r="AA219" s="207"/>
    </row>
    <row r="220">
      <c r="A220" s="203"/>
      <c r="B220" s="204"/>
      <c r="C220" s="204"/>
      <c r="D220" s="205"/>
      <c r="E220" s="212"/>
      <c r="F220" s="206"/>
      <c r="G220" s="167"/>
      <c r="H220" s="213"/>
      <c r="I220" s="167"/>
      <c r="J220" s="168"/>
      <c r="K220" s="169"/>
      <c r="L220" s="207"/>
      <c r="M220" s="207"/>
      <c r="N220" s="207"/>
      <c r="O220" s="207"/>
      <c r="P220" s="207"/>
      <c r="Q220" s="207"/>
      <c r="R220" s="207"/>
      <c r="S220" s="207"/>
      <c r="T220" s="207"/>
      <c r="U220" s="207"/>
      <c r="V220" s="207"/>
      <c r="W220" s="207"/>
      <c r="X220" s="207"/>
      <c r="Y220" s="207"/>
      <c r="Z220" s="207"/>
      <c r="AA220" s="207"/>
    </row>
    <row r="221">
      <c r="A221" s="203"/>
      <c r="B221" s="204"/>
      <c r="C221" s="204"/>
      <c r="D221" s="205"/>
      <c r="E221" s="212"/>
      <c r="F221" s="206"/>
      <c r="G221" s="167"/>
      <c r="H221" s="213"/>
      <c r="I221" s="167"/>
      <c r="J221" s="168"/>
      <c r="K221" s="169"/>
      <c r="L221" s="207"/>
      <c r="M221" s="207"/>
      <c r="N221" s="207"/>
      <c r="O221" s="207"/>
      <c r="P221" s="207"/>
      <c r="Q221" s="207"/>
      <c r="R221" s="207"/>
      <c r="S221" s="207"/>
      <c r="T221" s="207"/>
      <c r="U221" s="207"/>
      <c r="V221" s="207"/>
      <c r="W221" s="207"/>
      <c r="X221" s="207"/>
      <c r="Y221" s="207"/>
      <c r="Z221" s="207"/>
      <c r="AA221" s="207"/>
    </row>
    <row r="222">
      <c r="A222" s="203"/>
      <c r="B222" s="204"/>
      <c r="C222" s="204"/>
      <c r="D222" s="205"/>
      <c r="E222" s="212"/>
      <c r="F222" s="206"/>
      <c r="G222" s="167"/>
      <c r="H222" s="213"/>
      <c r="I222" s="167"/>
      <c r="J222" s="168"/>
      <c r="K222" s="169"/>
      <c r="L222" s="207"/>
      <c r="M222" s="207"/>
      <c r="N222" s="207"/>
      <c r="O222" s="207"/>
      <c r="P222" s="207"/>
      <c r="Q222" s="207"/>
      <c r="R222" s="207"/>
      <c r="S222" s="207"/>
      <c r="T222" s="207"/>
      <c r="U222" s="207"/>
      <c r="V222" s="207"/>
      <c r="W222" s="207"/>
      <c r="X222" s="207"/>
      <c r="Y222" s="207"/>
      <c r="Z222" s="207"/>
      <c r="AA222" s="207"/>
    </row>
    <row r="223">
      <c r="A223" s="203"/>
      <c r="B223" s="204"/>
      <c r="C223" s="204"/>
      <c r="D223" s="205"/>
      <c r="E223" s="212"/>
      <c r="F223" s="206"/>
      <c r="G223" s="167"/>
      <c r="H223" s="213"/>
      <c r="I223" s="167"/>
      <c r="J223" s="168"/>
      <c r="K223" s="169"/>
      <c r="L223" s="207"/>
      <c r="M223" s="207"/>
      <c r="N223" s="207"/>
      <c r="O223" s="207"/>
      <c r="P223" s="207"/>
      <c r="Q223" s="207"/>
      <c r="R223" s="207"/>
      <c r="S223" s="207"/>
      <c r="T223" s="207"/>
      <c r="U223" s="207"/>
      <c r="V223" s="207"/>
      <c r="W223" s="207"/>
      <c r="X223" s="207"/>
      <c r="Y223" s="207"/>
      <c r="Z223" s="207"/>
      <c r="AA223" s="207"/>
    </row>
    <row r="224">
      <c r="A224" s="203"/>
      <c r="B224" s="204"/>
      <c r="C224" s="204"/>
      <c r="D224" s="205"/>
      <c r="E224" s="212"/>
      <c r="F224" s="206"/>
      <c r="G224" s="167"/>
      <c r="H224" s="213"/>
      <c r="I224" s="167"/>
      <c r="J224" s="168"/>
      <c r="K224" s="169"/>
      <c r="L224" s="207"/>
      <c r="M224" s="207"/>
      <c r="N224" s="207"/>
      <c r="O224" s="207"/>
      <c r="P224" s="207"/>
      <c r="Q224" s="207"/>
      <c r="R224" s="207"/>
      <c r="S224" s="207"/>
      <c r="T224" s="207"/>
      <c r="U224" s="207"/>
      <c r="V224" s="207"/>
      <c r="W224" s="207"/>
      <c r="X224" s="207"/>
      <c r="Y224" s="207"/>
      <c r="Z224" s="207"/>
      <c r="AA224" s="207"/>
    </row>
    <row r="225">
      <c r="A225" s="203"/>
      <c r="B225" s="204"/>
      <c r="C225" s="204"/>
      <c r="D225" s="205"/>
      <c r="E225" s="212"/>
      <c r="F225" s="206"/>
      <c r="G225" s="167"/>
      <c r="H225" s="213"/>
      <c r="I225" s="167"/>
      <c r="J225" s="168"/>
      <c r="K225" s="169"/>
      <c r="L225" s="207"/>
      <c r="M225" s="207"/>
      <c r="N225" s="207"/>
      <c r="O225" s="207"/>
      <c r="P225" s="207"/>
      <c r="Q225" s="207"/>
      <c r="R225" s="207"/>
      <c r="S225" s="207"/>
      <c r="T225" s="207"/>
      <c r="U225" s="207"/>
      <c r="V225" s="207"/>
      <c r="W225" s="207"/>
      <c r="X225" s="207"/>
      <c r="Y225" s="207"/>
      <c r="Z225" s="207"/>
      <c r="AA225" s="207"/>
    </row>
    <row r="226">
      <c r="A226" s="203"/>
      <c r="B226" s="204"/>
      <c r="C226" s="204"/>
      <c r="D226" s="205"/>
      <c r="E226" s="212"/>
      <c r="F226" s="206"/>
      <c r="G226" s="167"/>
      <c r="H226" s="213"/>
      <c r="I226" s="167"/>
      <c r="J226" s="168"/>
      <c r="K226" s="169"/>
      <c r="L226" s="207"/>
      <c r="M226" s="207"/>
      <c r="N226" s="207"/>
      <c r="O226" s="207"/>
      <c r="P226" s="207"/>
      <c r="Q226" s="207"/>
      <c r="R226" s="207"/>
      <c r="S226" s="207"/>
      <c r="T226" s="207"/>
      <c r="U226" s="207"/>
      <c r="V226" s="207"/>
      <c r="W226" s="207"/>
      <c r="X226" s="207"/>
      <c r="Y226" s="207"/>
      <c r="Z226" s="207"/>
      <c r="AA226" s="207"/>
    </row>
    <row r="227">
      <c r="A227" s="203"/>
      <c r="B227" s="204"/>
      <c r="C227" s="204"/>
      <c r="D227" s="205"/>
      <c r="E227" s="212"/>
      <c r="F227" s="206"/>
      <c r="G227" s="167"/>
      <c r="H227" s="213"/>
      <c r="I227" s="167"/>
      <c r="J227" s="168"/>
      <c r="K227" s="169"/>
      <c r="L227" s="207"/>
      <c r="M227" s="207"/>
      <c r="N227" s="207"/>
      <c r="O227" s="207"/>
      <c r="P227" s="207"/>
      <c r="Q227" s="207"/>
      <c r="R227" s="207"/>
      <c r="S227" s="207"/>
      <c r="T227" s="207"/>
      <c r="U227" s="207"/>
      <c r="V227" s="207"/>
      <c r="W227" s="207"/>
      <c r="X227" s="207"/>
      <c r="Y227" s="207"/>
      <c r="Z227" s="207"/>
      <c r="AA227" s="207"/>
    </row>
    <row r="228">
      <c r="A228" s="203"/>
      <c r="B228" s="204"/>
      <c r="C228" s="204"/>
      <c r="D228" s="205"/>
      <c r="E228" s="212"/>
      <c r="F228" s="206"/>
      <c r="G228" s="167"/>
      <c r="H228" s="213"/>
      <c r="I228" s="167"/>
      <c r="J228" s="168"/>
      <c r="K228" s="169"/>
      <c r="L228" s="207"/>
      <c r="M228" s="207"/>
      <c r="N228" s="207"/>
      <c r="O228" s="207"/>
      <c r="P228" s="207"/>
      <c r="Q228" s="207"/>
      <c r="R228" s="207"/>
      <c r="S228" s="207"/>
      <c r="T228" s="207"/>
      <c r="U228" s="207"/>
      <c r="V228" s="207"/>
      <c r="W228" s="207"/>
      <c r="X228" s="207"/>
      <c r="Y228" s="207"/>
      <c r="Z228" s="207"/>
      <c r="AA228" s="207"/>
    </row>
    <row r="229">
      <c r="A229" s="203"/>
      <c r="B229" s="204"/>
      <c r="C229" s="204"/>
      <c r="D229" s="205"/>
      <c r="E229" s="212"/>
      <c r="F229" s="206"/>
      <c r="G229" s="167"/>
      <c r="H229" s="213"/>
      <c r="I229" s="167"/>
      <c r="J229" s="168"/>
      <c r="K229" s="169"/>
      <c r="L229" s="207"/>
      <c r="M229" s="207"/>
      <c r="N229" s="207"/>
      <c r="O229" s="207"/>
      <c r="P229" s="207"/>
      <c r="Q229" s="207"/>
      <c r="R229" s="207"/>
      <c r="S229" s="207"/>
      <c r="T229" s="207"/>
      <c r="U229" s="207"/>
      <c r="V229" s="207"/>
      <c r="W229" s="207"/>
      <c r="X229" s="207"/>
      <c r="Y229" s="207"/>
      <c r="Z229" s="207"/>
      <c r="AA229" s="207"/>
    </row>
    <row r="230">
      <c r="A230" s="203"/>
      <c r="B230" s="204"/>
      <c r="C230" s="204"/>
      <c r="D230" s="205"/>
      <c r="E230" s="212"/>
      <c r="F230" s="206"/>
      <c r="G230" s="167"/>
      <c r="H230" s="213"/>
      <c r="I230" s="167"/>
      <c r="J230" s="168"/>
      <c r="K230" s="169"/>
      <c r="L230" s="207"/>
      <c r="M230" s="207"/>
      <c r="N230" s="207"/>
      <c r="O230" s="207"/>
      <c r="P230" s="207"/>
      <c r="Q230" s="207"/>
      <c r="R230" s="207"/>
      <c r="S230" s="207"/>
      <c r="T230" s="207"/>
      <c r="U230" s="207"/>
      <c r="V230" s="207"/>
      <c r="W230" s="207"/>
      <c r="X230" s="207"/>
      <c r="Y230" s="207"/>
      <c r="Z230" s="207"/>
      <c r="AA230" s="207"/>
    </row>
    <row r="231">
      <c r="A231" s="203"/>
      <c r="B231" s="204"/>
      <c r="C231" s="204"/>
      <c r="D231" s="205"/>
      <c r="E231" s="212"/>
      <c r="F231" s="206"/>
      <c r="G231" s="167"/>
      <c r="H231" s="213"/>
      <c r="I231" s="167"/>
      <c r="J231" s="168"/>
      <c r="K231" s="169"/>
      <c r="L231" s="207"/>
      <c r="M231" s="207"/>
      <c r="N231" s="207"/>
      <c r="O231" s="207"/>
      <c r="P231" s="207"/>
      <c r="Q231" s="207"/>
      <c r="R231" s="207"/>
      <c r="S231" s="207"/>
      <c r="T231" s="207"/>
      <c r="U231" s="207"/>
      <c r="V231" s="207"/>
      <c r="W231" s="207"/>
      <c r="X231" s="207"/>
      <c r="Y231" s="207"/>
      <c r="Z231" s="207"/>
      <c r="AA231" s="207"/>
    </row>
    <row r="232">
      <c r="A232" s="203"/>
      <c r="B232" s="204"/>
      <c r="C232" s="204"/>
      <c r="D232" s="205"/>
      <c r="E232" s="212"/>
      <c r="F232" s="206"/>
      <c r="G232" s="167"/>
      <c r="H232" s="213"/>
      <c r="I232" s="167"/>
      <c r="J232" s="168"/>
      <c r="K232" s="169"/>
      <c r="L232" s="207"/>
      <c r="M232" s="207"/>
      <c r="N232" s="207"/>
      <c r="O232" s="207"/>
      <c r="P232" s="207"/>
      <c r="Q232" s="207"/>
      <c r="R232" s="207"/>
      <c r="S232" s="207"/>
      <c r="T232" s="207"/>
      <c r="U232" s="207"/>
      <c r="V232" s="207"/>
      <c r="W232" s="207"/>
      <c r="X232" s="207"/>
      <c r="Y232" s="207"/>
      <c r="Z232" s="207"/>
      <c r="AA232" s="207"/>
    </row>
    <row r="233">
      <c r="A233" s="203"/>
      <c r="B233" s="204"/>
      <c r="C233" s="204"/>
      <c r="D233" s="205"/>
      <c r="E233" s="212"/>
      <c r="F233" s="206"/>
      <c r="G233" s="167"/>
      <c r="H233" s="213"/>
      <c r="I233" s="167"/>
      <c r="J233" s="168"/>
      <c r="K233" s="169"/>
      <c r="L233" s="207"/>
      <c r="M233" s="207"/>
      <c r="N233" s="207"/>
      <c r="O233" s="207"/>
      <c r="P233" s="207"/>
      <c r="Q233" s="207"/>
      <c r="R233" s="207"/>
      <c r="S233" s="207"/>
      <c r="T233" s="207"/>
      <c r="U233" s="207"/>
      <c r="V233" s="207"/>
      <c r="W233" s="207"/>
      <c r="X233" s="207"/>
      <c r="Y233" s="207"/>
      <c r="Z233" s="207"/>
      <c r="AA233" s="207"/>
    </row>
    <row r="234">
      <c r="A234" s="203"/>
      <c r="B234" s="204"/>
      <c r="C234" s="204"/>
      <c r="D234" s="205"/>
      <c r="E234" s="212"/>
      <c r="F234" s="206"/>
      <c r="G234" s="167"/>
      <c r="H234" s="213"/>
      <c r="I234" s="167"/>
      <c r="J234" s="168"/>
      <c r="K234" s="169"/>
      <c r="L234" s="207"/>
      <c r="M234" s="207"/>
      <c r="N234" s="207"/>
      <c r="O234" s="207"/>
      <c r="P234" s="207"/>
      <c r="Q234" s="207"/>
      <c r="R234" s="207"/>
      <c r="S234" s="207"/>
      <c r="T234" s="207"/>
      <c r="U234" s="207"/>
      <c r="V234" s="207"/>
      <c r="W234" s="207"/>
      <c r="X234" s="207"/>
      <c r="Y234" s="207"/>
      <c r="Z234" s="207"/>
      <c r="AA234" s="207"/>
    </row>
    <row r="235">
      <c r="A235" s="203"/>
      <c r="B235" s="204"/>
      <c r="C235" s="204"/>
      <c r="D235" s="205"/>
      <c r="E235" s="212"/>
      <c r="F235" s="206"/>
      <c r="G235" s="167"/>
      <c r="H235" s="213"/>
      <c r="I235" s="167"/>
      <c r="J235" s="168"/>
      <c r="K235" s="169"/>
      <c r="L235" s="207"/>
      <c r="M235" s="207"/>
      <c r="N235" s="207"/>
      <c r="O235" s="207"/>
      <c r="P235" s="207"/>
      <c r="Q235" s="207"/>
      <c r="R235" s="207"/>
      <c r="S235" s="207"/>
      <c r="T235" s="207"/>
      <c r="U235" s="207"/>
      <c r="V235" s="207"/>
      <c r="W235" s="207"/>
      <c r="X235" s="207"/>
      <c r="Y235" s="207"/>
      <c r="Z235" s="207"/>
      <c r="AA235" s="207"/>
    </row>
    <row r="236">
      <c r="A236" s="203"/>
      <c r="B236" s="204"/>
      <c r="C236" s="204"/>
      <c r="D236" s="205"/>
      <c r="E236" s="212"/>
      <c r="F236" s="206"/>
      <c r="G236" s="167"/>
      <c r="H236" s="213"/>
      <c r="I236" s="167"/>
      <c r="J236" s="168"/>
      <c r="K236" s="169"/>
      <c r="L236" s="207"/>
      <c r="M236" s="207"/>
      <c r="N236" s="207"/>
      <c r="O236" s="207"/>
      <c r="P236" s="207"/>
      <c r="Q236" s="207"/>
      <c r="R236" s="207"/>
      <c r="S236" s="207"/>
      <c r="T236" s="207"/>
      <c r="U236" s="207"/>
      <c r="V236" s="207"/>
      <c r="W236" s="207"/>
      <c r="X236" s="207"/>
      <c r="Y236" s="207"/>
      <c r="Z236" s="207"/>
      <c r="AA236" s="207"/>
    </row>
    <row r="237">
      <c r="A237" s="203"/>
      <c r="B237" s="204"/>
      <c r="C237" s="204"/>
      <c r="D237" s="205"/>
      <c r="E237" s="212"/>
      <c r="F237" s="206"/>
      <c r="G237" s="167"/>
      <c r="H237" s="213"/>
      <c r="I237" s="167"/>
      <c r="J237" s="168"/>
      <c r="K237" s="169"/>
      <c r="L237" s="207"/>
      <c r="M237" s="207"/>
      <c r="N237" s="207"/>
      <c r="O237" s="207"/>
      <c r="P237" s="207"/>
      <c r="Q237" s="207"/>
      <c r="R237" s="207"/>
      <c r="S237" s="207"/>
      <c r="T237" s="207"/>
      <c r="U237" s="207"/>
      <c r="V237" s="207"/>
      <c r="W237" s="207"/>
      <c r="X237" s="207"/>
      <c r="Y237" s="207"/>
      <c r="Z237" s="207"/>
      <c r="AA237" s="207"/>
    </row>
    <row r="238">
      <c r="A238" s="203"/>
      <c r="B238" s="204"/>
      <c r="C238" s="204"/>
      <c r="D238" s="205"/>
      <c r="E238" s="212"/>
      <c r="F238" s="206"/>
      <c r="G238" s="167"/>
      <c r="H238" s="213"/>
      <c r="I238" s="167"/>
      <c r="J238" s="168"/>
      <c r="K238" s="169"/>
      <c r="L238" s="207"/>
      <c r="M238" s="207"/>
      <c r="N238" s="207"/>
      <c r="O238" s="207"/>
      <c r="P238" s="207"/>
      <c r="Q238" s="207"/>
      <c r="R238" s="207"/>
      <c r="S238" s="207"/>
      <c r="T238" s="207"/>
      <c r="U238" s="207"/>
      <c r="V238" s="207"/>
      <c r="W238" s="207"/>
      <c r="X238" s="207"/>
      <c r="Y238" s="207"/>
      <c r="Z238" s="207"/>
      <c r="AA238" s="207"/>
    </row>
    <row r="239">
      <c r="A239" s="203"/>
      <c r="B239" s="204"/>
      <c r="C239" s="204"/>
      <c r="D239" s="205"/>
      <c r="E239" s="212"/>
      <c r="F239" s="206"/>
      <c r="G239" s="167"/>
      <c r="H239" s="213"/>
      <c r="I239" s="167"/>
      <c r="J239" s="168"/>
      <c r="K239" s="169"/>
      <c r="L239" s="207"/>
      <c r="M239" s="207"/>
      <c r="N239" s="207"/>
      <c r="O239" s="207"/>
      <c r="P239" s="207"/>
      <c r="Q239" s="207"/>
      <c r="R239" s="207"/>
      <c r="S239" s="207"/>
      <c r="T239" s="207"/>
      <c r="U239" s="207"/>
      <c r="V239" s="207"/>
      <c r="W239" s="207"/>
      <c r="X239" s="207"/>
      <c r="Y239" s="207"/>
      <c r="Z239" s="207"/>
      <c r="AA239" s="207"/>
    </row>
    <row r="240">
      <c r="A240" s="203"/>
      <c r="B240" s="204"/>
      <c r="C240" s="204"/>
      <c r="D240" s="205"/>
      <c r="E240" s="212"/>
      <c r="F240" s="206"/>
      <c r="G240" s="167"/>
      <c r="H240" s="213"/>
      <c r="I240" s="167"/>
      <c r="J240" s="168"/>
      <c r="K240" s="169"/>
      <c r="L240" s="207"/>
      <c r="M240" s="207"/>
      <c r="N240" s="207"/>
      <c r="O240" s="207"/>
      <c r="P240" s="207"/>
      <c r="Q240" s="207"/>
      <c r="R240" s="207"/>
      <c r="S240" s="207"/>
      <c r="T240" s="207"/>
      <c r="U240" s="207"/>
      <c r="V240" s="207"/>
      <c r="W240" s="207"/>
      <c r="X240" s="207"/>
      <c r="Y240" s="207"/>
      <c r="Z240" s="207"/>
      <c r="AA240" s="207"/>
    </row>
    <row r="241">
      <c r="A241" s="203"/>
      <c r="B241" s="204"/>
      <c r="C241" s="204"/>
      <c r="D241" s="205"/>
      <c r="E241" s="212"/>
      <c r="F241" s="206"/>
      <c r="G241" s="167"/>
      <c r="H241" s="213"/>
      <c r="I241" s="167"/>
      <c r="J241" s="168"/>
      <c r="K241" s="169"/>
      <c r="L241" s="207"/>
      <c r="M241" s="207"/>
      <c r="N241" s="207"/>
      <c r="O241" s="207"/>
      <c r="P241" s="207"/>
      <c r="Q241" s="207"/>
      <c r="R241" s="207"/>
      <c r="S241" s="207"/>
      <c r="T241" s="207"/>
      <c r="U241" s="207"/>
      <c r="V241" s="207"/>
      <c r="W241" s="207"/>
      <c r="X241" s="207"/>
      <c r="Y241" s="207"/>
      <c r="Z241" s="207"/>
      <c r="AA241" s="207"/>
    </row>
    <row r="242">
      <c r="A242" s="203"/>
      <c r="B242" s="204"/>
      <c r="C242" s="204"/>
      <c r="D242" s="205"/>
      <c r="E242" s="212"/>
      <c r="F242" s="206"/>
      <c r="G242" s="167"/>
      <c r="H242" s="213"/>
      <c r="I242" s="167"/>
      <c r="J242" s="168"/>
      <c r="K242" s="169"/>
      <c r="L242" s="207"/>
      <c r="M242" s="207"/>
      <c r="N242" s="207"/>
      <c r="O242" s="207"/>
      <c r="P242" s="207"/>
      <c r="Q242" s="207"/>
      <c r="R242" s="207"/>
      <c r="S242" s="207"/>
      <c r="T242" s="207"/>
      <c r="U242" s="207"/>
      <c r="V242" s="207"/>
      <c r="W242" s="207"/>
      <c r="X242" s="207"/>
      <c r="Y242" s="207"/>
      <c r="Z242" s="207"/>
      <c r="AA242" s="207"/>
    </row>
    <row r="243">
      <c r="A243" s="203"/>
      <c r="B243" s="204"/>
      <c r="C243" s="204"/>
      <c r="D243" s="205"/>
      <c r="E243" s="212"/>
      <c r="F243" s="206"/>
      <c r="G243" s="167"/>
      <c r="H243" s="213"/>
      <c r="I243" s="167"/>
      <c r="J243" s="168"/>
      <c r="K243" s="169"/>
      <c r="L243" s="207"/>
      <c r="M243" s="207"/>
      <c r="N243" s="207"/>
      <c r="O243" s="207"/>
      <c r="P243" s="207"/>
      <c r="Q243" s="207"/>
      <c r="R243" s="207"/>
      <c r="S243" s="207"/>
      <c r="T243" s="207"/>
      <c r="U243" s="207"/>
      <c r="V243" s="207"/>
      <c r="W243" s="207"/>
      <c r="X243" s="207"/>
      <c r="Y243" s="207"/>
      <c r="Z243" s="207"/>
      <c r="AA243" s="207"/>
    </row>
    <row r="244">
      <c r="A244" s="203"/>
      <c r="B244" s="204"/>
      <c r="C244" s="204"/>
      <c r="D244" s="205"/>
      <c r="E244" s="212"/>
      <c r="F244" s="206"/>
      <c r="G244" s="167"/>
      <c r="H244" s="213"/>
      <c r="I244" s="167"/>
      <c r="J244" s="168"/>
      <c r="K244" s="169"/>
      <c r="L244" s="207"/>
      <c r="M244" s="207"/>
      <c r="N244" s="207"/>
      <c r="O244" s="207"/>
      <c r="P244" s="207"/>
      <c r="Q244" s="207"/>
      <c r="R244" s="207"/>
      <c r="S244" s="207"/>
      <c r="T244" s="207"/>
      <c r="U244" s="207"/>
      <c r="V244" s="207"/>
      <c r="W244" s="207"/>
      <c r="X244" s="207"/>
      <c r="Y244" s="207"/>
      <c r="Z244" s="207"/>
      <c r="AA244" s="207"/>
    </row>
    <row r="245">
      <c r="A245" s="203"/>
      <c r="B245" s="204"/>
      <c r="C245" s="204"/>
      <c r="D245" s="205"/>
      <c r="E245" s="212"/>
      <c r="F245" s="206"/>
      <c r="G245" s="167"/>
      <c r="H245" s="213"/>
      <c r="I245" s="167"/>
      <c r="J245" s="168"/>
      <c r="K245" s="169"/>
      <c r="L245" s="207"/>
      <c r="M245" s="207"/>
      <c r="N245" s="207"/>
      <c r="O245" s="207"/>
      <c r="P245" s="207"/>
      <c r="Q245" s="207"/>
      <c r="R245" s="207"/>
      <c r="S245" s="207"/>
      <c r="T245" s="207"/>
      <c r="U245" s="207"/>
      <c r="V245" s="207"/>
      <c r="W245" s="207"/>
      <c r="X245" s="207"/>
      <c r="Y245" s="207"/>
      <c r="Z245" s="207"/>
      <c r="AA245" s="207"/>
    </row>
    <row r="246">
      <c r="A246" s="203"/>
      <c r="B246" s="204"/>
      <c r="C246" s="204"/>
      <c r="D246" s="205"/>
      <c r="E246" s="212"/>
      <c r="F246" s="206"/>
      <c r="G246" s="167"/>
      <c r="H246" s="213"/>
      <c r="I246" s="167"/>
      <c r="J246" s="168"/>
      <c r="K246" s="169"/>
      <c r="L246" s="207"/>
      <c r="M246" s="207"/>
      <c r="N246" s="207"/>
      <c r="O246" s="207"/>
      <c r="P246" s="207"/>
      <c r="Q246" s="207"/>
      <c r="R246" s="207"/>
      <c r="S246" s="207"/>
      <c r="T246" s="207"/>
      <c r="U246" s="207"/>
      <c r="V246" s="207"/>
      <c r="W246" s="207"/>
      <c r="X246" s="207"/>
      <c r="Y246" s="207"/>
      <c r="Z246" s="207"/>
      <c r="AA246" s="207"/>
    </row>
    <row r="247">
      <c r="A247" s="203"/>
      <c r="B247" s="204"/>
      <c r="C247" s="204"/>
      <c r="D247" s="205"/>
      <c r="E247" s="212"/>
      <c r="F247" s="206"/>
      <c r="G247" s="167"/>
      <c r="H247" s="213"/>
      <c r="I247" s="167"/>
      <c r="J247" s="168"/>
      <c r="K247" s="169"/>
      <c r="L247" s="207"/>
      <c r="M247" s="207"/>
      <c r="N247" s="207"/>
      <c r="O247" s="207"/>
      <c r="P247" s="207"/>
      <c r="Q247" s="207"/>
      <c r="R247" s="207"/>
      <c r="S247" s="207"/>
      <c r="T247" s="207"/>
      <c r="U247" s="207"/>
      <c r="V247" s="207"/>
      <c r="W247" s="207"/>
      <c r="X247" s="207"/>
      <c r="Y247" s="207"/>
      <c r="Z247" s="207"/>
      <c r="AA247" s="207"/>
    </row>
    <row r="248">
      <c r="A248" s="203"/>
      <c r="B248" s="204"/>
      <c r="C248" s="204"/>
      <c r="D248" s="205"/>
      <c r="E248" s="212"/>
      <c r="F248" s="206"/>
      <c r="G248" s="167"/>
      <c r="H248" s="213"/>
      <c r="I248" s="167"/>
      <c r="J248" s="168"/>
      <c r="K248" s="169"/>
      <c r="L248" s="207"/>
      <c r="M248" s="207"/>
      <c r="N248" s="207"/>
      <c r="O248" s="207"/>
      <c r="P248" s="207"/>
      <c r="Q248" s="207"/>
      <c r="R248" s="207"/>
      <c r="S248" s="207"/>
      <c r="T248" s="207"/>
      <c r="U248" s="207"/>
      <c r="V248" s="207"/>
      <c r="W248" s="207"/>
      <c r="X248" s="207"/>
      <c r="Y248" s="207"/>
      <c r="Z248" s="207"/>
      <c r="AA248" s="207"/>
    </row>
    <row r="249">
      <c r="A249" s="203"/>
      <c r="B249" s="204"/>
      <c r="C249" s="204"/>
      <c r="D249" s="205"/>
      <c r="E249" s="212"/>
      <c r="F249" s="206"/>
      <c r="G249" s="167"/>
      <c r="H249" s="213"/>
      <c r="I249" s="167"/>
      <c r="J249" s="168"/>
      <c r="K249" s="169"/>
      <c r="L249" s="207"/>
      <c r="M249" s="207"/>
      <c r="N249" s="207"/>
      <c r="O249" s="207"/>
      <c r="P249" s="207"/>
      <c r="Q249" s="207"/>
      <c r="R249" s="207"/>
      <c r="S249" s="207"/>
      <c r="T249" s="207"/>
      <c r="U249" s="207"/>
      <c r="V249" s="207"/>
      <c r="W249" s="207"/>
      <c r="X249" s="207"/>
      <c r="Y249" s="207"/>
      <c r="Z249" s="207"/>
      <c r="AA249" s="207"/>
    </row>
    <row r="250">
      <c r="A250" s="203"/>
      <c r="B250" s="204"/>
      <c r="C250" s="204"/>
      <c r="D250" s="205"/>
      <c r="E250" s="212"/>
      <c r="F250" s="206"/>
      <c r="G250" s="167"/>
      <c r="H250" s="213"/>
      <c r="I250" s="167"/>
      <c r="J250" s="168"/>
      <c r="K250" s="169"/>
      <c r="L250" s="207"/>
      <c r="M250" s="207"/>
      <c r="N250" s="207"/>
      <c r="O250" s="207"/>
      <c r="P250" s="207"/>
      <c r="Q250" s="207"/>
      <c r="R250" s="207"/>
      <c r="S250" s="207"/>
      <c r="T250" s="207"/>
      <c r="U250" s="207"/>
      <c r="V250" s="207"/>
      <c r="W250" s="207"/>
      <c r="X250" s="207"/>
      <c r="Y250" s="207"/>
      <c r="Z250" s="207"/>
      <c r="AA250" s="207"/>
    </row>
    <row r="251">
      <c r="A251" s="203"/>
      <c r="B251" s="204"/>
      <c r="C251" s="204"/>
      <c r="D251" s="205"/>
      <c r="E251" s="212"/>
      <c r="F251" s="206"/>
      <c r="G251" s="167"/>
      <c r="H251" s="213"/>
      <c r="I251" s="167"/>
      <c r="J251" s="168"/>
      <c r="K251" s="169"/>
      <c r="L251" s="207"/>
      <c r="M251" s="207"/>
      <c r="N251" s="207"/>
      <c r="O251" s="207"/>
      <c r="P251" s="207"/>
      <c r="Q251" s="207"/>
      <c r="R251" s="207"/>
      <c r="S251" s="207"/>
      <c r="T251" s="207"/>
      <c r="U251" s="207"/>
      <c r="V251" s="207"/>
      <c r="W251" s="207"/>
      <c r="X251" s="207"/>
      <c r="Y251" s="207"/>
      <c r="Z251" s="207"/>
      <c r="AA251" s="207"/>
    </row>
    <row r="252">
      <c r="A252" s="203"/>
      <c r="B252" s="204"/>
      <c r="C252" s="204"/>
      <c r="D252" s="205"/>
      <c r="E252" s="212"/>
      <c r="F252" s="206"/>
      <c r="G252" s="167"/>
      <c r="H252" s="213"/>
      <c r="I252" s="167"/>
      <c r="J252" s="168"/>
      <c r="K252" s="169"/>
      <c r="L252" s="207"/>
      <c r="M252" s="207"/>
      <c r="N252" s="207"/>
      <c r="O252" s="207"/>
      <c r="P252" s="207"/>
      <c r="Q252" s="207"/>
      <c r="R252" s="207"/>
      <c r="S252" s="207"/>
      <c r="T252" s="207"/>
      <c r="U252" s="207"/>
      <c r="V252" s="207"/>
      <c r="W252" s="207"/>
      <c r="X252" s="207"/>
      <c r="Y252" s="207"/>
      <c r="Z252" s="207"/>
      <c r="AA252" s="207"/>
    </row>
    <row r="253">
      <c r="A253" s="203"/>
      <c r="B253" s="204"/>
      <c r="C253" s="204"/>
      <c r="D253" s="205"/>
      <c r="E253" s="212"/>
      <c r="F253" s="206"/>
      <c r="G253" s="167"/>
      <c r="H253" s="213"/>
      <c r="I253" s="167"/>
      <c r="J253" s="168"/>
      <c r="K253" s="169"/>
      <c r="L253" s="207"/>
      <c r="M253" s="207"/>
      <c r="N253" s="207"/>
      <c r="O253" s="207"/>
      <c r="P253" s="207"/>
      <c r="Q253" s="207"/>
      <c r="R253" s="207"/>
      <c r="S253" s="207"/>
      <c r="T253" s="207"/>
      <c r="U253" s="207"/>
      <c r="V253" s="207"/>
      <c r="W253" s="207"/>
      <c r="X253" s="207"/>
      <c r="Y253" s="207"/>
      <c r="Z253" s="207"/>
      <c r="AA253" s="207"/>
    </row>
    <row r="254">
      <c r="A254" s="203"/>
      <c r="B254" s="204"/>
      <c r="C254" s="204"/>
      <c r="D254" s="205"/>
      <c r="E254" s="212"/>
      <c r="F254" s="206"/>
      <c r="G254" s="167"/>
      <c r="H254" s="213"/>
      <c r="I254" s="167"/>
      <c r="J254" s="168"/>
      <c r="K254" s="169"/>
      <c r="L254" s="207"/>
      <c r="M254" s="207"/>
      <c r="N254" s="207"/>
      <c r="O254" s="207"/>
      <c r="P254" s="207"/>
      <c r="Q254" s="207"/>
      <c r="R254" s="207"/>
      <c r="S254" s="207"/>
      <c r="T254" s="207"/>
      <c r="U254" s="207"/>
      <c r="V254" s="207"/>
      <c r="W254" s="207"/>
      <c r="X254" s="207"/>
      <c r="Y254" s="207"/>
      <c r="Z254" s="207"/>
      <c r="AA254" s="207"/>
    </row>
    <row r="255">
      <c r="A255" s="203"/>
      <c r="B255" s="204"/>
      <c r="C255" s="204"/>
      <c r="D255" s="205"/>
      <c r="E255" s="212"/>
      <c r="F255" s="206"/>
      <c r="G255" s="167"/>
      <c r="H255" s="213"/>
      <c r="I255" s="167"/>
      <c r="J255" s="168"/>
      <c r="K255" s="169"/>
      <c r="L255" s="207"/>
      <c r="M255" s="207"/>
      <c r="N255" s="207"/>
      <c r="O255" s="207"/>
      <c r="P255" s="207"/>
      <c r="Q255" s="207"/>
      <c r="R255" s="207"/>
      <c r="S255" s="207"/>
      <c r="T255" s="207"/>
      <c r="U255" s="207"/>
      <c r="V255" s="207"/>
      <c r="W255" s="207"/>
      <c r="X255" s="207"/>
      <c r="Y255" s="207"/>
      <c r="Z255" s="207"/>
      <c r="AA255" s="207"/>
    </row>
    <row r="256">
      <c r="A256" s="203"/>
      <c r="B256" s="204"/>
      <c r="C256" s="204"/>
      <c r="D256" s="205"/>
      <c r="E256" s="212"/>
      <c r="F256" s="206"/>
      <c r="G256" s="167"/>
      <c r="H256" s="213"/>
      <c r="I256" s="167"/>
      <c r="J256" s="168"/>
      <c r="K256" s="169"/>
      <c r="L256" s="207"/>
      <c r="M256" s="207"/>
      <c r="N256" s="207"/>
      <c r="O256" s="207"/>
      <c r="P256" s="207"/>
      <c r="Q256" s="207"/>
      <c r="R256" s="207"/>
      <c r="S256" s="207"/>
      <c r="T256" s="207"/>
      <c r="U256" s="207"/>
      <c r="V256" s="207"/>
      <c r="W256" s="207"/>
      <c r="X256" s="207"/>
      <c r="Y256" s="207"/>
      <c r="Z256" s="207"/>
      <c r="AA256" s="207"/>
    </row>
    <row r="257">
      <c r="A257" s="203"/>
      <c r="B257" s="204"/>
      <c r="C257" s="204"/>
      <c r="D257" s="205"/>
      <c r="E257" s="212"/>
      <c r="F257" s="206"/>
      <c r="G257" s="167"/>
      <c r="H257" s="213"/>
      <c r="I257" s="167"/>
      <c r="J257" s="168"/>
      <c r="K257" s="169"/>
      <c r="L257" s="207"/>
      <c r="M257" s="207"/>
      <c r="N257" s="207"/>
      <c r="O257" s="207"/>
      <c r="P257" s="207"/>
      <c r="Q257" s="207"/>
      <c r="R257" s="207"/>
      <c r="S257" s="207"/>
      <c r="T257" s="207"/>
      <c r="U257" s="207"/>
      <c r="V257" s="207"/>
      <c r="W257" s="207"/>
      <c r="X257" s="207"/>
      <c r="Y257" s="207"/>
      <c r="Z257" s="207"/>
      <c r="AA257" s="207"/>
    </row>
    <row r="258">
      <c r="A258" s="203"/>
      <c r="B258" s="204"/>
      <c r="C258" s="204"/>
      <c r="D258" s="205"/>
      <c r="E258" s="212"/>
      <c r="F258" s="206"/>
      <c r="G258" s="167"/>
      <c r="H258" s="213"/>
      <c r="I258" s="167"/>
      <c r="J258" s="168"/>
      <c r="K258" s="169"/>
      <c r="L258" s="207"/>
      <c r="M258" s="207"/>
      <c r="N258" s="207"/>
      <c r="O258" s="207"/>
      <c r="P258" s="207"/>
      <c r="Q258" s="207"/>
      <c r="R258" s="207"/>
      <c r="S258" s="207"/>
      <c r="T258" s="207"/>
      <c r="U258" s="207"/>
      <c r="V258" s="207"/>
      <c r="W258" s="207"/>
      <c r="X258" s="207"/>
      <c r="Y258" s="207"/>
      <c r="Z258" s="207"/>
      <c r="AA258" s="207"/>
    </row>
    <row r="259">
      <c r="A259" s="203"/>
      <c r="B259" s="204"/>
      <c r="C259" s="204"/>
      <c r="D259" s="205"/>
      <c r="E259" s="212"/>
      <c r="F259" s="206"/>
      <c r="G259" s="167"/>
      <c r="H259" s="213"/>
      <c r="I259" s="167"/>
      <c r="J259" s="168"/>
      <c r="K259" s="169"/>
      <c r="L259" s="207"/>
      <c r="M259" s="207"/>
      <c r="N259" s="207"/>
      <c r="O259" s="207"/>
      <c r="P259" s="207"/>
      <c r="Q259" s="207"/>
      <c r="R259" s="207"/>
      <c r="S259" s="207"/>
      <c r="T259" s="207"/>
      <c r="U259" s="207"/>
      <c r="V259" s="207"/>
      <c r="W259" s="207"/>
      <c r="X259" s="207"/>
      <c r="Y259" s="207"/>
      <c r="Z259" s="207"/>
      <c r="AA259" s="207"/>
    </row>
    <row r="260">
      <c r="A260" s="203"/>
      <c r="B260" s="204"/>
      <c r="C260" s="204"/>
      <c r="D260" s="205"/>
      <c r="E260" s="212"/>
      <c r="F260" s="206"/>
      <c r="G260" s="167"/>
      <c r="H260" s="213"/>
      <c r="I260" s="167"/>
      <c r="J260" s="168"/>
      <c r="K260" s="169"/>
      <c r="L260" s="207"/>
      <c r="M260" s="207"/>
      <c r="N260" s="207"/>
      <c r="O260" s="207"/>
      <c r="P260" s="207"/>
      <c r="Q260" s="207"/>
      <c r="R260" s="207"/>
      <c r="S260" s="207"/>
      <c r="T260" s="207"/>
      <c r="U260" s="207"/>
      <c r="V260" s="207"/>
      <c r="W260" s="207"/>
      <c r="X260" s="207"/>
      <c r="Y260" s="207"/>
      <c r="Z260" s="207"/>
      <c r="AA260" s="207"/>
    </row>
    <row r="261">
      <c r="A261" s="203"/>
      <c r="B261" s="204"/>
      <c r="C261" s="204"/>
      <c r="D261" s="205"/>
      <c r="E261" s="212"/>
      <c r="F261" s="206"/>
      <c r="G261" s="167"/>
      <c r="H261" s="213"/>
      <c r="I261" s="167"/>
      <c r="J261" s="168"/>
      <c r="K261" s="169"/>
      <c r="L261" s="207"/>
      <c r="M261" s="207"/>
      <c r="N261" s="207"/>
      <c r="O261" s="207"/>
      <c r="P261" s="207"/>
      <c r="Q261" s="207"/>
      <c r="R261" s="207"/>
      <c r="S261" s="207"/>
      <c r="T261" s="207"/>
      <c r="U261" s="207"/>
      <c r="V261" s="207"/>
      <c r="W261" s="207"/>
      <c r="X261" s="207"/>
      <c r="Y261" s="207"/>
      <c r="Z261" s="207"/>
      <c r="AA261" s="207"/>
    </row>
    <row r="262">
      <c r="A262" s="203"/>
      <c r="B262" s="204"/>
      <c r="C262" s="204"/>
      <c r="D262" s="205"/>
      <c r="E262" s="212"/>
      <c r="F262" s="206"/>
      <c r="G262" s="167"/>
      <c r="H262" s="213"/>
      <c r="I262" s="167"/>
      <c r="J262" s="168"/>
      <c r="K262" s="169"/>
      <c r="L262" s="207"/>
      <c r="M262" s="207"/>
      <c r="N262" s="207"/>
      <c r="O262" s="207"/>
      <c r="P262" s="207"/>
      <c r="Q262" s="207"/>
      <c r="R262" s="207"/>
      <c r="S262" s="207"/>
      <c r="T262" s="207"/>
      <c r="U262" s="207"/>
      <c r="V262" s="207"/>
      <c r="W262" s="207"/>
      <c r="X262" s="207"/>
      <c r="Y262" s="207"/>
      <c r="Z262" s="207"/>
      <c r="AA262" s="207"/>
    </row>
    <row r="263">
      <c r="A263" s="203"/>
      <c r="B263" s="204"/>
      <c r="C263" s="204"/>
      <c r="D263" s="205"/>
      <c r="E263" s="212"/>
      <c r="F263" s="206"/>
      <c r="G263" s="167"/>
      <c r="H263" s="213"/>
      <c r="I263" s="167"/>
      <c r="J263" s="168"/>
      <c r="K263" s="169"/>
      <c r="L263" s="207"/>
      <c r="M263" s="207"/>
      <c r="N263" s="207"/>
      <c r="O263" s="207"/>
      <c r="P263" s="207"/>
      <c r="Q263" s="207"/>
      <c r="R263" s="207"/>
      <c r="S263" s="207"/>
      <c r="T263" s="207"/>
      <c r="U263" s="207"/>
      <c r="V263" s="207"/>
      <c r="W263" s="207"/>
      <c r="X263" s="207"/>
      <c r="Y263" s="207"/>
      <c r="Z263" s="207"/>
      <c r="AA263" s="207"/>
    </row>
    <row r="264">
      <c r="A264" s="203"/>
      <c r="B264" s="204"/>
      <c r="C264" s="204"/>
      <c r="D264" s="205"/>
      <c r="E264" s="212"/>
      <c r="F264" s="206"/>
      <c r="G264" s="167"/>
      <c r="H264" s="213"/>
      <c r="I264" s="167"/>
      <c r="J264" s="168"/>
      <c r="K264" s="169"/>
      <c r="L264" s="207"/>
      <c r="M264" s="207"/>
      <c r="N264" s="207"/>
      <c r="O264" s="207"/>
      <c r="P264" s="207"/>
      <c r="Q264" s="207"/>
      <c r="R264" s="207"/>
      <c r="S264" s="207"/>
      <c r="T264" s="207"/>
      <c r="U264" s="207"/>
      <c r="V264" s="207"/>
      <c r="W264" s="207"/>
      <c r="X264" s="207"/>
      <c r="Y264" s="207"/>
      <c r="Z264" s="207"/>
      <c r="AA264" s="207"/>
    </row>
    <row r="265">
      <c r="A265" s="203"/>
      <c r="B265" s="204"/>
      <c r="C265" s="204"/>
      <c r="D265" s="205"/>
      <c r="E265" s="212"/>
      <c r="F265" s="206"/>
      <c r="G265" s="167"/>
      <c r="H265" s="213"/>
      <c r="I265" s="167"/>
      <c r="J265" s="168"/>
      <c r="K265" s="169"/>
      <c r="L265" s="207"/>
      <c r="M265" s="207"/>
      <c r="N265" s="207"/>
      <c r="O265" s="207"/>
      <c r="P265" s="207"/>
      <c r="Q265" s="207"/>
      <c r="R265" s="207"/>
      <c r="S265" s="207"/>
      <c r="T265" s="207"/>
      <c r="U265" s="207"/>
      <c r="V265" s="207"/>
      <c r="W265" s="207"/>
      <c r="X265" s="207"/>
      <c r="Y265" s="207"/>
      <c r="Z265" s="207"/>
      <c r="AA265" s="207"/>
    </row>
    <row r="266">
      <c r="A266" s="203"/>
      <c r="B266" s="204"/>
      <c r="C266" s="204"/>
      <c r="D266" s="205"/>
      <c r="E266" s="212"/>
      <c r="F266" s="206"/>
      <c r="G266" s="167"/>
      <c r="H266" s="213"/>
      <c r="I266" s="167"/>
      <c r="J266" s="168"/>
      <c r="K266" s="169"/>
      <c r="L266" s="207"/>
      <c r="M266" s="207"/>
      <c r="N266" s="207"/>
      <c r="O266" s="207"/>
      <c r="P266" s="207"/>
      <c r="Q266" s="207"/>
      <c r="R266" s="207"/>
      <c r="S266" s="207"/>
      <c r="T266" s="207"/>
      <c r="U266" s="207"/>
      <c r="V266" s="207"/>
      <c r="W266" s="207"/>
      <c r="X266" s="207"/>
      <c r="Y266" s="207"/>
      <c r="Z266" s="207"/>
      <c r="AA266" s="207"/>
    </row>
    <row r="267">
      <c r="A267" s="203"/>
      <c r="B267" s="204"/>
      <c r="C267" s="204"/>
      <c r="D267" s="205"/>
      <c r="E267" s="212"/>
      <c r="F267" s="206"/>
      <c r="G267" s="167"/>
      <c r="H267" s="213"/>
      <c r="I267" s="167"/>
      <c r="J267" s="168"/>
      <c r="K267" s="169"/>
      <c r="L267" s="207"/>
      <c r="M267" s="207"/>
      <c r="N267" s="207"/>
      <c r="O267" s="207"/>
      <c r="P267" s="207"/>
      <c r="Q267" s="207"/>
      <c r="R267" s="207"/>
      <c r="S267" s="207"/>
      <c r="T267" s="207"/>
      <c r="U267" s="207"/>
      <c r="V267" s="207"/>
      <c r="W267" s="207"/>
      <c r="X267" s="207"/>
      <c r="Y267" s="207"/>
      <c r="Z267" s="207"/>
      <c r="AA267" s="207"/>
    </row>
    <row r="268">
      <c r="A268" s="203"/>
      <c r="B268" s="204"/>
      <c r="C268" s="204"/>
      <c r="D268" s="205"/>
      <c r="E268" s="212"/>
      <c r="F268" s="206"/>
      <c r="G268" s="167"/>
      <c r="H268" s="213"/>
      <c r="I268" s="167"/>
      <c r="J268" s="168"/>
      <c r="K268" s="169"/>
      <c r="L268" s="207"/>
      <c r="M268" s="207"/>
      <c r="N268" s="207"/>
      <c r="O268" s="207"/>
      <c r="P268" s="207"/>
      <c r="Q268" s="207"/>
      <c r="R268" s="207"/>
      <c r="S268" s="207"/>
      <c r="T268" s="207"/>
      <c r="U268" s="207"/>
      <c r="V268" s="207"/>
      <c r="W268" s="207"/>
      <c r="X268" s="207"/>
      <c r="Y268" s="207"/>
      <c r="Z268" s="207"/>
      <c r="AA268" s="207"/>
    </row>
    <row r="269">
      <c r="A269" s="203"/>
      <c r="B269" s="204"/>
      <c r="C269" s="204"/>
      <c r="D269" s="205"/>
      <c r="E269" s="212"/>
      <c r="F269" s="206"/>
      <c r="G269" s="167"/>
      <c r="H269" s="213"/>
      <c r="I269" s="167"/>
      <c r="J269" s="168"/>
      <c r="K269" s="169"/>
      <c r="L269" s="207"/>
      <c r="M269" s="207"/>
      <c r="N269" s="207"/>
      <c r="O269" s="207"/>
      <c r="P269" s="207"/>
      <c r="Q269" s="207"/>
      <c r="R269" s="207"/>
      <c r="S269" s="207"/>
      <c r="T269" s="207"/>
      <c r="U269" s="207"/>
      <c r="V269" s="207"/>
      <c r="W269" s="207"/>
      <c r="X269" s="207"/>
      <c r="Y269" s="207"/>
      <c r="Z269" s="207"/>
      <c r="AA269" s="207"/>
    </row>
    <row r="270">
      <c r="A270" s="203"/>
      <c r="B270" s="204"/>
      <c r="C270" s="204"/>
      <c r="D270" s="205"/>
      <c r="E270" s="212"/>
      <c r="F270" s="206"/>
      <c r="G270" s="167"/>
      <c r="H270" s="213"/>
      <c r="I270" s="167"/>
      <c r="J270" s="168"/>
      <c r="K270" s="169"/>
      <c r="L270" s="207"/>
      <c r="M270" s="207"/>
      <c r="N270" s="207"/>
      <c r="O270" s="207"/>
      <c r="P270" s="207"/>
      <c r="Q270" s="207"/>
      <c r="R270" s="207"/>
      <c r="S270" s="207"/>
      <c r="T270" s="207"/>
      <c r="U270" s="207"/>
      <c r="V270" s="207"/>
      <c r="W270" s="207"/>
      <c r="X270" s="207"/>
      <c r="Y270" s="207"/>
      <c r="Z270" s="207"/>
      <c r="AA270" s="207"/>
    </row>
    <row r="271">
      <c r="A271" s="203"/>
      <c r="B271" s="204"/>
      <c r="C271" s="204"/>
      <c r="D271" s="205"/>
      <c r="E271" s="212"/>
      <c r="F271" s="206"/>
      <c r="G271" s="167"/>
      <c r="H271" s="213"/>
      <c r="I271" s="167"/>
      <c r="J271" s="168"/>
      <c r="K271" s="169"/>
      <c r="L271" s="207"/>
      <c r="M271" s="207"/>
      <c r="N271" s="207"/>
      <c r="O271" s="207"/>
      <c r="P271" s="207"/>
      <c r="Q271" s="207"/>
      <c r="R271" s="207"/>
      <c r="S271" s="207"/>
      <c r="T271" s="207"/>
      <c r="U271" s="207"/>
      <c r="V271" s="207"/>
      <c r="W271" s="207"/>
      <c r="X271" s="207"/>
      <c r="Y271" s="207"/>
      <c r="Z271" s="207"/>
      <c r="AA271" s="207"/>
    </row>
    <row r="272">
      <c r="A272" s="203"/>
      <c r="B272" s="204"/>
      <c r="C272" s="204"/>
      <c r="D272" s="205"/>
      <c r="E272" s="212"/>
      <c r="F272" s="206"/>
      <c r="G272" s="167"/>
      <c r="H272" s="213"/>
      <c r="I272" s="167"/>
      <c r="J272" s="168"/>
      <c r="K272" s="169"/>
      <c r="L272" s="207"/>
      <c r="M272" s="207"/>
      <c r="N272" s="207"/>
      <c r="O272" s="207"/>
      <c r="P272" s="207"/>
      <c r="Q272" s="207"/>
      <c r="R272" s="207"/>
      <c r="S272" s="207"/>
      <c r="T272" s="207"/>
      <c r="U272" s="207"/>
      <c r="V272" s="207"/>
      <c r="W272" s="207"/>
      <c r="X272" s="207"/>
      <c r="Y272" s="207"/>
      <c r="Z272" s="207"/>
      <c r="AA272" s="207"/>
    </row>
    <row r="273">
      <c r="A273" s="203"/>
      <c r="B273" s="204"/>
      <c r="C273" s="204"/>
      <c r="D273" s="205"/>
      <c r="E273" s="212"/>
      <c r="F273" s="206"/>
      <c r="G273" s="167"/>
      <c r="H273" s="213"/>
      <c r="I273" s="167"/>
      <c r="J273" s="168"/>
      <c r="K273" s="169"/>
      <c r="L273" s="207"/>
      <c r="M273" s="207"/>
      <c r="N273" s="207"/>
      <c r="O273" s="207"/>
      <c r="P273" s="207"/>
      <c r="Q273" s="207"/>
      <c r="R273" s="207"/>
      <c r="S273" s="207"/>
      <c r="T273" s="207"/>
      <c r="U273" s="207"/>
      <c r="V273" s="207"/>
      <c r="W273" s="207"/>
      <c r="X273" s="207"/>
      <c r="Y273" s="207"/>
      <c r="Z273" s="207"/>
      <c r="AA273" s="207"/>
    </row>
    <row r="274">
      <c r="A274" s="203"/>
      <c r="B274" s="204"/>
      <c r="C274" s="204"/>
      <c r="D274" s="205"/>
      <c r="E274" s="212"/>
      <c r="F274" s="206"/>
      <c r="G274" s="167"/>
      <c r="H274" s="213"/>
      <c r="I274" s="167"/>
      <c r="J274" s="168"/>
      <c r="K274" s="169"/>
      <c r="L274" s="207"/>
      <c r="M274" s="207"/>
      <c r="N274" s="207"/>
      <c r="O274" s="207"/>
      <c r="P274" s="207"/>
      <c r="Q274" s="207"/>
      <c r="R274" s="207"/>
      <c r="S274" s="207"/>
      <c r="T274" s="207"/>
      <c r="U274" s="207"/>
      <c r="V274" s="207"/>
      <c r="W274" s="207"/>
      <c r="X274" s="207"/>
      <c r="Y274" s="207"/>
      <c r="Z274" s="207"/>
      <c r="AA274" s="207"/>
    </row>
    <row r="275">
      <c r="A275" s="203"/>
      <c r="B275" s="204"/>
      <c r="C275" s="204"/>
      <c r="D275" s="205"/>
      <c r="E275" s="212"/>
      <c r="F275" s="206"/>
      <c r="G275" s="167"/>
      <c r="H275" s="213"/>
      <c r="I275" s="167"/>
      <c r="J275" s="168"/>
      <c r="K275" s="169"/>
      <c r="L275" s="207"/>
      <c r="M275" s="207"/>
      <c r="N275" s="207"/>
      <c r="O275" s="207"/>
      <c r="P275" s="207"/>
      <c r="Q275" s="207"/>
      <c r="R275" s="207"/>
      <c r="S275" s="207"/>
      <c r="T275" s="207"/>
      <c r="U275" s="207"/>
      <c r="V275" s="207"/>
      <c r="W275" s="207"/>
      <c r="X275" s="207"/>
      <c r="Y275" s="207"/>
      <c r="Z275" s="207"/>
      <c r="AA275" s="207"/>
    </row>
    <row r="276">
      <c r="A276" s="203"/>
      <c r="B276" s="204"/>
      <c r="C276" s="204"/>
      <c r="D276" s="205"/>
      <c r="E276" s="212"/>
      <c r="F276" s="206"/>
      <c r="G276" s="167"/>
      <c r="H276" s="213"/>
      <c r="I276" s="167"/>
      <c r="J276" s="168"/>
      <c r="K276" s="169"/>
      <c r="L276" s="207"/>
      <c r="M276" s="207"/>
      <c r="N276" s="207"/>
      <c r="O276" s="207"/>
      <c r="P276" s="207"/>
      <c r="Q276" s="207"/>
      <c r="R276" s="207"/>
      <c r="S276" s="207"/>
      <c r="T276" s="207"/>
      <c r="U276" s="207"/>
      <c r="V276" s="207"/>
      <c r="W276" s="207"/>
      <c r="X276" s="207"/>
      <c r="Y276" s="207"/>
      <c r="Z276" s="207"/>
      <c r="AA276" s="207"/>
    </row>
    <row r="277">
      <c r="A277" s="203"/>
      <c r="B277" s="204"/>
      <c r="C277" s="204"/>
      <c r="D277" s="205"/>
      <c r="E277" s="212"/>
      <c r="F277" s="206"/>
      <c r="G277" s="167"/>
      <c r="H277" s="213"/>
      <c r="I277" s="167"/>
      <c r="J277" s="168"/>
      <c r="K277" s="169"/>
      <c r="L277" s="207"/>
      <c r="M277" s="207"/>
      <c r="N277" s="207"/>
      <c r="O277" s="207"/>
      <c r="P277" s="207"/>
      <c r="Q277" s="207"/>
      <c r="R277" s="207"/>
      <c r="S277" s="207"/>
      <c r="T277" s="207"/>
      <c r="U277" s="207"/>
      <c r="V277" s="207"/>
      <c r="W277" s="207"/>
      <c r="X277" s="207"/>
      <c r="Y277" s="207"/>
      <c r="Z277" s="207"/>
      <c r="AA277" s="207"/>
    </row>
    <row r="278">
      <c r="A278" s="203"/>
      <c r="B278" s="204"/>
      <c r="C278" s="204"/>
      <c r="D278" s="205"/>
      <c r="E278" s="212"/>
      <c r="F278" s="206"/>
      <c r="G278" s="167"/>
      <c r="H278" s="213"/>
      <c r="I278" s="167"/>
      <c r="J278" s="168"/>
      <c r="K278" s="169"/>
      <c r="L278" s="207"/>
      <c r="M278" s="207"/>
      <c r="N278" s="207"/>
      <c r="O278" s="207"/>
      <c r="P278" s="207"/>
      <c r="Q278" s="207"/>
      <c r="R278" s="207"/>
      <c r="S278" s="207"/>
      <c r="T278" s="207"/>
      <c r="U278" s="207"/>
      <c r="V278" s="207"/>
      <c r="W278" s="207"/>
      <c r="X278" s="207"/>
      <c r="Y278" s="207"/>
      <c r="Z278" s="207"/>
      <c r="AA278" s="207"/>
    </row>
    <row r="279">
      <c r="A279" s="203"/>
      <c r="B279" s="204"/>
      <c r="C279" s="204"/>
      <c r="D279" s="205"/>
      <c r="E279" s="212"/>
      <c r="F279" s="206"/>
      <c r="G279" s="167"/>
      <c r="H279" s="213"/>
      <c r="I279" s="167"/>
      <c r="J279" s="168"/>
      <c r="K279" s="169"/>
      <c r="L279" s="207"/>
      <c r="M279" s="207"/>
      <c r="N279" s="207"/>
      <c r="O279" s="207"/>
      <c r="P279" s="207"/>
      <c r="Q279" s="207"/>
      <c r="R279" s="207"/>
      <c r="S279" s="207"/>
      <c r="T279" s="207"/>
      <c r="U279" s="207"/>
      <c r="V279" s="207"/>
      <c r="W279" s="207"/>
      <c r="X279" s="207"/>
      <c r="Y279" s="207"/>
      <c r="Z279" s="207"/>
      <c r="AA279" s="207"/>
    </row>
    <row r="280">
      <c r="A280" s="203"/>
      <c r="B280" s="204"/>
      <c r="C280" s="204"/>
      <c r="D280" s="205"/>
      <c r="E280" s="212"/>
      <c r="F280" s="206"/>
      <c r="G280" s="167"/>
      <c r="H280" s="213"/>
      <c r="I280" s="167"/>
      <c r="J280" s="168"/>
      <c r="K280" s="169"/>
      <c r="L280" s="207"/>
      <c r="M280" s="207"/>
      <c r="N280" s="207"/>
      <c r="O280" s="207"/>
      <c r="P280" s="207"/>
      <c r="Q280" s="207"/>
      <c r="R280" s="207"/>
      <c r="S280" s="207"/>
      <c r="T280" s="207"/>
      <c r="U280" s="207"/>
      <c r="V280" s="207"/>
      <c r="W280" s="207"/>
      <c r="X280" s="207"/>
      <c r="Y280" s="207"/>
      <c r="Z280" s="207"/>
      <c r="AA280" s="207"/>
    </row>
    <row r="281">
      <c r="A281" s="203"/>
      <c r="B281" s="204"/>
      <c r="C281" s="204"/>
      <c r="D281" s="205"/>
      <c r="E281" s="212"/>
      <c r="F281" s="206"/>
      <c r="G281" s="167"/>
      <c r="H281" s="213"/>
      <c r="I281" s="167"/>
      <c r="J281" s="168"/>
      <c r="K281" s="169"/>
      <c r="L281" s="207"/>
      <c r="M281" s="207"/>
      <c r="N281" s="207"/>
      <c r="O281" s="207"/>
      <c r="P281" s="207"/>
      <c r="Q281" s="207"/>
      <c r="R281" s="207"/>
      <c r="S281" s="207"/>
      <c r="T281" s="207"/>
      <c r="U281" s="207"/>
      <c r="V281" s="207"/>
      <c r="W281" s="207"/>
      <c r="X281" s="207"/>
      <c r="Y281" s="207"/>
      <c r="Z281" s="207"/>
      <c r="AA281" s="207"/>
    </row>
    <row r="282">
      <c r="A282" s="203"/>
      <c r="B282" s="204"/>
      <c r="C282" s="204"/>
      <c r="D282" s="205"/>
      <c r="E282" s="212"/>
      <c r="F282" s="206"/>
      <c r="G282" s="167"/>
      <c r="H282" s="213"/>
      <c r="I282" s="167"/>
      <c r="J282" s="168"/>
      <c r="K282" s="169"/>
      <c r="L282" s="207"/>
      <c r="M282" s="207"/>
      <c r="N282" s="207"/>
      <c r="O282" s="207"/>
      <c r="P282" s="207"/>
      <c r="Q282" s="207"/>
      <c r="R282" s="207"/>
      <c r="S282" s="207"/>
      <c r="T282" s="207"/>
      <c r="U282" s="207"/>
      <c r="V282" s="207"/>
      <c r="W282" s="207"/>
      <c r="X282" s="207"/>
      <c r="Y282" s="207"/>
      <c r="Z282" s="207"/>
      <c r="AA282" s="207"/>
    </row>
    <row r="283">
      <c r="A283" s="203"/>
      <c r="B283" s="204"/>
      <c r="C283" s="204"/>
      <c r="D283" s="205"/>
      <c r="E283" s="212"/>
      <c r="F283" s="206"/>
      <c r="G283" s="167"/>
      <c r="H283" s="213"/>
      <c r="I283" s="167"/>
      <c r="J283" s="168"/>
      <c r="K283" s="169"/>
      <c r="L283" s="207"/>
      <c r="M283" s="207"/>
      <c r="N283" s="207"/>
      <c r="O283" s="207"/>
      <c r="P283" s="207"/>
      <c r="Q283" s="207"/>
      <c r="R283" s="207"/>
      <c r="S283" s="207"/>
      <c r="T283" s="207"/>
      <c r="U283" s="207"/>
      <c r="V283" s="207"/>
      <c r="W283" s="207"/>
      <c r="X283" s="207"/>
      <c r="Y283" s="207"/>
      <c r="Z283" s="207"/>
      <c r="AA283" s="207"/>
    </row>
    <row r="284">
      <c r="A284" s="203"/>
      <c r="B284" s="204"/>
      <c r="C284" s="204"/>
      <c r="D284" s="205"/>
      <c r="E284" s="212"/>
      <c r="F284" s="206"/>
      <c r="G284" s="167"/>
      <c r="H284" s="213"/>
      <c r="I284" s="167"/>
      <c r="J284" s="168"/>
      <c r="K284" s="169"/>
      <c r="L284" s="207"/>
      <c r="M284" s="207"/>
      <c r="N284" s="207"/>
      <c r="O284" s="207"/>
      <c r="P284" s="207"/>
      <c r="Q284" s="207"/>
      <c r="R284" s="207"/>
      <c r="S284" s="207"/>
      <c r="T284" s="207"/>
      <c r="U284" s="207"/>
      <c r="V284" s="207"/>
      <c r="W284" s="207"/>
      <c r="X284" s="207"/>
      <c r="Y284" s="207"/>
      <c r="Z284" s="207"/>
      <c r="AA284" s="207"/>
    </row>
    <row r="285">
      <c r="A285" s="203"/>
      <c r="B285" s="204"/>
      <c r="C285" s="204"/>
      <c r="D285" s="205"/>
      <c r="E285" s="212"/>
      <c r="F285" s="206"/>
      <c r="G285" s="167"/>
      <c r="H285" s="213"/>
      <c r="I285" s="167"/>
      <c r="J285" s="168"/>
      <c r="K285" s="169"/>
      <c r="L285" s="207"/>
      <c r="M285" s="207"/>
      <c r="N285" s="207"/>
      <c r="O285" s="207"/>
      <c r="P285" s="207"/>
      <c r="Q285" s="207"/>
      <c r="R285" s="207"/>
      <c r="S285" s="207"/>
      <c r="T285" s="207"/>
      <c r="U285" s="207"/>
      <c r="V285" s="207"/>
      <c r="W285" s="207"/>
      <c r="X285" s="207"/>
      <c r="Y285" s="207"/>
      <c r="Z285" s="207"/>
      <c r="AA285" s="207"/>
    </row>
    <row r="286">
      <c r="A286" s="203"/>
      <c r="B286" s="204"/>
      <c r="C286" s="204"/>
      <c r="D286" s="205"/>
      <c r="E286" s="212"/>
      <c r="F286" s="206"/>
      <c r="G286" s="167"/>
      <c r="H286" s="213"/>
      <c r="I286" s="167"/>
      <c r="J286" s="168"/>
      <c r="K286" s="169"/>
      <c r="L286" s="207"/>
      <c r="M286" s="207"/>
      <c r="N286" s="207"/>
      <c r="O286" s="207"/>
      <c r="P286" s="207"/>
      <c r="Q286" s="207"/>
      <c r="R286" s="207"/>
      <c r="S286" s="207"/>
      <c r="T286" s="207"/>
      <c r="U286" s="207"/>
      <c r="V286" s="207"/>
      <c r="W286" s="207"/>
      <c r="X286" s="207"/>
      <c r="Y286" s="207"/>
      <c r="Z286" s="207"/>
      <c r="AA286" s="207"/>
    </row>
    <row r="287">
      <c r="A287" s="203"/>
      <c r="B287" s="204"/>
      <c r="C287" s="204"/>
      <c r="D287" s="205"/>
      <c r="E287" s="212"/>
      <c r="F287" s="206"/>
      <c r="G287" s="167"/>
      <c r="H287" s="213"/>
      <c r="I287" s="167"/>
      <c r="J287" s="168"/>
      <c r="K287" s="169"/>
      <c r="L287" s="207"/>
      <c r="M287" s="207"/>
      <c r="N287" s="207"/>
      <c r="O287" s="207"/>
      <c r="P287" s="207"/>
      <c r="Q287" s="207"/>
      <c r="R287" s="207"/>
      <c r="S287" s="207"/>
      <c r="T287" s="207"/>
      <c r="U287" s="207"/>
      <c r="V287" s="207"/>
      <c r="W287" s="207"/>
      <c r="X287" s="207"/>
      <c r="Y287" s="207"/>
      <c r="Z287" s="207"/>
      <c r="AA287" s="207"/>
    </row>
    <row r="288">
      <c r="A288" s="203"/>
      <c r="B288" s="204"/>
      <c r="C288" s="204"/>
      <c r="D288" s="205"/>
      <c r="E288" s="212"/>
      <c r="F288" s="206"/>
      <c r="G288" s="167"/>
      <c r="H288" s="213"/>
      <c r="I288" s="167"/>
      <c r="J288" s="168"/>
      <c r="K288" s="169"/>
      <c r="L288" s="207"/>
      <c r="M288" s="207"/>
      <c r="N288" s="207"/>
      <c r="O288" s="207"/>
      <c r="P288" s="207"/>
      <c r="Q288" s="207"/>
      <c r="R288" s="207"/>
      <c r="S288" s="207"/>
      <c r="T288" s="207"/>
      <c r="U288" s="207"/>
      <c r="V288" s="207"/>
      <c r="W288" s="207"/>
      <c r="X288" s="207"/>
      <c r="Y288" s="207"/>
      <c r="Z288" s="207"/>
      <c r="AA288" s="207"/>
    </row>
    <row r="289">
      <c r="A289" s="203"/>
      <c r="B289" s="204"/>
      <c r="C289" s="204"/>
      <c r="D289" s="205"/>
      <c r="E289" s="212"/>
      <c r="F289" s="206"/>
      <c r="G289" s="167"/>
      <c r="H289" s="213"/>
      <c r="I289" s="167"/>
      <c r="J289" s="168"/>
      <c r="K289" s="169"/>
      <c r="L289" s="207"/>
      <c r="M289" s="207"/>
      <c r="N289" s="207"/>
      <c r="O289" s="207"/>
      <c r="P289" s="207"/>
      <c r="Q289" s="207"/>
      <c r="R289" s="207"/>
      <c r="S289" s="207"/>
      <c r="T289" s="207"/>
      <c r="U289" s="207"/>
      <c r="V289" s="207"/>
      <c r="W289" s="207"/>
      <c r="X289" s="207"/>
      <c r="Y289" s="207"/>
      <c r="Z289" s="207"/>
      <c r="AA289" s="207"/>
    </row>
    <row r="290">
      <c r="A290" s="203"/>
      <c r="B290" s="204"/>
      <c r="C290" s="204"/>
      <c r="D290" s="205"/>
      <c r="E290" s="212"/>
      <c r="F290" s="206"/>
      <c r="G290" s="167"/>
      <c r="H290" s="213"/>
      <c r="I290" s="167"/>
      <c r="J290" s="168"/>
      <c r="K290" s="169"/>
      <c r="L290" s="207"/>
      <c r="M290" s="207"/>
      <c r="N290" s="207"/>
      <c r="O290" s="207"/>
      <c r="P290" s="207"/>
      <c r="Q290" s="207"/>
      <c r="R290" s="207"/>
      <c r="S290" s="207"/>
      <c r="T290" s="207"/>
      <c r="U290" s="207"/>
      <c r="V290" s="207"/>
      <c r="W290" s="207"/>
      <c r="X290" s="207"/>
      <c r="Y290" s="207"/>
      <c r="Z290" s="207"/>
      <c r="AA290" s="207"/>
    </row>
    <row r="291">
      <c r="A291" s="203"/>
      <c r="B291" s="204"/>
      <c r="C291" s="204"/>
      <c r="D291" s="205"/>
      <c r="E291" s="212"/>
      <c r="F291" s="206"/>
      <c r="G291" s="167"/>
      <c r="H291" s="213"/>
      <c r="I291" s="167"/>
      <c r="J291" s="168"/>
      <c r="K291" s="169"/>
      <c r="L291" s="207"/>
      <c r="M291" s="207"/>
      <c r="N291" s="207"/>
      <c r="O291" s="207"/>
      <c r="P291" s="207"/>
      <c r="Q291" s="207"/>
      <c r="R291" s="207"/>
      <c r="S291" s="207"/>
      <c r="T291" s="207"/>
      <c r="U291" s="207"/>
      <c r="V291" s="207"/>
      <c r="W291" s="207"/>
      <c r="X291" s="207"/>
      <c r="Y291" s="207"/>
      <c r="Z291" s="207"/>
      <c r="AA291" s="207"/>
    </row>
    <row r="292">
      <c r="A292" s="203"/>
      <c r="B292" s="204"/>
      <c r="C292" s="204"/>
      <c r="D292" s="205"/>
      <c r="E292" s="212"/>
      <c r="F292" s="206"/>
      <c r="G292" s="167"/>
      <c r="H292" s="213"/>
      <c r="I292" s="167"/>
      <c r="J292" s="168"/>
      <c r="K292" s="169"/>
      <c r="L292" s="207"/>
      <c r="M292" s="207"/>
      <c r="N292" s="207"/>
      <c r="O292" s="207"/>
      <c r="P292" s="207"/>
      <c r="Q292" s="207"/>
      <c r="R292" s="207"/>
      <c r="S292" s="207"/>
      <c r="T292" s="207"/>
      <c r="U292" s="207"/>
      <c r="V292" s="207"/>
      <c r="W292" s="207"/>
      <c r="X292" s="207"/>
      <c r="Y292" s="207"/>
      <c r="Z292" s="207"/>
      <c r="AA292" s="207"/>
    </row>
    <row r="293">
      <c r="A293" s="203"/>
      <c r="B293" s="204"/>
      <c r="C293" s="204"/>
      <c r="D293" s="205"/>
      <c r="E293" s="212"/>
      <c r="F293" s="206"/>
      <c r="G293" s="167"/>
      <c r="H293" s="213"/>
      <c r="I293" s="167"/>
      <c r="J293" s="168"/>
      <c r="K293" s="169"/>
      <c r="L293" s="207"/>
      <c r="M293" s="207"/>
      <c r="N293" s="207"/>
      <c r="O293" s="207"/>
      <c r="P293" s="207"/>
      <c r="Q293" s="207"/>
      <c r="R293" s="207"/>
      <c r="S293" s="207"/>
      <c r="T293" s="207"/>
      <c r="U293" s="207"/>
      <c r="V293" s="207"/>
      <c r="W293" s="207"/>
      <c r="X293" s="207"/>
      <c r="Y293" s="207"/>
      <c r="Z293" s="207"/>
      <c r="AA293" s="207"/>
    </row>
    <row r="294">
      <c r="A294" s="203"/>
      <c r="B294" s="204"/>
      <c r="C294" s="204"/>
      <c r="D294" s="205"/>
      <c r="E294" s="212"/>
      <c r="F294" s="206"/>
      <c r="G294" s="167"/>
      <c r="H294" s="213"/>
      <c r="I294" s="167"/>
      <c r="J294" s="168"/>
      <c r="K294" s="169"/>
      <c r="L294" s="207"/>
      <c r="M294" s="207"/>
      <c r="N294" s="207"/>
      <c r="O294" s="207"/>
      <c r="P294" s="207"/>
      <c r="Q294" s="207"/>
      <c r="R294" s="207"/>
      <c r="S294" s="207"/>
      <c r="T294" s="207"/>
      <c r="U294" s="207"/>
      <c r="V294" s="207"/>
      <c r="W294" s="207"/>
      <c r="X294" s="207"/>
      <c r="Y294" s="207"/>
      <c r="Z294" s="207"/>
      <c r="AA294" s="207"/>
    </row>
    <row r="295">
      <c r="A295" s="203"/>
      <c r="B295" s="204"/>
      <c r="C295" s="204"/>
      <c r="D295" s="205"/>
      <c r="E295" s="212"/>
      <c r="F295" s="206"/>
      <c r="G295" s="167"/>
      <c r="H295" s="213"/>
      <c r="I295" s="167"/>
      <c r="J295" s="168"/>
      <c r="K295" s="169"/>
      <c r="L295" s="207"/>
      <c r="M295" s="207"/>
      <c r="N295" s="207"/>
      <c r="O295" s="207"/>
      <c r="P295" s="207"/>
      <c r="Q295" s="207"/>
      <c r="R295" s="207"/>
      <c r="S295" s="207"/>
      <c r="T295" s="207"/>
      <c r="U295" s="207"/>
      <c r="V295" s="207"/>
      <c r="W295" s="207"/>
      <c r="X295" s="207"/>
      <c r="Y295" s="207"/>
      <c r="Z295" s="207"/>
      <c r="AA295" s="207"/>
    </row>
    <row r="296">
      <c r="A296" s="203"/>
      <c r="B296" s="204"/>
      <c r="C296" s="204"/>
      <c r="D296" s="205"/>
      <c r="E296" s="212"/>
      <c r="F296" s="206"/>
      <c r="G296" s="167"/>
      <c r="H296" s="213"/>
      <c r="I296" s="167"/>
      <c r="J296" s="168"/>
      <c r="K296" s="169"/>
      <c r="L296" s="207"/>
      <c r="M296" s="207"/>
      <c r="N296" s="207"/>
      <c r="O296" s="207"/>
      <c r="P296" s="207"/>
      <c r="Q296" s="207"/>
      <c r="R296" s="207"/>
      <c r="S296" s="207"/>
      <c r="T296" s="207"/>
      <c r="U296" s="207"/>
      <c r="V296" s="207"/>
      <c r="W296" s="207"/>
      <c r="X296" s="207"/>
      <c r="Y296" s="207"/>
      <c r="Z296" s="207"/>
      <c r="AA296" s="207"/>
    </row>
    <row r="297">
      <c r="A297" s="203"/>
      <c r="B297" s="204"/>
      <c r="C297" s="204"/>
      <c r="D297" s="205"/>
      <c r="E297" s="212"/>
      <c r="F297" s="206"/>
      <c r="G297" s="167"/>
      <c r="H297" s="213"/>
      <c r="I297" s="167"/>
      <c r="J297" s="168"/>
      <c r="K297" s="169"/>
      <c r="L297" s="207"/>
      <c r="M297" s="207"/>
      <c r="N297" s="207"/>
      <c r="O297" s="207"/>
      <c r="P297" s="207"/>
      <c r="Q297" s="207"/>
      <c r="R297" s="207"/>
      <c r="S297" s="207"/>
      <c r="T297" s="207"/>
      <c r="U297" s="207"/>
      <c r="V297" s="207"/>
      <c r="W297" s="207"/>
      <c r="X297" s="207"/>
      <c r="Y297" s="207"/>
      <c r="Z297" s="207"/>
      <c r="AA297" s="207"/>
    </row>
    <row r="298">
      <c r="A298" s="203"/>
      <c r="B298" s="204"/>
      <c r="C298" s="204"/>
      <c r="D298" s="205"/>
      <c r="E298" s="212"/>
      <c r="F298" s="206"/>
      <c r="G298" s="167"/>
      <c r="H298" s="213"/>
      <c r="I298" s="167"/>
      <c r="J298" s="168"/>
      <c r="K298" s="169"/>
      <c r="L298" s="207"/>
      <c r="M298" s="207"/>
      <c r="N298" s="207"/>
      <c r="O298" s="207"/>
      <c r="P298" s="207"/>
      <c r="Q298" s="207"/>
      <c r="R298" s="207"/>
      <c r="S298" s="207"/>
      <c r="T298" s="207"/>
      <c r="U298" s="207"/>
      <c r="V298" s="207"/>
      <c r="W298" s="207"/>
      <c r="X298" s="207"/>
      <c r="Y298" s="207"/>
      <c r="Z298" s="207"/>
      <c r="AA298" s="207"/>
    </row>
    <row r="299">
      <c r="A299" s="203"/>
      <c r="B299" s="204"/>
      <c r="C299" s="204"/>
      <c r="D299" s="205"/>
      <c r="E299" s="212"/>
      <c r="F299" s="206"/>
      <c r="G299" s="167"/>
      <c r="H299" s="213"/>
      <c r="I299" s="167"/>
      <c r="J299" s="168"/>
      <c r="K299" s="169"/>
      <c r="L299" s="207"/>
      <c r="M299" s="207"/>
      <c r="N299" s="207"/>
      <c r="O299" s="207"/>
      <c r="P299" s="207"/>
      <c r="Q299" s="207"/>
      <c r="R299" s="207"/>
      <c r="S299" s="207"/>
      <c r="T299" s="207"/>
      <c r="U299" s="207"/>
      <c r="V299" s="207"/>
      <c r="W299" s="207"/>
      <c r="X299" s="207"/>
      <c r="Y299" s="207"/>
      <c r="Z299" s="207"/>
      <c r="AA299" s="207"/>
    </row>
    <row r="300">
      <c r="A300" s="203"/>
      <c r="B300" s="204"/>
      <c r="C300" s="204"/>
      <c r="D300" s="205"/>
      <c r="E300" s="212"/>
      <c r="F300" s="206"/>
      <c r="G300" s="167"/>
      <c r="H300" s="213"/>
      <c r="I300" s="167"/>
      <c r="J300" s="168"/>
      <c r="K300" s="169"/>
      <c r="L300" s="207"/>
      <c r="M300" s="207"/>
      <c r="N300" s="207"/>
      <c r="O300" s="207"/>
      <c r="P300" s="207"/>
      <c r="Q300" s="207"/>
      <c r="R300" s="207"/>
      <c r="S300" s="207"/>
      <c r="T300" s="207"/>
      <c r="U300" s="207"/>
      <c r="V300" s="207"/>
      <c r="W300" s="207"/>
      <c r="X300" s="207"/>
      <c r="Y300" s="207"/>
      <c r="Z300" s="207"/>
      <c r="AA300" s="207"/>
    </row>
    <row r="301">
      <c r="A301" s="203"/>
      <c r="B301" s="204"/>
      <c r="C301" s="204"/>
      <c r="D301" s="205"/>
      <c r="E301" s="212"/>
      <c r="F301" s="206"/>
      <c r="G301" s="167"/>
      <c r="H301" s="213"/>
      <c r="I301" s="167"/>
      <c r="J301" s="168"/>
      <c r="K301" s="169"/>
      <c r="L301" s="207"/>
      <c r="M301" s="207"/>
      <c r="N301" s="207"/>
      <c r="O301" s="207"/>
      <c r="P301" s="207"/>
      <c r="Q301" s="207"/>
      <c r="R301" s="207"/>
      <c r="S301" s="207"/>
      <c r="T301" s="207"/>
      <c r="U301" s="207"/>
      <c r="V301" s="207"/>
      <c r="W301" s="207"/>
      <c r="X301" s="207"/>
      <c r="Y301" s="207"/>
      <c r="Z301" s="207"/>
      <c r="AA301" s="207"/>
    </row>
    <row r="302">
      <c r="A302" s="203"/>
      <c r="B302" s="204"/>
      <c r="C302" s="204"/>
      <c r="D302" s="205"/>
      <c r="E302" s="212"/>
      <c r="F302" s="206"/>
      <c r="G302" s="167"/>
      <c r="H302" s="213"/>
      <c r="I302" s="167"/>
      <c r="J302" s="168"/>
      <c r="K302" s="169"/>
      <c r="L302" s="207"/>
      <c r="M302" s="207"/>
      <c r="N302" s="207"/>
      <c r="O302" s="207"/>
      <c r="P302" s="207"/>
      <c r="Q302" s="207"/>
      <c r="R302" s="207"/>
      <c r="S302" s="207"/>
      <c r="T302" s="207"/>
      <c r="U302" s="207"/>
      <c r="V302" s="207"/>
      <c r="W302" s="207"/>
      <c r="X302" s="207"/>
      <c r="Y302" s="207"/>
      <c r="Z302" s="207"/>
      <c r="AA302" s="207"/>
    </row>
    <row r="303">
      <c r="A303" s="203"/>
      <c r="B303" s="204"/>
      <c r="C303" s="204"/>
      <c r="D303" s="205"/>
      <c r="E303" s="212"/>
      <c r="F303" s="206"/>
      <c r="G303" s="167"/>
      <c r="H303" s="213"/>
      <c r="I303" s="167"/>
      <c r="J303" s="168"/>
      <c r="K303" s="169"/>
      <c r="L303" s="207"/>
      <c r="M303" s="207"/>
      <c r="N303" s="207"/>
      <c r="O303" s="207"/>
      <c r="P303" s="207"/>
      <c r="Q303" s="207"/>
      <c r="R303" s="207"/>
      <c r="S303" s="207"/>
      <c r="T303" s="207"/>
      <c r="U303" s="207"/>
      <c r="V303" s="207"/>
      <c r="W303" s="207"/>
      <c r="X303" s="207"/>
      <c r="Y303" s="207"/>
      <c r="Z303" s="207"/>
      <c r="AA303" s="207"/>
    </row>
    <row r="304">
      <c r="A304" s="203"/>
      <c r="B304" s="204"/>
      <c r="C304" s="204"/>
      <c r="D304" s="205"/>
      <c r="E304" s="212"/>
      <c r="F304" s="206"/>
      <c r="G304" s="167"/>
      <c r="H304" s="213"/>
      <c r="I304" s="167"/>
      <c r="J304" s="168"/>
      <c r="K304" s="169"/>
      <c r="L304" s="207"/>
      <c r="M304" s="207"/>
      <c r="N304" s="207"/>
      <c r="O304" s="207"/>
      <c r="P304" s="207"/>
      <c r="Q304" s="207"/>
      <c r="R304" s="207"/>
      <c r="S304" s="207"/>
      <c r="T304" s="207"/>
      <c r="U304" s="207"/>
      <c r="V304" s="207"/>
      <c r="W304" s="207"/>
      <c r="X304" s="207"/>
      <c r="Y304" s="207"/>
      <c r="Z304" s="207"/>
      <c r="AA304" s="207"/>
    </row>
    <row r="305">
      <c r="A305" s="203"/>
      <c r="B305" s="204"/>
      <c r="C305" s="204"/>
      <c r="D305" s="205"/>
      <c r="E305" s="212"/>
      <c r="F305" s="206"/>
      <c r="G305" s="167"/>
      <c r="H305" s="213"/>
      <c r="I305" s="167"/>
      <c r="J305" s="168"/>
      <c r="K305" s="169"/>
      <c r="L305" s="207"/>
      <c r="M305" s="207"/>
      <c r="N305" s="207"/>
      <c r="O305" s="207"/>
      <c r="P305" s="207"/>
      <c r="Q305" s="207"/>
      <c r="R305" s="207"/>
      <c r="S305" s="207"/>
      <c r="T305" s="207"/>
      <c r="U305" s="207"/>
      <c r="V305" s="207"/>
      <c r="W305" s="207"/>
      <c r="X305" s="207"/>
      <c r="Y305" s="207"/>
      <c r="Z305" s="207"/>
      <c r="AA305" s="207"/>
    </row>
    <row r="306">
      <c r="A306" s="203"/>
      <c r="B306" s="204"/>
      <c r="C306" s="204"/>
      <c r="D306" s="205"/>
      <c r="E306" s="212"/>
      <c r="F306" s="206"/>
      <c r="G306" s="167"/>
      <c r="H306" s="213"/>
      <c r="I306" s="167"/>
      <c r="J306" s="168"/>
      <c r="K306" s="169"/>
      <c r="L306" s="207"/>
      <c r="M306" s="207"/>
      <c r="N306" s="207"/>
      <c r="O306" s="207"/>
      <c r="P306" s="207"/>
      <c r="Q306" s="207"/>
      <c r="R306" s="207"/>
      <c r="S306" s="207"/>
      <c r="T306" s="207"/>
      <c r="U306" s="207"/>
      <c r="V306" s="207"/>
      <c r="W306" s="207"/>
      <c r="X306" s="207"/>
      <c r="Y306" s="207"/>
      <c r="Z306" s="207"/>
      <c r="AA306" s="207"/>
    </row>
    <row r="307">
      <c r="A307" s="203"/>
      <c r="B307" s="204"/>
      <c r="C307" s="204"/>
      <c r="D307" s="205"/>
      <c r="E307" s="212"/>
      <c r="F307" s="206"/>
      <c r="G307" s="167"/>
      <c r="H307" s="213"/>
      <c r="I307" s="167"/>
      <c r="J307" s="168"/>
      <c r="K307" s="169"/>
      <c r="L307" s="207"/>
      <c r="M307" s="207"/>
      <c r="N307" s="207"/>
      <c r="O307" s="207"/>
      <c r="P307" s="207"/>
      <c r="Q307" s="207"/>
      <c r="R307" s="207"/>
      <c r="S307" s="207"/>
      <c r="T307" s="207"/>
      <c r="U307" s="207"/>
      <c r="V307" s="207"/>
      <c r="W307" s="207"/>
      <c r="X307" s="207"/>
      <c r="Y307" s="207"/>
      <c r="Z307" s="207"/>
      <c r="AA307" s="207"/>
    </row>
    <row r="308">
      <c r="A308" s="203"/>
      <c r="B308" s="204"/>
      <c r="C308" s="204"/>
      <c r="D308" s="205"/>
      <c r="E308" s="212"/>
      <c r="F308" s="206"/>
      <c r="G308" s="167"/>
      <c r="H308" s="213"/>
      <c r="I308" s="167"/>
      <c r="J308" s="168"/>
      <c r="K308" s="169"/>
      <c r="L308" s="207"/>
      <c r="M308" s="207"/>
      <c r="N308" s="207"/>
      <c r="O308" s="207"/>
      <c r="P308" s="207"/>
      <c r="Q308" s="207"/>
      <c r="R308" s="207"/>
      <c r="S308" s="207"/>
      <c r="T308" s="207"/>
      <c r="U308" s="207"/>
      <c r="V308" s="207"/>
      <c r="W308" s="207"/>
      <c r="X308" s="207"/>
      <c r="Y308" s="207"/>
      <c r="Z308" s="207"/>
      <c r="AA308" s="207"/>
    </row>
    <row r="309">
      <c r="A309" s="203"/>
      <c r="B309" s="204"/>
      <c r="C309" s="204"/>
      <c r="D309" s="205"/>
      <c r="E309" s="212"/>
      <c r="F309" s="206"/>
      <c r="G309" s="167"/>
      <c r="H309" s="213"/>
      <c r="I309" s="167"/>
      <c r="J309" s="168"/>
      <c r="K309" s="169"/>
      <c r="L309" s="207"/>
      <c r="M309" s="207"/>
      <c r="N309" s="207"/>
      <c r="O309" s="207"/>
      <c r="P309" s="207"/>
      <c r="Q309" s="207"/>
      <c r="R309" s="207"/>
      <c r="S309" s="207"/>
      <c r="T309" s="207"/>
      <c r="U309" s="207"/>
      <c r="V309" s="207"/>
      <c r="W309" s="207"/>
      <c r="X309" s="207"/>
      <c r="Y309" s="207"/>
      <c r="Z309" s="207"/>
      <c r="AA309" s="207"/>
    </row>
    <row r="310">
      <c r="A310" s="203"/>
      <c r="B310" s="204"/>
      <c r="C310" s="204"/>
      <c r="D310" s="205"/>
      <c r="E310" s="212"/>
      <c r="F310" s="206"/>
      <c r="G310" s="167"/>
      <c r="H310" s="213"/>
      <c r="I310" s="167"/>
      <c r="J310" s="168"/>
      <c r="K310" s="169"/>
      <c r="L310" s="207"/>
      <c r="M310" s="207"/>
      <c r="N310" s="207"/>
      <c r="O310" s="207"/>
      <c r="P310" s="207"/>
      <c r="Q310" s="207"/>
      <c r="R310" s="207"/>
      <c r="S310" s="207"/>
      <c r="T310" s="207"/>
      <c r="U310" s="207"/>
      <c r="V310" s="207"/>
      <c r="W310" s="207"/>
      <c r="X310" s="207"/>
      <c r="Y310" s="207"/>
      <c r="Z310" s="207"/>
      <c r="AA310" s="207"/>
    </row>
    <row r="311">
      <c r="A311" s="203"/>
      <c r="B311" s="204"/>
      <c r="C311" s="204"/>
      <c r="D311" s="205"/>
      <c r="E311" s="212"/>
      <c r="F311" s="206"/>
      <c r="G311" s="167"/>
      <c r="H311" s="213"/>
      <c r="I311" s="167"/>
      <c r="J311" s="168"/>
      <c r="K311" s="169"/>
      <c r="L311" s="207"/>
      <c r="M311" s="207"/>
      <c r="N311" s="207"/>
      <c r="O311" s="207"/>
      <c r="P311" s="207"/>
      <c r="Q311" s="207"/>
      <c r="R311" s="207"/>
      <c r="S311" s="207"/>
      <c r="T311" s="207"/>
      <c r="U311" s="207"/>
      <c r="V311" s="207"/>
      <c r="W311" s="207"/>
      <c r="X311" s="207"/>
      <c r="Y311" s="207"/>
      <c r="Z311" s="207"/>
      <c r="AA311" s="207"/>
    </row>
    <row r="312">
      <c r="A312" s="203"/>
      <c r="B312" s="204"/>
      <c r="C312" s="204"/>
      <c r="D312" s="205"/>
      <c r="E312" s="212"/>
      <c r="F312" s="206"/>
      <c r="G312" s="167"/>
      <c r="H312" s="213"/>
      <c r="I312" s="167"/>
      <c r="J312" s="168"/>
      <c r="K312" s="169"/>
      <c r="L312" s="207"/>
      <c r="M312" s="207"/>
      <c r="N312" s="207"/>
      <c r="O312" s="207"/>
      <c r="P312" s="207"/>
      <c r="Q312" s="207"/>
      <c r="R312" s="207"/>
      <c r="S312" s="207"/>
      <c r="T312" s="207"/>
      <c r="U312" s="207"/>
      <c r="V312" s="207"/>
      <c r="W312" s="207"/>
      <c r="X312" s="207"/>
      <c r="Y312" s="207"/>
      <c r="Z312" s="207"/>
      <c r="AA312" s="207"/>
    </row>
    <row r="313">
      <c r="A313" s="203"/>
      <c r="B313" s="204"/>
      <c r="C313" s="204"/>
      <c r="D313" s="205"/>
      <c r="E313" s="212"/>
      <c r="F313" s="206"/>
      <c r="G313" s="167"/>
      <c r="H313" s="213"/>
      <c r="I313" s="167"/>
      <c r="J313" s="168"/>
      <c r="K313" s="169"/>
      <c r="L313" s="207"/>
      <c r="M313" s="207"/>
      <c r="N313" s="207"/>
      <c r="O313" s="207"/>
      <c r="P313" s="207"/>
      <c r="Q313" s="207"/>
      <c r="R313" s="207"/>
      <c r="S313" s="207"/>
      <c r="T313" s="207"/>
      <c r="U313" s="207"/>
      <c r="V313" s="207"/>
      <c r="W313" s="207"/>
      <c r="X313" s="207"/>
      <c r="Y313" s="207"/>
      <c r="Z313" s="207"/>
      <c r="AA313" s="207"/>
    </row>
    <row r="314">
      <c r="A314" s="203"/>
      <c r="B314" s="204"/>
      <c r="C314" s="204"/>
      <c r="D314" s="205"/>
      <c r="E314" s="212"/>
      <c r="F314" s="206"/>
      <c r="G314" s="167"/>
      <c r="H314" s="213"/>
      <c r="I314" s="167"/>
      <c r="J314" s="168"/>
      <c r="K314" s="169"/>
      <c r="L314" s="207"/>
      <c r="M314" s="207"/>
      <c r="N314" s="207"/>
      <c r="O314" s="207"/>
      <c r="P314" s="207"/>
      <c r="Q314" s="207"/>
      <c r="R314" s="207"/>
      <c r="S314" s="207"/>
      <c r="T314" s="207"/>
      <c r="U314" s="207"/>
      <c r="V314" s="207"/>
      <c r="W314" s="207"/>
      <c r="X314" s="207"/>
      <c r="Y314" s="207"/>
      <c r="Z314" s="207"/>
      <c r="AA314" s="207"/>
    </row>
    <row r="315">
      <c r="A315" s="203"/>
      <c r="B315" s="204"/>
      <c r="C315" s="204"/>
      <c r="D315" s="205"/>
      <c r="E315" s="212"/>
      <c r="F315" s="206"/>
      <c r="G315" s="167"/>
      <c r="H315" s="213"/>
      <c r="I315" s="167"/>
      <c r="J315" s="168"/>
      <c r="K315" s="169"/>
      <c r="L315" s="207"/>
      <c r="M315" s="207"/>
      <c r="N315" s="207"/>
      <c r="O315" s="207"/>
      <c r="P315" s="207"/>
      <c r="Q315" s="207"/>
      <c r="R315" s="207"/>
      <c r="S315" s="207"/>
      <c r="T315" s="207"/>
      <c r="U315" s="207"/>
      <c r="V315" s="207"/>
      <c r="W315" s="207"/>
      <c r="X315" s="207"/>
      <c r="Y315" s="207"/>
      <c r="Z315" s="207"/>
      <c r="AA315" s="207"/>
    </row>
    <row r="316">
      <c r="A316" s="203"/>
      <c r="B316" s="204"/>
      <c r="C316" s="204"/>
      <c r="D316" s="205"/>
      <c r="E316" s="212"/>
      <c r="F316" s="206"/>
      <c r="G316" s="167"/>
      <c r="H316" s="213"/>
      <c r="I316" s="167"/>
      <c r="J316" s="168"/>
      <c r="K316" s="169"/>
      <c r="L316" s="207"/>
      <c r="M316" s="207"/>
      <c r="N316" s="207"/>
      <c r="O316" s="207"/>
      <c r="P316" s="207"/>
      <c r="Q316" s="207"/>
      <c r="R316" s="207"/>
      <c r="S316" s="207"/>
      <c r="T316" s="207"/>
      <c r="U316" s="207"/>
      <c r="V316" s="207"/>
      <c r="W316" s="207"/>
      <c r="X316" s="207"/>
      <c r="Y316" s="207"/>
      <c r="Z316" s="207"/>
      <c r="AA316" s="207"/>
    </row>
    <row r="317">
      <c r="A317" s="203"/>
      <c r="B317" s="204"/>
      <c r="C317" s="204"/>
      <c r="D317" s="205"/>
      <c r="E317" s="212"/>
      <c r="F317" s="206"/>
      <c r="G317" s="167"/>
      <c r="H317" s="213"/>
      <c r="I317" s="167"/>
      <c r="J317" s="168"/>
      <c r="K317" s="169"/>
      <c r="L317" s="207"/>
      <c r="M317" s="207"/>
      <c r="N317" s="207"/>
      <c r="O317" s="207"/>
      <c r="P317" s="207"/>
      <c r="Q317" s="207"/>
      <c r="R317" s="207"/>
      <c r="S317" s="207"/>
      <c r="T317" s="207"/>
      <c r="U317" s="207"/>
      <c r="V317" s="207"/>
      <c r="W317" s="207"/>
      <c r="X317" s="207"/>
      <c r="Y317" s="207"/>
      <c r="Z317" s="207"/>
      <c r="AA317" s="207"/>
    </row>
    <row r="318">
      <c r="A318" s="203"/>
      <c r="B318" s="204"/>
      <c r="C318" s="204"/>
      <c r="D318" s="205"/>
      <c r="E318" s="212"/>
      <c r="F318" s="206"/>
      <c r="G318" s="167"/>
      <c r="H318" s="213"/>
      <c r="I318" s="167"/>
      <c r="J318" s="168"/>
      <c r="K318" s="169"/>
      <c r="L318" s="207"/>
      <c r="M318" s="207"/>
      <c r="N318" s="207"/>
      <c r="O318" s="207"/>
      <c r="P318" s="207"/>
      <c r="Q318" s="207"/>
      <c r="R318" s="207"/>
      <c r="S318" s="207"/>
      <c r="T318" s="207"/>
      <c r="U318" s="207"/>
      <c r="V318" s="207"/>
      <c r="W318" s="207"/>
      <c r="X318" s="207"/>
      <c r="Y318" s="207"/>
      <c r="Z318" s="207"/>
      <c r="AA318" s="207"/>
    </row>
    <row r="319">
      <c r="A319" s="203"/>
      <c r="B319" s="204"/>
      <c r="C319" s="204"/>
      <c r="D319" s="205"/>
      <c r="E319" s="212"/>
      <c r="F319" s="206"/>
      <c r="G319" s="167"/>
      <c r="H319" s="213"/>
      <c r="I319" s="167"/>
      <c r="J319" s="168"/>
      <c r="K319" s="169"/>
      <c r="L319" s="207"/>
      <c r="M319" s="207"/>
      <c r="N319" s="207"/>
      <c r="O319" s="207"/>
      <c r="P319" s="207"/>
      <c r="Q319" s="207"/>
      <c r="R319" s="207"/>
      <c r="S319" s="207"/>
      <c r="T319" s="207"/>
      <c r="U319" s="207"/>
      <c r="V319" s="207"/>
      <c r="W319" s="207"/>
      <c r="X319" s="207"/>
      <c r="Y319" s="207"/>
      <c r="Z319" s="207"/>
      <c r="AA319" s="207"/>
    </row>
    <row r="320">
      <c r="A320" s="203"/>
      <c r="B320" s="204"/>
      <c r="C320" s="204"/>
      <c r="D320" s="205"/>
      <c r="E320" s="212"/>
      <c r="F320" s="206"/>
      <c r="G320" s="167"/>
      <c r="H320" s="213"/>
      <c r="I320" s="167"/>
      <c r="J320" s="168"/>
      <c r="K320" s="169"/>
      <c r="L320" s="207"/>
      <c r="M320" s="207"/>
      <c r="N320" s="207"/>
      <c r="O320" s="207"/>
      <c r="P320" s="207"/>
      <c r="Q320" s="207"/>
      <c r="R320" s="207"/>
      <c r="S320" s="207"/>
      <c r="T320" s="207"/>
      <c r="U320" s="207"/>
      <c r="V320" s="207"/>
      <c r="W320" s="207"/>
      <c r="X320" s="207"/>
      <c r="Y320" s="207"/>
      <c r="Z320" s="207"/>
      <c r="AA320" s="207"/>
    </row>
    <row r="321">
      <c r="A321" s="203"/>
      <c r="B321" s="204"/>
      <c r="C321" s="204"/>
      <c r="D321" s="205"/>
      <c r="E321" s="212"/>
      <c r="F321" s="206"/>
      <c r="G321" s="167"/>
      <c r="H321" s="213"/>
      <c r="I321" s="167"/>
      <c r="J321" s="168"/>
      <c r="K321" s="169"/>
      <c r="L321" s="207"/>
      <c r="M321" s="207"/>
      <c r="N321" s="207"/>
      <c r="O321" s="207"/>
      <c r="P321" s="207"/>
      <c r="Q321" s="207"/>
      <c r="R321" s="207"/>
      <c r="S321" s="207"/>
      <c r="T321" s="207"/>
      <c r="U321" s="207"/>
      <c r="V321" s="207"/>
      <c r="W321" s="207"/>
      <c r="X321" s="207"/>
      <c r="Y321" s="207"/>
      <c r="Z321" s="207"/>
      <c r="AA321" s="207"/>
    </row>
    <row r="322">
      <c r="A322" s="203"/>
      <c r="B322" s="204"/>
      <c r="C322" s="204"/>
      <c r="D322" s="205"/>
      <c r="E322" s="212"/>
      <c r="F322" s="206"/>
      <c r="G322" s="167"/>
      <c r="H322" s="213"/>
      <c r="I322" s="167"/>
      <c r="J322" s="168"/>
      <c r="K322" s="169"/>
      <c r="L322" s="207"/>
      <c r="M322" s="207"/>
      <c r="N322" s="207"/>
      <c r="O322" s="207"/>
      <c r="P322" s="207"/>
      <c r="Q322" s="207"/>
      <c r="R322" s="207"/>
      <c r="S322" s="207"/>
      <c r="T322" s="207"/>
      <c r="U322" s="207"/>
      <c r="V322" s="207"/>
      <c r="W322" s="207"/>
      <c r="X322" s="207"/>
      <c r="Y322" s="207"/>
      <c r="Z322" s="207"/>
      <c r="AA322" s="207"/>
    </row>
    <row r="323">
      <c r="A323" s="203"/>
      <c r="B323" s="204"/>
      <c r="C323" s="204"/>
      <c r="D323" s="205"/>
      <c r="E323" s="212"/>
      <c r="F323" s="206"/>
      <c r="G323" s="167"/>
      <c r="H323" s="213"/>
      <c r="I323" s="167"/>
      <c r="J323" s="168"/>
      <c r="K323" s="169"/>
      <c r="L323" s="207"/>
      <c r="M323" s="207"/>
      <c r="N323" s="207"/>
      <c r="O323" s="207"/>
      <c r="P323" s="207"/>
      <c r="Q323" s="207"/>
      <c r="R323" s="207"/>
      <c r="S323" s="207"/>
      <c r="T323" s="207"/>
      <c r="U323" s="207"/>
      <c r="V323" s="207"/>
      <c r="W323" s="207"/>
      <c r="X323" s="207"/>
      <c r="Y323" s="207"/>
      <c r="Z323" s="207"/>
      <c r="AA323" s="207"/>
    </row>
    <row r="324">
      <c r="A324" s="203"/>
      <c r="B324" s="204"/>
      <c r="C324" s="204"/>
      <c r="D324" s="205"/>
      <c r="E324" s="212"/>
      <c r="F324" s="206"/>
      <c r="G324" s="167"/>
      <c r="H324" s="213"/>
      <c r="I324" s="167"/>
      <c r="J324" s="168"/>
      <c r="K324" s="169"/>
      <c r="L324" s="207"/>
      <c r="M324" s="207"/>
      <c r="N324" s="207"/>
      <c r="O324" s="207"/>
      <c r="P324" s="207"/>
      <c r="Q324" s="207"/>
      <c r="R324" s="207"/>
      <c r="S324" s="207"/>
      <c r="T324" s="207"/>
      <c r="U324" s="207"/>
      <c r="V324" s="207"/>
      <c r="W324" s="207"/>
      <c r="X324" s="207"/>
      <c r="Y324" s="207"/>
      <c r="Z324" s="207"/>
      <c r="AA324" s="207"/>
    </row>
    <row r="325">
      <c r="A325" s="203"/>
      <c r="B325" s="204"/>
      <c r="C325" s="204"/>
      <c r="D325" s="205"/>
      <c r="E325" s="212"/>
      <c r="F325" s="206"/>
      <c r="G325" s="167"/>
      <c r="H325" s="213"/>
      <c r="I325" s="167"/>
      <c r="J325" s="168"/>
      <c r="K325" s="169"/>
      <c r="L325" s="207"/>
      <c r="M325" s="207"/>
      <c r="N325" s="207"/>
      <c r="O325" s="207"/>
      <c r="P325" s="207"/>
      <c r="Q325" s="207"/>
      <c r="R325" s="207"/>
      <c r="S325" s="207"/>
      <c r="T325" s="207"/>
      <c r="U325" s="207"/>
      <c r="V325" s="207"/>
      <c r="W325" s="207"/>
      <c r="X325" s="207"/>
      <c r="Y325" s="207"/>
      <c r="Z325" s="207"/>
      <c r="AA325" s="207"/>
    </row>
    <row r="326">
      <c r="A326" s="203"/>
      <c r="B326" s="204"/>
      <c r="C326" s="204"/>
      <c r="D326" s="205"/>
      <c r="E326" s="212"/>
      <c r="F326" s="206"/>
      <c r="G326" s="167"/>
      <c r="H326" s="213"/>
      <c r="I326" s="167"/>
      <c r="J326" s="168"/>
      <c r="K326" s="169"/>
      <c r="L326" s="207"/>
      <c r="M326" s="207"/>
      <c r="N326" s="207"/>
      <c r="O326" s="207"/>
      <c r="P326" s="207"/>
      <c r="Q326" s="207"/>
      <c r="R326" s="207"/>
      <c r="S326" s="207"/>
      <c r="T326" s="207"/>
      <c r="U326" s="207"/>
      <c r="V326" s="207"/>
      <c r="W326" s="207"/>
      <c r="X326" s="207"/>
      <c r="Y326" s="207"/>
      <c r="Z326" s="207"/>
      <c r="AA326" s="207"/>
    </row>
    <row r="327">
      <c r="A327" s="203"/>
      <c r="B327" s="204"/>
      <c r="C327" s="204"/>
      <c r="D327" s="205"/>
      <c r="E327" s="212"/>
      <c r="F327" s="206"/>
      <c r="G327" s="167"/>
      <c r="H327" s="213"/>
      <c r="I327" s="167"/>
      <c r="J327" s="168"/>
      <c r="K327" s="169"/>
      <c r="L327" s="207"/>
      <c r="M327" s="207"/>
      <c r="N327" s="207"/>
      <c r="O327" s="207"/>
      <c r="P327" s="207"/>
      <c r="Q327" s="207"/>
      <c r="R327" s="207"/>
      <c r="S327" s="207"/>
      <c r="T327" s="207"/>
      <c r="U327" s="207"/>
      <c r="V327" s="207"/>
      <c r="W327" s="207"/>
      <c r="X327" s="207"/>
      <c r="Y327" s="207"/>
      <c r="Z327" s="207"/>
      <c r="AA327" s="207"/>
    </row>
    <row r="328">
      <c r="A328" s="203"/>
      <c r="B328" s="204"/>
      <c r="C328" s="204"/>
      <c r="D328" s="205"/>
      <c r="E328" s="212"/>
      <c r="F328" s="206"/>
      <c r="G328" s="167"/>
      <c r="H328" s="213"/>
      <c r="I328" s="167"/>
      <c r="J328" s="168"/>
      <c r="K328" s="169"/>
      <c r="L328" s="207"/>
      <c r="M328" s="207"/>
      <c r="N328" s="207"/>
      <c r="O328" s="207"/>
      <c r="P328" s="207"/>
      <c r="Q328" s="207"/>
      <c r="R328" s="207"/>
      <c r="S328" s="207"/>
      <c r="T328" s="207"/>
      <c r="U328" s="207"/>
      <c r="V328" s="207"/>
      <c r="W328" s="207"/>
      <c r="X328" s="207"/>
      <c r="Y328" s="207"/>
      <c r="Z328" s="207"/>
      <c r="AA328" s="207"/>
    </row>
    <row r="329">
      <c r="A329" s="203"/>
      <c r="B329" s="204"/>
      <c r="C329" s="204"/>
      <c r="D329" s="205"/>
      <c r="E329" s="212"/>
      <c r="F329" s="206"/>
      <c r="G329" s="167"/>
      <c r="H329" s="213"/>
      <c r="I329" s="167"/>
      <c r="J329" s="168"/>
      <c r="K329" s="169"/>
      <c r="L329" s="207"/>
      <c r="M329" s="207"/>
      <c r="N329" s="207"/>
      <c r="O329" s="207"/>
      <c r="P329" s="207"/>
      <c r="Q329" s="207"/>
      <c r="R329" s="207"/>
      <c r="S329" s="207"/>
      <c r="T329" s="207"/>
      <c r="U329" s="207"/>
      <c r="V329" s="207"/>
      <c r="W329" s="207"/>
      <c r="X329" s="207"/>
      <c r="Y329" s="207"/>
      <c r="Z329" s="207"/>
      <c r="AA329" s="207"/>
    </row>
    <row r="330">
      <c r="A330" s="203"/>
      <c r="B330" s="204"/>
      <c r="C330" s="204"/>
      <c r="D330" s="205"/>
      <c r="E330" s="212"/>
      <c r="F330" s="206"/>
      <c r="G330" s="167"/>
      <c r="H330" s="213"/>
      <c r="I330" s="167"/>
      <c r="J330" s="168"/>
      <c r="K330" s="169"/>
      <c r="L330" s="207"/>
      <c r="M330" s="207"/>
      <c r="N330" s="207"/>
      <c r="O330" s="207"/>
      <c r="P330" s="207"/>
      <c r="Q330" s="207"/>
      <c r="R330" s="207"/>
      <c r="S330" s="207"/>
      <c r="T330" s="207"/>
      <c r="U330" s="207"/>
      <c r="V330" s="207"/>
      <c r="W330" s="207"/>
      <c r="X330" s="207"/>
      <c r="Y330" s="207"/>
      <c r="Z330" s="207"/>
      <c r="AA330" s="207"/>
    </row>
    <row r="331">
      <c r="A331" s="203"/>
      <c r="B331" s="204"/>
      <c r="C331" s="204"/>
      <c r="D331" s="205"/>
      <c r="E331" s="212"/>
      <c r="F331" s="206"/>
      <c r="G331" s="167"/>
      <c r="H331" s="213"/>
      <c r="I331" s="167"/>
      <c r="J331" s="168"/>
      <c r="K331" s="169"/>
      <c r="L331" s="207"/>
      <c r="M331" s="207"/>
      <c r="N331" s="207"/>
      <c r="O331" s="207"/>
      <c r="P331" s="207"/>
      <c r="Q331" s="207"/>
      <c r="R331" s="207"/>
      <c r="S331" s="207"/>
      <c r="T331" s="207"/>
      <c r="U331" s="207"/>
      <c r="V331" s="207"/>
      <c r="W331" s="207"/>
      <c r="X331" s="207"/>
      <c r="Y331" s="207"/>
      <c r="Z331" s="207"/>
      <c r="AA331" s="207"/>
    </row>
    <row r="332">
      <c r="A332" s="203"/>
      <c r="B332" s="204"/>
      <c r="C332" s="204"/>
      <c r="D332" s="205"/>
      <c r="E332" s="212"/>
      <c r="F332" s="206"/>
      <c r="G332" s="167"/>
      <c r="H332" s="213"/>
      <c r="I332" s="167"/>
      <c r="J332" s="168"/>
      <c r="K332" s="169"/>
      <c r="L332" s="207"/>
      <c r="M332" s="207"/>
      <c r="N332" s="207"/>
      <c r="O332" s="207"/>
      <c r="P332" s="207"/>
      <c r="Q332" s="207"/>
      <c r="R332" s="207"/>
      <c r="S332" s="207"/>
      <c r="T332" s="207"/>
      <c r="U332" s="207"/>
      <c r="V332" s="207"/>
      <c r="W332" s="207"/>
      <c r="X332" s="207"/>
      <c r="Y332" s="207"/>
      <c r="Z332" s="207"/>
      <c r="AA332" s="207"/>
    </row>
    <row r="333">
      <c r="A333" s="203"/>
      <c r="B333" s="204"/>
      <c r="C333" s="204"/>
      <c r="D333" s="205"/>
      <c r="E333" s="212"/>
      <c r="F333" s="206"/>
      <c r="G333" s="167"/>
      <c r="H333" s="213"/>
      <c r="I333" s="167"/>
      <c r="J333" s="168"/>
      <c r="K333" s="169"/>
      <c r="L333" s="207"/>
      <c r="M333" s="207"/>
      <c r="N333" s="207"/>
      <c r="O333" s="207"/>
      <c r="P333" s="207"/>
      <c r="Q333" s="207"/>
      <c r="R333" s="207"/>
      <c r="S333" s="207"/>
      <c r="T333" s="207"/>
      <c r="U333" s="207"/>
      <c r="V333" s="207"/>
      <c r="W333" s="207"/>
      <c r="X333" s="207"/>
      <c r="Y333" s="207"/>
      <c r="Z333" s="207"/>
      <c r="AA333" s="207"/>
    </row>
    <row r="334">
      <c r="A334" s="203"/>
      <c r="B334" s="204"/>
      <c r="C334" s="204"/>
      <c r="D334" s="205"/>
      <c r="E334" s="212"/>
      <c r="F334" s="206"/>
      <c r="G334" s="167"/>
      <c r="H334" s="213"/>
      <c r="I334" s="167"/>
      <c r="J334" s="168"/>
      <c r="K334" s="169"/>
      <c r="L334" s="207"/>
      <c r="M334" s="207"/>
      <c r="N334" s="207"/>
      <c r="O334" s="207"/>
      <c r="P334" s="207"/>
      <c r="Q334" s="207"/>
      <c r="R334" s="207"/>
      <c r="S334" s="207"/>
      <c r="T334" s="207"/>
      <c r="U334" s="207"/>
      <c r="V334" s="207"/>
      <c r="W334" s="207"/>
      <c r="X334" s="207"/>
      <c r="Y334" s="207"/>
      <c r="Z334" s="207"/>
      <c r="AA334" s="207"/>
    </row>
    <row r="335">
      <c r="A335" s="203"/>
      <c r="B335" s="204"/>
      <c r="C335" s="204"/>
      <c r="D335" s="205"/>
      <c r="E335" s="212"/>
      <c r="F335" s="206"/>
      <c r="G335" s="167"/>
      <c r="H335" s="213"/>
      <c r="I335" s="167"/>
      <c r="J335" s="168"/>
      <c r="K335" s="169"/>
      <c r="L335" s="207"/>
      <c r="M335" s="207"/>
      <c r="N335" s="207"/>
      <c r="O335" s="207"/>
      <c r="P335" s="207"/>
      <c r="Q335" s="207"/>
      <c r="R335" s="207"/>
      <c r="S335" s="207"/>
      <c r="T335" s="207"/>
      <c r="U335" s="207"/>
      <c r="V335" s="207"/>
      <c r="W335" s="207"/>
      <c r="X335" s="207"/>
      <c r="Y335" s="207"/>
      <c r="Z335" s="207"/>
      <c r="AA335" s="207"/>
    </row>
    <row r="336">
      <c r="A336" s="203"/>
      <c r="B336" s="204"/>
      <c r="C336" s="204"/>
      <c r="D336" s="205"/>
      <c r="E336" s="212"/>
      <c r="F336" s="206"/>
      <c r="G336" s="167"/>
      <c r="H336" s="213"/>
      <c r="I336" s="167"/>
      <c r="J336" s="168"/>
      <c r="K336" s="169"/>
      <c r="L336" s="207"/>
      <c r="M336" s="207"/>
      <c r="N336" s="207"/>
      <c r="O336" s="207"/>
      <c r="P336" s="207"/>
      <c r="Q336" s="207"/>
      <c r="R336" s="207"/>
      <c r="S336" s="207"/>
      <c r="T336" s="207"/>
      <c r="U336" s="207"/>
      <c r="V336" s="207"/>
      <c r="W336" s="207"/>
      <c r="X336" s="207"/>
      <c r="Y336" s="207"/>
      <c r="Z336" s="207"/>
      <c r="AA336" s="207"/>
    </row>
    <row r="337">
      <c r="A337" s="203"/>
      <c r="B337" s="204"/>
      <c r="C337" s="204"/>
      <c r="D337" s="205"/>
      <c r="E337" s="212"/>
      <c r="F337" s="206"/>
      <c r="G337" s="167"/>
      <c r="H337" s="213"/>
      <c r="I337" s="167"/>
      <c r="J337" s="168"/>
      <c r="K337" s="169"/>
      <c r="L337" s="207"/>
      <c r="M337" s="207"/>
      <c r="N337" s="207"/>
      <c r="O337" s="207"/>
      <c r="P337" s="207"/>
      <c r="Q337" s="207"/>
      <c r="R337" s="207"/>
      <c r="S337" s="207"/>
      <c r="T337" s="207"/>
      <c r="U337" s="207"/>
      <c r="V337" s="207"/>
      <c r="W337" s="207"/>
      <c r="X337" s="207"/>
      <c r="Y337" s="207"/>
      <c r="Z337" s="207"/>
      <c r="AA337" s="207"/>
    </row>
    <row r="338">
      <c r="A338" s="203"/>
      <c r="B338" s="204"/>
      <c r="C338" s="204"/>
      <c r="D338" s="205"/>
      <c r="E338" s="212"/>
      <c r="F338" s="206"/>
      <c r="G338" s="167"/>
      <c r="H338" s="213"/>
      <c r="I338" s="167"/>
      <c r="J338" s="168"/>
      <c r="K338" s="169"/>
      <c r="L338" s="207"/>
      <c r="M338" s="207"/>
      <c r="N338" s="207"/>
      <c r="O338" s="207"/>
      <c r="P338" s="207"/>
      <c r="Q338" s="207"/>
      <c r="R338" s="207"/>
      <c r="S338" s="207"/>
      <c r="T338" s="207"/>
      <c r="U338" s="207"/>
      <c r="V338" s="207"/>
      <c r="W338" s="207"/>
      <c r="X338" s="207"/>
      <c r="Y338" s="207"/>
      <c r="Z338" s="207"/>
      <c r="AA338" s="207"/>
    </row>
    <row r="339">
      <c r="A339" s="203"/>
      <c r="B339" s="204"/>
      <c r="C339" s="204"/>
      <c r="D339" s="205"/>
      <c r="E339" s="212"/>
      <c r="F339" s="206"/>
      <c r="G339" s="167"/>
      <c r="H339" s="213"/>
      <c r="I339" s="167"/>
      <c r="J339" s="168"/>
      <c r="K339" s="169"/>
      <c r="L339" s="207"/>
      <c r="M339" s="207"/>
      <c r="N339" s="207"/>
      <c r="O339" s="207"/>
      <c r="P339" s="207"/>
      <c r="Q339" s="207"/>
      <c r="R339" s="207"/>
      <c r="S339" s="207"/>
      <c r="T339" s="207"/>
      <c r="U339" s="207"/>
      <c r="V339" s="207"/>
      <c r="W339" s="207"/>
      <c r="X339" s="207"/>
      <c r="Y339" s="207"/>
      <c r="Z339" s="207"/>
      <c r="AA339" s="207"/>
    </row>
    <row r="340">
      <c r="A340" s="203"/>
      <c r="B340" s="204"/>
      <c r="C340" s="204"/>
      <c r="D340" s="205"/>
      <c r="E340" s="212"/>
      <c r="F340" s="206"/>
      <c r="G340" s="167"/>
      <c r="H340" s="213"/>
      <c r="I340" s="167"/>
      <c r="J340" s="168"/>
      <c r="K340" s="169"/>
      <c r="L340" s="207"/>
      <c r="M340" s="207"/>
      <c r="N340" s="207"/>
      <c r="O340" s="207"/>
      <c r="P340" s="207"/>
      <c r="Q340" s="207"/>
      <c r="R340" s="207"/>
      <c r="S340" s="207"/>
      <c r="T340" s="207"/>
      <c r="U340" s="207"/>
      <c r="V340" s="207"/>
      <c r="W340" s="207"/>
      <c r="X340" s="207"/>
      <c r="Y340" s="207"/>
      <c r="Z340" s="207"/>
      <c r="AA340" s="207"/>
    </row>
    <row r="341">
      <c r="A341" s="203"/>
      <c r="B341" s="204"/>
      <c r="C341" s="204"/>
      <c r="D341" s="205"/>
      <c r="E341" s="212"/>
      <c r="F341" s="206"/>
      <c r="G341" s="167"/>
      <c r="H341" s="213"/>
      <c r="I341" s="167"/>
      <c r="J341" s="168"/>
      <c r="K341" s="169"/>
      <c r="L341" s="207"/>
      <c r="M341" s="207"/>
      <c r="N341" s="207"/>
      <c r="O341" s="207"/>
      <c r="P341" s="207"/>
      <c r="Q341" s="207"/>
      <c r="R341" s="207"/>
      <c r="S341" s="207"/>
      <c r="T341" s="207"/>
      <c r="U341" s="207"/>
      <c r="V341" s="207"/>
      <c r="W341" s="207"/>
      <c r="X341" s="207"/>
      <c r="Y341" s="207"/>
      <c r="Z341" s="207"/>
      <c r="AA341" s="207"/>
    </row>
    <row r="342">
      <c r="A342" s="203"/>
      <c r="B342" s="204"/>
      <c r="C342" s="204"/>
      <c r="D342" s="205"/>
      <c r="E342" s="212"/>
      <c r="F342" s="206"/>
      <c r="G342" s="167"/>
      <c r="H342" s="213"/>
      <c r="I342" s="167"/>
      <c r="J342" s="168"/>
      <c r="K342" s="169"/>
      <c r="L342" s="207"/>
      <c r="M342" s="207"/>
      <c r="N342" s="207"/>
      <c r="O342" s="207"/>
      <c r="P342" s="207"/>
      <c r="Q342" s="207"/>
      <c r="R342" s="207"/>
      <c r="S342" s="207"/>
      <c r="T342" s="207"/>
      <c r="U342" s="207"/>
      <c r="V342" s="207"/>
      <c r="W342" s="207"/>
      <c r="X342" s="207"/>
      <c r="Y342" s="207"/>
      <c r="Z342" s="207"/>
      <c r="AA342" s="207"/>
    </row>
    <row r="343">
      <c r="A343" s="203"/>
      <c r="B343" s="204"/>
      <c r="C343" s="204"/>
      <c r="D343" s="205"/>
      <c r="E343" s="212"/>
      <c r="F343" s="206"/>
      <c r="G343" s="167"/>
      <c r="H343" s="213"/>
      <c r="I343" s="167"/>
      <c r="J343" s="168"/>
      <c r="K343" s="169"/>
      <c r="L343" s="207"/>
      <c r="M343" s="207"/>
      <c r="N343" s="207"/>
      <c r="O343" s="207"/>
      <c r="P343" s="207"/>
      <c r="Q343" s="207"/>
      <c r="R343" s="207"/>
      <c r="S343" s="207"/>
      <c r="T343" s="207"/>
      <c r="U343" s="207"/>
      <c r="V343" s="207"/>
      <c r="W343" s="207"/>
      <c r="X343" s="207"/>
      <c r="Y343" s="207"/>
      <c r="Z343" s="207"/>
      <c r="AA343" s="207"/>
    </row>
    <row r="344">
      <c r="A344" s="203"/>
      <c r="B344" s="204"/>
      <c r="C344" s="204"/>
      <c r="D344" s="205"/>
      <c r="E344" s="212"/>
      <c r="F344" s="206"/>
      <c r="G344" s="167"/>
      <c r="H344" s="213"/>
      <c r="I344" s="167"/>
      <c r="J344" s="168"/>
      <c r="K344" s="169"/>
      <c r="L344" s="207"/>
      <c r="M344" s="207"/>
      <c r="N344" s="207"/>
      <c r="O344" s="207"/>
      <c r="P344" s="207"/>
      <c r="Q344" s="207"/>
      <c r="R344" s="207"/>
      <c r="S344" s="207"/>
      <c r="T344" s="207"/>
      <c r="U344" s="207"/>
      <c r="V344" s="207"/>
      <c r="W344" s="207"/>
      <c r="X344" s="207"/>
      <c r="Y344" s="207"/>
      <c r="Z344" s="207"/>
      <c r="AA344" s="207"/>
    </row>
    <row r="345">
      <c r="A345" s="203"/>
      <c r="B345" s="204"/>
      <c r="C345" s="204"/>
      <c r="D345" s="205"/>
      <c r="E345" s="212"/>
      <c r="F345" s="206"/>
      <c r="G345" s="167"/>
      <c r="H345" s="213"/>
      <c r="I345" s="167"/>
      <c r="J345" s="168"/>
      <c r="K345" s="169"/>
      <c r="L345" s="207"/>
      <c r="M345" s="207"/>
      <c r="N345" s="207"/>
      <c r="O345" s="207"/>
      <c r="P345" s="207"/>
      <c r="Q345" s="207"/>
      <c r="R345" s="207"/>
      <c r="S345" s="207"/>
      <c r="T345" s="207"/>
      <c r="U345" s="207"/>
      <c r="V345" s="207"/>
      <c r="W345" s="207"/>
      <c r="X345" s="207"/>
      <c r="Y345" s="207"/>
      <c r="Z345" s="207"/>
      <c r="AA345" s="207"/>
    </row>
    <row r="346">
      <c r="A346" s="203"/>
      <c r="B346" s="204"/>
      <c r="C346" s="204"/>
      <c r="D346" s="205"/>
      <c r="E346" s="212"/>
      <c r="F346" s="206"/>
      <c r="G346" s="167"/>
      <c r="H346" s="213"/>
      <c r="I346" s="167"/>
      <c r="J346" s="168"/>
      <c r="K346" s="169"/>
      <c r="L346" s="207"/>
      <c r="M346" s="207"/>
      <c r="N346" s="207"/>
      <c r="O346" s="207"/>
      <c r="P346" s="207"/>
      <c r="Q346" s="207"/>
      <c r="R346" s="207"/>
      <c r="S346" s="207"/>
      <c r="T346" s="207"/>
      <c r="U346" s="207"/>
      <c r="V346" s="207"/>
      <c r="W346" s="207"/>
      <c r="X346" s="207"/>
      <c r="Y346" s="207"/>
      <c r="Z346" s="207"/>
      <c r="AA346" s="207"/>
    </row>
    <row r="347">
      <c r="A347" s="203"/>
      <c r="B347" s="204"/>
      <c r="C347" s="204"/>
      <c r="D347" s="205"/>
      <c r="E347" s="212"/>
      <c r="F347" s="206"/>
      <c r="G347" s="167"/>
      <c r="H347" s="213"/>
      <c r="I347" s="167"/>
      <c r="J347" s="168"/>
      <c r="K347" s="169"/>
      <c r="L347" s="207"/>
      <c r="M347" s="207"/>
      <c r="N347" s="207"/>
      <c r="O347" s="207"/>
      <c r="P347" s="207"/>
      <c r="Q347" s="207"/>
      <c r="R347" s="207"/>
      <c r="S347" s="207"/>
      <c r="T347" s="207"/>
      <c r="U347" s="207"/>
      <c r="V347" s="207"/>
      <c r="W347" s="207"/>
      <c r="X347" s="207"/>
      <c r="Y347" s="207"/>
      <c r="Z347" s="207"/>
      <c r="AA347" s="207"/>
    </row>
    <row r="348">
      <c r="A348" s="203"/>
      <c r="B348" s="204"/>
      <c r="C348" s="204"/>
      <c r="D348" s="205"/>
      <c r="E348" s="212"/>
      <c r="F348" s="206"/>
      <c r="G348" s="167"/>
      <c r="H348" s="213"/>
      <c r="I348" s="167"/>
      <c r="J348" s="168"/>
      <c r="K348" s="169"/>
      <c r="L348" s="207"/>
      <c r="M348" s="207"/>
      <c r="N348" s="207"/>
      <c r="O348" s="207"/>
      <c r="P348" s="207"/>
      <c r="Q348" s="207"/>
      <c r="R348" s="207"/>
      <c r="S348" s="207"/>
      <c r="T348" s="207"/>
      <c r="U348" s="207"/>
      <c r="V348" s="207"/>
      <c r="W348" s="207"/>
      <c r="X348" s="207"/>
      <c r="Y348" s="207"/>
      <c r="Z348" s="207"/>
      <c r="AA348" s="207"/>
    </row>
    <row r="349">
      <c r="A349" s="203"/>
      <c r="B349" s="204"/>
      <c r="C349" s="204"/>
      <c r="D349" s="205"/>
      <c r="E349" s="212"/>
      <c r="F349" s="206"/>
      <c r="G349" s="167"/>
      <c r="H349" s="213"/>
      <c r="I349" s="167"/>
      <c r="J349" s="168"/>
      <c r="K349" s="169"/>
      <c r="L349" s="207"/>
      <c r="M349" s="207"/>
      <c r="N349" s="207"/>
      <c r="O349" s="207"/>
      <c r="P349" s="207"/>
      <c r="Q349" s="207"/>
      <c r="R349" s="207"/>
      <c r="S349" s="207"/>
      <c r="T349" s="207"/>
      <c r="U349" s="207"/>
      <c r="V349" s="207"/>
      <c r="W349" s="207"/>
      <c r="X349" s="207"/>
      <c r="Y349" s="207"/>
      <c r="Z349" s="207"/>
      <c r="AA349" s="207"/>
    </row>
    <row r="350">
      <c r="A350" s="203"/>
      <c r="B350" s="204"/>
      <c r="C350" s="204"/>
      <c r="D350" s="205"/>
      <c r="E350" s="212"/>
      <c r="F350" s="206"/>
      <c r="G350" s="167"/>
      <c r="H350" s="213"/>
      <c r="I350" s="167"/>
      <c r="J350" s="168"/>
      <c r="K350" s="169"/>
      <c r="L350" s="207"/>
      <c r="M350" s="207"/>
      <c r="N350" s="207"/>
      <c r="O350" s="207"/>
      <c r="P350" s="207"/>
      <c r="Q350" s="207"/>
      <c r="R350" s="207"/>
      <c r="S350" s="207"/>
      <c r="T350" s="207"/>
      <c r="U350" s="207"/>
      <c r="V350" s="207"/>
      <c r="W350" s="207"/>
      <c r="X350" s="207"/>
      <c r="Y350" s="207"/>
      <c r="Z350" s="207"/>
      <c r="AA350" s="207"/>
    </row>
    <row r="351">
      <c r="A351" s="203"/>
      <c r="B351" s="204"/>
      <c r="C351" s="204"/>
      <c r="D351" s="205"/>
      <c r="E351" s="212"/>
      <c r="F351" s="206"/>
      <c r="G351" s="167"/>
      <c r="H351" s="213"/>
      <c r="I351" s="167"/>
      <c r="J351" s="168"/>
      <c r="K351" s="169"/>
      <c r="L351" s="207"/>
      <c r="M351" s="207"/>
      <c r="N351" s="207"/>
      <c r="O351" s="207"/>
      <c r="P351" s="207"/>
      <c r="Q351" s="207"/>
      <c r="R351" s="207"/>
      <c r="S351" s="207"/>
      <c r="T351" s="207"/>
      <c r="U351" s="207"/>
      <c r="V351" s="207"/>
      <c r="W351" s="207"/>
      <c r="X351" s="207"/>
      <c r="Y351" s="207"/>
      <c r="Z351" s="207"/>
      <c r="AA351" s="207"/>
    </row>
    <row r="352">
      <c r="A352" s="203"/>
      <c r="B352" s="204"/>
      <c r="C352" s="204"/>
      <c r="D352" s="205"/>
      <c r="E352" s="212"/>
      <c r="F352" s="206"/>
      <c r="G352" s="167"/>
      <c r="H352" s="213"/>
      <c r="I352" s="167"/>
      <c r="J352" s="168"/>
      <c r="K352" s="169"/>
      <c r="L352" s="207"/>
      <c r="M352" s="207"/>
      <c r="N352" s="207"/>
      <c r="O352" s="207"/>
      <c r="P352" s="207"/>
      <c r="Q352" s="207"/>
      <c r="R352" s="207"/>
      <c r="S352" s="207"/>
      <c r="T352" s="207"/>
      <c r="U352" s="207"/>
      <c r="V352" s="207"/>
      <c r="W352" s="207"/>
      <c r="X352" s="207"/>
      <c r="Y352" s="207"/>
      <c r="Z352" s="207"/>
      <c r="AA352" s="207"/>
    </row>
    <row r="353">
      <c r="A353" s="203"/>
      <c r="B353" s="204"/>
      <c r="C353" s="204"/>
      <c r="D353" s="205"/>
      <c r="E353" s="212"/>
      <c r="F353" s="206"/>
      <c r="G353" s="167"/>
      <c r="H353" s="213"/>
      <c r="I353" s="167"/>
      <c r="J353" s="168"/>
      <c r="K353" s="169"/>
      <c r="L353" s="207"/>
      <c r="M353" s="207"/>
      <c r="N353" s="207"/>
      <c r="O353" s="207"/>
      <c r="P353" s="207"/>
      <c r="Q353" s="207"/>
      <c r="R353" s="207"/>
      <c r="S353" s="207"/>
      <c r="T353" s="207"/>
      <c r="U353" s="207"/>
      <c r="V353" s="207"/>
      <c r="W353" s="207"/>
      <c r="X353" s="207"/>
      <c r="Y353" s="207"/>
      <c r="Z353" s="207"/>
      <c r="AA353" s="207"/>
    </row>
    <row r="354">
      <c r="A354" s="203"/>
      <c r="B354" s="204"/>
      <c r="C354" s="204"/>
      <c r="D354" s="205"/>
      <c r="E354" s="212"/>
      <c r="F354" s="206"/>
      <c r="G354" s="167"/>
      <c r="H354" s="213"/>
      <c r="I354" s="167"/>
      <c r="J354" s="168"/>
      <c r="K354" s="169"/>
      <c r="L354" s="207"/>
      <c r="M354" s="207"/>
      <c r="N354" s="207"/>
      <c r="O354" s="207"/>
      <c r="P354" s="207"/>
      <c r="Q354" s="207"/>
      <c r="R354" s="207"/>
      <c r="S354" s="207"/>
      <c r="T354" s="207"/>
      <c r="U354" s="207"/>
      <c r="V354" s="207"/>
      <c r="W354" s="207"/>
      <c r="X354" s="207"/>
      <c r="Y354" s="207"/>
      <c r="Z354" s="207"/>
      <c r="AA354" s="207"/>
    </row>
    <row r="355">
      <c r="A355" s="203"/>
      <c r="B355" s="204"/>
      <c r="C355" s="204"/>
      <c r="D355" s="205"/>
      <c r="E355" s="212"/>
      <c r="F355" s="206"/>
      <c r="G355" s="167"/>
      <c r="H355" s="213"/>
      <c r="I355" s="167"/>
      <c r="J355" s="168"/>
      <c r="K355" s="169"/>
      <c r="L355" s="207"/>
      <c r="M355" s="207"/>
      <c r="N355" s="207"/>
      <c r="O355" s="207"/>
      <c r="P355" s="207"/>
      <c r="Q355" s="207"/>
      <c r="R355" s="207"/>
      <c r="S355" s="207"/>
      <c r="T355" s="207"/>
      <c r="U355" s="207"/>
      <c r="V355" s="207"/>
      <c r="W355" s="207"/>
      <c r="X355" s="207"/>
      <c r="Y355" s="207"/>
      <c r="Z355" s="207"/>
      <c r="AA355" s="207"/>
    </row>
    <row r="356">
      <c r="A356" s="203"/>
      <c r="B356" s="204"/>
      <c r="C356" s="204"/>
      <c r="D356" s="205"/>
      <c r="E356" s="212"/>
      <c r="F356" s="206"/>
      <c r="G356" s="167"/>
      <c r="H356" s="213"/>
      <c r="I356" s="167"/>
      <c r="J356" s="168"/>
      <c r="K356" s="169"/>
      <c r="L356" s="207"/>
      <c r="M356" s="207"/>
      <c r="N356" s="207"/>
      <c r="O356" s="207"/>
      <c r="P356" s="207"/>
      <c r="Q356" s="207"/>
      <c r="R356" s="207"/>
      <c r="S356" s="207"/>
      <c r="T356" s="207"/>
      <c r="U356" s="207"/>
      <c r="V356" s="207"/>
      <c r="W356" s="207"/>
      <c r="X356" s="207"/>
      <c r="Y356" s="207"/>
      <c r="Z356" s="207"/>
      <c r="AA356" s="207"/>
    </row>
    <row r="357">
      <c r="A357" s="203"/>
      <c r="B357" s="204"/>
      <c r="C357" s="204"/>
      <c r="D357" s="205"/>
      <c r="E357" s="212"/>
      <c r="F357" s="206"/>
      <c r="G357" s="167"/>
      <c r="H357" s="213"/>
      <c r="I357" s="167"/>
      <c r="J357" s="168"/>
      <c r="K357" s="169"/>
      <c r="L357" s="207"/>
      <c r="M357" s="207"/>
      <c r="N357" s="207"/>
      <c r="O357" s="207"/>
      <c r="P357" s="207"/>
      <c r="Q357" s="207"/>
      <c r="R357" s="207"/>
      <c r="S357" s="207"/>
      <c r="T357" s="207"/>
      <c r="U357" s="207"/>
      <c r="V357" s="207"/>
      <c r="W357" s="207"/>
      <c r="X357" s="207"/>
      <c r="Y357" s="207"/>
      <c r="Z357" s="207"/>
      <c r="AA357" s="207"/>
    </row>
    <row r="358">
      <c r="A358" s="203"/>
      <c r="B358" s="204"/>
      <c r="C358" s="204"/>
      <c r="D358" s="205"/>
      <c r="E358" s="212"/>
      <c r="F358" s="206"/>
      <c r="G358" s="167"/>
      <c r="H358" s="213"/>
      <c r="I358" s="167"/>
      <c r="J358" s="168"/>
      <c r="K358" s="169"/>
      <c r="L358" s="207"/>
      <c r="M358" s="207"/>
      <c r="N358" s="207"/>
      <c r="O358" s="207"/>
      <c r="P358" s="207"/>
      <c r="Q358" s="207"/>
      <c r="R358" s="207"/>
      <c r="S358" s="207"/>
      <c r="T358" s="207"/>
      <c r="U358" s="207"/>
      <c r="V358" s="207"/>
      <c r="W358" s="207"/>
      <c r="X358" s="207"/>
      <c r="Y358" s="207"/>
      <c r="Z358" s="207"/>
      <c r="AA358" s="207"/>
    </row>
    <row r="359">
      <c r="A359" s="203"/>
      <c r="B359" s="204"/>
      <c r="C359" s="204"/>
      <c r="D359" s="205"/>
      <c r="E359" s="212"/>
      <c r="F359" s="206"/>
      <c r="G359" s="167"/>
      <c r="H359" s="213"/>
      <c r="I359" s="167"/>
      <c r="J359" s="168"/>
      <c r="K359" s="169"/>
      <c r="L359" s="207"/>
      <c r="M359" s="207"/>
      <c r="N359" s="207"/>
      <c r="O359" s="207"/>
      <c r="P359" s="207"/>
      <c r="Q359" s="207"/>
      <c r="R359" s="207"/>
      <c r="S359" s="207"/>
      <c r="T359" s="207"/>
      <c r="U359" s="207"/>
      <c r="V359" s="207"/>
      <c r="W359" s="207"/>
      <c r="X359" s="207"/>
      <c r="Y359" s="207"/>
      <c r="Z359" s="207"/>
      <c r="AA359" s="207"/>
    </row>
    <row r="360">
      <c r="A360" s="203"/>
      <c r="B360" s="204"/>
      <c r="C360" s="204"/>
      <c r="D360" s="205"/>
      <c r="E360" s="212"/>
      <c r="F360" s="206"/>
      <c r="G360" s="167"/>
      <c r="H360" s="213"/>
      <c r="I360" s="167"/>
      <c r="J360" s="168"/>
      <c r="K360" s="169"/>
      <c r="L360" s="207"/>
      <c r="M360" s="207"/>
      <c r="N360" s="207"/>
      <c r="O360" s="207"/>
      <c r="P360" s="207"/>
      <c r="Q360" s="207"/>
      <c r="R360" s="207"/>
      <c r="S360" s="207"/>
      <c r="T360" s="207"/>
      <c r="U360" s="207"/>
      <c r="V360" s="207"/>
      <c r="W360" s="207"/>
      <c r="X360" s="207"/>
      <c r="Y360" s="207"/>
      <c r="Z360" s="207"/>
      <c r="AA360" s="207"/>
    </row>
    <row r="361">
      <c r="A361" s="203"/>
      <c r="B361" s="204"/>
      <c r="C361" s="204"/>
      <c r="D361" s="205"/>
      <c r="E361" s="212"/>
      <c r="F361" s="206"/>
      <c r="G361" s="167"/>
      <c r="H361" s="213"/>
      <c r="I361" s="167"/>
      <c r="J361" s="168"/>
      <c r="K361" s="169"/>
      <c r="L361" s="207"/>
      <c r="M361" s="207"/>
      <c r="N361" s="207"/>
      <c r="O361" s="207"/>
      <c r="P361" s="207"/>
      <c r="Q361" s="207"/>
      <c r="R361" s="207"/>
      <c r="S361" s="207"/>
      <c r="T361" s="207"/>
      <c r="U361" s="207"/>
      <c r="V361" s="207"/>
      <c r="W361" s="207"/>
      <c r="X361" s="207"/>
      <c r="Y361" s="207"/>
      <c r="Z361" s="207"/>
      <c r="AA361" s="207"/>
    </row>
    <row r="362">
      <c r="A362" s="203"/>
      <c r="B362" s="204"/>
      <c r="C362" s="204"/>
      <c r="D362" s="205"/>
      <c r="E362" s="212"/>
      <c r="F362" s="206"/>
      <c r="G362" s="167"/>
      <c r="H362" s="213"/>
      <c r="I362" s="167"/>
      <c r="J362" s="168"/>
      <c r="K362" s="169"/>
      <c r="L362" s="207"/>
      <c r="M362" s="207"/>
      <c r="N362" s="207"/>
      <c r="O362" s="207"/>
      <c r="P362" s="207"/>
      <c r="Q362" s="207"/>
      <c r="R362" s="207"/>
      <c r="S362" s="207"/>
      <c r="T362" s="207"/>
      <c r="U362" s="207"/>
      <c r="V362" s="207"/>
      <c r="W362" s="207"/>
      <c r="X362" s="207"/>
      <c r="Y362" s="207"/>
      <c r="Z362" s="207"/>
      <c r="AA362" s="207"/>
    </row>
    <row r="363">
      <c r="A363" s="203"/>
      <c r="B363" s="204"/>
      <c r="C363" s="204"/>
      <c r="D363" s="205"/>
      <c r="E363" s="212"/>
      <c r="F363" s="206"/>
      <c r="G363" s="167"/>
      <c r="H363" s="213"/>
      <c r="I363" s="167"/>
      <c r="J363" s="168"/>
      <c r="K363" s="169"/>
      <c r="L363" s="207"/>
      <c r="M363" s="207"/>
      <c r="N363" s="207"/>
      <c r="O363" s="207"/>
      <c r="P363" s="207"/>
      <c r="Q363" s="207"/>
      <c r="R363" s="207"/>
      <c r="S363" s="207"/>
      <c r="T363" s="207"/>
      <c r="U363" s="207"/>
      <c r="V363" s="207"/>
      <c r="W363" s="207"/>
      <c r="X363" s="207"/>
      <c r="Y363" s="207"/>
      <c r="Z363" s="207"/>
      <c r="AA363" s="207"/>
    </row>
    <row r="364">
      <c r="A364" s="203"/>
      <c r="B364" s="204"/>
      <c r="C364" s="204"/>
      <c r="D364" s="205"/>
      <c r="E364" s="212"/>
      <c r="F364" s="206"/>
      <c r="G364" s="167"/>
      <c r="H364" s="213"/>
      <c r="I364" s="167"/>
      <c r="J364" s="168"/>
      <c r="K364" s="169"/>
      <c r="L364" s="207"/>
      <c r="M364" s="207"/>
      <c r="N364" s="207"/>
      <c r="O364" s="207"/>
      <c r="P364" s="207"/>
      <c r="Q364" s="207"/>
      <c r="R364" s="207"/>
      <c r="S364" s="207"/>
      <c r="T364" s="207"/>
      <c r="U364" s="207"/>
      <c r="V364" s="207"/>
      <c r="W364" s="207"/>
      <c r="X364" s="207"/>
      <c r="Y364" s="207"/>
      <c r="Z364" s="207"/>
      <c r="AA364" s="207"/>
    </row>
    <row r="365">
      <c r="A365" s="203"/>
      <c r="B365" s="204"/>
      <c r="C365" s="204"/>
      <c r="D365" s="205"/>
      <c r="E365" s="212"/>
      <c r="F365" s="206"/>
      <c r="G365" s="167"/>
      <c r="H365" s="213"/>
      <c r="I365" s="167"/>
      <c r="J365" s="168"/>
      <c r="K365" s="169"/>
      <c r="L365" s="207"/>
      <c r="M365" s="207"/>
      <c r="N365" s="207"/>
      <c r="O365" s="207"/>
      <c r="P365" s="207"/>
      <c r="Q365" s="207"/>
      <c r="R365" s="207"/>
      <c r="S365" s="207"/>
      <c r="T365" s="207"/>
      <c r="U365" s="207"/>
      <c r="V365" s="207"/>
      <c r="W365" s="207"/>
      <c r="X365" s="207"/>
      <c r="Y365" s="207"/>
      <c r="Z365" s="207"/>
      <c r="AA365" s="207"/>
    </row>
    <row r="366">
      <c r="A366" s="203"/>
      <c r="B366" s="204"/>
      <c r="C366" s="204"/>
      <c r="D366" s="205"/>
      <c r="E366" s="212"/>
      <c r="F366" s="206"/>
      <c r="G366" s="167"/>
      <c r="H366" s="213"/>
      <c r="I366" s="167"/>
      <c r="J366" s="168"/>
      <c r="K366" s="169"/>
      <c r="L366" s="207"/>
      <c r="M366" s="207"/>
      <c r="N366" s="207"/>
      <c r="O366" s="207"/>
      <c r="P366" s="207"/>
      <c r="Q366" s="207"/>
      <c r="R366" s="207"/>
      <c r="S366" s="207"/>
      <c r="T366" s="207"/>
      <c r="U366" s="207"/>
      <c r="V366" s="207"/>
      <c r="W366" s="207"/>
      <c r="X366" s="207"/>
      <c r="Y366" s="207"/>
      <c r="Z366" s="207"/>
      <c r="AA366" s="207"/>
    </row>
    <row r="367">
      <c r="A367" s="203"/>
      <c r="B367" s="204"/>
      <c r="C367" s="204"/>
      <c r="D367" s="205"/>
      <c r="E367" s="212"/>
      <c r="F367" s="206"/>
      <c r="G367" s="167"/>
      <c r="H367" s="213"/>
      <c r="I367" s="167"/>
      <c r="J367" s="168"/>
      <c r="K367" s="169"/>
      <c r="L367" s="207"/>
      <c r="M367" s="207"/>
      <c r="N367" s="207"/>
      <c r="O367" s="207"/>
      <c r="P367" s="207"/>
      <c r="Q367" s="207"/>
      <c r="R367" s="207"/>
      <c r="S367" s="207"/>
      <c r="T367" s="207"/>
      <c r="U367" s="207"/>
      <c r="V367" s="207"/>
      <c r="W367" s="207"/>
      <c r="X367" s="207"/>
      <c r="Y367" s="207"/>
      <c r="Z367" s="207"/>
      <c r="AA367" s="207"/>
    </row>
    <row r="368">
      <c r="A368" s="203"/>
      <c r="B368" s="204"/>
      <c r="C368" s="204"/>
      <c r="D368" s="205"/>
      <c r="E368" s="212"/>
      <c r="F368" s="206"/>
      <c r="G368" s="167"/>
      <c r="H368" s="213"/>
      <c r="I368" s="167"/>
      <c r="J368" s="168"/>
      <c r="K368" s="169"/>
      <c r="L368" s="207"/>
      <c r="M368" s="207"/>
      <c r="N368" s="207"/>
      <c r="O368" s="207"/>
      <c r="P368" s="207"/>
      <c r="Q368" s="207"/>
      <c r="R368" s="207"/>
      <c r="S368" s="207"/>
      <c r="T368" s="207"/>
      <c r="U368" s="207"/>
      <c r="V368" s="207"/>
      <c r="W368" s="207"/>
      <c r="X368" s="207"/>
      <c r="Y368" s="207"/>
      <c r="Z368" s="207"/>
      <c r="AA368" s="207"/>
    </row>
    <row r="369">
      <c r="A369" s="203"/>
      <c r="B369" s="204"/>
      <c r="C369" s="204"/>
      <c r="D369" s="205"/>
      <c r="E369" s="212"/>
      <c r="F369" s="206"/>
      <c r="G369" s="167"/>
      <c r="H369" s="213"/>
      <c r="I369" s="167"/>
      <c r="J369" s="168"/>
      <c r="K369" s="169"/>
      <c r="L369" s="207"/>
      <c r="M369" s="207"/>
      <c r="N369" s="207"/>
      <c r="O369" s="207"/>
      <c r="P369" s="207"/>
      <c r="Q369" s="207"/>
      <c r="R369" s="207"/>
      <c r="S369" s="207"/>
      <c r="T369" s="207"/>
      <c r="U369" s="207"/>
      <c r="V369" s="207"/>
      <c r="W369" s="207"/>
      <c r="X369" s="207"/>
      <c r="Y369" s="207"/>
      <c r="Z369" s="207"/>
      <c r="AA369" s="207"/>
    </row>
    <row r="370">
      <c r="A370" s="203"/>
      <c r="B370" s="204"/>
      <c r="C370" s="204"/>
      <c r="D370" s="205"/>
      <c r="E370" s="212"/>
      <c r="F370" s="206"/>
      <c r="G370" s="167"/>
      <c r="H370" s="213"/>
      <c r="I370" s="167"/>
      <c r="J370" s="168"/>
      <c r="K370" s="169"/>
      <c r="L370" s="207"/>
      <c r="M370" s="207"/>
      <c r="N370" s="207"/>
      <c r="O370" s="207"/>
      <c r="P370" s="207"/>
      <c r="Q370" s="207"/>
      <c r="R370" s="207"/>
      <c r="S370" s="207"/>
      <c r="T370" s="207"/>
      <c r="U370" s="207"/>
      <c r="V370" s="207"/>
      <c r="W370" s="207"/>
      <c r="X370" s="207"/>
      <c r="Y370" s="207"/>
      <c r="Z370" s="207"/>
      <c r="AA370" s="207"/>
    </row>
    <row r="371">
      <c r="A371" s="203"/>
      <c r="B371" s="204"/>
      <c r="C371" s="204"/>
      <c r="D371" s="205"/>
      <c r="E371" s="212"/>
      <c r="F371" s="206"/>
      <c r="G371" s="167"/>
      <c r="H371" s="213"/>
      <c r="I371" s="167"/>
      <c r="J371" s="168"/>
      <c r="K371" s="169"/>
      <c r="L371" s="207"/>
      <c r="M371" s="207"/>
      <c r="N371" s="207"/>
      <c r="O371" s="207"/>
      <c r="P371" s="207"/>
      <c r="Q371" s="207"/>
      <c r="R371" s="207"/>
      <c r="S371" s="207"/>
      <c r="T371" s="207"/>
      <c r="U371" s="207"/>
      <c r="V371" s="207"/>
      <c r="W371" s="207"/>
      <c r="X371" s="207"/>
      <c r="Y371" s="207"/>
      <c r="Z371" s="207"/>
      <c r="AA371" s="207"/>
    </row>
    <row r="372">
      <c r="A372" s="203"/>
      <c r="B372" s="204"/>
      <c r="C372" s="204"/>
      <c r="D372" s="205"/>
      <c r="E372" s="212"/>
      <c r="F372" s="206"/>
      <c r="G372" s="167"/>
      <c r="H372" s="213"/>
      <c r="I372" s="167"/>
      <c r="J372" s="168"/>
      <c r="K372" s="169"/>
      <c r="L372" s="207"/>
      <c r="M372" s="207"/>
      <c r="N372" s="207"/>
      <c r="O372" s="207"/>
      <c r="P372" s="207"/>
      <c r="Q372" s="207"/>
      <c r="R372" s="207"/>
      <c r="S372" s="207"/>
      <c r="T372" s="207"/>
      <c r="U372" s="207"/>
      <c r="V372" s="207"/>
      <c r="W372" s="207"/>
      <c r="X372" s="207"/>
      <c r="Y372" s="207"/>
      <c r="Z372" s="207"/>
      <c r="AA372" s="207"/>
    </row>
    <row r="373">
      <c r="A373" s="203"/>
      <c r="B373" s="204"/>
      <c r="C373" s="204"/>
      <c r="D373" s="205"/>
      <c r="E373" s="212"/>
      <c r="F373" s="206"/>
      <c r="G373" s="167"/>
      <c r="H373" s="213"/>
      <c r="I373" s="167"/>
      <c r="J373" s="168"/>
      <c r="K373" s="169"/>
      <c r="L373" s="207"/>
      <c r="M373" s="207"/>
      <c r="N373" s="207"/>
      <c r="O373" s="207"/>
      <c r="P373" s="207"/>
      <c r="Q373" s="207"/>
      <c r="R373" s="207"/>
      <c r="S373" s="207"/>
      <c r="T373" s="207"/>
      <c r="U373" s="207"/>
      <c r="V373" s="207"/>
      <c r="W373" s="207"/>
      <c r="X373" s="207"/>
      <c r="Y373" s="207"/>
      <c r="Z373" s="207"/>
      <c r="AA373" s="207"/>
    </row>
    <row r="374">
      <c r="A374" s="203"/>
      <c r="B374" s="204"/>
      <c r="C374" s="204"/>
      <c r="D374" s="205"/>
      <c r="E374" s="212"/>
      <c r="F374" s="206"/>
      <c r="G374" s="167"/>
      <c r="H374" s="213"/>
      <c r="I374" s="167"/>
      <c r="J374" s="168"/>
      <c r="K374" s="169"/>
      <c r="L374" s="207"/>
      <c r="M374" s="207"/>
      <c r="N374" s="207"/>
      <c r="O374" s="207"/>
      <c r="P374" s="207"/>
      <c r="Q374" s="207"/>
      <c r="R374" s="207"/>
      <c r="S374" s="207"/>
      <c r="T374" s="207"/>
      <c r="U374" s="207"/>
      <c r="V374" s="207"/>
      <c r="W374" s="207"/>
      <c r="X374" s="207"/>
      <c r="Y374" s="207"/>
      <c r="Z374" s="207"/>
      <c r="AA374" s="207"/>
    </row>
    <row r="375">
      <c r="A375" s="203"/>
      <c r="B375" s="204"/>
      <c r="C375" s="204"/>
      <c r="D375" s="205"/>
      <c r="E375" s="212"/>
      <c r="F375" s="206"/>
      <c r="G375" s="167"/>
      <c r="H375" s="213"/>
      <c r="I375" s="167"/>
      <c r="J375" s="168"/>
      <c r="K375" s="169"/>
      <c r="L375" s="207"/>
      <c r="M375" s="207"/>
      <c r="N375" s="207"/>
      <c r="O375" s="207"/>
      <c r="P375" s="207"/>
      <c r="Q375" s="207"/>
      <c r="R375" s="207"/>
      <c r="S375" s="207"/>
      <c r="T375" s="207"/>
      <c r="U375" s="207"/>
      <c r="V375" s="207"/>
      <c r="W375" s="207"/>
      <c r="X375" s="207"/>
      <c r="Y375" s="207"/>
      <c r="Z375" s="207"/>
      <c r="AA375" s="207"/>
    </row>
    <row r="376">
      <c r="A376" s="203"/>
      <c r="B376" s="204"/>
      <c r="C376" s="204"/>
      <c r="D376" s="205"/>
      <c r="E376" s="212"/>
      <c r="F376" s="206"/>
      <c r="G376" s="167"/>
      <c r="H376" s="213"/>
      <c r="I376" s="167"/>
      <c r="J376" s="168"/>
      <c r="K376" s="169"/>
      <c r="L376" s="207"/>
      <c r="M376" s="207"/>
      <c r="N376" s="207"/>
      <c r="O376" s="207"/>
      <c r="P376" s="207"/>
      <c r="Q376" s="207"/>
      <c r="R376" s="207"/>
      <c r="S376" s="207"/>
      <c r="T376" s="207"/>
      <c r="U376" s="207"/>
      <c r="V376" s="207"/>
      <c r="W376" s="207"/>
      <c r="X376" s="207"/>
      <c r="Y376" s="207"/>
      <c r="Z376" s="207"/>
      <c r="AA376" s="207"/>
    </row>
    <row r="377">
      <c r="A377" s="203"/>
      <c r="B377" s="204"/>
      <c r="C377" s="204"/>
      <c r="D377" s="205"/>
      <c r="E377" s="212"/>
      <c r="F377" s="206"/>
      <c r="G377" s="167"/>
      <c r="H377" s="213"/>
      <c r="I377" s="167"/>
      <c r="J377" s="168"/>
      <c r="K377" s="169"/>
      <c r="L377" s="207"/>
      <c r="M377" s="207"/>
      <c r="N377" s="207"/>
      <c r="O377" s="207"/>
      <c r="P377" s="207"/>
      <c r="Q377" s="207"/>
      <c r="R377" s="207"/>
      <c r="S377" s="207"/>
      <c r="T377" s="207"/>
      <c r="U377" s="207"/>
      <c r="V377" s="207"/>
      <c r="W377" s="207"/>
      <c r="X377" s="207"/>
      <c r="Y377" s="207"/>
      <c r="Z377" s="207"/>
      <c r="AA377" s="207"/>
    </row>
    <row r="378">
      <c r="A378" s="203"/>
      <c r="B378" s="204"/>
      <c r="C378" s="204"/>
      <c r="D378" s="205"/>
      <c r="E378" s="212"/>
      <c r="F378" s="206"/>
      <c r="G378" s="167"/>
      <c r="H378" s="213"/>
      <c r="I378" s="167"/>
      <c r="J378" s="168"/>
      <c r="K378" s="169"/>
      <c r="L378" s="207"/>
      <c r="M378" s="207"/>
      <c r="N378" s="207"/>
      <c r="O378" s="207"/>
      <c r="P378" s="207"/>
      <c r="Q378" s="207"/>
      <c r="R378" s="207"/>
      <c r="S378" s="207"/>
      <c r="T378" s="207"/>
      <c r="U378" s="207"/>
      <c r="V378" s="207"/>
      <c r="W378" s="207"/>
      <c r="X378" s="207"/>
      <c r="Y378" s="207"/>
      <c r="Z378" s="207"/>
      <c r="AA378" s="207"/>
    </row>
    <row r="379">
      <c r="A379" s="203"/>
      <c r="B379" s="204"/>
      <c r="C379" s="204"/>
      <c r="D379" s="205"/>
      <c r="E379" s="212"/>
      <c r="F379" s="206"/>
      <c r="G379" s="167"/>
      <c r="H379" s="213"/>
      <c r="I379" s="167"/>
      <c r="J379" s="168"/>
      <c r="K379" s="169"/>
      <c r="L379" s="207"/>
      <c r="M379" s="207"/>
      <c r="N379" s="207"/>
      <c r="O379" s="207"/>
      <c r="P379" s="207"/>
      <c r="Q379" s="207"/>
      <c r="R379" s="207"/>
      <c r="S379" s="207"/>
      <c r="T379" s="207"/>
      <c r="U379" s="207"/>
      <c r="V379" s="207"/>
      <c r="W379" s="207"/>
      <c r="X379" s="207"/>
      <c r="Y379" s="207"/>
      <c r="Z379" s="207"/>
      <c r="AA379" s="207"/>
    </row>
    <row r="380">
      <c r="A380" s="203"/>
      <c r="B380" s="204"/>
      <c r="C380" s="204"/>
      <c r="D380" s="205"/>
      <c r="E380" s="212"/>
      <c r="F380" s="206"/>
      <c r="G380" s="167"/>
      <c r="H380" s="213"/>
      <c r="I380" s="167"/>
      <c r="J380" s="168"/>
      <c r="K380" s="169"/>
      <c r="L380" s="207"/>
      <c r="M380" s="207"/>
      <c r="N380" s="207"/>
      <c r="O380" s="207"/>
      <c r="P380" s="207"/>
      <c r="Q380" s="207"/>
      <c r="R380" s="207"/>
      <c r="S380" s="207"/>
      <c r="T380" s="207"/>
      <c r="U380" s="207"/>
      <c r="V380" s="207"/>
      <c r="W380" s="207"/>
      <c r="X380" s="207"/>
      <c r="Y380" s="207"/>
      <c r="Z380" s="207"/>
      <c r="AA380" s="207"/>
    </row>
    <row r="381">
      <c r="A381" s="203"/>
      <c r="B381" s="204"/>
      <c r="C381" s="204"/>
      <c r="D381" s="205"/>
      <c r="E381" s="212"/>
      <c r="F381" s="206"/>
      <c r="G381" s="167"/>
      <c r="H381" s="213"/>
      <c r="I381" s="167"/>
      <c r="J381" s="168"/>
      <c r="K381" s="169"/>
      <c r="L381" s="207"/>
      <c r="M381" s="207"/>
      <c r="N381" s="207"/>
      <c r="O381" s="207"/>
      <c r="P381" s="207"/>
      <c r="Q381" s="207"/>
      <c r="R381" s="207"/>
      <c r="S381" s="207"/>
      <c r="T381" s="207"/>
      <c r="U381" s="207"/>
      <c r="V381" s="207"/>
      <c r="W381" s="207"/>
      <c r="X381" s="207"/>
      <c r="Y381" s="207"/>
      <c r="Z381" s="207"/>
      <c r="AA381" s="207"/>
    </row>
    <row r="382">
      <c r="A382" s="203"/>
      <c r="B382" s="204"/>
      <c r="C382" s="204"/>
      <c r="D382" s="205"/>
      <c r="E382" s="212"/>
      <c r="F382" s="206"/>
      <c r="G382" s="167"/>
      <c r="H382" s="213"/>
      <c r="I382" s="167"/>
      <c r="J382" s="168"/>
      <c r="K382" s="169"/>
      <c r="L382" s="207"/>
      <c r="M382" s="207"/>
      <c r="N382" s="207"/>
      <c r="O382" s="207"/>
      <c r="P382" s="207"/>
      <c r="Q382" s="207"/>
      <c r="R382" s="207"/>
      <c r="S382" s="207"/>
      <c r="T382" s="207"/>
      <c r="U382" s="207"/>
      <c r="V382" s="207"/>
      <c r="W382" s="207"/>
      <c r="X382" s="207"/>
      <c r="Y382" s="207"/>
      <c r="Z382" s="207"/>
      <c r="AA382" s="207"/>
    </row>
    <row r="383">
      <c r="A383" s="203"/>
      <c r="B383" s="204"/>
      <c r="C383" s="204"/>
      <c r="D383" s="205"/>
      <c r="E383" s="212"/>
      <c r="F383" s="206"/>
      <c r="G383" s="167"/>
      <c r="H383" s="213"/>
      <c r="I383" s="167"/>
      <c r="J383" s="168"/>
      <c r="K383" s="169"/>
      <c r="L383" s="207"/>
      <c r="M383" s="207"/>
      <c r="N383" s="207"/>
      <c r="O383" s="207"/>
      <c r="P383" s="207"/>
      <c r="Q383" s="207"/>
      <c r="R383" s="207"/>
      <c r="S383" s="207"/>
      <c r="T383" s="207"/>
      <c r="U383" s="207"/>
      <c r="V383" s="207"/>
      <c r="W383" s="207"/>
      <c r="X383" s="207"/>
      <c r="Y383" s="207"/>
      <c r="Z383" s="207"/>
      <c r="AA383" s="207"/>
    </row>
    <row r="384">
      <c r="A384" s="203"/>
      <c r="B384" s="204"/>
      <c r="C384" s="204"/>
      <c r="D384" s="205"/>
      <c r="E384" s="212"/>
      <c r="F384" s="206"/>
      <c r="G384" s="167"/>
      <c r="H384" s="213"/>
      <c r="I384" s="167"/>
      <c r="J384" s="168"/>
      <c r="K384" s="169"/>
      <c r="L384" s="207"/>
      <c r="M384" s="207"/>
      <c r="N384" s="207"/>
      <c r="O384" s="207"/>
      <c r="P384" s="207"/>
      <c r="Q384" s="207"/>
      <c r="R384" s="207"/>
      <c r="S384" s="207"/>
      <c r="T384" s="207"/>
      <c r="U384" s="207"/>
      <c r="V384" s="207"/>
      <c r="W384" s="207"/>
      <c r="X384" s="207"/>
      <c r="Y384" s="207"/>
      <c r="Z384" s="207"/>
      <c r="AA384" s="207"/>
    </row>
    <row r="385">
      <c r="A385" s="203"/>
      <c r="B385" s="204"/>
      <c r="C385" s="204"/>
      <c r="D385" s="205"/>
      <c r="E385" s="212"/>
      <c r="F385" s="206"/>
      <c r="G385" s="167"/>
      <c r="H385" s="213"/>
      <c r="I385" s="167"/>
      <c r="J385" s="168"/>
      <c r="K385" s="169"/>
      <c r="L385" s="207"/>
      <c r="M385" s="207"/>
      <c r="N385" s="207"/>
      <c r="O385" s="207"/>
      <c r="P385" s="207"/>
      <c r="Q385" s="207"/>
      <c r="R385" s="207"/>
      <c r="S385" s="207"/>
      <c r="T385" s="207"/>
      <c r="U385" s="207"/>
      <c r="V385" s="207"/>
      <c r="W385" s="207"/>
      <c r="X385" s="207"/>
      <c r="Y385" s="207"/>
      <c r="Z385" s="207"/>
      <c r="AA385" s="207"/>
    </row>
    <row r="386">
      <c r="A386" s="203"/>
      <c r="B386" s="204"/>
      <c r="C386" s="204"/>
      <c r="D386" s="205"/>
      <c r="E386" s="212"/>
      <c r="F386" s="206"/>
      <c r="G386" s="167"/>
      <c r="H386" s="213"/>
      <c r="I386" s="167"/>
      <c r="J386" s="168"/>
      <c r="K386" s="169"/>
      <c r="L386" s="207"/>
      <c r="M386" s="207"/>
      <c r="N386" s="207"/>
      <c r="O386" s="207"/>
      <c r="P386" s="207"/>
      <c r="Q386" s="207"/>
      <c r="R386" s="207"/>
      <c r="S386" s="207"/>
      <c r="T386" s="207"/>
      <c r="U386" s="207"/>
      <c r="V386" s="207"/>
      <c r="W386" s="207"/>
      <c r="X386" s="207"/>
      <c r="Y386" s="207"/>
      <c r="Z386" s="207"/>
      <c r="AA386" s="207"/>
    </row>
    <row r="387">
      <c r="A387" s="203"/>
      <c r="B387" s="204"/>
      <c r="C387" s="204"/>
      <c r="D387" s="205"/>
      <c r="E387" s="212"/>
      <c r="F387" s="206"/>
      <c r="G387" s="167"/>
      <c r="H387" s="213"/>
      <c r="I387" s="167"/>
      <c r="J387" s="168"/>
      <c r="K387" s="169"/>
      <c r="L387" s="207"/>
      <c r="M387" s="207"/>
      <c r="N387" s="207"/>
      <c r="O387" s="207"/>
      <c r="P387" s="207"/>
      <c r="Q387" s="207"/>
      <c r="R387" s="207"/>
      <c r="S387" s="207"/>
      <c r="T387" s="207"/>
      <c r="U387" s="207"/>
      <c r="V387" s="207"/>
      <c r="W387" s="207"/>
      <c r="X387" s="207"/>
      <c r="Y387" s="207"/>
      <c r="Z387" s="207"/>
      <c r="AA387" s="207"/>
    </row>
    <row r="388">
      <c r="A388" s="203"/>
      <c r="B388" s="204"/>
      <c r="C388" s="204"/>
      <c r="D388" s="205"/>
      <c r="E388" s="212"/>
      <c r="F388" s="206"/>
      <c r="G388" s="167"/>
      <c r="H388" s="213"/>
      <c r="I388" s="167"/>
      <c r="J388" s="168"/>
      <c r="K388" s="169"/>
      <c r="L388" s="207"/>
      <c r="M388" s="207"/>
      <c r="N388" s="207"/>
      <c r="O388" s="207"/>
      <c r="P388" s="207"/>
      <c r="Q388" s="207"/>
      <c r="R388" s="207"/>
      <c r="S388" s="207"/>
      <c r="T388" s="207"/>
      <c r="U388" s="207"/>
      <c r="V388" s="207"/>
      <c r="W388" s="207"/>
      <c r="X388" s="207"/>
      <c r="Y388" s="207"/>
      <c r="Z388" s="207"/>
      <c r="AA388" s="207"/>
    </row>
    <row r="389">
      <c r="A389" s="203"/>
      <c r="B389" s="204"/>
      <c r="C389" s="204"/>
      <c r="D389" s="205"/>
      <c r="E389" s="212"/>
      <c r="F389" s="206"/>
      <c r="G389" s="167"/>
      <c r="H389" s="213"/>
      <c r="I389" s="167"/>
      <c r="J389" s="168"/>
      <c r="K389" s="169"/>
      <c r="L389" s="207"/>
      <c r="M389" s="207"/>
      <c r="N389" s="207"/>
      <c r="O389" s="207"/>
      <c r="P389" s="207"/>
      <c r="Q389" s="207"/>
      <c r="R389" s="207"/>
      <c r="S389" s="207"/>
      <c r="T389" s="207"/>
      <c r="U389" s="207"/>
      <c r="V389" s="207"/>
      <c r="W389" s="207"/>
      <c r="X389" s="207"/>
      <c r="Y389" s="207"/>
      <c r="Z389" s="207"/>
      <c r="AA389" s="207"/>
    </row>
    <row r="390">
      <c r="A390" s="203"/>
      <c r="B390" s="204"/>
      <c r="C390" s="204"/>
      <c r="D390" s="205"/>
      <c r="E390" s="212"/>
      <c r="F390" s="206"/>
      <c r="G390" s="167"/>
      <c r="H390" s="213"/>
      <c r="I390" s="167"/>
      <c r="J390" s="168"/>
      <c r="K390" s="169"/>
      <c r="L390" s="207"/>
      <c r="M390" s="207"/>
      <c r="N390" s="207"/>
      <c r="O390" s="207"/>
      <c r="P390" s="207"/>
      <c r="Q390" s="207"/>
      <c r="R390" s="207"/>
      <c r="S390" s="207"/>
      <c r="T390" s="207"/>
      <c r="U390" s="207"/>
      <c r="V390" s="207"/>
      <c r="W390" s="207"/>
      <c r="X390" s="207"/>
      <c r="Y390" s="207"/>
      <c r="Z390" s="207"/>
      <c r="AA390" s="207"/>
    </row>
    <row r="391">
      <c r="A391" s="203"/>
      <c r="B391" s="204"/>
      <c r="C391" s="204"/>
      <c r="D391" s="205"/>
      <c r="E391" s="212"/>
      <c r="F391" s="206"/>
      <c r="G391" s="167"/>
      <c r="H391" s="213"/>
      <c r="I391" s="167"/>
      <c r="J391" s="168"/>
      <c r="K391" s="169"/>
      <c r="L391" s="207"/>
      <c r="M391" s="207"/>
      <c r="N391" s="207"/>
      <c r="O391" s="207"/>
      <c r="P391" s="207"/>
      <c r="Q391" s="207"/>
      <c r="R391" s="207"/>
      <c r="S391" s="207"/>
      <c r="T391" s="207"/>
      <c r="U391" s="207"/>
      <c r="V391" s="207"/>
      <c r="W391" s="207"/>
      <c r="X391" s="207"/>
      <c r="Y391" s="207"/>
      <c r="Z391" s="207"/>
      <c r="AA391" s="207"/>
    </row>
    <row r="392">
      <c r="A392" s="203"/>
      <c r="B392" s="204"/>
      <c r="C392" s="204"/>
      <c r="D392" s="205"/>
      <c r="E392" s="212"/>
      <c r="F392" s="206"/>
      <c r="G392" s="167"/>
      <c r="H392" s="213"/>
      <c r="I392" s="167"/>
      <c r="J392" s="168"/>
      <c r="K392" s="169"/>
      <c r="L392" s="207"/>
      <c r="M392" s="207"/>
      <c r="N392" s="207"/>
      <c r="O392" s="207"/>
      <c r="P392" s="207"/>
      <c r="Q392" s="207"/>
      <c r="R392" s="207"/>
      <c r="S392" s="207"/>
      <c r="T392" s="207"/>
      <c r="U392" s="207"/>
      <c r="V392" s="207"/>
      <c r="W392" s="207"/>
      <c r="X392" s="207"/>
      <c r="Y392" s="207"/>
      <c r="Z392" s="207"/>
      <c r="AA392" s="207"/>
    </row>
    <row r="393">
      <c r="A393" s="203"/>
      <c r="B393" s="204"/>
      <c r="C393" s="204"/>
      <c r="D393" s="205"/>
      <c r="E393" s="212"/>
      <c r="F393" s="206"/>
      <c r="G393" s="167"/>
      <c r="H393" s="213"/>
      <c r="I393" s="167"/>
      <c r="J393" s="168"/>
      <c r="K393" s="169"/>
      <c r="L393" s="207"/>
      <c r="M393" s="207"/>
      <c r="N393" s="207"/>
      <c r="O393" s="207"/>
      <c r="P393" s="207"/>
      <c r="Q393" s="207"/>
      <c r="R393" s="207"/>
      <c r="S393" s="207"/>
      <c r="T393" s="207"/>
      <c r="U393" s="207"/>
      <c r="V393" s="207"/>
      <c r="W393" s="207"/>
      <c r="X393" s="207"/>
      <c r="Y393" s="207"/>
      <c r="Z393" s="207"/>
      <c r="AA393" s="207"/>
    </row>
    <row r="394">
      <c r="A394" s="203"/>
      <c r="B394" s="204"/>
      <c r="C394" s="204"/>
      <c r="D394" s="205"/>
      <c r="E394" s="212"/>
      <c r="F394" s="206"/>
      <c r="G394" s="167"/>
      <c r="H394" s="213"/>
      <c r="I394" s="167"/>
      <c r="J394" s="168"/>
      <c r="K394" s="169"/>
      <c r="L394" s="207"/>
      <c r="M394" s="207"/>
      <c r="N394" s="207"/>
      <c r="O394" s="207"/>
      <c r="P394" s="207"/>
      <c r="Q394" s="207"/>
      <c r="R394" s="207"/>
      <c r="S394" s="207"/>
      <c r="T394" s="207"/>
      <c r="U394" s="207"/>
      <c r="V394" s="207"/>
      <c r="W394" s="207"/>
      <c r="X394" s="207"/>
      <c r="Y394" s="207"/>
      <c r="Z394" s="207"/>
      <c r="AA394" s="207"/>
    </row>
    <row r="395">
      <c r="A395" s="203"/>
      <c r="B395" s="204"/>
      <c r="C395" s="204"/>
      <c r="D395" s="205"/>
      <c r="E395" s="212"/>
      <c r="F395" s="206"/>
      <c r="G395" s="167"/>
      <c r="H395" s="213"/>
      <c r="I395" s="167"/>
      <c r="J395" s="168"/>
      <c r="K395" s="169"/>
      <c r="L395" s="207"/>
      <c r="M395" s="207"/>
      <c r="N395" s="207"/>
      <c r="O395" s="207"/>
      <c r="P395" s="207"/>
      <c r="Q395" s="207"/>
      <c r="R395" s="207"/>
      <c r="S395" s="207"/>
      <c r="T395" s="207"/>
      <c r="U395" s="207"/>
      <c r="V395" s="207"/>
      <c r="W395" s="207"/>
      <c r="X395" s="207"/>
      <c r="Y395" s="207"/>
      <c r="Z395" s="207"/>
      <c r="AA395" s="207"/>
    </row>
    <row r="396">
      <c r="A396" s="203"/>
      <c r="B396" s="204"/>
      <c r="C396" s="204"/>
      <c r="D396" s="205"/>
      <c r="E396" s="212"/>
      <c r="F396" s="206"/>
      <c r="G396" s="167"/>
      <c r="H396" s="213"/>
      <c r="I396" s="167"/>
      <c r="J396" s="168"/>
      <c r="K396" s="169"/>
      <c r="L396" s="207"/>
      <c r="M396" s="207"/>
      <c r="N396" s="207"/>
      <c r="O396" s="207"/>
      <c r="P396" s="207"/>
      <c r="Q396" s="207"/>
      <c r="R396" s="207"/>
      <c r="S396" s="207"/>
      <c r="T396" s="207"/>
      <c r="U396" s="207"/>
      <c r="V396" s="207"/>
      <c r="W396" s="207"/>
      <c r="X396" s="207"/>
      <c r="Y396" s="207"/>
      <c r="Z396" s="207"/>
      <c r="AA396" s="207"/>
    </row>
    <row r="397">
      <c r="A397" s="203"/>
      <c r="B397" s="204"/>
      <c r="C397" s="204"/>
      <c r="D397" s="205"/>
      <c r="E397" s="212"/>
      <c r="F397" s="206"/>
      <c r="G397" s="167"/>
      <c r="H397" s="213"/>
      <c r="I397" s="167"/>
      <c r="J397" s="168"/>
      <c r="K397" s="169"/>
      <c r="L397" s="207"/>
      <c r="M397" s="207"/>
      <c r="N397" s="207"/>
      <c r="O397" s="207"/>
      <c r="P397" s="207"/>
      <c r="Q397" s="207"/>
      <c r="R397" s="207"/>
      <c r="S397" s="207"/>
      <c r="T397" s="207"/>
      <c r="U397" s="207"/>
      <c r="V397" s="207"/>
      <c r="W397" s="207"/>
      <c r="X397" s="207"/>
      <c r="Y397" s="207"/>
      <c r="Z397" s="207"/>
      <c r="AA397" s="207"/>
    </row>
    <row r="398">
      <c r="A398" s="203"/>
      <c r="B398" s="204"/>
      <c r="C398" s="204"/>
      <c r="D398" s="205"/>
      <c r="E398" s="212"/>
      <c r="F398" s="206"/>
      <c r="G398" s="167"/>
      <c r="H398" s="213"/>
      <c r="I398" s="167"/>
      <c r="J398" s="168"/>
      <c r="K398" s="169"/>
      <c r="L398" s="207"/>
      <c r="M398" s="207"/>
      <c r="N398" s="207"/>
      <c r="O398" s="207"/>
      <c r="P398" s="207"/>
      <c r="Q398" s="207"/>
      <c r="R398" s="207"/>
      <c r="S398" s="207"/>
      <c r="T398" s="207"/>
      <c r="U398" s="207"/>
      <c r="V398" s="207"/>
      <c r="W398" s="207"/>
      <c r="X398" s="207"/>
      <c r="Y398" s="207"/>
      <c r="Z398" s="207"/>
      <c r="AA398" s="207"/>
    </row>
    <row r="399">
      <c r="A399" s="203"/>
      <c r="B399" s="204"/>
      <c r="C399" s="204"/>
      <c r="D399" s="205"/>
      <c r="E399" s="212"/>
      <c r="F399" s="206"/>
      <c r="G399" s="167"/>
      <c r="H399" s="213"/>
      <c r="I399" s="167"/>
      <c r="J399" s="168"/>
      <c r="K399" s="169"/>
      <c r="L399" s="207"/>
      <c r="M399" s="207"/>
      <c r="N399" s="207"/>
      <c r="O399" s="207"/>
      <c r="P399" s="207"/>
      <c r="Q399" s="207"/>
      <c r="R399" s="207"/>
      <c r="S399" s="207"/>
      <c r="T399" s="207"/>
      <c r="U399" s="207"/>
      <c r="V399" s="207"/>
      <c r="W399" s="207"/>
      <c r="X399" s="207"/>
      <c r="Y399" s="207"/>
      <c r="Z399" s="207"/>
      <c r="AA399" s="207"/>
    </row>
    <row r="400">
      <c r="A400" s="203"/>
      <c r="B400" s="204"/>
      <c r="C400" s="204"/>
      <c r="D400" s="205"/>
      <c r="E400" s="212"/>
      <c r="F400" s="206"/>
      <c r="G400" s="167"/>
      <c r="H400" s="213"/>
      <c r="I400" s="167"/>
      <c r="J400" s="168"/>
      <c r="K400" s="169"/>
      <c r="L400" s="207"/>
      <c r="M400" s="207"/>
      <c r="N400" s="207"/>
      <c r="O400" s="207"/>
      <c r="P400" s="207"/>
      <c r="Q400" s="207"/>
      <c r="R400" s="207"/>
      <c r="S400" s="207"/>
      <c r="T400" s="207"/>
      <c r="U400" s="207"/>
      <c r="V400" s="207"/>
      <c r="W400" s="207"/>
      <c r="X400" s="207"/>
      <c r="Y400" s="207"/>
      <c r="Z400" s="207"/>
      <c r="AA400" s="207"/>
    </row>
    <row r="401">
      <c r="A401" s="203"/>
      <c r="B401" s="204"/>
      <c r="C401" s="204"/>
      <c r="D401" s="205"/>
      <c r="E401" s="212"/>
      <c r="F401" s="206"/>
      <c r="G401" s="167"/>
      <c r="H401" s="213"/>
      <c r="I401" s="167"/>
      <c r="J401" s="168"/>
      <c r="K401" s="169"/>
      <c r="L401" s="207"/>
      <c r="M401" s="207"/>
      <c r="N401" s="207"/>
      <c r="O401" s="207"/>
      <c r="P401" s="207"/>
      <c r="Q401" s="207"/>
      <c r="R401" s="207"/>
      <c r="S401" s="207"/>
      <c r="T401" s="207"/>
      <c r="U401" s="207"/>
      <c r="V401" s="207"/>
      <c r="W401" s="207"/>
      <c r="X401" s="207"/>
      <c r="Y401" s="207"/>
      <c r="Z401" s="207"/>
      <c r="AA401" s="207"/>
    </row>
    <row r="402">
      <c r="A402" s="203"/>
      <c r="B402" s="204"/>
      <c r="C402" s="204"/>
      <c r="D402" s="205"/>
      <c r="E402" s="212"/>
      <c r="F402" s="206"/>
      <c r="G402" s="167"/>
      <c r="H402" s="213"/>
      <c r="I402" s="167"/>
      <c r="J402" s="168"/>
      <c r="K402" s="169"/>
      <c r="L402" s="207"/>
      <c r="M402" s="207"/>
      <c r="N402" s="207"/>
      <c r="O402" s="207"/>
      <c r="P402" s="207"/>
      <c r="Q402" s="207"/>
      <c r="R402" s="207"/>
      <c r="S402" s="207"/>
      <c r="T402" s="207"/>
      <c r="U402" s="207"/>
      <c r="V402" s="207"/>
      <c r="W402" s="207"/>
      <c r="X402" s="207"/>
      <c r="Y402" s="207"/>
      <c r="Z402" s="207"/>
      <c r="AA402" s="207"/>
    </row>
    <row r="403">
      <c r="A403" s="203"/>
      <c r="B403" s="204"/>
      <c r="C403" s="204"/>
      <c r="D403" s="205"/>
      <c r="E403" s="212"/>
      <c r="F403" s="206"/>
      <c r="G403" s="167"/>
      <c r="H403" s="213"/>
      <c r="I403" s="167"/>
      <c r="J403" s="168"/>
      <c r="K403" s="169"/>
      <c r="L403" s="207"/>
      <c r="M403" s="207"/>
      <c r="N403" s="207"/>
      <c r="O403" s="207"/>
      <c r="P403" s="207"/>
      <c r="Q403" s="207"/>
      <c r="R403" s="207"/>
      <c r="S403" s="207"/>
      <c r="T403" s="207"/>
      <c r="U403" s="207"/>
      <c r="V403" s="207"/>
      <c r="W403" s="207"/>
      <c r="X403" s="207"/>
      <c r="Y403" s="207"/>
      <c r="Z403" s="207"/>
      <c r="AA403" s="207"/>
    </row>
    <row r="404">
      <c r="A404" s="203"/>
      <c r="B404" s="204"/>
      <c r="C404" s="204"/>
      <c r="D404" s="205"/>
      <c r="E404" s="212"/>
      <c r="F404" s="206"/>
      <c r="G404" s="167"/>
      <c r="H404" s="213"/>
      <c r="I404" s="167"/>
      <c r="J404" s="168"/>
      <c r="K404" s="169"/>
      <c r="L404" s="207"/>
      <c r="M404" s="207"/>
      <c r="N404" s="207"/>
      <c r="O404" s="207"/>
      <c r="P404" s="207"/>
      <c r="Q404" s="207"/>
      <c r="R404" s="207"/>
      <c r="S404" s="207"/>
      <c r="T404" s="207"/>
      <c r="U404" s="207"/>
      <c r="V404" s="207"/>
      <c r="W404" s="207"/>
      <c r="X404" s="207"/>
      <c r="Y404" s="207"/>
      <c r="Z404" s="207"/>
      <c r="AA404" s="207"/>
    </row>
    <row r="405">
      <c r="A405" s="203"/>
      <c r="B405" s="204"/>
      <c r="C405" s="204"/>
      <c r="D405" s="205"/>
      <c r="E405" s="212"/>
      <c r="F405" s="206"/>
      <c r="G405" s="167"/>
      <c r="H405" s="213"/>
      <c r="I405" s="167"/>
      <c r="J405" s="168"/>
      <c r="K405" s="169"/>
      <c r="L405" s="207"/>
      <c r="M405" s="207"/>
      <c r="N405" s="207"/>
      <c r="O405" s="207"/>
      <c r="P405" s="207"/>
      <c r="Q405" s="207"/>
      <c r="R405" s="207"/>
      <c r="S405" s="207"/>
      <c r="T405" s="207"/>
      <c r="U405" s="207"/>
      <c r="V405" s="207"/>
      <c r="W405" s="207"/>
      <c r="X405" s="207"/>
      <c r="Y405" s="207"/>
      <c r="Z405" s="207"/>
      <c r="AA405" s="207"/>
    </row>
    <row r="406">
      <c r="A406" s="203"/>
      <c r="B406" s="204"/>
      <c r="C406" s="204"/>
      <c r="D406" s="205"/>
      <c r="E406" s="212"/>
      <c r="F406" s="206"/>
      <c r="G406" s="167"/>
      <c r="H406" s="213"/>
      <c r="I406" s="167"/>
      <c r="J406" s="168"/>
      <c r="K406" s="169"/>
      <c r="L406" s="207"/>
      <c r="M406" s="207"/>
      <c r="N406" s="207"/>
      <c r="O406" s="207"/>
      <c r="P406" s="207"/>
      <c r="Q406" s="207"/>
      <c r="R406" s="207"/>
      <c r="S406" s="207"/>
      <c r="T406" s="207"/>
      <c r="U406" s="207"/>
      <c r="V406" s="207"/>
      <c r="W406" s="207"/>
      <c r="X406" s="207"/>
      <c r="Y406" s="207"/>
      <c r="Z406" s="207"/>
      <c r="AA406" s="207"/>
    </row>
    <row r="407">
      <c r="A407" s="203"/>
      <c r="B407" s="204"/>
      <c r="C407" s="204"/>
      <c r="D407" s="205"/>
      <c r="E407" s="212"/>
      <c r="F407" s="206"/>
      <c r="G407" s="167"/>
      <c r="H407" s="213"/>
      <c r="I407" s="167"/>
      <c r="J407" s="168"/>
      <c r="K407" s="169"/>
      <c r="L407" s="207"/>
      <c r="M407" s="207"/>
      <c r="N407" s="207"/>
      <c r="O407" s="207"/>
      <c r="P407" s="207"/>
      <c r="Q407" s="207"/>
      <c r="R407" s="207"/>
      <c r="S407" s="207"/>
      <c r="T407" s="207"/>
      <c r="U407" s="207"/>
      <c r="V407" s="207"/>
      <c r="W407" s="207"/>
      <c r="X407" s="207"/>
      <c r="Y407" s="207"/>
      <c r="Z407" s="207"/>
      <c r="AA407" s="207"/>
    </row>
    <row r="408">
      <c r="A408" s="203"/>
      <c r="B408" s="204"/>
      <c r="C408" s="204"/>
      <c r="D408" s="205"/>
      <c r="E408" s="212"/>
      <c r="F408" s="206"/>
      <c r="G408" s="167"/>
      <c r="H408" s="213"/>
      <c r="I408" s="167"/>
      <c r="J408" s="168"/>
      <c r="K408" s="169"/>
      <c r="L408" s="207"/>
      <c r="M408" s="207"/>
      <c r="N408" s="207"/>
      <c r="O408" s="207"/>
      <c r="P408" s="207"/>
      <c r="Q408" s="207"/>
      <c r="R408" s="207"/>
      <c r="S408" s="207"/>
      <c r="T408" s="207"/>
      <c r="U408" s="207"/>
      <c r="V408" s="207"/>
      <c r="W408" s="207"/>
      <c r="X408" s="207"/>
      <c r="Y408" s="207"/>
      <c r="Z408" s="207"/>
      <c r="AA408" s="207"/>
    </row>
    <row r="409">
      <c r="A409" s="203"/>
      <c r="B409" s="204"/>
      <c r="C409" s="204"/>
      <c r="D409" s="205"/>
      <c r="E409" s="212"/>
      <c r="F409" s="206"/>
      <c r="G409" s="167"/>
      <c r="H409" s="213"/>
      <c r="I409" s="167"/>
      <c r="J409" s="168"/>
      <c r="K409" s="169"/>
      <c r="L409" s="207"/>
      <c r="M409" s="207"/>
      <c r="N409" s="207"/>
      <c r="O409" s="207"/>
      <c r="P409" s="207"/>
      <c r="Q409" s="207"/>
      <c r="R409" s="207"/>
      <c r="S409" s="207"/>
      <c r="T409" s="207"/>
      <c r="U409" s="207"/>
      <c r="V409" s="207"/>
      <c r="W409" s="207"/>
      <c r="X409" s="207"/>
      <c r="Y409" s="207"/>
      <c r="Z409" s="207"/>
      <c r="AA409" s="207"/>
    </row>
    <row r="410">
      <c r="A410" s="203"/>
      <c r="B410" s="204"/>
      <c r="C410" s="204"/>
      <c r="D410" s="205"/>
      <c r="E410" s="212"/>
      <c r="F410" s="206"/>
      <c r="G410" s="167"/>
      <c r="H410" s="213"/>
      <c r="I410" s="167"/>
      <c r="J410" s="168"/>
      <c r="K410" s="169"/>
      <c r="L410" s="207"/>
      <c r="M410" s="207"/>
      <c r="N410" s="207"/>
      <c r="O410" s="207"/>
      <c r="P410" s="207"/>
      <c r="Q410" s="207"/>
      <c r="R410" s="207"/>
      <c r="S410" s="207"/>
      <c r="T410" s="207"/>
      <c r="U410" s="207"/>
      <c r="V410" s="207"/>
      <c r="W410" s="207"/>
      <c r="X410" s="207"/>
      <c r="Y410" s="207"/>
      <c r="Z410" s="207"/>
      <c r="AA410" s="207"/>
    </row>
    <row r="411">
      <c r="A411" s="203"/>
      <c r="B411" s="204"/>
      <c r="C411" s="204"/>
      <c r="D411" s="205"/>
      <c r="E411" s="212"/>
      <c r="F411" s="206"/>
      <c r="G411" s="167"/>
      <c r="H411" s="213"/>
      <c r="I411" s="167"/>
      <c r="J411" s="168"/>
      <c r="K411" s="169"/>
      <c r="L411" s="207"/>
      <c r="M411" s="207"/>
      <c r="N411" s="207"/>
      <c r="O411" s="207"/>
      <c r="P411" s="207"/>
      <c r="Q411" s="207"/>
      <c r="R411" s="207"/>
      <c r="S411" s="207"/>
      <c r="T411" s="207"/>
      <c r="U411" s="207"/>
      <c r="V411" s="207"/>
      <c r="W411" s="207"/>
      <c r="X411" s="207"/>
      <c r="Y411" s="207"/>
      <c r="Z411" s="207"/>
      <c r="AA411" s="207"/>
    </row>
    <row r="412">
      <c r="A412" s="203"/>
      <c r="B412" s="204"/>
      <c r="C412" s="204"/>
      <c r="D412" s="205"/>
      <c r="E412" s="212"/>
      <c r="F412" s="206"/>
      <c r="G412" s="167"/>
      <c r="H412" s="213"/>
      <c r="I412" s="167"/>
      <c r="J412" s="168"/>
      <c r="K412" s="169"/>
      <c r="L412" s="207"/>
      <c r="M412" s="207"/>
      <c r="N412" s="207"/>
      <c r="O412" s="207"/>
      <c r="P412" s="207"/>
      <c r="Q412" s="207"/>
      <c r="R412" s="207"/>
      <c r="S412" s="207"/>
      <c r="T412" s="207"/>
      <c r="U412" s="207"/>
      <c r="V412" s="207"/>
      <c r="W412" s="207"/>
      <c r="X412" s="207"/>
      <c r="Y412" s="207"/>
      <c r="Z412" s="207"/>
      <c r="AA412" s="207"/>
    </row>
    <row r="413">
      <c r="A413" s="203"/>
      <c r="B413" s="204"/>
      <c r="C413" s="204"/>
      <c r="D413" s="205"/>
      <c r="E413" s="212"/>
      <c r="F413" s="206"/>
      <c r="G413" s="167"/>
      <c r="H413" s="213"/>
      <c r="I413" s="167"/>
      <c r="J413" s="168"/>
      <c r="K413" s="169"/>
      <c r="L413" s="207"/>
      <c r="M413" s="207"/>
      <c r="N413" s="207"/>
      <c r="O413" s="207"/>
      <c r="P413" s="207"/>
      <c r="Q413" s="207"/>
      <c r="R413" s="207"/>
      <c r="S413" s="207"/>
      <c r="T413" s="207"/>
      <c r="U413" s="207"/>
      <c r="V413" s="207"/>
      <c r="W413" s="207"/>
      <c r="X413" s="207"/>
      <c r="Y413" s="207"/>
      <c r="Z413" s="207"/>
      <c r="AA413" s="207"/>
    </row>
    <row r="414">
      <c r="A414" s="203"/>
      <c r="B414" s="204"/>
      <c r="C414" s="204"/>
      <c r="D414" s="205"/>
      <c r="E414" s="212"/>
      <c r="F414" s="206"/>
      <c r="G414" s="167"/>
      <c r="H414" s="213"/>
      <c r="I414" s="167"/>
      <c r="J414" s="168"/>
      <c r="K414" s="169"/>
      <c r="L414" s="207"/>
      <c r="M414" s="207"/>
      <c r="N414" s="207"/>
      <c r="O414" s="207"/>
      <c r="P414" s="207"/>
      <c r="Q414" s="207"/>
      <c r="R414" s="207"/>
      <c r="S414" s="207"/>
      <c r="T414" s="207"/>
      <c r="U414" s="207"/>
      <c r="V414" s="207"/>
      <c r="W414" s="207"/>
      <c r="X414" s="207"/>
      <c r="Y414" s="207"/>
      <c r="Z414" s="207"/>
      <c r="AA414" s="207"/>
    </row>
    <row r="415">
      <c r="A415" s="203"/>
      <c r="B415" s="204"/>
      <c r="C415" s="204"/>
      <c r="D415" s="205"/>
      <c r="E415" s="212"/>
      <c r="F415" s="206"/>
      <c r="G415" s="167"/>
      <c r="H415" s="213"/>
      <c r="I415" s="167"/>
      <c r="J415" s="168"/>
      <c r="K415" s="169"/>
      <c r="L415" s="207"/>
      <c r="M415" s="207"/>
      <c r="N415" s="207"/>
      <c r="O415" s="207"/>
      <c r="P415" s="207"/>
      <c r="Q415" s="207"/>
      <c r="R415" s="207"/>
      <c r="S415" s="207"/>
      <c r="T415" s="207"/>
      <c r="U415" s="207"/>
      <c r="V415" s="207"/>
      <c r="W415" s="207"/>
      <c r="X415" s="207"/>
      <c r="Y415" s="207"/>
      <c r="Z415" s="207"/>
      <c r="AA415" s="207"/>
    </row>
    <row r="416">
      <c r="A416" s="203"/>
      <c r="B416" s="204"/>
      <c r="C416" s="204"/>
      <c r="D416" s="205"/>
      <c r="E416" s="212"/>
      <c r="F416" s="206"/>
      <c r="G416" s="167"/>
      <c r="H416" s="213"/>
      <c r="I416" s="167"/>
      <c r="J416" s="168"/>
      <c r="K416" s="169"/>
      <c r="L416" s="207"/>
      <c r="M416" s="207"/>
      <c r="N416" s="207"/>
      <c r="O416" s="207"/>
      <c r="P416" s="207"/>
      <c r="Q416" s="207"/>
      <c r="R416" s="207"/>
      <c r="S416" s="207"/>
      <c r="T416" s="207"/>
      <c r="U416" s="207"/>
      <c r="V416" s="207"/>
      <c r="W416" s="207"/>
      <c r="X416" s="207"/>
      <c r="Y416" s="207"/>
      <c r="Z416" s="207"/>
      <c r="AA416" s="207"/>
    </row>
    <row r="417">
      <c r="A417" s="203"/>
      <c r="B417" s="204"/>
      <c r="C417" s="204"/>
      <c r="D417" s="205"/>
      <c r="E417" s="212"/>
      <c r="F417" s="206"/>
      <c r="G417" s="167"/>
      <c r="H417" s="213"/>
      <c r="I417" s="167"/>
      <c r="J417" s="168"/>
      <c r="K417" s="169"/>
      <c r="L417" s="207"/>
      <c r="M417" s="207"/>
      <c r="N417" s="207"/>
      <c r="O417" s="207"/>
      <c r="P417" s="207"/>
      <c r="Q417" s="207"/>
      <c r="R417" s="207"/>
      <c r="S417" s="207"/>
      <c r="T417" s="207"/>
      <c r="U417" s="207"/>
      <c r="V417" s="207"/>
      <c r="W417" s="207"/>
      <c r="X417" s="207"/>
      <c r="Y417" s="207"/>
      <c r="Z417" s="207"/>
      <c r="AA417" s="207"/>
    </row>
    <row r="418">
      <c r="A418" s="203"/>
      <c r="B418" s="204"/>
      <c r="C418" s="204"/>
      <c r="D418" s="205"/>
      <c r="E418" s="212"/>
      <c r="F418" s="206"/>
      <c r="G418" s="167"/>
      <c r="H418" s="213"/>
      <c r="I418" s="167"/>
      <c r="J418" s="168"/>
      <c r="K418" s="169"/>
      <c r="L418" s="207"/>
      <c r="M418" s="207"/>
      <c r="N418" s="207"/>
      <c r="O418" s="207"/>
      <c r="P418" s="207"/>
      <c r="Q418" s="207"/>
      <c r="R418" s="207"/>
      <c r="S418" s="207"/>
      <c r="T418" s="207"/>
      <c r="U418" s="207"/>
      <c r="V418" s="207"/>
      <c r="W418" s="207"/>
      <c r="X418" s="207"/>
      <c r="Y418" s="207"/>
      <c r="Z418" s="207"/>
      <c r="AA418" s="207"/>
    </row>
    <row r="419">
      <c r="A419" s="203"/>
      <c r="B419" s="204"/>
      <c r="C419" s="204"/>
      <c r="D419" s="205"/>
      <c r="E419" s="212"/>
      <c r="F419" s="206"/>
      <c r="G419" s="167"/>
      <c r="H419" s="213"/>
      <c r="I419" s="167"/>
      <c r="J419" s="168"/>
      <c r="K419" s="169"/>
      <c r="L419" s="207"/>
      <c r="M419" s="207"/>
      <c r="N419" s="207"/>
      <c r="O419" s="207"/>
      <c r="P419" s="207"/>
      <c r="Q419" s="207"/>
      <c r="R419" s="207"/>
      <c r="S419" s="207"/>
      <c r="T419" s="207"/>
      <c r="U419" s="207"/>
      <c r="V419" s="207"/>
      <c r="W419" s="207"/>
      <c r="X419" s="207"/>
      <c r="Y419" s="207"/>
      <c r="Z419" s="207"/>
      <c r="AA419" s="207"/>
    </row>
    <row r="420">
      <c r="A420" s="203"/>
      <c r="B420" s="204"/>
      <c r="C420" s="204"/>
      <c r="D420" s="205"/>
      <c r="E420" s="212"/>
      <c r="F420" s="206"/>
      <c r="G420" s="167"/>
      <c r="H420" s="213"/>
      <c r="I420" s="167"/>
      <c r="J420" s="168"/>
      <c r="K420" s="169"/>
      <c r="L420" s="207"/>
      <c r="M420" s="207"/>
      <c r="N420" s="207"/>
      <c r="O420" s="207"/>
      <c r="P420" s="207"/>
      <c r="Q420" s="207"/>
      <c r="R420" s="207"/>
      <c r="S420" s="207"/>
      <c r="T420" s="207"/>
      <c r="U420" s="207"/>
      <c r="V420" s="207"/>
      <c r="W420" s="207"/>
      <c r="X420" s="207"/>
      <c r="Y420" s="207"/>
      <c r="Z420" s="207"/>
      <c r="AA420" s="207"/>
    </row>
    <row r="421">
      <c r="A421" s="203"/>
      <c r="B421" s="204"/>
      <c r="C421" s="204"/>
      <c r="D421" s="205"/>
      <c r="E421" s="212"/>
      <c r="F421" s="206"/>
      <c r="G421" s="167"/>
      <c r="H421" s="213"/>
      <c r="I421" s="167"/>
      <c r="J421" s="168"/>
      <c r="K421" s="169"/>
      <c r="L421" s="207"/>
      <c r="M421" s="207"/>
      <c r="N421" s="207"/>
      <c r="O421" s="207"/>
      <c r="P421" s="207"/>
      <c r="Q421" s="207"/>
      <c r="R421" s="207"/>
      <c r="S421" s="207"/>
      <c r="T421" s="207"/>
      <c r="U421" s="207"/>
      <c r="V421" s="207"/>
      <c r="W421" s="207"/>
      <c r="X421" s="207"/>
      <c r="Y421" s="207"/>
      <c r="Z421" s="207"/>
      <c r="AA421" s="207"/>
    </row>
    <row r="422">
      <c r="A422" s="203"/>
      <c r="B422" s="204"/>
      <c r="C422" s="204"/>
      <c r="D422" s="205"/>
      <c r="E422" s="212"/>
      <c r="F422" s="206"/>
      <c r="G422" s="167"/>
      <c r="H422" s="213"/>
      <c r="I422" s="167"/>
      <c r="J422" s="168"/>
      <c r="K422" s="169"/>
      <c r="L422" s="207"/>
      <c r="M422" s="207"/>
      <c r="N422" s="207"/>
      <c r="O422" s="207"/>
      <c r="P422" s="207"/>
      <c r="Q422" s="207"/>
      <c r="R422" s="207"/>
      <c r="S422" s="207"/>
      <c r="T422" s="207"/>
      <c r="U422" s="207"/>
      <c r="V422" s="207"/>
      <c r="W422" s="207"/>
      <c r="X422" s="207"/>
      <c r="Y422" s="207"/>
      <c r="Z422" s="207"/>
      <c r="AA422" s="207"/>
    </row>
    <row r="423">
      <c r="A423" s="203"/>
      <c r="B423" s="204"/>
      <c r="C423" s="204"/>
      <c r="D423" s="205"/>
      <c r="E423" s="212"/>
      <c r="F423" s="206"/>
      <c r="G423" s="167"/>
      <c r="H423" s="213"/>
      <c r="I423" s="167"/>
      <c r="J423" s="168"/>
      <c r="K423" s="169"/>
      <c r="L423" s="207"/>
      <c r="M423" s="207"/>
      <c r="N423" s="207"/>
      <c r="O423" s="207"/>
      <c r="P423" s="207"/>
      <c r="Q423" s="207"/>
      <c r="R423" s="207"/>
      <c r="S423" s="207"/>
      <c r="T423" s="207"/>
      <c r="U423" s="207"/>
      <c r="V423" s="207"/>
      <c r="W423" s="207"/>
      <c r="X423" s="207"/>
      <c r="Y423" s="207"/>
      <c r="Z423" s="207"/>
      <c r="AA423" s="207"/>
    </row>
    <row r="424">
      <c r="A424" s="203"/>
      <c r="B424" s="204"/>
      <c r="C424" s="204"/>
      <c r="D424" s="205"/>
      <c r="E424" s="212"/>
      <c r="F424" s="206"/>
      <c r="G424" s="167"/>
      <c r="H424" s="213"/>
      <c r="I424" s="167"/>
      <c r="J424" s="168"/>
      <c r="K424" s="169"/>
      <c r="L424" s="207"/>
      <c r="M424" s="207"/>
      <c r="N424" s="207"/>
      <c r="O424" s="207"/>
      <c r="P424" s="207"/>
      <c r="Q424" s="207"/>
      <c r="R424" s="207"/>
      <c r="S424" s="207"/>
      <c r="T424" s="207"/>
      <c r="U424" s="207"/>
      <c r="V424" s="207"/>
      <c r="W424" s="207"/>
      <c r="X424" s="207"/>
      <c r="Y424" s="207"/>
      <c r="Z424" s="207"/>
      <c r="AA424" s="207"/>
    </row>
    <row r="425">
      <c r="A425" s="203"/>
      <c r="B425" s="204"/>
      <c r="C425" s="204"/>
      <c r="D425" s="205"/>
      <c r="E425" s="212"/>
      <c r="F425" s="206"/>
      <c r="G425" s="167"/>
      <c r="H425" s="213"/>
      <c r="I425" s="167"/>
      <c r="J425" s="168"/>
      <c r="K425" s="169"/>
      <c r="L425" s="207"/>
      <c r="M425" s="207"/>
      <c r="N425" s="207"/>
      <c r="O425" s="207"/>
      <c r="P425" s="207"/>
      <c r="Q425" s="207"/>
      <c r="R425" s="207"/>
      <c r="S425" s="207"/>
      <c r="T425" s="207"/>
      <c r="U425" s="207"/>
      <c r="V425" s="207"/>
      <c r="W425" s="207"/>
      <c r="X425" s="207"/>
      <c r="Y425" s="207"/>
      <c r="Z425" s="207"/>
      <c r="AA425" s="207"/>
    </row>
    <row r="426">
      <c r="A426" s="203"/>
      <c r="B426" s="204"/>
      <c r="C426" s="204"/>
      <c r="D426" s="205"/>
      <c r="E426" s="212"/>
      <c r="F426" s="206"/>
      <c r="G426" s="167"/>
      <c r="H426" s="213"/>
      <c r="I426" s="167"/>
      <c r="J426" s="168"/>
      <c r="K426" s="169"/>
      <c r="L426" s="207"/>
      <c r="M426" s="207"/>
      <c r="N426" s="207"/>
      <c r="O426" s="207"/>
      <c r="P426" s="207"/>
      <c r="Q426" s="207"/>
      <c r="R426" s="207"/>
      <c r="S426" s="207"/>
      <c r="T426" s="207"/>
      <c r="U426" s="207"/>
      <c r="V426" s="207"/>
      <c r="W426" s="207"/>
      <c r="X426" s="207"/>
      <c r="Y426" s="207"/>
      <c r="Z426" s="207"/>
      <c r="AA426" s="207"/>
    </row>
    <row r="427">
      <c r="A427" s="203"/>
      <c r="B427" s="204"/>
      <c r="C427" s="204"/>
      <c r="D427" s="205"/>
      <c r="E427" s="212"/>
      <c r="F427" s="206"/>
      <c r="G427" s="167"/>
      <c r="H427" s="213"/>
      <c r="I427" s="167"/>
      <c r="J427" s="168"/>
      <c r="K427" s="169"/>
      <c r="L427" s="207"/>
      <c r="M427" s="207"/>
      <c r="N427" s="207"/>
      <c r="O427" s="207"/>
      <c r="P427" s="207"/>
      <c r="Q427" s="207"/>
      <c r="R427" s="207"/>
      <c r="S427" s="207"/>
      <c r="T427" s="207"/>
      <c r="U427" s="207"/>
      <c r="V427" s="207"/>
      <c r="W427" s="207"/>
      <c r="X427" s="207"/>
      <c r="Y427" s="207"/>
      <c r="Z427" s="207"/>
      <c r="AA427" s="207"/>
    </row>
    <row r="428">
      <c r="A428" s="203"/>
      <c r="B428" s="204"/>
      <c r="C428" s="204"/>
      <c r="D428" s="205"/>
      <c r="E428" s="212"/>
      <c r="F428" s="206"/>
      <c r="G428" s="167"/>
      <c r="H428" s="213"/>
      <c r="I428" s="167"/>
      <c r="J428" s="168"/>
      <c r="K428" s="169"/>
      <c r="L428" s="207"/>
      <c r="M428" s="207"/>
      <c r="N428" s="207"/>
      <c r="O428" s="207"/>
      <c r="P428" s="207"/>
      <c r="Q428" s="207"/>
      <c r="R428" s="207"/>
      <c r="S428" s="207"/>
      <c r="T428" s="207"/>
      <c r="U428" s="207"/>
      <c r="V428" s="207"/>
      <c r="W428" s="207"/>
      <c r="X428" s="207"/>
      <c r="Y428" s="207"/>
      <c r="Z428" s="207"/>
      <c r="AA428" s="207"/>
    </row>
    <row r="429">
      <c r="A429" s="203"/>
      <c r="B429" s="204"/>
      <c r="C429" s="204"/>
      <c r="D429" s="205"/>
      <c r="E429" s="212"/>
      <c r="F429" s="206"/>
      <c r="G429" s="167"/>
      <c r="H429" s="213"/>
      <c r="I429" s="167"/>
      <c r="J429" s="168"/>
      <c r="K429" s="169"/>
      <c r="L429" s="207"/>
      <c r="M429" s="207"/>
      <c r="N429" s="207"/>
      <c r="O429" s="207"/>
      <c r="P429" s="207"/>
      <c r="Q429" s="207"/>
      <c r="R429" s="207"/>
      <c r="S429" s="207"/>
      <c r="T429" s="207"/>
      <c r="U429" s="207"/>
      <c r="V429" s="207"/>
      <c r="W429" s="207"/>
      <c r="X429" s="207"/>
      <c r="Y429" s="207"/>
      <c r="Z429" s="207"/>
      <c r="AA429" s="207"/>
    </row>
    <row r="430">
      <c r="A430" s="203"/>
      <c r="B430" s="204"/>
      <c r="C430" s="204"/>
      <c r="D430" s="205"/>
      <c r="E430" s="212"/>
      <c r="F430" s="206"/>
      <c r="G430" s="167"/>
      <c r="H430" s="213"/>
      <c r="I430" s="167"/>
      <c r="J430" s="168"/>
      <c r="K430" s="169"/>
      <c r="L430" s="207"/>
      <c r="M430" s="207"/>
      <c r="N430" s="207"/>
      <c r="O430" s="207"/>
      <c r="P430" s="207"/>
      <c r="Q430" s="207"/>
      <c r="R430" s="207"/>
      <c r="S430" s="207"/>
      <c r="T430" s="207"/>
      <c r="U430" s="207"/>
      <c r="V430" s="207"/>
      <c r="W430" s="207"/>
      <c r="X430" s="207"/>
      <c r="Y430" s="207"/>
      <c r="Z430" s="207"/>
      <c r="AA430" s="207"/>
    </row>
    <row r="431">
      <c r="A431" s="203"/>
      <c r="B431" s="204"/>
      <c r="C431" s="204"/>
      <c r="D431" s="205"/>
      <c r="E431" s="212"/>
      <c r="F431" s="206"/>
      <c r="G431" s="167"/>
      <c r="H431" s="213"/>
      <c r="I431" s="167"/>
      <c r="J431" s="168"/>
      <c r="K431" s="169"/>
      <c r="L431" s="207"/>
      <c r="M431" s="207"/>
      <c r="N431" s="207"/>
      <c r="O431" s="207"/>
      <c r="P431" s="207"/>
      <c r="Q431" s="207"/>
      <c r="R431" s="207"/>
      <c r="S431" s="207"/>
      <c r="T431" s="207"/>
      <c r="U431" s="207"/>
      <c r="V431" s="207"/>
      <c r="W431" s="207"/>
      <c r="X431" s="207"/>
      <c r="Y431" s="207"/>
      <c r="Z431" s="207"/>
      <c r="AA431" s="207"/>
    </row>
    <row r="432">
      <c r="A432" s="203"/>
      <c r="B432" s="204"/>
      <c r="C432" s="204"/>
      <c r="D432" s="205"/>
      <c r="E432" s="212"/>
      <c r="F432" s="206"/>
      <c r="G432" s="167"/>
      <c r="H432" s="213"/>
      <c r="I432" s="167"/>
      <c r="J432" s="168"/>
      <c r="K432" s="169"/>
      <c r="L432" s="207"/>
      <c r="M432" s="207"/>
      <c r="N432" s="207"/>
      <c r="O432" s="207"/>
      <c r="P432" s="207"/>
      <c r="Q432" s="207"/>
      <c r="R432" s="207"/>
      <c r="S432" s="207"/>
      <c r="T432" s="207"/>
      <c r="U432" s="207"/>
      <c r="V432" s="207"/>
      <c r="W432" s="207"/>
      <c r="X432" s="207"/>
      <c r="Y432" s="207"/>
      <c r="Z432" s="207"/>
      <c r="AA432" s="207"/>
    </row>
    <row r="433">
      <c r="A433" s="203"/>
      <c r="B433" s="204"/>
      <c r="C433" s="204"/>
      <c r="D433" s="205"/>
      <c r="E433" s="212"/>
      <c r="F433" s="206"/>
      <c r="G433" s="167"/>
      <c r="H433" s="213"/>
      <c r="I433" s="167"/>
      <c r="J433" s="168"/>
      <c r="K433" s="169"/>
      <c r="L433" s="207"/>
      <c r="M433" s="207"/>
      <c r="N433" s="207"/>
      <c r="O433" s="207"/>
      <c r="P433" s="207"/>
      <c r="Q433" s="207"/>
      <c r="R433" s="207"/>
      <c r="S433" s="207"/>
      <c r="T433" s="207"/>
      <c r="U433" s="207"/>
      <c r="V433" s="207"/>
      <c r="W433" s="207"/>
      <c r="X433" s="207"/>
      <c r="Y433" s="207"/>
      <c r="Z433" s="207"/>
      <c r="AA433" s="207"/>
    </row>
    <row r="434">
      <c r="A434" s="203"/>
      <c r="B434" s="204"/>
      <c r="C434" s="204"/>
      <c r="D434" s="205"/>
      <c r="E434" s="212"/>
      <c r="F434" s="206"/>
      <c r="G434" s="167"/>
      <c r="H434" s="213"/>
      <c r="I434" s="167"/>
      <c r="J434" s="168"/>
      <c r="K434" s="169"/>
      <c r="L434" s="207"/>
      <c r="M434" s="207"/>
      <c r="N434" s="207"/>
      <c r="O434" s="207"/>
      <c r="P434" s="207"/>
      <c r="Q434" s="207"/>
      <c r="R434" s="207"/>
      <c r="S434" s="207"/>
      <c r="T434" s="207"/>
      <c r="U434" s="207"/>
      <c r="V434" s="207"/>
      <c r="W434" s="207"/>
      <c r="X434" s="207"/>
      <c r="Y434" s="207"/>
      <c r="Z434" s="207"/>
      <c r="AA434" s="207"/>
    </row>
    <row r="435">
      <c r="A435" s="203"/>
      <c r="B435" s="204"/>
      <c r="C435" s="204"/>
      <c r="D435" s="205"/>
      <c r="E435" s="212"/>
      <c r="F435" s="206"/>
      <c r="G435" s="167"/>
      <c r="H435" s="213"/>
      <c r="I435" s="167"/>
      <c r="J435" s="168"/>
      <c r="K435" s="169"/>
      <c r="L435" s="207"/>
      <c r="M435" s="207"/>
      <c r="N435" s="207"/>
      <c r="O435" s="207"/>
      <c r="P435" s="207"/>
      <c r="Q435" s="207"/>
      <c r="R435" s="207"/>
      <c r="S435" s="207"/>
      <c r="T435" s="207"/>
      <c r="U435" s="207"/>
      <c r="V435" s="207"/>
      <c r="W435" s="207"/>
      <c r="X435" s="207"/>
      <c r="Y435" s="207"/>
      <c r="Z435" s="207"/>
      <c r="AA435" s="207"/>
    </row>
    <row r="436">
      <c r="A436" s="203"/>
      <c r="B436" s="204"/>
      <c r="C436" s="204"/>
      <c r="D436" s="205"/>
      <c r="E436" s="212"/>
      <c r="F436" s="206"/>
      <c r="G436" s="167"/>
      <c r="H436" s="213"/>
      <c r="I436" s="167"/>
      <c r="J436" s="168"/>
      <c r="K436" s="169"/>
      <c r="L436" s="207"/>
      <c r="M436" s="207"/>
      <c r="N436" s="207"/>
      <c r="O436" s="207"/>
      <c r="P436" s="207"/>
      <c r="Q436" s="207"/>
      <c r="R436" s="207"/>
      <c r="S436" s="207"/>
      <c r="T436" s="207"/>
      <c r="U436" s="207"/>
      <c r="V436" s="207"/>
      <c r="W436" s="207"/>
      <c r="X436" s="207"/>
      <c r="Y436" s="207"/>
      <c r="Z436" s="207"/>
      <c r="AA436" s="207"/>
    </row>
    <row r="437">
      <c r="A437" s="203"/>
      <c r="B437" s="204"/>
      <c r="C437" s="204"/>
      <c r="D437" s="205"/>
      <c r="E437" s="212"/>
      <c r="F437" s="206"/>
      <c r="G437" s="167"/>
      <c r="H437" s="213"/>
      <c r="I437" s="167"/>
      <c r="J437" s="168"/>
      <c r="K437" s="169"/>
      <c r="L437" s="207"/>
      <c r="M437" s="207"/>
      <c r="N437" s="207"/>
      <c r="O437" s="207"/>
      <c r="P437" s="207"/>
      <c r="Q437" s="207"/>
      <c r="R437" s="207"/>
      <c r="S437" s="207"/>
      <c r="T437" s="207"/>
      <c r="U437" s="207"/>
      <c r="V437" s="207"/>
      <c r="W437" s="207"/>
      <c r="X437" s="207"/>
      <c r="Y437" s="207"/>
      <c r="Z437" s="207"/>
      <c r="AA437" s="207"/>
    </row>
    <row r="438">
      <c r="A438" s="203"/>
      <c r="B438" s="204"/>
      <c r="C438" s="204"/>
      <c r="D438" s="205"/>
      <c r="E438" s="212"/>
      <c r="F438" s="206"/>
      <c r="G438" s="167"/>
      <c r="H438" s="213"/>
      <c r="I438" s="167"/>
      <c r="J438" s="168"/>
      <c r="K438" s="169"/>
      <c r="L438" s="207"/>
      <c r="M438" s="207"/>
      <c r="N438" s="207"/>
      <c r="O438" s="207"/>
      <c r="P438" s="207"/>
      <c r="Q438" s="207"/>
      <c r="R438" s="207"/>
      <c r="S438" s="207"/>
      <c r="T438" s="207"/>
      <c r="U438" s="207"/>
      <c r="V438" s="207"/>
      <c r="W438" s="207"/>
      <c r="X438" s="207"/>
      <c r="Y438" s="207"/>
      <c r="Z438" s="207"/>
      <c r="AA438" s="207"/>
    </row>
    <row r="439">
      <c r="A439" s="203"/>
      <c r="B439" s="204"/>
      <c r="C439" s="204"/>
      <c r="D439" s="205"/>
      <c r="E439" s="212"/>
      <c r="F439" s="206"/>
      <c r="G439" s="167"/>
      <c r="H439" s="213"/>
      <c r="I439" s="167"/>
      <c r="J439" s="168"/>
      <c r="K439" s="169"/>
      <c r="L439" s="207"/>
      <c r="M439" s="207"/>
      <c r="N439" s="207"/>
      <c r="O439" s="207"/>
      <c r="P439" s="207"/>
      <c r="Q439" s="207"/>
      <c r="R439" s="207"/>
      <c r="S439" s="207"/>
      <c r="T439" s="207"/>
      <c r="U439" s="207"/>
      <c r="V439" s="207"/>
      <c r="W439" s="207"/>
      <c r="X439" s="207"/>
      <c r="Y439" s="207"/>
      <c r="Z439" s="207"/>
      <c r="AA439" s="207"/>
    </row>
    <row r="440">
      <c r="A440" s="203"/>
      <c r="B440" s="204"/>
      <c r="C440" s="204"/>
      <c r="D440" s="205"/>
      <c r="E440" s="212"/>
      <c r="F440" s="206"/>
      <c r="G440" s="167"/>
      <c r="H440" s="213"/>
      <c r="I440" s="167"/>
      <c r="J440" s="168"/>
      <c r="K440" s="169"/>
      <c r="L440" s="207"/>
      <c r="M440" s="207"/>
      <c r="N440" s="207"/>
      <c r="O440" s="207"/>
      <c r="P440" s="207"/>
      <c r="Q440" s="207"/>
      <c r="R440" s="207"/>
      <c r="S440" s="207"/>
      <c r="T440" s="207"/>
      <c r="U440" s="207"/>
      <c r="V440" s="207"/>
      <c r="W440" s="207"/>
      <c r="X440" s="207"/>
      <c r="Y440" s="207"/>
      <c r="Z440" s="207"/>
      <c r="AA440" s="207"/>
    </row>
    <row r="441">
      <c r="A441" s="203"/>
      <c r="B441" s="204"/>
      <c r="C441" s="204"/>
      <c r="D441" s="205"/>
      <c r="E441" s="212"/>
      <c r="F441" s="206"/>
      <c r="G441" s="167"/>
      <c r="H441" s="213"/>
      <c r="I441" s="167"/>
      <c r="J441" s="168"/>
      <c r="K441" s="169"/>
      <c r="L441" s="207"/>
      <c r="M441" s="207"/>
      <c r="N441" s="207"/>
      <c r="O441" s="207"/>
      <c r="P441" s="207"/>
      <c r="Q441" s="207"/>
      <c r="R441" s="207"/>
      <c r="S441" s="207"/>
      <c r="T441" s="207"/>
      <c r="U441" s="207"/>
      <c r="V441" s="207"/>
      <c r="W441" s="207"/>
      <c r="X441" s="207"/>
      <c r="Y441" s="207"/>
      <c r="Z441" s="207"/>
      <c r="AA441" s="207"/>
    </row>
    <row r="442">
      <c r="A442" s="203"/>
      <c r="B442" s="204"/>
      <c r="C442" s="204"/>
      <c r="D442" s="205"/>
      <c r="E442" s="212"/>
      <c r="F442" s="206"/>
      <c r="G442" s="167"/>
      <c r="H442" s="213"/>
      <c r="I442" s="167"/>
      <c r="J442" s="168"/>
      <c r="K442" s="169"/>
      <c r="L442" s="207"/>
      <c r="M442" s="207"/>
      <c r="N442" s="207"/>
      <c r="O442" s="207"/>
      <c r="P442" s="207"/>
      <c r="Q442" s="207"/>
      <c r="R442" s="207"/>
      <c r="S442" s="207"/>
      <c r="T442" s="207"/>
      <c r="U442" s="207"/>
      <c r="V442" s="207"/>
      <c r="W442" s="207"/>
      <c r="X442" s="207"/>
      <c r="Y442" s="207"/>
      <c r="Z442" s="207"/>
      <c r="AA442" s="207"/>
    </row>
    <row r="443">
      <c r="A443" s="203"/>
      <c r="B443" s="204"/>
      <c r="C443" s="204"/>
      <c r="D443" s="205"/>
      <c r="E443" s="212"/>
      <c r="F443" s="206"/>
      <c r="G443" s="167"/>
      <c r="H443" s="213"/>
      <c r="I443" s="167"/>
      <c r="J443" s="168"/>
      <c r="K443" s="169"/>
      <c r="L443" s="207"/>
      <c r="M443" s="207"/>
      <c r="N443" s="207"/>
      <c r="O443" s="207"/>
      <c r="P443" s="207"/>
      <c r="Q443" s="207"/>
      <c r="R443" s="207"/>
      <c r="S443" s="207"/>
      <c r="T443" s="207"/>
      <c r="U443" s="207"/>
      <c r="V443" s="207"/>
      <c r="W443" s="207"/>
      <c r="X443" s="207"/>
      <c r="Y443" s="207"/>
      <c r="Z443" s="207"/>
      <c r="AA443" s="207"/>
    </row>
    <row r="444">
      <c r="A444" s="203"/>
      <c r="B444" s="204"/>
      <c r="C444" s="204"/>
      <c r="D444" s="205"/>
      <c r="E444" s="212"/>
      <c r="F444" s="206"/>
      <c r="G444" s="167"/>
      <c r="H444" s="213"/>
      <c r="I444" s="167"/>
      <c r="J444" s="168"/>
      <c r="K444" s="169"/>
      <c r="L444" s="207"/>
      <c r="M444" s="207"/>
      <c r="N444" s="207"/>
      <c r="O444" s="207"/>
      <c r="P444" s="207"/>
      <c r="Q444" s="207"/>
      <c r="R444" s="207"/>
      <c r="S444" s="207"/>
      <c r="T444" s="207"/>
      <c r="U444" s="207"/>
      <c r="V444" s="207"/>
      <c r="W444" s="207"/>
      <c r="X444" s="207"/>
      <c r="Y444" s="207"/>
      <c r="Z444" s="207"/>
      <c r="AA444" s="207"/>
    </row>
    <row r="445">
      <c r="A445" s="203"/>
      <c r="B445" s="204"/>
      <c r="C445" s="204"/>
      <c r="D445" s="205"/>
      <c r="E445" s="212"/>
      <c r="F445" s="206"/>
      <c r="G445" s="167"/>
      <c r="H445" s="213"/>
      <c r="I445" s="167"/>
      <c r="J445" s="168"/>
      <c r="K445" s="169"/>
      <c r="L445" s="207"/>
      <c r="M445" s="207"/>
      <c r="N445" s="207"/>
      <c r="O445" s="207"/>
      <c r="P445" s="207"/>
      <c r="Q445" s="207"/>
      <c r="R445" s="207"/>
      <c r="S445" s="207"/>
      <c r="T445" s="207"/>
      <c r="U445" s="207"/>
      <c r="V445" s="207"/>
      <c r="W445" s="207"/>
      <c r="X445" s="207"/>
      <c r="Y445" s="207"/>
      <c r="Z445" s="207"/>
      <c r="AA445" s="207"/>
    </row>
    <row r="446">
      <c r="A446" s="203"/>
      <c r="B446" s="204"/>
      <c r="C446" s="204"/>
      <c r="D446" s="205"/>
      <c r="E446" s="212"/>
      <c r="F446" s="206"/>
      <c r="G446" s="167"/>
      <c r="H446" s="213"/>
      <c r="I446" s="167"/>
      <c r="J446" s="168"/>
      <c r="K446" s="169"/>
      <c r="L446" s="207"/>
      <c r="M446" s="207"/>
      <c r="N446" s="207"/>
      <c r="O446" s="207"/>
      <c r="P446" s="207"/>
      <c r="Q446" s="207"/>
      <c r="R446" s="207"/>
      <c r="S446" s="207"/>
      <c r="T446" s="207"/>
      <c r="U446" s="207"/>
      <c r="V446" s="207"/>
      <c r="W446" s="207"/>
      <c r="X446" s="207"/>
      <c r="Y446" s="207"/>
      <c r="Z446" s="207"/>
      <c r="AA446" s="207"/>
    </row>
    <row r="447">
      <c r="A447" s="203"/>
      <c r="B447" s="204"/>
      <c r="C447" s="204"/>
      <c r="D447" s="205"/>
      <c r="E447" s="212"/>
      <c r="F447" s="206"/>
      <c r="G447" s="167"/>
      <c r="H447" s="213"/>
      <c r="I447" s="167"/>
      <c r="J447" s="168"/>
      <c r="K447" s="169"/>
      <c r="L447" s="207"/>
      <c r="M447" s="207"/>
      <c r="N447" s="207"/>
      <c r="O447" s="207"/>
      <c r="P447" s="207"/>
      <c r="Q447" s="207"/>
      <c r="R447" s="207"/>
      <c r="S447" s="207"/>
      <c r="T447" s="207"/>
      <c r="U447" s="207"/>
      <c r="V447" s="207"/>
      <c r="W447" s="207"/>
      <c r="X447" s="207"/>
      <c r="Y447" s="207"/>
      <c r="Z447" s="207"/>
      <c r="AA447" s="207"/>
    </row>
    <row r="448">
      <c r="A448" s="203"/>
      <c r="B448" s="204"/>
      <c r="C448" s="204"/>
      <c r="D448" s="205"/>
      <c r="E448" s="212"/>
      <c r="F448" s="206"/>
      <c r="G448" s="167"/>
      <c r="H448" s="213"/>
      <c r="I448" s="167"/>
      <c r="J448" s="168"/>
      <c r="K448" s="169"/>
      <c r="L448" s="207"/>
      <c r="M448" s="207"/>
      <c r="N448" s="207"/>
      <c r="O448" s="207"/>
      <c r="P448" s="207"/>
      <c r="Q448" s="207"/>
      <c r="R448" s="207"/>
      <c r="S448" s="207"/>
      <c r="T448" s="207"/>
      <c r="U448" s="207"/>
      <c r="V448" s="207"/>
      <c r="W448" s="207"/>
      <c r="X448" s="207"/>
      <c r="Y448" s="207"/>
      <c r="Z448" s="207"/>
      <c r="AA448" s="207"/>
    </row>
    <row r="449">
      <c r="A449" s="203"/>
      <c r="B449" s="204"/>
      <c r="C449" s="204"/>
      <c r="D449" s="205"/>
      <c r="E449" s="212"/>
      <c r="F449" s="206"/>
      <c r="G449" s="167"/>
      <c r="H449" s="213"/>
      <c r="I449" s="167"/>
      <c r="J449" s="168"/>
      <c r="K449" s="169"/>
      <c r="L449" s="207"/>
      <c r="M449" s="207"/>
      <c r="N449" s="207"/>
      <c r="O449" s="207"/>
      <c r="P449" s="207"/>
      <c r="Q449" s="207"/>
      <c r="R449" s="207"/>
      <c r="S449" s="207"/>
      <c r="T449" s="207"/>
      <c r="U449" s="207"/>
      <c r="V449" s="207"/>
      <c r="W449" s="207"/>
      <c r="X449" s="207"/>
      <c r="Y449" s="207"/>
      <c r="Z449" s="207"/>
      <c r="AA449" s="207"/>
    </row>
    <row r="450">
      <c r="A450" s="203"/>
      <c r="B450" s="204"/>
      <c r="C450" s="204"/>
      <c r="D450" s="205"/>
      <c r="E450" s="212"/>
      <c r="F450" s="206"/>
      <c r="G450" s="167"/>
      <c r="H450" s="213"/>
      <c r="I450" s="167"/>
      <c r="J450" s="168"/>
      <c r="K450" s="169"/>
      <c r="L450" s="207"/>
      <c r="M450" s="207"/>
      <c r="N450" s="207"/>
      <c r="O450" s="207"/>
      <c r="P450" s="207"/>
      <c r="Q450" s="207"/>
      <c r="R450" s="207"/>
      <c r="S450" s="207"/>
      <c r="T450" s="207"/>
      <c r="U450" s="207"/>
      <c r="V450" s="207"/>
      <c r="W450" s="207"/>
      <c r="X450" s="207"/>
      <c r="Y450" s="207"/>
      <c r="Z450" s="207"/>
      <c r="AA450" s="207"/>
    </row>
    <row r="451">
      <c r="A451" s="203"/>
      <c r="B451" s="204"/>
      <c r="C451" s="204"/>
      <c r="D451" s="205"/>
      <c r="E451" s="212"/>
      <c r="F451" s="206"/>
      <c r="G451" s="167"/>
      <c r="H451" s="213"/>
      <c r="I451" s="167"/>
      <c r="J451" s="168"/>
      <c r="K451" s="169"/>
      <c r="L451" s="207"/>
      <c r="M451" s="207"/>
      <c r="N451" s="207"/>
      <c r="O451" s="207"/>
      <c r="P451" s="207"/>
      <c r="Q451" s="207"/>
      <c r="R451" s="207"/>
      <c r="S451" s="207"/>
      <c r="T451" s="207"/>
      <c r="U451" s="207"/>
      <c r="V451" s="207"/>
      <c r="W451" s="207"/>
      <c r="X451" s="207"/>
      <c r="Y451" s="207"/>
      <c r="Z451" s="207"/>
      <c r="AA451" s="207"/>
    </row>
    <row r="452">
      <c r="A452" s="203"/>
      <c r="B452" s="204"/>
      <c r="C452" s="204"/>
      <c r="D452" s="205"/>
      <c r="E452" s="212"/>
      <c r="F452" s="206"/>
      <c r="G452" s="167"/>
      <c r="H452" s="213"/>
      <c r="I452" s="167"/>
      <c r="J452" s="168"/>
      <c r="K452" s="169"/>
      <c r="L452" s="207"/>
      <c r="M452" s="207"/>
      <c r="N452" s="207"/>
      <c r="O452" s="207"/>
      <c r="P452" s="207"/>
      <c r="Q452" s="207"/>
      <c r="R452" s="207"/>
      <c r="S452" s="207"/>
      <c r="T452" s="207"/>
      <c r="U452" s="207"/>
      <c r="V452" s="207"/>
      <c r="W452" s="207"/>
      <c r="X452" s="207"/>
      <c r="Y452" s="207"/>
      <c r="Z452" s="207"/>
      <c r="AA452" s="207"/>
    </row>
    <row r="453">
      <c r="A453" s="203"/>
      <c r="B453" s="204"/>
      <c r="C453" s="204"/>
      <c r="D453" s="205"/>
      <c r="E453" s="212"/>
      <c r="F453" s="206"/>
      <c r="G453" s="167"/>
      <c r="H453" s="213"/>
      <c r="I453" s="167"/>
      <c r="J453" s="168"/>
      <c r="K453" s="169"/>
      <c r="L453" s="207"/>
      <c r="M453" s="207"/>
      <c r="N453" s="207"/>
      <c r="O453" s="207"/>
      <c r="P453" s="207"/>
      <c r="Q453" s="207"/>
      <c r="R453" s="207"/>
      <c r="S453" s="207"/>
      <c r="T453" s="207"/>
      <c r="U453" s="207"/>
      <c r="V453" s="207"/>
      <c r="W453" s="207"/>
      <c r="X453" s="207"/>
      <c r="Y453" s="207"/>
      <c r="Z453" s="207"/>
      <c r="AA453" s="207"/>
    </row>
    <row r="454">
      <c r="A454" s="203"/>
      <c r="B454" s="204"/>
      <c r="C454" s="204"/>
      <c r="D454" s="205"/>
      <c r="E454" s="212"/>
      <c r="F454" s="206"/>
      <c r="G454" s="167"/>
      <c r="H454" s="213"/>
      <c r="I454" s="167"/>
      <c r="J454" s="168"/>
      <c r="K454" s="169"/>
      <c r="L454" s="207"/>
      <c r="M454" s="207"/>
      <c r="N454" s="207"/>
      <c r="O454" s="207"/>
      <c r="P454" s="207"/>
      <c r="Q454" s="207"/>
      <c r="R454" s="207"/>
      <c r="S454" s="207"/>
      <c r="T454" s="207"/>
      <c r="U454" s="207"/>
      <c r="V454" s="207"/>
      <c r="W454" s="207"/>
      <c r="X454" s="207"/>
      <c r="Y454" s="207"/>
      <c r="Z454" s="207"/>
      <c r="AA454" s="207"/>
    </row>
    <row r="455">
      <c r="A455" s="203"/>
      <c r="B455" s="204"/>
      <c r="C455" s="204"/>
      <c r="D455" s="205"/>
      <c r="E455" s="212"/>
      <c r="F455" s="206"/>
      <c r="G455" s="167"/>
      <c r="H455" s="213"/>
      <c r="I455" s="167"/>
      <c r="J455" s="168"/>
      <c r="K455" s="169"/>
      <c r="L455" s="207"/>
      <c r="M455" s="207"/>
      <c r="N455" s="207"/>
      <c r="O455" s="207"/>
      <c r="P455" s="207"/>
      <c r="Q455" s="207"/>
      <c r="R455" s="207"/>
      <c r="S455" s="207"/>
      <c r="T455" s="207"/>
      <c r="U455" s="207"/>
      <c r="V455" s="207"/>
      <c r="W455" s="207"/>
      <c r="X455" s="207"/>
      <c r="Y455" s="207"/>
      <c r="Z455" s="207"/>
      <c r="AA455" s="207"/>
    </row>
    <row r="456">
      <c r="A456" s="203"/>
      <c r="B456" s="204"/>
      <c r="C456" s="204"/>
      <c r="D456" s="205"/>
      <c r="E456" s="212"/>
      <c r="F456" s="206"/>
      <c r="G456" s="167"/>
      <c r="H456" s="213"/>
      <c r="I456" s="167"/>
      <c r="J456" s="168"/>
      <c r="K456" s="169"/>
      <c r="L456" s="207"/>
      <c r="M456" s="207"/>
      <c r="N456" s="207"/>
      <c r="O456" s="207"/>
      <c r="P456" s="207"/>
      <c r="Q456" s="207"/>
      <c r="R456" s="207"/>
      <c r="S456" s="207"/>
      <c r="T456" s="207"/>
      <c r="U456" s="207"/>
      <c r="V456" s="207"/>
      <c r="W456" s="207"/>
      <c r="X456" s="207"/>
      <c r="Y456" s="207"/>
      <c r="Z456" s="207"/>
      <c r="AA456" s="207"/>
    </row>
    <row r="457">
      <c r="A457" s="203"/>
      <c r="B457" s="204"/>
      <c r="C457" s="204"/>
      <c r="D457" s="205"/>
      <c r="E457" s="212"/>
      <c r="F457" s="206"/>
      <c r="G457" s="167"/>
      <c r="H457" s="213"/>
      <c r="I457" s="167"/>
      <c r="J457" s="168"/>
      <c r="K457" s="169"/>
      <c r="L457" s="207"/>
      <c r="M457" s="207"/>
      <c r="N457" s="207"/>
      <c r="O457" s="207"/>
      <c r="P457" s="207"/>
      <c r="Q457" s="207"/>
      <c r="R457" s="207"/>
      <c r="S457" s="207"/>
      <c r="T457" s="207"/>
      <c r="U457" s="207"/>
      <c r="V457" s="207"/>
      <c r="W457" s="207"/>
      <c r="X457" s="207"/>
      <c r="Y457" s="207"/>
      <c r="Z457" s="207"/>
      <c r="AA457" s="207"/>
    </row>
    <row r="458">
      <c r="A458" s="203"/>
      <c r="B458" s="204"/>
      <c r="C458" s="204"/>
      <c r="D458" s="205"/>
      <c r="E458" s="212"/>
      <c r="F458" s="206"/>
      <c r="G458" s="167"/>
      <c r="H458" s="213"/>
      <c r="I458" s="167"/>
      <c r="J458" s="168"/>
      <c r="K458" s="169"/>
      <c r="L458" s="207"/>
      <c r="M458" s="207"/>
      <c r="N458" s="207"/>
      <c r="O458" s="207"/>
      <c r="P458" s="207"/>
      <c r="Q458" s="207"/>
      <c r="R458" s="207"/>
      <c r="S458" s="207"/>
      <c r="T458" s="207"/>
      <c r="U458" s="207"/>
      <c r="V458" s="207"/>
      <c r="W458" s="207"/>
      <c r="X458" s="207"/>
      <c r="Y458" s="207"/>
      <c r="Z458" s="207"/>
      <c r="AA458" s="207"/>
    </row>
    <row r="459">
      <c r="A459" s="203"/>
      <c r="B459" s="204"/>
      <c r="C459" s="204"/>
      <c r="D459" s="205"/>
      <c r="E459" s="212"/>
      <c r="F459" s="206"/>
      <c r="G459" s="167"/>
      <c r="H459" s="213"/>
      <c r="I459" s="167"/>
      <c r="J459" s="168"/>
      <c r="K459" s="169"/>
      <c r="L459" s="207"/>
      <c r="M459" s="207"/>
      <c r="N459" s="207"/>
      <c r="O459" s="207"/>
      <c r="P459" s="207"/>
      <c r="Q459" s="207"/>
      <c r="R459" s="207"/>
      <c r="S459" s="207"/>
      <c r="T459" s="207"/>
      <c r="U459" s="207"/>
      <c r="V459" s="207"/>
      <c r="W459" s="207"/>
      <c r="X459" s="207"/>
      <c r="Y459" s="207"/>
      <c r="Z459" s="207"/>
      <c r="AA459" s="207"/>
    </row>
    <row r="460">
      <c r="A460" s="203"/>
      <c r="B460" s="204"/>
      <c r="C460" s="204"/>
      <c r="D460" s="205"/>
      <c r="E460" s="212"/>
      <c r="F460" s="206"/>
      <c r="G460" s="167"/>
      <c r="H460" s="213"/>
      <c r="I460" s="167"/>
      <c r="J460" s="168"/>
      <c r="K460" s="169"/>
      <c r="L460" s="207"/>
      <c r="M460" s="207"/>
      <c r="N460" s="207"/>
      <c r="O460" s="207"/>
      <c r="P460" s="207"/>
      <c r="Q460" s="207"/>
      <c r="R460" s="207"/>
      <c r="S460" s="207"/>
      <c r="T460" s="207"/>
      <c r="U460" s="207"/>
      <c r="V460" s="207"/>
      <c r="W460" s="207"/>
      <c r="X460" s="207"/>
      <c r="Y460" s="207"/>
      <c r="Z460" s="207"/>
      <c r="AA460" s="207"/>
    </row>
    <row r="461">
      <c r="A461" s="203"/>
      <c r="B461" s="204"/>
      <c r="C461" s="204"/>
      <c r="D461" s="205"/>
      <c r="E461" s="212"/>
      <c r="F461" s="206"/>
      <c r="G461" s="167"/>
      <c r="H461" s="213"/>
      <c r="I461" s="167"/>
      <c r="J461" s="168"/>
      <c r="K461" s="169"/>
      <c r="L461" s="207"/>
      <c r="M461" s="207"/>
      <c r="N461" s="207"/>
      <c r="O461" s="207"/>
      <c r="P461" s="207"/>
      <c r="Q461" s="207"/>
      <c r="R461" s="207"/>
      <c r="S461" s="207"/>
      <c r="T461" s="207"/>
      <c r="U461" s="207"/>
      <c r="V461" s="207"/>
      <c r="W461" s="207"/>
      <c r="X461" s="207"/>
      <c r="Y461" s="207"/>
      <c r="Z461" s="207"/>
      <c r="AA461" s="207"/>
    </row>
    <row r="462">
      <c r="A462" s="203"/>
      <c r="B462" s="204"/>
      <c r="C462" s="204"/>
      <c r="D462" s="205"/>
      <c r="E462" s="212"/>
      <c r="F462" s="206"/>
      <c r="G462" s="167"/>
      <c r="H462" s="213"/>
      <c r="I462" s="167"/>
      <c r="J462" s="168"/>
      <c r="K462" s="169"/>
      <c r="L462" s="207"/>
      <c r="M462" s="207"/>
      <c r="N462" s="207"/>
      <c r="O462" s="207"/>
      <c r="P462" s="207"/>
      <c r="Q462" s="207"/>
      <c r="R462" s="207"/>
      <c r="S462" s="207"/>
      <c r="T462" s="207"/>
      <c r="U462" s="207"/>
      <c r="V462" s="207"/>
      <c r="W462" s="207"/>
      <c r="X462" s="207"/>
      <c r="Y462" s="207"/>
      <c r="Z462" s="207"/>
      <c r="AA462" s="207"/>
    </row>
    <row r="463">
      <c r="A463" s="203"/>
      <c r="B463" s="204"/>
      <c r="C463" s="204"/>
      <c r="D463" s="205"/>
      <c r="E463" s="212"/>
      <c r="F463" s="206"/>
      <c r="G463" s="167"/>
      <c r="H463" s="213"/>
      <c r="I463" s="167"/>
      <c r="J463" s="168"/>
      <c r="K463" s="169"/>
      <c r="L463" s="207"/>
      <c r="M463" s="207"/>
      <c r="N463" s="207"/>
      <c r="O463" s="207"/>
      <c r="P463" s="207"/>
      <c r="Q463" s="207"/>
      <c r="R463" s="207"/>
      <c r="S463" s="207"/>
      <c r="T463" s="207"/>
      <c r="U463" s="207"/>
      <c r="V463" s="207"/>
      <c r="W463" s="207"/>
      <c r="X463" s="207"/>
      <c r="Y463" s="207"/>
      <c r="Z463" s="207"/>
      <c r="AA463" s="207"/>
    </row>
    <row r="464">
      <c r="A464" s="203"/>
      <c r="B464" s="204"/>
      <c r="C464" s="204"/>
      <c r="D464" s="205"/>
      <c r="E464" s="212"/>
      <c r="F464" s="206"/>
      <c r="G464" s="167"/>
      <c r="H464" s="213"/>
      <c r="I464" s="167"/>
      <c r="J464" s="168"/>
      <c r="K464" s="169"/>
      <c r="L464" s="207"/>
      <c r="M464" s="207"/>
      <c r="N464" s="207"/>
      <c r="O464" s="207"/>
      <c r="P464" s="207"/>
      <c r="Q464" s="207"/>
      <c r="R464" s="207"/>
      <c r="S464" s="207"/>
      <c r="T464" s="207"/>
      <c r="U464" s="207"/>
      <c r="V464" s="207"/>
      <c r="W464" s="207"/>
      <c r="X464" s="207"/>
      <c r="Y464" s="207"/>
      <c r="Z464" s="207"/>
      <c r="AA464" s="207"/>
    </row>
    <row r="465">
      <c r="A465" s="203"/>
      <c r="B465" s="204"/>
      <c r="C465" s="204"/>
      <c r="D465" s="205"/>
      <c r="E465" s="212"/>
      <c r="F465" s="206"/>
      <c r="G465" s="167"/>
      <c r="H465" s="213"/>
      <c r="I465" s="167"/>
      <c r="J465" s="168"/>
      <c r="K465" s="169"/>
      <c r="L465" s="207"/>
      <c r="M465" s="207"/>
      <c r="N465" s="207"/>
      <c r="O465" s="207"/>
      <c r="P465" s="207"/>
      <c r="Q465" s="207"/>
      <c r="R465" s="207"/>
      <c r="S465" s="207"/>
      <c r="T465" s="207"/>
      <c r="U465" s="207"/>
      <c r="V465" s="207"/>
      <c r="W465" s="207"/>
      <c r="X465" s="207"/>
      <c r="Y465" s="207"/>
      <c r="Z465" s="207"/>
      <c r="AA465" s="207"/>
    </row>
    <row r="466">
      <c r="A466" s="203"/>
      <c r="B466" s="204"/>
      <c r="C466" s="204"/>
      <c r="D466" s="205"/>
      <c r="E466" s="212"/>
      <c r="F466" s="206"/>
      <c r="G466" s="167"/>
      <c r="H466" s="213"/>
      <c r="I466" s="167"/>
      <c r="J466" s="168"/>
      <c r="K466" s="169"/>
      <c r="L466" s="207"/>
      <c r="M466" s="207"/>
      <c r="N466" s="207"/>
      <c r="O466" s="207"/>
      <c r="P466" s="207"/>
      <c r="Q466" s="207"/>
      <c r="R466" s="207"/>
      <c r="S466" s="207"/>
      <c r="T466" s="207"/>
      <c r="U466" s="207"/>
      <c r="V466" s="207"/>
      <c r="W466" s="207"/>
      <c r="X466" s="207"/>
      <c r="Y466" s="207"/>
      <c r="Z466" s="207"/>
      <c r="AA466" s="207"/>
    </row>
    <row r="467">
      <c r="A467" s="203"/>
      <c r="B467" s="204"/>
      <c r="C467" s="204"/>
      <c r="D467" s="205"/>
      <c r="E467" s="212"/>
      <c r="F467" s="206"/>
      <c r="G467" s="167"/>
      <c r="H467" s="213"/>
      <c r="I467" s="167"/>
      <c r="J467" s="168"/>
      <c r="K467" s="169"/>
      <c r="L467" s="207"/>
      <c r="M467" s="207"/>
      <c r="N467" s="207"/>
      <c r="O467" s="207"/>
      <c r="P467" s="207"/>
      <c r="Q467" s="207"/>
      <c r="R467" s="207"/>
      <c r="S467" s="207"/>
      <c r="T467" s="207"/>
      <c r="U467" s="207"/>
      <c r="V467" s="207"/>
      <c r="W467" s="207"/>
      <c r="X467" s="207"/>
      <c r="Y467" s="207"/>
      <c r="Z467" s="207"/>
      <c r="AA467" s="207"/>
    </row>
    <row r="468">
      <c r="A468" s="203"/>
      <c r="B468" s="204"/>
      <c r="C468" s="204"/>
      <c r="D468" s="205"/>
      <c r="E468" s="212"/>
      <c r="F468" s="206"/>
      <c r="G468" s="167"/>
      <c r="H468" s="213"/>
      <c r="I468" s="167"/>
      <c r="J468" s="168"/>
      <c r="K468" s="169"/>
      <c r="L468" s="207"/>
      <c r="M468" s="207"/>
      <c r="N468" s="207"/>
      <c r="O468" s="207"/>
      <c r="P468" s="207"/>
      <c r="Q468" s="207"/>
      <c r="R468" s="207"/>
      <c r="S468" s="207"/>
      <c r="T468" s="207"/>
      <c r="U468" s="207"/>
      <c r="V468" s="207"/>
      <c r="W468" s="207"/>
      <c r="X468" s="207"/>
      <c r="Y468" s="207"/>
      <c r="Z468" s="207"/>
      <c r="AA468" s="207"/>
    </row>
    <row r="469">
      <c r="A469" s="203"/>
      <c r="B469" s="204"/>
      <c r="C469" s="204"/>
      <c r="D469" s="205"/>
      <c r="E469" s="212"/>
      <c r="F469" s="206"/>
      <c r="G469" s="167"/>
      <c r="H469" s="213"/>
      <c r="I469" s="167"/>
      <c r="J469" s="168"/>
      <c r="K469" s="169"/>
      <c r="L469" s="207"/>
      <c r="M469" s="207"/>
      <c r="N469" s="207"/>
      <c r="O469" s="207"/>
      <c r="P469" s="207"/>
      <c r="Q469" s="207"/>
      <c r="R469" s="207"/>
      <c r="S469" s="207"/>
      <c r="T469" s="207"/>
      <c r="U469" s="207"/>
      <c r="V469" s="207"/>
      <c r="W469" s="207"/>
      <c r="X469" s="207"/>
      <c r="Y469" s="207"/>
      <c r="Z469" s="207"/>
      <c r="AA469" s="207"/>
    </row>
    <row r="470">
      <c r="A470" s="203"/>
      <c r="B470" s="204"/>
      <c r="C470" s="204"/>
      <c r="D470" s="205"/>
      <c r="E470" s="212"/>
      <c r="F470" s="206"/>
      <c r="G470" s="167"/>
      <c r="H470" s="213"/>
      <c r="I470" s="167"/>
      <c r="J470" s="168"/>
      <c r="K470" s="169"/>
      <c r="L470" s="207"/>
      <c r="M470" s="207"/>
      <c r="N470" s="207"/>
      <c r="O470" s="207"/>
      <c r="P470" s="207"/>
      <c r="Q470" s="207"/>
      <c r="R470" s="207"/>
      <c r="S470" s="207"/>
      <c r="T470" s="207"/>
      <c r="U470" s="207"/>
      <c r="V470" s="207"/>
      <c r="W470" s="207"/>
      <c r="X470" s="207"/>
      <c r="Y470" s="207"/>
      <c r="Z470" s="207"/>
      <c r="AA470" s="207"/>
    </row>
    <row r="471">
      <c r="A471" s="203"/>
      <c r="B471" s="204"/>
      <c r="C471" s="204"/>
      <c r="D471" s="205"/>
      <c r="E471" s="212"/>
      <c r="F471" s="206"/>
      <c r="G471" s="167"/>
      <c r="H471" s="213"/>
      <c r="I471" s="167"/>
      <c r="J471" s="168"/>
      <c r="K471" s="169"/>
      <c r="L471" s="207"/>
      <c r="M471" s="207"/>
      <c r="N471" s="207"/>
      <c r="O471" s="207"/>
      <c r="P471" s="207"/>
      <c r="Q471" s="207"/>
      <c r="R471" s="207"/>
      <c r="S471" s="207"/>
      <c r="T471" s="207"/>
      <c r="U471" s="207"/>
      <c r="V471" s="207"/>
      <c r="W471" s="207"/>
      <c r="X471" s="207"/>
      <c r="Y471" s="207"/>
      <c r="Z471" s="207"/>
      <c r="AA471" s="207"/>
    </row>
    <row r="472">
      <c r="A472" s="203"/>
      <c r="B472" s="204"/>
      <c r="C472" s="204"/>
      <c r="D472" s="205"/>
      <c r="E472" s="212"/>
      <c r="F472" s="206"/>
      <c r="G472" s="167"/>
      <c r="H472" s="213"/>
      <c r="I472" s="167"/>
      <c r="J472" s="168"/>
      <c r="K472" s="169"/>
      <c r="L472" s="207"/>
      <c r="M472" s="207"/>
      <c r="N472" s="207"/>
      <c r="O472" s="207"/>
      <c r="P472" s="207"/>
      <c r="Q472" s="207"/>
      <c r="R472" s="207"/>
      <c r="S472" s="207"/>
      <c r="T472" s="207"/>
      <c r="U472" s="207"/>
      <c r="V472" s="207"/>
      <c r="W472" s="207"/>
      <c r="X472" s="207"/>
      <c r="Y472" s="207"/>
      <c r="Z472" s="207"/>
      <c r="AA472" s="207"/>
    </row>
    <row r="473">
      <c r="A473" s="203"/>
      <c r="B473" s="204"/>
      <c r="C473" s="204"/>
      <c r="D473" s="205"/>
      <c r="E473" s="212"/>
      <c r="F473" s="206"/>
      <c r="G473" s="167"/>
      <c r="H473" s="213"/>
      <c r="I473" s="167"/>
      <c r="J473" s="168"/>
      <c r="K473" s="169"/>
      <c r="L473" s="207"/>
      <c r="M473" s="207"/>
      <c r="N473" s="207"/>
      <c r="O473" s="207"/>
      <c r="P473" s="207"/>
      <c r="Q473" s="207"/>
      <c r="R473" s="207"/>
      <c r="S473" s="207"/>
      <c r="T473" s="207"/>
      <c r="U473" s="207"/>
      <c r="V473" s="207"/>
      <c r="W473" s="207"/>
      <c r="X473" s="207"/>
      <c r="Y473" s="207"/>
      <c r="Z473" s="207"/>
      <c r="AA473" s="207"/>
    </row>
    <row r="474">
      <c r="A474" s="203"/>
      <c r="B474" s="204"/>
      <c r="C474" s="204"/>
      <c r="D474" s="205"/>
      <c r="E474" s="212"/>
      <c r="F474" s="206"/>
      <c r="G474" s="167"/>
      <c r="H474" s="213"/>
      <c r="I474" s="167"/>
      <c r="J474" s="168"/>
      <c r="K474" s="169"/>
      <c r="L474" s="207"/>
      <c r="M474" s="207"/>
      <c r="N474" s="207"/>
      <c r="O474" s="207"/>
      <c r="P474" s="207"/>
      <c r="Q474" s="207"/>
      <c r="R474" s="207"/>
      <c r="S474" s="207"/>
      <c r="T474" s="207"/>
      <c r="U474" s="207"/>
      <c r="V474" s="207"/>
      <c r="W474" s="207"/>
      <c r="X474" s="207"/>
      <c r="Y474" s="207"/>
      <c r="Z474" s="207"/>
      <c r="AA474" s="207"/>
    </row>
    <row r="475">
      <c r="A475" s="203"/>
      <c r="B475" s="204"/>
      <c r="C475" s="204"/>
      <c r="D475" s="205"/>
      <c r="E475" s="212"/>
      <c r="F475" s="206"/>
      <c r="G475" s="167"/>
      <c r="H475" s="213"/>
      <c r="I475" s="167"/>
      <c r="J475" s="168"/>
      <c r="K475" s="169"/>
      <c r="L475" s="207"/>
      <c r="M475" s="207"/>
      <c r="N475" s="207"/>
      <c r="O475" s="207"/>
      <c r="P475" s="207"/>
      <c r="Q475" s="207"/>
      <c r="R475" s="207"/>
      <c r="S475" s="207"/>
      <c r="T475" s="207"/>
      <c r="U475" s="207"/>
      <c r="V475" s="207"/>
      <c r="W475" s="207"/>
      <c r="X475" s="207"/>
      <c r="Y475" s="207"/>
      <c r="Z475" s="207"/>
      <c r="AA475" s="207"/>
    </row>
    <row r="476">
      <c r="A476" s="203"/>
      <c r="B476" s="204"/>
      <c r="C476" s="204"/>
      <c r="D476" s="205"/>
      <c r="E476" s="212"/>
      <c r="F476" s="206"/>
      <c r="G476" s="167"/>
      <c r="H476" s="213"/>
      <c r="I476" s="167"/>
      <c r="J476" s="168"/>
      <c r="K476" s="169"/>
      <c r="L476" s="207"/>
      <c r="M476" s="207"/>
      <c r="N476" s="207"/>
      <c r="O476" s="207"/>
      <c r="P476" s="207"/>
      <c r="Q476" s="207"/>
      <c r="R476" s="207"/>
      <c r="S476" s="207"/>
      <c r="T476" s="207"/>
      <c r="U476" s="207"/>
      <c r="V476" s="207"/>
      <c r="W476" s="207"/>
      <c r="X476" s="207"/>
      <c r="Y476" s="207"/>
      <c r="Z476" s="207"/>
      <c r="AA476" s="207"/>
    </row>
    <row r="477">
      <c r="A477" s="203"/>
      <c r="B477" s="204"/>
      <c r="C477" s="204"/>
      <c r="D477" s="205"/>
      <c r="E477" s="212"/>
      <c r="F477" s="206"/>
      <c r="G477" s="167"/>
      <c r="H477" s="213"/>
      <c r="I477" s="167"/>
      <c r="J477" s="168"/>
      <c r="K477" s="169"/>
      <c r="L477" s="207"/>
      <c r="M477" s="207"/>
      <c r="N477" s="207"/>
      <c r="O477" s="207"/>
      <c r="P477" s="207"/>
      <c r="Q477" s="207"/>
      <c r="R477" s="207"/>
      <c r="S477" s="207"/>
      <c r="T477" s="207"/>
      <c r="U477" s="207"/>
      <c r="V477" s="207"/>
      <c r="W477" s="207"/>
      <c r="X477" s="207"/>
      <c r="Y477" s="207"/>
      <c r="Z477" s="207"/>
      <c r="AA477" s="207"/>
    </row>
    <row r="478">
      <c r="A478" s="203"/>
      <c r="B478" s="204"/>
      <c r="C478" s="204"/>
      <c r="D478" s="205"/>
      <c r="E478" s="212"/>
      <c r="F478" s="206"/>
      <c r="G478" s="167"/>
      <c r="H478" s="213"/>
      <c r="I478" s="167"/>
      <c r="J478" s="168"/>
      <c r="K478" s="169"/>
      <c r="L478" s="207"/>
      <c r="M478" s="207"/>
      <c r="N478" s="207"/>
      <c r="O478" s="207"/>
      <c r="P478" s="207"/>
      <c r="Q478" s="207"/>
      <c r="R478" s="207"/>
      <c r="S478" s="207"/>
      <c r="T478" s="207"/>
      <c r="U478" s="207"/>
      <c r="V478" s="207"/>
      <c r="W478" s="207"/>
      <c r="X478" s="207"/>
      <c r="Y478" s="207"/>
      <c r="Z478" s="207"/>
      <c r="AA478" s="207"/>
    </row>
    <row r="479">
      <c r="A479" s="203"/>
      <c r="B479" s="204"/>
      <c r="C479" s="204"/>
      <c r="D479" s="205"/>
      <c r="E479" s="212"/>
      <c r="F479" s="206"/>
      <c r="G479" s="167"/>
      <c r="H479" s="213"/>
      <c r="I479" s="167"/>
      <c r="J479" s="168"/>
      <c r="K479" s="169"/>
      <c r="L479" s="207"/>
      <c r="M479" s="207"/>
      <c r="N479" s="207"/>
      <c r="O479" s="207"/>
      <c r="P479" s="207"/>
      <c r="Q479" s="207"/>
      <c r="R479" s="207"/>
      <c r="S479" s="207"/>
      <c r="T479" s="207"/>
      <c r="U479" s="207"/>
      <c r="V479" s="207"/>
      <c r="W479" s="207"/>
      <c r="X479" s="207"/>
      <c r="Y479" s="207"/>
      <c r="Z479" s="207"/>
      <c r="AA479" s="207"/>
    </row>
    <row r="480">
      <c r="A480" s="203"/>
      <c r="B480" s="204"/>
      <c r="C480" s="204"/>
      <c r="D480" s="205"/>
      <c r="E480" s="212"/>
      <c r="F480" s="206"/>
      <c r="G480" s="167"/>
      <c r="H480" s="213"/>
      <c r="I480" s="167"/>
      <c r="J480" s="168"/>
      <c r="K480" s="169"/>
      <c r="L480" s="207"/>
      <c r="M480" s="207"/>
      <c r="N480" s="207"/>
      <c r="O480" s="207"/>
      <c r="P480" s="207"/>
      <c r="Q480" s="207"/>
      <c r="R480" s="207"/>
      <c r="S480" s="207"/>
      <c r="T480" s="207"/>
      <c r="U480" s="207"/>
      <c r="V480" s="207"/>
      <c r="W480" s="207"/>
      <c r="X480" s="207"/>
      <c r="Y480" s="207"/>
      <c r="Z480" s="207"/>
      <c r="AA480" s="207"/>
    </row>
    <row r="481">
      <c r="A481" s="203"/>
      <c r="B481" s="204"/>
      <c r="C481" s="204"/>
      <c r="D481" s="205"/>
      <c r="E481" s="212"/>
      <c r="F481" s="206"/>
      <c r="G481" s="167"/>
      <c r="H481" s="213"/>
      <c r="I481" s="167"/>
      <c r="J481" s="168"/>
      <c r="K481" s="169"/>
      <c r="L481" s="207"/>
      <c r="M481" s="207"/>
      <c r="N481" s="207"/>
      <c r="O481" s="207"/>
      <c r="P481" s="207"/>
      <c r="Q481" s="207"/>
      <c r="R481" s="207"/>
      <c r="S481" s="207"/>
      <c r="T481" s="207"/>
      <c r="U481" s="207"/>
      <c r="V481" s="207"/>
      <c r="W481" s="207"/>
      <c r="X481" s="207"/>
      <c r="Y481" s="207"/>
      <c r="Z481" s="207"/>
      <c r="AA481" s="207"/>
    </row>
    <row r="482">
      <c r="A482" s="203"/>
      <c r="B482" s="204"/>
      <c r="C482" s="204"/>
      <c r="D482" s="205"/>
      <c r="E482" s="212"/>
      <c r="F482" s="206"/>
      <c r="G482" s="167"/>
      <c r="H482" s="213"/>
      <c r="I482" s="167"/>
      <c r="J482" s="168"/>
      <c r="K482" s="169"/>
      <c r="L482" s="207"/>
      <c r="M482" s="207"/>
      <c r="N482" s="207"/>
      <c r="O482" s="207"/>
      <c r="P482" s="207"/>
      <c r="Q482" s="207"/>
      <c r="R482" s="207"/>
      <c r="S482" s="207"/>
      <c r="T482" s="207"/>
      <c r="U482" s="207"/>
      <c r="V482" s="207"/>
      <c r="W482" s="207"/>
      <c r="X482" s="207"/>
      <c r="Y482" s="207"/>
      <c r="Z482" s="207"/>
      <c r="AA482" s="207"/>
    </row>
    <row r="483">
      <c r="A483" s="203"/>
      <c r="B483" s="204"/>
      <c r="C483" s="204"/>
      <c r="D483" s="205"/>
      <c r="E483" s="212"/>
      <c r="F483" s="206"/>
      <c r="G483" s="167"/>
      <c r="H483" s="213"/>
      <c r="I483" s="167"/>
      <c r="J483" s="168"/>
      <c r="K483" s="169"/>
      <c r="L483" s="207"/>
      <c r="M483" s="207"/>
      <c r="N483" s="207"/>
      <c r="O483" s="207"/>
      <c r="P483" s="207"/>
      <c r="Q483" s="207"/>
      <c r="R483" s="207"/>
      <c r="S483" s="207"/>
      <c r="T483" s="207"/>
      <c r="U483" s="207"/>
      <c r="V483" s="207"/>
      <c r="W483" s="207"/>
      <c r="X483" s="207"/>
      <c r="Y483" s="207"/>
      <c r="Z483" s="207"/>
      <c r="AA483" s="207"/>
    </row>
    <row r="484">
      <c r="A484" s="203"/>
      <c r="B484" s="204"/>
      <c r="C484" s="204"/>
      <c r="D484" s="205"/>
      <c r="E484" s="212"/>
      <c r="F484" s="206"/>
      <c r="G484" s="167"/>
      <c r="H484" s="213"/>
      <c r="I484" s="167"/>
      <c r="J484" s="168"/>
      <c r="K484" s="169"/>
      <c r="L484" s="207"/>
      <c r="M484" s="207"/>
      <c r="N484" s="207"/>
      <c r="O484" s="207"/>
      <c r="P484" s="207"/>
      <c r="Q484" s="207"/>
      <c r="R484" s="207"/>
      <c r="S484" s="207"/>
      <c r="T484" s="207"/>
      <c r="U484" s="207"/>
      <c r="V484" s="207"/>
      <c r="W484" s="207"/>
      <c r="X484" s="207"/>
      <c r="Y484" s="207"/>
      <c r="Z484" s="207"/>
      <c r="AA484" s="207"/>
    </row>
    <row r="485">
      <c r="A485" s="203"/>
      <c r="B485" s="204"/>
      <c r="C485" s="204"/>
      <c r="D485" s="205"/>
      <c r="E485" s="212"/>
      <c r="F485" s="206"/>
      <c r="G485" s="167"/>
      <c r="H485" s="213"/>
      <c r="I485" s="167"/>
      <c r="J485" s="168"/>
      <c r="K485" s="169"/>
      <c r="L485" s="207"/>
      <c r="M485" s="207"/>
      <c r="N485" s="207"/>
      <c r="O485" s="207"/>
      <c r="P485" s="207"/>
      <c r="Q485" s="207"/>
      <c r="R485" s="207"/>
      <c r="S485" s="207"/>
      <c r="T485" s="207"/>
      <c r="U485" s="207"/>
      <c r="V485" s="207"/>
      <c r="W485" s="207"/>
      <c r="X485" s="207"/>
      <c r="Y485" s="207"/>
      <c r="Z485" s="207"/>
      <c r="AA485" s="207"/>
    </row>
    <row r="486">
      <c r="A486" s="203"/>
      <c r="B486" s="204"/>
      <c r="C486" s="204"/>
      <c r="D486" s="205"/>
      <c r="E486" s="212"/>
      <c r="F486" s="206"/>
      <c r="G486" s="167"/>
      <c r="H486" s="213"/>
      <c r="I486" s="167"/>
      <c r="J486" s="168"/>
      <c r="K486" s="169"/>
      <c r="L486" s="207"/>
      <c r="M486" s="207"/>
      <c r="N486" s="207"/>
      <c r="O486" s="207"/>
      <c r="P486" s="207"/>
      <c r="Q486" s="207"/>
      <c r="R486" s="207"/>
      <c r="S486" s="207"/>
      <c r="T486" s="207"/>
      <c r="U486" s="207"/>
      <c r="V486" s="207"/>
      <c r="W486" s="207"/>
      <c r="X486" s="207"/>
      <c r="Y486" s="207"/>
      <c r="Z486" s="207"/>
      <c r="AA486" s="207"/>
    </row>
    <row r="487">
      <c r="A487" s="203"/>
      <c r="B487" s="204"/>
      <c r="C487" s="204"/>
      <c r="D487" s="205"/>
      <c r="E487" s="212"/>
      <c r="F487" s="206"/>
      <c r="G487" s="167"/>
      <c r="H487" s="213"/>
      <c r="I487" s="167"/>
      <c r="J487" s="168"/>
      <c r="K487" s="169"/>
      <c r="L487" s="207"/>
      <c r="M487" s="207"/>
      <c r="N487" s="207"/>
      <c r="O487" s="207"/>
      <c r="P487" s="207"/>
      <c r="Q487" s="207"/>
      <c r="R487" s="207"/>
      <c r="S487" s="207"/>
      <c r="T487" s="207"/>
      <c r="U487" s="207"/>
      <c r="V487" s="207"/>
      <c r="W487" s="207"/>
      <c r="X487" s="207"/>
      <c r="Y487" s="207"/>
      <c r="Z487" s="207"/>
      <c r="AA487" s="207"/>
    </row>
    <row r="488">
      <c r="A488" s="203"/>
      <c r="B488" s="204"/>
      <c r="C488" s="204"/>
      <c r="D488" s="205"/>
      <c r="E488" s="212"/>
      <c r="F488" s="206"/>
      <c r="G488" s="167"/>
      <c r="H488" s="213"/>
      <c r="I488" s="167"/>
      <c r="J488" s="168"/>
      <c r="K488" s="169"/>
      <c r="L488" s="207"/>
      <c r="M488" s="207"/>
      <c r="N488" s="207"/>
      <c r="O488" s="207"/>
      <c r="P488" s="207"/>
      <c r="Q488" s="207"/>
      <c r="R488" s="207"/>
      <c r="S488" s="207"/>
      <c r="T488" s="207"/>
      <c r="U488" s="207"/>
      <c r="V488" s="207"/>
      <c r="W488" s="207"/>
      <c r="X488" s="207"/>
      <c r="Y488" s="207"/>
      <c r="Z488" s="207"/>
      <c r="AA488" s="207"/>
    </row>
    <row r="489">
      <c r="A489" s="203"/>
      <c r="B489" s="204"/>
      <c r="C489" s="204"/>
      <c r="D489" s="205"/>
      <c r="E489" s="212"/>
      <c r="F489" s="206"/>
      <c r="G489" s="167"/>
      <c r="H489" s="213"/>
      <c r="I489" s="167"/>
      <c r="J489" s="168"/>
      <c r="K489" s="169"/>
      <c r="L489" s="207"/>
      <c r="M489" s="207"/>
      <c r="N489" s="207"/>
      <c r="O489" s="207"/>
      <c r="P489" s="207"/>
      <c r="Q489" s="207"/>
      <c r="R489" s="207"/>
      <c r="S489" s="207"/>
      <c r="T489" s="207"/>
      <c r="U489" s="207"/>
      <c r="V489" s="207"/>
      <c r="W489" s="207"/>
      <c r="X489" s="207"/>
      <c r="Y489" s="207"/>
      <c r="Z489" s="207"/>
      <c r="AA489" s="207"/>
    </row>
    <row r="490">
      <c r="A490" s="203"/>
      <c r="B490" s="204"/>
      <c r="C490" s="204"/>
      <c r="D490" s="205"/>
      <c r="E490" s="212"/>
      <c r="F490" s="206"/>
      <c r="G490" s="167"/>
      <c r="H490" s="213"/>
      <c r="I490" s="167"/>
      <c r="J490" s="168"/>
      <c r="K490" s="169"/>
      <c r="L490" s="207"/>
      <c r="M490" s="207"/>
      <c r="N490" s="207"/>
      <c r="O490" s="207"/>
      <c r="P490" s="207"/>
      <c r="Q490" s="207"/>
      <c r="R490" s="207"/>
      <c r="S490" s="207"/>
      <c r="T490" s="207"/>
      <c r="U490" s="207"/>
      <c r="V490" s="207"/>
      <c r="W490" s="207"/>
      <c r="X490" s="207"/>
      <c r="Y490" s="207"/>
      <c r="Z490" s="207"/>
      <c r="AA490" s="207"/>
    </row>
    <row r="491">
      <c r="A491" s="203"/>
      <c r="B491" s="204"/>
      <c r="C491" s="204"/>
      <c r="D491" s="205"/>
      <c r="E491" s="212"/>
      <c r="F491" s="206"/>
      <c r="G491" s="167"/>
      <c r="H491" s="213"/>
      <c r="I491" s="167"/>
      <c r="J491" s="168"/>
      <c r="K491" s="169"/>
      <c r="L491" s="207"/>
      <c r="M491" s="207"/>
      <c r="N491" s="207"/>
      <c r="O491" s="207"/>
      <c r="P491" s="207"/>
      <c r="Q491" s="207"/>
      <c r="R491" s="207"/>
      <c r="S491" s="207"/>
      <c r="T491" s="207"/>
      <c r="U491" s="207"/>
      <c r="V491" s="207"/>
      <c r="W491" s="207"/>
      <c r="X491" s="207"/>
      <c r="Y491" s="207"/>
      <c r="Z491" s="207"/>
      <c r="AA491" s="207"/>
    </row>
    <row r="492">
      <c r="A492" s="203"/>
      <c r="B492" s="204"/>
      <c r="C492" s="204"/>
      <c r="D492" s="205"/>
      <c r="E492" s="212"/>
      <c r="F492" s="206"/>
      <c r="G492" s="167"/>
      <c r="H492" s="213"/>
      <c r="I492" s="167"/>
      <c r="J492" s="168"/>
      <c r="K492" s="169"/>
      <c r="L492" s="207"/>
      <c r="M492" s="207"/>
      <c r="N492" s="207"/>
      <c r="O492" s="207"/>
      <c r="P492" s="207"/>
      <c r="Q492" s="207"/>
      <c r="R492" s="207"/>
      <c r="S492" s="207"/>
      <c r="T492" s="207"/>
      <c r="U492" s="207"/>
      <c r="V492" s="207"/>
      <c r="W492" s="207"/>
      <c r="X492" s="207"/>
      <c r="Y492" s="207"/>
      <c r="Z492" s="207"/>
      <c r="AA492" s="207"/>
    </row>
    <row r="493">
      <c r="A493" s="203"/>
      <c r="B493" s="204"/>
      <c r="C493" s="204"/>
      <c r="D493" s="205"/>
      <c r="E493" s="212"/>
      <c r="F493" s="206"/>
      <c r="G493" s="167"/>
      <c r="H493" s="213"/>
      <c r="I493" s="167"/>
      <c r="J493" s="168"/>
      <c r="K493" s="169"/>
      <c r="L493" s="207"/>
      <c r="M493" s="207"/>
      <c r="N493" s="207"/>
      <c r="O493" s="207"/>
      <c r="P493" s="207"/>
      <c r="Q493" s="207"/>
      <c r="R493" s="207"/>
      <c r="S493" s="207"/>
      <c r="T493" s="207"/>
      <c r="U493" s="207"/>
      <c r="V493" s="207"/>
      <c r="W493" s="207"/>
      <c r="X493" s="207"/>
      <c r="Y493" s="207"/>
      <c r="Z493" s="207"/>
      <c r="AA493" s="207"/>
    </row>
    <row r="494">
      <c r="A494" s="203"/>
      <c r="B494" s="204"/>
      <c r="C494" s="204"/>
      <c r="D494" s="205"/>
      <c r="E494" s="212"/>
      <c r="F494" s="206"/>
      <c r="G494" s="167"/>
      <c r="H494" s="213"/>
      <c r="I494" s="167"/>
      <c r="J494" s="168"/>
      <c r="K494" s="169"/>
      <c r="L494" s="207"/>
      <c r="M494" s="207"/>
      <c r="N494" s="207"/>
      <c r="O494" s="207"/>
      <c r="P494" s="207"/>
      <c r="Q494" s="207"/>
      <c r="R494" s="207"/>
      <c r="S494" s="207"/>
      <c r="T494" s="207"/>
      <c r="U494" s="207"/>
      <c r="V494" s="207"/>
      <c r="W494" s="207"/>
      <c r="X494" s="207"/>
      <c r="Y494" s="207"/>
      <c r="Z494" s="207"/>
      <c r="AA494" s="207"/>
    </row>
    <row r="495">
      <c r="A495" s="203"/>
      <c r="B495" s="204"/>
      <c r="C495" s="204"/>
      <c r="D495" s="205"/>
      <c r="E495" s="212"/>
      <c r="F495" s="206"/>
      <c r="G495" s="167"/>
      <c r="H495" s="213"/>
      <c r="I495" s="167"/>
      <c r="J495" s="168"/>
      <c r="K495" s="169"/>
      <c r="L495" s="207"/>
      <c r="M495" s="207"/>
      <c r="N495" s="207"/>
      <c r="O495" s="207"/>
      <c r="P495" s="207"/>
      <c r="Q495" s="207"/>
      <c r="R495" s="207"/>
      <c r="S495" s="207"/>
      <c r="T495" s="207"/>
      <c r="U495" s="207"/>
      <c r="V495" s="207"/>
      <c r="W495" s="207"/>
      <c r="X495" s="207"/>
      <c r="Y495" s="207"/>
      <c r="Z495" s="207"/>
      <c r="AA495" s="207"/>
    </row>
    <row r="496">
      <c r="A496" s="203"/>
      <c r="B496" s="204"/>
      <c r="C496" s="204"/>
      <c r="D496" s="205"/>
      <c r="E496" s="212"/>
      <c r="F496" s="206"/>
      <c r="G496" s="167"/>
      <c r="H496" s="213"/>
      <c r="I496" s="167"/>
      <c r="J496" s="168"/>
      <c r="K496" s="169"/>
      <c r="L496" s="207"/>
      <c r="M496" s="207"/>
      <c r="N496" s="207"/>
      <c r="O496" s="207"/>
      <c r="P496" s="207"/>
      <c r="Q496" s="207"/>
      <c r="R496" s="207"/>
      <c r="S496" s="207"/>
      <c r="T496" s="207"/>
      <c r="U496" s="207"/>
      <c r="V496" s="207"/>
      <c r="W496" s="207"/>
      <c r="X496" s="207"/>
      <c r="Y496" s="207"/>
      <c r="Z496" s="207"/>
      <c r="AA496" s="207"/>
    </row>
    <row r="497">
      <c r="A497" s="203"/>
      <c r="B497" s="204"/>
      <c r="C497" s="204"/>
      <c r="D497" s="205"/>
      <c r="E497" s="212"/>
      <c r="F497" s="206"/>
      <c r="G497" s="167"/>
      <c r="H497" s="213"/>
      <c r="I497" s="167"/>
      <c r="J497" s="168"/>
      <c r="K497" s="169"/>
      <c r="L497" s="207"/>
      <c r="M497" s="207"/>
      <c r="N497" s="207"/>
      <c r="O497" s="207"/>
      <c r="P497" s="207"/>
      <c r="Q497" s="207"/>
      <c r="R497" s="207"/>
      <c r="S497" s="207"/>
      <c r="T497" s="207"/>
      <c r="U497" s="207"/>
      <c r="V497" s="207"/>
      <c r="W497" s="207"/>
      <c r="X497" s="207"/>
      <c r="Y497" s="207"/>
      <c r="Z497" s="207"/>
      <c r="AA497" s="207"/>
    </row>
    <row r="498">
      <c r="A498" s="203"/>
      <c r="B498" s="204"/>
      <c r="C498" s="204"/>
      <c r="D498" s="205"/>
      <c r="E498" s="212"/>
      <c r="F498" s="206"/>
      <c r="G498" s="167"/>
      <c r="H498" s="213"/>
      <c r="I498" s="167"/>
      <c r="J498" s="168"/>
      <c r="K498" s="169"/>
      <c r="L498" s="207"/>
      <c r="M498" s="207"/>
      <c r="N498" s="207"/>
      <c r="O498" s="207"/>
      <c r="P498" s="207"/>
      <c r="Q498" s="207"/>
      <c r="R498" s="207"/>
      <c r="S498" s="207"/>
      <c r="T498" s="207"/>
      <c r="U498" s="207"/>
      <c r="V498" s="207"/>
      <c r="W498" s="207"/>
      <c r="X498" s="207"/>
      <c r="Y498" s="207"/>
      <c r="Z498" s="207"/>
      <c r="AA498" s="207"/>
    </row>
    <row r="499">
      <c r="A499" s="203"/>
      <c r="B499" s="204"/>
      <c r="C499" s="204"/>
      <c r="D499" s="205"/>
      <c r="E499" s="212"/>
      <c r="F499" s="206"/>
      <c r="G499" s="167"/>
      <c r="H499" s="213"/>
      <c r="I499" s="167"/>
      <c r="J499" s="168"/>
      <c r="K499" s="169"/>
      <c r="L499" s="207"/>
      <c r="M499" s="207"/>
      <c r="N499" s="207"/>
      <c r="O499" s="207"/>
      <c r="P499" s="207"/>
      <c r="Q499" s="207"/>
      <c r="R499" s="207"/>
      <c r="S499" s="207"/>
      <c r="T499" s="207"/>
      <c r="U499" s="207"/>
      <c r="V499" s="207"/>
      <c r="W499" s="207"/>
      <c r="X499" s="207"/>
      <c r="Y499" s="207"/>
      <c r="Z499" s="207"/>
      <c r="AA499" s="207"/>
    </row>
    <row r="500">
      <c r="A500" s="203"/>
      <c r="B500" s="204"/>
      <c r="C500" s="204"/>
      <c r="D500" s="205"/>
      <c r="E500" s="212"/>
      <c r="F500" s="206"/>
      <c r="G500" s="167"/>
      <c r="H500" s="213"/>
      <c r="I500" s="167"/>
      <c r="J500" s="168"/>
      <c r="K500" s="169"/>
      <c r="L500" s="207"/>
      <c r="M500" s="207"/>
      <c r="N500" s="207"/>
      <c r="O500" s="207"/>
      <c r="P500" s="207"/>
      <c r="Q500" s="207"/>
      <c r="R500" s="207"/>
      <c r="S500" s="207"/>
      <c r="T500" s="207"/>
      <c r="U500" s="207"/>
      <c r="V500" s="207"/>
      <c r="W500" s="207"/>
      <c r="X500" s="207"/>
      <c r="Y500" s="207"/>
      <c r="Z500" s="207"/>
      <c r="AA500" s="207"/>
    </row>
    <row r="501">
      <c r="A501" s="203"/>
      <c r="B501" s="204"/>
      <c r="C501" s="204"/>
      <c r="D501" s="205"/>
      <c r="E501" s="212"/>
      <c r="F501" s="206"/>
      <c r="G501" s="167"/>
      <c r="H501" s="213"/>
      <c r="I501" s="167"/>
      <c r="J501" s="168"/>
      <c r="K501" s="169"/>
      <c r="L501" s="207"/>
      <c r="M501" s="207"/>
      <c r="N501" s="207"/>
      <c r="O501" s="207"/>
      <c r="P501" s="207"/>
      <c r="Q501" s="207"/>
      <c r="R501" s="207"/>
      <c r="S501" s="207"/>
      <c r="T501" s="207"/>
      <c r="U501" s="207"/>
      <c r="V501" s="207"/>
      <c r="W501" s="207"/>
      <c r="X501" s="207"/>
      <c r="Y501" s="207"/>
      <c r="Z501" s="207"/>
      <c r="AA501" s="207"/>
    </row>
    <row r="502">
      <c r="A502" s="203"/>
      <c r="B502" s="204"/>
      <c r="C502" s="204"/>
      <c r="D502" s="205"/>
      <c r="E502" s="212"/>
      <c r="F502" s="206"/>
      <c r="G502" s="167"/>
      <c r="H502" s="213"/>
      <c r="I502" s="167"/>
      <c r="J502" s="168"/>
      <c r="K502" s="169"/>
      <c r="L502" s="207"/>
      <c r="M502" s="207"/>
      <c r="N502" s="207"/>
      <c r="O502" s="207"/>
      <c r="P502" s="207"/>
      <c r="Q502" s="207"/>
      <c r="R502" s="207"/>
      <c r="S502" s="207"/>
      <c r="T502" s="207"/>
      <c r="U502" s="207"/>
      <c r="V502" s="207"/>
      <c r="W502" s="207"/>
      <c r="X502" s="207"/>
      <c r="Y502" s="207"/>
      <c r="Z502" s="207"/>
      <c r="AA502" s="207"/>
    </row>
    <row r="503">
      <c r="A503" s="203"/>
      <c r="B503" s="204"/>
      <c r="C503" s="204"/>
      <c r="D503" s="205"/>
      <c r="E503" s="212"/>
      <c r="F503" s="206"/>
      <c r="G503" s="167"/>
      <c r="H503" s="213"/>
      <c r="I503" s="167"/>
      <c r="J503" s="168"/>
      <c r="K503" s="169"/>
      <c r="L503" s="207"/>
      <c r="M503" s="207"/>
      <c r="N503" s="207"/>
      <c r="O503" s="207"/>
      <c r="P503" s="207"/>
      <c r="Q503" s="207"/>
      <c r="R503" s="207"/>
      <c r="S503" s="207"/>
      <c r="T503" s="207"/>
      <c r="U503" s="207"/>
      <c r="V503" s="207"/>
      <c r="W503" s="207"/>
      <c r="X503" s="207"/>
      <c r="Y503" s="207"/>
      <c r="Z503" s="207"/>
      <c r="AA503" s="207"/>
    </row>
    <row r="504">
      <c r="A504" s="203"/>
      <c r="B504" s="204"/>
      <c r="C504" s="204"/>
      <c r="D504" s="205"/>
      <c r="E504" s="212"/>
      <c r="F504" s="206"/>
      <c r="G504" s="167"/>
      <c r="H504" s="213"/>
      <c r="I504" s="167"/>
      <c r="J504" s="168"/>
      <c r="K504" s="169"/>
      <c r="L504" s="207"/>
      <c r="M504" s="207"/>
      <c r="N504" s="207"/>
      <c r="O504" s="207"/>
      <c r="P504" s="207"/>
      <c r="Q504" s="207"/>
      <c r="R504" s="207"/>
      <c r="S504" s="207"/>
      <c r="T504" s="207"/>
      <c r="U504" s="207"/>
      <c r="V504" s="207"/>
      <c r="W504" s="207"/>
      <c r="X504" s="207"/>
      <c r="Y504" s="207"/>
      <c r="Z504" s="207"/>
      <c r="AA504" s="207"/>
    </row>
    <row r="505">
      <c r="A505" s="203"/>
      <c r="B505" s="204"/>
      <c r="C505" s="204"/>
      <c r="D505" s="205"/>
      <c r="E505" s="212"/>
      <c r="F505" s="206"/>
      <c r="G505" s="167"/>
      <c r="H505" s="213"/>
      <c r="I505" s="167"/>
      <c r="J505" s="168"/>
      <c r="K505" s="169"/>
      <c r="L505" s="207"/>
      <c r="M505" s="207"/>
      <c r="N505" s="207"/>
      <c r="O505" s="207"/>
      <c r="P505" s="207"/>
      <c r="Q505" s="207"/>
      <c r="R505" s="207"/>
      <c r="S505" s="207"/>
      <c r="T505" s="207"/>
      <c r="U505" s="207"/>
      <c r="V505" s="207"/>
      <c r="W505" s="207"/>
      <c r="X505" s="207"/>
      <c r="Y505" s="207"/>
      <c r="Z505" s="207"/>
      <c r="AA505" s="207"/>
    </row>
    <row r="506">
      <c r="A506" s="203"/>
      <c r="B506" s="204"/>
      <c r="C506" s="204"/>
      <c r="D506" s="205"/>
      <c r="E506" s="212"/>
      <c r="F506" s="206"/>
      <c r="G506" s="167"/>
      <c r="H506" s="213"/>
      <c r="I506" s="167"/>
      <c r="J506" s="168"/>
      <c r="K506" s="169"/>
      <c r="L506" s="207"/>
      <c r="M506" s="207"/>
      <c r="N506" s="207"/>
      <c r="O506" s="207"/>
      <c r="P506" s="207"/>
      <c r="Q506" s="207"/>
      <c r="R506" s="207"/>
      <c r="S506" s="207"/>
      <c r="T506" s="207"/>
      <c r="U506" s="207"/>
      <c r="V506" s="207"/>
      <c r="W506" s="207"/>
      <c r="X506" s="207"/>
      <c r="Y506" s="207"/>
      <c r="Z506" s="207"/>
      <c r="AA506" s="207"/>
    </row>
    <row r="507">
      <c r="A507" s="203"/>
      <c r="B507" s="204"/>
      <c r="C507" s="204"/>
      <c r="D507" s="205"/>
      <c r="E507" s="212"/>
      <c r="F507" s="206"/>
      <c r="G507" s="167"/>
      <c r="H507" s="213"/>
      <c r="I507" s="167"/>
      <c r="J507" s="168"/>
      <c r="K507" s="169"/>
      <c r="L507" s="207"/>
      <c r="M507" s="207"/>
      <c r="N507" s="207"/>
      <c r="O507" s="207"/>
      <c r="P507" s="207"/>
      <c r="Q507" s="207"/>
      <c r="R507" s="207"/>
      <c r="S507" s="207"/>
      <c r="T507" s="207"/>
      <c r="U507" s="207"/>
      <c r="V507" s="207"/>
      <c r="W507" s="207"/>
      <c r="X507" s="207"/>
      <c r="Y507" s="207"/>
      <c r="Z507" s="207"/>
      <c r="AA507" s="207"/>
    </row>
    <row r="508">
      <c r="A508" s="203"/>
      <c r="B508" s="204"/>
      <c r="C508" s="204"/>
      <c r="D508" s="205"/>
      <c r="E508" s="212"/>
      <c r="F508" s="206"/>
      <c r="G508" s="167"/>
      <c r="H508" s="213"/>
      <c r="I508" s="167"/>
      <c r="J508" s="168"/>
      <c r="K508" s="169"/>
      <c r="L508" s="207"/>
      <c r="M508" s="207"/>
      <c r="N508" s="207"/>
      <c r="O508" s="207"/>
      <c r="P508" s="207"/>
      <c r="Q508" s="207"/>
      <c r="R508" s="207"/>
      <c r="S508" s="207"/>
      <c r="T508" s="207"/>
      <c r="U508" s="207"/>
      <c r="V508" s="207"/>
      <c r="W508" s="207"/>
      <c r="X508" s="207"/>
      <c r="Y508" s="207"/>
      <c r="Z508" s="207"/>
      <c r="AA508" s="207"/>
    </row>
    <row r="509">
      <c r="A509" s="203"/>
      <c r="B509" s="204"/>
      <c r="C509" s="204"/>
      <c r="D509" s="205"/>
      <c r="E509" s="212"/>
      <c r="F509" s="206"/>
      <c r="G509" s="167"/>
      <c r="H509" s="213"/>
      <c r="I509" s="167"/>
      <c r="J509" s="168"/>
      <c r="K509" s="169"/>
      <c r="L509" s="207"/>
      <c r="M509" s="207"/>
      <c r="N509" s="207"/>
      <c r="O509" s="207"/>
      <c r="P509" s="207"/>
      <c r="Q509" s="207"/>
      <c r="R509" s="207"/>
      <c r="S509" s="207"/>
      <c r="T509" s="207"/>
      <c r="U509" s="207"/>
      <c r="V509" s="207"/>
      <c r="W509" s="207"/>
      <c r="X509" s="207"/>
      <c r="Y509" s="207"/>
      <c r="Z509" s="207"/>
      <c r="AA509" s="207"/>
    </row>
    <row r="510">
      <c r="A510" s="203"/>
      <c r="B510" s="204"/>
      <c r="C510" s="204"/>
      <c r="D510" s="205"/>
      <c r="E510" s="212"/>
      <c r="F510" s="206"/>
      <c r="G510" s="167"/>
      <c r="H510" s="213"/>
      <c r="I510" s="167"/>
      <c r="J510" s="168"/>
      <c r="K510" s="169"/>
      <c r="L510" s="207"/>
      <c r="M510" s="207"/>
      <c r="N510" s="207"/>
      <c r="O510" s="207"/>
      <c r="P510" s="207"/>
      <c r="Q510" s="207"/>
      <c r="R510" s="207"/>
      <c r="S510" s="207"/>
      <c r="T510" s="207"/>
      <c r="U510" s="207"/>
      <c r="V510" s="207"/>
      <c r="W510" s="207"/>
      <c r="X510" s="207"/>
      <c r="Y510" s="207"/>
      <c r="Z510" s="207"/>
      <c r="AA510" s="207"/>
    </row>
    <row r="511">
      <c r="A511" s="203"/>
      <c r="B511" s="204"/>
      <c r="C511" s="204"/>
      <c r="D511" s="205"/>
      <c r="E511" s="212"/>
      <c r="F511" s="206"/>
      <c r="G511" s="167"/>
      <c r="H511" s="213"/>
      <c r="I511" s="167"/>
      <c r="J511" s="168"/>
      <c r="K511" s="169"/>
      <c r="L511" s="207"/>
      <c r="M511" s="207"/>
      <c r="N511" s="207"/>
      <c r="O511" s="207"/>
      <c r="P511" s="207"/>
      <c r="Q511" s="207"/>
      <c r="R511" s="207"/>
      <c r="S511" s="207"/>
      <c r="T511" s="207"/>
      <c r="U511" s="207"/>
      <c r="V511" s="207"/>
      <c r="W511" s="207"/>
      <c r="X511" s="207"/>
      <c r="Y511" s="207"/>
      <c r="Z511" s="207"/>
      <c r="AA511" s="207"/>
    </row>
    <row r="512">
      <c r="A512" s="203"/>
      <c r="B512" s="204"/>
      <c r="C512" s="204"/>
      <c r="D512" s="205"/>
      <c r="E512" s="212"/>
      <c r="F512" s="206"/>
      <c r="G512" s="167"/>
      <c r="H512" s="213"/>
      <c r="I512" s="167"/>
      <c r="J512" s="168"/>
      <c r="K512" s="169"/>
      <c r="L512" s="207"/>
      <c r="M512" s="207"/>
      <c r="N512" s="207"/>
      <c r="O512" s="207"/>
      <c r="P512" s="207"/>
      <c r="Q512" s="207"/>
      <c r="R512" s="207"/>
      <c r="S512" s="207"/>
      <c r="T512" s="207"/>
      <c r="U512" s="207"/>
      <c r="V512" s="207"/>
      <c r="W512" s="207"/>
      <c r="X512" s="207"/>
      <c r="Y512" s="207"/>
      <c r="Z512" s="207"/>
      <c r="AA512" s="207"/>
    </row>
    <row r="513">
      <c r="A513" s="203"/>
      <c r="B513" s="204"/>
      <c r="C513" s="204"/>
      <c r="D513" s="205"/>
      <c r="E513" s="212"/>
      <c r="F513" s="206"/>
      <c r="G513" s="167"/>
      <c r="H513" s="213"/>
      <c r="I513" s="167"/>
      <c r="J513" s="168"/>
      <c r="K513" s="169"/>
      <c r="L513" s="207"/>
      <c r="M513" s="207"/>
      <c r="N513" s="207"/>
      <c r="O513" s="207"/>
      <c r="P513" s="207"/>
      <c r="Q513" s="207"/>
      <c r="R513" s="207"/>
      <c r="S513" s="207"/>
      <c r="T513" s="207"/>
      <c r="U513" s="207"/>
      <c r="V513" s="207"/>
      <c r="W513" s="207"/>
      <c r="X513" s="207"/>
      <c r="Y513" s="207"/>
      <c r="Z513" s="207"/>
      <c r="AA513" s="207"/>
    </row>
    <row r="514">
      <c r="A514" s="203"/>
      <c r="B514" s="204"/>
      <c r="C514" s="204"/>
      <c r="D514" s="205"/>
      <c r="E514" s="212"/>
      <c r="F514" s="206"/>
      <c r="G514" s="167"/>
      <c r="H514" s="213"/>
      <c r="I514" s="167"/>
      <c r="J514" s="168"/>
      <c r="K514" s="169"/>
      <c r="L514" s="207"/>
      <c r="M514" s="207"/>
      <c r="N514" s="207"/>
      <c r="O514" s="207"/>
      <c r="P514" s="207"/>
      <c r="Q514" s="207"/>
      <c r="R514" s="207"/>
      <c r="S514" s="207"/>
      <c r="T514" s="207"/>
      <c r="U514" s="207"/>
      <c r="V514" s="207"/>
      <c r="W514" s="207"/>
      <c r="X514" s="207"/>
      <c r="Y514" s="207"/>
      <c r="Z514" s="207"/>
      <c r="AA514" s="207"/>
    </row>
    <row r="515">
      <c r="A515" s="203"/>
      <c r="B515" s="204"/>
      <c r="C515" s="204"/>
      <c r="D515" s="205"/>
      <c r="E515" s="212"/>
      <c r="F515" s="206"/>
      <c r="G515" s="167"/>
      <c r="H515" s="213"/>
      <c r="I515" s="167"/>
      <c r="J515" s="168"/>
      <c r="K515" s="169"/>
      <c r="L515" s="207"/>
      <c r="M515" s="207"/>
      <c r="N515" s="207"/>
      <c r="O515" s="207"/>
      <c r="P515" s="207"/>
      <c r="Q515" s="207"/>
      <c r="R515" s="207"/>
      <c r="S515" s="207"/>
      <c r="T515" s="207"/>
      <c r="U515" s="207"/>
      <c r="V515" s="207"/>
      <c r="W515" s="207"/>
      <c r="X515" s="207"/>
      <c r="Y515" s="207"/>
      <c r="Z515" s="207"/>
      <c r="AA515" s="207"/>
    </row>
    <row r="516">
      <c r="A516" s="203"/>
      <c r="B516" s="204"/>
      <c r="C516" s="204"/>
      <c r="D516" s="205"/>
      <c r="E516" s="212"/>
      <c r="F516" s="206"/>
      <c r="G516" s="167"/>
      <c r="H516" s="213"/>
      <c r="I516" s="167"/>
      <c r="J516" s="168"/>
      <c r="K516" s="169"/>
      <c r="L516" s="207"/>
      <c r="M516" s="207"/>
      <c r="N516" s="207"/>
      <c r="O516" s="207"/>
      <c r="P516" s="207"/>
      <c r="Q516" s="207"/>
      <c r="R516" s="207"/>
      <c r="S516" s="207"/>
      <c r="T516" s="207"/>
      <c r="U516" s="207"/>
      <c r="V516" s="207"/>
      <c r="W516" s="207"/>
      <c r="X516" s="207"/>
      <c r="Y516" s="207"/>
      <c r="Z516" s="207"/>
      <c r="AA516" s="207"/>
    </row>
    <row r="517">
      <c r="A517" s="203"/>
      <c r="B517" s="204"/>
      <c r="C517" s="204"/>
      <c r="D517" s="205"/>
      <c r="E517" s="212"/>
      <c r="F517" s="206"/>
      <c r="G517" s="167"/>
      <c r="H517" s="213"/>
      <c r="I517" s="167"/>
      <c r="J517" s="168"/>
      <c r="K517" s="169"/>
      <c r="L517" s="207"/>
      <c r="M517" s="207"/>
      <c r="N517" s="207"/>
      <c r="O517" s="207"/>
      <c r="P517" s="207"/>
      <c r="Q517" s="207"/>
      <c r="R517" s="207"/>
      <c r="S517" s="207"/>
      <c r="T517" s="207"/>
      <c r="U517" s="207"/>
      <c r="V517" s="207"/>
      <c r="W517" s="207"/>
      <c r="X517" s="207"/>
      <c r="Y517" s="207"/>
      <c r="Z517" s="207"/>
      <c r="AA517" s="207"/>
    </row>
    <row r="518">
      <c r="A518" s="203"/>
      <c r="B518" s="204"/>
      <c r="C518" s="204"/>
      <c r="D518" s="205"/>
      <c r="E518" s="212"/>
      <c r="F518" s="206"/>
      <c r="G518" s="167"/>
      <c r="H518" s="213"/>
      <c r="I518" s="167"/>
      <c r="J518" s="168"/>
      <c r="K518" s="169"/>
      <c r="L518" s="207"/>
      <c r="M518" s="207"/>
      <c r="N518" s="207"/>
      <c r="O518" s="207"/>
      <c r="P518" s="207"/>
      <c r="Q518" s="207"/>
      <c r="R518" s="207"/>
      <c r="S518" s="207"/>
      <c r="T518" s="207"/>
      <c r="U518" s="207"/>
      <c r="V518" s="207"/>
      <c r="W518" s="207"/>
      <c r="X518" s="207"/>
      <c r="Y518" s="207"/>
      <c r="Z518" s="207"/>
      <c r="AA518" s="207"/>
    </row>
    <row r="519">
      <c r="A519" s="203"/>
      <c r="B519" s="204"/>
      <c r="C519" s="204"/>
      <c r="D519" s="205"/>
      <c r="E519" s="212"/>
      <c r="F519" s="206"/>
      <c r="G519" s="167"/>
      <c r="H519" s="213"/>
      <c r="I519" s="167"/>
      <c r="J519" s="168"/>
      <c r="K519" s="169"/>
      <c r="L519" s="207"/>
      <c r="M519" s="207"/>
      <c r="N519" s="207"/>
      <c r="O519" s="207"/>
      <c r="P519" s="207"/>
      <c r="Q519" s="207"/>
      <c r="R519" s="207"/>
      <c r="S519" s="207"/>
      <c r="T519" s="207"/>
      <c r="U519" s="207"/>
      <c r="V519" s="207"/>
      <c r="W519" s="207"/>
      <c r="X519" s="207"/>
      <c r="Y519" s="207"/>
      <c r="Z519" s="207"/>
      <c r="AA519" s="207"/>
    </row>
    <row r="520">
      <c r="A520" s="203"/>
      <c r="B520" s="204"/>
      <c r="C520" s="204"/>
      <c r="D520" s="205"/>
      <c r="E520" s="212"/>
      <c r="F520" s="206"/>
      <c r="G520" s="167"/>
      <c r="H520" s="213"/>
      <c r="I520" s="167"/>
      <c r="J520" s="168"/>
      <c r="K520" s="169"/>
      <c r="L520" s="207"/>
      <c r="M520" s="207"/>
      <c r="N520" s="207"/>
      <c r="O520" s="207"/>
      <c r="P520" s="207"/>
      <c r="Q520" s="207"/>
      <c r="R520" s="207"/>
      <c r="S520" s="207"/>
      <c r="T520" s="207"/>
      <c r="U520" s="207"/>
      <c r="V520" s="207"/>
      <c r="W520" s="207"/>
      <c r="X520" s="207"/>
      <c r="Y520" s="207"/>
      <c r="Z520" s="207"/>
      <c r="AA520" s="207"/>
    </row>
    <row r="521">
      <c r="A521" s="203"/>
      <c r="B521" s="204"/>
      <c r="C521" s="204"/>
      <c r="D521" s="205"/>
      <c r="E521" s="212"/>
      <c r="F521" s="206"/>
      <c r="G521" s="167"/>
      <c r="H521" s="213"/>
      <c r="I521" s="167"/>
      <c r="J521" s="168"/>
      <c r="K521" s="169"/>
      <c r="L521" s="207"/>
      <c r="M521" s="207"/>
      <c r="N521" s="207"/>
      <c r="O521" s="207"/>
      <c r="P521" s="207"/>
      <c r="Q521" s="207"/>
      <c r="R521" s="207"/>
      <c r="S521" s="207"/>
      <c r="T521" s="207"/>
      <c r="U521" s="207"/>
      <c r="V521" s="207"/>
      <c r="W521" s="207"/>
      <c r="X521" s="207"/>
      <c r="Y521" s="207"/>
      <c r="Z521" s="207"/>
      <c r="AA521" s="207"/>
    </row>
    <row r="522">
      <c r="A522" s="203"/>
      <c r="B522" s="204"/>
      <c r="C522" s="204"/>
      <c r="D522" s="205"/>
      <c r="E522" s="212"/>
      <c r="F522" s="206"/>
      <c r="G522" s="167"/>
      <c r="H522" s="213"/>
      <c r="I522" s="167"/>
      <c r="J522" s="168"/>
      <c r="K522" s="169"/>
      <c r="L522" s="207"/>
      <c r="M522" s="207"/>
      <c r="N522" s="207"/>
      <c r="O522" s="207"/>
      <c r="P522" s="207"/>
      <c r="Q522" s="207"/>
      <c r="R522" s="207"/>
      <c r="S522" s="207"/>
      <c r="T522" s="207"/>
      <c r="U522" s="207"/>
      <c r="V522" s="207"/>
      <c r="W522" s="207"/>
      <c r="X522" s="207"/>
      <c r="Y522" s="207"/>
      <c r="Z522" s="207"/>
      <c r="AA522" s="207"/>
    </row>
    <row r="523">
      <c r="A523" s="203"/>
      <c r="B523" s="204"/>
      <c r="C523" s="204"/>
      <c r="D523" s="205"/>
      <c r="E523" s="212"/>
      <c r="F523" s="206"/>
      <c r="G523" s="167"/>
      <c r="H523" s="213"/>
      <c r="I523" s="167"/>
      <c r="J523" s="168"/>
      <c r="K523" s="169"/>
      <c r="L523" s="207"/>
      <c r="M523" s="207"/>
      <c r="N523" s="207"/>
      <c r="O523" s="207"/>
      <c r="P523" s="207"/>
      <c r="Q523" s="207"/>
      <c r="R523" s="207"/>
      <c r="S523" s="207"/>
      <c r="T523" s="207"/>
      <c r="U523" s="207"/>
      <c r="V523" s="207"/>
      <c r="W523" s="207"/>
      <c r="X523" s="207"/>
      <c r="Y523" s="207"/>
      <c r="Z523" s="207"/>
      <c r="AA523" s="207"/>
    </row>
    <row r="524">
      <c r="A524" s="203"/>
      <c r="B524" s="204"/>
      <c r="C524" s="204"/>
      <c r="D524" s="205"/>
      <c r="E524" s="212"/>
      <c r="F524" s="206"/>
      <c r="G524" s="167"/>
      <c r="H524" s="213"/>
      <c r="I524" s="167"/>
      <c r="J524" s="168"/>
      <c r="K524" s="169"/>
      <c r="L524" s="207"/>
      <c r="M524" s="207"/>
      <c r="N524" s="207"/>
      <c r="O524" s="207"/>
      <c r="P524" s="207"/>
      <c r="Q524" s="207"/>
      <c r="R524" s="207"/>
      <c r="S524" s="207"/>
      <c r="T524" s="207"/>
      <c r="U524" s="207"/>
      <c r="V524" s="207"/>
      <c r="W524" s="207"/>
      <c r="X524" s="207"/>
      <c r="Y524" s="207"/>
      <c r="Z524" s="207"/>
      <c r="AA524" s="207"/>
    </row>
    <row r="525">
      <c r="A525" s="203"/>
      <c r="B525" s="204"/>
      <c r="C525" s="204"/>
      <c r="D525" s="205"/>
      <c r="E525" s="212"/>
      <c r="F525" s="206"/>
      <c r="G525" s="167"/>
      <c r="H525" s="213"/>
      <c r="I525" s="167"/>
      <c r="J525" s="168"/>
      <c r="K525" s="169"/>
      <c r="L525" s="207"/>
      <c r="M525" s="207"/>
      <c r="N525" s="207"/>
      <c r="O525" s="207"/>
      <c r="P525" s="207"/>
      <c r="Q525" s="207"/>
      <c r="R525" s="207"/>
      <c r="S525" s="207"/>
      <c r="T525" s="207"/>
      <c r="U525" s="207"/>
      <c r="V525" s="207"/>
      <c r="W525" s="207"/>
      <c r="X525" s="207"/>
      <c r="Y525" s="207"/>
      <c r="Z525" s="207"/>
      <c r="AA525" s="207"/>
    </row>
    <row r="526">
      <c r="A526" s="203"/>
      <c r="B526" s="204"/>
      <c r="C526" s="204"/>
      <c r="D526" s="205"/>
      <c r="E526" s="212"/>
      <c r="F526" s="206"/>
      <c r="G526" s="167"/>
      <c r="H526" s="213"/>
      <c r="I526" s="167"/>
      <c r="J526" s="168"/>
      <c r="K526" s="169"/>
      <c r="L526" s="207"/>
      <c r="M526" s="207"/>
      <c r="N526" s="207"/>
      <c r="O526" s="207"/>
      <c r="P526" s="207"/>
      <c r="Q526" s="207"/>
      <c r="R526" s="207"/>
      <c r="S526" s="207"/>
      <c r="T526" s="207"/>
      <c r="U526" s="207"/>
      <c r="V526" s="207"/>
      <c r="W526" s="207"/>
      <c r="X526" s="207"/>
      <c r="Y526" s="207"/>
      <c r="Z526" s="207"/>
      <c r="AA526" s="207"/>
    </row>
    <row r="527">
      <c r="A527" s="203"/>
      <c r="B527" s="204"/>
      <c r="C527" s="204"/>
      <c r="D527" s="205"/>
      <c r="E527" s="212"/>
      <c r="F527" s="206"/>
      <c r="G527" s="167"/>
      <c r="H527" s="213"/>
      <c r="I527" s="167"/>
      <c r="J527" s="168"/>
      <c r="K527" s="169"/>
      <c r="L527" s="207"/>
      <c r="M527" s="207"/>
      <c r="N527" s="207"/>
      <c r="O527" s="207"/>
      <c r="P527" s="207"/>
      <c r="Q527" s="207"/>
      <c r="R527" s="207"/>
      <c r="S527" s="207"/>
      <c r="T527" s="207"/>
      <c r="U527" s="207"/>
      <c r="V527" s="207"/>
      <c r="W527" s="207"/>
      <c r="X527" s="207"/>
      <c r="Y527" s="207"/>
      <c r="Z527" s="207"/>
      <c r="AA527" s="207"/>
    </row>
    <row r="528">
      <c r="A528" s="203"/>
      <c r="B528" s="204"/>
      <c r="C528" s="204"/>
      <c r="D528" s="205"/>
      <c r="E528" s="212"/>
      <c r="F528" s="206"/>
      <c r="G528" s="167"/>
      <c r="H528" s="213"/>
      <c r="I528" s="167"/>
      <c r="J528" s="168"/>
      <c r="K528" s="169"/>
      <c r="L528" s="207"/>
      <c r="M528" s="207"/>
      <c r="N528" s="207"/>
      <c r="O528" s="207"/>
      <c r="P528" s="207"/>
      <c r="Q528" s="207"/>
      <c r="R528" s="207"/>
      <c r="S528" s="207"/>
      <c r="T528" s="207"/>
      <c r="U528" s="207"/>
      <c r="V528" s="207"/>
      <c r="W528" s="207"/>
      <c r="X528" s="207"/>
      <c r="Y528" s="207"/>
      <c r="Z528" s="207"/>
      <c r="AA528" s="207"/>
    </row>
    <row r="529">
      <c r="A529" s="203"/>
      <c r="B529" s="204"/>
      <c r="C529" s="204"/>
      <c r="D529" s="205"/>
      <c r="E529" s="212"/>
      <c r="F529" s="206"/>
      <c r="G529" s="167"/>
      <c r="H529" s="213"/>
      <c r="I529" s="167"/>
      <c r="J529" s="168"/>
      <c r="K529" s="169"/>
      <c r="L529" s="207"/>
      <c r="M529" s="207"/>
      <c r="N529" s="207"/>
      <c r="O529" s="207"/>
      <c r="P529" s="207"/>
      <c r="Q529" s="207"/>
      <c r="R529" s="207"/>
      <c r="S529" s="207"/>
      <c r="T529" s="207"/>
      <c r="U529" s="207"/>
      <c r="V529" s="207"/>
      <c r="W529" s="207"/>
      <c r="X529" s="207"/>
      <c r="Y529" s="207"/>
      <c r="Z529" s="207"/>
      <c r="AA529" s="207"/>
    </row>
    <row r="530">
      <c r="A530" s="203"/>
      <c r="B530" s="204"/>
      <c r="C530" s="204"/>
      <c r="D530" s="205"/>
      <c r="E530" s="212"/>
      <c r="F530" s="206"/>
      <c r="G530" s="167"/>
      <c r="H530" s="213"/>
      <c r="I530" s="167"/>
      <c r="J530" s="168"/>
      <c r="K530" s="169"/>
      <c r="L530" s="207"/>
      <c r="M530" s="207"/>
      <c r="N530" s="207"/>
      <c r="O530" s="207"/>
      <c r="P530" s="207"/>
      <c r="Q530" s="207"/>
      <c r="R530" s="207"/>
      <c r="S530" s="207"/>
      <c r="T530" s="207"/>
      <c r="U530" s="207"/>
      <c r="V530" s="207"/>
      <c r="W530" s="207"/>
      <c r="X530" s="207"/>
      <c r="Y530" s="207"/>
      <c r="Z530" s="207"/>
      <c r="AA530" s="207"/>
    </row>
    <row r="531">
      <c r="A531" s="203"/>
      <c r="B531" s="204"/>
      <c r="C531" s="204"/>
      <c r="D531" s="205"/>
      <c r="E531" s="212"/>
      <c r="F531" s="206"/>
      <c r="G531" s="167"/>
      <c r="H531" s="213"/>
      <c r="I531" s="167"/>
      <c r="J531" s="168"/>
      <c r="K531" s="169"/>
      <c r="L531" s="207"/>
      <c r="M531" s="207"/>
      <c r="N531" s="207"/>
      <c r="O531" s="207"/>
      <c r="P531" s="207"/>
      <c r="Q531" s="207"/>
      <c r="R531" s="207"/>
      <c r="S531" s="207"/>
      <c r="T531" s="207"/>
      <c r="U531" s="207"/>
      <c r="V531" s="207"/>
      <c r="W531" s="207"/>
      <c r="X531" s="207"/>
      <c r="Y531" s="207"/>
      <c r="Z531" s="207"/>
      <c r="AA531" s="207"/>
    </row>
    <row r="532">
      <c r="A532" s="203"/>
      <c r="B532" s="204"/>
      <c r="C532" s="204"/>
      <c r="D532" s="205"/>
      <c r="E532" s="212"/>
      <c r="F532" s="206"/>
      <c r="G532" s="167"/>
      <c r="H532" s="213"/>
      <c r="I532" s="167"/>
      <c r="J532" s="168"/>
      <c r="K532" s="169"/>
      <c r="L532" s="207"/>
      <c r="M532" s="207"/>
      <c r="N532" s="207"/>
      <c r="O532" s="207"/>
      <c r="P532" s="207"/>
      <c r="Q532" s="207"/>
      <c r="R532" s="207"/>
      <c r="S532" s="207"/>
      <c r="T532" s="207"/>
      <c r="U532" s="207"/>
      <c r="V532" s="207"/>
      <c r="W532" s="207"/>
      <c r="X532" s="207"/>
      <c r="Y532" s="207"/>
      <c r="Z532" s="207"/>
      <c r="AA532" s="207"/>
    </row>
    <row r="533">
      <c r="A533" s="203"/>
      <c r="B533" s="204"/>
      <c r="C533" s="204"/>
      <c r="D533" s="205"/>
      <c r="E533" s="212"/>
      <c r="F533" s="206"/>
      <c r="G533" s="167"/>
      <c r="H533" s="213"/>
      <c r="I533" s="167"/>
      <c r="J533" s="168"/>
      <c r="K533" s="169"/>
      <c r="L533" s="207"/>
      <c r="M533" s="207"/>
      <c r="N533" s="207"/>
      <c r="O533" s="207"/>
      <c r="P533" s="207"/>
      <c r="Q533" s="207"/>
      <c r="R533" s="207"/>
      <c r="S533" s="207"/>
      <c r="T533" s="207"/>
      <c r="U533" s="207"/>
      <c r="V533" s="207"/>
      <c r="W533" s="207"/>
      <c r="X533" s="207"/>
      <c r="Y533" s="207"/>
      <c r="Z533" s="207"/>
      <c r="AA533" s="207"/>
    </row>
    <row r="534">
      <c r="A534" s="203"/>
      <c r="B534" s="204"/>
      <c r="C534" s="204"/>
      <c r="D534" s="205"/>
      <c r="E534" s="212"/>
      <c r="F534" s="206"/>
      <c r="G534" s="167"/>
      <c r="H534" s="213"/>
      <c r="I534" s="167"/>
      <c r="J534" s="168"/>
      <c r="K534" s="169"/>
      <c r="L534" s="207"/>
      <c r="M534" s="207"/>
      <c r="N534" s="207"/>
      <c r="O534" s="207"/>
      <c r="P534" s="207"/>
      <c r="Q534" s="207"/>
      <c r="R534" s="207"/>
      <c r="S534" s="207"/>
      <c r="T534" s="207"/>
      <c r="U534" s="207"/>
      <c r="V534" s="207"/>
      <c r="W534" s="207"/>
      <c r="X534" s="207"/>
      <c r="Y534" s="207"/>
      <c r="Z534" s="207"/>
      <c r="AA534" s="207"/>
    </row>
    <row r="535">
      <c r="A535" s="203"/>
      <c r="B535" s="204"/>
      <c r="C535" s="204"/>
      <c r="D535" s="205"/>
      <c r="E535" s="212"/>
      <c r="F535" s="206"/>
      <c r="G535" s="167"/>
      <c r="H535" s="213"/>
      <c r="I535" s="167"/>
      <c r="J535" s="168"/>
      <c r="K535" s="169"/>
      <c r="L535" s="207"/>
      <c r="M535" s="207"/>
      <c r="N535" s="207"/>
      <c r="O535" s="207"/>
      <c r="P535" s="207"/>
      <c r="Q535" s="207"/>
      <c r="R535" s="207"/>
      <c r="S535" s="207"/>
      <c r="T535" s="207"/>
      <c r="U535" s="207"/>
      <c r="V535" s="207"/>
      <c r="W535" s="207"/>
      <c r="X535" s="207"/>
      <c r="Y535" s="207"/>
      <c r="Z535" s="207"/>
      <c r="AA535" s="207"/>
    </row>
    <row r="536">
      <c r="A536" s="203"/>
      <c r="B536" s="204"/>
      <c r="C536" s="204"/>
      <c r="D536" s="205"/>
      <c r="E536" s="212"/>
      <c r="F536" s="206"/>
      <c r="G536" s="167"/>
      <c r="H536" s="213"/>
      <c r="I536" s="167"/>
      <c r="J536" s="168"/>
      <c r="K536" s="169"/>
      <c r="L536" s="207"/>
      <c r="M536" s="207"/>
      <c r="N536" s="207"/>
      <c r="O536" s="207"/>
      <c r="P536" s="207"/>
      <c r="Q536" s="207"/>
      <c r="R536" s="207"/>
      <c r="S536" s="207"/>
      <c r="T536" s="207"/>
      <c r="U536" s="207"/>
      <c r="V536" s="207"/>
      <c r="W536" s="207"/>
      <c r="X536" s="207"/>
      <c r="Y536" s="207"/>
      <c r="Z536" s="207"/>
      <c r="AA536" s="207"/>
    </row>
    <row r="537">
      <c r="A537" s="203"/>
      <c r="B537" s="204"/>
      <c r="C537" s="204"/>
      <c r="D537" s="205"/>
      <c r="E537" s="212"/>
      <c r="F537" s="206"/>
      <c r="G537" s="167"/>
      <c r="H537" s="213"/>
      <c r="I537" s="167"/>
      <c r="J537" s="168"/>
      <c r="K537" s="169"/>
      <c r="L537" s="207"/>
      <c r="M537" s="207"/>
      <c r="N537" s="207"/>
      <c r="O537" s="207"/>
      <c r="P537" s="207"/>
      <c r="Q537" s="207"/>
      <c r="R537" s="207"/>
      <c r="S537" s="207"/>
      <c r="T537" s="207"/>
      <c r="U537" s="207"/>
      <c r="V537" s="207"/>
      <c r="W537" s="207"/>
      <c r="X537" s="207"/>
      <c r="Y537" s="207"/>
      <c r="Z537" s="207"/>
      <c r="AA537" s="207"/>
    </row>
    <row r="538">
      <c r="A538" s="203"/>
      <c r="B538" s="204"/>
      <c r="C538" s="204"/>
      <c r="D538" s="205"/>
      <c r="E538" s="212"/>
      <c r="F538" s="206"/>
      <c r="G538" s="167"/>
      <c r="H538" s="213"/>
      <c r="I538" s="167"/>
      <c r="J538" s="168"/>
      <c r="K538" s="169"/>
      <c r="L538" s="207"/>
      <c r="M538" s="207"/>
      <c r="N538" s="207"/>
      <c r="O538" s="207"/>
      <c r="P538" s="207"/>
      <c r="Q538" s="207"/>
      <c r="R538" s="207"/>
      <c r="S538" s="207"/>
      <c r="T538" s="207"/>
      <c r="U538" s="207"/>
      <c r="V538" s="207"/>
      <c r="W538" s="207"/>
      <c r="X538" s="207"/>
      <c r="Y538" s="207"/>
      <c r="Z538" s="207"/>
      <c r="AA538" s="207"/>
    </row>
    <row r="539">
      <c r="A539" s="203"/>
      <c r="B539" s="204"/>
      <c r="C539" s="204"/>
      <c r="D539" s="205"/>
      <c r="E539" s="212"/>
      <c r="F539" s="206"/>
      <c r="G539" s="167"/>
      <c r="H539" s="213"/>
      <c r="I539" s="167"/>
      <c r="J539" s="168"/>
      <c r="K539" s="169"/>
      <c r="L539" s="207"/>
      <c r="M539" s="207"/>
      <c r="N539" s="207"/>
      <c r="O539" s="207"/>
      <c r="P539" s="207"/>
      <c r="Q539" s="207"/>
      <c r="R539" s="207"/>
      <c r="S539" s="207"/>
      <c r="T539" s="207"/>
      <c r="U539" s="207"/>
      <c r="V539" s="207"/>
      <c r="W539" s="207"/>
      <c r="X539" s="207"/>
      <c r="Y539" s="207"/>
      <c r="Z539" s="207"/>
      <c r="AA539" s="207"/>
    </row>
    <row r="540">
      <c r="A540" s="203"/>
      <c r="B540" s="204"/>
      <c r="C540" s="204"/>
      <c r="D540" s="205"/>
      <c r="E540" s="212"/>
      <c r="F540" s="206"/>
      <c r="G540" s="167"/>
      <c r="H540" s="213"/>
      <c r="I540" s="167"/>
      <c r="J540" s="168"/>
      <c r="K540" s="169"/>
      <c r="L540" s="207"/>
      <c r="M540" s="207"/>
      <c r="N540" s="207"/>
      <c r="O540" s="207"/>
      <c r="P540" s="207"/>
      <c r="Q540" s="207"/>
      <c r="R540" s="207"/>
      <c r="S540" s="207"/>
      <c r="T540" s="207"/>
      <c r="U540" s="207"/>
      <c r="V540" s="207"/>
      <c r="W540" s="207"/>
      <c r="X540" s="207"/>
      <c r="Y540" s="207"/>
      <c r="Z540" s="207"/>
      <c r="AA540" s="207"/>
    </row>
    <row r="541">
      <c r="A541" s="203"/>
      <c r="B541" s="204"/>
      <c r="C541" s="204"/>
      <c r="D541" s="205"/>
      <c r="E541" s="212"/>
      <c r="F541" s="206"/>
      <c r="G541" s="167"/>
      <c r="H541" s="213"/>
      <c r="I541" s="167"/>
      <c r="J541" s="168"/>
      <c r="K541" s="169"/>
      <c r="L541" s="207"/>
      <c r="M541" s="207"/>
      <c r="N541" s="207"/>
      <c r="O541" s="207"/>
      <c r="P541" s="207"/>
      <c r="Q541" s="207"/>
      <c r="R541" s="207"/>
      <c r="S541" s="207"/>
      <c r="T541" s="207"/>
      <c r="U541" s="207"/>
      <c r="V541" s="207"/>
      <c r="W541" s="207"/>
      <c r="X541" s="207"/>
      <c r="Y541" s="207"/>
      <c r="Z541" s="207"/>
      <c r="AA541" s="207"/>
    </row>
    <row r="542">
      <c r="A542" s="203"/>
      <c r="B542" s="204"/>
      <c r="C542" s="204"/>
      <c r="D542" s="205"/>
      <c r="E542" s="212"/>
      <c r="F542" s="206"/>
      <c r="G542" s="167"/>
      <c r="H542" s="213"/>
      <c r="I542" s="167"/>
      <c r="J542" s="168"/>
      <c r="K542" s="169"/>
      <c r="L542" s="207"/>
      <c r="M542" s="207"/>
      <c r="N542" s="207"/>
      <c r="O542" s="207"/>
      <c r="P542" s="207"/>
      <c r="Q542" s="207"/>
      <c r="R542" s="207"/>
      <c r="S542" s="207"/>
      <c r="T542" s="207"/>
      <c r="U542" s="207"/>
      <c r="V542" s="207"/>
      <c r="W542" s="207"/>
      <c r="X542" s="207"/>
      <c r="Y542" s="207"/>
      <c r="Z542" s="207"/>
      <c r="AA542" s="207"/>
    </row>
    <row r="543">
      <c r="A543" s="203"/>
      <c r="B543" s="204"/>
      <c r="C543" s="204"/>
      <c r="D543" s="205"/>
      <c r="E543" s="212"/>
      <c r="F543" s="206"/>
      <c r="G543" s="167"/>
      <c r="H543" s="213"/>
      <c r="I543" s="167"/>
      <c r="J543" s="168"/>
      <c r="K543" s="169"/>
      <c r="L543" s="207"/>
      <c r="M543" s="207"/>
      <c r="N543" s="207"/>
      <c r="O543" s="207"/>
      <c r="P543" s="207"/>
      <c r="Q543" s="207"/>
      <c r="R543" s="207"/>
      <c r="S543" s="207"/>
      <c r="T543" s="207"/>
      <c r="U543" s="207"/>
      <c r="V543" s="207"/>
      <c r="W543" s="207"/>
      <c r="X543" s="207"/>
      <c r="Y543" s="207"/>
      <c r="Z543" s="207"/>
      <c r="AA543" s="207"/>
    </row>
    <row r="544">
      <c r="A544" s="203"/>
      <c r="B544" s="204"/>
      <c r="C544" s="204"/>
      <c r="D544" s="205"/>
      <c r="E544" s="212"/>
      <c r="F544" s="206"/>
      <c r="G544" s="167"/>
      <c r="H544" s="213"/>
      <c r="I544" s="167"/>
      <c r="J544" s="168"/>
      <c r="K544" s="169"/>
      <c r="L544" s="207"/>
      <c r="M544" s="207"/>
      <c r="N544" s="207"/>
      <c r="O544" s="207"/>
      <c r="P544" s="207"/>
      <c r="Q544" s="207"/>
      <c r="R544" s="207"/>
      <c r="S544" s="207"/>
      <c r="T544" s="207"/>
      <c r="U544" s="207"/>
      <c r="V544" s="207"/>
      <c r="W544" s="207"/>
      <c r="X544" s="207"/>
      <c r="Y544" s="207"/>
      <c r="Z544" s="207"/>
      <c r="AA544" s="207"/>
    </row>
    <row r="545">
      <c r="A545" s="203"/>
      <c r="B545" s="204"/>
      <c r="C545" s="204"/>
      <c r="D545" s="205"/>
      <c r="E545" s="212"/>
      <c r="F545" s="206"/>
      <c r="G545" s="167"/>
      <c r="H545" s="213"/>
      <c r="I545" s="167"/>
      <c r="J545" s="168"/>
      <c r="K545" s="169"/>
      <c r="L545" s="207"/>
      <c r="M545" s="207"/>
      <c r="N545" s="207"/>
      <c r="O545" s="207"/>
      <c r="P545" s="207"/>
      <c r="Q545" s="207"/>
      <c r="R545" s="207"/>
      <c r="S545" s="207"/>
      <c r="T545" s="207"/>
      <c r="U545" s="207"/>
      <c r="V545" s="207"/>
      <c r="W545" s="207"/>
      <c r="X545" s="207"/>
      <c r="Y545" s="207"/>
      <c r="Z545" s="207"/>
      <c r="AA545" s="207"/>
    </row>
    <row r="546">
      <c r="A546" s="203"/>
      <c r="B546" s="204"/>
      <c r="C546" s="204"/>
      <c r="D546" s="205"/>
      <c r="E546" s="212"/>
      <c r="F546" s="206"/>
      <c r="G546" s="167"/>
      <c r="H546" s="213"/>
      <c r="I546" s="167"/>
      <c r="J546" s="168"/>
      <c r="K546" s="169"/>
      <c r="L546" s="207"/>
      <c r="M546" s="207"/>
      <c r="N546" s="207"/>
      <c r="O546" s="207"/>
      <c r="P546" s="207"/>
      <c r="Q546" s="207"/>
      <c r="R546" s="207"/>
      <c r="S546" s="207"/>
      <c r="T546" s="207"/>
      <c r="U546" s="207"/>
      <c r="V546" s="207"/>
      <c r="W546" s="207"/>
      <c r="X546" s="207"/>
      <c r="Y546" s="207"/>
      <c r="Z546" s="207"/>
      <c r="AA546" s="207"/>
    </row>
    <row r="547">
      <c r="A547" s="203"/>
      <c r="B547" s="204"/>
      <c r="C547" s="204"/>
      <c r="D547" s="205"/>
      <c r="E547" s="212"/>
      <c r="F547" s="206"/>
      <c r="G547" s="167"/>
      <c r="H547" s="213"/>
      <c r="I547" s="167"/>
      <c r="J547" s="168"/>
      <c r="K547" s="169"/>
      <c r="L547" s="207"/>
      <c r="M547" s="207"/>
      <c r="N547" s="207"/>
      <c r="O547" s="207"/>
      <c r="P547" s="207"/>
      <c r="Q547" s="207"/>
      <c r="R547" s="207"/>
      <c r="S547" s="207"/>
      <c r="T547" s="207"/>
      <c r="U547" s="207"/>
      <c r="V547" s="207"/>
      <c r="W547" s="207"/>
      <c r="X547" s="207"/>
      <c r="Y547" s="207"/>
      <c r="Z547" s="207"/>
      <c r="AA547" s="207"/>
    </row>
    <row r="548">
      <c r="A548" s="203"/>
      <c r="B548" s="204"/>
      <c r="C548" s="204"/>
      <c r="D548" s="205"/>
      <c r="E548" s="212"/>
      <c r="F548" s="206"/>
      <c r="G548" s="167"/>
      <c r="H548" s="213"/>
      <c r="I548" s="167"/>
      <c r="J548" s="168"/>
      <c r="K548" s="169"/>
      <c r="L548" s="207"/>
      <c r="M548" s="207"/>
      <c r="N548" s="207"/>
      <c r="O548" s="207"/>
      <c r="P548" s="207"/>
      <c r="Q548" s="207"/>
      <c r="R548" s="207"/>
      <c r="S548" s="207"/>
      <c r="T548" s="207"/>
      <c r="U548" s="207"/>
      <c r="V548" s="207"/>
      <c r="W548" s="207"/>
      <c r="X548" s="207"/>
      <c r="Y548" s="207"/>
      <c r="Z548" s="207"/>
      <c r="AA548" s="207"/>
    </row>
    <row r="549">
      <c r="A549" s="203"/>
      <c r="B549" s="204"/>
      <c r="C549" s="204"/>
      <c r="D549" s="205"/>
      <c r="E549" s="212"/>
      <c r="F549" s="206"/>
      <c r="G549" s="167"/>
      <c r="H549" s="213"/>
      <c r="I549" s="167"/>
      <c r="J549" s="168"/>
      <c r="K549" s="169"/>
      <c r="L549" s="207"/>
      <c r="M549" s="207"/>
      <c r="N549" s="207"/>
      <c r="O549" s="207"/>
      <c r="P549" s="207"/>
      <c r="Q549" s="207"/>
      <c r="R549" s="207"/>
      <c r="S549" s="207"/>
      <c r="T549" s="207"/>
      <c r="U549" s="207"/>
      <c r="V549" s="207"/>
      <c r="W549" s="207"/>
      <c r="X549" s="207"/>
      <c r="Y549" s="207"/>
      <c r="Z549" s="207"/>
      <c r="AA549" s="207"/>
    </row>
    <row r="550">
      <c r="A550" s="203"/>
      <c r="B550" s="204"/>
      <c r="C550" s="204"/>
      <c r="D550" s="205"/>
      <c r="E550" s="212"/>
      <c r="F550" s="206"/>
      <c r="G550" s="167"/>
      <c r="H550" s="213"/>
      <c r="I550" s="167"/>
      <c r="J550" s="168"/>
      <c r="K550" s="169"/>
      <c r="L550" s="207"/>
      <c r="M550" s="207"/>
      <c r="N550" s="207"/>
      <c r="O550" s="207"/>
      <c r="P550" s="207"/>
      <c r="Q550" s="207"/>
      <c r="R550" s="207"/>
      <c r="S550" s="207"/>
      <c r="T550" s="207"/>
      <c r="U550" s="207"/>
      <c r="V550" s="207"/>
      <c r="W550" s="207"/>
      <c r="X550" s="207"/>
      <c r="Y550" s="207"/>
      <c r="Z550" s="207"/>
      <c r="AA550" s="207"/>
    </row>
    <row r="551">
      <c r="A551" s="203"/>
      <c r="B551" s="204"/>
      <c r="C551" s="204"/>
      <c r="D551" s="205"/>
      <c r="E551" s="212"/>
      <c r="F551" s="206"/>
      <c r="G551" s="167"/>
      <c r="H551" s="213"/>
      <c r="I551" s="167"/>
      <c r="J551" s="168"/>
      <c r="K551" s="169"/>
      <c r="L551" s="207"/>
      <c r="M551" s="207"/>
      <c r="N551" s="207"/>
      <c r="O551" s="207"/>
      <c r="P551" s="207"/>
      <c r="Q551" s="207"/>
      <c r="R551" s="207"/>
      <c r="S551" s="207"/>
      <c r="T551" s="207"/>
      <c r="U551" s="207"/>
      <c r="V551" s="207"/>
      <c r="W551" s="207"/>
      <c r="X551" s="207"/>
      <c r="Y551" s="207"/>
      <c r="Z551" s="207"/>
      <c r="AA551" s="207"/>
    </row>
    <row r="552">
      <c r="A552" s="203"/>
      <c r="B552" s="204"/>
      <c r="C552" s="204"/>
      <c r="D552" s="205"/>
      <c r="E552" s="212"/>
      <c r="F552" s="206"/>
      <c r="G552" s="167"/>
      <c r="H552" s="213"/>
      <c r="I552" s="167"/>
      <c r="J552" s="168"/>
      <c r="K552" s="169"/>
      <c r="L552" s="207"/>
      <c r="M552" s="207"/>
      <c r="N552" s="207"/>
      <c r="O552" s="207"/>
      <c r="P552" s="207"/>
      <c r="Q552" s="207"/>
      <c r="R552" s="207"/>
      <c r="S552" s="207"/>
      <c r="T552" s="207"/>
      <c r="U552" s="207"/>
      <c r="V552" s="207"/>
      <c r="W552" s="207"/>
      <c r="X552" s="207"/>
      <c r="Y552" s="207"/>
      <c r="Z552" s="207"/>
      <c r="AA552" s="207"/>
    </row>
    <row r="553">
      <c r="A553" s="203"/>
      <c r="B553" s="204"/>
      <c r="C553" s="204"/>
      <c r="D553" s="205"/>
      <c r="E553" s="212"/>
      <c r="F553" s="206"/>
      <c r="G553" s="167"/>
      <c r="H553" s="213"/>
      <c r="I553" s="167"/>
      <c r="J553" s="168"/>
      <c r="K553" s="169"/>
      <c r="L553" s="207"/>
      <c r="M553" s="207"/>
      <c r="N553" s="207"/>
      <c r="O553" s="207"/>
      <c r="P553" s="207"/>
      <c r="Q553" s="207"/>
      <c r="R553" s="207"/>
      <c r="S553" s="207"/>
      <c r="T553" s="207"/>
      <c r="U553" s="207"/>
      <c r="V553" s="207"/>
      <c r="W553" s="207"/>
      <c r="X553" s="207"/>
      <c r="Y553" s="207"/>
      <c r="Z553" s="207"/>
      <c r="AA553" s="207"/>
    </row>
    <row r="554">
      <c r="A554" s="203"/>
      <c r="B554" s="204"/>
      <c r="C554" s="204"/>
      <c r="D554" s="205"/>
      <c r="E554" s="212"/>
      <c r="F554" s="206"/>
      <c r="G554" s="167"/>
      <c r="H554" s="213"/>
      <c r="I554" s="167"/>
      <c r="J554" s="168"/>
      <c r="K554" s="169"/>
      <c r="L554" s="207"/>
      <c r="M554" s="207"/>
      <c r="N554" s="207"/>
      <c r="O554" s="207"/>
      <c r="P554" s="207"/>
      <c r="Q554" s="207"/>
      <c r="R554" s="207"/>
      <c r="S554" s="207"/>
      <c r="T554" s="207"/>
      <c r="U554" s="207"/>
      <c r="V554" s="207"/>
      <c r="W554" s="207"/>
      <c r="X554" s="207"/>
      <c r="Y554" s="207"/>
      <c r="Z554" s="207"/>
      <c r="AA554" s="207"/>
    </row>
    <row r="555">
      <c r="A555" s="203"/>
      <c r="B555" s="204"/>
      <c r="C555" s="204"/>
      <c r="D555" s="205"/>
      <c r="E555" s="212"/>
      <c r="F555" s="206"/>
      <c r="G555" s="167"/>
      <c r="H555" s="213"/>
      <c r="I555" s="167"/>
      <c r="J555" s="168"/>
      <c r="K555" s="169"/>
      <c r="L555" s="207"/>
      <c r="M555" s="207"/>
      <c r="N555" s="207"/>
      <c r="O555" s="207"/>
      <c r="P555" s="207"/>
      <c r="Q555" s="207"/>
      <c r="R555" s="207"/>
      <c r="S555" s="207"/>
      <c r="T555" s="207"/>
      <c r="U555" s="207"/>
      <c r="V555" s="207"/>
      <c r="W555" s="207"/>
      <c r="X555" s="207"/>
      <c r="Y555" s="207"/>
      <c r="Z555" s="207"/>
      <c r="AA555" s="207"/>
    </row>
    <row r="556">
      <c r="A556" s="203"/>
      <c r="B556" s="204"/>
      <c r="C556" s="204"/>
      <c r="D556" s="205"/>
      <c r="E556" s="212"/>
      <c r="F556" s="206"/>
      <c r="G556" s="167"/>
      <c r="H556" s="213"/>
      <c r="I556" s="167"/>
      <c r="J556" s="168"/>
      <c r="K556" s="169"/>
      <c r="L556" s="207"/>
      <c r="M556" s="207"/>
      <c r="N556" s="207"/>
      <c r="O556" s="207"/>
      <c r="P556" s="207"/>
      <c r="Q556" s="207"/>
      <c r="R556" s="207"/>
      <c r="S556" s="207"/>
      <c r="T556" s="207"/>
      <c r="U556" s="207"/>
      <c r="V556" s="207"/>
      <c r="W556" s="207"/>
      <c r="X556" s="207"/>
      <c r="Y556" s="207"/>
      <c r="Z556" s="207"/>
      <c r="AA556" s="207"/>
    </row>
    <row r="557">
      <c r="A557" s="203"/>
      <c r="B557" s="204"/>
      <c r="C557" s="204"/>
      <c r="D557" s="205"/>
      <c r="E557" s="212"/>
      <c r="F557" s="206"/>
      <c r="G557" s="167"/>
      <c r="H557" s="213"/>
      <c r="I557" s="167"/>
      <c r="J557" s="168"/>
      <c r="K557" s="169"/>
      <c r="L557" s="207"/>
      <c r="M557" s="207"/>
      <c r="N557" s="207"/>
      <c r="O557" s="207"/>
      <c r="P557" s="207"/>
      <c r="Q557" s="207"/>
      <c r="R557" s="207"/>
      <c r="S557" s="207"/>
      <c r="T557" s="207"/>
      <c r="U557" s="207"/>
      <c r="V557" s="207"/>
      <c r="W557" s="207"/>
      <c r="X557" s="207"/>
      <c r="Y557" s="207"/>
      <c r="Z557" s="207"/>
      <c r="AA557" s="207"/>
    </row>
    <row r="558">
      <c r="A558" s="203"/>
      <c r="B558" s="204"/>
      <c r="C558" s="204"/>
      <c r="D558" s="205"/>
      <c r="E558" s="212"/>
      <c r="F558" s="206"/>
      <c r="G558" s="167"/>
      <c r="H558" s="213"/>
      <c r="I558" s="167"/>
      <c r="J558" s="168"/>
      <c r="K558" s="169"/>
      <c r="L558" s="207"/>
      <c r="M558" s="207"/>
      <c r="N558" s="207"/>
      <c r="O558" s="207"/>
      <c r="P558" s="207"/>
      <c r="Q558" s="207"/>
      <c r="R558" s="207"/>
      <c r="S558" s="207"/>
      <c r="T558" s="207"/>
      <c r="U558" s="207"/>
      <c r="V558" s="207"/>
      <c r="W558" s="207"/>
      <c r="X558" s="207"/>
      <c r="Y558" s="207"/>
      <c r="Z558" s="207"/>
      <c r="AA558" s="207"/>
    </row>
    <row r="559">
      <c r="A559" s="203"/>
      <c r="B559" s="204"/>
      <c r="C559" s="204"/>
      <c r="D559" s="205"/>
      <c r="E559" s="212"/>
      <c r="F559" s="206"/>
      <c r="G559" s="167"/>
      <c r="H559" s="213"/>
      <c r="I559" s="167"/>
      <c r="J559" s="168"/>
      <c r="K559" s="169"/>
      <c r="L559" s="207"/>
      <c r="M559" s="207"/>
      <c r="N559" s="207"/>
      <c r="O559" s="207"/>
      <c r="P559" s="207"/>
      <c r="Q559" s="207"/>
      <c r="R559" s="207"/>
      <c r="S559" s="207"/>
      <c r="T559" s="207"/>
      <c r="U559" s="207"/>
      <c r="V559" s="207"/>
      <c r="W559" s="207"/>
      <c r="X559" s="207"/>
      <c r="Y559" s="207"/>
      <c r="Z559" s="207"/>
      <c r="AA559" s="207"/>
    </row>
    <row r="560">
      <c r="A560" s="203"/>
      <c r="B560" s="204"/>
      <c r="C560" s="204"/>
      <c r="D560" s="205"/>
      <c r="E560" s="212"/>
      <c r="F560" s="206"/>
      <c r="G560" s="167"/>
      <c r="H560" s="213"/>
      <c r="I560" s="167"/>
      <c r="J560" s="168"/>
      <c r="K560" s="169"/>
      <c r="L560" s="207"/>
      <c r="M560" s="207"/>
      <c r="N560" s="207"/>
      <c r="O560" s="207"/>
      <c r="P560" s="207"/>
      <c r="Q560" s="207"/>
      <c r="R560" s="207"/>
      <c r="S560" s="207"/>
      <c r="T560" s="207"/>
      <c r="U560" s="207"/>
      <c r="V560" s="207"/>
      <c r="W560" s="207"/>
      <c r="X560" s="207"/>
      <c r="Y560" s="207"/>
      <c r="Z560" s="207"/>
      <c r="AA560" s="207"/>
    </row>
    <row r="561">
      <c r="A561" s="203"/>
      <c r="B561" s="204"/>
      <c r="C561" s="204"/>
      <c r="D561" s="205"/>
      <c r="E561" s="212"/>
      <c r="F561" s="206"/>
      <c r="G561" s="167"/>
      <c r="H561" s="213"/>
      <c r="I561" s="167"/>
      <c r="J561" s="168"/>
      <c r="K561" s="169"/>
      <c r="L561" s="207"/>
      <c r="M561" s="207"/>
      <c r="N561" s="207"/>
      <c r="O561" s="207"/>
      <c r="P561" s="207"/>
      <c r="Q561" s="207"/>
      <c r="R561" s="207"/>
      <c r="S561" s="207"/>
      <c r="T561" s="207"/>
      <c r="U561" s="207"/>
      <c r="V561" s="207"/>
      <c r="W561" s="207"/>
      <c r="X561" s="207"/>
      <c r="Y561" s="207"/>
      <c r="Z561" s="207"/>
      <c r="AA561" s="207"/>
    </row>
    <row r="562">
      <c r="A562" s="203"/>
      <c r="B562" s="204"/>
      <c r="C562" s="204"/>
      <c r="D562" s="205"/>
      <c r="E562" s="212"/>
      <c r="F562" s="206"/>
      <c r="G562" s="167"/>
      <c r="H562" s="213"/>
      <c r="I562" s="167"/>
      <c r="J562" s="168"/>
      <c r="K562" s="169"/>
      <c r="L562" s="207"/>
      <c r="M562" s="207"/>
      <c r="N562" s="207"/>
      <c r="O562" s="207"/>
      <c r="P562" s="207"/>
      <c r="Q562" s="207"/>
      <c r="R562" s="207"/>
      <c r="S562" s="207"/>
      <c r="T562" s="207"/>
      <c r="U562" s="207"/>
      <c r="V562" s="207"/>
      <c r="W562" s="207"/>
      <c r="X562" s="207"/>
      <c r="Y562" s="207"/>
      <c r="Z562" s="207"/>
      <c r="AA562" s="207"/>
    </row>
    <row r="563">
      <c r="A563" s="203"/>
      <c r="B563" s="204"/>
      <c r="C563" s="204"/>
      <c r="D563" s="205"/>
      <c r="E563" s="212"/>
      <c r="F563" s="206"/>
      <c r="G563" s="167"/>
      <c r="H563" s="213"/>
      <c r="I563" s="167"/>
      <c r="J563" s="168"/>
      <c r="K563" s="169"/>
      <c r="L563" s="207"/>
      <c r="M563" s="207"/>
      <c r="N563" s="207"/>
      <c r="O563" s="207"/>
      <c r="P563" s="207"/>
      <c r="Q563" s="207"/>
      <c r="R563" s="207"/>
      <c r="S563" s="207"/>
      <c r="T563" s="207"/>
      <c r="U563" s="207"/>
      <c r="V563" s="207"/>
      <c r="W563" s="207"/>
      <c r="X563" s="207"/>
      <c r="Y563" s="207"/>
      <c r="Z563" s="207"/>
      <c r="AA563" s="207"/>
    </row>
    <row r="564">
      <c r="A564" s="203"/>
      <c r="B564" s="204"/>
      <c r="C564" s="204"/>
      <c r="D564" s="205"/>
      <c r="E564" s="212"/>
      <c r="F564" s="206"/>
      <c r="G564" s="167"/>
      <c r="H564" s="213"/>
      <c r="I564" s="167"/>
      <c r="J564" s="168"/>
      <c r="K564" s="169"/>
      <c r="L564" s="207"/>
      <c r="M564" s="207"/>
      <c r="N564" s="207"/>
      <c r="O564" s="207"/>
      <c r="P564" s="207"/>
      <c r="Q564" s="207"/>
      <c r="R564" s="207"/>
      <c r="S564" s="207"/>
      <c r="T564" s="207"/>
      <c r="U564" s="207"/>
      <c r="V564" s="207"/>
      <c r="W564" s="207"/>
      <c r="X564" s="207"/>
      <c r="Y564" s="207"/>
      <c r="Z564" s="207"/>
      <c r="AA564" s="207"/>
    </row>
    <row r="565">
      <c r="A565" s="203"/>
      <c r="B565" s="204"/>
      <c r="C565" s="204"/>
      <c r="D565" s="205"/>
      <c r="E565" s="212"/>
      <c r="F565" s="206"/>
      <c r="G565" s="167"/>
      <c r="H565" s="213"/>
      <c r="I565" s="167"/>
      <c r="J565" s="168"/>
      <c r="K565" s="169"/>
      <c r="L565" s="207"/>
      <c r="M565" s="207"/>
      <c r="N565" s="207"/>
      <c r="O565" s="207"/>
      <c r="P565" s="207"/>
      <c r="Q565" s="207"/>
      <c r="R565" s="207"/>
      <c r="S565" s="207"/>
      <c r="T565" s="207"/>
      <c r="U565" s="207"/>
      <c r="V565" s="207"/>
      <c r="W565" s="207"/>
      <c r="X565" s="207"/>
      <c r="Y565" s="207"/>
      <c r="Z565" s="207"/>
      <c r="AA565" s="207"/>
    </row>
    <row r="566">
      <c r="A566" s="203"/>
      <c r="B566" s="204"/>
      <c r="C566" s="204"/>
      <c r="D566" s="205"/>
      <c r="E566" s="212"/>
      <c r="F566" s="206"/>
      <c r="G566" s="167"/>
      <c r="H566" s="213"/>
      <c r="I566" s="167"/>
      <c r="J566" s="168"/>
      <c r="K566" s="169"/>
      <c r="L566" s="207"/>
      <c r="M566" s="207"/>
      <c r="N566" s="207"/>
      <c r="O566" s="207"/>
      <c r="P566" s="207"/>
      <c r="Q566" s="207"/>
      <c r="R566" s="207"/>
      <c r="S566" s="207"/>
      <c r="T566" s="207"/>
      <c r="U566" s="207"/>
      <c r="V566" s="207"/>
      <c r="W566" s="207"/>
      <c r="X566" s="207"/>
      <c r="Y566" s="207"/>
      <c r="Z566" s="207"/>
      <c r="AA566" s="207"/>
    </row>
    <row r="567">
      <c r="A567" s="203"/>
      <c r="B567" s="204"/>
      <c r="C567" s="204"/>
      <c r="D567" s="205"/>
      <c r="E567" s="212"/>
      <c r="F567" s="206"/>
      <c r="G567" s="167"/>
      <c r="H567" s="213"/>
      <c r="I567" s="167"/>
      <c r="J567" s="168"/>
      <c r="K567" s="169"/>
      <c r="L567" s="207"/>
      <c r="M567" s="207"/>
      <c r="N567" s="207"/>
      <c r="O567" s="207"/>
      <c r="P567" s="207"/>
      <c r="Q567" s="207"/>
      <c r="R567" s="207"/>
      <c r="S567" s="207"/>
      <c r="T567" s="207"/>
      <c r="U567" s="207"/>
      <c r="V567" s="207"/>
      <c r="W567" s="207"/>
      <c r="X567" s="207"/>
      <c r="Y567" s="207"/>
      <c r="Z567" s="207"/>
      <c r="AA567" s="207"/>
    </row>
    <row r="568">
      <c r="A568" s="203"/>
      <c r="B568" s="204"/>
      <c r="C568" s="204"/>
      <c r="D568" s="205"/>
      <c r="E568" s="212"/>
      <c r="F568" s="206"/>
      <c r="G568" s="167"/>
      <c r="H568" s="213"/>
      <c r="I568" s="167"/>
      <c r="J568" s="168"/>
      <c r="K568" s="169"/>
      <c r="L568" s="207"/>
      <c r="M568" s="207"/>
      <c r="N568" s="207"/>
      <c r="O568" s="207"/>
      <c r="P568" s="207"/>
      <c r="Q568" s="207"/>
      <c r="R568" s="207"/>
      <c r="S568" s="207"/>
      <c r="T568" s="207"/>
      <c r="U568" s="207"/>
      <c r="V568" s="207"/>
      <c r="W568" s="207"/>
      <c r="X568" s="207"/>
      <c r="Y568" s="207"/>
      <c r="Z568" s="207"/>
      <c r="AA568" s="207"/>
    </row>
    <row r="569">
      <c r="A569" s="203"/>
      <c r="B569" s="204"/>
      <c r="C569" s="204"/>
      <c r="D569" s="205"/>
      <c r="E569" s="212"/>
      <c r="F569" s="206"/>
      <c r="G569" s="167"/>
      <c r="H569" s="213"/>
      <c r="I569" s="167"/>
      <c r="J569" s="168"/>
      <c r="K569" s="169"/>
      <c r="L569" s="207"/>
      <c r="M569" s="207"/>
      <c r="N569" s="207"/>
      <c r="O569" s="207"/>
      <c r="P569" s="207"/>
      <c r="Q569" s="207"/>
      <c r="R569" s="207"/>
      <c r="S569" s="207"/>
      <c r="T569" s="207"/>
      <c r="U569" s="207"/>
      <c r="V569" s="207"/>
      <c r="W569" s="207"/>
      <c r="X569" s="207"/>
      <c r="Y569" s="207"/>
      <c r="Z569" s="207"/>
      <c r="AA569" s="207"/>
    </row>
    <row r="570">
      <c r="A570" s="203"/>
      <c r="B570" s="204"/>
      <c r="C570" s="204"/>
      <c r="D570" s="205"/>
      <c r="E570" s="212"/>
      <c r="F570" s="206"/>
      <c r="G570" s="167"/>
      <c r="H570" s="213"/>
      <c r="I570" s="167"/>
      <c r="J570" s="168"/>
      <c r="K570" s="169"/>
      <c r="L570" s="207"/>
      <c r="M570" s="207"/>
      <c r="N570" s="207"/>
      <c r="O570" s="207"/>
      <c r="P570" s="207"/>
      <c r="Q570" s="207"/>
      <c r="R570" s="207"/>
      <c r="S570" s="207"/>
      <c r="T570" s="207"/>
      <c r="U570" s="207"/>
      <c r="V570" s="207"/>
      <c r="W570" s="207"/>
      <c r="X570" s="207"/>
      <c r="Y570" s="207"/>
      <c r="Z570" s="207"/>
      <c r="AA570" s="207"/>
    </row>
    <row r="571">
      <c r="A571" s="203"/>
      <c r="B571" s="204"/>
      <c r="C571" s="204"/>
      <c r="D571" s="205"/>
      <c r="E571" s="212"/>
      <c r="F571" s="206"/>
      <c r="G571" s="167"/>
      <c r="H571" s="213"/>
      <c r="I571" s="167"/>
      <c r="J571" s="168"/>
      <c r="K571" s="169"/>
      <c r="L571" s="207"/>
      <c r="M571" s="207"/>
      <c r="N571" s="207"/>
      <c r="O571" s="207"/>
      <c r="P571" s="207"/>
      <c r="Q571" s="207"/>
      <c r="R571" s="207"/>
      <c r="S571" s="207"/>
      <c r="T571" s="207"/>
      <c r="U571" s="207"/>
      <c r="V571" s="207"/>
      <c r="W571" s="207"/>
      <c r="X571" s="207"/>
      <c r="Y571" s="207"/>
      <c r="Z571" s="207"/>
      <c r="AA571" s="207"/>
    </row>
    <row r="572">
      <c r="A572" s="203"/>
      <c r="B572" s="204"/>
      <c r="C572" s="204"/>
      <c r="D572" s="205"/>
      <c r="E572" s="212"/>
      <c r="F572" s="206"/>
      <c r="G572" s="167"/>
      <c r="H572" s="213"/>
      <c r="I572" s="167"/>
      <c r="J572" s="168"/>
      <c r="K572" s="169"/>
      <c r="L572" s="207"/>
      <c r="M572" s="207"/>
      <c r="N572" s="207"/>
      <c r="O572" s="207"/>
      <c r="P572" s="207"/>
      <c r="Q572" s="207"/>
      <c r="R572" s="207"/>
      <c r="S572" s="207"/>
      <c r="T572" s="207"/>
      <c r="U572" s="207"/>
      <c r="V572" s="207"/>
      <c r="W572" s="207"/>
      <c r="X572" s="207"/>
      <c r="Y572" s="207"/>
      <c r="Z572" s="207"/>
      <c r="AA572" s="207"/>
    </row>
    <row r="573">
      <c r="A573" s="203"/>
      <c r="B573" s="204"/>
      <c r="C573" s="204"/>
      <c r="D573" s="205"/>
      <c r="E573" s="212"/>
      <c r="F573" s="206"/>
      <c r="G573" s="167"/>
      <c r="H573" s="213"/>
      <c r="I573" s="167"/>
      <c r="J573" s="168"/>
      <c r="K573" s="169"/>
      <c r="L573" s="207"/>
      <c r="M573" s="207"/>
      <c r="N573" s="207"/>
      <c r="O573" s="207"/>
      <c r="P573" s="207"/>
      <c r="Q573" s="207"/>
      <c r="R573" s="207"/>
      <c r="S573" s="207"/>
      <c r="T573" s="207"/>
      <c r="U573" s="207"/>
      <c r="V573" s="207"/>
      <c r="W573" s="207"/>
      <c r="X573" s="207"/>
      <c r="Y573" s="207"/>
      <c r="Z573" s="207"/>
      <c r="AA573" s="207"/>
    </row>
    <row r="574">
      <c r="A574" s="203"/>
      <c r="B574" s="204"/>
      <c r="C574" s="204"/>
      <c r="D574" s="205"/>
      <c r="E574" s="212"/>
      <c r="F574" s="206"/>
      <c r="G574" s="167"/>
      <c r="H574" s="213"/>
      <c r="I574" s="167"/>
      <c r="J574" s="168"/>
      <c r="K574" s="169"/>
      <c r="L574" s="207"/>
      <c r="M574" s="207"/>
      <c r="N574" s="207"/>
      <c r="O574" s="207"/>
      <c r="P574" s="207"/>
      <c r="Q574" s="207"/>
      <c r="R574" s="207"/>
      <c r="S574" s="207"/>
      <c r="T574" s="207"/>
      <c r="U574" s="207"/>
      <c r="V574" s="207"/>
      <c r="W574" s="207"/>
      <c r="X574" s="207"/>
      <c r="Y574" s="207"/>
      <c r="Z574" s="207"/>
      <c r="AA574" s="207"/>
    </row>
    <row r="575">
      <c r="A575" s="203"/>
      <c r="B575" s="204"/>
      <c r="C575" s="204"/>
      <c r="D575" s="205"/>
      <c r="E575" s="212"/>
      <c r="F575" s="206"/>
      <c r="G575" s="167"/>
      <c r="H575" s="213"/>
      <c r="I575" s="167"/>
      <c r="J575" s="168"/>
      <c r="K575" s="169"/>
      <c r="L575" s="207"/>
      <c r="M575" s="207"/>
      <c r="N575" s="207"/>
      <c r="O575" s="207"/>
      <c r="P575" s="207"/>
      <c r="Q575" s="207"/>
      <c r="R575" s="207"/>
      <c r="S575" s="207"/>
      <c r="T575" s="207"/>
      <c r="U575" s="207"/>
      <c r="V575" s="207"/>
      <c r="W575" s="207"/>
      <c r="X575" s="207"/>
      <c r="Y575" s="207"/>
      <c r="Z575" s="207"/>
      <c r="AA575" s="207"/>
    </row>
    <row r="576">
      <c r="A576" s="203"/>
      <c r="B576" s="204"/>
      <c r="C576" s="204"/>
      <c r="D576" s="205"/>
      <c r="E576" s="212"/>
      <c r="F576" s="206"/>
      <c r="G576" s="167"/>
      <c r="H576" s="213"/>
      <c r="I576" s="167"/>
      <c r="J576" s="168"/>
      <c r="K576" s="169"/>
      <c r="L576" s="207"/>
      <c r="M576" s="207"/>
      <c r="N576" s="207"/>
      <c r="O576" s="207"/>
      <c r="P576" s="207"/>
      <c r="Q576" s="207"/>
      <c r="R576" s="207"/>
      <c r="S576" s="207"/>
      <c r="T576" s="207"/>
      <c r="U576" s="207"/>
      <c r="V576" s="207"/>
      <c r="W576" s="207"/>
      <c r="X576" s="207"/>
      <c r="Y576" s="207"/>
      <c r="Z576" s="207"/>
      <c r="AA576" s="207"/>
    </row>
    <row r="577">
      <c r="A577" s="203"/>
      <c r="B577" s="204"/>
      <c r="C577" s="204"/>
      <c r="D577" s="205"/>
      <c r="E577" s="212"/>
      <c r="F577" s="206"/>
      <c r="G577" s="167"/>
      <c r="H577" s="213"/>
      <c r="I577" s="167"/>
      <c r="J577" s="168"/>
      <c r="K577" s="169"/>
      <c r="L577" s="207"/>
      <c r="M577" s="207"/>
      <c r="N577" s="207"/>
      <c r="O577" s="207"/>
      <c r="P577" s="207"/>
      <c r="Q577" s="207"/>
      <c r="R577" s="207"/>
      <c r="S577" s="207"/>
      <c r="T577" s="207"/>
      <c r="U577" s="207"/>
      <c r="V577" s="207"/>
      <c r="W577" s="207"/>
      <c r="X577" s="207"/>
      <c r="Y577" s="207"/>
      <c r="Z577" s="207"/>
      <c r="AA577" s="207"/>
    </row>
    <row r="578">
      <c r="A578" s="203"/>
      <c r="B578" s="204"/>
      <c r="C578" s="204"/>
      <c r="D578" s="205"/>
      <c r="E578" s="212"/>
      <c r="F578" s="206"/>
      <c r="G578" s="167"/>
      <c r="H578" s="213"/>
      <c r="I578" s="167"/>
      <c r="J578" s="168"/>
      <c r="K578" s="169"/>
      <c r="L578" s="207"/>
      <c r="M578" s="207"/>
      <c r="N578" s="207"/>
      <c r="O578" s="207"/>
      <c r="P578" s="207"/>
      <c r="Q578" s="207"/>
      <c r="R578" s="207"/>
      <c r="S578" s="207"/>
      <c r="T578" s="207"/>
      <c r="U578" s="207"/>
      <c r="V578" s="207"/>
      <c r="W578" s="207"/>
      <c r="X578" s="207"/>
      <c r="Y578" s="207"/>
      <c r="Z578" s="207"/>
      <c r="AA578" s="207"/>
    </row>
    <row r="579">
      <c r="A579" s="203"/>
      <c r="B579" s="204"/>
      <c r="C579" s="204"/>
      <c r="D579" s="205"/>
      <c r="E579" s="212"/>
      <c r="F579" s="206"/>
      <c r="G579" s="167"/>
      <c r="H579" s="213"/>
      <c r="I579" s="167"/>
      <c r="J579" s="168"/>
      <c r="K579" s="169"/>
      <c r="L579" s="207"/>
      <c r="M579" s="207"/>
      <c r="N579" s="207"/>
      <c r="O579" s="207"/>
      <c r="P579" s="207"/>
      <c r="Q579" s="207"/>
      <c r="R579" s="207"/>
      <c r="S579" s="207"/>
      <c r="T579" s="207"/>
      <c r="U579" s="207"/>
      <c r="V579" s="207"/>
      <c r="W579" s="207"/>
      <c r="X579" s="207"/>
      <c r="Y579" s="207"/>
      <c r="Z579" s="207"/>
      <c r="AA579" s="207"/>
    </row>
    <row r="580">
      <c r="A580" s="203"/>
      <c r="B580" s="204"/>
      <c r="C580" s="204"/>
      <c r="D580" s="205"/>
      <c r="E580" s="212"/>
      <c r="F580" s="206"/>
      <c r="G580" s="167"/>
      <c r="H580" s="213"/>
      <c r="I580" s="167"/>
      <c r="J580" s="168"/>
      <c r="K580" s="169"/>
      <c r="L580" s="207"/>
      <c r="M580" s="207"/>
      <c r="N580" s="207"/>
      <c r="O580" s="207"/>
      <c r="P580" s="207"/>
      <c r="Q580" s="207"/>
      <c r="R580" s="207"/>
      <c r="S580" s="207"/>
      <c r="T580" s="207"/>
      <c r="U580" s="207"/>
      <c r="V580" s="207"/>
      <c r="W580" s="207"/>
      <c r="X580" s="207"/>
      <c r="Y580" s="207"/>
      <c r="Z580" s="207"/>
      <c r="AA580" s="207"/>
    </row>
    <row r="581">
      <c r="A581" s="203"/>
      <c r="B581" s="204"/>
      <c r="C581" s="204"/>
      <c r="D581" s="205"/>
      <c r="E581" s="212"/>
      <c r="F581" s="206"/>
      <c r="G581" s="167"/>
      <c r="H581" s="213"/>
      <c r="I581" s="167"/>
      <c r="J581" s="168"/>
      <c r="K581" s="169"/>
      <c r="L581" s="207"/>
      <c r="M581" s="207"/>
      <c r="N581" s="207"/>
      <c r="O581" s="207"/>
      <c r="P581" s="207"/>
      <c r="Q581" s="207"/>
      <c r="R581" s="207"/>
      <c r="S581" s="207"/>
      <c r="T581" s="207"/>
      <c r="U581" s="207"/>
      <c r="V581" s="207"/>
      <c r="W581" s="207"/>
      <c r="X581" s="207"/>
      <c r="Y581" s="207"/>
      <c r="Z581" s="207"/>
      <c r="AA581" s="207"/>
    </row>
    <row r="582">
      <c r="A582" s="203"/>
      <c r="B582" s="204"/>
      <c r="C582" s="204"/>
      <c r="D582" s="205"/>
      <c r="E582" s="212"/>
      <c r="F582" s="206"/>
      <c r="G582" s="167"/>
      <c r="H582" s="213"/>
      <c r="I582" s="167"/>
      <c r="J582" s="168"/>
      <c r="K582" s="169"/>
      <c r="L582" s="207"/>
      <c r="M582" s="207"/>
      <c r="N582" s="207"/>
      <c r="O582" s="207"/>
      <c r="P582" s="207"/>
      <c r="Q582" s="207"/>
      <c r="R582" s="207"/>
      <c r="S582" s="207"/>
      <c r="T582" s="207"/>
      <c r="U582" s="207"/>
      <c r="V582" s="207"/>
      <c r="W582" s="207"/>
      <c r="X582" s="207"/>
      <c r="Y582" s="207"/>
      <c r="Z582" s="207"/>
      <c r="AA582" s="207"/>
    </row>
    <row r="583">
      <c r="A583" s="203"/>
      <c r="B583" s="204"/>
      <c r="C583" s="204"/>
      <c r="D583" s="205"/>
      <c r="E583" s="212"/>
      <c r="F583" s="206"/>
      <c r="G583" s="167"/>
      <c r="H583" s="213"/>
      <c r="I583" s="167"/>
      <c r="J583" s="168"/>
      <c r="K583" s="169"/>
      <c r="L583" s="207"/>
      <c r="M583" s="207"/>
      <c r="N583" s="207"/>
      <c r="O583" s="207"/>
      <c r="P583" s="207"/>
      <c r="Q583" s="207"/>
      <c r="R583" s="207"/>
      <c r="S583" s="207"/>
      <c r="T583" s="207"/>
      <c r="U583" s="207"/>
      <c r="V583" s="207"/>
      <c r="W583" s="207"/>
      <c r="X583" s="207"/>
      <c r="Y583" s="207"/>
      <c r="Z583" s="207"/>
      <c r="AA583" s="207"/>
    </row>
    <row r="584">
      <c r="A584" s="203"/>
      <c r="B584" s="204"/>
      <c r="C584" s="204"/>
      <c r="D584" s="205"/>
      <c r="E584" s="212"/>
      <c r="F584" s="206"/>
      <c r="G584" s="167"/>
      <c r="H584" s="213"/>
      <c r="I584" s="167"/>
      <c r="J584" s="168"/>
      <c r="K584" s="169"/>
      <c r="L584" s="207"/>
      <c r="M584" s="207"/>
      <c r="N584" s="207"/>
      <c r="O584" s="207"/>
      <c r="P584" s="207"/>
      <c r="Q584" s="207"/>
      <c r="R584" s="207"/>
      <c r="S584" s="207"/>
      <c r="T584" s="207"/>
      <c r="U584" s="207"/>
      <c r="V584" s="207"/>
      <c r="W584" s="207"/>
      <c r="X584" s="207"/>
      <c r="Y584" s="207"/>
      <c r="Z584" s="207"/>
      <c r="AA584" s="207"/>
    </row>
    <row r="585">
      <c r="A585" s="203"/>
      <c r="B585" s="204"/>
      <c r="C585" s="204"/>
      <c r="D585" s="205"/>
      <c r="E585" s="212"/>
      <c r="F585" s="206"/>
      <c r="G585" s="167"/>
      <c r="H585" s="213"/>
      <c r="I585" s="167"/>
      <c r="J585" s="168"/>
      <c r="K585" s="169"/>
      <c r="L585" s="207"/>
      <c r="M585" s="207"/>
      <c r="N585" s="207"/>
      <c r="O585" s="207"/>
      <c r="P585" s="207"/>
      <c r="Q585" s="207"/>
      <c r="R585" s="207"/>
      <c r="S585" s="207"/>
      <c r="T585" s="207"/>
      <c r="U585" s="207"/>
      <c r="V585" s="207"/>
      <c r="W585" s="207"/>
      <c r="X585" s="207"/>
      <c r="Y585" s="207"/>
      <c r="Z585" s="207"/>
      <c r="AA585" s="207"/>
    </row>
    <row r="586">
      <c r="A586" s="203"/>
      <c r="B586" s="204"/>
      <c r="C586" s="204"/>
      <c r="D586" s="205"/>
      <c r="E586" s="212"/>
      <c r="F586" s="206"/>
      <c r="G586" s="167"/>
      <c r="H586" s="213"/>
      <c r="I586" s="167"/>
      <c r="J586" s="168"/>
      <c r="K586" s="169"/>
      <c r="L586" s="207"/>
      <c r="M586" s="207"/>
      <c r="N586" s="207"/>
      <c r="O586" s="207"/>
      <c r="P586" s="207"/>
      <c r="Q586" s="207"/>
      <c r="R586" s="207"/>
      <c r="S586" s="207"/>
      <c r="T586" s="207"/>
      <c r="U586" s="207"/>
      <c r="V586" s="207"/>
      <c r="W586" s="207"/>
      <c r="X586" s="207"/>
      <c r="Y586" s="207"/>
      <c r="Z586" s="207"/>
      <c r="AA586" s="207"/>
    </row>
    <row r="587">
      <c r="A587" s="203"/>
      <c r="B587" s="204"/>
      <c r="C587" s="204"/>
      <c r="D587" s="205"/>
      <c r="E587" s="212"/>
      <c r="F587" s="206"/>
      <c r="G587" s="167"/>
      <c r="H587" s="213"/>
      <c r="I587" s="167"/>
      <c r="J587" s="168"/>
      <c r="K587" s="169"/>
      <c r="L587" s="207"/>
      <c r="M587" s="207"/>
      <c r="N587" s="207"/>
      <c r="O587" s="207"/>
      <c r="P587" s="207"/>
      <c r="Q587" s="207"/>
      <c r="R587" s="207"/>
      <c r="S587" s="207"/>
      <c r="T587" s="207"/>
      <c r="U587" s="207"/>
      <c r="V587" s="207"/>
      <c r="W587" s="207"/>
      <c r="X587" s="207"/>
      <c r="Y587" s="207"/>
      <c r="Z587" s="207"/>
      <c r="AA587" s="207"/>
    </row>
    <row r="588">
      <c r="A588" s="203"/>
      <c r="B588" s="204"/>
      <c r="C588" s="204"/>
      <c r="D588" s="205"/>
      <c r="E588" s="212"/>
      <c r="F588" s="206"/>
      <c r="G588" s="167"/>
      <c r="H588" s="213"/>
      <c r="I588" s="167"/>
      <c r="J588" s="168"/>
      <c r="K588" s="169"/>
      <c r="L588" s="207"/>
      <c r="M588" s="207"/>
      <c r="N588" s="207"/>
      <c r="O588" s="207"/>
      <c r="P588" s="207"/>
      <c r="Q588" s="207"/>
      <c r="R588" s="207"/>
      <c r="S588" s="207"/>
      <c r="T588" s="207"/>
      <c r="U588" s="207"/>
      <c r="V588" s="207"/>
      <c r="W588" s="207"/>
      <c r="X588" s="207"/>
      <c r="Y588" s="207"/>
      <c r="Z588" s="207"/>
      <c r="AA588" s="207"/>
    </row>
    <row r="589">
      <c r="A589" s="203"/>
      <c r="B589" s="204"/>
      <c r="C589" s="204"/>
      <c r="D589" s="205"/>
      <c r="E589" s="212"/>
      <c r="F589" s="206"/>
      <c r="G589" s="167"/>
      <c r="H589" s="213"/>
      <c r="I589" s="167"/>
      <c r="J589" s="168"/>
      <c r="K589" s="169"/>
      <c r="L589" s="207"/>
      <c r="M589" s="207"/>
      <c r="N589" s="207"/>
      <c r="O589" s="207"/>
      <c r="P589" s="207"/>
      <c r="Q589" s="207"/>
      <c r="R589" s="207"/>
      <c r="S589" s="207"/>
      <c r="T589" s="207"/>
      <c r="U589" s="207"/>
      <c r="V589" s="207"/>
      <c r="W589" s="207"/>
      <c r="X589" s="207"/>
      <c r="Y589" s="207"/>
      <c r="Z589" s="207"/>
      <c r="AA589" s="207"/>
    </row>
    <row r="590">
      <c r="A590" s="203"/>
      <c r="B590" s="204"/>
      <c r="C590" s="204"/>
      <c r="D590" s="205"/>
      <c r="E590" s="212"/>
      <c r="F590" s="206"/>
      <c r="G590" s="167"/>
      <c r="H590" s="213"/>
      <c r="I590" s="167"/>
      <c r="J590" s="168"/>
      <c r="K590" s="169"/>
      <c r="L590" s="207"/>
      <c r="M590" s="207"/>
      <c r="N590" s="207"/>
      <c r="O590" s="207"/>
      <c r="P590" s="207"/>
      <c r="Q590" s="207"/>
      <c r="R590" s="207"/>
      <c r="S590" s="207"/>
      <c r="T590" s="207"/>
      <c r="U590" s="207"/>
      <c r="V590" s="207"/>
      <c r="W590" s="207"/>
      <c r="X590" s="207"/>
      <c r="Y590" s="207"/>
      <c r="Z590" s="207"/>
      <c r="AA590" s="207"/>
    </row>
  </sheetData>
  <conditionalFormatting sqref="A3:A590">
    <cfRule type="expression" dxfId="1" priority="1">
      <formula>MATCH(A3,INDIRECT("'Xbox Game Studios'!A:A"),0)</formula>
    </cfRule>
  </conditionalFormatting>
  <conditionalFormatting sqref="A3:A590">
    <cfRule type="expression" dxfId="2" priority="2">
      <formula>MATCH(A3,INDIRECT("'EA Play'!A:A"),0)</formula>
    </cfRule>
  </conditionalFormatting>
  <conditionalFormatting sqref="A3:A590 D3:D590">
    <cfRule type="expression" dxfId="3" priority="3">
      <formula>$D3="Coming Soon"</formula>
    </cfRule>
  </conditionalFormatting>
  <conditionalFormatting sqref="A3:A590 D3:D590">
    <cfRule type="expression" dxfId="4" priority="4">
      <formula>$D3="Removed"</formula>
    </cfRule>
  </conditionalFormatting>
  <conditionalFormatting sqref="A3:A590 D3:D590">
    <cfRule type="expression" dxfId="5" priority="5">
      <formula>$D3="Leaving Soon"</formula>
    </cfRule>
  </conditionalFormatting>
  <conditionalFormatting sqref="E3:E590 I3:I590">
    <cfRule type="expression" dxfId="0" priority="6">
      <formula>AND($E3&lt;&gt;"",(($E3-$H3)/365*12)&lt;1)</formula>
    </cfRule>
  </conditionalFormatting>
  <conditionalFormatting sqref="J3:J590">
    <cfRule type="cellIs" dxfId="2" priority="7" operator="between">
      <formula>75</formula>
      <formula>89</formula>
    </cfRule>
  </conditionalFormatting>
  <conditionalFormatting sqref="J3:J590">
    <cfRule type="cellIs" dxfId="1" priority="8" operator="between">
      <formula>50</formula>
      <formula>74</formula>
    </cfRule>
  </conditionalFormatting>
  <conditionalFormatting sqref="J3:J590">
    <cfRule type="cellIs" dxfId="4" priority="9" operator="between">
      <formula>1</formula>
      <formula>49</formula>
    </cfRule>
  </conditionalFormatting>
  <conditionalFormatting sqref="B3:B590">
    <cfRule type="expression" dxfId="6" priority="10">
      <formula>AND(MATCH(A3,INDIRECT("'Cross Play'!D2:D"),0),MATCH(A3,INDIRECT("'Cross Play'!A2:A"),0))</formula>
    </cfRule>
  </conditionalFormatting>
  <conditionalFormatting sqref="B3:B590">
    <cfRule type="expression" dxfId="7" priority="11">
      <formula>MATCH(A3,INDIRECT("'Cross Play'!A2:A"),0)</formula>
    </cfRule>
  </conditionalFormatting>
  <conditionalFormatting sqref="B3:B590">
    <cfRule type="expression" dxfId="8" priority="12">
      <formula>MATCH(A3,INDIRECT("'Cross Play'!D2:D"),0)</formula>
    </cfRule>
  </conditionalFormatting>
  <conditionalFormatting sqref="I3:I590">
    <cfRule type="colorScale" priority="13">
      <colorScale>
        <cfvo type="min"/>
        <cfvo type="percentile" val="50"/>
        <cfvo type="max"/>
        <color rgb="FFB6D7A8"/>
        <color rgb="FFFFE599"/>
        <color rgb="FFEA9999"/>
      </colorScale>
    </cfRule>
  </conditionalFormatting>
  <conditionalFormatting sqref="G3:G590">
    <cfRule type="expression" dxfId="10" priority="14">
      <formula>MATCH(A3,INDIRECT("'Xbox Game Studios'!A:A"),0)</formula>
    </cfRule>
  </conditionalFormatting>
  <conditionalFormatting sqref="G3:G590">
    <cfRule type="expression" dxfId="10" priority="15">
      <formula>MATCH(A3,INDIRECT("'EA Play'!A:A"),0)</formula>
    </cfRule>
  </conditionalFormatting>
  <conditionalFormatting sqref="G3:G590">
    <cfRule type="expression" dxfId="5" priority="16">
      <formula>AND(D3="Active",OR(AND(G3&gt;11,G3&lt;13),AND(G3&gt;23,G3&lt;25),AND(G3&gt;35,G3&lt;37)),)</formula>
    </cfRule>
  </conditionalFormatting>
  <conditionalFormatting sqref="B1">
    <cfRule type="cellIs" dxfId="0" priority="17" operator="equal">
      <formula>"Xbox"</formula>
    </cfRule>
  </conditionalFormatting>
  <conditionalFormatting sqref="J2:J590">
    <cfRule type="cellIs" dxfId="9" priority="18" operator="between">
      <formula>90</formula>
      <formula>100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75"/>
    <col customWidth="1" min="2" max="2" width="9.38"/>
    <col customWidth="1" min="3" max="3" width="12.13"/>
    <col customWidth="1" min="4" max="4" width="11.25"/>
    <col customWidth="1" min="5" max="5" width="11.5"/>
    <col customWidth="1" min="6" max="6" width="17.38"/>
    <col customWidth="1" min="7" max="7" width="9.63"/>
    <col customWidth="1" min="8" max="8" width="11.5"/>
    <col customWidth="1" min="9" max="9" width="7.75"/>
    <col customWidth="1" min="10" max="10" width="11.88"/>
    <col customWidth="1" min="11" max="11" width="12.63"/>
    <col customWidth="1" min="12" max="12" width="42.25"/>
    <col customWidth="1" min="13" max="14" width="16.25"/>
  </cols>
  <sheetData>
    <row r="1">
      <c r="A1" s="191" t="s">
        <v>2957</v>
      </c>
      <c r="B1" s="192">
        <f>COUNTA(A3:A926)</f>
        <v>51</v>
      </c>
      <c r="C1" s="191"/>
      <c r="D1" s="191"/>
      <c r="E1" s="191"/>
      <c r="F1" s="191"/>
      <c r="G1" s="191"/>
      <c r="H1" s="191"/>
      <c r="I1" s="191"/>
      <c r="J1" s="191"/>
      <c r="K1" s="191"/>
      <c r="L1" s="191"/>
      <c r="M1" s="191"/>
      <c r="N1" s="191"/>
    </row>
    <row r="2">
      <c r="A2" s="193" t="s">
        <v>8</v>
      </c>
      <c r="B2" s="171" t="s">
        <v>9</v>
      </c>
      <c r="C2" s="170" t="s">
        <v>10</v>
      </c>
      <c r="D2" s="171" t="s">
        <v>11</v>
      </c>
      <c r="E2" s="171" t="s">
        <v>12</v>
      </c>
      <c r="F2" s="170" t="s">
        <v>13</v>
      </c>
      <c r="G2" s="194" t="s">
        <v>14</v>
      </c>
      <c r="H2" s="172" t="s">
        <v>15</v>
      </c>
      <c r="I2" s="172" t="s">
        <v>16</v>
      </c>
      <c r="J2" s="172" t="s">
        <v>17</v>
      </c>
      <c r="K2" s="172" t="s">
        <v>18</v>
      </c>
      <c r="L2" s="172" t="s">
        <v>2847</v>
      </c>
      <c r="M2" s="172" t="s">
        <v>2848</v>
      </c>
      <c r="N2" s="153" t="s">
        <v>21</v>
      </c>
    </row>
    <row r="3">
      <c r="A3" s="190" t="str">
        <f>IFERROR(__xludf.DUMMYFUNCTION("SORT(FILTER('Master List'!A2:N926, REGEXMATCH('Master List'!N2:N926, ""Returning title:"") ), 5, false)"),"Evil West")</f>
        <v>Evil West</v>
      </c>
      <c r="B3" s="195" t="str">
        <f>IFERROR(__xludf.DUMMYFUNCTION("""COMPUTED_VALUE"""),"Xbox / PC")</f>
        <v>Xbox / PC</v>
      </c>
      <c r="C3" s="196" t="str">
        <f>IFERROR(__xludf.DUMMYFUNCTION("""COMPUTED_VALUE"""),"Yes")</f>
        <v>Yes</v>
      </c>
      <c r="D3" s="196" t="str">
        <f>IFERROR(__xludf.DUMMYFUNCTION("""COMPUTED_VALUE"""),"Coming Soon")</f>
        <v>Coming Soon</v>
      </c>
      <c r="E3" s="197">
        <f>IFERROR(__xludf.DUMMYFUNCTION("""COMPUTED_VALUE"""),45951.0)</f>
        <v>45951</v>
      </c>
      <c r="F3" s="198"/>
      <c r="G3" s="199">
        <f>IFERROR(__xludf.DUMMYFUNCTION("""COMPUTED_VALUE"""),-0.2)</f>
        <v>-0.2</v>
      </c>
      <c r="H3" s="197">
        <f>IFERROR(__xludf.DUMMYFUNCTION("""COMPUTED_VALUE"""),44887.0)</f>
        <v>44887</v>
      </c>
      <c r="I3" s="199">
        <f>IFERROR(__xludf.DUMMYFUNCTION("""COMPUTED_VALUE"""),2.9138888888888888)</f>
        <v>2.913888889</v>
      </c>
      <c r="J3" s="200">
        <f>IFERROR(__xludf.DUMMYFUNCTION("""COMPUTED_VALUE"""),73.0)</f>
        <v>73</v>
      </c>
      <c r="K3" s="200">
        <f>IFERROR(__xludf.DUMMYFUNCTION("""COMPUTED_VALUE"""),11.0)</f>
        <v>11</v>
      </c>
      <c r="L3" s="201" t="str">
        <f>IFERROR(__xludf.DUMMYFUNCTION("""COMPUTED_VALUE"""),"Shooter")</f>
        <v>Shooter</v>
      </c>
      <c r="M3" s="201"/>
      <c r="N3" s="201" t="str">
        <f>IFERROR(__xludf.DUMMYFUNCTION("""COMPUTED_VALUE"""),"Returning title: Joined 3/21/24, left 3/15/25")</f>
        <v>Returning title: Joined 3/21/24, left 3/15/25</v>
      </c>
    </row>
    <row r="4">
      <c r="A4" s="190" t="str">
        <f>IFERROR(__xludf.DUMMYFUNCTION("""COMPUTED_VALUE"""),"Hades")</f>
        <v>Hades</v>
      </c>
      <c r="B4" s="195" t="str">
        <f>IFERROR(__xludf.DUMMYFUNCTION("""COMPUTED_VALUE"""),"Xbox / PC")</f>
        <v>Xbox / PC</v>
      </c>
      <c r="C4" s="196" t="str">
        <f>IFERROR(__xludf.DUMMYFUNCTION("""COMPUTED_VALUE"""),"Touch Controls")</f>
        <v>Touch Controls</v>
      </c>
      <c r="D4" s="196" t="str">
        <f>IFERROR(__xludf.DUMMYFUNCTION("""COMPUTED_VALUE"""),"Active")</f>
        <v>Active</v>
      </c>
      <c r="E4" s="197">
        <f>IFERROR(__xludf.DUMMYFUNCTION("""COMPUTED_VALUE"""),45919.0)</f>
        <v>45919</v>
      </c>
      <c r="F4" s="198"/>
      <c r="G4" s="199">
        <f>IFERROR(__xludf.DUMMYFUNCTION("""COMPUTED_VALUE"""),0.8666666666666666)</f>
        <v>0.8666666667</v>
      </c>
      <c r="H4" s="197">
        <f>IFERROR(__xludf.DUMMYFUNCTION("""COMPUTED_VALUE"""),43441.0)</f>
        <v>43441</v>
      </c>
      <c r="I4" s="199">
        <f>IFERROR(__xludf.DUMMYFUNCTION("""COMPUTED_VALUE"""),6.783333333333333)</f>
        <v>6.783333333</v>
      </c>
      <c r="J4" s="200">
        <f>IFERROR(__xludf.DUMMYFUNCTION("""COMPUTED_VALUE"""),93.5)</f>
        <v>93.5</v>
      </c>
      <c r="K4" s="200">
        <f>IFERROR(__xludf.DUMMYFUNCTION("""COMPUTED_VALUE"""),21.0)</f>
        <v>21</v>
      </c>
      <c r="L4" s="201" t="str">
        <f>IFERROR(__xludf.DUMMYFUNCTION("""COMPUTED_VALUE"""),"Action / RPG")</f>
        <v>Action / RPG</v>
      </c>
      <c r="M4" s="201" t="str">
        <f>IFERROR(__xludf.DUMMYFUNCTION("""COMPUTED_VALUE"""),"Optimized")</f>
        <v>Optimized</v>
      </c>
      <c r="N4" s="201" t="str">
        <f>IFERROR(__xludf.DUMMYFUNCTION("""COMPUTED_VALUE"""),"Game Pass Essential (10/1/25). Returning title: Joined 8/13/21, left 8/31/22")</f>
        <v>Game Pass Essential (10/1/25). Returning title: Joined 8/13/21, left 8/31/22</v>
      </c>
    </row>
    <row r="5">
      <c r="A5" s="190" t="str">
        <f>IFERROR(__xludf.DUMMYFUNCTION("""COMPUTED_VALUE"""),"PAW Patrol World")</f>
        <v>PAW Patrol World</v>
      </c>
      <c r="B5" s="195" t="str">
        <f>IFERROR(__xludf.DUMMYFUNCTION("""COMPUTED_VALUE"""),"Xbox / PC")</f>
        <v>Xbox / PC</v>
      </c>
      <c r="C5" s="196" t="str">
        <f>IFERROR(__xludf.DUMMYFUNCTION("""COMPUTED_VALUE"""),"Yes")</f>
        <v>Yes</v>
      </c>
      <c r="D5" s="196" t="str">
        <f>IFERROR(__xludf.DUMMYFUNCTION("""COMPUTED_VALUE"""),"Active")</f>
        <v>Active</v>
      </c>
      <c r="E5" s="197">
        <f>IFERROR(__xludf.DUMMYFUNCTION("""COMPUTED_VALUE"""),45910.0)</f>
        <v>45910</v>
      </c>
      <c r="F5" s="198"/>
      <c r="G5" s="199">
        <f>IFERROR(__xludf.DUMMYFUNCTION("""COMPUTED_VALUE"""),1.1666666666666667)</f>
        <v>1.166666667</v>
      </c>
      <c r="H5" s="197">
        <f>IFERROR(__xludf.DUMMYFUNCTION("""COMPUTED_VALUE"""),45198.0)</f>
        <v>45198</v>
      </c>
      <c r="I5" s="199">
        <f>IFERROR(__xludf.DUMMYFUNCTION("""COMPUTED_VALUE"""),1.9472222222222222)</f>
        <v>1.947222222</v>
      </c>
      <c r="J5" s="200">
        <f>IFERROR(__xludf.DUMMYFUNCTION("""COMPUTED_VALUE"""),79.0)</f>
        <v>79</v>
      </c>
      <c r="K5" s="200">
        <f>IFERROR(__xludf.DUMMYFUNCTION("""COMPUTED_VALUE"""),7.0)</f>
        <v>7</v>
      </c>
      <c r="L5" s="201" t="str">
        <f>IFERROR(__xludf.DUMMYFUNCTION("""COMPUTED_VALUE"""),"Action-Adventure")</f>
        <v>Action-Adventure</v>
      </c>
      <c r="M5" s="201"/>
      <c r="N5" s="201" t="str">
        <f>IFERROR(__xludf.DUMMYFUNCTION("""COMPUTED_VALUE"""),"Returning title: Joined 3/7/24, left 2/28/25")</f>
        <v>Returning title: Joined 3/7/24, left 2/28/25</v>
      </c>
    </row>
    <row r="6">
      <c r="A6" s="190" t="str">
        <f>IFERROR(__xludf.DUMMYFUNCTION("""COMPUTED_VALUE"""),"Persona 4: Golden")</f>
        <v>Persona 4: Golden</v>
      </c>
      <c r="B6" s="195" t="str">
        <f>IFERROR(__xludf.DUMMYFUNCTION("""COMPUTED_VALUE"""),"Xbox / PC")</f>
        <v>Xbox / PC</v>
      </c>
      <c r="C6" s="196" t="str">
        <f>IFERROR(__xludf.DUMMYFUNCTION("""COMPUTED_VALUE"""),"Yes")</f>
        <v>Yes</v>
      </c>
      <c r="D6" s="196" t="str">
        <f>IFERROR(__xludf.DUMMYFUNCTION("""COMPUTED_VALUE"""),"Active")</f>
        <v>Active</v>
      </c>
      <c r="E6" s="197">
        <f>IFERROR(__xludf.DUMMYFUNCTION("""COMPUTED_VALUE"""),45889.0)</f>
        <v>45889</v>
      </c>
      <c r="F6" s="198"/>
      <c r="G6" s="199">
        <f>IFERROR(__xludf.DUMMYFUNCTION("""COMPUTED_VALUE"""),1.8333333333333335)</f>
        <v>1.833333333</v>
      </c>
      <c r="H6" s="197">
        <f>IFERROR(__xludf.DUMMYFUNCTION("""COMPUTED_VALUE"""),41074.0)</f>
        <v>41074</v>
      </c>
      <c r="I6" s="199">
        <f>IFERROR(__xludf.DUMMYFUNCTION("""COMPUTED_VALUE"""),13.183333333333334)</f>
        <v>13.18333333</v>
      </c>
      <c r="J6" s="200">
        <f>IFERROR(__xludf.DUMMYFUNCTION("""COMPUTED_VALUE"""),90.0)</f>
        <v>90</v>
      </c>
      <c r="K6" s="200">
        <f>IFERROR(__xludf.DUMMYFUNCTION("""COMPUTED_VALUE"""),68.5)</f>
        <v>68.5</v>
      </c>
      <c r="L6" s="201" t="str">
        <f>IFERROR(__xludf.DUMMYFUNCTION("""COMPUTED_VALUE"""),"RPG")</f>
        <v>RPG</v>
      </c>
      <c r="M6" s="201"/>
      <c r="N6" s="201" t="str">
        <f>IFERROR(__xludf.DUMMYFUNCTION("""COMPUTED_VALUE"""),"Returning title: Joined 1/19/23, left 1/15/24")</f>
        <v>Returning title: Joined 1/19/23, left 1/15/24</v>
      </c>
    </row>
    <row r="7">
      <c r="A7" s="190" t="str">
        <f>IFERROR(__xludf.DUMMYFUNCTION("""COMPUTED_VALUE"""),"High on Life")</f>
        <v>High on Life</v>
      </c>
      <c r="B7" s="195" t="str">
        <f>IFERROR(__xludf.DUMMYFUNCTION("""COMPUTED_VALUE"""),"Xbox / PC")</f>
        <v>Xbox / PC</v>
      </c>
      <c r="C7" s="196" t="str">
        <f>IFERROR(__xludf.DUMMYFUNCTION("""COMPUTED_VALUE"""),"M+KB")</f>
        <v>M+KB</v>
      </c>
      <c r="D7" s="196" t="str">
        <f>IFERROR(__xludf.DUMMYFUNCTION("""COMPUTED_VALUE"""),"Active")</f>
        <v>Active</v>
      </c>
      <c r="E7" s="197">
        <f>IFERROR(__xludf.DUMMYFUNCTION("""COMPUTED_VALUE"""),45853.0)</f>
        <v>45853</v>
      </c>
      <c r="F7" s="198"/>
      <c r="G7" s="199">
        <f>IFERROR(__xludf.DUMMYFUNCTION("""COMPUTED_VALUE"""),3.0)</f>
        <v>3</v>
      </c>
      <c r="H7" s="197">
        <f>IFERROR(__xludf.DUMMYFUNCTION("""COMPUTED_VALUE"""),44908.0)</f>
        <v>44908</v>
      </c>
      <c r="I7" s="199">
        <f>IFERROR(__xludf.DUMMYFUNCTION("""COMPUTED_VALUE"""),2.588888888888889)</f>
        <v>2.588888889</v>
      </c>
      <c r="J7" s="200">
        <f>IFERROR(__xludf.DUMMYFUNCTION("""COMPUTED_VALUE"""),67.0)</f>
        <v>67</v>
      </c>
      <c r="K7" s="200">
        <f>IFERROR(__xludf.DUMMYFUNCTION("""COMPUTED_VALUE"""),9.0)</f>
        <v>9</v>
      </c>
      <c r="L7" s="201" t="str">
        <f>IFERROR(__xludf.DUMMYFUNCTION("""COMPUTED_VALUE"""),"First-Person Shooter")</f>
        <v>First-Person Shooter</v>
      </c>
      <c r="M7" s="201"/>
      <c r="N7" s="201" t="str">
        <f>IFERROR(__xludf.DUMMYFUNCTION("""COMPUTED_VALUE"""),"Returning title: Joined 12/12/22, left 6/15/24")</f>
        <v>Returning title: Joined 12/12/22, left 6/15/24</v>
      </c>
    </row>
    <row r="8">
      <c r="A8" s="190" t="str">
        <f>IFERROR(__xludf.DUMMYFUNCTION("""COMPUTED_VALUE"""),"The Ascent")</f>
        <v>The Ascent</v>
      </c>
      <c r="B8" s="195" t="str">
        <f>IFERROR(__xludf.DUMMYFUNCTION("""COMPUTED_VALUE"""),"Xbox / PC")</f>
        <v>Xbox / PC</v>
      </c>
      <c r="C8" s="196" t="str">
        <f>IFERROR(__xludf.DUMMYFUNCTION("""COMPUTED_VALUE"""),"Touch Controls")</f>
        <v>Touch Controls</v>
      </c>
      <c r="D8" s="196" t="str">
        <f>IFERROR(__xludf.DUMMYFUNCTION("""COMPUTED_VALUE"""),"Active")</f>
        <v>Active</v>
      </c>
      <c r="E8" s="197">
        <f>IFERROR(__xludf.DUMMYFUNCTION("""COMPUTED_VALUE"""),45846.0)</f>
        <v>45846</v>
      </c>
      <c r="F8" s="198"/>
      <c r="G8" s="199">
        <f>IFERROR(__xludf.DUMMYFUNCTION("""COMPUTED_VALUE"""),3.2333333333333334)</f>
        <v>3.233333333</v>
      </c>
      <c r="H8" s="197">
        <f>IFERROR(__xludf.DUMMYFUNCTION("""COMPUTED_VALUE"""),44406.0)</f>
        <v>44406</v>
      </c>
      <c r="I8" s="199">
        <f>IFERROR(__xludf.DUMMYFUNCTION("""COMPUTED_VALUE"""),3.941666666666667)</f>
        <v>3.941666667</v>
      </c>
      <c r="J8" s="200">
        <f>IFERROR(__xludf.DUMMYFUNCTION("""COMPUTED_VALUE"""),69.5)</f>
        <v>69.5</v>
      </c>
      <c r="K8" s="200">
        <f>IFERROR(__xludf.DUMMYFUNCTION("""COMPUTED_VALUE"""),9.0)</f>
        <v>9</v>
      </c>
      <c r="L8" s="201" t="str">
        <f>IFERROR(__xludf.DUMMYFUNCTION("""COMPUTED_VALUE"""),"Action / RPG")</f>
        <v>Action / RPG</v>
      </c>
      <c r="M8" s="201" t="str">
        <f>IFERROR(__xludf.DUMMYFUNCTION("""COMPUTED_VALUE"""),"Optimized")</f>
        <v>Optimized</v>
      </c>
      <c r="N8" s="201" t="str">
        <f>IFERROR(__xludf.DUMMYFUNCTION("""COMPUTED_VALUE"""),"Returning title: Joined 7/29/21, left 7/31/23")</f>
        <v>Returning title: Joined 7/29/21, left 7/31/23</v>
      </c>
    </row>
    <row r="9">
      <c r="A9" s="190" t="str">
        <f>IFERROR(__xludf.DUMMYFUNCTION("""COMPUTED_VALUE"""),"Rise of the Tomb Raider")</f>
        <v>Rise of the Tomb Raider</v>
      </c>
      <c r="B9" s="195" t="str">
        <f>IFERROR(__xludf.DUMMYFUNCTION("""COMPUTED_VALUE"""),"Xbox / PC")</f>
        <v>Xbox / PC</v>
      </c>
      <c r="C9" s="196" t="str">
        <f>IFERROR(__xludf.DUMMYFUNCTION("""COMPUTED_VALUE"""),"Yes")</f>
        <v>Yes</v>
      </c>
      <c r="D9" s="196" t="str">
        <f>IFERROR(__xludf.DUMMYFUNCTION("""COMPUTED_VALUE"""),"Active")</f>
        <v>Active</v>
      </c>
      <c r="E9" s="197">
        <f>IFERROR(__xludf.DUMMYFUNCTION("""COMPUTED_VALUE"""),45839.0)</f>
        <v>45839</v>
      </c>
      <c r="F9" s="198"/>
      <c r="G9" s="199">
        <f>IFERROR(__xludf.DUMMYFUNCTION("""COMPUTED_VALUE"""),3.4666666666666663)</f>
        <v>3.466666667</v>
      </c>
      <c r="H9" s="197">
        <f>IFERROR(__xludf.DUMMYFUNCTION("""COMPUTED_VALUE"""),42318.0)</f>
        <v>42318</v>
      </c>
      <c r="I9" s="199">
        <f>IFERROR(__xludf.DUMMYFUNCTION("""COMPUTED_VALUE"""),9.641666666666667)</f>
        <v>9.641666667</v>
      </c>
      <c r="J9" s="200">
        <f>IFERROR(__xludf.DUMMYFUNCTION("""COMPUTED_VALUE"""),86.0)</f>
        <v>86</v>
      </c>
      <c r="K9" s="200">
        <f>IFERROR(__xludf.DUMMYFUNCTION("""COMPUTED_VALUE"""),13.5)</f>
        <v>13.5</v>
      </c>
      <c r="L9" s="201" t="str">
        <f>IFERROR(__xludf.DUMMYFUNCTION("""COMPUTED_VALUE"""),"Shooter / Action-Adventure")</f>
        <v>Shooter / Action-Adventure</v>
      </c>
      <c r="M9" s="201"/>
      <c r="N9" s="201" t="str">
        <f>IFERROR(__xludf.DUMMYFUNCTION("""COMPUTED_VALUE"""),"Returning title: Joined 12/5/23, left 12/15/24. Joined 3/1/18, left 5/15/20")</f>
        <v>Returning title: Joined 12/5/23, left 12/15/24. Joined 3/1/18, left 5/15/20</v>
      </c>
    </row>
    <row r="10">
      <c r="A10" s="190" t="str">
        <f>IFERROR(__xludf.DUMMYFUNCTION("""COMPUTED_VALUE"""),"Warhammer: Vermintide 2")</f>
        <v>Warhammer: Vermintide 2</v>
      </c>
      <c r="B10" s="195" t="str">
        <f>IFERROR(__xludf.DUMMYFUNCTION("""COMPUTED_VALUE"""),"Xbox")</f>
        <v>Xbox</v>
      </c>
      <c r="C10" s="196" t="str">
        <f>IFERROR(__xludf.DUMMYFUNCTION("""COMPUTED_VALUE"""),"Yes")</f>
        <v>Yes</v>
      </c>
      <c r="D10" s="196" t="str">
        <f>IFERROR(__xludf.DUMMYFUNCTION("""COMPUTED_VALUE"""),"Active")</f>
        <v>Active</v>
      </c>
      <c r="E10" s="197">
        <f>IFERROR(__xludf.DUMMYFUNCTION("""COMPUTED_VALUE"""),45790.0)</f>
        <v>45790</v>
      </c>
      <c r="F10" s="198"/>
      <c r="G10" s="199">
        <f>IFERROR(__xludf.DUMMYFUNCTION("""COMPUTED_VALUE"""),5.066666666666666)</f>
        <v>5.066666667</v>
      </c>
      <c r="H10" s="197">
        <f>IFERROR(__xludf.DUMMYFUNCTION("""COMPUTED_VALUE"""),43167.0)</f>
        <v>43167</v>
      </c>
      <c r="I10" s="199">
        <f>IFERROR(__xludf.DUMMYFUNCTION("""COMPUTED_VALUE"""),7.180555555555555)</f>
        <v>7.180555556</v>
      </c>
      <c r="J10" s="200">
        <f>IFERROR(__xludf.DUMMYFUNCTION("""COMPUTED_VALUE"""),83.0)</f>
        <v>83</v>
      </c>
      <c r="K10" s="200">
        <f>IFERROR(__xludf.DUMMYFUNCTION("""COMPUTED_VALUE"""),20.0)</f>
        <v>20</v>
      </c>
      <c r="L10" s="201" t="str">
        <f>IFERROR(__xludf.DUMMYFUNCTION("""COMPUTED_VALUE"""),"Action / First-Person Shooter")</f>
        <v>Action / First-Person Shooter</v>
      </c>
      <c r="M10" s="201" t="str">
        <f>IFERROR(__xludf.DUMMYFUNCTION("""COMPUTED_VALUE"""),"Optimized")</f>
        <v>Optimized</v>
      </c>
      <c r="N10" s="201" t="str">
        <f>IFERROR(__xludf.DUMMYFUNCTION("""COMPUTED_VALUE"""),"Returning title: joined 9/24/20, left 9/30/21. Left 7/1/19")</f>
        <v>Returning title: joined 9/24/20, left 9/30/21. Left 7/1/19</v>
      </c>
    </row>
    <row r="11">
      <c r="A11" s="190" t="str">
        <f>IFERROR(__xludf.DUMMYFUNCTION("""COMPUTED_VALUE"""),"Grand Theft Auto V")</f>
        <v>Grand Theft Auto V</v>
      </c>
      <c r="B11" s="195" t="str">
        <f>IFERROR(__xludf.DUMMYFUNCTION("""COMPUTED_VALUE"""),"Xbox / PC")</f>
        <v>Xbox / PC</v>
      </c>
      <c r="C11" s="196" t="str">
        <f>IFERROR(__xludf.DUMMYFUNCTION("""COMPUTED_VALUE"""),"Yes")</f>
        <v>Yes</v>
      </c>
      <c r="D11" s="196" t="str">
        <f>IFERROR(__xludf.DUMMYFUNCTION("""COMPUTED_VALUE"""),"Active")</f>
        <v>Active</v>
      </c>
      <c r="E11" s="197">
        <f>IFERROR(__xludf.DUMMYFUNCTION("""COMPUTED_VALUE"""),45762.0)</f>
        <v>45762</v>
      </c>
      <c r="F11" s="198"/>
      <c r="G11" s="199">
        <f>IFERROR(__xludf.DUMMYFUNCTION("""COMPUTED_VALUE"""),6.0)</f>
        <v>6</v>
      </c>
      <c r="H11" s="197">
        <f>IFERROR(__xludf.DUMMYFUNCTION("""COMPUTED_VALUE"""),41534.0)</f>
        <v>41534</v>
      </c>
      <c r="I11" s="199">
        <f>IFERROR(__xludf.DUMMYFUNCTION("""COMPUTED_VALUE"""),11.577777777777778)</f>
        <v>11.57777778</v>
      </c>
      <c r="J11" s="200">
        <f>IFERROR(__xludf.DUMMYFUNCTION("""COMPUTED_VALUE"""),97.0)</f>
        <v>97</v>
      </c>
      <c r="K11" s="200">
        <f>IFERROR(__xludf.DUMMYFUNCTION("""COMPUTED_VALUE"""),31.5)</f>
        <v>31.5</v>
      </c>
      <c r="L11" s="201" t="str">
        <f>IFERROR(__xludf.DUMMYFUNCTION("""COMPUTED_VALUE"""),"Driving/Racing / Action-Adventure")</f>
        <v>Driving/Racing / Action-Adventure</v>
      </c>
      <c r="M11" s="201"/>
      <c r="N11" s="201" t="str">
        <f>IFERROR(__xludf.DUMMYFUNCTION("""COMPUTED_VALUE"""),"Returning title: returned 7/5/23, removed 1/5/24, returned 4/8/21, removed 8/8/21, joined 1/30/20, Removed 5/30/20,")</f>
        <v>Returning title: returned 7/5/23, removed 1/5/24, returned 4/8/21, removed 8/8/21, joined 1/30/20, Removed 5/30/20,</v>
      </c>
    </row>
    <row r="12">
      <c r="A12" s="190" t="str">
        <f>IFERROR(__xludf.DUMMYFUNCTION("""COMPUTED_VALUE"""),"Enter the Gungeon")</f>
        <v>Enter the Gungeon</v>
      </c>
      <c r="B12" s="195" t="str">
        <f>IFERROR(__xludf.DUMMYFUNCTION("""COMPUTED_VALUE"""),"Xbox / PC")</f>
        <v>Xbox / PC</v>
      </c>
      <c r="C12" s="196" t="str">
        <f>IFERROR(__xludf.DUMMYFUNCTION("""COMPUTED_VALUE"""),"Touch Controls")</f>
        <v>Touch Controls</v>
      </c>
      <c r="D12" s="196" t="str">
        <f>IFERROR(__xludf.DUMMYFUNCTION("""COMPUTED_VALUE"""),"Active")</f>
        <v>Active</v>
      </c>
      <c r="E12" s="197">
        <f>IFERROR(__xludf.DUMMYFUNCTION("""COMPUTED_VALUE"""),45727.0)</f>
        <v>45727</v>
      </c>
      <c r="F12" s="198"/>
      <c r="G12" s="199">
        <f>IFERROR(__xludf.DUMMYFUNCTION("""COMPUTED_VALUE"""),7.133333333333333)</f>
        <v>7.133333333</v>
      </c>
      <c r="H12" s="197">
        <f>IFERROR(__xludf.DUMMYFUNCTION("""COMPUTED_VALUE"""),42465.0)</f>
        <v>42465</v>
      </c>
      <c r="I12" s="199">
        <f>IFERROR(__xludf.DUMMYFUNCTION("""COMPUTED_VALUE"""),8.933333333333334)</f>
        <v>8.933333333</v>
      </c>
      <c r="J12" s="200">
        <f>IFERROR(__xludf.DUMMYFUNCTION("""COMPUTED_VALUE"""),85.0)</f>
        <v>85</v>
      </c>
      <c r="K12" s="200">
        <f>IFERROR(__xludf.DUMMYFUNCTION("""COMPUTED_VALUE"""),18.5)</f>
        <v>18.5</v>
      </c>
      <c r="L12" s="201" t="str">
        <f>IFERROR(__xludf.DUMMYFUNCTION("""COMPUTED_VALUE"""),"Action-Adventure")</f>
        <v>Action-Adventure</v>
      </c>
      <c r="M12" s="201"/>
      <c r="N12" s="201" t="str">
        <f>IFERROR(__xludf.DUMMYFUNCTION("""COMPUTED_VALUE"""),"Returning title: Originally joined 9/12/19, left 5/15/22")</f>
        <v>Returning title: Originally joined 9/12/19, left 5/15/22</v>
      </c>
    </row>
    <row r="13">
      <c r="A13" s="190" t="str">
        <f>IFERROR(__xludf.DUMMYFUNCTION("""COMPUTED_VALUE"""),"Monster Train")</f>
        <v>Monster Train</v>
      </c>
      <c r="B13" s="195" t="str">
        <f>IFERROR(__xludf.DUMMYFUNCTION("""COMPUTED_VALUE"""),"Xbox / PC")</f>
        <v>Xbox / PC</v>
      </c>
      <c r="C13" s="196" t="str">
        <f>IFERROR(__xludf.DUMMYFUNCTION("""COMPUTED_VALUE"""),"Touch Controls")</f>
        <v>Touch Controls</v>
      </c>
      <c r="D13" s="196" t="str">
        <f>IFERROR(__xludf.DUMMYFUNCTION("""COMPUTED_VALUE"""),"Active")</f>
        <v>Active</v>
      </c>
      <c r="E13" s="197">
        <f>IFERROR(__xludf.DUMMYFUNCTION("""COMPUTED_VALUE"""),45720.0)</f>
        <v>45720</v>
      </c>
      <c r="F13" s="198"/>
      <c r="G13" s="199">
        <f>IFERROR(__xludf.DUMMYFUNCTION("""COMPUTED_VALUE"""),7.366666666666667)</f>
        <v>7.366666667</v>
      </c>
      <c r="H13" s="197">
        <f>IFERROR(__xludf.DUMMYFUNCTION("""COMPUTED_VALUE"""),43972.0)</f>
        <v>43972</v>
      </c>
      <c r="I13" s="199">
        <f>IFERROR(__xludf.DUMMYFUNCTION("""COMPUTED_VALUE"""),4.786111111111111)</f>
        <v>4.786111111</v>
      </c>
      <c r="J13" s="200">
        <f>IFERROR(__xludf.DUMMYFUNCTION("""COMPUTED_VALUE"""),85.0)</f>
        <v>85</v>
      </c>
      <c r="K13" s="200">
        <f>IFERROR(__xludf.DUMMYFUNCTION("""COMPUTED_VALUE"""),1.5)</f>
        <v>1.5</v>
      </c>
      <c r="L13" s="201" t="str">
        <f>IFERROR(__xludf.DUMMYFUNCTION("""COMPUTED_VALUE"""),"Strategy")</f>
        <v>Strategy</v>
      </c>
      <c r="M13" s="201"/>
      <c r="N13" s="201" t="str">
        <f>IFERROR(__xludf.DUMMYFUNCTION("""COMPUTED_VALUE"""),"Returning title: Originally joined 12/7/20, left 12/31/23")</f>
        <v>Returning title: Originally joined 12/7/20, left 12/31/23</v>
      </c>
    </row>
    <row r="14">
      <c r="A14" s="190" t="str">
        <f>IFERROR(__xludf.DUMMYFUNCTION("""COMPUTED_VALUE"""),"Kingdom: Two Crowns")</f>
        <v>Kingdom: Two Crowns</v>
      </c>
      <c r="B14" s="195" t="str">
        <f>IFERROR(__xludf.DUMMYFUNCTION("""COMPUTED_VALUE"""),"Xbox / PC")</f>
        <v>Xbox / PC</v>
      </c>
      <c r="C14" s="196" t="str">
        <f>IFERROR(__xludf.DUMMYFUNCTION("""COMPUTED_VALUE"""),"Yes")</f>
        <v>Yes</v>
      </c>
      <c r="D14" s="196" t="str">
        <f>IFERROR(__xludf.DUMMYFUNCTION("""COMPUTED_VALUE"""),"Active")</f>
        <v>Active</v>
      </c>
      <c r="E14" s="197">
        <f>IFERROR(__xludf.DUMMYFUNCTION("""COMPUTED_VALUE"""),45701.0)</f>
        <v>45701</v>
      </c>
      <c r="F14" s="198"/>
      <c r="G14" s="199">
        <f>IFERROR(__xludf.DUMMYFUNCTION("""COMPUTED_VALUE"""),8.066666666666666)</f>
        <v>8.066666667</v>
      </c>
      <c r="H14" s="197">
        <f>IFERROR(__xludf.DUMMYFUNCTION("""COMPUTED_VALUE"""),43445.0)</f>
        <v>43445</v>
      </c>
      <c r="I14" s="199">
        <f>IFERROR(__xludf.DUMMYFUNCTION("""COMPUTED_VALUE"""),6.1722222222222225)</f>
        <v>6.172222222</v>
      </c>
      <c r="J14" s="200">
        <f>IFERROR(__xludf.DUMMYFUNCTION("""COMPUTED_VALUE"""),84.0)</f>
        <v>84</v>
      </c>
      <c r="K14" s="200">
        <f>IFERROR(__xludf.DUMMYFUNCTION("""COMPUTED_VALUE"""),28.5)</f>
        <v>28.5</v>
      </c>
      <c r="L14" s="201" t="str">
        <f>IFERROR(__xludf.DUMMYFUNCTION("""COMPUTED_VALUE"""),"Strategy")</f>
        <v>Strategy</v>
      </c>
      <c r="M14" s="201"/>
      <c r="N14" s="201" t="str">
        <f>IFERROR(__xludf.DUMMYFUNCTION("""COMPUTED_VALUE"""),"Returning title: Originally joined 12/11/18, left 11/15/19 (console only). Joins PC 6/11/25")</f>
        <v>Returning title: Originally joined 12/11/18, left 11/15/19 (console only). Joins PC 6/11/25</v>
      </c>
    </row>
    <row r="15">
      <c r="A15" s="190" t="str">
        <f>IFERROR(__xludf.DUMMYFUNCTION("""COMPUTED_VALUE"""),"Road 96")</f>
        <v>Road 96</v>
      </c>
      <c r="B15" s="195" t="str">
        <f>IFERROR(__xludf.DUMMYFUNCTION("""COMPUTED_VALUE"""),"Xbox / PC")</f>
        <v>Xbox / PC</v>
      </c>
      <c r="C15" s="196" t="str">
        <f>IFERROR(__xludf.DUMMYFUNCTION("""COMPUTED_VALUE"""),"Touch Controls")</f>
        <v>Touch Controls</v>
      </c>
      <c r="D15" s="196" t="str">
        <f>IFERROR(__xludf.DUMMYFUNCTION("""COMPUTED_VALUE"""),"Active")</f>
        <v>Active</v>
      </c>
      <c r="E15" s="197">
        <f>IFERROR(__xludf.DUMMYFUNCTION("""COMPUTED_VALUE"""),45664.0)</f>
        <v>45664</v>
      </c>
      <c r="F15" s="198"/>
      <c r="G15" s="199">
        <f>IFERROR(__xludf.DUMMYFUNCTION("""COMPUTED_VALUE"""),9.266666666666667)</f>
        <v>9.266666667</v>
      </c>
      <c r="H15" s="197">
        <f>IFERROR(__xludf.DUMMYFUNCTION("""COMPUTED_VALUE"""),44424.0)</f>
        <v>44424</v>
      </c>
      <c r="I15" s="199">
        <f>IFERROR(__xludf.DUMMYFUNCTION("""COMPUTED_VALUE"""),3.3916666666666666)</f>
        <v>3.391666667</v>
      </c>
      <c r="J15" s="200">
        <f>IFERROR(__xludf.DUMMYFUNCTION("""COMPUTED_VALUE"""),79.0)</f>
        <v>79</v>
      </c>
      <c r="K15" s="200">
        <f>IFERROR(__xludf.DUMMYFUNCTION("""COMPUTED_VALUE"""),7.5)</f>
        <v>7.5</v>
      </c>
      <c r="L15" s="201" t="str">
        <f>IFERROR(__xludf.DUMMYFUNCTION("""COMPUTED_VALUE"""),"Adventure")</f>
        <v>Adventure</v>
      </c>
      <c r="M15" s="201"/>
      <c r="N15" s="201" t="str">
        <f>IFERROR(__xludf.DUMMYFUNCTION("""COMPUTED_VALUE"""),"Returning title: Originally joined 7/7/22, left 6/30/23")</f>
        <v>Returning title: Originally joined 7/7/22, left 6/30/23</v>
      </c>
    </row>
    <row r="16">
      <c r="A16" s="190" t="str">
        <f>IFERROR(__xludf.DUMMYFUNCTION("""COMPUTED_VALUE"""),"Carrion")</f>
        <v>Carrion</v>
      </c>
      <c r="B16" s="195" t="str">
        <f>IFERROR(__xludf.DUMMYFUNCTION("""COMPUTED_VALUE"""),"Xbox / PC")</f>
        <v>Xbox / PC</v>
      </c>
      <c r="C16" s="196" t="str">
        <f>IFERROR(__xludf.DUMMYFUNCTION("""COMPUTED_VALUE"""),"Yes")</f>
        <v>Yes</v>
      </c>
      <c r="D16" s="196" t="str">
        <f>IFERROR(__xludf.DUMMYFUNCTION("""COMPUTED_VALUE"""),"Active")</f>
        <v>Active</v>
      </c>
      <c r="E16" s="197">
        <f>IFERROR(__xludf.DUMMYFUNCTION("""COMPUTED_VALUE"""),45659.0)</f>
        <v>45659</v>
      </c>
      <c r="F16" s="198"/>
      <c r="G16" s="199">
        <f>IFERROR(__xludf.DUMMYFUNCTION("""COMPUTED_VALUE"""),9.433333333333334)</f>
        <v>9.433333333</v>
      </c>
      <c r="H16" s="197">
        <f>IFERROR(__xludf.DUMMYFUNCTION("""COMPUTED_VALUE"""),44035.0)</f>
        <v>44035</v>
      </c>
      <c r="I16" s="199">
        <f>IFERROR(__xludf.DUMMYFUNCTION("""COMPUTED_VALUE"""),4.441666666666666)</f>
        <v>4.441666667</v>
      </c>
      <c r="J16" s="200">
        <f>IFERROR(__xludf.DUMMYFUNCTION("""COMPUTED_VALUE"""),76.0)</f>
        <v>76</v>
      </c>
      <c r="K16" s="200">
        <f>IFERROR(__xludf.DUMMYFUNCTION("""COMPUTED_VALUE"""),4.0)</f>
        <v>4</v>
      </c>
      <c r="L16" s="201" t="str">
        <f>IFERROR(__xludf.DUMMYFUNCTION("""COMPUTED_VALUE"""),"Action")</f>
        <v>Action</v>
      </c>
      <c r="M16" s="201"/>
      <c r="N16" s="201" t="str">
        <f>IFERROR(__xludf.DUMMYFUNCTION("""COMPUTED_VALUE"""),"Returning title: Originally joined 7/23/20, left 7/15/22")</f>
        <v>Returning title: Originally joined 7/23/20, left 7/15/22</v>
      </c>
    </row>
    <row r="17">
      <c r="A17" s="190" t="str">
        <f>IFERROR(__xludf.DUMMYFUNCTION("""COMPUTED_VALUE"""),"Ashen")</f>
        <v>Ashen</v>
      </c>
      <c r="B17" s="195" t="str">
        <f>IFERROR(__xludf.DUMMYFUNCTION("""COMPUTED_VALUE"""),"Xbox / PC")</f>
        <v>Xbox / PC</v>
      </c>
      <c r="C17" s="196"/>
      <c r="D17" s="196" t="str">
        <f>IFERROR(__xludf.DUMMYFUNCTION("""COMPUTED_VALUE"""),"Active")</f>
        <v>Active</v>
      </c>
      <c r="E17" s="197">
        <f>IFERROR(__xludf.DUMMYFUNCTION("""COMPUTED_VALUE"""),45594.0)</f>
        <v>45594</v>
      </c>
      <c r="F17" s="198"/>
      <c r="G17" s="199">
        <f>IFERROR(__xludf.DUMMYFUNCTION("""COMPUTED_VALUE"""),11.533333333333333)</f>
        <v>11.53333333</v>
      </c>
      <c r="H17" s="197">
        <f>IFERROR(__xludf.DUMMYFUNCTION("""COMPUTED_VALUE"""),43441.0)</f>
        <v>43441</v>
      </c>
      <c r="I17" s="199">
        <f>IFERROR(__xludf.DUMMYFUNCTION("""COMPUTED_VALUE"""),5.894444444444445)</f>
        <v>5.894444444</v>
      </c>
      <c r="J17" s="200">
        <f>IFERROR(__xludf.DUMMYFUNCTION("""COMPUTED_VALUE"""),78.0)</f>
        <v>78</v>
      </c>
      <c r="K17" s="200">
        <f>IFERROR(__xludf.DUMMYFUNCTION("""COMPUTED_VALUE"""),15.5)</f>
        <v>15.5</v>
      </c>
      <c r="L17" s="201" t="str">
        <f>IFERROR(__xludf.DUMMYFUNCTION("""COMPUTED_VALUE"""),"Action / RPG / Action-Adventure")</f>
        <v>Action / RPG / Action-Adventure</v>
      </c>
      <c r="M17" s="201"/>
      <c r="N17" s="201" t="str">
        <f>IFERROR(__xludf.DUMMYFUNCTION("""COMPUTED_VALUE"""),"Returning title: Originally joined 12/31/18, left 12/1/19")</f>
        <v>Returning title: Originally joined 12/31/18, left 12/1/19</v>
      </c>
    </row>
    <row r="18">
      <c r="A18" s="190" t="str">
        <f>IFERROR(__xludf.DUMMYFUNCTION("""COMPUTED_VALUE"""),"Donut County")</f>
        <v>Donut County</v>
      </c>
      <c r="B18" s="195" t="str">
        <f>IFERROR(__xludf.DUMMYFUNCTION("""COMPUTED_VALUE"""),"Xbox / PC")</f>
        <v>Xbox / PC</v>
      </c>
      <c r="C18" s="196" t="str">
        <f>IFERROR(__xludf.DUMMYFUNCTION("""COMPUTED_VALUE"""),"Touch Controls")</f>
        <v>Touch Controls</v>
      </c>
      <c r="D18" s="196" t="str">
        <f>IFERROR(__xludf.DUMMYFUNCTION("""COMPUTED_VALUE"""),"Active")</f>
        <v>Active</v>
      </c>
      <c r="E18" s="197">
        <f>IFERROR(__xludf.DUMMYFUNCTION("""COMPUTED_VALUE"""),45582.0)</f>
        <v>45582</v>
      </c>
      <c r="F18" s="198"/>
      <c r="G18" s="199">
        <f>IFERROR(__xludf.DUMMYFUNCTION("""COMPUTED_VALUE"""),11.933333333333334)</f>
        <v>11.93333333</v>
      </c>
      <c r="H18" s="197">
        <f>IFERROR(__xludf.DUMMYFUNCTION("""COMPUTED_VALUE"""),43340.0)</f>
        <v>43340</v>
      </c>
      <c r="I18" s="199">
        <f>IFERROR(__xludf.DUMMYFUNCTION("""COMPUTED_VALUE"""),6.136111111111111)</f>
        <v>6.136111111</v>
      </c>
      <c r="J18" s="200">
        <f>IFERROR(__xludf.DUMMYFUNCTION("""COMPUTED_VALUE"""),82.0)</f>
        <v>82</v>
      </c>
      <c r="K18" s="200">
        <f>IFERROR(__xludf.DUMMYFUNCTION("""COMPUTED_VALUE"""),2.0)</f>
        <v>2</v>
      </c>
      <c r="L18" s="201" t="str">
        <f>IFERROR(__xludf.DUMMYFUNCTION("""COMPUTED_VALUE"""),"Action")</f>
        <v>Action</v>
      </c>
      <c r="M18" s="201"/>
      <c r="N18" s="201" t="str">
        <f>IFERROR(__xludf.DUMMYFUNCTION("""COMPUTED_VALUE"""),"Returning title: Originally joined 1/21/21, left 1/31/23, Official PC Mod Support")</f>
        <v>Returning title: Originally joined 1/21/21, left 1/31/23, Official PC Mod Support</v>
      </c>
    </row>
    <row r="19">
      <c r="A19" s="190" t="str">
        <f>IFERROR(__xludf.DUMMYFUNCTION("""COMPUTED_VALUE"""),"Journey to the Savage Planet")</f>
        <v>Journey to the Savage Planet</v>
      </c>
      <c r="B19" s="195" t="str">
        <f>IFERROR(__xludf.DUMMYFUNCTION("""COMPUTED_VALUE"""),"Xbox / PC")</f>
        <v>Xbox / PC</v>
      </c>
      <c r="C19" s="196" t="str">
        <f>IFERROR(__xludf.DUMMYFUNCTION("""COMPUTED_VALUE"""),"Yes")</f>
        <v>Yes</v>
      </c>
      <c r="D19" s="196" t="str">
        <f>IFERROR(__xludf.DUMMYFUNCTION("""COMPUTED_VALUE"""),"Removed")</f>
        <v>Removed</v>
      </c>
      <c r="E19" s="197">
        <f>IFERROR(__xludf.DUMMYFUNCTION("""COMPUTED_VALUE"""),45476.0)</f>
        <v>45476</v>
      </c>
      <c r="F19" s="198">
        <f>IFERROR(__xludf.DUMMYFUNCTION("""COMPUTED_VALUE"""),45838.0)</f>
        <v>45838</v>
      </c>
      <c r="G19" s="199">
        <f>IFERROR(__xludf.DUMMYFUNCTION("""COMPUTED_VALUE"""),11.9)</f>
        <v>11.9</v>
      </c>
      <c r="H19" s="197">
        <f>IFERROR(__xludf.DUMMYFUNCTION("""COMPUTED_VALUE"""),43858.0)</f>
        <v>43858</v>
      </c>
      <c r="I19" s="199">
        <f>IFERROR(__xludf.DUMMYFUNCTION("""COMPUTED_VALUE"""),4.430555555555555)</f>
        <v>4.430555556</v>
      </c>
      <c r="J19" s="200">
        <f>IFERROR(__xludf.DUMMYFUNCTION("""COMPUTED_VALUE"""),76.0)</f>
        <v>76</v>
      </c>
      <c r="K19" s="200">
        <f>IFERROR(__xludf.DUMMYFUNCTION("""COMPUTED_VALUE"""),7.0)</f>
        <v>7</v>
      </c>
      <c r="L19" s="201" t="str">
        <f>IFERROR(__xludf.DUMMYFUNCTION("""COMPUTED_VALUE"""),"First-Person Shooter / Action-Adventure")</f>
        <v>First-Person Shooter / Action-Adventure</v>
      </c>
      <c r="M19" s="201"/>
      <c r="N19" s="201" t="str">
        <f>IFERROR(__xludf.DUMMYFUNCTION("""COMPUTED_VALUE"""),"Returning title: Added 4/9/20, left 3/31/21 (xbox and cloud)")</f>
        <v>Returning title: Added 4/9/20, left 3/31/21 (xbox and cloud)</v>
      </c>
    </row>
    <row r="20">
      <c r="A20" s="190" t="str">
        <f>IFERROR(__xludf.DUMMYFUNCTION("""COMPUTED_VALUE"""),"SteamWorld Dig 2")</f>
        <v>SteamWorld Dig 2</v>
      </c>
      <c r="B20" s="195" t="str">
        <f>IFERROR(__xludf.DUMMYFUNCTION("""COMPUTED_VALUE"""),"Xbox / PC")</f>
        <v>Xbox / PC</v>
      </c>
      <c r="C20" s="196"/>
      <c r="D20" s="196" t="str">
        <f>IFERROR(__xludf.DUMMYFUNCTION("""COMPUTED_VALUE"""),"Removed")</f>
        <v>Removed</v>
      </c>
      <c r="E20" s="197">
        <f>IFERROR(__xludf.DUMMYFUNCTION("""COMPUTED_VALUE"""),45469.0)</f>
        <v>45469</v>
      </c>
      <c r="F20" s="198">
        <f>IFERROR(__xludf.DUMMYFUNCTION("""COMPUTED_VALUE"""),45838.0)</f>
        <v>45838</v>
      </c>
      <c r="G20" s="199">
        <f>IFERROR(__xludf.DUMMYFUNCTION("""COMPUTED_VALUE"""),12.133333333333333)</f>
        <v>12.13333333</v>
      </c>
      <c r="H20" s="197">
        <f>IFERROR(__xludf.DUMMYFUNCTION("""COMPUTED_VALUE"""),42999.0)</f>
        <v>42999</v>
      </c>
      <c r="I20" s="199">
        <f>IFERROR(__xludf.DUMMYFUNCTION("""COMPUTED_VALUE"""),6.763888888888889)</f>
        <v>6.763888889</v>
      </c>
      <c r="J20" s="200">
        <f>IFERROR(__xludf.DUMMYFUNCTION("""COMPUTED_VALUE"""),88.0)</f>
        <v>88</v>
      </c>
      <c r="K20" s="200">
        <f>IFERROR(__xludf.DUMMYFUNCTION("""COMPUTED_VALUE"""),8.0)</f>
        <v>8</v>
      </c>
      <c r="L20" s="201" t="str">
        <f>IFERROR(__xludf.DUMMYFUNCTION("""COMPUTED_VALUE"""),"Metroidvania")</f>
        <v>Metroidvania</v>
      </c>
      <c r="M20" s="201"/>
      <c r="N20" s="201" t="str">
        <f>IFERROR(__xludf.DUMMYFUNCTION("""COMPUTED_VALUE"""),"Returning title: Originally joined 6/9/19, left 6/30/20")</f>
        <v>Returning title: Originally joined 6/9/19, left 6/30/20</v>
      </c>
    </row>
    <row r="21">
      <c r="A21" s="190" t="str">
        <f>IFERROR(__xludf.DUMMYFUNCTION("""COMPUTED_VALUE"""),"Octopath Traveler")</f>
        <v>Octopath Traveler</v>
      </c>
      <c r="B21" s="195" t="str">
        <f>IFERROR(__xludf.DUMMYFUNCTION("""COMPUTED_VALUE"""),"Xbox / PC")</f>
        <v>Xbox / PC</v>
      </c>
      <c r="C21" s="196" t="str">
        <f>IFERROR(__xludf.DUMMYFUNCTION("""COMPUTED_VALUE"""),"Touch Controls")</f>
        <v>Touch Controls</v>
      </c>
      <c r="D21" s="196" t="str">
        <f>IFERROR(__xludf.DUMMYFUNCTION("""COMPUTED_VALUE"""),"Active")</f>
        <v>Active</v>
      </c>
      <c r="E21" s="197">
        <f>IFERROR(__xludf.DUMMYFUNCTION("""COMPUTED_VALUE"""),45449.0)</f>
        <v>45449</v>
      </c>
      <c r="F21" s="198"/>
      <c r="G21" s="199">
        <f>IFERROR(__xludf.DUMMYFUNCTION("""COMPUTED_VALUE"""),16.3)</f>
        <v>16.3</v>
      </c>
      <c r="H21" s="197">
        <f>IFERROR(__xludf.DUMMYFUNCTION("""COMPUTED_VALUE"""),43293.0)</f>
        <v>43293</v>
      </c>
      <c r="I21" s="199">
        <f>IFERROR(__xludf.DUMMYFUNCTION("""COMPUTED_VALUE"""),5.9)</f>
        <v>5.9</v>
      </c>
      <c r="J21" s="200">
        <f>IFERROR(__xludf.DUMMYFUNCTION("""COMPUTED_VALUE"""),83.0)</f>
        <v>83</v>
      </c>
      <c r="K21" s="200">
        <f>IFERROR(__xludf.DUMMYFUNCTION("""COMPUTED_VALUE"""),61.0)</f>
        <v>61</v>
      </c>
      <c r="L21" s="201" t="str">
        <f>IFERROR(__xludf.DUMMYFUNCTION("""COMPUTED_VALUE"""),"RPG")</f>
        <v>RPG</v>
      </c>
      <c r="M21" s="201"/>
      <c r="N21" s="201" t="str">
        <f>IFERROR(__xludf.DUMMYFUNCTION("""COMPUTED_VALUE"""),"Returning title: Originally joined 3/25/21, left 2/28/23")</f>
        <v>Returning title: Originally joined 3/25/21, left 2/28/23</v>
      </c>
    </row>
    <row r="22">
      <c r="A22" s="190" t="str">
        <f>IFERROR(__xludf.DUMMYFUNCTION("""COMPUTED_VALUE"""),"Brothers: A Tale of Two Sons")</f>
        <v>Brothers: A Tale of Two Sons</v>
      </c>
      <c r="B22" s="195" t="str">
        <f>IFERROR(__xludf.DUMMYFUNCTION("""COMPUTED_VALUE"""),"Xbox / PC")</f>
        <v>Xbox / PC</v>
      </c>
      <c r="C22" s="196" t="str">
        <f>IFERROR(__xludf.DUMMYFUNCTION("""COMPUTED_VALUE"""),"Yes")</f>
        <v>Yes</v>
      </c>
      <c r="D22" s="196" t="str">
        <f>IFERROR(__xludf.DUMMYFUNCTION("""COMPUTED_VALUE"""),"Removed")</f>
        <v>Removed</v>
      </c>
      <c r="E22" s="197">
        <f>IFERROR(__xludf.DUMMYFUNCTION("""COMPUTED_VALUE"""),45426.0)</f>
        <v>45426</v>
      </c>
      <c r="F22" s="198">
        <f>IFERROR(__xludf.DUMMYFUNCTION("""COMPUTED_VALUE"""),45792.0)</f>
        <v>45792</v>
      </c>
      <c r="G22" s="199">
        <f>IFERROR(__xludf.DUMMYFUNCTION("""COMPUTED_VALUE"""),12.033333333333333)</f>
        <v>12.03333333</v>
      </c>
      <c r="H22" s="197">
        <f>IFERROR(__xludf.DUMMYFUNCTION("""COMPUTED_VALUE"""),41493.0)</f>
        <v>41493</v>
      </c>
      <c r="I22" s="199">
        <f>IFERROR(__xludf.DUMMYFUNCTION("""COMPUTED_VALUE"""),10.769444444444444)</f>
        <v>10.76944444</v>
      </c>
      <c r="J22" s="200">
        <f>IFERROR(__xludf.DUMMYFUNCTION("""COMPUTED_VALUE"""),81.0)</f>
        <v>81</v>
      </c>
      <c r="K22" s="200">
        <f>IFERROR(__xludf.DUMMYFUNCTION("""COMPUTED_VALUE"""),3.0)</f>
        <v>3</v>
      </c>
      <c r="L22" s="201" t="str">
        <f>IFERROR(__xludf.DUMMYFUNCTION("""COMPUTED_VALUE"""),"Adventure / Puzzle")</f>
        <v>Adventure / Puzzle</v>
      </c>
      <c r="M22" s="201"/>
      <c r="N22" s="201" t="str">
        <f>IFERROR(__xludf.DUMMYFUNCTION("""COMPUTED_VALUE"""),"Returning title: Added 6/1/17, left 5/31/20")</f>
        <v>Returning title: Added 6/1/17, left 5/31/20</v>
      </c>
    </row>
    <row r="23">
      <c r="A23" s="190" t="str">
        <f>IFERROR(__xludf.DUMMYFUNCTION("""COMPUTED_VALUE"""),"Tomb Raider: Definitive Edition")</f>
        <v>Tomb Raider: Definitive Edition</v>
      </c>
      <c r="B23" s="195" t="str">
        <f>IFERROR(__xludf.DUMMYFUNCTION("""COMPUTED_VALUE"""),"Xbox / PC")</f>
        <v>Xbox / PC</v>
      </c>
      <c r="C23" s="196" t="str">
        <f>IFERROR(__xludf.DUMMYFUNCTION("""COMPUTED_VALUE"""),"Yes")</f>
        <v>Yes</v>
      </c>
      <c r="D23" s="196" t="str">
        <f>IFERROR(__xludf.DUMMYFUNCTION("""COMPUTED_VALUE"""),"Active")</f>
        <v>Active</v>
      </c>
      <c r="E23" s="197">
        <f>IFERROR(__xludf.DUMMYFUNCTION("""COMPUTED_VALUE"""),45414.0)</f>
        <v>45414</v>
      </c>
      <c r="F23" s="198"/>
      <c r="G23" s="199">
        <f>IFERROR(__xludf.DUMMYFUNCTION("""COMPUTED_VALUE"""),17.433333333333334)</f>
        <v>17.43333333</v>
      </c>
      <c r="H23" s="197">
        <f>IFERROR(__xludf.DUMMYFUNCTION("""COMPUTED_VALUE"""),41338.0)</f>
        <v>41338</v>
      </c>
      <c r="I23" s="199">
        <f>IFERROR(__xludf.DUMMYFUNCTION("""COMPUTED_VALUE"""),11.158333333333333)</f>
        <v>11.15833333</v>
      </c>
      <c r="J23" s="200">
        <f>IFERROR(__xludf.DUMMYFUNCTION("""COMPUTED_VALUE"""),86.0)</f>
        <v>86</v>
      </c>
      <c r="K23" s="200">
        <f>IFERROR(__xludf.DUMMYFUNCTION("""COMPUTED_VALUE"""),11.5)</f>
        <v>11.5</v>
      </c>
      <c r="L23" s="201" t="str">
        <f>IFERROR(__xludf.DUMMYFUNCTION("""COMPUTED_VALUE"""),"Shooter / Platformer / Action-Adventure")</f>
        <v>Shooter / Platformer / Action-Adventure</v>
      </c>
      <c r="M23" s="201" t="str">
        <f>IFERROR(__xludf.DUMMYFUNCTION("""COMPUTED_VALUE"""),"FPS Boost")</f>
        <v>FPS Boost</v>
      </c>
      <c r="N23" s="201" t="str">
        <f>IFERROR(__xludf.DUMMYFUNCTION("""COMPUTED_VALUE"""),"Returning title: Added 1/1/19, left 1/15/20 (console only)")</f>
        <v>Returning title: Added 1/1/19, left 1/15/20 (console only)</v>
      </c>
    </row>
    <row r="24">
      <c r="A24" s="190" t="str">
        <f>IFERROR(__xludf.DUMMYFUNCTION("""COMPUTED_VALUE"""),"Shadow of the Tomb Raider: Definitive Edition")</f>
        <v>Shadow of the Tomb Raider: Definitive Edition</v>
      </c>
      <c r="B24" s="195" t="str">
        <f>IFERROR(__xludf.DUMMYFUNCTION("""COMPUTED_VALUE"""),"Xbox / PC")</f>
        <v>Xbox / PC</v>
      </c>
      <c r="C24" s="196" t="str">
        <f>IFERROR(__xludf.DUMMYFUNCTION("""COMPUTED_VALUE"""),"Yes")</f>
        <v>Yes</v>
      </c>
      <c r="D24" s="196" t="str">
        <f>IFERROR(__xludf.DUMMYFUNCTION("""COMPUTED_VALUE"""),"Active")</f>
        <v>Active</v>
      </c>
      <c r="E24" s="197">
        <f>IFERROR(__xludf.DUMMYFUNCTION("""COMPUTED_VALUE"""),45393.0)</f>
        <v>45393</v>
      </c>
      <c r="F24" s="198"/>
      <c r="G24" s="199">
        <f>IFERROR(__xludf.DUMMYFUNCTION("""COMPUTED_VALUE"""),18.133333333333333)</f>
        <v>18.13333333</v>
      </c>
      <c r="H24" s="197">
        <f>IFERROR(__xludf.DUMMYFUNCTION("""COMPUTED_VALUE"""),43357.0)</f>
        <v>43357</v>
      </c>
      <c r="I24" s="199">
        <f>IFERROR(__xludf.DUMMYFUNCTION("""COMPUTED_VALUE"""),5.575)</f>
        <v>5.575</v>
      </c>
      <c r="J24" s="200">
        <f>IFERROR(__xludf.DUMMYFUNCTION("""COMPUTED_VALUE"""),82.0)</f>
        <v>82</v>
      </c>
      <c r="K24" s="200">
        <f>IFERROR(__xludf.DUMMYFUNCTION("""COMPUTED_VALUE"""),13.0)</f>
        <v>13</v>
      </c>
      <c r="L24" s="201" t="str">
        <f>IFERROR(__xludf.DUMMYFUNCTION("""COMPUTED_VALUE"""),"Action-Adventure")</f>
        <v>Action-Adventure</v>
      </c>
      <c r="M24" s="201"/>
      <c r="N24" s="201" t="str">
        <f>IFERROR(__xludf.DUMMYFUNCTION("""COMPUTED_VALUE"""),"Returning title: Added 2/1/19, left 2/15/20 (base game only)")</f>
        <v>Returning title: Added 2/1/19, left 2/15/20 (base game only)</v>
      </c>
    </row>
    <row r="25">
      <c r="A25" s="190" t="str">
        <f>IFERROR(__xludf.DUMMYFUNCTION("""COMPUTED_VALUE"""),"Kona")</f>
        <v>Kona</v>
      </c>
      <c r="B25" s="195" t="str">
        <f>IFERROR(__xludf.DUMMYFUNCTION("""COMPUTED_VALUE"""),"Xbox")</f>
        <v>Xbox</v>
      </c>
      <c r="C25" s="196" t="str">
        <f>IFERROR(__xludf.DUMMYFUNCTION("""COMPUTED_VALUE"""),"Yes")</f>
        <v>Yes</v>
      </c>
      <c r="D25" s="196" t="str">
        <f>IFERROR(__xludf.DUMMYFUNCTION("""COMPUTED_VALUE"""),"Removed")</f>
        <v>Removed</v>
      </c>
      <c r="E25" s="197">
        <f>IFERROR(__xludf.DUMMYFUNCTION("""COMPUTED_VALUE"""),45391.0)</f>
        <v>45391</v>
      </c>
      <c r="F25" s="198">
        <f>IFERROR(__xludf.DUMMYFUNCTION("""COMPUTED_VALUE"""),45762.0)</f>
        <v>45762</v>
      </c>
      <c r="G25" s="199">
        <f>IFERROR(__xludf.DUMMYFUNCTION("""COMPUTED_VALUE"""),12.2)</f>
        <v>12.2</v>
      </c>
      <c r="H25" s="197">
        <f>IFERROR(__xludf.DUMMYFUNCTION("""COMPUTED_VALUE"""),42439.0)</f>
        <v>42439</v>
      </c>
      <c r="I25" s="199">
        <f>IFERROR(__xludf.DUMMYFUNCTION("""COMPUTED_VALUE"""),8.080555555555556)</f>
        <v>8.080555556</v>
      </c>
      <c r="J25" s="200">
        <f>IFERROR(__xludf.DUMMYFUNCTION("""COMPUTED_VALUE"""),71.0)</f>
        <v>71</v>
      </c>
      <c r="K25" s="200">
        <f>IFERROR(__xludf.DUMMYFUNCTION("""COMPUTED_VALUE"""),5.5)</f>
        <v>5.5</v>
      </c>
      <c r="L25" s="201" t="str">
        <f>IFERROR(__xludf.DUMMYFUNCTION("""COMPUTED_VALUE"""),"Adventure")</f>
        <v>Adventure</v>
      </c>
      <c r="M25" s="201"/>
      <c r="N25" s="201" t="str">
        <f>IFERROR(__xludf.DUMMYFUNCTION("""COMPUTED_VALUE"""),"Returning title: Added 3/19/20, left 3/15/21")</f>
        <v>Returning title: Added 3/19/20, left 3/15/21</v>
      </c>
    </row>
    <row r="26">
      <c r="A26" s="190" t="str">
        <f>IFERROR(__xludf.DUMMYFUNCTION("""COMPUTED_VALUE"""),"Superhot: Mind Control Delete")</f>
        <v>Superhot: Mind Control Delete</v>
      </c>
      <c r="B26" s="195" t="str">
        <f>IFERROR(__xludf.DUMMYFUNCTION("""COMPUTED_VALUE"""),"Xbox / PC")</f>
        <v>Xbox / PC</v>
      </c>
      <c r="C26" s="196" t="str">
        <f>IFERROR(__xludf.DUMMYFUNCTION("""COMPUTED_VALUE"""),"Yes")</f>
        <v>Yes</v>
      </c>
      <c r="D26" s="196" t="str">
        <f>IFERROR(__xludf.DUMMYFUNCTION("""COMPUTED_VALUE"""),"Active")</f>
        <v>Active</v>
      </c>
      <c r="E26" s="197">
        <f>IFERROR(__xludf.DUMMYFUNCTION("""COMPUTED_VALUE"""),45384.0)</f>
        <v>45384</v>
      </c>
      <c r="F26" s="198"/>
      <c r="G26" s="199">
        <f>IFERROR(__xludf.DUMMYFUNCTION("""COMPUTED_VALUE"""),18.433333333333334)</f>
        <v>18.43333333</v>
      </c>
      <c r="H26" s="197">
        <f>IFERROR(__xludf.DUMMYFUNCTION("""COMPUTED_VALUE"""),44028.0)</f>
        <v>44028</v>
      </c>
      <c r="I26" s="199">
        <f>IFERROR(__xludf.DUMMYFUNCTION("""COMPUTED_VALUE"""),3.7111111111111112)</f>
        <v>3.711111111</v>
      </c>
      <c r="J26" s="200">
        <f>IFERROR(__xludf.DUMMYFUNCTION("""COMPUTED_VALUE"""),82.0)</f>
        <v>82</v>
      </c>
      <c r="K26" s="200">
        <f>IFERROR(__xludf.DUMMYFUNCTION("""COMPUTED_VALUE"""),5.5)</f>
        <v>5.5</v>
      </c>
      <c r="L26" s="201" t="str">
        <f>IFERROR(__xludf.DUMMYFUNCTION("""COMPUTED_VALUE"""),"First-Person Shooter")</f>
        <v>First-Person Shooter</v>
      </c>
      <c r="M26" s="201" t="str">
        <f>IFERROR(__xludf.DUMMYFUNCTION("""COMPUTED_VALUE"""),"Optimized")</f>
        <v>Optimized</v>
      </c>
      <c r="N26" s="201" t="str">
        <f>IFERROR(__xludf.DUMMYFUNCTION("""COMPUTED_VALUE"""),"Game Pass Essential (4/23/24), Returning title: Added 12/10/20, left 5/31/22")</f>
        <v>Game Pass Essential (4/23/24), Returning title: Added 12/10/20, left 5/31/22</v>
      </c>
    </row>
    <row r="27">
      <c r="A27" s="190" t="str">
        <f>IFERROR(__xludf.DUMMYFUNCTION("""COMPUTED_VALUE"""),"Control: Ultimate Edition")</f>
        <v>Control: Ultimate Edition</v>
      </c>
      <c r="B27" s="195" t="str">
        <f>IFERROR(__xludf.DUMMYFUNCTION("""COMPUTED_VALUE"""),"Xbox / PC")</f>
        <v>Xbox / PC</v>
      </c>
      <c r="C27" s="196" t="str">
        <f>IFERROR(__xludf.DUMMYFUNCTION("""COMPUTED_VALUE"""),"Yes")</f>
        <v>Yes</v>
      </c>
      <c r="D27" s="196" t="str">
        <f>IFERROR(__xludf.DUMMYFUNCTION("""COMPUTED_VALUE"""),"Active")</f>
        <v>Active</v>
      </c>
      <c r="E27" s="197">
        <f>IFERROR(__xludf.DUMMYFUNCTION("""COMPUTED_VALUE"""),45364.0)</f>
        <v>45364</v>
      </c>
      <c r="F27" s="198"/>
      <c r="G27" s="199">
        <f>IFERROR(__xludf.DUMMYFUNCTION("""COMPUTED_VALUE"""),19.066666666666666)</f>
        <v>19.06666667</v>
      </c>
      <c r="H27" s="197">
        <f>IFERROR(__xludf.DUMMYFUNCTION("""COMPUTED_VALUE"""),44229.0)</f>
        <v>44229</v>
      </c>
      <c r="I27" s="199">
        <f>IFERROR(__xludf.DUMMYFUNCTION("""COMPUTED_VALUE"""),3.113888888888889)</f>
        <v>3.113888889</v>
      </c>
      <c r="J27" s="200">
        <f>IFERROR(__xludf.DUMMYFUNCTION("""COMPUTED_VALUE"""),85.0)</f>
        <v>85</v>
      </c>
      <c r="K27" s="200">
        <f>IFERROR(__xludf.DUMMYFUNCTION("""COMPUTED_VALUE"""),13.0)</f>
        <v>13</v>
      </c>
      <c r="L27" s="201" t="str">
        <f>IFERROR(__xludf.DUMMYFUNCTION("""COMPUTED_VALUE"""),"Action")</f>
        <v>Action</v>
      </c>
      <c r="M27" s="201"/>
      <c r="N27" s="201" t="str">
        <f>IFERROR(__xludf.DUMMYFUNCTION("""COMPUTED_VALUE"""),"Returning title: Joined 12/3/20, left 2/15/22 (base game)")</f>
        <v>Returning title: Joined 12/3/20, left 2/15/22 (base game)</v>
      </c>
    </row>
    <row r="28">
      <c r="A28" s="190" t="str">
        <f>IFERROR(__xludf.DUMMYFUNCTION("""COMPUTED_VALUE"""),"Indivisible")</f>
        <v>Indivisible</v>
      </c>
      <c r="B28" s="195" t="str">
        <f>IFERROR(__xludf.DUMMYFUNCTION("""COMPUTED_VALUE"""),"Xbox / PC")</f>
        <v>Xbox / PC</v>
      </c>
      <c r="C28" s="196" t="str">
        <f>IFERROR(__xludf.DUMMYFUNCTION("""COMPUTED_VALUE"""),"Yes")</f>
        <v>Yes</v>
      </c>
      <c r="D28" s="196" t="str">
        <f>IFERROR(__xludf.DUMMYFUNCTION("""COMPUTED_VALUE"""),"Removed")</f>
        <v>Removed</v>
      </c>
      <c r="E28" s="197">
        <f>IFERROR(__xludf.DUMMYFUNCTION("""COMPUTED_VALUE"""),45350.0)</f>
        <v>45350</v>
      </c>
      <c r="F28" s="198">
        <f>IFERROR(__xludf.DUMMYFUNCTION("""COMPUTED_VALUE"""),45703.0)</f>
        <v>45703</v>
      </c>
      <c r="G28" s="199">
        <f>IFERROR(__xludf.DUMMYFUNCTION("""COMPUTED_VALUE"""),11.566666666666666)</f>
        <v>11.56666667</v>
      </c>
      <c r="H28" s="197">
        <f>IFERROR(__xludf.DUMMYFUNCTION("""COMPUTED_VALUE"""),43746.0)</f>
        <v>43746</v>
      </c>
      <c r="I28" s="199">
        <f>IFERROR(__xludf.DUMMYFUNCTION("""COMPUTED_VALUE"""),4.388888888888889)</f>
        <v>4.388888889</v>
      </c>
      <c r="J28" s="200">
        <f>IFERROR(__xludf.DUMMYFUNCTION("""COMPUTED_VALUE"""),82.0)</f>
        <v>82</v>
      </c>
      <c r="K28" s="200">
        <f>IFERROR(__xludf.DUMMYFUNCTION("""COMPUTED_VALUE"""),18.5)</f>
        <v>18.5</v>
      </c>
      <c r="L28" s="201" t="str">
        <f>IFERROR(__xludf.DUMMYFUNCTION("""COMPUTED_VALUE"""),"Action / RPG")</f>
        <v>Action / RPG</v>
      </c>
      <c r="M28" s="201"/>
      <c r="N28" s="201" t="str">
        <f>IFERROR(__xludf.DUMMYFUNCTION("""COMPUTED_VALUE"""),"Returning title: Added 1/23/20, left 1/29/21")</f>
        <v>Returning title: Added 1/23/20, left 1/29/21</v>
      </c>
    </row>
    <row r="29">
      <c r="A29" s="190" t="str">
        <f>IFERROR(__xludf.DUMMYFUNCTION("""COMPUTED_VALUE"""),"Maneater")</f>
        <v>Maneater</v>
      </c>
      <c r="B29" s="195" t="str">
        <f>IFERROR(__xludf.DUMMYFUNCTION("""COMPUTED_VALUE"""),"Xbox / PC")</f>
        <v>Xbox / PC</v>
      </c>
      <c r="C29" s="196" t="str">
        <f>IFERROR(__xludf.DUMMYFUNCTION("""COMPUTED_VALUE"""),"Yes")</f>
        <v>Yes</v>
      </c>
      <c r="D29" s="196" t="str">
        <f>IFERROR(__xludf.DUMMYFUNCTION("""COMPUTED_VALUE"""),"Removed")</f>
        <v>Removed</v>
      </c>
      <c r="E29" s="197">
        <f>IFERROR(__xludf.DUMMYFUNCTION("""COMPUTED_VALUE"""),45349.0)</f>
        <v>45349</v>
      </c>
      <c r="F29" s="198">
        <f>IFERROR(__xludf.DUMMYFUNCTION("""COMPUTED_VALUE"""),45716.0)</f>
        <v>45716</v>
      </c>
      <c r="G29" s="199">
        <f>IFERROR(__xludf.DUMMYFUNCTION("""COMPUTED_VALUE"""),12.033333333333333)</f>
        <v>12.03333333</v>
      </c>
      <c r="H29" s="197">
        <f>IFERROR(__xludf.DUMMYFUNCTION("""COMPUTED_VALUE"""),43973.0)</f>
        <v>43973</v>
      </c>
      <c r="I29" s="199">
        <f>IFERROR(__xludf.DUMMYFUNCTION("""COMPUTED_VALUE"""),3.763888888888889)</f>
        <v>3.763888889</v>
      </c>
      <c r="J29" s="200">
        <f>IFERROR(__xludf.DUMMYFUNCTION("""COMPUTED_VALUE"""),70.5)</f>
        <v>70.5</v>
      </c>
      <c r="K29" s="200">
        <f>IFERROR(__xludf.DUMMYFUNCTION("""COMPUTED_VALUE"""),8.0)</f>
        <v>8</v>
      </c>
      <c r="L29" s="201" t="str">
        <f>IFERROR(__xludf.DUMMYFUNCTION("""COMPUTED_VALUE"""),"Action / RPG")</f>
        <v>Action / RPG</v>
      </c>
      <c r="M29" s="201" t="str">
        <f>IFERROR(__xludf.DUMMYFUNCTION("""COMPUTED_VALUE"""),"Optimized")</f>
        <v>Optimized</v>
      </c>
      <c r="N29" s="201" t="str">
        <f>IFERROR(__xludf.DUMMYFUNCTION("""COMPUTED_VALUE"""),"Returning title: Added 5/25/21, left 6/15/23")</f>
        <v>Returning title: Added 5/25/21, left 6/15/23</v>
      </c>
    </row>
    <row r="30">
      <c r="A30" s="190" t="str">
        <f>IFERROR(__xludf.DUMMYFUNCTION("""COMPUTED_VALUE"""),"Bloodstained: Ritual of the Night")</f>
        <v>Bloodstained: Ritual of the Night</v>
      </c>
      <c r="B30" s="195" t="str">
        <f>IFERROR(__xludf.DUMMYFUNCTION("""COMPUTED_VALUE"""),"Xbox / PC")</f>
        <v>Xbox / PC</v>
      </c>
      <c r="C30" s="196" t="str">
        <f>IFERROR(__xludf.DUMMYFUNCTION("""COMPUTED_VALUE"""),"Yes")</f>
        <v>Yes</v>
      </c>
      <c r="D30" s="196" t="str">
        <f>IFERROR(__xludf.DUMMYFUNCTION("""COMPUTED_VALUE"""),"Removed")</f>
        <v>Removed</v>
      </c>
      <c r="E30" s="197">
        <f>IFERROR(__xludf.DUMMYFUNCTION("""COMPUTED_VALUE"""),45336.0)</f>
        <v>45336</v>
      </c>
      <c r="F30" s="198">
        <f>IFERROR(__xludf.DUMMYFUNCTION("""COMPUTED_VALUE"""),45703.0)</f>
        <v>45703</v>
      </c>
      <c r="G30" s="199">
        <f>IFERROR(__xludf.DUMMYFUNCTION("""COMPUTED_VALUE"""),12.033333333333333)</f>
        <v>12.03333333</v>
      </c>
      <c r="H30" s="197">
        <f>IFERROR(__xludf.DUMMYFUNCTION("""COMPUTED_VALUE"""),43634.0)</f>
        <v>43634</v>
      </c>
      <c r="I30" s="199">
        <f>IFERROR(__xludf.DUMMYFUNCTION("""COMPUTED_VALUE"""),4.655555555555556)</f>
        <v>4.655555556</v>
      </c>
      <c r="J30" s="200">
        <f>IFERROR(__xludf.DUMMYFUNCTION("""COMPUTED_VALUE"""),84.0)</f>
        <v>84</v>
      </c>
      <c r="K30" s="200">
        <f>IFERROR(__xludf.DUMMYFUNCTION("""COMPUTED_VALUE"""),13.5)</f>
        <v>13.5</v>
      </c>
      <c r="L30" s="201" t="str">
        <f>IFERROR(__xludf.DUMMYFUNCTION("""COMPUTED_VALUE"""),"RPG / Platformer / Action-Adventure")</f>
        <v>RPG / Platformer / Action-Adventure</v>
      </c>
      <c r="M30" s="201"/>
      <c r="N30" s="201" t="str">
        <f>IFERROR(__xludf.DUMMYFUNCTION("""COMPUTED_VALUE"""),"Returning title: Added 9/19/19, left 3/15/21")</f>
        <v>Returning title: Added 9/19/19, left 3/15/21</v>
      </c>
    </row>
    <row r="31">
      <c r="A31" s="190" t="str">
        <f>IFERROR(__xludf.DUMMYFUNCTION("""COMPUTED_VALUE"""),"We Happy Few")</f>
        <v>We Happy Few</v>
      </c>
      <c r="B31" s="195" t="str">
        <f>IFERROR(__xludf.DUMMYFUNCTION("""COMPUTED_VALUE"""),"Xbox / PC")</f>
        <v>Xbox / PC</v>
      </c>
      <c r="C31" s="196" t="str">
        <f>IFERROR(__xludf.DUMMYFUNCTION("""COMPUTED_VALUE"""),"Yes")</f>
        <v>Yes</v>
      </c>
      <c r="D31" s="196" t="str">
        <f>IFERROR(__xludf.DUMMYFUNCTION("""COMPUTED_VALUE"""),"Active")</f>
        <v>Active</v>
      </c>
      <c r="E31" s="197">
        <f>IFERROR(__xludf.DUMMYFUNCTION("""COMPUTED_VALUE"""),45302.0)</f>
        <v>45302</v>
      </c>
      <c r="F31" s="198"/>
      <c r="G31" s="199">
        <f>IFERROR(__xludf.DUMMYFUNCTION("""COMPUTED_VALUE"""),21.133333333333333)</f>
        <v>21.13333333</v>
      </c>
      <c r="H31" s="197">
        <f>IFERROR(__xludf.DUMMYFUNCTION("""COMPUTED_VALUE"""),43322.0)</f>
        <v>43322</v>
      </c>
      <c r="I31" s="199">
        <f>IFERROR(__xludf.DUMMYFUNCTION("""COMPUTED_VALUE"""),5.419444444444444)</f>
        <v>5.419444444</v>
      </c>
      <c r="J31" s="200">
        <f>IFERROR(__xludf.DUMMYFUNCTION("""COMPUTED_VALUE"""),64.0)</f>
        <v>64</v>
      </c>
      <c r="K31" s="200">
        <f>IFERROR(__xludf.DUMMYFUNCTION("""COMPUTED_VALUE"""),21.0)</f>
        <v>21</v>
      </c>
      <c r="L31" s="201" t="str">
        <f>IFERROR(__xludf.DUMMYFUNCTION("""COMPUTED_VALUE"""),"Adventure / First-Person Shooter")</f>
        <v>Adventure / First-Person Shooter</v>
      </c>
      <c r="M31" s="201" t="str">
        <f>IFERROR(__xludf.DUMMYFUNCTION("""COMPUTED_VALUE"""),"Optimized")</f>
        <v>Optimized</v>
      </c>
      <c r="N31" s="201" t="str">
        <f>IFERROR(__xludf.DUMMYFUNCTION("""COMPUTED_VALUE"""),"Returning title: Added 1/17/19, left 1/15/23")</f>
        <v>Returning title: Added 1/17/19, left 1/15/23</v>
      </c>
    </row>
    <row r="32">
      <c r="A32" s="190" t="str">
        <f>IFERROR(__xludf.DUMMYFUNCTION("""COMPUTED_VALUE"""),"World War Z: Aftermath")</f>
        <v>World War Z: Aftermath</v>
      </c>
      <c r="B32" s="195" t="str">
        <f>IFERROR(__xludf.DUMMYFUNCTION("""COMPUTED_VALUE"""),"Xbox / PC")</f>
        <v>Xbox / PC</v>
      </c>
      <c r="C32" s="196" t="str">
        <f>IFERROR(__xludf.DUMMYFUNCTION("""COMPUTED_VALUE"""),"Yes")</f>
        <v>Yes</v>
      </c>
      <c r="D32" s="196" t="str">
        <f>IFERROR(__xludf.DUMMYFUNCTION("""COMPUTED_VALUE"""),"Active")</f>
        <v>Active</v>
      </c>
      <c r="E32" s="197">
        <f>IFERROR(__xludf.DUMMYFUNCTION("""COMPUTED_VALUE"""),45265.0)</f>
        <v>45265</v>
      </c>
      <c r="F32" s="198"/>
      <c r="G32" s="199">
        <f>IFERROR(__xludf.DUMMYFUNCTION("""COMPUTED_VALUE"""),22.333333333333336)</f>
        <v>22.33333333</v>
      </c>
      <c r="H32" s="197">
        <f>IFERROR(__xludf.DUMMYFUNCTION("""COMPUTED_VALUE"""),43571.0)</f>
        <v>43571</v>
      </c>
      <c r="I32" s="199">
        <f>IFERROR(__xludf.DUMMYFUNCTION("""COMPUTED_VALUE"""),4.636111111111111)</f>
        <v>4.636111111</v>
      </c>
      <c r="J32" s="200">
        <f>IFERROR(__xludf.DUMMYFUNCTION("""COMPUTED_VALUE"""),73.0)</f>
        <v>73</v>
      </c>
      <c r="K32" s="200">
        <f>IFERROR(__xludf.DUMMYFUNCTION("""COMPUTED_VALUE"""),7.0)</f>
        <v>7</v>
      </c>
      <c r="L32" s="201" t="str">
        <f>IFERROR(__xludf.DUMMYFUNCTION("""COMPUTED_VALUE"""),"Action")</f>
        <v>Action</v>
      </c>
      <c r="M32" s="201"/>
      <c r="N32" s="201" t="str">
        <f>IFERROR(__xludf.DUMMYFUNCTION("""COMPUTED_VALUE"""),"Returning title: Joined 10/10/19, left 8/31/22 (original game)")</f>
        <v>Returning title: Joined 10/10/19, left 8/31/22 (original game)</v>
      </c>
    </row>
    <row r="33">
      <c r="A33" s="190" t="str">
        <f>IFERROR(__xludf.DUMMYFUNCTION("""COMPUTED_VALUE"""),"Remnant: From the Ashes")</f>
        <v>Remnant: From the Ashes</v>
      </c>
      <c r="B33" s="195" t="str">
        <f>IFERROR(__xludf.DUMMYFUNCTION("""COMPUTED_VALUE"""),"Xbox / PC")</f>
        <v>Xbox / PC</v>
      </c>
      <c r="C33" s="196" t="str">
        <f>IFERROR(__xludf.DUMMYFUNCTION("""COMPUTED_VALUE"""),"Yes")</f>
        <v>Yes</v>
      </c>
      <c r="D33" s="196" t="str">
        <f>IFERROR(__xludf.DUMMYFUNCTION("""COMPUTED_VALUE"""),"Removed")</f>
        <v>Removed</v>
      </c>
      <c r="E33" s="197">
        <f>IFERROR(__xludf.DUMMYFUNCTION("""COMPUTED_VALUE"""),45259.0)</f>
        <v>45259</v>
      </c>
      <c r="F33" s="198">
        <f>IFERROR(__xludf.DUMMYFUNCTION("""COMPUTED_VALUE"""),45626.0)</f>
        <v>45626</v>
      </c>
      <c r="G33" s="199">
        <f>IFERROR(__xludf.DUMMYFUNCTION("""COMPUTED_VALUE"""),12.033333333333333)</f>
        <v>12.03333333</v>
      </c>
      <c r="H33" s="197">
        <f>IFERROR(__xludf.DUMMYFUNCTION("""COMPUTED_VALUE"""),43697.0)</f>
        <v>43697</v>
      </c>
      <c r="I33" s="199">
        <f>IFERROR(__xludf.DUMMYFUNCTION("""COMPUTED_VALUE"""),4.275)</f>
        <v>4.275</v>
      </c>
      <c r="J33" s="200">
        <f>IFERROR(__xludf.DUMMYFUNCTION("""COMPUTED_VALUE"""),81.0)</f>
        <v>81</v>
      </c>
      <c r="K33" s="200">
        <f>IFERROR(__xludf.DUMMYFUNCTION("""COMPUTED_VALUE"""),13.5)</f>
        <v>13.5</v>
      </c>
      <c r="L33" s="201" t="str">
        <f>IFERROR(__xludf.DUMMYFUNCTION("""COMPUTED_VALUE"""),"Action / RPG / Shooter")</f>
        <v>Action / RPG / Shooter</v>
      </c>
      <c r="M33" s="201"/>
      <c r="N33" s="201" t="str">
        <f>IFERROR(__xludf.DUMMYFUNCTION("""COMPUTED_VALUE"""),"Returning title: Joined 11/14/19, left 5/15/22")</f>
        <v>Returning title: Joined 11/14/19, left 5/15/22</v>
      </c>
    </row>
    <row r="34">
      <c r="A34" s="190" t="str">
        <f>IFERROR(__xludf.DUMMYFUNCTION("""COMPUTED_VALUE"""),"Spiritfarer")</f>
        <v>Spiritfarer</v>
      </c>
      <c r="B34" s="195" t="str">
        <f>IFERROR(__xludf.DUMMYFUNCTION("""COMPUTED_VALUE"""),"Xbox / PC")</f>
        <v>Xbox / PC</v>
      </c>
      <c r="C34" s="196" t="str">
        <f>IFERROR(__xludf.DUMMYFUNCTION("""COMPUTED_VALUE"""),"Touch Controls")</f>
        <v>Touch Controls</v>
      </c>
      <c r="D34" s="196" t="str">
        <f>IFERROR(__xludf.DUMMYFUNCTION("""COMPUTED_VALUE"""),"Active")</f>
        <v>Active</v>
      </c>
      <c r="E34" s="197">
        <f>IFERROR(__xludf.DUMMYFUNCTION("""COMPUTED_VALUE"""),45182.0)</f>
        <v>45182</v>
      </c>
      <c r="F34" s="198"/>
      <c r="G34" s="199">
        <f>IFERROR(__xludf.DUMMYFUNCTION("""COMPUTED_VALUE"""),25.06666666666667)</f>
        <v>25.06666667</v>
      </c>
      <c r="H34" s="197">
        <f>IFERROR(__xludf.DUMMYFUNCTION("""COMPUTED_VALUE"""),44061.0)</f>
        <v>44061</v>
      </c>
      <c r="I34" s="199">
        <f>IFERROR(__xludf.DUMMYFUNCTION("""COMPUTED_VALUE"""),3.0694444444444446)</f>
        <v>3.069444444</v>
      </c>
      <c r="J34" s="200">
        <f>IFERROR(__xludf.DUMMYFUNCTION("""COMPUTED_VALUE"""),86.0)</f>
        <v>86</v>
      </c>
      <c r="K34" s="200">
        <f>IFERROR(__xludf.DUMMYFUNCTION("""COMPUTED_VALUE"""),21.0)</f>
        <v>21</v>
      </c>
      <c r="L34" s="201" t="str">
        <f>IFERROR(__xludf.DUMMYFUNCTION("""COMPUTED_VALUE"""),"Adventure")</f>
        <v>Adventure</v>
      </c>
      <c r="M34" s="201"/>
      <c r="N34" s="201" t="str">
        <f>IFERROR(__xludf.DUMMYFUNCTION("""COMPUTED_VALUE"""),"Game Pass Essential launch title (9/14/23), Returning title: Joined 8/18/20, left 8/31/22")</f>
        <v>Game Pass Essential launch title (9/14/23), Returning title: Joined 8/18/20, left 8/31/22</v>
      </c>
    </row>
    <row r="35">
      <c r="A35" s="190" t="str">
        <f>IFERROR(__xludf.DUMMYFUNCTION("""COMPUTED_VALUE"""),"GRIS")</f>
        <v>GRIS</v>
      </c>
      <c r="B35" s="195" t="str">
        <f>IFERROR(__xludf.DUMMYFUNCTION("""COMPUTED_VALUE"""),"Xbox / PC")</f>
        <v>Xbox / PC</v>
      </c>
      <c r="C35" s="196" t="str">
        <f>IFERROR(__xludf.DUMMYFUNCTION("""COMPUTED_VALUE"""),"Yes")</f>
        <v>Yes</v>
      </c>
      <c r="D35" s="196" t="str">
        <f>IFERROR(__xludf.DUMMYFUNCTION("""COMPUTED_VALUE"""),"Removed")</f>
        <v>Removed</v>
      </c>
      <c r="E35" s="197">
        <f>IFERROR(__xludf.DUMMYFUNCTION("""COMPUTED_VALUE"""),45174.0)</f>
        <v>45174</v>
      </c>
      <c r="F35" s="198">
        <f>IFERROR(__xludf.DUMMYFUNCTION("""COMPUTED_VALUE"""),45716.0)</f>
        <v>45716</v>
      </c>
      <c r="G35" s="199">
        <f>IFERROR(__xludf.DUMMYFUNCTION("""COMPUTED_VALUE"""),17.766666666666666)</f>
        <v>17.76666667</v>
      </c>
      <c r="H35" s="197">
        <f>IFERROR(__xludf.DUMMYFUNCTION("""COMPUTED_VALUE"""),43465.0)</f>
        <v>43465</v>
      </c>
      <c r="I35" s="199">
        <f>IFERROR(__xludf.DUMMYFUNCTION("""COMPUTED_VALUE"""),4.680555555555555)</f>
        <v>4.680555556</v>
      </c>
      <c r="J35" s="200">
        <f>IFERROR(__xludf.DUMMYFUNCTION("""COMPUTED_VALUE"""),84.0)</f>
        <v>84</v>
      </c>
      <c r="K35" s="200">
        <f>IFERROR(__xludf.DUMMYFUNCTION("""COMPUTED_VALUE"""),3.5)</f>
        <v>3.5</v>
      </c>
      <c r="L35" s="201" t="str">
        <f>IFERROR(__xludf.DUMMYFUNCTION("""COMPUTED_VALUE"""),"Puzzle / Platformer")</f>
        <v>Puzzle / Platformer</v>
      </c>
      <c r="M35" s="201"/>
      <c r="N35" s="201" t="str">
        <f>IFERROR(__xludf.DUMMYFUNCTION("""COMPUTED_VALUE"""),"Returning title: Joined 1/16/20, left 1/29/21")</f>
        <v>Returning title: Joined 1/16/20, left 1/29/21</v>
      </c>
    </row>
    <row r="36">
      <c r="A36" s="190" t="str">
        <f>IFERROR(__xludf.DUMMYFUNCTION("""COMPUTED_VALUE"""),"Firewatch")</f>
        <v>Firewatch</v>
      </c>
      <c r="B36" s="195" t="str">
        <f>IFERROR(__xludf.DUMMYFUNCTION("""COMPUTED_VALUE"""),"Xbox / PC")</f>
        <v>Xbox / PC</v>
      </c>
      <c r="C36" s="196" t="str">
        <f>IFERROR(__xludf.DUMMYFUNCTION("""COMPUTED_VALUE"""),"Touch Controls")</f>
        <v>Touch Controls</v>
      </c>
      <c r="D36" s="196" t="str">
        <f>IFERROR(__xludf.DUMMYFUNCTION("""COMPUTED_VALUE"""),"Active")</f>
        <v>Active</v>
      </c>
      <c r="E36" s="197">
        <f>IFERROR(__xludf.DUMMYFUNCTION("""COMPUTED_VALUE"""),45155.0)</f>
        <v>45155</v>
      </c>
      <c r="F36" s="198"/>
      <c r="G36" s="199">
        <f>IFERROR(__xludf.DUMMYFUNCTION("""COMPUTED_VALUE"""),25.93333333333333)</f>
        <v>25.93333333</v>
      </c>
      <c r="H36" s="197">
        <f>IFERROR(__xludf.DUMMYFUNCTION("""COMPUTED_VALUE"""),42409.0)</f>
        <v>42409</v>
      </c>
      <c r="I36" s="199">
        <f>IFERROR(__xludf.DUMMYFUNCTION("""COMPUTED_VALUE"""),7.522222222222222)</f>
        <v>7.522222222</v>
      </c>
      <c r="J36" s="200">
        <f>IFERROR(__xludf.DUMMYFUNCTION("""COMPUTED_VALUE"""),83.0)</f>
        <v>83</v>
      </c>
      <c r="K36" s="200">
        <f>IFERROR(__xludf.DUMMYFUNCTION("""COMPUTED_VALUE"""),4.0)</f>
        <v>4</v>
      </c>
      <c r="L36" s="201" t="str">
        <f>IFERROR(__xludf.DUMMYFUNCTION("""COMPUTED_VALUE"""),"Adventure")</f>
        <v>Adventure</v>
      </c>
      <c r="M36" s="201"/>
      <c r="N36" s="201" t="str">
        <f>IFERROR(__xludf.DUMMYFUNCTION("""COMPUTED_VALUE"""),"Game Pass Essential launch title (9/14/23), Returning title: Joined 2/16/21, left 12/15/22")</f>
        <v>Game Pass Essential launch title (9/14/23), Returning title: Joined 2/16/21, left 12/15/22</v>
      </c>
    </row>
    <row r="37">
      <c r="A37" s="190" t="str">
        <f>IFERROR(__xludf.DUMMYFUNCTION("""COMPUTED_VALUE"""),"Limbo")</f>
        <v>Limbo</v>
      </c>
      <c r="B37" s="195" t="str">
        <f>IFERROR(__xludf.DUMMYFUNCTION("""COMPUTED_VALUE"""),"Xbox / PC")</f>
        <v>Xbox / PC</v>
      </c>
      <c r="C37" s="196" t="str">
        <f>IFERROR(__xludf.DUMMYFUNCTION("""COMPUTED_VALUE"""),"Yes")</f>
        <v>Yes</v>
      </c>
      <c r="D37" s="196" t="str">
        <f>IFERROR(__xludf.DUMMYFUNCTION("""COMPUTED_VALUE"""),"Active")</f>
        <v>Active</v>
      </c>
      <c r="E37" s="197">
        <f>IFERROR(__xludf.DUMMYFUNCTION("""COMPUTED_VALUE"""),45147.0)</f>
        <v>45147</v>
      </c>
      <c r="F37" s="198"/>
      <c r="G37" s="199">
        <f>IFERROR(__xludf.DUMMYFUNCTION("""COMPUTED_VALUE"""),26.199999999999996)</f>
        <v>26.2</v>
      </c>
      <c r="H37" s="197">
        <f>IFERROR(__xludf.DUMMYFUNCTION("""COMPUTED_VALUE"""),40380.0)</f>
        <v>40380</v>
      </c>
      <c r="I37" s="199">
        <f>IFERROR(__xludf.DUMMYFUNCTION("""COMPUTED_VALUE"""),13.05)</f>
        <v>13.05</v>
      </c>
      <c r="J37" s="200">
        <f>IFERROR(__xludf.DUMMYFUNCTION("""COMPUTED_VALUE"""),85.0)</f>
        <v>85</v>
      </c>
      <c r="K37" s="200">
        <f>IFERROR(__xludf.DUMMYFUNCTION("""COMPUTED_VALUE"""),3.5)</f>
        <v>3.5</v>
      </c>
      <c r="L37" s="201" t="str">
        <f>IFERROR(__xludf.DUMMYFUNCTION("""COMPUTED_VALUE"""),"Puzzle / Platformer")</f>
        <v>Puzzle / Platformer</v>
      </c>
      <c r="M37" s="201"/>
      <c r="N37" s="201" t="str">
        <f>IFERROR(__xludf.DUMMYFUNCTION("""COMPUTED_VALUE"""),"Game Pass Essential launch title (9/14/23), Returning title: Joined 8/1/17, left 6/15/22")</f>
        <v>Game Pass Essential launch title (9/14/23), Returning title: Joined 8/1/17, left 6/15/22</v>
      </c>
    </row>
    <row r="38">
      <c r="A38" s="190" t="str">
        <f>IFERROR(__xludf.DUMMYFUNCTION("""COMPUTED_VALUE"""),"Celeste")</f>
        <v>Celeste</v>
      </c>
      <c r="B38" s="195" t="str">
        <f>IFERROR(__xludf.DUMMYFUNCTION("""COMPUTED_VALUE"""),"Xbox / PC")</f>
        <v>Xbox / PC</v>
      </c>
      <c r="C38" s="196" t="str">
        <f>IFERROR(__xludf.DUMMYFUNCTION("""COMPUTED_VALUE"""),"Touch Controls")</f>
        <v>Touch Controls</v>
      </c>
      <c r="D38" s="196" t="str">
        <f>IFERROR(__xludf.DUMMYFUNCTION("""COMPUTED_VALUE"""),"Active")</f>
        <v>Active</v>
      </c>
      <c r="E38" s="197">
        <f>IFERROR(__xludf.DUMMYFUNCTION("""COMPUTED_VALUE"""),45139.0)</f>
        <v>45139</v>
      </c>
      <c r="F38" s="198"/>
      <c r="G38" s="199">
        <f>IFERROR(__xludf.DUMMYFUNCTION("""COMPUTED_VALUE"""),26.46666666666667)</f>
        <v>26.46666667</v>
      </c>
      <c r="H38" s="197">
        <f>IFERROR(__xludf.DUMMYFUNCTION("""COMPUTED_VALUE"""),43125.0)</f>
        <v>43125</v>
      </c>
      <c r="I38" s="199">
        <f>IFERROR(__xludf.DUMMYFUNCTION("""COMPUTED_VALUE"""),5.516666666666667)</f>
        <v>5.516666667</v>
      </c>
      <c r="J38" s="200">
        <f>IFERROR(__xludf.DUMMYFUNCTION("""COMPUTED_VALUE"""),91.0)</f>
        <v>91</v>
      </c>
      <c r="K38" s="200">
        <f>IFERROR(__xludf.DUMMYFUNCTION("""COMPUTED_VALUE"""),8.0)</f>
        <v>8</v>
      </c>
      <c r="L38" s="201" t="str">
        <f>IFERROR(__xludf.DUMMYFUNCTION("""COMPUTED_VALUE"""),"Platformer")</f>
        <v>Platformer</v>
      </c>
      <c r="M38" s="201"/>
      <c r="N38" s="201" t="str">
        <f>IFERROR(__xludf.DUMMYFUNCTION("""COMPUTED_VALUE"""),"Game Pass Essential launch title (9/14/23), Returning title: Joined 11/5/20, left 10/31/21")</f>
        <v>Game Pass Essential launch title (9/14/23), Returning title: Joined 11/5/20, left 10/31/21</v>
      </c>
    </row>
    <row r="39">
      <c r="A39" s="190" t="str">
        <f>IFERROR(__xludf.DUMMYFUNCTION("""COMPUTED_VALUE"""),"Stacking")</f>
        <v>Stacking</v>
      </c>
      <c r="B39" s="195" t="str">
        <f>IFERROR(__xludf.DUMMYFUNCTION("""COMPUTED_VALUE"""),"Xbox")</f>
        <v>Xbox</v>
      </c>
      <c r="C39" s="196" t="str">
        <f>IFERROR(__xludf.DUMMYFUNCTION("""COMPUTED_VALUE"""),"Yes")</f>
        <v>Yes</v>
      </c>
      <c r="D39" s="196" t="str">
        <f>IFERROR(__xludf.DUMMYFUNCTION("""COMPUTED_VALUE"""),"Active")</f>
        <v>Active</v>
      </c>
      <c r="E39" s="197">
        <f>IFERROR(__xludf.DUMMYFUNCTION("""COMPUTED_VALUE"""),45085.0)</f>
        <v>45085</v>
      </c>
      <c r="F39" s="198"/>
      <c r="G39" s="199">
        <f>IFERROR(__xludf.DUMMYFUNCTION("""COMPUTED_VALUE"""),28.233333333333334)</f>
        <v>28.23333333</v>
      </c>
      <c r="H39" s="197">
        <f>IFERROR(__xludf.DUMMYFUNCTION("""COMPUTED_VALUE"""),40582.0)</f>
        <v>40582</v>
      </c>
      <c r="I39" s="199">
        <f>IFERROR(__xludf.DUMMYFUNCTION("""COMPUTED_VALUE"""),12.333333333333334)</f>
        <v>12.33333333</v>
      </c>
      <c r="J39" s="200">
        <f>IFERROR(__xludf.DUMMYFUNCTION("""COMPUTED_VALUE"""),82.0)</f>
        <v>82</v>
      </c>
      <c r="K39" s="200">
        <f>IFERROR(__xludf.DUMMYFUNCTION("""COMPUTED_VALUE"""),4.0)</f>
        <v>4</v>
      </c>
      <c r="L39" s="201" t="str">
        <f>IFERROR(__xludf.DUMMYFUNCTION("""COMPUTED_VALUE"""),"Adventure / Puzzle")</f>
        <v>Adventure / Puzzle</v>
      </c>
      <c r="M39" s="201"/>
      <c r="N39" s="201" t="str">
        <f>IFERROR(__xludf.DUMMYFUNCTION("""COMPUTED_VALUE"""),"Returning title: Joined 6/1/17, left 1/15/19")</f>
        <v>Returning title: Joined 6/1/17, left 1/15/19</v>
      </c>
    </row>
    <row r="40">
      <c r="A40" s="190" t="str">
        <f>IFERROR(__xludf.DUMMYFUNCTION("""COMPUTED_VALUE"""),"Hypnospace Outlaw")</f>
        <v>Hypnospace Outlaw</v>
      </c>
      <c r="B40" s="195" t="str">
        <f>IFERROR(__xludf.DUMMYFUNCTION("""COMPUTED_VALUE"""),"Xbox / PC")</f>
        <v>Xbox / PC</v>
      </c>
      <c r="C40" s="196" t="str">
        <f>IFERROR(__xludf.DUMMYFUNCTION("""COMPUTED_VALUE"""),"Yes")</f>
        <v>Yes</v>
      </c>
      <c r="D40" s="196" t="str">
        <f>IFERROR(__xludf.DUMMYFUNCTION("""COMPUTED_VALUE"""),"Removed")</f>
        <v>Removed</v>
      </c>
      <c r="E40" s="197">
        <f>IFERROR(__xludf.DUMMYFUNCTION("""COMPUTED_VALUE"""),45083.0)</f>
        <v>45083</v>
      </c>
      <c r="F40" s="198">
        <f>IFERROR(__xludf.DUMMYFUNCTION("""COMPUTED_VALUE"""),45823.0)</f>
        <v>45823</v>
      </c>
      <c r="G40" s="199">
        <f>IFERROR(__xludf.DUMMYFUNCTION("""COMPUTED_VALUE"""),24.299999999999997)</f>
        <v>24.3</v>
      </c>
      <c r="H40" s="197">
        <f>IFERROR(__xludf.DUMMYFUNCTION("""COMPUTED_VALUE"""),43536.0)</f>
        <v>43536</v>
      </c>
      <c r="I40" s="199">
        <f>IFERROR(__xludf.DUMMYFUNCTION("""COMPUTED_VALUE"""),4.233333333333333)</f>
        <v>4.233333333</v>
      </c>
      <c r="J40" s="200">
        <f>IFERROR(__xludf.DUMMYFUNCTION("""COMPUTED_VALUE"""),82.0)</f>
        <v>82</v>
      </c>
      <c r="K40" s="200">
        <f>IFERROR(__xludf.DUMMYFUNCTION("""COMPUTED_VALUE"""),5.5)</f>
        <v>5.5</v>
      </c>
      <c r="L40" s="201" t="str">
        <f>IFERROR(__xludf.DUMMYFUNCTION("""COMPUTED_VALUE"""),"Adventure / Simulation / Puzzle")</f>
        <v>Adventure / Simulation / Puzzle</v>
      </c>
      <c r="M40" s="201"/>
      <c r="N40" s="201" t="str">
        <f>IFERROR(__xludf.DUMMYFUNCTION("""COMPUTED_VALUE"""),"Returning title: Joined 18/27/20, left 2/28/22")</f>
        <v>Returning title: Joined 18/27/20, left 2/28/22</v>
      </c>
    </row>
    <row r="41">
      <c r="A41" s="190" t="str">
        <f>IFERROR(__xludf.DUMMYFUNCTION("""COMPUTED_VALUE"""),"Massive Chalice")</f>
        <v>Massive Chalice</v>
      </c>
      <c r="B41" s="195" t="str">
        <f>IFERROR(__xludf.DUMMYFUNCTION("""COMPUTED_VALUE"""),"Xbox")</f>
        <v>Xbox</v>
      </c>
      <c r="C41" s="196" t="str">
        <f>IFERROR(__xludf.DUMMYFUNCTION("""COMPUTED_VALUE"""),"Yes")</f>
        <v>Yes</v>
      </c>
      <c r="D41" s="196" t="str">
        <f>IFERROR(__xludf.DUMMYFUNCTION("""COMPUTED_VALUE"""),"Active")</f>
        <v>Active</v>
      </c>
      <c r="E41" s="197">
        <f>IFERROR(__xludf.DUMMYFUNCTION("""COMPUTED_VALUE"""),45071.0)</f>
        <v>45071</v>
      </c>
      <c r="F41" s="198"/>
      <c r="G41" s="199">
        <f>IFERROR(__xludf.DUMMYFUNCTION("""COMPUTED_VALUE"""),28.666666666666664)</f>
        <v>28.66666667</v>
      </c>
      <c r="H41" s="197">
        <f>IFERROR(__xludf.DUMMYFUNCTION("""COMPUTED_VALUE"""),42156.0)</f>
        <v>42156</v>
      </c>
      <c r="I41" s="199">
        <f>IFERROR(__xludf.DUMMYFUNCTION("""COMPUTED_VALUE"""),7.983333333333333)</f>
        <v>7.983333333</v>
      </c>
      <c r="J41" s="200">
        <f>IFERROR(__xludf.DUMMYFUNCTION("""COMPUTED_VALUE"""),72.0)</f>
        <v>72</v>
      </c>
      <c r="K41" s="200">
        <f>IFERROR(__xludf.DUMMYFUNCTION("""COMPUTED_VALUE"""),15.5)</f>
        <v>15.5</v>
      </c>
      <c r="L41" s="201" t="str">
        <f>IFERROR(__xludf.DUMMYFUNCTION("""COMPUTED_VALUE"""),"Strategy / RPG")</f>
        <v>Strategy / RPG</v>
      </c>
      <c r="M41" s="201"/>
      <c r="N41" s="201" t="str">
        <f>IFERROR(__xludf.DUMMYFUNCTION("""COMPUTED_VALUE"""),"Returning title: Joined 6/1/17, left 2/1/19")</f>
        <v>Returning title: Joined 6/1/17, left 2/1/19</v>
      </c>
    </row>
    <row r="42">
      <c r="A42" s="190" t="str">
        <f>IFERROR(__xludf.DUMMYFUNCTION("""COMPUTED_VALUE"""),"Besiege")</f>
        <v>Besiege</v>
      </c>
      <c r="B42" s="195" t="str">
        <f>IFERROR(__xludf.DUMMYFUNCTION("""COMPUTED_VALUE"""),"Xbox / PC")</f>
        <v>Xbox / PC</v>
      </c>
      <c r="C42" s="196" t="str">
        <f>IFERROR(__xludf.DUMMYFUNCTION("""COMPUTED_VALUE"""),"Touch Controls")</f>
        <v>Touch Controls</v>
      </c>
      <c r="D42" s="196" t="str">
        <f>IFERROR(__xludf.DUMMYFUNCTION("""COMPUTED_VALUE"""),"Removed")</f>
        <v>Removed</v>
      </c>
      <c r="E42" s="197">
        <f>IFERROR(__xludf.DUMMYFUNCTION("""COMPUTED_VALUE"""),45047.0)</f>
        <v>45047</v>
      </c>
      <c r="F42" s="198">
        <f>IFERROR(__xludf.DUMMYFUNCTION("""COMPUTED_VALUE"""),45412.0)</f>
        <v>45412</v>
      </c>
      <c r="G42" s="199">
        <f>IFERROR(__xludf.DUMMYFUNCTION("""COMPUTED_VALUE"""),11.966666666666667)</f>
        <v>11.96666667</v>
      </c>
      <c r="H42" s="197">
        <f>IFERROR(__xludf.DUMMYFUNCTION("""COMPUTED_VALUE"""),44602.0)</f>
        <v>44602</v>
      </c>
      <c r="I42" s="199">
        <f>IFERROR(__xludf.DUMMYFUNCTION("""COMPUTED_VALUE"""),1.225)</f>
        <v>1.225</v>
      </c>
      <c r="J42" s="200">
        <f>IFERROR(__xludf.DUMMYFUNCTION("""COMPUTED_VALUE"""),88.33333333333333)</f>
        <v>88.33333333</v>
      </c>
      <c r="K42" s="200">
        <f>IFERROR(__xludf.DUMMYFUNCTION("""COMPUTED_VALUE"""),5.0)</f>
        <v>5</v>
      </c>
      <c r="L42" s="201" t="str">
        <f>IFERROR(__xludf.DUMMYFUNCTION("""COMPUTED_VALUE"""),"Strategy / Simulation")</f>
        <v>Strategy / Simulation</v>
      </c>
      <c r="M42" s="201"/>
      <c r="N42" s="201" t="str">
        <f>IFERROR(__xludf.DUMMYFUNCTION("""COMPUTED_VALUE"""),"Returning title: Joined 2/10/22, left 2/15/23 while in game preview, rejoins post full release")</f>
        <v>Returning title: Joined 2/10/22, left 2/15/23 while in game preview, rejoins post full release</v>
      </c>
    </row>
    <row r="43">
      <c r="A43" s="190" t="str">
        <f>IFERROR(__xludf.DUMMYFUNCTION("""COMPUTED_VALUE"""),"Iron Brigade")</f>
        <v>Iron Brigade</v>
      </c>
      <c r="B43" s="195" t="str">
        <f>IFERROR(__xludf.DUMMYFUNCTION("""COMPUTED_VALUE"""),"Xbox")</f>
        <v>Xbox</v>
      </c>
      <c r="C43" s="196"/>
      <c r="D43" s="196" t="str">
        <f>IFERROR(__xludf.DUMMYFUNCTION("""COMPUTED_VALUE"""),"Active")</f>
        <v>Active</v>
      </c>
      <c r="E43" s="197">
        <f>IFERROR(__xludf.DUMMYFUNCTION("""COMPUTED_VALUE"""),45022.0)</f>
        <v>45022</v>
      </c>
      <c r="F43" s="198"/>
      <c r="G43" s="199">
        <f>IFERROR(__xludf.DUMMYFUNCTION("""COMPUTED_VALUE"""),30.299999999999997)</f>
        <v>30.3</v>
      </c>
      <c r="H43" s="197">
        <f>IFERROR(__xludf.DUMMYFUNCTION("""COMPUTED_VALUE"""),40716.0)</f>
        <v>40716</v>
      </c>
      <c r="I43" s="199">
        <f>IFERROR(__xludf.DUMMYFUNCTION("""COMPUTED_VALUE"""),11.78888888888889)</f>
        <v>11.78888889</v>
      </c>
      <c r="J43" s="200">
        <f>IFERROR(__xludf.DUMMYFUNCTION("""COMPUTED_VALUE"""),82.0)</f>
        <v>82</v>
      </c>
      <c r="K43" s="200">
        <f>IFERROR(__xludf.DUMMYFUNCTION("""COMPUTED_VALUE"""),6.5)</f>
        <v>6.5</v>
      </c>
      <c r="L43" s="201" t="str">
        <f>IFERROR(__xludf.DUMMYFUNCTION("""COMPUTED_VALUE"""),"Strategy / Shooter")</f>
        <v>Strategy / Shooter</v>
      </c>
      <c r="M43" s="201"/>
      <c r="N43" s="201" t="str">
        <f>IFERROR(__xludf.DUMMYFUNCTION("""COMPUTED_VALUE"""),"Returning title: Originally joined 6/1/17, left 7/15/19")</f>
        <v>Returning title: Originally joined 6/1/17, left 7/15/19</v>
      </c>
    </row>
    <row r="44">
      <c r="A44" s="190" t="str">
        <f>IFERROR(__xludf.DUMMYFUNCTION("""COMPUTED_VALUE"""),"Goat Simulator")</f>
        <v>Goat Simulator</v>
      </c>
      <c r="B44" s="195" t="str">
        <f>IFERROR(__xludf.DUMMYFUNCTION("""COMPUTED_VALUE"""),"Xbox / PC")</f>
        <v>Xbox / PC</v>
      </c>
      <c r="C44" s="196" t="str">
        <f>IFERROR(__xludf.DUMMYFUNCTION("""COMPUTED_VALUE"""),"Yes")</f>
        <v>Yes</v>
      </c>
      <c r="D44" s="196" t="str">
        <f>IFERROR(__xludf.DUMMYFUNCTION("""COMPUTED_VALUE"""),"Removed")</f>
        <v>Removed</v>
      </c>
      <c r="E44" s="197">
        <f>IFERROR(__xludf.DUMMYFUNCTION("""COMPUTED_VALUE"""),45020.0)</f>
        <v>45020</v>
      </c>
      <c r="F44" s="198">
        <f>IFERROR(__xludf.DUMMYFUNCTION("""COMPUTED_VALUE"""),45611.0)</f>
        <v>45611</v>
      </c>
      <c r="G44" s="199">
        <f>IFERROR(__xludf.DUMMYFUNCTION("""COMPUTED_VALUE"""),19.366666666666667)</f>
        <v>19.36666667</v>
      </c>
      <c r="H44" s="197">
        <f>IFERROR(__xludf.DUMMYFUNCTION("""COMPUTED_VALUE"""),41730.0)</f>
        <v>41730</v>
      </c>
      <c r="I44" s="199">
        <f>IFERROR(__xludf.DUMMYFUNCTION("""COMPUTED_VALUE"""),9.008333333333333)</f>
        <v>9.008333333</v>
      </c>
      <c r="J44" s="200">
        <f>IFERROR(__xludf.DUMMYFUNCTION("""COMPUTED_VALUE"""),58.0)</f>
        <v>58</v>
      </c>
      <c r="K44" s="200">
        <f>IFERROR(__xludf.DUMMYFUNCTION("""COMPUTED_VALUE"""),2.0)</f>
        <v>2</v>
      </c>
      <c r="L44" s="201" t="str">
        <f>IFERROR(__xludf.DUMMYFUNCTION("""COMPUTED_VALUE"""),"Simulation")</f>
        <v>Simulation</v>
      </c>
      <c r="M44" s="201"/>
      <c r="N44" s="201" t="str">
        <f>IFERROR(__xludf.DUMMYFUNCTION("""COMPUTED_VALUE"""),"Game Pass Essential (12/4/24), Returning title: Joined 6/27/19, left 3/215/23")</f>
        <v>Game Pass Essential (12/4/24), Returning title: Joined 6/27/19, left 3/215/23</v>
      </c>
    </row>
    <row r="45">
      <c r="A45" s="190" t="str">
        <f>IFERROR(__xludf.DUMMYFUNCTION("""COMPUTED_VALUE"""),"Darkest Dungeon")</f>
        <v>Darkest Dungeon</v>
      </c>
      <c r="B45" s="195" t="str">
        <f>IFERROR(__xludf.DUMMYFUNCTION("""COMPUTED_VALUE"""),"Xbox / PC")</f>
        <v>Xbox / PC</v>
      </c>
      <c r="C45" s="196" t="str">
        <f>IFERROR(__xludf.DUMMYFUNCTION("""COMPUTED_VALUE"""),"Yes")</f>
        <v>Yes</v>
      </c>
      <c r="D45" s="196" t="str">
        <f>IFERROR(__xludf.DUMMYFUNCTION("""COMPUTED_VALUE"""),"Removed")</f>
        <v>Removed</v>
      </c>
      <c r="E45" s="197">
        <f>IFERROR(__xludf.DUMMYFUNCTION("""COMPUTED_VALUE"""),44959.0)</f>
        <v>44959</v>
      </c>
      <c r="F45" s="198">
        <f>IFERROR(__xludf.DUMMYFUNCTION("""COMPUTED_VALUE"""),45688.0)</f>
        <v>45688</v>
      </c>
      <c r="G45" s="199">
        <f>IFERROR(__xludf.DUMMYFUNCTION("""COMPUTED_VALUE"""),23.933333333333334)</f>
        <v>23.93333333</v>
      </c>
      <c r="H45" s="197">
        <f>IFERROR(__xludf.DUMMYFUNCTION("""COMPUTED_VALUE"""),42388.0)</f>
        <v>42388</v>
      </c>
      <c r="I45" s="199">
        <f>IFERROR(__xludf.DUMMYFUNCTION("""COMPUTED_VALUE"""),7.036111111111111)</f>
        <v>7.036111111</v>
      </c>
      <c r="J45" s="200">
        <f>IFERROR(__xludf.DUMMYFUNCTION("""COMPUTED_VALUE"""),84.0)</f>
        <v>84</v>
      </c>
      <c r="K45" s="200">
        <f>IFERROR(__xludf.DUMMYFUNCTION("""COMPUTED_VALUE"""),56.0)</f>
        <v>56</v>
      </c>
      <c r="L45" s="201" t="str">
        <f>IFERROR(__xludf.DUMMYFUNCTION("""COMPUTED_VALUE"""),"RPG")</f>
        <v>RPG</v>
      </c>
      <c r="M45" s="201"/>
      <c r="N45" s="201" t="str">
        <f>IFERROR(__xludf.DUMMYFUNCTION("""COMPUTED_VALUE"""),"Returning title: Originally joined 6/10/21, left 6/15/22")</f>
        <v>Returning title: Originally joined 6/10/21, left 6/15/22</v>
      </c>
    </row>
    <row r="46">
      <c r="A46" s="190" t="str">
        <f>IFERROR(__xludf.DUMMYFUNCTION("""COMPUTED_VALUE"""),"Mortal Shell: Enhanced Edition")</f>
        <v>Mortal Shell: Enhanced Edition</v>
      </c>
      <c r="B46" s="195" t="str">
        <f>IFERROR(__xludf.DUMMYFUNCTION("""COMPUTED_VALUE"""),"Xbox / PC")</f>
        <v>Xbox / PC</v>
      </c>
      <c r="C46" s="196" t="str">
        <f>IFERROR(__xludf.DUMMYFUNCTION("""COMPUTED_VALUE"""),"Yes")</f>
        <v>Yes</v>
      </c>
      <c r="D46" s="196" t="str">
        <f>IFERROR(__xludf.DUMMYFUNCTION("""COMPUTED_VALUE"""),"Removed")</f>
        <v>Removed</v>
      </c>
      <c r="E46" s="197">
        <f>IFERROR(__xludf.DUMMYFUNCTION("""COMPUTED_VALUE"""),44931.0)</f>
        <v>44931</v>
      </c>
      <c r="F46" s="198">
        <f>IFERROR(__xludf.DUMMYFUNCTION("""COMPUTED_VALUE"""),45092.0)</f>
        <v>45092</v>
      </c>
      <c r="G46" s="199">
        <f>IFERROR(__xludf.DUMMYFUNCTION("""COMPUTED_VALUE"""),5.333333333333333)</f>
        <v>5.333333333</v>
      </c>
      <c r="H46" s="197">
        <f>IFERROR(__xludf.DUMMYFUNCTION("""COMPUTED_VALUE"""),44061.0)</f>
        <v>44061</v>
      </c>
      <c r="I46" s="199">
        <f>IFERROR(__xludf.DUMMYFUNCTION("""COMPUTED_VALUE"""),2.3805555555555555)</f>
        <v>2.380555556</v>
      </c>
      <c r="J46" s="200">
        <f>IFERROR(__xludf.DUMMYFUNCTION("""COMPUTED_VALUE"""),76.0)</f>
        <v>76</v>
      </c>
      <c r="K46" s="200">
        <f>IFERROR(__xludf.DUMMYFUNCTION("""COMPUTED_VALUE"""),10.0)</f>
        <v>10</v>
      </c>
      <c r="L46" s="201" t="str">
        <f>IFERROR(__xludf.DUMMYFUNCTION("""COMPUTED_VALUE"""),"Action / RPG")</f>
        <v>Action / RPG</v>
      </c>
      <c r="M46" s="201"/>
      <c r="N46" s="201" t="str">
        <f>IFERROR(__xludf.DUMMYFUNCTION("""COMPUTED_VALUE"""),"Returning title: Joined 11/23/21, left 11/30/22")</f>
        <v>Returning title: Joined 11/23/21, left 11/30/22</v>
      </c>
    </row>
    <row r="47">
      <c r="A47" s="190" t="str">
        <f>IFERROR(__xludf.DUMMYFUNCTION("""COMPUTED_VALUE"""),"Opus Magnum")</f>
        <v>Opus Magnum</v>
      </c>
      <c r="B47" s="195" t="str">
        <f>IFERROR(__xludf.DUMMYFUNCTION("""COMPUTED_VALUE"""),"PC")</f>
        <v>PC</v>
      </c>
      <c r="C47" s="196"/>
      <c r="D47" s="196" t="str">
        <f>IFERROR(__xludf.DUMMYFUNCTION("""COMPUTED_VALUE"""),"Removed")</f>
        <v>Removed</v>
      </c>
      <c r="E47" s="197">
        <f>IFERROR(__xludf.DUMMYFUNCTION("""COMPUTED_VALUE"""),44810.0)</f>
        <v>44810</v>
      </c>
      <c r="F47" s="198">
        <f>IFERROR(__xludf.DUMMYFUNCTION("""COMPUTED_VALUE"""),45275.0)</f>
        <v>45275</v>
      </c>
      <c r="G47" s="199">
        <f>IFERROR(__xludf.DUMMYFUNCTION("""COMPUTED_VALUE"""),15.299999999999999)</f>
        <v>15.3</v>
      </c>
      <c r="H47" s="197">
        <f>IFERROR(__xludf.DUMMYFUNCTION("""COMPUTED_VALUE"""),43076.0)</f>
        <v>43076</v>
      </c>
      <c r="I47" s="199">
        <f>IFERROR(__xludf.DUMMYFUNCTION("""COMPUTED_VALUE"""),4.747222222222222)</f>
        <v>4.747222222</v>
      </c>
      <c r="J47" s="200">
        <f>IFERROR(__xludf.DUMMYFUNCTION("""COMPUTED_VALUE"""),90.0)</f>
        <v>90</v>
      </c>
      <c r="K47" s="200">
        <f>IFERROR(__xludf.DUMMYFUNCTION("""COMPUTED_VALUE"""),15.0)</f>
        <v>15</v>
      </c>
      <c r="L47" s="201" t="str">
        <f>IFERROR(__xludf.DUMMYFUNCTION("""COMPUTED_VALUE"""),"Puzzle")</f>
        <v>Puzzle</v>
      </c>
      <c r="M47" s="201"/>
      <c r="N47" s="201" t="str">
        <f>IFERROR(__xludf.DUMMYFUNCTION("""COMPUTED_VALUE"""),"Returning title: Joined 6/9/19, left 5/31/20")</f>
        <v>Returning title: Joined 6/9/19, left 5/31/20</v>
      </c>
    </row>
    <row r="48">
      <c r="A48" s="190" t="str">
        <f>IFERROR(__xludf.DUMMYFUNCTION("""COMPUTED_VALUE"""),"Yakuza 0")</f>
        <v>Yakuza 0</v>
      </c>
      <c r="B48" s="195" t="str">
        <f>IFERROR(__xludf.DUMMYFUNCTION("""COMPUTED_VALUE"""),"Xbox / PC")</f>
        <v>Xbox / PC</v>
      </c>
      <c r="C48" s="196" t="str">
        <f>IFERROR(__xludf.DUMMYFUNCTION("""COMPUTED_VALUE"""),"Touch Controls")</f>
        <v>Touch Controls</v>
      </c>
      <c r="D48" s="196" t="str">
        <f>IFERROR(__xludf.DUMMYFUNCTION("""COMPUTED_VALUE"""),"Removed")</f>
        <v>Removed</v>
      </c>
      <c r="E48" s="197">
        <f>IFERROR(__xludf.DUMMYFUNCTION("""COMPUTED_VALUE"""),44747.0)</f>
        <v>44747</v>
      </c>
      <c r="F48" s="198">
        <f>IFERROR(__xludf.DUMMYFUNCTION("""COMPUTED_VALUE"""),45747.0)</f>
        <v>45747</v>
      </c>
      <c r="G48" s="199">
        <f>IFERROR(__xludf.DUMMYFUNCTION("""COMPUTED_VALUE"""),32.833333333333336)</f>
        <v>32.83333333</v>
      </c>
      <c r="H48" s="197">
        <f>IFERROR(__xludf.DUMMYFUNCTION("""COMPUTED_VALUE"""),42075.0)</f>
        <v>42075</v>
      </c>
      <c r="I48" s="199">
        <f>IFERROR(__xludf.DUMMYFUNCTION("""COMPUTED_VALUE"""),7.313888888888889)</f>
        <v>7.313888889</v>
      </c>
      <c r="J48" s="200">
        <f>IFERROR(__xludf.DUMMYFUNCTION("""COMPUTED_VALUE"""),85.0)</f>
        <v>85</v>
      </c>
      <c r="K48" s="200">
        <f>IFERROR(__xludf.DUMMYFUNCTION("""COMPUTED_VALUE"""),31.0)</f>
        <v>31</v>
      </c>
      <c r="L48" s="201" t="str">
        <f>IFERROR(__xludf.DUMMYFUNCTION("""COMPUTED_VALUE"""),"RPG / Simulation / Brawler")</f>
        <v>RPG / Simulation / Brawler</v>
      </c>
      <c r="M48" s="201"/>
      <c r="N48" s="201" t="str">
        <f>IFERROR(__xludf.DUMMYFUNCTION("""COMPUTED_VALUE"""),"Returning title: Originally joined 2/26/20, left 12/31/21")</f>
        <v>Returning title: Originally joined 2/26/20, left 12/31/21</v>
      </c>
    </row>
    <row r="49">
      <c r="A49" s="190" t="str">
        <f>IFERROR(__xludf.DUMMYFUNCTION("""COMPUTED_VALUE"""),"Yakuza Kiwami")</f>
        <v>Yakuza Kiwami</v>
      </c>
      <c r="B49" s="195" t="str">
        <f>IFERROR(__xludf.DUMMYFUNCTION("""COMPUTED_VALUE"""),"Xbox / PC")</f>
        <v>Xbox / PC</v>
      </c>
      <c r="C49" s="196" t="str">
        <f>IFERROR(__xludf.DUMMYFUNCTION("""COMPUTED_VALUE"""),"Touch Controls")</f>
        <v>Touch Controls</v>
      </c>
      <c r="D49" s="196" t="str">
        <f>IFERROR(__xludf.DUMMYFUNCTION("""COMPUTED_VALUE"""),"Removed")</f>
        <v>Removed</v>
      </c>
      <c r="E49" s="197">
        <f>IFERROR(__xludf.DUMMYFUNCTION("""COMPUTED_VALUE"""),44747.0)</f>
        <v>44747</v>
      </c>
      <c r="F49" s="198">
        <f>IFERROR(__xludf.DUMMYFUNCTION("""COMPUTED_VALUE"""),45747.0)</f>
        <v>45747</v>
      </c>
      <c r="G49" s="199">
        <f>IFERROR(__xludf.DUMMYFUNCTION("""COMPUTED_VALUE"""),32.833333333333336)</f>
        <v>32.83333333</v>
      </c>
      <c r="H49" s="197">
        <f>IFERROR(__xludf.DUMMYFUNCTION("""COMPUTED_VALUE"""),42390.0)</f>
        <v>42390</v>
      </c>
      <c r="I49" s="199">
        <f>IFERROR(__xludf.DUMMYFUNCTION("""COMPUTED_VALUE"""),6.455555555555556)</f>
        <v>6.455555556</v>
      </c>
      <c r="J49" s="200">
        <f>IFERROR(__xludf.DUMMYFUNCTION("""COMPUTED_VALUE"""),80.0)</f>
        <v>80</v>
      </c>
      <c r="K49" s="200">
        <f>IFERROR(__xludf.DUMMYFUNCTION("""COMPUTED_VALUE"""),18.0)</f>
        <v>18</v>
      </c>
      <c r="L49" s="201" t="str">
        <f>IFERROR(__xludf.DUMMYFUNCTION("""COMPUTED_VALUE"""),"Brawler / Action-Adventure")</f>
        <v>Brawler / Action-Adventure</v>
      </c>
      <c r="M49" s="201"/>
      <c r="N49" s="201" t="str">
        <f>IFERROR(__xludf.DUMMYFUNCTION("""COMPUTED_VALUE"""),"Returning title: Originally joined 4/22/20, left 12/31/21")</f>
        <v>Returning title: Originally joined 4/22/20, left 12/31/21</v>
      </c>
    </row>
    <row r="50">
      <c r="A50" s="190" t="str">
        <f>IFERROR(__xludf.DUMMYFUNCTION("""COMPUTED_VALUE"""),"Yakuza Kiwami 2")</f>
        <v>Yakuza Kiwami 2</v>
      </c>
      <c r="B50" s="195" t="str">
        <f>IFERROR(__xludf.DUMMYFUNCTION("""COMPUTED_VALUE"""),"Xbox / PC")</f>
        <v>Xbox / PC</v>
      </c>
      <c r="C50" s="196" t="str">
        <f>IFERROR(__xludf.DUMMYFUNCTION("""COMPUTED_VALUE"""),"Touch Controls")</f>
        <v>Touch Controls</v>
      </c>
      <c r="D50" s="196" t="str">
        <f>IFERROR(__xludf.DUMMYFUNCTION("""COMPUTED_VALUE"""),"Removed")</f>
        <v>Removed</v>
      </c>
      <c r="E50" s="197">
        <f>IFERROR(__xludf.DUMMYFUNCTION("""COMPUTED_VALUE"""),44747.0)</f>
        <v>44747</v>
      </c>
      <c r="F50" s="198">
        <f>IFERROR(__xludf.DUMMYFUNCTION("""COMPUTED_VALUE"""),45747.0)</f>
        <v>45747</v>
      </c>
      <c r="G50" s="199">
        <f>IFERROR(__xludf.DUMMYFUNCTION("""COMPUTED_VALUE"""),32.833333333333336)</f>
        <v>32.83333333</v>
      </c>
      <c r="H50" s="197">
        <f>IFERROR(__xludf.DUMMYFUNCTION("""COMPUTED_VALUE"""),43076.0)</f>
        <v>43076</v>
      </c>
      <c r="I50" s="199">
        <f>IFERROR(__xludf.DUMMYFUNCTION("""COMPUTED_VALUE"""),4.5777777777777775)</f>
        <v>4.577777778</v>
      </c>
      <c r="J50" s="200">
        <f>IFERROR(__xludf.DUMMYFUNCTION("""COMPUTED_VALUE"""),82.0)</f>
        <v>82</v>
      </c>
      <c r="K50" s="200">
        <f>IFERROR(__xludf.DUMMYFUNCTION("""COMPUTED_VALUE"""),18.5)</f>
        <v>18.5</v>
      </c>
      <c r="L50" s="201" t="str">
        <f>IFERROR(__xludf.DUMMYFUNCTION("""COMPUTED_VALUE"""),"Brawler / Action-Adventure")</f>
        <v>Brawler / Action-Adventure</v>
      </c>
      <c r="M50" s="201"/>
      <c r="N50" s="201" t="str">
        <f>IFERROR(__xludf.DUMMYFUNCTION("""COMPUTED_VALUE"""),"Returning title: Originally joined 7/30/20, left 12/31/21")</f>
        <v>Returning title: Originally joined 7/30/20, left 12/31/21</v>
      </c>
    </row>
    <row r="51">
      <c r="A51" s="190" t="str">
        <f>IFERROR(__xludf.DUMMYFUNCTION("""COMPUTED_VALUE"""),"Outer Wilds")</f>
        <v>Outer Wilds</v>
      </c>
      <c r="B51" s="195" t="str">
        <f>IFERROR(__xludf.DUMMYFUNCTION("""COMPUTED_VALUE"""),"Xbox / PC")</f>
        <v>Xbox / PC</v>
      </c>
      <c r="C51" s="196" t="str">
        <f>IFERROR(__xludf.DUMMYFUNCTION("""COMPUTED_VALUE"""),"Yes")</f>
        <v>Yes</v>
      </c>
      <c r="D51" s="196" t="str">
        <f>IFERROR(__xludf.DUMMYFUNCTION("""COMPUTED_VALUE"""),"Removed")</f>
        <v>Removed</v>
      </c>
      <c r="E51" s="197">
        <f>IFERROR(__xludf.DUMMYFUNCTION("""COMPUTED_VALUE"""),44567.0)</f>
        <v>44567</v>
      </c>
      <c r="F51" s="198">
        <f>IFERROR(__xludf.DUMMYFUNCTION("""COMPUTED_VALUE"""),44926.0)</f>
        <v>44926</v>
      </c>
      <c r="G51" s="199">
        <f>IFERROR(__xludf.DUMMYFUNCTION("""COMPUTED_VALUE"""),11.799999999999999)</f>
        <v>11.8</v>
      </c>
      <c r="H51" s="197">
        <f>IFERROR(__xludf.DUMMYFUNCTION("""COMPUTED_VALUE"""),43614.0)</f>
        <v>43614</v>
      </c>
      <c r="I51" s="199">
        <f>IFERROR(__xludf.DUMMYFUNCTION("""COMPUTED_VALUE"""),2.602777777777778)</f>
        <v>2.602777778</v>
      </c>
      <c r="J51" s="200">
        <f>IFERROR(__xludf.DUMMYFUNCTION("""COMPUTED_VALUE"""),85.0)</f>
        <v>85</v>
      </c>
      <c r="K51" s="200">
        <f>IFERROR(__xludf.DUMMYFUNCTION("""COMPUTED_VALUE"""),15.0)</f>
        <v>15</v>
      </c>
      <c r="L51" s="201" t="str">
        <f>IFERROR(__xludf.DUMMYFUNCTION("""COMPUTED_VALUE"""),"Adventure")</f>
        <v>Adventure</v>
      </c>
      <c r="M51" s="201"/>
      <c r="N51" s="201" t="str">
        <f>IFERROR(__xludf.DUMMYFUNCTION("""COMPUTED_VALUE"""),"Returning title: Added 5/30/19, left 6/30/21")</f>
        <v>Returning title: Added 5/30/19, left 6/30/21</v>
      </c>
    </row>
    <row r="52">
      <c r="A52" s="190" t="str">
        <f>IFERROR(__xludf.DUMMYFUNCTION("""COMPUTED_VALUE"""),"My Friend Pedro")</f>
        <v>My Friend Pedro</v>
      </c>
      <c r="B52" s="195" t="str">
        <f>IFERROR(__xludf.DUMMYFUNCTION("""COMPUTED_VALUE"""),"Xbox / PC")</f>
        <v>Xbox / PC</v>
      </c>
      <c r="C52" s="196" t="str">
        <f>IFERROR(__xludf.DUMMYFUNCTION("""COMPUTED_VALUE"""),"Yes")</f>
        <v>Yes</v>
      </c>
      <c r="D52" s="196" t="str">
        <f>IFERROR(__xludf.DUMMYFUNCTION("""COMPUTED_VALUE"""),"Removed")</f>
        <v>Removed</v>
      </c>
      <c r="E52" s="197">
        <f>IFERROR(__xludf.DUMMYFUNCTION("""COMPUTED_VALUE"""),44518.0)</f>
        <v>44518</v>
      </c>
      <c r="F52" s="198">
        <f>IFERROR(__xludf.DUMMYFUNCTION("""COMPUTED_VALUE"""),45061.0)</f>
        <v>45061</v>
      </c>
      <c r="G52" s="199">
        <f>IFERROR(__xludf.DUMMYFUNCTION("""COMPUTED_VALUE"""),17.9)</f>
        <v>17.9</v>
      </c>
      <c r="H52" s="197">
        <f>IFERROR(__xludf.DUMMYFUNCTION("""COMPUTED_VALUE"""),43636.0)</f>
        <v>43636</v>
      </c>
      <c r="I52" s="199">
        <f>IFERROR(__xludf.DUMMYFUNCTION("""COMPUTED_VALUE"""),2.411111111111111)</f>
        <v>2.411111111</v>
      </c>
      <c r="J52" s="200">
        <f>IFERROR(__xludf.DUMMYFUNCTION("""COMPUTED_VALUE"""),80.0)</f>
        <v>80</v>
      </c>
      <c r="K52" s="200">
        <f>IFERROR(__xludf.DUMMYFUNCTION("""COMPUTED_VALUE"""),4.0)</f>
        <v>4</v>
      </c>
      <c r="L52" s="201" t="str">
        <f>IFERROR(__xludf.DUMMYFUNCTION("""COMPUTED_VALUE"""),"Action")</f>
        <v>Action</v>
      </c>
      <c r="M52" s="201" t="str">
        <f>IFERROR(__xludf.DUMMYFUNCTION("""COMPUTED_VALUE"""),"FPS Boost")</f>
        <v>FPS Boost</v>
      </c>
      <c r="N52" s="201" t="str">
        <f>IFERROR(__xludf.DUMMYFUNCTION("""COMPUTED_VALUE"""),"Returning title: Joined 12/5/19, left 1/15/21")</f>
        <v>Returning title: Joined 12/5/19, left 1/15/21</v>
      </c>
    </row>
    <row r="53">
      <c r="A53" s="190" t="str">
        <f>IFERROR(__xludf.DUMMYFUNCTION("""COMPUTED_VALUE"""),"Mutant Year Zero: Road to Eden")</f>
        <v>Mutant Year Zero: Road to Eden</v>
      </c>
      <c r="B53" s="195" t="str">
        <f>IFERROR(__xludf.DUMMYFUNCTION("""COMPUTED_VALUE"""),"PC")</f>
        <v>PC</v>
      </c>
      <c r="C53" s="196"/>
      <c r="D53" s="196" t="str">
        <f>IFERROR(__xludf.DUMMYFUNCTION("""COMPUTED_VALUE"""),"Removed")</f>
        <v>Removed</v>
      </c>
      <c r="E53" s="197">
        <f>IFERROR(__xludf.DUMMYFUNCTION("""COMPUTED_VALUE"""),44273.0)</f>
        <v>44273</v>
      </c>
      <c r="F53" s="198">
        <f>IFERROR(__xludf.DUMMYFUNCTION("""COMPUTED_VALUE"""),44284.0)</f>
        <v>44284</v>
      </c>
      <c r="G53" s="199">
        <f>IFERROR(__xludf.DUMMYFUNCTION("""COMPUTED_VALUE"""),0.36666666666666664)</f>
        <v>0.3666666667</v>
      </c>
      <c r="H53" s="197">
        <f>IFERROR(__xludf.DUMMYFUNCTION("""COMPUTED_VALUE"""),43438.0)</f>
        <v>43438</v>
      </c>
      <c r="I53" s="199">
        <f>IFERROR(__xludf.DUMMYFUNCTION("""COMPUTED_VALUE"""),2.2888888888888888)</f>
        <v>2.288888889</v>
      </c>
      <c r="J53" s="200">
        <f>IFERROR(__xludf.DUMMYFUNCTION("""COMPUTED_VALUE"""),78.0)</f>
        <v>78</v>
      </c>
      <c r="K53" s="200">
        <f>IFERROR(__xludf.DUMMYFUNCTION("""COMPUTED_VALUE"""),13.0)</f>
        <v>13</v>
      </c>
      <c r="L53" s="201" t="str">
        <f>IFERROR(__xludf.DUMMYFUNCTION("""COMPUTED_VALUE"""),"Strategy")</f>
        <v>Strategy</v>
      </c>
      <c r="M53" s="201"/>
      <c r="N53" s="201" t="str">
        <f>IFERROR(__xludf.DUMMYFUNCTION("""COMPUTED_VALUE"""),"Returning title: Joined 12/4/18, left 12/15/20 (console and PC)")</f>
        <v>Returning title: Joined 12/4/18, left 12/15/20 (console and PC)</v>
      </c>
    </row>
    <row r="54">
      <c r="A54" s="190"/>
      <c r="B54" s="195"/>
      <c r="C54" s="196"/>
      <c r="D54" s="196"/>
      <c r="E54" s="197"/>
      <c r="F54" s="198"/>
      <c r="G54" s="199"/>
      <c r="H54" s="197"/>
      <c r="I54" s="199"/>
      <c r="J54" s="200"/>
      <c r="K54" s="211"/>
      <c r="L54" s="201"/>
      <c r="M54" s="201"/>
      <c r="N54" s="201"/>
    </row>
    <row r="55">
      <c r="A55" s="190"/>
      <c r="B55" s="195"/>
      <c r="C55" s="196"/>
      <c r="D55" s="196"/>
      <c r="E55" s="197"/>
      <c r="F55" s="198"/>
      <c r="G55" s="199"/>
      <c r="H55" s="197"/>
      <c r="I55" s="199"/>
      <c r="J55" s="200"/>
      <c r="K55" s="211"/>
      <c r="L55" s="201"/>
      <c r="M55" s="201"/>
      <c r="N55" s="201"/>
    </row>
    <row r="56">
      <c r="A56" s="190"/>
      <c r="B56" s="195"/>
      <c r="C56" s="196"/>
      <c r="D56" s="196"/>
      <c r="E56" s="197"/>
      <c r="F56" s="198"/>
      <c r="G56" s="199"/>
      <c r="H56" s="197"/>
      <c r="I56" s="199"/>
      <c r="J56" s="200"/>
      <c r="K56" s="211"/>
      <c r="L56" s="201"/>
      <c r="M56" s="201"/>
      <c r="N56" s="201"/>
    </row>
    <row r="57">
      <c r="A57" s="190"/>
      <c r="B57" s="195"/>
      <c r="C57" s="196"/>
      <c r="D57" s="196"/>
      <c r="E57" s="197"/>
      <c r="F57" s="198"/>
      <c r="G57" s="199"/>
      <c r="H57" s="197"/>
      <c r="I57" s="199"/>
      <c r="J57" s="200"/>
      <c r="K57" s="211"/>
      <c r="L57" s="201"/>
      <c r="M57" s="201"/>
      <c r="N57" s="201"/>
    </row>
    <row r="58">
      <c r="A58" s="190"/>
      <c r="B58" s="195"/>
      <c r="C58" s="196"/>
      <c r="D58" s="196"/>
      <c r="E58" s="197"/>
      <c r="F58" s="198"/>
      <c r="G58" s="199"/>
      <c r="H58" s="197"/>
      <c r="I58" s="199"/>
      <c r="J58" s="200"/>
      <c r="K58" s="211"/>
      <c r="L58" s="201"/>
      <c r="M58" s="201"/>
      <c r="N58" s="201"/>
    </row>
    <row r="59">
      <c r="A59" s="190"/>
      <c r="B59" s="195"/>
      <c r="C59" s="196"/>
      <c r="D59" s="196"/>
      <c r="E59" s="197"/>
      <c r="F59" s="198"/>
      <c r="G59" s="199"/>
      <c r="H59" s="197"/>
      <c r="I59" s="199"/>
      <c r="J59" s="200"/>
      <c r="K59" s="211"/>
      <c r="L59" s="201"/>
      <c r="M59" s="201"/>
      <c r="N59" s="201"/>
    </row>
    <row r="60">
      <c r="A60" s="190"/>
      <c r="B60" s="195"/>
      <c r="C60" s="196"/>
      <c r="D60" s="196"/>
      <c r="E60" s="197"/>
      <c r="F60" s="198"/>
      <c r="G60" s="199"/>
      <c r="H60" s="197"/>
      <c r="I60" s="199"/>
      <c r="J60" s="200"/>
      <c r="K60" s="211"/>
      <c r="L60" s="201"/>
      <c r="M60" s="201"/>
      <c r="N60" s="201"/>
    </row>
    <row r="61">
      <c r="A61" s="190"/>
      <c r="B61" s="195"/>
      <c r="C61" s="196"/>
      <c r="D61" s="196"/>
      <c r="E61" s="197"/>
      <c r="F61" s="198"/>
      <c r="G61" s="199"/>
      <c r="H61" s="197"/>
      <c r="I61" s="199"/>
      <c r="J61" s="200"/>
      <c r="K61" s="211"/>
      <c r="L61" s="201"/>
      <c r="M61" s="201"/>
      <c r="N61" s="201"/>
    </row>
    <row r="62">
      <c r="A62" s="190"/>
      <c r="B62" s="195"/>
      <c r="C62" s="196"/>
      <c r="D62" s="196"/>
      <c r="E62" s="197"/>
      <c r="F62" s="198"/>
      <c r="G62" s="199"/>
      <c r="H62" s="197"/>
      <c r="I62" s="199"/>
      <c r="J62" s="200"/>
      <c r="K62" s="211"/>
      <c r="L62" s="201"/>
      <c r="M62" s="201"/>
      <c r="N62" s="201"/>
    </row>
    <row r="63">
      <c r="A63" s="190"/>
      <c r="B63" s="195"/>
      <c r="C63" s="196"/>
      <c r="D63" s="196"/>
      <c r="E63" s="197"/>
      <c r="F63" s="198"/>
      <c r="G63" s="199"/>
      <c r="H63" s="197"/>
      <c r="I63" s="199"/>
      <c r="J63" s="200"/>
      <c r="K63" s="211"/>
      <c r="L63" s="201"/>
      <c r="M63" s="201"/>
      <c r="N63" s="201"/>
    </row>
    <row r="64">
      <c r="A64" s="190"/>
      <c r="B64" s="195"/>
      <c r="C64" s="196"/>
      <c r="D64" s="196"/>
      <c r="E64" s="197"/>
      <c r="F64" s="198"/>
      <c r="G64" s="199"/>
      <c r="H64" s="197"/>
      <c r="I64" s="199"/>
      <c r="J64" s="200"/>
      <c r="K64" s="211"/>
      <c r="L64" s="201"/>
      <c r="M64" s="201"/>
      <c r="N64" s="201"/>
    </row>
    <row r="65">
      <c r="A65" s="190"/>
      <c r="B65" s="195"/>
      <c r="C65" s="196"/>
      <c r="D65" s="196"/>
      <c r="E65" s="197"/>
      <c r="F65" s="198"/>
      <c r="G65" s="199"/>
      <c r="H65" s="197"/>
      <c r="I65" s="199"/>
      <c r="J65" s="200"/>
      <c r="K65" s="211"/>
      <c r="L65" s="201"/>
      <c r="M65" s="201"/>
      <c r="N65" s="201"/>
    </row>
    <row r="66">
      <c r="A66" s="190"/>
      <c r="B66" s="195"/>
      <c r="C66" s="196"/>
      <c r="D66" s="196"/>
      <c r="E66" s="197"/>
      <c r="F66" s="198"/>
      <c r="G66" s="199"/>
      <c r="H66" s="197"/>
      <c r="I66" s="199"/>
      <c r="J66" s="200"/>
      <c r="K66" s="211"/>
      <c r="L66" s="201"/>
      <c r="M66" s="201"/>
      <c r="N66" s="201"/>
    </row>
    <row r="67">
      <c r="A67" s="190"/>
      <c r="B67" s="195"/>
      <c r="C67" s="196"/>
      <c r="D67" s="196"/>
      <c r="E67" s="197"/>
      <c r="F67" s="198"/>
      <c r="G67" s="199"/>
      <c r="H67" s="197"/>
      <c r="I67" s="199"/>
      <c r="J67" s="200"/>
      <c r="K67" s="211"/>
      <c r="L67" s="201"/>
      <c r="M67" s="201"/>
      <c r="N67" s="201"/>
    </row>
    <row r="68">
      <c r="A68" s="190"/>
      <c r="B68" s="195"/>
      <c r="C68" s="196"/>
      <c r="D68" s="196"/>
      <c r="E68" s="197"/>
      <c r="F68" s="198"/>
      <c r="G68" s="199"/>
      <c r="H68" s="197"/>
      <c r="I68" s="199"/>
      <c r="J68" s="200"/>
      <c r="K68" s="211"/>
      <c r="L68" s="201"/>
      <c r="M68" s="201"/>
      <c r="N68" s="201"/>
    </row>
    <row r="69">
      <c r="A69" s="190"/>
      <c r="B69" s="195"/>
      <c r="C69" s="196"/>
      <c r="D69" s="196"/>
      <c r="E69" s="197"/>
      <c r="F69" s="198"/>
      <c r="G69" s="199"/>
      <c r="H69" s="197"/>
      <c r="I69" s="199"/>
      <c r="J69" s="200"/>
      <c r="K69" s="211"/>
      <c r="L69" s="201"/>
      <c r="M69" s="201"/>
      <c r="N69" s="201"/>
    </row>
    <row r="70">
      <c r="A70" s="190"/>
      <c r="B70" s="195"/>
      <c r="C70" s="196"/>
      <c r="D70" s="196"/>
      <c r="E70" s="197"/>
      <c r="F70" s="198"/>
      <c r="G70" s="199"/>
      <c r="H70" s="197"/>
      <c r="I70" s="199"/>
      <c r="J70" s="200"/>
      <c r="K70" s="211"/>
      <c r="L70" s="201"/>
      <c r="M70" s="201"/>
      <c r="N70" s="201"/>
    </row>
    <row r="71">
      <c r="A71" s="190"/>
      <c r="B71" s="195"/>
      <c r="C71" s="196"/>
      <c r="D71" s="196"/>
      <c r="E71" s="197"/>
      <c r="F71" s="198"/>
      <c r="G71" s="199"/>
      <c r="H71" s="197"/>
      <c r="I71" s="199"/>
      <c r="J71" s="200"/>
      <c r="K71" s="211"/>
      <c r="L71" s="201"/>
      <c r="M71" s="201"/>
      <c r="N71" s="201"/>
    </row>
    <row r="72">
      <c r="A72" s="190"/>
      <c r="B72" s="195"/>
      <c r="C72" s="196"/>
      <c r="D72" s="196"/>
      <c r="E72" s="197"/>
      <c r="F72" s="198"/>
      <c r="G72" s="199"/>
      <c r="H72" s="197"/>
      <c r="I72" s="199"/>
      <c r="J72" s="200"/>
      <c r="K72" s="211"/>
      <c r="L72" s="201"/>
      <c r="M72" s="201"/>
      <c r="N72" s="201"/>
    </row>
    <row r="73">
      <c r="A73" s="190"/>
      <c r="B73" s="195"/>
      <c r="C73" s="196"/>
      <c r="D73" s="196"/>
      <c r="E73" s="197"/>
      <c r="F73" s="198"/>
      <c r="G73" s="199"/>
      <c r="H73" s="197"/>
      <c r="I73" s="199"/>
      <c r="J73" s="200"/>
      <c r="K73" s="211"/>
      <c r="L73" s="201"/>
      <c r="M73" s="201"/>
      <c r="N73" s="201"/>
    </row>
    <row r="74">
      <c r="A74" s="190"/>
      <c r="B74" s="195"/>
      <c r="C74" s="196"/>
      <c r="D74" s="196"/>
      <c r="E74" s="197"/>
      <c r="F74" s="198"/>
      <c r="G74" s="199"/>
      <c r="H74" s="197"/>
      <c r="I74" s="199"/>
      <c r="J74" s="200"/>
      <c r="K74" s="211"/>
      <c r="L74" s="201"/>
      <c r="M74" s="201"/>
      <c r="N74" s="201"/>
    </row>
    <row r="75">
      <c r="A75" s="190"/>
      <c r="B75" s="195"/>
      <c r="C75" s="196"/>
      <c r="D75" s="196"/>
      <c r="E75" s="197"/>
      <c r="F75" s="198"/>
      <c r="G75" s="199"/>
      <c r="H75" s="197"/>
      <c r="I75" s="199"/>
      <c r="J75" s="200"/>
      <c r="K75" s="211"/>
      <c r="L75" s="201"/>
      <c r="M75" s="201"/>
      <c r="N75" s="201"/>
    </row>
    <row r="76">
      <c r="A76" s="190"/>
      <c r="B76" s="195"/>
      <c r="C76" s="196"/>
      <c r="D76" s="196"/>
      <c r="E76" s="197"/>
      <c r="F76" s="198"/>
      <c r="G76" s="199"/>
      <c r="H76" s="197"/>
      <c r="I76" s="199"/>
      <c r="J76" s="200"/>
      <c r="K76" s="211"/>
      <c r="L76" s="201"/>
      <c r="M76" s="201"/>
      <c r="N76" s="201"/>
    </row>
    <row r="77">
      <c r="A77" s="190"/>
      <c r="B77" s="195"/>
      <c r="C77" s="196"/>
      <c r="D77" s="196"/>
      <c r="E77" s="197"/>
      <c r="F77" s="198"/>
      <c r="G77" s="199"/>
      <c r="H77" s="197"/>
      <c r="I77" s="199"/>
      <c r="J77" s="200"/>
      <c r="K77" s="211"/>
      <c r="L77" s="201"/>
      <c r="M77" s="201"/>
      <c r="N77" s="201"/>
    </row>
    <row r="78">
      <c r="A78" s="190"/>
      <c r="B78" s="195"/>
      <c r="C78" s="196"/>
      <c r="D78" s="196"/>
      <c r="E78" s="197"/>
      <c r="F78" s="198"/>
      <c r="G78" s="199"/>
      <c r="H78" s="197"/>
      <c r="I78" s="199"/>
      <c r="J78" s="200"/>
      <c r="K78" s="211"/>
      <c r="L78" s="201"/>
      <c r="M78" s="201"/>
      <c r="N78" s="201"/>
    </row>
    <row r="79">
      <c r="A79" s="190"/>
      <c r="B79" s="195"/>
      <c r="C79" s="196"/>
      <c r="D79" s="196"/>
      <c r="E79" s="197"/>
      <c r="F79" s="198"/>
      <c r="G79" s="199"/>
      <c r="H79" s="197"/>
      <c r="I79" s="199"/>
      <c r="J79" s="200"/>
      <c r="K79" s="211"/>
      <c r="L79" s="201"/>
      <c r="M79" s="201"/>
      <c r="N79" s="201"/>
    </row>
    <row r="80">
      <c r="A80" s="190"/>
      <c r="B80" s="195"/>
      <c r="C80" s="196"/>
      <c r="D80" s="196"/>
      <c r="E80" s="197"/>
      <c r="F80" s="198"/>
      <c r="G80" s="199"/>
      <c r="H80" s="197"/>
      <c r="I80" s="199"/>
      <c r="J80" s="200"/>
      <c r="K80" s="211"/>
      <c r="L80" s="201"/>
      <c r="M80" s="201"/>
      <c r="N80" s="201"/>
    </row>
    <row r="81">
      <c r="A81" s="190"/>
      <c r="B81" s="195"/>
      <c r="C81" s="196"/>
      <c r="D81" s="196"/>
      <c r="E81" s="197"/>
      <c r="F81" s="198"/>
      <c r="G81" s="199"/>
      <c r="H81" s="197"/>
      <c r="I81" s="199"/>
      <c r="J81" s="200"/>
      <c r="K81" s="211"/>
      <c r="L81" s="201"/>
      <c r="M81" s="201"/>
      <c r="N81" s="201"/>
    </row>
    <row r="82">
      <c r="A82" s="190"/>
      <c r="B82" s="195"/>
      <c r="C82" s="196"/>
      <c r="D82" s="196"/>
      <c r="E82" s="197"/>
      <c r="F82" s="198"/>
      <c r="G82" s="199"/>
      <c r="H82" s="197"/>
      <c r="I82" s="199"/>
      <c r="J82" s="200"/>
      <c r="K82" s="211"/>
      <c r="L82" s="201"/>
      <c r="M82" s="201"/>
      <c r="N82" s="201"/>
    </row>
    <row r="83">
      <c r="A83" s="190"/>
      <c r="B83" s="195"/>
      <c r="C83" s="196"/>
      <c r="D83" s="196"/>
      <c r="E83" s="197"/>
      <c r="F83" s="198"/>
      <c r="G83" s="199"/>
      <c r="H83" s="197"/>
      <c r="I83" s="199"/>
      <c r="J83" s="200"/>
      <c r="K83" s="211"/>
      <c r="L83" s="201"/>
      <c r="M83" s="201"/>
      <c r="N83" s="201"/>
    </row>
    <row r="84">
      <c r="A84" s="190"/>
      <c r="B84" s="195"/>
      <c r="C84" s="196"/>
      <c r="D84" s="196"/>
      <c r="E84" s="197"/>
      <c r="F84" s="198"/>
      <c r="G84" s="199"/>
      <c r="H84" s="197"/>
      <c r="I84" s="199"/>
      <c r="J84" s="200"/>
      <c r="K84" s="211"/>
      <c r="L84" s="201"/>
      <c r="M84" s="201"/>
      <c r="N84" s="201"/>
    </row>
    <row r="85">
      <c r="A85" s="190"/>
      <c r="B85" s="195"/>
      <c r="C85" s="196"/>
      <c r="D85" s="196"/>
      <c r="E85" s="197"/>
      <c r="F85" s="198"/>
      <c r="G85" s="199"/>
      <c r="H85" s="197"/>
      <c r="I85" s="199"/>
      <c r="J85" s="200"/>
      <c r="K85" s="211"/>
      <c r="L85" s="201"/>
      <c r="M85" s="201"/>
      <c r="N85" s="201"/>
    </row>
    <row r="86">
      <c r="A86" s="190"/>
      <c r="B86" s="195"/>
      <c r="C86" s="196"/>
      <c r="D86" s="196"/>
      <c r="E86" s="197"/>
      <c r="F86" s="198"/>
      <c r="G86" s="199"/>
      <c r="H86" s="197"/>
      <c r="I86" s="199"/>
      <c r="J86" s="200"/>
      <c r="K86" s="211"/>
      <c r="L86" s="201"/>
      <c r="M86" s="201"/>
      <c r="N86" s="201"/>
    </row>
    <row r="87">
      <c r="A87" s="190"/>
      <c r="B87" s="195"/>
      <c r="C87" s="196"/>
      <c r="D87" s="196"/>
      <c r="E87" s="197"/>
      <c r="F87" s="198"/>
      <c r="G87" s="199"/>
      <c r="H87" s="197"/>
      <c r="I87" s="199"/>
      <c r="J87" s="200"/>
      <c r="K87" s="211"/>
      <c r="L87" s="201"/>
      <c r="M87" s="201"/>
      <c r="N87" s="201"/>
    </row>
    <row r="88">
      <c r="A88" s="190"/>
      <c r="B88" s="195"/>
      <c r="C88" s="196"/>
      <c r="D88" s="196"/>
      <c r="E88" s="197"/>
      <c r="F88" s="198"/>
      <c r="G88" s="199"/>
      <c r="H88" s="197"/>
      <c r="I88" s="199"/>
      <c r="J88" s="200"/>
      <c r="K88" s="211"/>
      <c r="L88" s="201"/>
      <c r="M88" s="201"/>
      <c r="N88" s="201"/>
    </row>
    <row r="89">
      <c r="A89" s="190"/>
      <c r="B89" s="195"/>
      <c r="C89" s="196"/>
      <c r="D89" s="196"/>
      <c r="E89" s="197"/>
      <c r="F89" s="198"/>
      <c r="G89" s="199"/>
      <c r="H89" s="197"/>
      <c r="I89" s="199"/>
      <c r="J89" s="200"/>
      <c r="K89" s="211"/>
      <c r="L89" s="201"/>
      <c r="M89" s="201"/>
      <c r="N89" s="201"/>
    </row>
    <row r="90">
      <c r="A90" s="190"/>
      <c r="B90" s="195"/>
      <c r="C90" s="196"/>
      <c r="D90" s="196"/>
      <c r="E90" s="197"/>
      <c r="F90" s="198"/>
      <c r="G90" s="199"/>
      <c r="H90" s="197"/>
      <c r="I90" s="199"/>
      <c r="J90" s="200"/>
      <c r="K90" s="211"/>
      <c r="L90" s="201"/>
      <c r="M90" s="201"/>
      <c r="N90" s="201"/>
    </row>
    <row r="91">
      <c r="A91" s="190"/>
      <c r="B91" s="195"/>
      <c r="C91" s="196"/>
      <c r="D91" s="196"/>
      <c r="E91" s="197"/>
      <c r="F91" s="198"/>
      <c r="G91" s="199"/>
      <c r="H91" s="197"/>
      <c r="I91" s="199"/>
      <c r="J91" s="200"/>
      <c r="K91" s="211"/>
      <c r="L91" s="201"/>
      <c r="M91" s="201"/>
      <c r="N91" s="201"/>
    </row>
    <row r="92">
      <c r="A92" s="190"/>
      <c r="B92" s="195"/>
      <c r="C92" s="196"/>
      <c r="D92" s="196"/>
      <c r="E92" s="197"/>
      <c r="F92" s="198"/>
      <c r="G92" s="199"/>
      <c r="H92" s="197"/>
      <c r="I92" s="199"/>
      <c r="J92" s="200"/>
      <c r="K92" s="211"/>
      <c r="L92" s="201"/>
      <c r="M92" s="201"/>
      <c r="N92" s="201"/>
    </row>
    <row r="93">
      <c r="A93" s="190"/>
      <c r="B93" s="195"/>
      <c r="C93" s="196"/>
      <c r="D93" s="196"/>
      <c r="E93" s="197"/>
      <c r="F93" s="198"/>
      <c r="G93" s="199"/>
      <c r="H93" s="197"/>
      <c r="I93" s="199"/>
      <c r="J93" s="200"/>
      <c r="K93" s="211"/>
      <c r="L93" s="201"/>
      <c r="M93" s="201"/>
      <c r="N93" s="201"/>
    </row>
    <row r="94">
      <c r="A94" s="190"/>
      <c r="B94" s="195"/>
      <c r="C94" s="196"/>
      <c r="D94" s="196"/>
      <c r="E94" s="197"/>
      <c r="F94" s="198"/>
      <c r="G94" s="199"/>
      <c r="H94" s="197"/>
      <c r="I94" s="199"/>
      <c r="J94" s="200"/>
      <c r="K94" s="211"/>
      <c r="L94" s="201"/>
      <c r="M94" s="201"/>
      <c r="N94" s="201"/>
    </row>
    <row r="95">
      <c r="A95" s="190"/>
      <c r="B95" s="195"/>
      <c r="C95" s="196"/>
      <c r="D95" s="196"/>
      <c r="E95" s="197"/>
      <c r="F95" s="198"/>
      <c r="G95" s="199"/>
      <c r="H95" s="197"/>
      <c r="I95" s="199"/>
      <c r="J95" s="200"/>
      <c r="K95" s="211"/>
      <c r="L95" s="201"/>
      <c r="M95" s="201"/>
      <c r="N95" s="201"/>
    </row>
    <row r="96">
      <c r="A96" s="190"/>
      <c r="B96" s="195"/>
      <c r="C96" s="196"/>
      <c r="D96" s="196"/>
      <c r="E96" s="197"/>
      <c r="F96" s="198"/>
      <c r="G96" s="199"/>
      <c r="H96" s="197"/>
      <c r="I96" s="199"/>
      <c r="J96" s="200"/>
      <c r="K96" s="211"/>
      <c r="L96" s="201"/>
      <c r="M96" s="201"/>
      <c r="N96" s="201"/>
    </row>
    <row r="97">
      <c r="A97" s="190"/>
      <c r="B97" s="195"/>
      <c r="C97" s="196"/>
      <c r="D97" s="196"/>
      <c r="E97" s="197"/>
      <c r="F97" s="198"/>
      <c r="G97" s="199"/>
      <c r="H97" s="197"/>
      <c r="I97" s="199"/>
      <c r="J97" s="200"/>
      <c r="K97" s="211"/>
      <c r="L97" s="201"/>
      <c r="M97" s="201"/>
      <c r="N97" s="201"/>
    </row>
    <row r="98">
      <c r="A98" s="190"/>
      <c r="B98" s="195"/>
      <c r="C98" s="196"/>
      <c r="D98" s="196"/>
      <c r="E98" s="197"/>
      <c r="F98" s="198"/>
      <c r="G98" s="199"/>
      <c r="H98" s="197"/>
      <c r="I98" s="199"/>
      <c r="J98" s="200"/>
      <c r="K98" s="211"/>
      <c r="L98" s="201"/>
      <c r="M98" s="201"/>
      <c r="N98" s="201"/>
    </row>
    <row r="99">
      <c r="A99" s="190"/>
      <c r="B99" s="195"/>
      <c r="C99" s="196"/>
      <c r="D99" s="196"/>
      <c r="E99" s="197"/>
      <c r="F99" s="198"/>
      <c r="G99" s="199"/>
      <c r="H99" s="197"/>
      <c r="I99" s="199"/>
      <c r="J99" s="200"/>
      <c r="K99" s="211"/>
      <c r="L99" s="201"/>
      <c r="M99" s="201"/>
      <c r="N99" s="201"/>
    </row>
    <row r="100">
      <c r="A100" s="190"/>
      <c r="B100" s="195"/>
      <c r="C100" s="196"/>
      <c r="D100" s="196"/>
      <c r="E100" s="197"/>
      <c r="F100" s="198"/>
      <c r="G100" s="199"/>
      <c r="H100" s="197"/>
      <c r="I100" s="199"/>
      <c r="J100" s="200"/>
      <c r="K100" s="211"/>
      <c r="L100" s="201"/>
      <c r="M100" s="201"/>
      <c r="N100" s="201"/>
    </row>
    <row r="101">
      <c r="A101" s="190"/>
      <c r="B101" s="195"/>
      <c r="C101" s="196"/>
      <c r="D101" s="196"/>
      <c r="E101" s="197"/>
      <c r="F101" s="198"/>
      <c r="G101" s="199"/>
      <c r="H101" s="197"/>
      <c r="I101" s="199"/>
      <c r="J101" s="200"/>
      <c r="K101" s="211"/>
      <c r="L101" s="201"/>
      <c r="M101" s="201"/>
      <c r="N101" s="201"/>
    </row>
    <row r="102">
      <c r="A102" s="190"/>
      <c r="B102" s="195"/>
      <c r="C102" s="196"/>
      <c r="D102" s="196"/>
      <c r="E102" s="197"/>
      <c r="F102" s="198"/>
      <c r="G102" s="199"/>
      <c r="H102" s="197"/>
      <c r="I102" s="199"/>
      <c r="J102" s="200"/>
      <c r="K102" s="211"/>
      <c r="L102" s="201"/>
      <c r="M102" s="201"/>
      <c r="N102" s="201"/>
    </row>
    <row r="103">
      <c r="A103" s="190"/>
      <c r="B103" s="195"/>
      <c r="C103" s="196"/>
      <c r="D103" s="196"/>
      <c r="E103" s="197"/>
      <c r="F103" s="198"/>
      <c r="G103" s="199"/>
      <c r="H103" s="197"/>
      <c r="I103" s="199"/>
      <c r="J103" s="200"/>
      <c r="K103" s="211"/>
      <c r="L103" s="201"/>
      <c r="M103" s="201"/>
      <c r="N103" s="201"/>
    </row>
    <row r="104">
      <c r="A104" s="190"/>
      <c r="B104" s="195"/>
      <c r="C104" s="196"/>
      <c r="D104" s="196"/>
      <c r="E104" s="197"/>
      <c r="F104" s="198"/>
      <c r="G104" s="199"/>
      <c r="H104" s="197"/>
      <c r="I104" s="199"/>
      <c r="J104" s="200"/>
      <c r="K104" s="211"/>
      <c r="L104" s="201"/>
      <c r="M104" s="201"/>
      <c r="N104" s="201"/>
    </row>
    <row r="105">
      <c r="A105" s="190"/>
      <c r="B105" s="195"/>
      <c r="C105" s="196"/>
      <c r="D105" s="196"/>
      <c r="E105" s="197"/>
      <c r="F105" s="198"/>
      <c r="G105" s="199"/>
      <c r="H105" s="197"/>
      <c r="I105" s="199"/>
      <c r="J105" s="200"/>
      <c r="K105" s="211"/>
      <c r="L105" s="201"/>
      <c r="M105" s="201"/>
      <c r="N105" s="201"/>
    </row>
    <row r="106">
      <c r="A106" s="190"/>
      <c r="B106" s="195"/>
      <c r="C106" s="196"/>
      <c r="D106" s="196"/>
      <c r="E106" s="197"/>
      <c r="F106" s="198"/>
      <c r="G106" s="199"/>
      <c r="H106" s="197"/>
      <c r="I106" s="199"/>
      <c r="J106" s="200"/>
      <c r="K106" s="211"/>
      <c r="L106" s="201"/>
      <c r="M106" s="201"/>
      <c r="N106" s="201"/>
    </row>
    <row r="107">
      <c r="A107" s="190"/>
      <c r="B107" s="195"/>
      <c r="C107" s="196"/>
      <c r="D107" s="196"/>
      <c r="E107" s="197"/>
      <c r="F107" s="198"/>
      <c r="G107" s="199"/>
      <c r="H107" s="197"/>
      <c r="I107" s="199"/>
      <c r="J107" s="200"/>
      <c r="K107" s="211"/>
      <c r="L107" s="201"/>
      <c r="M107" s="201"/>
      <c r="N107" s="201"/>
    </row>
    <row r="108">
      <c r="A108" s="190"/>
      <c r="B108" s="195"/>
      <c r="C108" s="196"/>
      <c r="D108" s="196"/>
      <c r="E108" s="197"/>
      <c r="F108" s="198"/>
      <c r="G108" s="199"/>
      <c r="H108" s="197"/>
      <c r="I108" s="199"/>
      <c r="J108" s="200"/>
      <c r="K108" s="211"/>
      <c r="L108" s="201"/>
      <c r="M108" s="201"/>
      <c r="N108" s="201"/>
    </row>
    <row r="109">
      <c r="A109" s="190"/>
      <c r="B109" s="195"/>
      <c r="C109" s="196"/>
      <c r="D109" s="196"/>
      <c r="E109" s="197"/>
      <c r="F109" s="198"/>
      <c r="G109" s="199"/>
      <c r="H109" s="197"/>
      <c r="I109" s="199"/>
      <c r="J109" s="200"/>
      <c r="K109" s="211"/>
      <c r="L109" s="201"/>
      <c r="M109" s="201"/>
      <c r="N109" s="201"/>
    </row>
    <row r="110">
      <c r="A110" s="190"/>
      <c r="B110" s="195"/>
      <c r="C110" s="196"/>
      <c r="D110" s="196"/>
      <c r="E110" s="197"/>
      <c r="F110" s="198"/>
      <c r="G110" s="199"/>
      <c r="H110" s="197"/>
      <c r="I110" s="199"/>
      <c r="J110" s="200"/>
      <c r="K110" s="211"/>
      <c r="L110" s="201"/>
      <c r="M110" s="201"/>
      <c r="N110" s="201"/>
    </row>
    <row r="111">
      <c r="A111" s="190"/>
      <c r="B111" s="195"/>
      <c r="C111" s="196"/>
      <c r="D111" s="196"/>
      <c r="E111" s="197"/>
      <c r="F111" s="198"/>
      <c r="G111" s="199"/>
      <c r="H111" s="197"/>
      <c r="I111" s="199"/>
      <c r="J111" s="200"/>
      <c r="K111" s="211"/>
      <c r="L111" s="201"/>
      <c r="M111" s="201"/>
      <c r="N111" s="201"/>
    </row>
    <row r="112">
      <c r="A112" s="190"/>
      <c r="B112" s="195"/>
      <c r="C112" s="196"/>
      <c r="D112" s="196"/>
      <c r="E112" s="197"/>
      <c r="F112" s="198"/>
      <c r="G112" s="199"/>
      <c r="H112" s="197"/>
      <c r="I112" s="199"/>
      <c r="J112" s="200"/>
      <c r="K112" s="211"/>
      <c r="L112" s="201"/>
      <c r="M112" s="201"/>
      <c r="N112" s="201"/>
    </row>
    <row r="113">
      <c r="A113" s="190"/>
      <c r="B113" s="195"/>
      <c r="C113" s="196"/>
      <c r="D113" s="196"/>
      <c r="E113" s="197"/>
      <c r="F113" s="198"/>
      <c r="G113" s="199"/>
      <c r="H113" s="197"/>
      <c r="I113" s="199"/>
      <c r="J113" s="200"/>
      <c r="K113" s="211"/>
      <c r="L113" s="201"/>
      <c r="M113" s="201"/>
      <c r="N113" s="201"/>
    </row>
    <row r="114">
      <c r="A114" s="190"/>
      <c r="B114" s="195"/>
      <c r="C114" s="196"/>
      <c r="D114" s="196"/>
      <c r="E114" s="197"/>
      <c r="F114" s="198"/>
      <c r="G114" s="199"/>
      <c r="H114" s="197"/>
      <c r="I114" s="199"/>
      <c r="J114" s="200"/>
      <c r="K114" s="211"/>
      <c r="L114" s="201"/>
      <c r="M114" s="201"/>
      <c r="N114" s="201"/>
    </row>
    <row r="115">
      <c r="A115" s="190"/>
      <c r="B115" s="195"/>
      <c r="C115" s="196"/>
      <c r="D115" s="196"/>
      <c r="E115" s="197"/>
      <c r="F115" s="198"/>
      <c r="G115" s="199"/>
      <c r="H115" s="197"/>
      <c r="I115" s="199"/>
      <c r="J115" s="200"/>
      <c r="K115" s="211"/>
      <c r="L115" s="201"/>
      <c r="M115" s="201"/>
      <c r="N115" s="201"/>
    </row>
    <row r="116">
      <c r="A116" s="190"/>
      <c r="B116" s="195"/>
      <c r="C116" s="196"/>
      <c r="D116" s="196"/>
      <c r="E116" s="197"/>
      <c r="F116" s="198"/>
      <c r="G116" s="199"/>
      <c r="H116" s="197"/>
      <c r="I116" s="199"/>
      <c r="J116" s="200"/>
      <c r="K116" s="211"/>
      <c r="L116" s="201"/>
      <c r="M116" s="201"/>
      <c r="N116" s="201"/>
    </row>
    <row r="117">
      <c r="A117" s="190"/>
      <c r="B117" s="195"/>
      <c r="C117" s="196"/>
      <c r="D117" s="196"/>
      <c r="E117" s="197"/>
      <c r="F117" s="198"/>
      <c r="G117" s="199"/>
      <c r="H117" s="197"/>
      <c r="I117" s="199"/>
      <c r="J117" s="200"/>
      <c r="K117" s="211"/>
      <c r="L117" s="201"/>
      <c r="M117" s="201"/>
      <c r="N117" s="201"/>
    </row>
    <row r="118">
      <c r="A118" s="190"/>
      <c r="B118" s="195"/>
      <c r="C118" s="196"/>
      <c r="D118" s="196"/>
      <c r="E118" s="197"/>
      <c r="F118" s="198"/>
      <c r="G118" s="199"/>
      <c r="H118" s="197"/>
      <c r="I118" s="199"/>
      <c r="J118" s="200"/>
      <c r="K118" s="211"/>
      <c r="L118" s="201"/>
      <c r="M118" s="201"/>
      <c r="N118" s="201"/>
    </row>
    <row r="119">
      <c r="A119" s="190"/>
      <c r="B119" s="195"/>
      <c r="C119" s="196"/>
      <c r="D119" s="196"/>
      <c r="E119" s="197"/>
      <c r="F119" s="198"/>
      <c r="G119" s="199"/>
      <c r="H119" s="197"/>
      <c r="I119" s="199"/>
      <c r="J119" s="200"/>
      <c r="K119" s="211"/>
      <c r="L119" s="201"/>
      <c r="M119" s="201"/>
      <c r="N119" s="201"/>
    </row>
    <row r="120">
      <c r="A120" s="190"/>
      <c r="B120" s="195"/>
      <c r="C120" s="196"/>
      <c r="D120" s="196"/>
      <c r="E120" s="197"/>
      <c r="F120" s="198"/>
      <c r="G120" s="199"/>
      <c r="H120" s="197"/>
      <c r="I120" s="199"/>
      <c r="J120" s="200"/>
      <c r="K120" s="211"/>
      <c r="L120" s="201"/>
      <c r="M120" s="201"/>
      <c r="N120" s="201"/>
    </row>
    <row r="121">
      <c r="A121" s="190"/>
      <c r="B121" s="195"/>
      <c r="C121" s="196"/>
      <c r="D121" s="196"/>
      <c r="E121" s="197"/>
      <c r="F121" s="198"/>
      <c r="G121" s="199"/>
      <c r="H121" s="197"/>
      <c r="I121" s="199"/>
      <c r="J121" s="200"/>
      <c r="K121" s="211"/>
      <c r="L121" s="201"/>
      <c r="M121" s="201"/>
      <c r="N121" s="201"/>
    </row>
    <row r="122">
      <c r="A122" s="190"/>
      <c r="B122" s="195"/>
      <c r="C122" s="196"/>
      <c r="D122" s="196"/>
      <c r="E122" s="197"/>
      <c r="F122" s="198"/>
      <c r="G122" s="199"/>
      <c r="H122" s="197"/>
      <c r="I122" s="199"/>
      <c r="J122" s="200"/>
      <c r="K122" s="211"/>
      <c r="L122" s="201"/>
      <c r="M122" s="201"/>
      <c r="N122" s="201"/>
    </row>
    <row r="123">
      <c r="A123" s="190"/>
      <c r="B123" s="195"/>
      <c r="C123" s="196"/>
      <c r="D123" s="196"/>
      <c r="E123" s="197"/>
      <c r="F123" s="198"/>
      <c r="G123" s="199"/>
      <c r="H123" s="197"/>
      <c r="I123" s="199"/>
      <c r="J123" s="200"/>
      <c r="K123" s="211"/>
      <c r="L123" s="201"/>
      <c r="M123" s="201"/>
      <c r="N123" s="201"/>
    </row>
    <row r="124">
      <c r="A124" s="190"/>
      <c r="B124" s="195"/>
      <c r="C124" s="196"/>
      <c r="D124" s="196"/>
      <c r="E124" s="197"/>
      <c r="F124" s="198"/>
      <c r="G124" s="199"/>
      <c r="H124" s="197"/>
      <c r="I124" s="199"/>
      <c r="J124" s="200"/>
      <c r="K124" s="211"/>
      <c r="L124" s="201"/>
      <c r="M124" s="201"/>
      <c r="N124" s="201"/>
    </row>
    <row r="125">
      <c r="A125" s="190"/>
      <c r="B125" s="195"/>
      <c r="C125" s="196"/>
      <c r="D125" s="196"/>
      <c r="E125" s="197"/>
      <c r="F125" s="198"/>
      <c r="G125" s="199"/>
      <c r="H125" s="197"/>
      <c r="I125" s="199"/>
      <c r="J125" s="200"/>
      <c r="K125" s="211"/>
      <c r="L125" s="201"/>
      <c r="M125" s="201"/>
      <c r="N125" s="201"/>
    </row>
    <row r="126">
      <c r="A126" s="190"/>
      <c r="B126" s="195"/>
      <c r="C126" s="196"/>
      <c r="D126" s="196"/>
      <c r="E126" s="197"/>
      <c r="F126" s="198"/>
      <c r="G126" s="199"/>
      <c r="H126" s="197"/>
      <c r="I126" s="199"/>
      <c r="J126" s="200"/>
      <c r="K126" s="211"/>
      <c r="L126" s="201"/>
      <c r="M126" s="201"/>
      <c r="N126" s="201"/>
    </row>
    <row r="127">
      <c r="A127" s="190"/>
      <c r="B127" s="195"/>
      <c r="C127" s="196"/>
      <c r="D127" s="196"/>
      <c r="E127" s="197"/>
      <c r="F127" s="198"/>
      <c r="G127" s="199"/>
      <c r="H127" s="197"/>
      <c r="I127" s="199"/>
      <c r="J127" s="200"/>
      <c r="K127" s="211"/>
      <c r="L127" s="201"/>
      <c r="M127" s="201"/>
      <c r="N127" s="201"/>
    </row>
    <row r="128">
      <c r="A128" s="190"/>
      <c r="B128" s="195"/>
      <c r="C128" s="196"/>
      <c r="D128" s="196"/>
      <c r="E128" s="197"/>
      <c r="F128" s="198"/>
      <c r="G128" s="199"/>
      <c r="H128" s="197"/>
      <c r="I128" s="199"/>
      <c r="J128" s="200"/>
      <c r="K128" s="211"/>
      <c r="L128" s="201"/>
      <c r="M128" s="201"/>
      <c r="N128" s="201"/>
    </row>
    <row r="129">
      <c r="A129" s="190"/>
      <c r="B129" s="195"/>
      <c r="C129" s="196"/>
      <c r="D129" s="196"/>
      <c r="E129" s="197"/>
      <c r="F129" s="198"/>
      <c r="G129" s="199"/>
      <c r="H129" s="197"/>
      <c r="I129" s="199"/>
      <c r="J129" s="200"/>
      <c r="K129" s="211"/>
      <c r="L129" s="201"/>
      <c r="M129" s="201"/>
      <c r="N129" s="201"/>
    </row>
    <row r="130">
      <c r="A130" s="190"/>
      <c r="B130" s="195"/>
      <c r="C130" s="196"/>
      <c r="D130" s="196"/>
      <c r="E130" s="197"/>
      <c r="F130" s="198"/>
      <c r="G130" s="199"/>
      <c r="H130" s="197"/>
      <c r="I130" s="199"/>
      <c r="J130" s="200"/>
      <c r="K130" s="211"/>
      <c r="L130" s="201"/>
      <c r="M130" s="201"/>
      <c r="N130" s="201"/>
    </row>
    <row r="131">
      <c r="A131" s="190"/>
      <c r="B131" s="195"/>
      <c r="C131" s="196"/>
      <c r="D131" s="196"/>
      <c r="E131" s="197"/>
      <c r="F131" s="198"/>
      <c r="G131" s="199"/>
      <c r="H131" s="197"/>
      <c r="I131" s="199"/>
      <c r="J131" s="200"/>
      <c r="K131" s="211"/>
      <c r="L131" s="201"/>
      <c r="M131" s="201"/>
      <c r="N131" s="201"/>
    </row>
    <row r="132">
      <c r="A132" s="190"/>
      <c r="B132" s="195"/>
      <c r="C132" s="196"/>
      <c r="D132" s="196"/>
      <c r="E132" s="197"/>
      <c r="F132" s="198"/>
      <c r="G132" s="199"/>
      <c r="H132" s="197"/>
      <c r="I132" s="199"/>
      <c r="J132" s="200"/>
      <c r="K132" s="211"/>
      <c r="L132" s="201"/>
      <c r="M132" s="201"/>
      <c r="N132" s="201"/>
    </row>
    <row r="133">
      <c r="A133" s="190"/>
      <c r="B133" s="195"/>
      <c r="C133" s="196"/>
      <c r="D133" s="196"/>
      <c r="E133" s="197"/>
      <c r="F133" s="198"/>
      <c r="G133" s="199"/>
      <c r="H133" s="197"/>
      <c r="I133" s="199"/>
      <c r="J133" s="200"/>
      <c r="K133" s="211"/>
      <c r="L133" s="201"/>
      <c r="M133" s="201"/>
      <c r="N133" s="201"/>
    </row>
    <row r="134">
      <c r="A134" s="190"/>
      <c r="B134" s="195"/>
      <c r="C134" s="196"/>
      <c r="D134" s="196"/>
      <c r="E134" s="197"/>
      <c r="F134" s="198"/>
      <c r="G134" s="199"/>
      <c r="H134" s="197"/>
      <c r="I134" s="199"/>
      <c r="J134" s="200"/>
      <c r="K134" s="211"/>
      <c r="L134" s="201"/>
      <c r="M134" s="201"/>
      <c r="N134" s="201"/>
    </row>
    <row r="135">
      <c r="A135" s="190"/>
      <c r="B135" s="195"/>
      <c r="C135" s="196"/>
      <c r="D135" s="196"/>
      <c r="E135" s="197"/>
      <c r="F135" s="198"/>
      <c r="G135" s="199"/>
      <c r="H135" s="197"/>
      <c r="I135" s="199"/>
      <c r="J135" s="200"/>
      <c r="K135" s="211"/>
      <c r="L135" s="201"/>
      <c r="M135" s="201"/>
      <c r="N135" s="201"/>
    </row>
    <row r="136">
      <c r="A136" s="190"/>
      <c r="B136" s="195"/>
      <c r="C136" s="196"/>
      <c r="D136" s="196"/>
      <c r="E136" s="197"/>
      <c r="F136" s="198"/>
      <c r="G136" s="199"/>
      <c r="H136" s="197"/>
      <c r="I136" s="199"/>
      <c r="J136" s="200"/>
      <c r="K136" s="211"/>
      <c r="L136" s="201"/>
      <c r="M136" s="201"/>
      <c r="N136" s="201"/>
    </row>
    <row r="137">
      <c r="A137" s="190"/>
      <c r="B137" s="195"/>
      <c r="C137" s="196"/>
      <c r="D137" s="196"/>
      <c r="E137" s="197"/>
      <c r="F137" s="198"/>
      <c r="G137" s="199"/>
      <c r="H137" s="197"/>
      <c r="I137" s="199"/>
      <c r="J137" s="200"/>
      <c r="K137" s="211"/>
      <c r="L137" s="201"/>
      <c r="M137" s="201"/>
      <c r="N137" s="201"/>
    </row>
    <row r="138">
      <c r="A138" s="190"/>
      <c r="B138" s="195"/>
      <c r="C138" s="196"/>
      <c r="D138" s="196"/>
      <c r="E138" s="197"/>
      <c r="F138" s="198"/>
      <c r="G138" s="199"/>
      <c r="H138" s="197"/>
      <c r="I138" s="199"/>
      <c r="J138" s="200"/>
      <c r="K138" s="211"/>
      <c r="L138" s="201"/>
      <c r="M138" s="201"/>
      <c r="N138" s="201"/>
    </row>
    <row r="139">
      <c r="A139" s="190"/>
      <c r="B139" s="195"/>
      <c r="C139" s="196"/>
      <c r="D139" s="196"/>
      <c r="E139" s="197"/>
      <c r="F139" s="198"/>
      <c r="G139" s="199"/>
      <c r="H139" s="197"/>
      <c r="I139" s="199"/>
      <c r="J139" s="200"/>
      <c r="K139" s="211"/>
      <c r="L139" s="201"/>
      <c r="M139" s="201"/>
      <c r="N139" s="201"/>
    </row>
    <row r="140">
      <c r="A140" s="190"/>
      <c r="B140" s="195"/>
      <c r="C140" s="196"/>
      <c r="D140" s="196"/>
      <c r="E140" s="197"/>
      <c r="F140" s="198"/>
      <c r="G140" s="199"/>
      <c r="H140" s="197"/>
      <c r="I140" s="199"/>
      <c r="J140" s="200"/>
      <c r="K140" s="211"/>
      <c r="L140" s="201"/>
      <c r="M140" s="201"/>
      <c r="N140" s="201"/>
    </row>
    <row r="141">
      <c r="A141" s="190"/>
      <c r="B141" s="195"/>
      <c r="C141" s="196"/>
      <c r="D141" s="196"/>
      <c r="E141" s="197"/>
      <c r="F141" s="198"/>
      <c r="G141" s="199"/>
      <c r="H141" s="197"/>
      <c r="I141" s="199"/>
      <c r="J141" s="200"/>
      <c r="K141" s="211"/>
      <c r="L141" s="201"/>
      <c r="M141" s="201"/>
      <c r="N141" s="201"/>
    </row>
    <row r="142">
      <c r="A142" s="190"/>
      <c r="B142" s="195"/>
      <c r="C142" s="196"/>
      <c r="D142" s="196"/>
      <c r="E142" s="197"/>
      <c r="F142" s="198"/>
      <c r="G142" s="199"/>
      <c r="H142" s="197"/>
      <c r="I142" s="199"/>
      <c r="J142" s="200"/>
      <c r="K142" s="211"/>
      <c r="L142" s="201"/>
      <c r="M142" s="201"/>
      <c r="N142" s="201"/>
    </row>
    <row r="143">
      <c r="A143" s="190"/>
      <c r="B143" s="195"/>
      <c r="C143" s="196"/>
      <c r="D143" s="196"/>
      <c r="E143" s="197"/>
      <c r="F143" s="198"/>
      <c r="G143" s="199"/>
      <c r="H143" s="197"/>
      <c r="I143" s="199"/>
      <c r="J143" s="200"/>
      <c r="K143" s="211"/>
      <c r="L143" s="201"/>
      <c r="M143" s="201"/>
      <c r="N143" s="201"/>
    </row>
    <row r="144">
      <c r="A144" s="190"/>
      <c r="B144" s="195"/>
      <c r="C144" s="196"/>
      <c r="D144" s="196"/>
      <c r="E144" s="197"/>
      <c r="F144" s="198"/>
      <c r="G144" s="199"/>
      <c r="H144" s="197"/>
      <c r="I144" s="199"/>
      <c r="J144" s="200"/>
      <c r="K144" s="211"/>
      <c r="L144" s="201"/>
      <c r="M144" s="201"/>
      <c r="N144" s="201"/>
    </row>
    <row r="145">
      <c r="A145" s="190"/>
      <c r="B145" s="195"/>
      <c r="C145" s="196"/>
      <c r="D145" s="196"/>
      <c r="E145" s="197"/>
      <c r="F145" s="198"/>
      <c r="G145" s="199"/>
      <c r="H145" s="197"/>
      <c r="I145" s="199"/>
      <c r="J145" s="200"/>
      <c r="K145" s="211"/>
      <c r="L145" s="201"/>
      <c r="M145" s="201"/>
      <c r="N145" s="201"/>
    </row>
    <row r="146">
      <c r="A146" s="190"/>
      <c r="B146" s="195"/>
      <c r="C146" s="196"/>
      <c r="D146" s="196"/>
      <c r="E146" s="197"/>
      <c r="F146" s="198"/>
      <c r="G146" s="199"/>
      <c r="H146" s="197"/>
      <c r="I146" s="199"/>
      <c r="J146" s="200"/>
      <c r="K146" s="211"/>
      <c r="L146" s="201"/>
      <c r="M146" s="201"/>
      <c r="N146" s="201"/>
    </row>
    <row r="147">
      <c r="A147" s="190"/>
      <c r="B147" s="195"/>
      <c r="C147" s="196"/>
      <c r="D147" s="196"/>
      <c r="E147" s="197"/>
      <c r="F147" s="198"/>
      <c r="G147" s="199"/>
      <c r="H147" s="197"/>
      <c r="I147" s="199"/>
      <c r="J147" s="200"/>
      <c r="K147" s="211"/>
      <c r="L147" s="201"/>
      <c r="M147" s="201"/>
      <c r="N147" s="201"/>
    </row>
    <row r="148">
      <c r="A148" s="190"/>
      <c r="B148" s="195"/>
      <c r="C148" s="196"/>
      <c r="D148" s="196"/>
      <c r="E148" s="197"/>
      <c r="F148" s="198"/>
      <c r="G148" s="199"/>
      <c r="H148" s="197"/>
      <c r="I148" s="199"/>
      <c r="J148" s="200"/>
      <c r="K148" s="211"/>
      <c r="L148" s="201"/>
      <c r="M148" s="201"/>
      <c r="N148" s="201"/>
    </row>
    <row r="149">
      <c r="A149" s="190"/>
      <c r="B149" s="195"/>
      <c r="C149" s="196"/>
      <c r="D149" s="196"/>
      <c r="E149" s="197"/>
      <c r="F149" s="198"/>
      <c r="G149" s="199"/>
      <c r="H149" s="197"/>
      <c r="I149" s="199"/>
      <c r="J149" s="200"/>
      <c r="K149" s="211"/>
      <c r="L149" s="201"/>
      <c r="M149" s="201"/>
      <c r="N149" s="201"/>
    </row>
    <row r="150">
      <c r="A150" s="190"/>
      <c r="B150" s="195"/>
      <c r="C150" s="196"/>
      <c r="D150" s="196"/>
      <c r="E150" s="197"/>
      <c r="F150" s="198"/>
      <c r="G150" s="199"/>
      <c r="H150" s="197"/>
      <c r="I150" s="199"/>
      <c r="J150" s="200"/>
      <c r="K150" s="211"/>
      <c r="L150" s="201"/>
      <c r="M150" s="201"/>
      <c r="N150" s="201"/>
    </row>
    <row r="151">
      <c r="A151" s="190"/>
      <c r="B151" s="195"/>
      <c r="C151" s="196"/>
      <c r="D151" s="196"/>
      <c r="E151" s="197"/>
      <c r="F151" s="198"/>
      <c r="G151" s="199"/>
      <c r="H151" s="197"/>
      <c r="I151" s="199"/>
      <c r="J151" s="200"/>
      <c r="K151" s="211"/>
      <c r="L151" s="201"/>
      <c r="M151" s="201"/>
      <c r="N151" s="201"/>
    </row>
    <row r="152">
      <c r="A152" s="190"/>
      <c r="B152" s="195"/>
      <c r="C152" s="196"/>
      <c r="D152" s="196"/>
      <c r="E152" s="197"/>
      <c r="F152" s="198"/>
      <c r="G152" s="199"/>
      <c r="H152" s="197"/>
      <c r="I152" s="199"/>
      <c r="J152" s="200"/>
      <c r="K152" s="211"/>
      <c r="L152" s="201"/>
      <c r="M152" s="201"/>
      <c r="N152" s="201"/>
    </row>
    <row r="153">
      <c r="A153" s="190"/>
      <c r="B153" s="195"/>
      <c r="C153" s="196"/>
      <c r="D153" s="196"/>
      <c r="E153" s="197"/>
      <c r="F153" s="198"/>
      <c r="G153" s="199"/>
      <c r="H153" s="197"/>
      <c r="I153" s="199"/>
      <c r="J153" s="200"/>
      <c r="K153" s="211"/>
      <c r="L153" s="201"/>
      <c r="M153" s="201"/>
      <c r="N153" s="201"/>
    </row>
    <row r="154">
      <c r="A154" s="190"/>
      <c r="B154" s="195"/>
      <c r="C154" s="196"/>
      <c r="D154" s="196"/>
      <c r="E154" s="197"/>
      <c r="F154" s="198"/>
      <c r="G154" s="199"/>
      <c r="H154" s="197"/>
      <c r="I154" s="199"/>
      <c r="J154" s="200"/>
      <c r="K154" s="211"/>
      <c r="L154" s="201"/>
      <c r="M154" s="201"/>
      <c r="N154" s="201"/>
    </row>
    <row r="155">
      <c r="A155" s="190"/>
      <c r="B155" s="195"/>
      <c r="C155" s="196"/>
      <c r="D155" s="196"/>
      <c r="E155" s="197"/>
      <c r="F155" s="198"/>
      <c r="G155" s="199"/>
      <c r="H155" s="197"/>
      <c r="I155" s="199"/>
      <c r="J155" s="200"/>
      <c r="K155" s="211"/>
      <c r="L155" s="201"/>
      <c r="M155" s="201"/>
      <c r="N155" s="201"/>
    </row>
    <row r="156">
      <c r="A156" s="190"/>
      <c r="B156" s="195"/>
      <c r="C156" s="196"/>
      <c r="D156" s="196"/>
      <c r="E156" s="197"/>
      <c r="F156" s="198"/>
      <c r="G156" s="199"/>
      <c r="H156" s="197"/>
      <c r="I156" s="199"/>
      <c r="J156" s="200"/>
      <c r="K156" s="211"/>
      <c r="L156" s="201"/>
      <c r="M156" s="201"/>
      <c r="N156" s="201"/>
    </row>
    <row r="157">
      <c r="A157" s="190"/>
      <c r="B157" s="195"/>
      <c r="C157" s="196"/>
      <c r="D157" s="196"/>
      <c r="E157" s="197"/>
      <c r="F157" s="198"/>
      <c r="G157" s="199"/>
      <c r="H157" s="197"/>
      <c r="I157" s="199"/>
      <c r="J157" s="200"/>
      <c r="K157" s="211"/>
      <c r="L157" s="201"/>
      <c r="M157" s="201"/>
      <c r="N157" s="201"/>
    </row>
    <row r="158">
      <c r="A158" s="190"/>
      <c r="B158" s="195"/>
      <c r="C158" s="196"/>
      <c r="D158" s="196"/>
      <c r="E158" s="197"/>
      <c r="F158" s="198"/>
      <c r="G158" s="199"/>
      <c r="H158" s="197"/>
      <c r="I158" s="199"/>
      <c r="J158" s="200"/>
      <c r="K158" s="211"/>
      <c r="L158" s="201"/>
      <c r="M158" s="201"/>
      <c r="N158" s="201"/>
    </row>
    <row r="159">
      <c r="A159" s="190"/>
      <c r="B159" s="195"/>
      <c r="C159" s="196"/>
      <c r="D159" s="196"/>
      <c r="E159" s="197"/>
      <c r="F159" s="198"/>
      <c r="G159" s="199"/>
      <c r="H159" s="197"/>
      <c r="I159" s="199"/>
      <c r="J159" s="200"/>
      <c r="K159" s="211"/>
      <c r="L159" s="201"/>
      <c r="M159" s="201"/>
      <c r="N159" s="201"/>
    </row>
    <row r="160">
      <c r="A160" s="190"/>
      <c r="B160" s="195"/>
      <c r="C160" s="196"/>
      <c r="D160" s="196"/>
      <c r="E160" s="197"/>
      <c r="F160" s="198"/>
      <c r="G160" s="199"/>
      <c r="H160" s="197"/>
      <c r="I160" s="199"/>
      <c r="J160" s="200"/>
      <c r="K160" s="211"/>
      <c r="L160" s="201"/>
      <c r="M160" s="201"/>
      <c r="N160" s="201"/>
    </row>
    <row r="161">
      <c r="A161" s="190"/>
      <c r="B161" s="195"/>
      <c r="C161" s="196"/>
      <c r="D161" s="196"/>
      <c r="E161" s="197"/>
      <c r="F161" s="198"/>
      <c r="G161" s="199"/>
      <c r="H161" s="197"/>
      <c r="I161" s="199"/>
      <c r="J161" s="200"/>
      <c r="K161" s="211"/>
      <c r="L161" s="201"/>
      <c r="M161" s="201"/>
      <c r="N161" s="201"/>
    </row>
    <row r="162">
      <c r="A162" s="190"/>
      <c r="B162" s="195"/>
      <c r="C162" s="196"/>
      <c r="D162" s="196"/>
      <c r="E162" s="197"/>
      <c r="F162" s="198"/>
      <c r="G162" s="199"/>
      <c r="H162" s="197"/>
      <c r="I162" s="199"/>
      <c r="J162" s="200"/>
      <c r="K162" s="211"/>
      <c r="L162" s="201"/>
      <c r="M162" s="201"/>
      <c r="N162" s="201"/>
    </row>
    <row r="163">
      <c r="A163" s="190"/>
      <c r="B163" s="195"/>
      <c r="C163" s="196"/>
      <c r="D163" s="196"/>
      <c r="E163" s="197"/>
      <c r="F163" s="198"/>
      <c r="G163" s="199"/>
      <c r="H163" s="197"/>
      <c r="I163" s="199"/>
      <c r="J163" s="200"/>
      <c r="K163" s="211"/>
      <c r="L163" s="201"/>
      <c r="M163" s="201"/>
      <c r="N163" s="201"/>
    </row>
    <row r="164">
      <c r="A164" s="190"/>
      <c r="B164" s="195"/>
      <c r="C164" s="196"/>
      <c r="D164" s="196"/>
      <c r="E164" s="197"/>
      <c r="F164" s="198"/>
      <c r="G164" s="199"/>
      <c r="H164" s="197"/>
      <c r="I164" s="199"/>
      <c r="J164" s="200"/>
      <c r="K164" s="211"/>
      <c r="L164" s="201"/>
      <c r="M164" s="201"/>
      <c r="N164" s="201"/>
    </row>
    <row r="165">
      <c r="A165" s="190"/>
      <c r="B165" s="195"/>
      <c r="C165" s="196"/>
      <c r="D165" s="196"/>
      <c r="E165" s="197"/>
      <c r="F165" s="198"/>
      <c r="G165" s="199"/>
      <c r="H165" s="197"/>
      <c r="I165" s="199"/>
      <c r="J165" s="200"/>
      <c r="K165" s="211"/>
      <c r="L165" s="201"/>
      <c r="M165" s="201"/>
      <c r="N165" s="201"/>
    </row>
    <row r="166">
      <c r="A166" s="190"/>
      <c r="B166" s="195"/>
      <c r="C166" s="196"/>
      <c r="D166" s="196"/>
      <c r="E166" s="197"/>
      <c r="F166" s="198"/>
      <c r="G166" s="199"/>
      <c r="H166" s="197"/>
      <c r="I166" s="199"/>
      <c r="J166" s="200"/>
      <c r="K166" s="211"/>
      <c r="L166" s="201"/>
      <c r="M166" s="201"/>
      <c r="N166" s="201"/>
    </row>
    <row r="167">
      <c r="A167" s="190"/>
      <c r="B167" s="195"/>
      <c r="C167" s="196"/>
      <c r="D167" s="196"/>
      <c r="E167" s="197"/>
      <c r="F167" s="198"/>
      <c r="G167" s="199"/>
      <c r="H167" s="197"/>
      <c r="I167" s="199"/>
      <c r="J167" s="200"/>
      <c r="K167" s="211"/>
      <c r="L167" s="201"/>
      <c r="M167" s="201"/>
      <c r="N167" s="201"/>
    </row>
    <row r="168">
      <c r="A168" s="190"/>
      <c r="B168" s="195"/>
      <c r="C168" s="196"/>
      <c r="D168" s="196"/>
      <c r="E168" s="197"/>
      <c r="F168" s="198"/>
      <c r="G168" s="199"/>
      <c r="H168" s="197"/>
      <c r="I168" s="199"/>
      <c r="J168" s="200"/>
      <c r="K168" s="211"/>
      <c r="L168" s="201"/>
      <c r="M168" s="201"/>
      <c r="N168" s="201"/>
    </row>
    <row r="169">
      <c r="A169" s="190"/>
      <c r="B169" s="195"/>
      <c r="C169" s="196"/>
      <c r="D169" s="196"/>
      <c r="E169" s="197"/>
      <c r="F169" s="198"/>
      <c r="G169" s="199"/>
      <c r="H169" s="197"/>
      <c r="I169" s="199"/>
      <c r="J169" s="200"/>
      <c r="K169" s="211"/>
      <c r="L169" s="201"/>
      <c r="M169" s="201"/>
      <c r="N169" s="201"/>
    </row>
    <row r="170">
      <c r="A170" s="190"/>
      <c r="B170" s="195"/>
      <c r="C170" s="196"/>
      <c r="D170" s="196"/>
      <c r="E170" s="197"/>
      <c r="F170" s="198"/>
      <c r="G170" s="199"/>
      <c r="H170" s="197"/>
      <c r="I170" s="199"/>
      <c r="J170" s="200"/>
      <c r="K170" s="211"/>
      <c r="L170" s="201"/>
      <c r="M170" s="201"/>
      <c r="N170" s="201"/>
    </row>
    <row r="171">
      <c r="A171" s="190"/>
      <c r="B171" s="195"/>
      <c r="C171" s="196"/>
      <c r="D171" s="196"/>
      <c r="E171" s="197"/>
      <c r="F171" s="198"/>
      <c r="G171" s="199"/>
      <c r="H171" s="197"/>
      <c r="I171" s="199"/>
      <c r="J171" s="200"/>
      <c r="K171" s="211"/>
      <c r="L171" s="201"/>
      <c r="M171" s="201"/>
      <c r="N171" s="201"/>
    </row>
    <row r="172">
      <c r="A172" s="190"/>
      <c r="B172" s="195"/>
      <c r="C172" s="196"/>
      <c r="D172" s="196"/>
      <c r="E172" s="197"/>
      <c r="F172" s="198"/>
      <c r="G172" s="199"/>
      <c r="H172" s="197"/>
      <c r="I172" s="199"/>
      <c r="J172" s="200"/>
      <c r="K172" s="211"/>
      <c r="L172" s="201"/>
      <c r="M172" s="201"/>
      <c r="N172" s="201"/>
    </row>
    <row r="173">
      <c r="A173" s="190"/>
      <c r="B173" s="195"/>
      <c r="C173" s="196"/>
      <c r="D173" s="196"/>
      <c r="E173" s="197"/>
      <c r="F173" s="198"/>
      <c r="G173" s="199"/>
      <c r="H173" s="197"/>
      <c r="I173" s="199"/>
      <c r="J173" s="200"/>
      <c r="K173" s="211"/>
      <c r="L173" s="201"/>
      <c r="M173" s="201"/>
      <c r="N173" s="201"/>
    </row>
    <row r="174">
      <c r="A174" s="190"/>
      <c r="B174" s="195"/>
      <c r="C174" s="196"/>
      <c r="D174" s="196"/>
      <c r="E174" s="197"/>
      <c r="F174" s="198"/>
      <c r="G174" s="199"/>
      <c r="H174" s="197"/>
      <c r="I174" s="199"/>
      <c r="J174" s="200"/>
      <c r="K174" s="211"/>
      <c r="L174" s="201"/>
      <c r="M174" s="201"/>
      <c r="N174" s="201"/>
    </row>
    <row r="175">
      <c r="A175" s="190"/>
      <c r="B175" s="195"/>
      <c r="C175" s="196"/>
      <c r="D175" s="196"/>
      <c r="E175" s="197"/>
      <c r="F175" s="198"/>
      <c r="G175" s="199"/>
      <c r="H175" s="197"/>
      <c r="I175" s="199"/>
      <c r="J175" s="200"/>
      <c r="K175" s="211"/>
      <c r="L175" s="201"/>
      <c r="M175" s="201"/>
      <c r="N175" s="201"/>
    </row>
    <row r="176">
      <c r="A176" s="190"/>
      <c r="B176" s="195"/>
      <c r="C176" s="196"/>
      <c r="D176" s="196"/>
      <c r="E176" s="197"/>
      <c r="F176" s="198"/>
      <c r="G176" s="199"/>
      <c r="H176" s="197"/>
      <c r="I176" s="199"/>
      <c r="J176" s="200"/>
      <c r="K176" s="211"/>
      <c r="L176" s="201"/>
      <c r="M176" s="201"/>
      <c r="N176" s="201"/>
    </row>
    <row r="177">
      <c r="A177" s="190"/>
      <c r="B177" s="195"/>
      <c r="C177" s="196"/>
      <c r="D177" s="196"/>
      <c r="E177" s="197"/>
      <c r="F177" s="198"/>
      <c r="G177" s="199"/>
      <c r="H177" s="197"/>
      <c r="I177" s="199"/>
      <c r="J177" s="200"/>
      <c r="K177" s="211"/>
      <c r="L177" s="201"/>
      <c r="M177" s="201"/>
      <c r="N177" s="201"/>
    </row>
    <row r="178">
      <c r="A178" s="190"/>
      <c r="B178" s="195"/>
      <c r="C178" s="196"/>
      <c r="D178" s="196"/>
      <c r="E178" s="197"/>
      <c r="F178" s="198"/>
      <c r="G178" s="199"/>
      <c r="H178" s="197"/>
      <c r="I178" s="199"/>
      <c r="J178" s="200"/>
      <c r="K178" s="211"/>
      <c r="L178" s="201"/>
      <c r="M178" s="201"/>
      <c r="N178" s="201"/>
    </row>
    <row r="179">
      <c r="A179" s="190"/>
      <c r="B179" s="195"/>
      <c r="C179" s="196"/>
      <c r="D179" s="196"/>
      <c r="E179" s="197"/>
      <c r="F179" s="198"/>
      <c r="G179" s="199"/>
      <c r="H179" s="197"/>
      <c r="I179" s="199"/>
      <c r="J179" s="200"/>
      <c r="K179" s="211"/>
      <c r="L179" s="201"/>
      <c r="M179" s="201"/>
      <c r="N179" s="201"/>
    </row>
    <row r="180">
      <c r="A180" s="190"/>
      <c r="B180" s="195"/>
      <c r="C180" s="196"/>
      <c r="D180" s="196"/>
      <c r="E180" s="197"/>
      <c r="F180" s="198"/>
      <c r="G180" s="199"/>
      <c r="H180" s="197"/>
      <c r="I180" s="199"/>
      <c r="J180" s="200"/>
      <c r="K180" s="211"/>
      <c r="L180" s="201"/>
      <c r="M180" s="201"/>
      <c r="N180" s="201"/>
    </row>
    <row r="181">
      <c r="A181" s="190"/>
      <c r="B181" s="195"/>
      <c r="C181" s="196"/>
      <c r="D181" s="196"/>
      <c r="E181" s="197"/>
      <c r="F181" s="198"/>
      <c r="G181" s="199"/>
      <c r="H181" s="197"/>
      <c r="I181" s="199"/>
      <c r="J181" s="200"/>
      <c r="K181" s="211"/>
      <c r="L181" s="201"/>
      <c r="M181" s="201"/>
      <c r="N181" s="201"/>
    </row>
    <row r="182">
      <c r="A182" s="190"/>
      <c r="B182" s="195"/>
      <c r="C182" s="196"/>
      <c r="D182" s="196"/>
      <c r="E182" s="197"/>
      <c r="F182" s="198"/>
      <c r="G182" s="199"/>
      <c r="H182" s="197"/>
      <c r="I182" s="199"/>
      <c r="J182" s="200"/>
      <c r="K182" s="211"/>
      <c r="L182" s="201"/>
      <c r="M182" s="201"/>
      <c r="N182" s="201"/>
    </row>
    <row r="183">
      <c r="A183" s="190"/>
      <c r="B183" s="195"/>
      <c r="C183" s="196"/>
      <c r="D183" s="196"/>
      <c r="E183" s="197"/>
      <c r="F183" s="198"/>
      <c r="G183" s="199"/>
      <c r="H183" s="197"/>
      <c r="I183" s="199"/>
      <c r="J183" s="200"/>
      <c r="K183" s="211"/>
      <c r="L183" s="201"/>
      <c r="M183" s="201"/>
      <c r="N183" s="201"/>
    </row>
    <row r="184">
      <c r="A184" s="190"/>
      <c r="B184" s="195"/>
      <c r="C184" s="196"/>
      <c r="D184" s="196"/>
      <c r="E184" s="197"/>
      <c r="F184" s="198"/>
      <c r="G184" s="199"/>
      <c r="H184" s="197"/>
      <c r="I184" s="199"/>
      <c r="J184" s="200"/>
      <c r="K184" s="211"/>
      <c r="L184" s="201"/>
      <c r="M184" s="201"/>
      <c r="N184" s="201"/>
    </row>
    <row r="185">
      <c r="A185" s="190"/>
      <c r="B185" s="195"/>
      <c r="C185" s="196"/>
      <c r="D185" s="196"/>
      <c r="E185" s="197"/>
      <c r="F185" s="198"/>
      <c r="G185" s="199"/>
      <c r="H185" s="197"/>
      <c r="I185" s="199"/>
      <c r="J185" s="200"/>
      <c r="K185" s="211"/>
      <c r="L185" s="201"/>
      <c r="M185" s="201"/>
      <c r="N185" s="201"/>
    </row>
    <row r="186">
      <c r="A186" s="190"/>
      <c r="B186" s="195"/>
      <c r="C186" s="196"/>
      <c r="D186" s="196"/>
      <c r="E186" s="197"/>
      <c r="F186" s="198"/>
      <c r="G186" s="199"/>
      <c r="H186" s="197"/>
      <c r="I186" s="199"/>
      <c r="J186" s="200"/>
      <c r="K186" s="211"/>
      <c r="L186" s="201"/>
      <c r="M186" s="201"/>
      <c r="N186" s="201"/>
    </row>
    <row r="187">
      <c r="A187" s="190"/>
      <c r="B187" s="195"/>
      <c r="C187" s="196"/>
      <c r="D187" s="196"/>
      <c r="E187" s="197"/>
      <c r="F187" s="198"/>
      <c r="G187" s="199"/>
      <c r="H187" s="197"/>
      <c r="I187" s="199"/>
      <c r="J187" s="200"/>
      <c r="K187" s="211"/>
      <c r="L187" s="201"/>
      <c r="M187" s="201"/>
      <c r="N187" s="201"/>
    </row>
    <row r="188">
      <c r="A188" s="190"/>
      <c r="B188" s="195"/>
      <c r="C188" s="196"/>
      <c r="D188" s="196"/>
      <c r="E188" s="197"/>
      <c r="F188" s="198"/>
      <c r="G188" s="199"/>
      <c r="H188" s="197"/>
      <c r="I188" s="199"/>
      <c r="J188" s="200"/>
      <c r="K188" s="211"/>
      <c r="L188" s="201"/>
      <c r="M188" s="201"/>
      <c r="N188" s="201"/>
    </row>
    <row r="189">
      <c r="A189" s="190"/>
      <c r="B189" s="195"/>
      <c r="C189" s="196"/>
      <c r="D189" s="196"/>
      <c r="E189" s="197"/>
      <c r="F189" s="198"/>
      <c r="G189" s="199"/>
      <c r="H189" s="197"/>
      <c r="I189" s="199"/>
      <c r="J189" s="200"/>
      <c r="K189" s="211"/>
      <c r="L189" s="201"/>
      <c r="M189" s="201"/>
      <c r="N189" s="201"/>
    </row>
    <row r="190">
      <c r="A190" s="190"/>
      <c r="B190" s="195"/>
      <c r="C190" s="196"/>
      <c r="D190" s="196"/>
      <c r="E190" s="197"/>
      <c r="F190" s="198"/>
      <c r="G190" s="199"/>
      <c r="H190" s="197"/>
      <c r="I190" s="199"/>
      <c r="J190" s="200"/>
      <c r="K190" s="211"/>
      <c r="L190" s="201"/>
      <c r="M190" s="201"/>
      <c r="N190" s="201"/>
    </row>
    <row r="191">
      <c r="A191" s="190"/>
      <c r="B191" s="195"/>
      <c r="C191" s="196"/>
      <c r="D191" s="196"/>
      <c r="E191" s="197"/>
      <c r="F191" s="198"/>
      <c r="G191" s="199"/>
      <c r="H191" s="197"/>
      <c r="I191" s="199"/>
      <c r="J191" s="200"/>
      <c r="K191" s="211"/>
      <c r="L191" s="201"/>
      <c r="M191" s="201"/>
      <c r="N191" s="201"/>
    </row>
    <row r="192">
      <c r="A192" s="190"/>
      <c r="B192" s="195"/>
      <c r="C192" s="196"/>
      <c r="D192" s="196"/>
      <c r="E192" s="197"/>
      <c r="F192" s="198"/>
      <c r="G192" s="199"/>
      <c r="H192" s="197"/>
      <c r="I192" s="199"/>
      <c r="J192" s="200"/>
      <c r="K192" s="211"/>
      <c r="L192" s="201"/>
      <c r="M192" s="201"/>
      <c r="N192" s="201"/>
    </row>
    <row r="193">
      <c r="A193" s="190"/>
      <c r="B193" s="195"/>
      <c r="C193" s="196"/>
      <c r="D193" s="196"/>
      <c r="E193" s="197"/>
      <c r="F193" s="198"/>
      <c r="G193" s="199"/>
      <c r="H193" s="197"/>
      <c r="I193" s="199"/>
      <c r="J193" s="200"/>
      <c r="K193" s="211"/>
      <c r="L193" s="201"/>
      <c r="M193" s="201"/>
      <c r="N193" s="201"/>
    </row>
    <row r="194">
      <c r="A194" s="190"/>
      <c r="B194" s="195"/>
      <c r="C194" s="196"/>
      <c r="D194" s="196"/>
      <c r="E194" s="197"/>
      <c r="F194" s="198"/>
      <c r="G194" s="199"/>
      <c r="H194" s="197"/>
      <c r="I194" s="199"/>
      <c r="J194" s="200"/>
      <c r="K194" s="211"/>
      <c r="L194" s="201"/>
      <c r="M194" s="201"/>
      <c r="N194" s="201"/>
    </row>
    <row r="195">
      <c r="A195" s="190"/>
      <c r="B195" s="195"/>
      <c r="C195" s="196"/>
      <c r="D195" s="196"/>
      <c r="E195" s="197"/>
      <c r="F195" s="198"/>
      <c r="G195" s="199"/>
      <c r="H195" s="197"/>
      <c r="I195" s="199"/>
      <c r="J195" s="200"/>
      <c r="K195" s="211"/>
      <c r="L195" s="201"/>
      <c r="M195" s="201"/>
      <c r="N195" s="201"/>
    </row>
    <row r="196">
      <c r="A196" s="190"/>
      <c r="B196" s="195"/>
      <c r="C196" s="196"/>
      <c r="D196" s="196"/>
      <c r="E196" s="197"/>
      <c r="F196" s="198"/>
      <c r="G196" s="199"/>
      <c r="H196" s="197"/>
      <c r="I196" s="199"/>
      <c r="J196" s="200"/>
      <c r="K196" s="211"/>
      <c r="L196" s="201"/>
      <c r="M196" s="201"/>
      <c r="N196" s="201"/>
    </row>
    <row r="197">
      <c r="A197" s="190"/>
      <c r="B197" s="195"/>
      <c r="C197" s="196"/>
      <c r="D197" s="196"/>
      <c r="E197" s="197"/>
      <c r="F197" s="198"/>
      <c r="G197" s="199"/>
      <c r="H197" s="197"/>
      <c r="I197" s="199"/>
      <c r="J197" s="200"/>
      <c r="K197" s="211"/>
      <c r="L197" s="201"/>
      <c r="M197" s="201"/>
      <c r="N197" s="201"/>
    </row>
    <row r="198">
      <c r="A198" s="190"/>
      <c r="B198" s="195"/>
      <c r="C198" s="196"/>
      <c r="D198" s="196"/>
      <c r="E198" s="197"/>
      <c r="F198" s="198"/>
      <c r="G198" s="199"/>
      <c r="H198" s="197"/>
      <c r="I198" s="199"/>
      <c r="J198" s="200"/>
      <c r="K198" s="211"/>
      <c r="L198" s="201"/>
      <c r="M198" s="201"/>
      <c r="N198" s="201"/>
    </row>
    <row r="199">
      <c r="A199" s="190"/>
      <c r="B199" s="195"/>
      <c r="C199" s="196"/>
      <c r="D199" s="196"/>
      <c r="E199" s="197"/>
      <c r="F199" s="198"/>
      <c r="G199" s="199"/>
      <c r="H199" s="197"/>
      <c r="I199" s="199"/>
      <c r="J199" s="200"/>
      <c r="K199" s="211"/>
      <c r="L199" s="201"/>
      <c r="M199" s="201"/>
      <c r="N199" s="201"/>
    </row>
    <row r="200">
      <c r="A200" s="190"/>
      <c r="B200" s="195"/>
      <c r="C200" s="196"/>
      <c r="D200" s="196"/>
      <c r="E200" s="197"/>
      <c r="F200" s="198"/>
      <c r="G200" s="199"/>
      <c r="H200" s="197"/>
      <c r="I200" s="199"/>
      <c r="J200" s="200"/>
      <c r="K200" s="211"/>
      <c r="L200" s="201"/>
      <c r="M200" s="201"/>
      <c r="N200" s="201"/>
    </row>
    <row r="201">
      <c r="A201" s="190"/>
      <c r="B201" s="195"/>
      <c r="C201" s="196"/>
      <c r="D201" s="196"/>
      <c r="E201" s="197"/>
      <c r="F201" s="198"/>
      <c r="G201" s="199"/>
      <c r="H201" s="197"/>
      <c r="I201" s="199"/>
      <c r="J201" s="200"/>
      <c r="K201" s="211"/>
      <c r="L201" s="201"/>
      <c r="M201" s="201"/>
      <c r="N201" s="201"/>
    </row>
    <row r="202">
      <c r="A202" s="190"/>
      <c r="B202" s="195"/>
      <c r="C202" s="196"/>
      <c r="D202" s="196"/>
      <c r="E202" s="197"/>
      <c r="F202" s="198"/>
      <c r="G202" s="199"/>
      <c r="H202" s="197"/>
      <c r="I202" s="199"/>
      <c r="J202" s="200"/>
      <c r="K202" s="211"/>
      <c r="L202" s="201"/>
      <c r="M202" s="201"/>
      <c r="N202" s="201"/>
    </row>
    <row r="203">
      <c r="A203" s="190"/>
      <c r="B203" s="195"/>
      <c r="C203" s="196"/>
      <c r="D203" s="196"/>
      <c r="E203" s="197"/>
      <c r="F203" s="198"/>
      <c r="G203" s="199"/>
      <c r="H203" s="197"/>
      <c r="I203" s="199"/>
      <c r="J203" s="200"/>
      <c r="K203" s="211"/>
      <c r="L203" s="201"/>
      <c r="M203" s="201"/>
      <c r="N203" s="201"/>
    </row>
    <row r="204">
      <c r="A204" s="190"/>
      <c r="B204" s="195"/>
      <c r="C204" s="196"/>
      <c r="D204" s="196"/>
      <c r="E204" s="197"/>
      <c r="F204" s="198"/>
      <c r="G204" s="199"/>
      <c r="H204" s="197"/>
      <c r="I204" s="199"/>
      <c r="J204" s="200"/>
      <c r="K204" s="211"/>
      <c r="L204" s="201"/>
      <c r="M204" s="201"/>
      <c r="N204" s="201"/>
    </row>
    <row r="205">
      <c r="A205" s="190"/>
      <c r="B205" s="195"/>
      <c r="C205" s="196"/>
      <c r="D205" s="196"/>
      <c r="E205" s="197"/>
      <c r="F205" s="198"/>
      <c r="G205" s="199"/>
      <c r="H205" s="197"/>
      <c r="I205" s="199"/>
      <c r="J205" s="200"/>
      <c r="K205" s="211"/>
      <c r="L205" s="201"/>
      <c r="M205" s="201"/>
      <c r="N205" s="201"/>
    </row>
    <row r="206">
      <c r="A206" s="190"/>
      <c r="B206" s="195"/>
      <c r="C206" s="196"/>
      <c r="D206" s="196"/>
      <c r="E206" s="197"/>
      <c r="F206" s="198"/>
      <c r="G206" s="199"/>
      <c r="H206" s="197"/>
      <c r="I206" s="199"/>
      <c r="J206" s="200"/>
      <c r="K206" s="211"/>
      <c r="L206" s="201"/>
      <c r="M206" s="201"/>
      <c r="N206" s="201"/>
    </row>
    <row r="207">
      <c r="A207" s="190"/>
      <c r="B207" s="195"/>
      <c r="C207" s="196"/>
      <c r="D207" s="196"/>
      <c r="E207" s="197"/>
      <c r="F207" s="198"/>
      <c r="G207" s="199"/>
      <c r="H207" s="197"/>
      <c r="I207" s="199"/>
      <c r="J207" s="200"/>
      <c r="K207" s="211"/>
      <c r="L207" s="201"/>
      <c r="M207" s="201"/>
      <c r="N207" s="201"/>
    </row>
    <row r="208">
      <c r="A208" s="190"/>
      <c r="B208" s="195"/>
      <c r="C208" s="196"/>
      <c r="D208" s="196"/>
      <c r="E208" s="197"/>
      <c r="F208" s="198"/>
      <c r="G208" s="199"/>
      <c r="H208" s="197"/>
      <c r="I208" s="199"/>
      <c r="J208" s="200"/>
      <c r="K208" s="211"/>
      <c r="L208" s="201"/>
      <c r="M208" s="201"/>
      <c r="N208" s="201"/>
    </row>
    <row r="209">
      <c r="A209" s="190"/>
      <c r="B209" s="195"/>
      <c r="C209" s="196"/>
      <c r="D209" s="196"/>
      <c r="E209" s="197"/>
      <c r="F209" s="198"/>
      <c r="G209" s="199"/>
      <c r="H209" s="197"/>
      <c r="I209" s="199"/>
      <c r="J209" s="200"/>
      <c r="K209" s="211"/>
      <c r="L209" s="201"/>
      <c r="M209" s="201"/>
      <c r="N209" s="201"/>
    </row>
    <row r="210">
      <c r="A210" s="190"/>
      <c r="B210" s="195"/>
      <c r="C210" s="196"/>
      <c r="D210" s="196"/>
      <c r="E210" s="197"/>
      <c r="F210" s="198"/>
      <c r="G210" s="199"/>
      <c r="H210" s="197"/>
      <c r="I210" s="199"/>
      <c r="J210" s="200"/>
      <c r="K210" s="211"/>
      <c r="L210" s="201"/>
      <c r="M210" s="201"/>
      <c r="N210" s="201"/>
    </row>
    <row r="211">
      <c r="A211" s="190"/>
      <c r="B211" s="195"/>
      <c r="C211" s="196"/>
      <c r="D211" s="196"/>
      <c r="E211" s="197"/>
      <c r="F211" s="198"/>
      <c r="G211" s="199"/>
      <c r="H211" s="197"/>
      <c r="I211" s="199"/>
      <c r="J211" s="200"/>
      <c r="K211" s="211"/>
      <c r="L211" s="201"/>
      <c r="M211" s="201"/>
      <c r="N211" s="201"/>
    </row>
    <row r="212">
      <c r="A212" s="190"/>
      <c r="B212" s="195"/>
      <c r="C212" s="196"/>
      <c r="D212" s="196"/>
      <c r="E212" s="197"/>
      <c r="F212" s="198"/>
      <c r="G212" s="199"/>
      <c r="H212" s="197"/>
      <c r="I212" s="199"/>
      <c r="J212" s="200"/>
      <c r="K212" s="211"/>
      <c r="L212" s="201"/>
      <c r="M212" s="201"/>
      <c r="N212" s="201"/>
    </row>
    <row r="213">
      <c r="A213" s="190"/>
      <c r="B213" s="195"/>
      <c r="C213" s="196"/>
      <c r="D213" s="196"/>
      <c r="E213" s="197"/>
      <c r="F213" s="198"/>
      <c r="G213" s="199"/>
      <c r="H213" s="197"/>
      <c r="I213" s="199"/>
      <c r="J213" s="200"/>
      <c r="K213" s="211"/>
      <c r="L213" s="201"/>
      <c r="M213" s="201"/>
      <c r="N213" s="201"/>
    </row>
    <row r="214">
      <c r="A214" s="190"/>
      <c r="B214" s="195"/>
      <c r="C214" s="196"/>
      <c r="D214" s="196"/>
      <c r="E214" s="197"/>
      <c r="F214" s="198"/>
      <c r="G214" s="199"/>
      <c r="H214" s="197"/>
      <c r="I214" s="199"/>
      <c r="J214" s="200"/>
      <c r="K214" s="211"/>
      <c r="L214" s="201"/>
      <c r="M214" s="201"/>
      <c r="N214" s="201"/>
    </row>
    <row r="215">
      <c r="A215" s="190"/>
      <c r="B215" s="195"/>
      <c r="C215" s="196"/>
      <c r="D215" s="196"/>
      <c r="E215" s="197"/>
      <c r="F215" s="198"/>
      <c r="G215" s="199"/>
      <c r="H215" s="197"/>
      <c r="I215" s="199"/>
      <c r="J215" s="200"/>
      <c r="K215" s="211"/>
      <c r="L215" s="201"/>
      <c r="M215" s="201"/>
      <c r="N215" s="201"/>
    </row>
    <row r="216">
      <c r="A216" s="190"/>
      <c r="B216" s="195"/>
      <c r="C216" s="196"/>
      <c r="D216" s="196"/>
      <c r="E216" s="197"/>
      <c r="F216" s="198"/>
      <c r="G216" s="199"/>
      <c r="H216" s="197"/>
      <c r="I216" s="199"/>
      <c r="J216" s="200"/>
      <c r="K216" s="211"/>
      <c r="L216" s="201"/>
      <c r="M216" s="201"/>
      <c r="N216" s="201"/>
    </row>
    <row r="217">
      <c r="A217" s="190"/>
      <c r="B217" s="195"/>
      <c r="C217" s="196"/>
      <c r="D217" s="196"/>
      <c r="E217" s="197"/>
      <c r="F217" s="198"/>
      <c r="G217" s="199"/>
      <c r="H217" s="197"/>
      <c r="I217" s="199"/>
      <c r="J217" s="200"/>
      <c r="K217" s="211"/>
      <c r="L217" s="201"/>
      <c r="M217" s="201"/>
      <c r="N217" s="201"/>
    </row>
    <row r="218">
      <c r="A218" s="190"/>
      <c r="B218" s="195"/>
      <c r="C218" s="196"/>
      <c r="D218" s="196"/>
      <c r="E218" s="197"/>
      <c r="F218" s="198"/>
      <c r="G218" s="199"/>
      <c r="H218" s="197"/>
      <c r="I218" s="199"/>
      <c r="J218" s="200"/>
      <c r="K218" s="211"/>
      <c r="L218" s="201"/>
      <c r="M218" s="201"/>
      <c r="N218" s="201"/>
    </row>
    <row r="219">
      <c r="A219" s="190"/>
      <c r="B219" s="195"/>
      <c r="C219" s="196"/>
      <c r="D219" s="196"/>
      <c r="E219" s="197"/>
      <c r="F219" s="198"/>
      <c r="G219" s="199"/>
      <c r="H219" s="197"/>
      <c r="I219" s="199"/>
      <c r="J219" s="200"/>
      <c r="K219" s="211"/>
      <c r="L219" s="201"/>
      <c r="M219" s="201"/>
      <c r="N219" s="201"/>
    </row>
    <row r="220">
      <c r="A220" s="190"/>
      <c r="B220" s="195"/>
      <c r="C220" s="196"/>
      <c r="D220" s="196"/>
      <c r="E220" s="197"/>
      <c r="F220" s="198"/>
      <c r="G220" s="199"/>
      <c r="H220" s="197"/>
      <c r="I220" s="199"/>
      <c r="J220" s="200"/>
      <c r="K220" s="211"/>
      <c r="L220" s="201"/>
      <c r="M220" s="201"/>
      <c r="N220" s="201"/>
    </row>
    <row r="221">
      <c r="A221" s="190"/>
      <c r="B221" s="195"/>
      <c r="C221" s="196"/>
      <c r="D221" s="196"/>
      <c r="E221" s="197"/>
      <c r="F221" s="198"/>
      <c r="G221" s="199"/>
      <c r="H221" s="197"/>
      <c r="I221" s="199"/>
      <c r="J221" s="200"/>
      <c r="K221" s="211"/>
      <c r="L221" s="201"/>
      <c r="M221" s="201"/>
      <c r="N221" s="201"/>
    </row>
    <row r="222">
      <c r="A222" s="190"/>
      <c r="B222" s="195"/>
      <c r="C222" s="196"/>
      <c r="D222" s="196"/>
      <c r="E222" s="197"/>
      <c r="F222" s="198"/>
      <c r="G222" s="199"/>
      <c r="H222" s="197"/>
      <c r="I222" s="199"/>
      <c r="J222" s="200"/>
      <c r="K222" s="211"/>
      <c r="L222" s="201"/>
      <c r="M222" s="201"/>
      <c r="N222" s="201"/>
    </row>
    <row r="223">
      <c r="A223" s="190"/>
      <c r="B223" s="195"/>
      <c r="C223" s="196"/>
      <c r="D223" s="196"/>
      <c r="E223" s="197"/>
      <c r="F223" s="198"/>
      <c r="G223" s="199"/>
      <c r="H223" s="197"/>
      <c r="I223" s="199"/>
      <c r="J223" s="200"/>
      <c r="K223" s="211"/>
      <c r="L223" s="201"/>
      <c r="M223" s="201"/>
      <c r="N223" s="201"/>
    </row>
    <row r="224">
      <c r="A224" s="190"/>
      <c r="B224" s="195"/>
      <c r="C224" s="196"/>
      <c r="D224" s="196"/>
      <c r="E224" s="197"/>
      <c r="F224" s="198"/>
      <c r="G224" s="199"/>
      <c r="H224" s="197"/>
      <c r="I224" s="199"/>
      <c r="J224" s="200"/>
      <c r="K224" s="211"/>
      <c r="L224" s="201"/>
      <c r="M224" s="201"/>
      <c r="N224" s="201"/>
    </row>
    <row r="225">
      <c r="A225" s="190"/>
      <c r="B225" s="195"/>
      <c r="C225" s="196"/>
      <c r="D225" s="196"/>
      <c r="E225" s="197"/>
      <c r="F225" s="198"/>
      <c r="G225" s="199"/>
      <c r="H225" s="197"/>
      <c r="I225" s="199"/>
      <c r="J225" s="200"/>
      <c r="K225" s="211"/>
      <c r="L225" s="201"/>
      <c r="M225" s="201"/>
      <c r="N225" s="201"/>
    </row>
    <row r="226">
      <c r="A226" s="190"/>
      <c r="B226" s="195"/>
      <c r="C226" s="196"/>
      <c r="D226" s="196"/>
      <c r="E226" s="197"/>
      <c r="F226" s="198"/>
      <c r="G226" s="199"/>
      <c r="H226" s="197"/>
      <c r="I226" s="199"/>
      <c r="J226" s="200"/>
      <c r="K226" s="211"/>
      <c r="L226" s="201"/>
      <c r="M226" s="201"/>
      <c r="N226" s="201"/>
    </row>
    <row r="227">
      <c r="A227" s="190"/>
      <c r="B227" s="195"/>
      <c r="C227" s="196"/>
      <c r="D227" s="196"/>
      <c r="E227" s="197"/>
      <c r="F227" s="198"/>
      <c r="G227" s="199"/>
      <c r="H227" s="197"/>
      <c r="I227" s="199"/>
      <c r="J227" s="200"/>
      <c r="K227" s="211"/>
      <c r="L227" s="201"/>
      <c r="M227" s="201"/>
      <c r="N227" s="201"/>
    </row>
    <row r="228">
      <c r="A228" s="190"/>
      <c r="B228" s="195"/>
      <c r="C228" s="196"/>
      <c r="D228" s="196"/>
      <c r="E228" s="197"/>
      <c r="F228" s="198"/>
      <c r="G228" s="199"/>
      <c r="H228" s="197"/>
      <c r="I228" s="199"/>
      <c r="J228" s="200"/>
      <c r="K228" s="211"/>
      <c r="L228" s="201"/>
      <c r="M228" s="201"/>
      <c r="N228" s="201"/>
    </row>
    <row r="229">
      <c r="A229" s="190"/>
      <c r="B229" s="195"/>
      <c r="C229" s="196"/>
      <c r="D229" s="196"/>
      <c r="E229" s="197"/>
      <c r="F229" s="198"/>
      <c r="G229" s="199"/>
      <c r="H229" s="197"/>
      <c r="I229" s="199"/>
      <c r="J229" s="200"/>
      <c r="K229" s="211"/>
      <c r="L229" s="201"/>
      <c r="M229" s="201"/>
      <c r="N229" s="201"/>
    </row>
    <row r="230">
      <c r="A230" s="190"/>
      <c r="B230" s="195"/>
      <c r="C230" s="196"/>
      <c r="D230" s="196"/>
      <c r="E230" s="197"/>
      <c r="F230" s="198"/>
      <c r="G230" s="199"/>
      <c r="H230" s="197"/>
      <c r="I230" s="199"/>
      <c r="J230" s="200"/>
      <c r="K230" s="211"/>
      <c r="L230" s="201"/>
      <c r="M230" s="201"/>
      <c r="N230" s="201"/>
    </row>
    <row r="231">
      <c r="A231" s="190"/>
      <c r="B231" s="195"/>
      <c r="C231" s="196"/>
      <c r="D231" s="196"/>
      <c r="E231" s="197"/>
      <c r="F231" s="198"/>
      <c r="G231" s="199"/>
      <c r="H231" s="197"/>
      <c r="I231" s="199"/>
      <c r="J231" s="200"/>
      <c r="K231" s="211"/>
      <c r="L231" s="201"/>
      <c r="M231" s="201"/>
      <c r="N231" s="201"/>
    </row>
    <row r="232">
      <c r="A232" s="190"/>
      <c r="B232" s="195"/>
      <c r="C232" s="196"/>
      <c r="D232" s="196"/>
      <c r="E232" s="197"/>
      <c r="F232" s="198"/>
      <c r="G232" s="199"/>
      <c r="H232" s="197"/>
      <c r="I232" s="199"/>
      <c r="J232" s="200"/>
      <c r="K232" s="211"/>
      <c r="L232" s="201"/>
      <c r="M232" s="201"/>
      <c r="N232" s="201"/>
    </row>
    <row r="233">
      <c r="A233" s="190"/>
      <c r="B233" s="195"/>
      <c r="C233" s="196"/>
      <c r="D233" s="196"/>
      <c r="E233" s="197"/>
      <c r="F233" s="198"/>
      <c r="G233" s="199"/>
      <c r="H233" s="197"/>
      <c r="I233" s="199"/>
      <c r="J233" s="200"/>
      <c r="K233" s="211"/>
      <c r="L233" s="201"/>
      <c r="M233" s="201"/>
      <c r="N233" s="201"/>
    </row>
    <row r="234">
      <c r="A234" s="190"/>
      <c r="B234" s="195"/>
      <c r="C234" s="196"/>
      <c r="D234" s="196"/>
      <c r="E234" s="197"/>
      <c r="F234" s="198"/>
      <c r="G234" s="199"/>
      <c r="H234" s="197"/>
      <c r="I234" s="199"/>
      <c r="J234" s="200"/>
      <c r="K234" s="211"/>
      <c r="L234" s="201"/>
      <c r="M234" s="201"/>
      <c r="N234" s="201"/>
    </row>
    <row r="235">
      <c r="A235" s="190"/>
      <c r="B235" s="195"/>
      <c r="C235" s="196"/>
      <c r="D235" s="196"/>
      <c r="E235" s="197"/>
      <c r="F235" s="198"/>
      <c r="G235" s="199"/>
      <c r="H235" s="197"/>
      <c r="I235" s="199"/>
      <c r="J235" s="200"/>
      <c r="K235" s="211"/>
      <c r="L235" s="201"/>
      <c r="M235" s="201"/>
      <c r="N235" s="201"/>
    </row>
    <row r="236">
      <c r="A236" s="190"/>
      <c r="B236" s="195"/>
      <c r="C236" s="196"/>
      <c r="D236" s="196"/>
      <c r="E236" s="197"/>
      <c r="F236" s="198"/>
      <c r="G236" s="199"/>
      <c r="H236" s="197"/>
      <c r="I236" s="199"/>
      <c r="J236" s="200"/>
      <c r="K236" s="211"/>
      <c r="L236" s="201"/>
      <c r="M236" s="201"/>
      <c r="N236" s="201"/>
    </row>
    <row r="237">
      <c r="A237" s="190"/>
      <c r="B237" s="195"/>
      <c r="C237" s="196"/>
      <c r="D237" s="196"/>
      <c r="E237" s="197"/>
      <c r="F237" s="198"/>
      <c r="G237" s="199"/>
      <c r="H237" s="197"/>
      <c r="I237" s="199"/>
      <c r="J237" s="200"/>
      <c r="K237" s="211"/>
      <c r="L237" s="201"/>
      <c r="M237" s="201"/>
      <c r="N237" s="201"/>
    </row>
    <row r="238">
      <c r="A238" s="190"/>
      <c r="B238" s="195"/>
      <c r="C238" s="196"/>
      <c r="D238" s="196"/>
      <c r="E238" s="197"/>
      <c r="F238" s="198"/>
      <c r="G238" s="199"/>
      <c r="H238" s="197"/>
      <c r="I238" s="199"/>
      <c r="J238" s="200"/>
      <c r="K238" s="211"/>
      <c r="L238" s="201"/>
      <c r="M238" s="201"/>
      <c r="N238" s="201"/>
    </row>
    <row r="239">
      <c r="A239" s="190"/>
      <c r="B239" s="195"/>
      <c r="C239" s="196"/>
      <c r="D239" s="196"/>
      <c r="E239" s="197"/>
      <c r="F239" s="198"/>
      <c r="G239" s="199"/>
      <c r="H239" s="197"/>
      <c r="I239" s="199"/>
      <c r="J239" s="200"/>
      <c r="K239" s="211"/>
      <c r="L239" s="201"/>
      <c r="M239" s="201"/>
      <c r="N239" s="201"/>
    </row>
    <row r="240">
      <c r="A240" s="190"/>
      <c r="B240" s="195"/>
      <c r="C240" s="196"/>
      <c r="D240" s="196"/>
      <c r="E240" s="197"/>
      <c r="F240" s="198"/>
      <c r="G240" s="199"/>
      <c r="H240" s="197"/>
      <c r="I240" s="199"/>
      <c r="J240" s="200"/>
      <c r="K240" s="211"/>
      <c r="L240" s="201"/>
      <c r="M240" s="201"/>
      <c r="N240" s="201"/>
    </row>
    <row r="241">
      <c r="A241" s="190"/>
      <c r="B241" s="195"/>
      <c r="C241" s="196"/>
      <c r="D241" s="196"/>
      <c r="E241" s="197"/>
      <c r="F241" s="198"/>
      <c r="G241" s="199"/>
      <c r="H241" s="197"/>
      <c r="I241" s="199"/>
      <c r="J241" s="200"/>
      <c r="K241" s="211"/>
      <c r="L241" s="201"/>
      <c r="M241" s="201"/>
      <c r="N241" s="201"/>
    </row>
    <row r="242">
      <c r="A242" s="190"/>
      <c r="B242" s="195"/>
      <c r="C242" s="196"/>
      <c r="D242" s="196"/>
      <c r="E242" s="197"/>
      <c r="F242" s="198"/>
      <c r="G242" s="199"/>
      <c r="H242" s="197"/>
      <c r="I242" s="199"/>
      <c r="J242" s="200"/>
      <c r="K242" s="211"/>
      <c r="L242" s="201"/>
      <c r="M242" s="201"/>
      <c r="N242" s="201"/>
    </row>
    <row r="243">
      <c r="A243" s="190"/>
      <c r="B243" s="195"/>
      <c r="C243" s="196"/>
      <c r="D243" s="196"/>
      <c r="E243" s="197"/>
      <c r="F243" s="198"/>
      <c r="G243" s="199"/>
      <c r="H243" s="197"/>
      <c r="I243" s="199"/>
      <c r="J243" s="200"/>
      <c r="K243" s="211"/>
      <c r="L243" s="201"/>
      <c r="M243" s="201"/>
      <c r="N243" s="201"/>
    </row>
    <row r="244">
      <c r="A244" s="190"/>
      <c r="B244" s="195"/>
      <c r="C244" s="196"/>
      <c r="D244" s="196"/>
      <c r="E244" s="197"/>
      <c r="F244" s="198"/>
      <c r="G244" s="199"/>
      <c r="H244" s="197"/>
      <c r="I244" s="199"/>
      <c r="J244" s="200"/>
      <c r="K244" s="211"/>
      <c r="L244" s="201"/>
      <c r="M244" s="201"/>
      <c r="N244" s="201"/>
    </row>
    <row r="245">
      <c r="A245" s="190"/>
      <c r="B245" s="195"/>
      <c r="C245" s="196"/>
      <c r="D245" s="196"/>
      <c r="E245" s="197"/>
      <c r="F245" s="198"/>
      <c r="G245" s="199"/>
      <c r="H245" s="197"/>
      <c r="I245" s="199"/>
      <c r="J245" s="200"/>
      <c r="K245" s="211"/>
      <c r="L245" s="201"/>
      <c r="M245" s="201"/>
      <c r="N245" s="201"/>
    </row>
    <row r="246">
      <c r="A246" s="190"/>
      <c r="B246" s="195"/>
      <c r="C246" s="196"/>
      <c r="D246" s="196"/>
      <c r="E246" s="197"/>
      <c r="F246" s="198"/>
      <c r="G246" s="199"/>
      <c r="H246" s="197"/>
      <c r="I246" s="199"/>
      <c r="J246" s="200"/>
      <c r="K246" s="211"/>
      <c r="L246" s="201"/>
      <c r="M246" s="201"/>
      <c r="N246" s="201"/>
    </row>
    <row r="247">
      <c r="A247" s="190"/>
      <c r="B247" s="195"/>
      <c r="C247" s="196"/>
      <c r="D247" s="196"/>
      <c r="E247" s="197"/>
      <c r="F247" s="198"/>
      <c r="G247" s="199"/>
      <c r="H247" s="197"/>
      <c r="I247" s="199"/>
      <c r="J247" s="200"/>
      <c r="K247" s="211"/>
      <c r="L247" s="201"/>
      <c r="M247" s="201"/>
      <c r="N247" s="201"/>
    </row>
    <row r="248">
      <c r="A248" s="190"/>
      <c r="B248" s="195"/>
      <c r="C248" s="196"/>
      <c r="D248" s="196"/>
      <c r="E248" s="197"/>
      <c r="F248" s="198"/>
      <c r="G248" s="199"/>
      <c r="H248" s="197"/>
      <c r="I248" s="199"/>
      <c r="J248" s="200"/>
      <c r="K248" s="211"/>
      <c r="L248" s="201"/>
      <c r="M248" s="201"/>
      <c r="N248" s="201"/>
    </row>
    <row r="249">
      <c r="A249" s="190"/>
      <c r="B249" s="195"/>
      <c r="C249" s="196"/>
      <c r="D249" s="196"/>
      <c r="E249" s="197"/>
      <c r="F249" s="198"/>
      <c r="G249" s="199"/>
      <c r="H249" s="197"/>
      <c r="I249" s="199"/>
      <c r="J249" s="200"/>
      <c r="K249" s="211"/>
      <c r="L249" s="201"/>
      <c r="M249" s="201"/>
      <c r="N249" s="201"/>
    </row>
    <row r="250">
      <c r="A250" s="190"/>
      <c r="B250" s="195"/>
      <c r="C250" s="196"/>
      <c r="D250" s="196"/>
      <c r="E250" s="197"/>
      <c r="F250" s="198"/>
      <c r="G250" s="199"/>
      <c r="H250" s="197"/>
      <c r="I250" s="199"/>
      <c r="J250" s="200"/>
      <c r="K250" s="211"/>
      <c r="L250" s="201"/>
      <c r="M250" s="201"/>
      <c r="N250" s="201"/>
    </row>
    <row r="251">
      <c r="A251" s="190"/>
      <c r="B251" s="195"/>
      <c r="C251" s="196"/>
      <c r="D251" s="196"/>
      <c r="E251" s="197"/>
      <c r="F251" s="198"/>
      <c r="G251" s="199"/>
      <c r="H251" s="197"/>
      <c r="I251" s="199"/>
      <c r="J251" s="200"/>
      <c r="K251" s="211"/>
      <c r="L251" s="201"/>
      <c r="M251" s="201"/>
      <c r="N251" s="201"/>
    </row>
    <row r="252">
      <c r="A252" s="190"/>
      <c r="B252" s="195"/>
      <c r="C252" s="196"/>
      <c r="D252" s="196"/>
      <c r="E252" s="197"/>
      <c r="F252" s="198"/>
      <c r="G252" s="199"/>
      <c r="H252" s="197"/>
      <c r="I252" s="199"/>
      <c r="J252" s="200"/>
      <c r="K252" s="211"/>
      <c r="L252" s="201"/>
      <c r="M252" s="201"/>
      <c r="N252" s="201"/>
    </row>
    <row r="253">
      <c r="A253" s="190"/>
      <c r="B253" s="195"/>
      <c r="C253" s="196"/>
      <c r="D253" s="196"/>
      <c r="E253" s="197"/>
      <c r="F253" s="198"/>
      <c r="G253" s="199"/>
      <c r="H253" s="197"/>
      <c r="I253" s="199"/>
      <c r="J253" s="200"/>
      <c r="K253" s="211"/>
      <c r="L253" s="201"/>
      <c r="M253" s="201"/>
      <c r="N253" s="201"/>
    </row>
    <row r="254">
      <c r="A254" s="190"/>
      <c r="B254" s="195"/>
      <c r="C254" s="196"/>
      <c r="D254" s="196"/>
      <c r="E254" s="197"/>
      <c r="F254" s="198"/>
      <c r="G254" s="199"/>
      <c r="H254" s="197"/>
      <c r="I254" s="199"/>
      <c r="J254" s="200"/>
      <c r="K254" s="211"/>
      <c r="L254" s="201"/>
      <c r="M254" s="201"/>
      <c r="N254" s="201"/>
    </row>
    <row r="255">
      <c r="A255" s="190"/>
      <c r="B255" s="195"/>
      <c r="C255" s="196"/>
      <c r="D255" s="196"/>
      <c r="E255" s="197"/>
      <c r="F255" s="198"/>
      <c r="G255" s="199"/>
      <c r="H255" s="197"/>
      <c r="I255" s="199"/>
      <c r="J255" s="200"/>
      <c r="K255" s="211"/>
      <c r="L255" s="201"/>
      <c r="M255" s="201"/>
      <c r="N255" s="201"/>
    </row>
    <row r="256">
      <c r="A256" s="190"/>
      <c r="B256" s="195"/>
      <c r="C256" s="196"/>
      <c r="D256" s="196"/>
      <c r="E256" s="197"/>
      <c r="F256" s="198"/>
      <c r="G256" s="199"/>
      <c r="H256" s="197"/>
      <c r="I256" s="199"/>
      <c r="J256" s="200"/>
      <c r="K256" s="211"/>
      <c r="L256" s="201"/>
      <c r="M256" s="201"/>
      <c r="N256" s="201"/>
    </row>
    <row r="257">
      <c r="A257" s="190"/>
      <c r="B257" s="195"/>
      <c r="C257" s="196"/>
      <c r="D257" s="196"/>
      <c r="E257" s="197"/>
      <c r="F257" s="198"/>
      <c r="G257" s="199"/>
      <c r="H257" s="197"/>
      <c r="I257" s="199"/>
      <c r="J257" s="200"/>
      <c r="K257" s="211"/>
      <c r="L257" s="201"/>
      <c r="M257" s="201"/>
      <c r="N257" s="201"/>
    </row>
    <row r="258">
      <c r="A258" s="190"/>
      <c r="B258" s="195"/>
      <c r="C258" s="196"/>
      <c r="D258" s="196"/>
      <c r="E258" s="197"/>
      <c r="F258" s="198"/>
      <c r="G258" s="199"/>
      <c r="H258" s="197"/>
      <c r="I258" s="199"/>
      <c r="J258" s="200"/>
      <c r="K258" s="211"/>
      <c r="L258" s="201"/>
      <c r="M258" s="201"/>
      <c r="N258" s="201"/>
    </row>
    <row r="259">
      <c r="A259" s="190"/>
      <c r="B259" s="195"/>
      <c r="C259" s="196"/>
      <c r="D259" s="196"/>
      <c r="E259" s="197"/>
      <c r="F259" s="198"/>
      <c r="G259" s="199"/>
      <c r="H259" s="197"/>
      <c r="I259" s="199"/>
      <c r="J259" s="200"/>
      <c r="K259" s="211"/>
      <c r="L259" s="201"/>
      <c r="M259" s="201"/>
      <c r="N259" s="201"/>
    </row>
    <row r="260">
      <c r="A260" s="190"/>
      <c r="B260" s="195"/>
      <c r="C260" s="196"/>
      <c r="D260" s="196"/>
      <c r="E260" s="197"/>
      <c r="F260" s="198"/>
      <c r="G260" s="199"/>
      <c r="H260" s="197"/>
      <c r="I260" s="199"/>
      <c r="J260" s="200"/>
      <c r="K260" s="211"/>
      <c r="L260" s="201"/>
      <c r="M260" s="201"/>
      <c r="N260" s="201"/>
    </row>
    <row r="261">
      <c r="A261" s="190"/>
      <c r="B261" s="195"/>
      <c r="C261" s="196"/>
      <c r="D261" s="196"/>
      <c r="E261" s="197"/>
      <c r="F261" s="198"/>
      <c r="G261" s="199"/>
      <c r="H261" s="197"/>
      <c r="I261" s="199"/>
      <c r="J261" s="200"/>
      <c r="K261" s="211"/>
      <c r="L261" s="201"/>
      <c r="M261" s="201"/>
      <c r="N261" s="201"/>
    </row>
    <row r="262">
      <c r="A262" s="190"/>
      <c r="B262" s="195"/>
      <c r="C262" s="196"/>
      <c r="D262" s="196"/>
      <c r="E262" s="197"/>
      <c r="F262" s="198"/>
      <c r="G262" s="199"/>
      <c r="H262" s="197"/>
      <c r="I262" s="199"/>
      <c r="J262" s="200"/>
      <c r="K262" s="211"/>
      <c r="L262" s="201"/>
      <c r="M262" s="201"/>
      <c r="N262" s="201"/>
    </row>
    <row r="263">
      <c r="A263" s="190"/>
      <c r="B263" s="195"/>
      <c r="C263" s="196"/>
      <c r="D263" s="196"/>
      <c r="E263" s="197"/>
      <c r="F263" s="198"/>
      <c r="G263" s="199"/>
      <c r="H263" s="197"/>
      <c r="I263" s="199"/>
      <c r="J263" s="200"/>
      <c r="K263" s="211"/>
      <c r="L263" s="201"/>
      <c r="M263" s="201"/>
      <c r="N263" s="201"/>
    </row>
    <row r="264">
      <c r="A264" s="190"/>
      <c r="B264" s="195"/>
      <c r="C264" s="196"/>
      <c r="D264" s="196"/>
      <c r="E264" s="197"/>
      <c r="F264" s="198"/>
      <c r="G264" s="199"/>
      <c r="H264" s="197"/>
      <c r="I264" s="199"/>
      <c r="J264" s="200"/>
      <c r="K264" s="211"/>
      <c r="L264" s="201"/>
      <c r="M264" s="201"/>
      <c r="N264" s="201"/>
    </row>
    <row r="265">
      <c r="A265" s="190"/>
      <c r="B265" s="195"/>
      <c r="C265" s="196"/>
      <c r="D265" s="196"/>
      <c r="E265" s="197"/>
      <c r="F265" s="198"/>
      <c r="G265" s="199"/>
      <c r="H265" s="197"/>
      <c r="I265" s="199"/>
      <c r="J265" s="200"/>
      <c r="K265" s="211"/>
      <c r="L265" s="201"/>
      <c r="M265" s="201"/>
      <c r="N265" s="201"/>
    </row>
    <row r="266">
      <c r="A266" s="190"/>
      <c r="B266" s="195"/>
      <c r="C266" s="196"/>
      <c r="D266" s="196"/>
      <c r="E266" s="197"/>
      <c r="F266" s="198"/>
      <c r="G266" s="199"/>
      <c r="H266" s="197"/>
      <c r="I266" s="199"/>
      <c r="J266" s="200"/>
      <c r="K266" s="211"/>
      <c r="L266" s="201"/>
      <c r="M266" s="201"/>
      <c r="N266" s="201"/>
    </row>
    <row r="267">
      <c r="A267" s="190"/>
      <c r="B267" s="195"/>
      <c r="C267" s="196"/>
      <c r="D267" s="196"/>
      <c r="E267" s="197"/>
      <c r="F267" s="198"/>
      <c r="G267" s="199"/>
      <c r="H267" s="197"/>
      <c r="I267" s="199"/>
      <c r="J267" s="200"/>
      <c r="K267" s="211"/>
      <c r="L267" s="201"/>
      <c r="M267" s="201"/>
      <c r="N267" s="201"/>
    </row>
    <row r="268">
      <c r="A268" s="190"/>
      <c r="B268" s="195"/>
      <c r="C268" s="196"/>
      <c r="D268" s="196"/>
      <c r="E268" s="197"/>
      <c r="F268" s="198"/>
      <c r="G268" s="199"/>
      <c r="H268" s="197"/>
      <c r="I268" s="199"/>
      <c r="J268" s="200"/>
      <c r="K268" s="211"/>
      <c r="L268" s="201"/>
      <c r="M268" s="201"/>
      <c r="N268" s="201"/>
    </row>
    <row r="269">
      <c r="A269" s="190"/>
      <c r="B269" s="195"/>
      <c r="C269" s="196"/>
      <c r="D269" s="196"/>
      <c r="E269" s="197"/>
      <c r="F269" s="198"/>
      <c r="G269" s="199"/>
      <c r="H269" s="197"/>
      <c r="I269" s="199"/>
      <c r="J269" s="200"/>
      <c r="K269" s="211"/>
      <c r="L269" s="201"/>
      <c r="M269" s="201"/>
      <c r="N269" s="201"/>
    </row>
    <row r="270">
      <c r="A270" s="190"/>
      <c r="B270" s="195"/>
      <c r="C270" s="196"/>
      <c r="D270" s="196"/>
      <c r="E270" s="197"/>
      <c r="F270" s="198"/>
      <c r="G270" s="199"/>
      <c r="H270" s="197"/>
      <c r="I270" s="199"/>
      <c r="J270" s="200"/>
      <c r="K270" s="211"/>
      <c r="L270" s="201"/>
      <c r="M270" s="201"/>
      <c r="N270" s="201"/>
    </row>
    <row r="271">
      <c r="A271" s="190"/>
      <c r="B271" s="195"/>
      <c r="C271" s="196"/>
      <c r="D271" s="196"/>
      <c r="E271" s="197"/>
      <c r="F271" s="198"/>
      <c r="G271" s="199"/>
      <c r="H271" s="197"/>
      <c r="I271" s="199"/>
      <c r="J271" s="200"/>
      <c r="K271" s="211"/>
      <c r="L271" s="201"/>
      <c r="M271" s="201"/>
      <c r="N271" s="201"/>
    </row>
    <row r="272">
      <c r="A272" s="190"/>
      <c r="B272" s="195"/>
      <c r="C272" s="196"/>
      <c r="D272" s="196"/>
      <c r="E272" s="197"/>
      <c r="F272" s="198"/>
      <c r="G272" s="199"/>
      <c r="H272" s="197"/>
      <c r="I272" s="199"/>
      <c r="J272" s="200"/>
      <c r="K272" s="211"/>
      <c r="L272" s="201"/>
      <c r="M272" s="201"/>
      <c r="N272" s="201"/>
    </row>
    <row r="273">
      <c r="A273" s="190"/>
      <c r="B273" s="195"/>
      <c r="C273" s="196"/>
      <c r="D273" s="196"/>
      <c r="E273" s="197"/>
      <c r="F273" s="198"/>
      <c r="G273" s="199"/>
      <c r="H273" s="197"/>
      <c r="I273" s="199"/>
      <c r="J273" s="200"/>
      <c r="K273" s="211"/>
      <c r="L273" s="201"/>
      <c r="M273" s="201"/>
      <c r="N273" s="201"/>
    </row>
    <row r="274">
      <c r="A274" s="190"/>
      <c r="B274" s="195"/>
      <c r="C274" s="196"/>
      <c r="D274" s="196"/>
      <c r="E274" s="197"/>
      <c r="F274" s="198"/>
      <c r="G274" s="199"/>
      <c r="H274" s="197"/>
      <c r="I274" s="199"/>
      <c r="J274" s="200"/>
      <c r="K274" s="211"/>
      <c r="L274" s="201"/>
      <c r="M274" s="201"/>
      <c r="N274" s="201"/>
    </row>
    <row r="275">
      <c r="A275" s="190"/>
      <c r="B275" s="195"/>
      <c r="C275" s="196"/>
      <c r="D275" s="196"/>
      <c r="E275" s="197"/>
      <c r="F275" s="198"/>
      <c r="G275" s="199"/>
      <c r="H275" s="197"/>
      <c r="I275" s="199"/>
      <c r="J275" s="200"/>
      <c r="K275" s="211"/>
      <c r="L275" s="201"/>
      <c r="M275" s="201"/>
      <c r="N275" s="201"/>
    </row>
    <row r="276">
      <c r="A276" s="190"/>
      <c r="B276" s="195"/>
      <c r="C276" s="196"/>
      <c r="D276" s="196"/>
      <c r="E276" s="197"/>
      <c r="F276" s="198"/>
      <c r="G276" s="199"/>
      <c r="H276" s="197"/>
      <c r="I276" s="199"/>
      <c r="J276" s="200"/>
      <c r="K276" s="211"/>
      <c r="L276" s="201"/>
      <c r="M276" s="201"/>
      <c r="N276" s="201"/>
    </row>
    <row r="277">
      <c r="A277" s="190"/>
      <c r="B277" s="195"/>
      <c r="C277" s="196"/>
      <c r="D277" s="196"/>
      <c r="E277" s="197"/>
      <c r="F277" s="198"/>
      <c r="G277" s="199"/>
      <c r="H277" s="197"/>
      <c r="I277" s="199"/>
      <c r="J277" s="200"/>
      <c r="K277" s="211"/>
      <c r="L277" s="201"/>
      <c r="M277" s="201"/>
      <c r="N277" s="201"/>
    </row>
    <row r="278">
      <c r="A278" s="190"/>
      <c r="B278" s="195"/>
      <c r="C278" s="196"/>
      <c r="D278" s="196"/>
      <c r="E278" s="197"/>
      <c r="F278" s="198"/>
      <c r="G278" s="199"/>
      <c r="H278" s="197"/>
      <c r="I278" s="199"/>
      <c r="J278" s="200"/>
      <c r="K278" s="211"/>
      <c r="L278" s="201"/>
      <c r="M278" s="201"/>
      <c r="N278" s="201"/>
    </row>
    <row r="279">
      <c r="A279" s="190"/>
      <c r="B279" s="195"/>
      <c r="C279" s="196"/>
      <c r="D279" s="196"/>
      <c r="E279" s="197"/>
      <c r="F279" s="198"/>
      <c r="G279" s="199"/>
      <c r="H279" s="197"/>
      <c r="I279" s="199"/>
      <c r="J279" s="200"/>
      <c r="K279" s="211"/>
      <c r="L279" s="201"/>
      <c r="M279" s="201"/>
      <c r="N279" s="201"/>
    </row>
    <row r="280">
      <c r="A280" s="190"/>
      <c r="B280" s="195"/>
      <c r="C280" s="196"/>
      <c r="D280" s="196"/>
      <c r="E280" s="197"/>
      <c r="F280" s="198"/>
      <c r="G280" s="199"/>
      <c r="H280" s="197"/>
      <c r="I280" s="199"/>
      <c r="J280" s="200"/>
      <c r="K280" s="211"/>
      <c r="L280" s="201"/>
      <c r="M280" s="201"/>
      <c r="N280" s="201"/>
    </row>
    <row r="281">
      <c r="A281" s="190"/>
      <c r="B281" s="195"/>
      <c r="C281" s="196"/>
      <c r="D281" s="196"/>
      <c r="E281" s="197"/>
      <c r="F281" s="198"/>
      <c r="G281" s="199"/>
      <c r="H281" s="197"/>
      <c r="I281" s="199"/>
      <c r="J281" s="200"/>
      <c r="K281" s="211"/>
      <c r="L281" s="201"/>
      <c r="M281" s="201"/>
      <c r="N281" s="201"/>
    </row>
    <row r="282">
      <c r="A282" s="190"/>
      <c r="B282" s="195"/>
      <c r="C282" s="196"/>
      <c r="D282" s="196"/>
      <c r="E282" s="197"/>
      <c r="F282" s="198"/>
      <c r="G282" s="199"/>
      <c r="H282" s="197"/>
      <c r="I282" s="199"/>
      <c r="J282" s="200"/>
      <c r="K282" s="211"/>
      <c r="L282" s="201"/>
      <c r="M282" s="201"/>
      <c r="N282" s="201"/>
    </row>
    <row r="283">
      <c r="A283" s="190"/>
      <c r="B283" s="195"/>
      <c r="C283" s="196"/>
      <c r="D283" s="196"/>
      <c r="E283" s="197"/>
      <c r="F283" s="198"/>
      <c r="G283" s="199"/>
      <c r="H283" s="197"/>
      <c r="I283" s="199"/>
      <c r="J283" s="200"/>
      <c r="K283" s="211"/>
      <c r="L283" s="201"/>
      <c r="M283" s="201"/>
      <c r="N283" s="201"/>
    </row>
    <row r="284">
      <c r="A284" s="190"/>
      <c r="B284" s="195"/>
      <c r="C284" s="196"/>
      <c r="D284" s="196"/>
      <c r="E284" s="197"/>
      <c r="F284" s="198"/>
      <c r="G284" s="199"/>
      <c r="H284" s="197"/>
      <c r="I284" s="199"/>
      <c r="J284" s="200"/>
      <c r="K284" s="211"/>
      <c r="L284" s="201"/>
      <c r="M284" s="201"/>
      <c r="N284" s="201"/>
    </row>
    <row r="285">
      <c r="A285" s="190"/>
      <c r="B285" s="195"/>
      <c r="C285" s="196"/>
      <c r="D285" s="196"/>
      <c r="E285" s="197"/>
      <c r="F285" s="198"/>
      <c r="G285" s="199"/>
      <c r="H285" s="197"/>
      <c r="I285" s="199"/>
      <c r="J285" s="200"/>
      <c r="K285" s="211"/>
      <c r="L285" s="201"/>
      <c r="M285" s="201"/>
      <c r="N285" s="201"/>
    </row>
    <row r="286">
      <c r="A286" s="190"/>
      <c r="B286" s="195"/>
      <c r="C286" s="196"/>
      <c r="D286" s="196"/>
      <c r="E286" s="197"/>
      <c r="F286" s="198"/>
      <c r="G286" s="199"/>
      <c r="H286" s="197"/>
      <c r="I286" s="199"/>
      <c r="J286" s="200"/>
      <c r="K286" s="211"/>
      <c r="L286" s="201"/>
      <c r="M286" s="201"/>
      <c r="N286" s="201"/>
    </row>
    <row r="287">
      <c r="A287" s="190"/>
      <c r="B287" s="195"/>
      <c r="C287" s="196"/>
      <c r="D287" s="196"/>
      <c r="E287" s="197"/>
      <c r="F287" s="198"/>
      <c r="G287" s="199"/>
      <c r="H287" s="197"/>
      <c r="I287" s="199"/>
      <c r="J287" s="200"/>
      <c r="K287" s="211"/>
      <c r="L287" s="201"/>
      <c r="M287" s="201"/>
      <c r="N287" s="201"/>
    </row>
    <row r="288">
      <c r="A288" s="190"/>
      <c r="B288" s="195"/>
      <c r="C288" s="196"/>
      <c r="D288" s="196"/>
      <c r="E288" s="197"/>
      <c r="F288" s="198"/>
      <c r="G288" s="199"/>
      <c r="H288" s="197"/>
      <c r="I288" s="199"/>
      <c r="J288" s="200"/>
      <c r="K288" s="211"/>
      <c r="L288" s="201"/>
      <c r="M288" s="201"/>
      <c r="N288" s="201"/>
    </row>
    <row r="289">
      <c r="A289" s="190"/>
      <c r="B289" s="195"/>
      <c r="C289" s="196"/>
      <c r="D289" s="196"/>
      <c r="E289" s="197"/>
      <c r="F289" s="198"/>
      <c r="G289" s="199"/>
      <c r="H289" s="197"/>
      <c r="I289" s="199"/>
      <c r="J289" s="200"/>
      <c r="K289" s="211"/>
      <c r="L289" s="201"/>
      <c r="M289" s="201"/>
      <c r="N289" s="201"/>
    </row>
    <row r="290">
      <c r="A290" s="190"/>
      <c r="B290" s="195"/>
      <c r="C290" s="196"/>
      <c r="D290" s="196"/>
      <c r="E290" s="197"/>
      <c r="F290" s="198"/>
      <c r="G290" s="199"/>
      <c r="H290" s="197"/>
      <c r="I290" s="199"/>
      <c r="J290" s="200"/>
      <c r="K290" s="211"/>
      <c r="L290" s="201"/>
      <c r="M290" s="201"/>
      <c r="N290" s="201"/>
    </row>
    <row r="291">
      <c r="A291" s="190"/>
      <c r="B291" s="195"/>
      <c r="C291" s="196"/>
      <c r="D291" s="196"/>
      <c r="E291" s="197"/>
      <c r="F291" s="198"/>
      <c r="G291" s="199"/>
      <c r="H291" s="197"/>
      <c r="I291" s="199"/>
      <c r="J291" s="200"/>
      <c r="K291" s="211"/>
      <c r="L291" s="201"/>
      <c r="M291" s="201"/>
      <c r="N291" s="201"/>
    </row>
    <row r="292">
      <c r="A292" s="190"/>
      <c r="B292" s="195"/>
      <c r="C292" s="196"/>
      <c r="D292" s="196"/>
      <c r="E292" s="197"/>
      <c r="F292" s="198"/>
      <c r="G292" s="199"/>
      <c r="H292" s="197"/>
      <c r="I292" s="199"/>
      <c r="J292" s="200"/>
      <c r="K292" s="211"/>
      <c r="L292" s="201"/>
      <c r="M292" s="201"/>
      <c r="N292" s="201"/>
    </row>
    <row r="293">
      <c r="A293" s="190"/>
      <c r="B293" s="195"/>
      <c r="C293" s="196"/>
      <c r="D293" s="196"/>
      <c r="E293" s="197"/>
      <c r="F293" s="198"/>
      <c r="G293" s="199"/>
      <c r="H293" s="197"/>
      <c r="I293" s="199"/>
      <c r="J293" s="200"/>
      <c r="K293" s="211"/>
      <c r="L293" s="201"/>
      <c r="M293" s="201"/>
      <c r="N293" s="201"/>
    </row>
    <row r="294">
      <c r="A294" s="190"/>
      <c r="B294" s="195"/>
      <c r="C294" s="196"/>
      <c r="D294" s="196"/>
      <c r="E294" s="197"/>
      <c r="F294" s="198"/>
      <c r="G294" s="199"/>
      <c r="H294" s="197"/>
      <c r="I294" s="199"/>
      <c r="J294" s="200"/>
      <c r="K294" s="211"/>
      <c r="L294" s="201"/>
      <c r="M294" s="201"/>
      <c r="N294" s="201"/>
    </row>
    <row r="295">
      <c r="A295" s="190"/>
      <c r="B295" s="195"/>
      <c r="C295" s="196"/>
      <c r="D295" s="196"/>
      <c r="E295" s="197"/>
      <c r="F295" s="198"/>
      <c r="G295" s="199"/>
      <c r="H295" s="197"/>
      <c r="I295" s="199"/>
      <c r="J295" s="200"/>
      <c r="K295" s="211"/>
      <c r="L295" s="201"/>
      <c r="M295" s="201"/>
      <c r="N295" s="201"/>
    </row>
    <row r="296">
      <c r="A296" s="190"/>
      <c r="B296" s="195"/>
      <c r="C296" s="196"/>
      <c r="D296" s="196"/>
      <c r="E296" s="197"/>
      <c r="F296" s="198"/>
      <c r="G296" s="199"/>
      <c r="H296" s="197"/>
      <c r="I296" s="199"/>
      <c r="J296" s="200"/>
      <c r="K296" s="211"/>
      <c r="L296" s="201"/>
      <c r="M296" s="201"/>
      <c r="N296" s="201"/>
    </row>
    <row r="297">
      <c r="A297" s="190"/>
      <c r="B297" s="195"/>
      <c r="C297" s="196"/>
      <c r="D297" s="196"/>
      <c r="E297" s="197"/>
      <c r="F297" s="198"/>
      <c r="G297" s="199"/>
      <c r="H297" s="197"/>
      <c r="I297" s="199"/>
      <c r="J297" s="200"/>
      <c r="K297" s="211"/>
      <c r="L297" s="201"/>
      <c r="M297" s="201"/>
      <c r="N297" s="201"/>
    </row>
    <row r="298">
      <c r="A298" s="190"/>
      <c r="B298" s="195"/>
      <c r="C298" s="196"/>
      <c r="D298" s="196"/>
      <c r="E298" s="197"/>
      <c r="F298" s="198"/>
      <c r="G298" s="199"/>
      <c r="H298" s="197"/>
      <c r="I298" s="199"/>
      <c r="J298" s="200"/>
      <c r="K298" s="211"/>
      <c r="L298" s="201"/>
      <c r="M298" s="201"/>
      <c r="N298" s="201"/>
    </row>
    <row r="299" ht="13.5" customHeight="1">
      <c r="A299" s="190"/>
      <c r="B299" s="195"/>
      <c r="C299" s="196"/>
      <c r="D299" s="196"/>
      <c r="E299" s="197"/>
      <c r="F299" s="198"/>
      <c r="G299" s="199"/>
      <c r="H299" s="197"/>
      <c r="I299" s="199"/>
      <c r="J299" s="200"/>
      <c r="K299" s="211"/>
      <c r="L299" s="201"/>
      <c r="M299" s="201"/>
      <c r="N299" s="201"/>
    </row>
    <row r="300">
      <c r="A300" s="190"/>
      <c r="B300" s="195"/>
      <c r="C300" s="196"/>
      <c r="D300" s="196"/>
      <c r="E300" s="197"/>
      <c r="F300" s="198"/>
      <c r="G300" s="199"/>
      <c r="H300" s="197"/>
      <c r="I300" s="199"/>
      <c r="J300" s="200"/>
      <c r="K300" s="211"/>
      <c r="L300" s="201"/>
      <c r="M300" s="201"/>
      <c r="N300" s="201"/>
    </row>
    <row r="301">
      <c r="A301" s="190"/>
      <c r="B301" s="195"/>
      <c r="C301" s="196"/>
      <c r="D301" s="196"/>
      <c r="E301" s="197"/>
      <c r="F301" s="198"/>
      <c r="G301" s="199"/>
      <c r="H301" s="197"/>
      <c r="I301" s="199"/>
      <c r="J301" s="200"/>
      <c r="K301" s="211"/>
      <c r="L301" s="201"/>
      <c r="M301" s="201"/>
      <c r="N301" s="201"/>
    </row>
    <row r="302">
      <c r="A302" s="190"/>
      <c r="B302" s="195"/>
      <c r="C302" s="196"/>
      <c r="D302" s="196"/>
      <c r="E302" s="197"/>
      <c r="F302" s="198"/>
      <c r="G302" s="199"/>
      <c r="H302" s="197"/>
      <c r="I302" s="199"/>
      <c r="J302" s="200"/>
      <c r="K302" s="211"/>
      <c r="L302" s="201"/>
      <c r="M302" s="201"/>
      <c r="N302" s="201"/>
    </row>
    <row r="303">
      <c r="A303" s="190"/>
      <c r="B303" s="195"/>
      <c r="C303" s="196"/>
      <c r="D303" s="196"/>
      <c r="E303" s="197"/>
      <c r="F303" s="198"/>
      <c r="G303" s="199"/>
      <c r="H303" s="197"/>
      <c r="I303" s="199"/>
      <c r="J303" s="200"/>
      <c r="K303" s="211"/>
      <c r="L303" s="201"/>
      <c r="M303" s="201"/>
      <c r="N303" s="201"/>
    </row>
    <row r="304">
      <c r="A304" s="190"/>
      <c r="B304" s="195"/>
      <c r="C304" s="196"/>
      <c r="D304" s="196"/>
      <c r="E304" s="197"/>
      <c r="F304" s="198"/>
      <c r="G304" s="199"/>
      <c r="H304" s="197"/>
      <c r="I304" s="199"/>
      <c r="J304" s="200"/>
      <c r="K304" s="211"/>
      <c r="L304" s="201"/>
      <c r="M304" s="201"/>
      <c r="N304" s="201"/>
    </row>
    <row r="305">
      <c r="A305" s="190"/>
      <c r="B305" s="195"/>
      <c r="C305" s="196"/>
      <c r="D305" s="196"/>
      <c r="E305" s="197"/>
      <c r="F305" s="198"/>
      <c r="G305" s="199"/>
      <c r="H305" s="197"/>
      <c r="I305" s="199"/>
      <c r="J305" s="200"/>
      <c r="K305" s="211"/>
      <c r="L305" s="201"/>
      <c r="M305" s="201"/>
      <c r="N305" s="201"/>
    </row>
    <row r="306">
      <c r="A306" s="190"/>
      <c r="B306" s="195"/>
      <c r="C306" s="196"/>
      <c r="D306" s="196"/>
      <c r="E306" s="197"/>
      <c r="F306" s="198"/>
      <c r="G306" s="199"/>
      <c r="H306" s="197"/>
      <c r="I306" s="199"/>
      <c r="J306" s="200"/>
      <c r="K306" s="211"/>
      <c r="L306" s="201"/>
      <c r="M306" s="201"/>
      <c r="N306" s="201"/>
    </row>
    <row r="307">
      <c r="A307" s="190"/>
      <c r="B307" s="195"/>
      <c r="C307" s="196"/>
      <c r="D307" s="196"/>
      <c r="E307" s="197"/>
      <c r="F307" s="198"/>
      <c r="G307" s="199"/>
      <c r="H307" s="197"/>
      <c r="I307" s="199"/>
      <c r="J307" s="200"/>
      <c r="K307" s="211"/>
      <c r="L307" s="201"/>
      <c r="M307" s="201"/>
      <c r="N307" s="201"/>
    </row>
    <row r="308">
      <c r="A308" s="190"/>
      <c r="B308" s="195"/>
      <c r="C308" s="196"/>
      <c r="D308" s="196"/>
      <c r="E308" s="197"/>
      <c r="F308" s="198"/>
      <c r="G308" s="199"/>
      <c r="H308" s="197"/>
      <c r="I308" s="199"/>
      <c r="J308" s="200"/>
      <c r="K308" s="211"/>
      <c r="L308" s="201"/>
      <c r="M308" s="201"/>
      <c r="N308" s="201"/>
    </row>
    <row r="309">
      <c r="A309" s="190"/>
      <c r="B309" s="195"/>
      <c r="C309" s="196"/>
      <c r="D309" s="196"/>
      <c r="E309" s="197"/>
      <c r="F309" s="198"/>
      <c r="G309" s="199"/>
      <c r="H309" s="197"/>
      <c r="I309" s="199"/>
      <c r="J309" s="200"/>
      <c r="K309" s="211"/>
      <c r="L309" s="201"/>
      <c r="M309" s="201"/>
      <c r="N309" s="201"/>
    </row>
    <row r="310">
      <c r="A310" s="190"/>
      <c r="B310" s="195"/>
      <c r="C310" s="196"/>
      <c r="D310" s="196"/>
      <c r="E310" s="197"/>
      <c r="F310" s="198"/>
      <c r="G310" s="199"/>
      <c r="H310" s="197"/>
      <c r="I310" s="199"/>
      <c r="J310" s="200"/>
      <c r="K310" s="211"/>
      <c r="L310" s="201"/>
      <c r="M310" s="201"/>
      <c r="N310" s="201"/>
    </row>
    <row r="311">
      <c r="A311" s="190"/>
      <c r="B311" s="195"/>
      <c r="C311" s="196"/>
      <c r="D311" s="196"/>
      <c r="E311" s="197"/>
      <c r="F311" s="198"/>
      <c r="G311" s="199"/>
      <c r="H311" s="197"/>
      <c r="I311" s="199"/>
      <c r="J311" s="200"/>
      <c r="K311" s="211"/>
      <c r="L311" s="201"/>
      <c r="M311" s="201"/>
      <c r="N311" s="201"/>
    </row>
    <row r="312">
      <c r="A312" s="190"/>
      <c r="B312" s="195"/>
      <c r="C312" s="196"/>
      <c r="D312" s="196"/>
      <c r="E312" s="197"/>
      <c r="F312" s="198"/>
      <c r="G312" s="199"/>
      <c r="H312" s="197"/>
      <c r="I312" s="199"/>
      <c r="J312" s="200"/>
      <c r="K312" s="211"/>
      <c r="L312" s="201"/>
      <c r="M312" s="201"/>
      <c r="N312" s="201"/>
    </row>
    <row r="313">
      <c r="A313" s="190"/>
      <c r="B313" s="195"/>
      <c r="C313" s="196"/>
      <c r="D313" s="196"/>
      <c r="E313" s="197"/>
      <c r="F313" s="198"/>
      <c r="G313" s="199"/>
      <c r="H313" s="197"/>
      <c r="I313" s="199"/>
      <c r="J313" s="200"/>
      <c r="K313" s="211"/>
      <c r="L313" s="201"/>
      <c r="M313" s="201"/>
      <c r="N313" s="201"/>
    </row>
    <row r="314">
      <c r="A314" s="190"/>
      <c r="B314" s="195"/>
      <c r="C314" s="196"/>
      <c r="D314" s="196"/>
      <c r="E314" s="197"/>
      <c r="F314" s="198"/>
      <c r="G314" s="199"/>
      <c r="H314" s="197"/>
      <c r="I314" s="199"/>
      <c r="J314" s="200"/>
      <c r="K314" s="211"/>
      <c r="L314" s="201"/>
      <c r="M314" s="201"/>
      <c r="N314" s="201"/>
    </row>
    <row r="315">
      <c r="A315" s="190"/>
      <c r="B315" s="195"/>
      <c r="C315" s="196"/>
      <c r="D315" s="196"/>
      <c r="E315" s="197"/>
      <c r="F315" s="198"/>
      <c r="G315" s="199"/>
      <c r="H315" s="197"/>
      <c r="I315" s="199"/>
      <c r="J315" s="200"/>
      <c r="K315" s="211"/>
      <c r="L315" s="201"/>
      <c r="M315" s="201"/>
      <c r="N315" s="201"/>
    </row>
    <row r="316">
      <c r="A316" s="190"/>
      <c r="B316" s="195"/>
      <c r="C316" s="196"/>
      <c r="D316" s="196"/>
      <c r="E316" s="197"/>
      <c r="F316" s="198"/>
      <c r="G316" s="199"/>
      <c r="H316" s="197"/>
      <c r="I316" s="199"/>
      <c r="J316" s="200"/>
      <c r="K316" s="211"/>
      <c r="L316" s="201"/>
      <c r="M316" s="201"/>
      <c r="N316" s="201"/>
    </row>
    <row r="317">
      <c r="A317" s="190"/>
      <c r="B317" s="195"/>
      <c r="C317" s="196"/>
      <c r="D317" s="196"/>
      <c r="E317" s="197"/>
      <c r="F317" s="198"/>
      <c r="G317" s="199"/>
      <c r="H317" s="197"/>
      <c r="I317" s="199"/>
      <c r="J317" s="200"/>
      <c r="K317" s="211"/>
      <c r="L317" s="201"/>
      <c r="M317" s="201"/>
      <c r="N317" s="201"/>
    </row>
    <row r="318">
      <c r="A318" s="190"/>
      <c r="B318" s="195"/>
      <c r="C318" s="196"/>
      <c r="D318" s="196"/>
      <c r="E318" s="197"/>
      <c r="F318" s="198"/>
      <c r="G318" s="199"/>
      <c r="H318" s="197"/>
      <c r="I318" s="199"/>
      <c r="J318" s="200"/>
      <c r="K318" s="211"/>
      <c r="L318" s="201"/>
      <c r="M318" s="201"/>
      <c r="N318" s="201"/>
    </row>
    <row r="319">
      <c r="A319" s="190"/>
      <c r="B319" s="195"/>
      <c r="C319" s="196"/>
      <c r="D319" s="196"/>
      <c r="E319" s="197"/>
      <c r="F319" s="198"/>
      <c r="G319" s="199"/>
      <c r="H319" s="197"/>
      <c r="I319" s="199"/>
      <c r="J319" s="200"/>
      <c r="K319" s="211"/>
      <c r="L319" s="201"/>
      <c r="M319" s="201"/>
      <c r="N319" s="201"/>
    </row>
    <row r="320">
      <c r="A320" s="190"/>
      <c r="B320" s="195"/>
      <c r="C320" s="196"/>
      <c r="D320" s="196"/>
      <c r="E320" s="197"/>
      <c r="F320" s="198"/>
      <c r="G320" s="199"/>
      <c r="H320" s="197"/>
      <c r="I320" s="199"/>
      <c r="J320" s="200"/>
      <c r="K320" s="211"/>
      <c r="L320" s="201"/>
      <c r="M320" s="201"/>
      <c r="N320" s="201"/>
    </row>
    <row r="321">
      <c r="A321" s="190"/>
      <c r="B321" s="195"/>
      <c r="C321" s="196"/>
      <c r="D321" s="196"/>
      <c r="E321" s="197"/>
      <c r="F321" s="198"/>
      <c r="G321" s="199"/>
      <c r="H321" s="197"/>
      <c r="I321" s="199"/>
      <c r="J321" s="200"/>
      <c r="K321" s="211"/>
      <c r="L321" s="201"/>
      <c r="M321" s="201"/>
      <c r="N321" s="201"/>
    </row>
    <row r="322">
      <c r="A322" s="190"/>
      <c r="B322" s="195"/>
      <c r="C322" s="196"/>
      <c r="D322" s="196"/>
      <c r="E322" s="197"/>
      <c r="F322" s="198"/>
      <c r="G322" s="199"/>
      <c r="H322" s="197"/>
      <c r="I322" s="199"/>
      <c r="J322" s="200"/>
      <c r="K322" s="211"/>
      <c r="L322" s="201"/>
      <c r="M322" s="201"/>
      <c r="N322" s="201"/>
    </row>
    <row r="323">
      <c r="A323" s="190"/>
      <c r="B323" s="195"/>
      <c r="C323" s="196"/>
      <c r="D323" s="196"/>
      <c r="E323" s="197"/>
      <c r="F323" s="198"/>
      <c r="G323" s="199"/>
      <c r="H323" s="197"/>
      <c r="I323" s="199"/>
      <c r="J323" s="200"/>
      <c r="K323" s="211"/>
      <c r="L323" s="201"/>
      <c r="M323" s="201"/>
      <c r="N323" s="201"/>
    </row>
    <row r="324">
      <c r="A324" s="190"/>
      <c r="B324" s="195"/>
      <c r="C324" s="196"/>
      <c r="D324" s="196"/>
      <c r="E324" s="197"/>
      <c r="F324" s="198"/>
      <c r="G324" s="199"/>
      <c r="H324" s="197"/>
      <c r="I324" s="199"/>
      <c r="J324" s="200"/>
      <c r="K324" s="211"/>
      <c r="L324" s="201"/>
      <c r="M324" s="201"/>
      <c r="N324" s="201"/>
    </row>
    <row r="325">
      <c r="A325" s="190"/>
      <c r="B325" s="195"/>
      <c r="C325" s="196"/>
      <c r="D325" s="196"/>
      <c r="E325" s="197"/>
      <c r="F325" s="198"/>
      <c r="G325" s="199"/>
      <c r="H325" s="197"/>
      <c r="I325" s="199"/>
      <c r="J325" s="200"/>
      <c r="K325" s="211"/>
      <c r="L325" s="201"/>
      <c r="M325" s="201"/>
      <c r="N325" s="201"/>
    </row>
    <row r="326">
      <c r="A326" s="190"/>
      <c r="B326" s="195"/>
      <c r="C326" s="196"/>
      <c r="D326" s="196"/>
      <c r="E326" s="197"/>
      <c r="F326" s="198"/>
      <c r="G326" s="199"/>
      <c r="H326" s="197"/>
      <c r="I326" s="199"/>
      <c r="J326" s="200"/>
      <c r="K326" s="211"/>
      <c r="L326" s="201"/>
      <c r="M326" s="201"/>
      <c r="N326" s="201"/>
    </row>
    <row r="327">
      <c r="A327" s="190"/>
      <c r="B327" s="195"/>
      <c r="C327" s="196"/>
      <c r="D327" s="196"/>
      <c r="E327" s="197"/>
      <c r="F327" s="198"/>
      <c r="G327" s="199"/>
      <c r="H327" s="197"/>
      <c r="I327" s="199"/>
      <c r="J327" s="200"/>
      <c r="K327" s="211"/>
      <c r="L327" s="201"/>
      <c r="M327" s="201"/>
      <c r="N327" s="201"/>
    </row>
    <row r="328">
      <c r="A328" s="190"/>
      <c r="B328" s="195"/>
      <c r="C328" s="196"/>
      <c r="D328" s="196"/>
      <c r="E328" s="197"/>
      <c r="F328" s="198"/>
      <c r="G328" s="199"/>
      <c r="H328" s="197"/>
      <c r="I328" s="199"/>
      <c r="J328" s="200"/>
      <c r="K328" s="211"/>
      <c r="L328" s="201"/>
      <c r="M328" s="201"/>
      <c r="N328" s="201"/>
    </row>
    <row r="329">
      <c r="A329" s="190"/>
      <c r="B329" s="195"/>
      <c r="C329" s="196"/>
      <c r="D329" s="196"/>
      <c r="E329" s="197"/>
      <c r="F329" s="198"/>
      <c r="G329" s="199"/>
      <c r="H329" s="197"/>
      <c r="I329" s="199"/>
      <c r="J329" s="200"/>
      <c r="K329" s="211"/>
      <c r="L329" s="201"/>
      <c r="M329" s="201"/>
      <c r="N329" s="201"/>
    </row>
    <row r="330">
      <c r="A330" s="190"/>
      <c r="B330" s="195"/>
      <c r="C330" s="196"/>
      <c r="D330" s="196"/>
      <c r="E330" s="197"/>
      <c r="F330" s="198"/>
      <c r="G330" s="199"/>
      <c r="H330" s="197"/>
      <c r="I330" s="199"/>
      <c r="J330" s="200"/>
      <c r="K330" s="211"/>
      <c r="L330" s="201"/>
      <c r="M330" s="201"/>
      <c r="N330" s="201"/>
    </row>
    <row r="331">
      <c r="A331" s="190"/>
      <c r="B331" s="195"/>
      <c r="C331" s="196"/>
      <c r="D331" s="196"/>
      <c r="E331" s="197"/>
      <c r="F331" s="198"/>
      <c r="G331" s="199"/>
      <c r="H331" s="197"/>
      <c r="I331" s="199"/>
      <c r="J331" s="200"/>
      <c r="K331" s="211"/>
      <c r="L331" s="201"/>
      <c r="M331" s="201"/>
      <c r="N331" s="201"/>
    </row>
    <row r="332">
      <c r="A332" s="190"/>
      <c r="B332" s="195"/>
      <c r="C332" s="196"/>
      <c r="D332" s="196"/>
      <c r="E332" s="197"/>
      <c r="F332" s="198"/>
      <c r="G332" s="199"/>
      <c r="H332" s="197"/>
      <c r="I332" s="199"/>
      <c r="J332" s="200"/>
      <c r="K332" s="211"/>
      <c r="L332" s="201"/>
      <c r="M332" s="201"/>
      <c r="N332" s="201"/>
    </row>
    <row r="333">
      <c r="A333" s="190"/>
      <c r="B333" s="195"/>
      <c r="C333" s="196"/>
      <c r="D333" s="196"/>
      <c r="E333" s="197"/>
      <c r="F333" s="198"/>
      <c r="G333" s="199"/>
      <c r="H333" s="197"/>
      <c r="I333" s="199"/>
      <c r="J333" s="200"/>
      <c r="K333" s="211"/>
      <c r="L333" s="201"/>
      <c r="M333" s="201"/>
      <c r="N333" s="201"/>
    </row>
    <row r="334">
      <c r="A334" s="190"/>
      <c r="B334" s="195"/>
      <c r="C334" s="196"/>
      <c r="D334" s="196"/>
      <c r="E334" s="197"/>
      <c r="F334" s="198"/>
      <c r="G334" s="199"/>
      <c r="H334" s="197"/>
      <c r="I334" s="199"/>
      <c r="J334" s="200"/>
      <c r="K334" s="211"/>
      <c r="L334" s="201"/>
      <c r="M334" s="201"/>
      <c r="N334" s="201"/>
    </row>
    <row r="335">
      <c r="A335" s="190"/>
      <c r="B335" s="195"/>
      <c r="C335" s="196"/>
      <c r="D335" s="196"/>
      <c r="E335" s="197"/>
      <c r="F335" s="198"/>
      <c r="G335" s="199"/>
      <c r="H335" s="197"/>
      <c r="I335" s="199"/>
      <c r="J335" s="200"/>
      <c r="K335" s="211"/>
      <c r="L335" s="201"/>
      <c r="M335" s="201"/>
      <c r="N335" s="201"/>
    </row>
    <row r="336">
      <c r="A336" s="190"/>
      <c r="B336" s="195"/>
      <c r="C336" s="196"/>
      <c r="D336" s="196"/>
      <c r="E336" s="197"/>
      <c r="F336" s="198"/>
      <c r="G336" s="199"/>
      <c r="H336" s="197"/>
      <c r="I336" s="199"/>
      <c r="J336" s="200"/>
      <c r="K336" s="211"/>
      <c r="L336" s="201"/>
      <c r="M336" s="201"/>
      <c r="N336" s="201"/>
    </row>
    <row r="337">
      <c r="A337" s="190"/>
      <c r="B337" s="195"/>
      <c r="C337" s="196"/>
      <c r="D337" s="196"/>
      <c r="E337" s="197"/>
      <c r="F337" s="198"/>
      <c r="G337" s="199"/>
      <c r="H337" s="197"/>
      <c r="I337" s="199"/>
      <c r="J337" s="200"/>
      <c r="K337" s="211"/>
      <c r="L337" s="201"/>
      <c r="M337" s="201"/>
      <c r="N337" s="201"/>
    </row>
    <row r="338">
      <c r="A338" s="190"/>
      <c r="B338" s="195"/>
      <c r="C338" s="196"/>
      <c r="D338" s="196"/>
      <c r="E338" s="197"/>
      <c r="F338" s="198"/>
      <c r="G338" s="199"/>
      <c r="H338" s="197"/>
      <c r="I338" s="199"/>
      <c r="J338" s="200"/>
      <c r="K338" s="211"/>
      <c r="L338" s="201"/>
      <c r="M338" s="201"/>
      <c r="N338" s="201"/>
    </row>
    <row r="339">
      <c r="A339" s="190"/>
      <c r="B339" s="195"/>
      <c r="C339" s="196"/>
      <c r="D339" s="196"/>
      <c r="E339" s="197"/>
      <c r="F339" s="198"/>
      <c r="G339" s="199"/>
      <c r="H339" s="197"/>
      <c r="I339" s="199"/>
      <c r="J339" s="200"/>
      <c r="K339" s="211"/>
      <c r="L339" s="201"/>
      <c r="M339" s="201"/>
      <c r="N339" s="201"/>
    </row>
    <row r="340">
      <c r="A340" s="190"/>
      <c r="B340" s="195"/>
      <c r="C340" s="196"/>
      <c r="D340" s="196"/>
      <c r="E340" s="197"/>
      <c r="F340" s="198"/>
      <c r="G340" s="199"/>
      <c r="H340" s="197"/>
      <c r="I340" s="199"/>
      <c r="J340" s="200"/>
      <c r="K340" s="211"/>
      <c r="L340" s="201"/>
      <c r="M340" s="201"/>
      <c r="N340" s="201"/>
    </row>
    <row r="341">
      <c r="A341" s="190"/>
      <c r="B341" s="195"/>
      <c r="C341" s="196"/>
      <c r="D341" s="196"/>
      <c r="E341" s="197"/>
      <c r="F341" s="198"/>
      <c r="G341" s="199"/>
      <c r="H341" s="197"/>
      <c r="I341" s="199"/>
      <c r="J341" s="200"/>
      <c r="K341" s="211"/>
      <c r="L341" s="201"/>
      <c r="M341" s="201"/>
      <c r="N341" s="201"/>
    </row>
    <row r="342">
      <c r="A342" s="190"/>
      <c r="B342" s="195"/>
      <c r="C342" s="196"/>
      <c r="D342" s="196"/>
      <c r="E342" s="197"/>
      <c r="F342" s="198"/>
      <c r="G342" s="199"/>
      <c r="H342" s="197"/>
      <c r="I342" s="199"/>
      <c r="J342" s="200"/>
      <c r="K342" s="211"/>
      <c r="L342" s="201"/>
      <c r="M342" s="201"/>
      <c r="N342" s="201"/>
    </row>
    <row r="343">
      <c r="A343" s="190"/>
      <c r="B343" s="195"/>
      <c r="C343" s="196"/>
      <c r="D343" s="196"/>
      <c r="E343" s="197"/>
      <c r="F343" s="198"/>
      <c r="G343" s="199"/>
      <c r="H343" s="197"/>
      <c r="I343" s="199"/>
      <c r="J343" s="200"/>
      <c r="K343" s="211"/>
      <c r="L343" s="201"/>
      <c r="M343" s="201"/>
      <c r="N343" s="201"/>
    </row>
    <row r="344">
      <c r="A344" s="190"/>
      <c r="B344" s="195"/>
      <c r="C344" s="196"/>
      <c r="D344" s="196"/>
      <c r="E344" s="197"/>
      <c r="F344" s="198"/>
      <c r="G344" s="199"/>
      <c r="H344" s="197"/>
      <c r="I344" s="199"/>
      <c r="J344" s="200"/>
      <c r="K344" s="211"/>
      <c r="L344" s="201"/>
      <c r="M344" s="201"/>
      <c r="N344" s="201"/>
    </row>
    <row r="345">
      <c r="A345" s="190"/>
      <c r="B345" s="195"/>
      <c r="C345" s="196"/>
      <c r="D345" s="196"/>
      <c r="E345" s="197"/>
      <c r="F345" s="198"/>
      <c r="G345" s="199"/>
      <c r="H345" s="197"/>
      <c r="I345" s="199"/>
      <c r="J345" s="200"/>
      <c r="K345" s="211"/>
      <c r="L345" s="201"/>
      <c r="M345" s="201"/>
      <c r="N345" s="201"/>
    </row>
    <row r="346">
      <c r="A346" s="190"/>
      <c r="B346" s="195"/>
      <c r="C346" s="196"/>
      <c r="D346" s="196"/>
      <c r="E346" s="197"/>
      <c r="F346" s="198"/>
      <c r="G346" s="199"/>
      <c r="H346" s="197"/>
      <c r="I346" s="199"/>
      <c r="J346" s="200"/>
      <c r="K346" s="211"/>
      <c r="L346" s="201"/>
      <c r="M346" s="201"/>
      <c r="N346" s="201"/>
    </row>
    <row r="347">
      <c r="A347" s="190"/>
      <c r="B347" s="195"/>
      <c r="C347" s="196"/>
      <c r="D347" s="196"/>
      <c r="E347" s="197"/>
      <c r="F347" s="198"/>
      <c r="G347" s="199"/>
      <c r="H347" s="197"/>
      <c r="I347" s="199"/>
      <c r="J347" s="200"/>
      <c r="K347" s="211"/>
      <c r="L347" s="201"/>
      <c r="M347" s="201"/>
      <c r="N347" s="201"/>
    </row>
    <row r="348">
      <c r="A348" s="190"/>
      <c r="B348" s="195"/>
      <c r="C348" s="196"/>
      <c r="D348" s="196"/>
      <c r="E348" s="197"/>
      <c r="F348" s="198"/>
      <c r="G348" s="199"/>
      <c r="H348" s="197"/>
      <c r="I348" s="199"/>
      <c r="J348" s="200"/>
      <c r="K348" s="211"/>
      <c r="L348" s="201"/>
      <c r="M348" s="201"/>
      <c r="N348" s="201"/>
    </row>
    <row r="349">
      <c r="A349" s="190"/>
      <c r="B349" s="195"/>
      <c r="C349" s="196"/>
      <c r="D349" s="196"/>
      <c r="E349" s="197"/>
      <c r="F349" s="198"/>
      <c r="G349" s="199"/>
      <c r="H349" s="197"/>
      <c r="I349" s="199"/>
      <c r="J349" s="200"/>
      <c r="K349" s="211"/>
      <c r="L349" s="201"/>
      <c r="M349" s="201"/>
      <c r="N349" s="201"/>
    </row>
    <row r="350">
      <c r="A350" s="190"/>
      <c r="B350" s="195"/>
      <c r="C350" s="196"/>
      <c r="D350" s="196"/>
      <c r="E350" s="197"/>
      <c r="F350" s="198"/>
      <c r="G350" s="199"/>
      <c r="H350" s="197"/>
      <c r="I350" s="199"/>
      <c r="J350" s="200"/>
      <c r="K350" s="211"/>
      <c r="L350" s="201"/>
      <c r="M350" s="201"/>
      <c r="N350" s="201"/>
    </row>
    <row r="351">
      <c r="A351" s="190"/>
      <c r="B351" s="195"/>
      <c r="C351" s="196"/>
      <c r="D351" s="196"/>
      <c r="E351" s="197"/>
      <c r="F351" s="198"/>
      <c r="G351" s="199"/>
      <c r="H351" s="197"/>
      <c r="I351" s="199"/>
      <c r="J351" s="200"/>
      <c r="K351" s="211"/>
      <c r="L351" s="201"/>
      <c r="M351" s="201"/>
      <c r="N351" s="201"/>
    </row>
    <row r="352">
      <c r="A352" s="190"/>
      <c r="B352" s="195"/>
      <c r="C352" s="196"/>
      <c r="D352" s="196"/>
      <c r="E352" s="197"/>
      <c r="F352" s="198"/>
      <c r="G352" s="199"/>
      <c r="H352" s="197"/>
      <c r="I352" s="199"/>
      <c r="J352" s="200"/>
      <c r="K352" s="211"/>
      <c r="L352" s="201"/>
      <c r="M352" s="201"/>
      <c r="N352" s="201"/>
    </row>
    <row r="353">
      <c r="A353" s="190"/>
      <c r="B353" s="195"/>
      <c r="C353" s="196"/>
      <c r="D353" s="196"/>
      <c r="E353" s="197"/>
      <c r="F353" s="198"/>
      <c r="G353" s="199"/>
      <c r="H353" s="197"/>
      <c r="I353" s="199"/>
      <c r="J353" s="200"/>
      <c r="K353" s="211"/>
      <c r="L353" s="201"/>
      <c r="M353" s="201"/>
      <c r="N353" s="201"/>
    </row>
    <row r="354">
      <c r="A354" s="190"/>
      <c r="B354" s="195"/>
      <c r="C354" s="196"/>
      <c r="D354" s="196"/>
      <c r="E354" s="197"/>
      <c r="F354" s="198"/>
      <c r="G354" s="199"/>
      <c r="H354" s="197"/>
      <c r="I354" s="199"/>
      <c r="J354" s="200"/>
      <c r="K354" s="211"/>
      <c r="L354" s="201"/>
      <c r="M354" s="201"/>
      <c r="N354" s="201"/>
    </row>
    <row r="355">
      <c r="A355" s="190"/>
      <c r="B355" s="195"/>
      <c r="C355" s="196"/>
      <c r="D355" s="196"/>
      <c r="E355" s="197"/>
      <c r="F355" s="198"/>
      <c r="G355" s="199"/>
      <c r="H355" s="197"/>
      <c r="I355" s="199"/>
      <c r="J355" s="200"/>
      <c r="K355" s="211"/>
      <c r="L355" s="201"/>
      <c r="M355" s="201"/>
      <c r="N355" s="201"/>
    </row>
    <row r="356">
      <c r="A356" s="190"/>
      <c r="B356" s="195"/>
      <c r="C356" s="196"/>
      <c r="D356" s="196"/>
      <c r="E356" s="197"/>
      <c r="F356" s="198"/>
      <c r="G356" s="199"/>
      <c r="H356" s="197"/>
      <c r="I356" s="199"/>
      <c r="J356" s="200"/>
      <c r="K356" s="211"/>
      <c r="L356" s="201"/>
      <c r="M356" s="201"/>
      <c r="N356" s="201"/>
    </row>
    <row r="357">
      <c r="A357" s="190"/>
      <c r="B357" s="195"/>
      <c r="C357" s="196"/>
      <c r="D357" s="196"/>
      <c r="E357" s="197"/>
      <c r="F357" s="198"/>
      <c r="G357" s="199"/>
      <c r="H357" s="197"/>
      <c r="I357" s="199"/>
      <c r="J357" s="200"/>
      <c r="K357" s="211"/>
      <c r="L357" s="201"/>
      <c r="M357" s="201"/>
      <c r="N357" s="201"/>
    </row>
    <row r="358">
      <c r="A358" s="190"/>
      <c r="B358" s="195"/>
      <c r="C358" s="196"/>
      <c r="D358" s="196"/>
      <c r="E358" s="197"/>
      <c r="F358" s="198"/>
      <c r="G358" s="199"/>
      <c r="H358" s="197"/>
      <c r="I358" s="199"/>
      <c r="J358" s="200"/>
      <c r="K358" s="211"/>
      <c r="L358" s="201"/>
      <c r="M358" s="201"/>
      <c r="N358" s="201"/>
    </row>
    <row r="359">
      <c r="A359" s="190"/>
      <c r="B359" s="195"/>
      <c r="C359" s="196"/>
      <c r="D359" s="196"/>
      <c r="E359" s="197"/>
      <c r="F359" s="198"/>
      <c r="G359" s="199"/>
      <c r="H359" s="197"/>
      <c r="I359" s="199"/>
      <c r="J359" s="200"/>
      <c r="K359" s="211"/>
      <c r="L359" s="201"/>
      <c r="M359" s="201"/>
      <c r="N359" s="201"/>
    </row>
    <row r="360">
      <c r="A360" s="190"/>
      <c r="B360" s="195"/>
      <c r="C360" s="196"/>
      <c r="D360" s="196"/>
      <c r="E360" s="197"/>
      <c r="F360" s="198"/>
      <c r="G360" s="199"/>
      <c r="H360" s="197"/>
      <c r="I360" s="199"/>
      <c r="J360" s="200"/>
      <c r="K360" s="211"/>
      <c r="L360" s="201"/>
      <c r="M360" s="201"/>
      <c r="N360" s="201"/>
    </row>
    <row r="361">
      <c r="A361" s="190"/>
      <c r="B361" s="195"/>
      <c r="C361" s="196"/>
      <c r="D361" s="196"/>
      <c r="E361" s="197"/>
      <c r="F361" s="198"/>
      <c r="G361" s="199"/>
      <c r="H361" s="197"/>
      <c r="I361" s="199"/>
      <c r="J361" s="200"/>
      <c r="K361" s="211"/>
      <c r="L361" s="201"/>
      <c r="M361" s="201"/>
      <c r="N361" s="201"/>
    </row>
    <row r="362">
      <c r="A362" s="190"/>
      <c r="B362" s="195"/>
      <c r="C362" s="196"/>
      <c r="D362" s="196"/>
      <c r="E362" s="197"/>
      <c r="F362" s="198"/>
      <c r="G362" s="199"/>
      <c r="H362" s="197"/>
      <c r="I362" s="199"/>
      <c r="J362" s="200"/>
      <c r="K362" s="211"/>
      <c r="L362" s="201"/>
      <c r="M362" s="201"/>
      <c r="N362" s="201"/>
    </row>
    <row r="363">
      <c r="A363" s="190"/>
      <c r="B363" s="195"/>
      <c r="C363" s="196"/>
      <c r="D363" s="196"/>
      <c r="E363" s="197"/>
      <c r="F363" s="198"/>
      <c r="G363" s="199"/>
      <c r="H363" s="197"/>
      <c r="I363" s="199"/>
      <c r="J363" s="200"/>
      <c r="K363" s="211"/>
      <c r="L363" s="201"/>
      <c r="M363" s="201"/>
      <c r="N363" s="201"/>
    </row>
    <row r="364">
      <c r="A364" s="190"/>
      <c r="B364" s="195"/>
      <c r="C364" s="196"/>
      <c r="D364" s="196"/>
      <c r="E364" s="197"/>
      <c r="F364" s="198"/>
      <c r="G364" s="199"/>
      <c r="H364" s="197"/>
      <c r="I364" s="199"/>
      <c r="J364" s="200"/>
      <c r="K364" s="211"/>
      <c r="L364" s="201"/>
      <c r="M364" s="201"/>
      <c r="N364" s="201"/>
    </row>
    <row r="365">
      <c r="A365" s="190"/>
      <c r="B365" s="195"/>
      <c r="C365" s="196"/>
      <c r="D365" s="196"/>
      <c r="E365" s="197"/>
      <c r="F365" s="198"/>
      <c r="G365" s="199"/>
      <c r="H365" s="197"/>
      <c r="I365" s="199"/>
      <c r="J365" s="200"/>
      <c r="K365" s="211"/>
      <c r="L365" s="201"/>
      <c r="M365" s="201"/>
      <c r="N365" s="201"/>
    </row>
    <row r="366">
      <c r="A366" s="190"/>
      <c r="B366" s="195"/>
      <c r="C366" s="196"/>
      <c r="D366" s="196"/>
      <c r="E366" s="197"/>
      <c r="F366" s="198"/>
      <c r="G366" s="199"/>
      <c r="H366" s="197"/>
      <c r="I366" s="199"/>
      <c r="J366" s="200"/>
      <c r="K366" s="211"/>
      <c r="L366" s="201"/>
      <c r="M366" s="201"/>
      <c r="N366" s="201"/>
    </row>
    <row r="367">
      <c r="A367" s="190"/>
      <c r="B367" s="195"/>
      <c r="C367" s="196"/>
      <c r="D367" s="196"/>
      <c r="E367" s="197"/>
      <c r="F367" s="198"/>
      <c r="G367" s="199"/>
      <c r="H367" s="197"/>
      <c r="I367" s="199"/>
      <c r="J367" s="200"/>
      <c r="K367" s="211"/>
      <c r="L367" s="201"/>
      <c r="M367" s="201"/>
      <c r="N367" s="201"/>
    </row>
    <row r="368">
      <c r="A368" s="190"/>
      <c r="B368" s="195"/>
      <c r="C368" s="196"/>
      <c r="D368" s="196"/>
      <c r="E368" s="197"/>
      <c r="F368" s="198"/>
      <c r="G368" s="199"/>
      <c r="H368" s="197"/>
      <c r="I368" s="199"/>
      <c r="J368" s="200"/>
      <c r="K368" s="211"/>
      <c r="L368" s="201"/>
      <c r="M368" s="201"/>
      <c r="N368" s="201"/>
    </row>
    <row r="369">
      <c r="A369" s="190"/>
      <c r="B369" s="195"/>
      <c r="C369" s="196"/>
      <c r="D369" s="196"/>
      <c r="E369" s="197"/>
      <c r="F369" s="198"/>
      <c r="G369" s="199"/>
      <c r="H369" s="197"/>
      <c r="I369" s="199"/>
      <c r="J369" s="200"/>
      <c r="K369" s="211"/>
      <c r="L369" s="201"/>
      <c r="M369" s="201"/>
      <c r="N369" s="201"/>
    </row>
    <row r="370">
      <c r="A370" s="190"/>
      <c r="B370" s="195"/>
      <c r="C370" s="196"/>
      <c r="D370" s="196"/>
      <c r="E370" s="197"/>
      <c r="F370" s="198"/>
      <c r="G370" s="199"/>
      <c r="H370" s="197"/>
      <c r="I370" s="199"/>
      <c r="J370" s="200"/>
      <c r="K370" s="211"/>
      <c r="L370" s="201"/>
      <c r="M370" s="201"/>
      <c r="N370" s="201"/>
    </row>
    <row r="371">
      <c r="A371" s="190"/>
      <c r="B371" s="195"/>
      <c r="C371" s="196"/>
      <c r="D371" s="196"/>
      <c r="E371" s="197"/>
      <c r="F371" s="198"/>
      <c r="G371" s="199"/>
      <c r="H371" s="197"/>
      <c r="I371" s="199"/>
      <c r="J371" s="200"/>
      <c r="K371" s="211"/>
      <c r="L371" s="201"/>
      <c r="M371" s="201"/>
      <c r="N371" s="201"/>
    </row>
    <row r="372">
      <c r="A372" s="190"/>
      <c r="B372" s="195"/>
      <c r="C372" s="196"/>
      <c r="D372" s="196"/>
      <c r="E372" s="197"/>
      <c r="F372" s="198"/>
      <c r="G372" s="199"/>
      <c r="H372" s="197"/>
      <c r="I372" s="199"/>
      <c r="J372" s="200"/>
      <c r="K372" s="211"/>
      <c r="L372" s="201"/>
      <c r="M372" s="201"/>
      <c r="N372" s="201"/>
    </row>
    <row r="373">
      <c r="A373" s="190"/>
      <c r="B373" s="195"/>
      <c r="C373" s="196"/>
      <c r="D373" s="196"/>
      <c r="E373" s="197"/>
      <c r="F373" s="198"/>
      <c r="G373" s="199"/>
      <c r="H373" s="197"/>
      <c r="I373" s="199"/>
      <c r="J373" s="200"/>
      <c r="K373" s="211"/>
      <c r="L373" s="201"/>
      <c r="M373" s="201"/>
      <c r="N373" s="201"/>
    </row>
    <row r="374">
      <c r="A374" s="190"/>
      <c r="B374" s="195"/>
      <c r="C374" s="196"/>
      <c r="D374" s="196"/>
      <c r="E374" s="197"/>
      <c r="F374" s="198"/>
      <c r="G374" s="199"/>
      <c r="H374" s="197"/>
      <c r="I374" s="199"/>
      <c r="J374" s="200"/>
      <c r="K374" s="211"/>
      <c r="L374" s="201"/>
      <c r="M374" s="201"/>
      <c r="N374" s="201"/>
    </row>
    <row r="375">
      <c r="A375" s="190"/>
      <c r="B375" s="195"/>
      <c r="C375" s="196"/>
      <c r="D375" s="196"/>
      <c r="E375" s="197"/>
      <c r="F375" s="198"/>
      <c r="G375" s="199"/>
      <c r="H375" s="197"/>
      <c r="I375" s="199"/>
      <c r="J375" s="200"/>
      <c r="K375" s="211"/>
      <c r="L375" s="201"/>
      <c r="M375" s="201"/>
      <c r="N375" s="201"/>
    </row>
    <row r="376">
      <c r="A376" s="190"/>
      <c r="B376" s="195"/>
      <c r="C376" s="196"/>
      <c r="D376" s="196"/>
      <c r="E376" s="197"/>
      <c r="F376" s="198"/>
      <c r="G376" s="199"/>
      <c r="H376" s="197"/>
      <c r="I376" s="199"/>
      <c r="J376" s="200"/>
      <c r="K376" s="211"/>
      <c r="L376" s="201"/>
      <c r="M376" s="201"/>
      <c r="N376" s="201"/>
    </row>
    <row r="377">
      <c r="A377" s="190"/>
      <c r="B377" s="195"/>
      <c r="C377" s="196"/>
      <c r="D377" s="196"/>
      <c r="E377" s="197"/>
      <c r="F377" s="198"/>
      <c r="G377" s="199"/>
      <c r="H377" s="197"/>
      <c r="I377" s="199"/>
      <c r="J377" s="200"/>
      <c r="K377" s="211"/>
      <c r="L377" s="201"/>
      <c r="M377" s="201"/>
      <c r="N377" s="201"/>
    </row>
    <row r="378">
      <c r="A378" s="190"/>
      <c r="B378" s="195"/>
      <c r="C378" s="196"/>
      <c r="D378" s="196"/>
      <c r="E378" s="197"/>
      <c r="F378" s="198"/>
      <c r="G378" s="199"/>
      <c r="H378" s="197"/>
      <c r="I378" s="199"/>
      <c r="J378" s="200"/>
      <c r="K378" s="211"/>
      <c r="L378" s="201"/>
      <c r="M378" s="201"/>
      <c r="N378" s="201"/>
    </row>
    <row r="379">
      <c r="A379" s="190"/>
      <c r="B379" s="195"/>
      <c r="C379" s="196"/>
      <c r="D379" s="196"/>
      <c r="E379" s="197"/>
      <c r="F379" s="198"/>
      <c r="G379" s="199"/>
      <c r="H379" s="197"/>
      <c r="I379" s="199"/>
      <c r="J379" s="200"/>
      <c r="K379" s="211"/>
      <c r="L379" s="201"/>
      <c r="M379" s="201"/>
      <c r="N379" s="201"/>
    </row>
    <row r="380">
      <c r="A380" s="190"/>
      <c r="B380" s="195"/>
      <c r="C380" s="196"/>
      <c r="D380" s="196"/>
      <c r="E380" s="197"/>
      <c r="F380" s="198"/>
      <c r="G380" s="199"/>
      <c r="H380" s="197"/>
      <c r="I380" s="199"/>
      <c r="J380" s="200"/>
      <c r="K380" s="211"/>
      <c r="L380" s="201"/>
      <c r="M380" s="201"/>
      <c r="N380" s="201"/>
    </row>
    <row r="381">
      <c r="A381" s="190"/>
      <c r="B381" s="195"/>
      <c r="C381" s="196"/>
      <c r="D381" s="196"/>
      <c r="E381" s="197"/>
      <c r="F381" s="198"/>
      <c r="G381" s="199"/>
      <c r="H381" s="197"/>
      <c r="I381" s="199"/>
      <c r="J381" s="200"/>
      <c r="K381" s="211"/>
      <c r="L381" s="201"/>
      <c r="M381" s="201"/>
      <c r="N381" s="201"/>
    </row>
    <row r="382">
      <c r="A382" s="190"/>
      <c r="B382" s="195"/>
      <c r="C382" s="196"/>
      <c r="D382" s="196"/>
      <c r="E382" s="197"/>
      <c r="F382" s="198"/>
      <c r="G382" s="199"/>
      <c r="H382" s="197"/>
      <c r="I382" s="199"/>
      <c r="J382" s="200"/>
      <c r="K382" s="211"/>
      <c r="L382" s="201"/>
      <c r="M382" s="201"/>
      <c r="N382" s="201"/>
    </row>
    <row r="383">
      <c r="A383" s="190"/>
      <c r="B383" s="195"/>
      <c r="C383" s="196"/>
      <c r="D383" s="196"/>
      <c r="E383" s="197"/>
      <c r="F383" s="198"/>
      <c r="G383" s="199"/>
      <c r="H383" s="197"/>
      <c r="I383" s="199"/>
      <c r="J383" s="200"/>
      <c r="K383" s="211"/>
      <c r="L383" s="201"/>
      <c r="M383" s="201"/>
      <c r="N383" s="201"/>
    </row>
    <row r="384">
      <c r="A384" s="190"/>
      <c r="B384" s="195"/>
      <c r="C384" s="196"/>
      <c r="D384" s="196"/>
      <c r="E384" s="197"/>
      <c r="F384" s="198"/>
      <c r="G384" s="199"/>
      <c r="H384" s="197"/>
      <c r="I384" s="199"/>
      <c r="J384" s="200"/>
      <c r="K384" s="211"/>
      <c r="L384" s="201"/>
      <c r="M384" s="201"/>
      <c r="N384" s="201"/>
    </row>
    <row r="385">
      <c r="A385" s="190"/>
      <c r="B385" s="195"/>
      <c r="C385" s="196"/>
      <c r="D385" s="196"/>
      <c r="E385" s="197"/>
      <c r="F385" s="198"/>
      <c r="G385" s="199"/>
      <c r="H385" s="197"/>
      <c r="I385" s="199"/>
      <c r="J385" s="200"/>
      <c r="K385" s="211"/>
      <c r="L385" s="201"/>
      <c r="M385" s="201"/>
      <c r="N385" s="201"/>
    </row>
    <row r="386">
      <c r="A386" s="190"/>
      <c r="B386" s="195"/>
      <c r="C386" s="196"/>
      <c r="D386" s="196"/>
      <c r="E386" s="197"/>
      <c r="F386" s="198"/>
      <c r="G386" s="199"/>
      <c r="H386" s="197"/>
      <c r="I386" s="199"/>
      <c r="J386" s="200"/>
      <c r="K386" s="211"/>
      <c r="L386" s="201"/>
      <c r="M386" s="201"/>
      <c r="N386" s="201"/>
    </row>
    <row r="387">
      <c r="A387" s="190"/>
      <c r="B387" s="195"/>
      <c r="C387" s="196"/>
      <c r="D387" s="196"/>
      <c r="E387" s="197"/>
      <c r="F387" s="198"/>
      <c r="G387" s="199"/>
      <c r="H387" s="197"/>
      <c r="I387" s="199"/>
      <c r="J387" s="200"/>
      <c r="K387" s="211"/>
      <c r="L387" s="201"/>
      <c r="M387" s="201"/>
      <c r="N387" s="201"/>
    </row>
    <row r="388">
      <c r="A388" s="190"/>
      <c r="B388" s="195"/>
      <c r="C388" s="196"/>
      <c r="D388" s="196"/>
      <c r="E388" s="197"/>
      <c r="F388" s="198"/>
      <c r="G388" s="199"/>
      <c r="H388" s="197"/>
      <c r="I388" s="199"/>
      <c r="J388" s="200"/>
      <c r="K388" s="211"/>
      <c r="L388" s="201"/>
      <c r="M388" s="201"/>
      <c r="N388" s="201"/>
    </row>
    <row r="389">
      <c r="A389" s="190"/>
      <c r="B389" s="195"/>
      <c r="C389" s="196"/>
      <c r="D389" s="196"/>
      <c r="E389" s="197"/>
      <c r="F389" s="198"/>
      <c r="G389" s="199"/>
      <c r="H389" s="197"/>
      <c r="I389" s="199"/>
      <c r="J389" s="200"/>
      <c r="K389" s="211"/>
      <c r="L389" s="201"/>
      <c r="M389" s="201"/>
      <c r="N389" s="201"/>
    </row>
    <row r="390">
      <c r="A390" s="190"/>
      <c r="B390" s="195"/>
      <c r="C390" s="196"/>
      <c r="D390" s="196"/>
      <c r="E390" s="197"/>
      <c r="F390" s="198"/>
      <c r="G390" s="199"/>
      <c r="H390" s="197"/>
      <c r="I390" s="199"/>
      <c r="J390" s="200"/>
      <c r="K390" s="211"/>
      <c r="L390" s="201"/>
      <c r="M390" s="201"/>
      <c r="N390" s="201"/>
    </row>
    <row r="391">
      <c r="A391" s="190"/>
      <c r="B391" s="195"/>
      <c r="C391" s="196"/>
      <c r="D391" s="196"/>
      <c r="E391" s="197"/>
      <c r="F391" s="198"/>
      <c r="G391" s="199"/>
      <c r="H391" s="197"/>
      <c r="I391" s="199"/>
      <c r="J391" s="200"/>
      <c r="K391" s="211"/>
      <c r="L391" s="201"/>
      <c r="M391" s="201"/>
      <c r="N391" s="201"/>
    </row>
    <row r="392">
      <c r="A392" s="190"/>
      <c r="B392" s="195"/>
      <c r="C392" s="196"/>
      <c r="D392" s="196"/>
      <c r="E392" s="197"/>
      <c r="F392" s="198"/>
      <c r="G392" s="199"/>
      <c r="H392" s="197"/>
      <c r="I392" s="199"/>
      <c r="J392" s="200"/>
      <c r="K392" s="211"/>
      <c r="L392" s="201"/>
      <c r="M392" s="201"/>
      <c r="N392" s="201"/>
    </row>
    <row r="393">
      <c r="A393" s="190"/>
      <c r="B393" s="195"/>
      <c r="C393" s="196"/>
      <c r="D393" s="196"/>
      <c r="E393" s="197"/>
      <c r="F393" s="198"/>
      <c r="G393" s="199"/>
      <c r="H393" s="197"/>
      <c r="I393" s="199"/>
      <c r="J393" s="200"/>
      <c r="K393" s="211"/>
      <c r="L393" s="201"/>
      <c r="M393" s="201"/>
      <c r="N393" s="201"/>
    </row>
    <row r="394">
      <c r="A394" s="190"/>
      <c r="B394" s="195"/>
      <c r="C394" s="196"/>
      <c r="D394" s="196"/>
      <c r="E394" s="197"/>
      <c r="F394" s="198"/>
      <c r="G394" s="199"/>
      <c r="H394" s="197"/>
      <c r="I394" s="199"/>
      <c r="J394" s="200"/>
      <c r="K394" s="211"/>
      <c r="L394" s="201"/>
      <c r="M394" s="201"/>
      <c r="N394" s="201"/>
    </row>
    <row r="395">
      <c r="A395" s="190"/>
      <c r="B395" s="195"/>
      <c r="C395" s="196"/>
      <c r="D395" s="196"/>
      <c r="E395" s="197"/>
      <c r="F395" s="198"/>
      <c r="G395" s="199"/>
      <c r="H395" s="197"/>
      <c r="I395" s="199"/>
      <c r="J395" s="200"/>
      <c r="K395" s="211"/>
      <c r="L395" s="201"/>
      <c r="M395" s="201"/>
      <c r="N395" s="201"/>
    </row>
    <row r="396">
      <c r="A396" s="190"/>
      <c r="B396" s="195"/>
      <c r="C396" s="196"/>
      <c r="D396" s="196"/>
      <c r="E396" s="197"/>
      <c r="F396" s="198"/>
      <c r="G396" s="199"/>
      <c r="H396" s="197"/>
      <c r="I396" s="199"/>
      <c r="J396" s="200"/>
      <c r="K396" s="211"/>
      <c r="L396" s="201"/>
      <c r="M396" s="201"/>
      <c r="N396" s="201"/>
    </row>
    <row r="397">
      <c r="A397" s="190"/>
      <c r="B397" s="195"/>
      <c r="C397" s="196"/>
      <c r="D397" s="196"/>
      <c r="E397" s="197"/>
      <c r="F397" s="198"/>
      <c r="G397" s="199"/>
      <c r="H397" s="197"/>
      <c r="I397" s="199"/>
      <c r="J397" s="200"/>
      <c r="K397" s="211"/>
      <c r="L397" s="201"/>
      <c r="M397" s="201"/>
      <c r="N397" s="201"/>
    </row>
    <row r="398">
      <c r="A398" s="190"/>
      <c r="B398" s="195"/>
      <c r="C398" s="196"/>
      <c r="D398" s="196"/>
      <c r="E398" s="197"/>
      <c r="F398" s="198"/>
      <c r="G398" s="199"/>
      <c r="H398" s="197"/>
      <c r="I398" s="199"/>
      <c r="J398" s="200"/>
      <c r="K398" s="211"/>
      <c r="L398" s="201"/>
      <c r="M398" s="201"/>
      <c r="N398" s="201"/>
    </row>
    <row r="399">
      <c r="A399" s="190"/>
      <c r="B399" s="195"/>
      <c r="C399" s="196"/>
      <c r="D399" s="196"/>
      <c r="E399" s="197"/>
      <c r="F399" s="198"/>
      <c r="G399" s="199"/>
      <c r="H399" s="197"/>
      <c r="I399" s="199"/>
      <c r="J399" s="200"/>
      <c r="K399" s="211"/>
      <c r="L399" s="201"/>
      <c r="M399" s="201"/>
      <c r="N399" s="201"/>
    </row>
    <row r="400">
      <c r="A400" s="190"/>
      <c r="B400" s="195"/>
      <c r="C400" s="196"/>
      <c r="D400" s="196"/>
      <c r="E400" s="197"/>
      <c r="F400" s="198"/>
      <c r="G400" s="199"/>
      <c r="H400" s="197"/>
      <c r="I400" s="199"/>
      <c r="J400" s="200"/>
      <c r="K400" s="211"/>
      <c r="L400" s="201"/>
      <c r="M400" s="201"/>
      <c r="N400" s="201"/>
    </row>
    <row r="401">
      <c r="A401" s="190"/>
      <c r="B401" s="195"/>
      <c r="C401" s="196"/>
      <c r="D401" s="196"/>
      <c r="E401" s="197"/>
      <c r="F401" s="198"/>
      <c r="G401" s="199"/>
      <c r="H401" s="197"/>
      <c r="I401" s="199"/>
      <c r="J401" s="200"/>
      <c r="K401" s="211"/>
      <c r="L401" s="201"/>
      <c r="M401" s="201"/>
      <c r="N401" s="201"/>
    </row>
    <row r="402">
      <c r="A402" s="190"/>
      <c r="B402" s="195"/>
      <c r="C402" s="196"/>
      <c r="D402" s="196"/>
      <c r="E402" s="197"/>
      <c r="F402" s="198"/>
      <c r="G402" s="199"/>
      <c r="H402" s="197"/>
      <c r="I402" s="199"/>
      <c r="J402" s="200"/>
      <c r="K402" s="211"/>
      <c r="L402" s="201"/>
      <c r="M402" s="201"/>
      <c r="N402" s="201"/>
    </row>
    <row r="403">
      <c r="A403" s="190"/>
      <c r="B403" s="195"/>
      <c r="C403" s="196"/>
      <c r="D403" s="196"/>
      <c r="E403" s="197"/>
      <c r="F403" s="198"/>
      <c r="G403" s="199"/>
      <c r="H403" s="197"/>
      <c r="I403" s="199"/>
      <c r="J403" s="200"/>
      <c r="K403" s="211"/>
      <c r="L403" s="201"/>
      <c r="M403" s="201"/>
      <c r="N403" s="201"/>
    </row>
    <row r="404">
      <c r="A404" s="190"/>
      <c r="B404" s="195"/>
      <c r="C404" s="196"/>
      <c r="D404" s="196"/>
      <c r="E404" s="197"/>
      <c r="F404" s="198"/>
      <c r="G404" s="199"/>
      <c r="H404" s="197"/>
      <c r="I404" s="199"/>
      <c r="J404" s="200"/>
      <c r="K404" s="211"/>
      <c r="L404" s="201"/>
      <c r="M404" s="201"/>
      <c r="N404" s="201"/>
    </row>
    <row r="405">
      <c r="A405" s="190"/>
      <c r="B405" s="195"/>
      <c r="C405" s="196"/>
      <c r="D405" s="196"/>
      <c r="E405" s="197"/>
      <c r="F405" s="198"/>
      <c r="G405" s="199"/>
      <c r="H405" s="197"/>
      <c r="I405" s="199"/>
      <c r="J405" s="200"/>
      <c r="K405" s="211"/>
      <c r="L405" s="201"/>
      <c r="M405" s="201"/>
      <c r="N405" s="201"/>
    </row>
    <row r="406">
      <c r="A406" s="190"/>
      <c r="B406" s="195"/>
      <c r="C406" s="196"/>
      <c r="D406" s="196"/>
      <c r="E406" s="197"/>
      <c r="F406" s="198"/>
      <c r="G406" s="199"/>
      <c r="H406" s="197"/>
      <c r="I406" s="199"/>
      <c r="J406" s="200"/>
      <c r="K406" s="211"/>
      <c r="L406" s="201"/>
      <c r="M406" s="201"/>
      <c r="N406" s="201"/>
    </row>
    <row r="407">
      <c r="A407" s="190"/>
      <c r="B407" s="195"/>
      <c r="C407" s="196"/>
      <c r="D407" s="196"/>
      <c r="E407" s="197"/>
      <c r="F407" s="198"/>
      <c r="G407" s="199"/>
      <c r="H407" s="197"/>
      <c r="I407" s="199"/>
      <c r="J407" s="200"/>
      <c r="K407" s="211"/>
      <c r="L407" s="201"/>
      <c r="M407" s="201"/>
      <c r="N407" s="201"/>
    </row>
    <row r="408">
      <c r="A408" s="190"/>
      <c r="B408" s="195"/>
      <c r="C408" s="196"/>
      <c r="D408" s="196"/>
      <c r="E408" s="197"/>
      <c r="F408" s="198"/>
      <c r="G408" s="199"/>
      <c r="H408" s="197"/>
      <c r="I408" s="199"/>
      <c r="J408" s="200"/>
      <c r="K408" s="211"/>
      <c r="L408" s="201"/>
      <c r="M408" s="201"/>
      <c r="N408" s="201"/>
    </row>
    <row r="409">
      <c r="A409" s="190"/>
      <c r="B409" s="195"/>
      <c r="C409" s="196"/>
      <c r="D409" s="196"/>
      <c r="E409" s="197"/>
      <c r="F409" s="198"/>
      <c r="G409" s="199"/>
      <c r="H409" s="197"/>
      <c r="I409" s="199"/>
      <c r="J409" s="200"/>
      <c r="K409" s="211"/>
      <c r="L409" s="201"/>
      <c r="M409" s="201"/>
      <c r="N409" s="201"/>
    </row>
    <row r="410">
      <c r="A410" s="190"/>
      <c r="B410" s="195"/>
      <c r="C410" s="196"/>
      <c r="D410" s="196"/>
      <c r="E410" s="197"/>
      <c r="F410" s="198"/>
      <c r="G410" s="199"/>
      <c r="H410" s="197"/>
      <c r="I410" s="199"/>
      <c r="J410" s="200"/>
      <c r="K410" s="211"/>
      <c r="L410" s="201"/>
      <c r="M410" s="201"/>
      <c r="N410" s="201"/>
    </row>
    <row r="411">
      <c r="A411" s="190"/>
      <c r="B411" s="195"/>
      <c r="C411" s="196"/>
      <c r="D411" s="196"/>
      <c r="E411" s="197"/>
      <c r="F411" s="198"/>
      <c r="G411" s="199"/>
      <c r="H411" s="197"/>
      <c r="I411" s="199"/>
      <c r="J411" s="200"/>
      <c r="K411" s="211"/>
      <c r="L411" s="201"/>
      <c r="M411" s="201"/>
      <c r="N411" s="201"/>
    </row>
    <row r="412">
      <c r="A412" s="190"/>
      <c r="B412" s="195"/>
      <c r="C412" s="196"/>
      <c r="D412" s="196"/>
      <c r="E412" s="197"/>
      <c r="F412" s="198"/>
      <c r="G412" s="199"/>
      <c r="H412" s="197"/>
      <c r="I412" s="199"/>
      <c r="J412" s="200"/>
      <c r="K412" s="211"/>
      <c r="L412" s="201"/>
      <c r="M412" s="201"/>
      <c r="N412" s="201"/>
    </row>
    <row r="413">
      <c r="A413" s="190"/>
      <c r="B413" s="195"/>
      <c r="C413" s="196"/>
      <c r="D413" s="196"/>
      <c r="E413" s="197"/>
      <c r="F413" s="198"/>
      <c r="G413" s="199"/>
      <c r="H413" s="197"/>
      <c r="I413" s="199"/>
      <c r="J413" s="200"/>
      <c r="K413" s="211"/>
      <c r="L413" s="201"/>
      <c r="M413" s="201"/>
      <c r="N413" s="201"/>
    </row>
    <row r="414">
      <c r="A414" s="190"/>
      <c r="B414" s="195"/>
      <c r="C414" s="196"/>
      <c r="D414" s="196"/>
      <c r="E414" s="197"/>
      <c r="F414" s="198"/>
      <c r="G414" s="199"/>
      <c r="H414" s="197"/>
      <c r="I414" s="199"/>
      <c r="J414" s="200"/>
      <c r="K414" s="211"/>
      <c r="L414" s="201"/>
      <c r="M414" s="201"/>
      <c r="N414" s="201"/>
    </row>
    <row r="415">
      <c r="A415" s="190"/>
      <c r="B415" s="195"/>
      <c r="C415" s="196"/>
      <c r="D415" s="196"/>
      <c r="E415" s="197"/>
      <c r="F415" s="198"/>
      <c r="G415" s="199"/>
      <c r="H415" s="197"/>
      <c r="I415" s="199"/>
      <c r="J415" s="200"/>
      <c r="K415" s="211"/>
      <c r="L415" s="201"/>
      <c r="M415" s="201"/>
      <c r="N415" s="201"/>
    </row>
    <row r="416">
      <c r="A416" s="190"/>
      <c r="B416" s="195"/>
      <c r="C416" s="196"/>
      <c r="D416" s="196"/>
      <c r="E416" s="197"/>
      <c r="F416" s="198"/>
      <c r="G416" s="199"/>
      <c r="H416" s="197"/>
      <c r="I416" s="199"/>
      <c r="J416" s="200"/>
      <c r="K416" s="211"/>
      <c r="L416" s="201"/>
      <c r="M416" s="201"/>
      <c r="N416" s="201"/>
    </row>
    <row r="417">
      <c r="A417" s="190"/>
      <c r="B417" s="195"/>
      <c r="C417" s="196"/>
      <c r="D417" s="196"/>
      <c r="E417" s="197"/>
      <c r="F417" s="198"/>
      <c r="G417" s="199"/>
      <c r="H417" s="197"/>
      <c r="I417" s="199"/>
      <c r="J417" s="200"/>
      <c r="K417" s="211"/>
      <c r="L417" s="201"/>
      <c r="M417" s="201"/>
      <c r="N417" s="201"/>
    </row>
    <row r="418">
      <c r="A418" s="190"/>
      <c r="B418" s="195"/>
      <c r="C418" s="196"/>
      <c r="D418" s="196"/>
      <c r="E418" s="197"/>
      <c r="F418" s="198"/>
      <c r="G418" s="199"/>
      <c r="H418" s="197"/>
      <c r="I418" s="199"/>
      <c r="J418" s="200"/>
      <c r="K418" s="211"/>
      <c r="L418" s="201"/>
      <c r="M418" s="201"/>
      <c r="N418" s="201"/>
    </row>
    <row r="419">
      <c r="A419" s="190"/>
      <c r="B419" s="195"/>
      <c r="C419" s="196"/>
      <c r="D419" s="196"/>
      <c r="E419" s="197"/>
      <c r="F419" s="198"/>
      <c r="G419" s="199"/>
      <c r="H419" s="197"/>
      <c r="I419" s="199"/>
      <c r="J419" s="200"/>
      <c r="K419" s="211"/>
      <c r="L419" s="201"/>
      <c r="M419" s="201"/>
      <c r="N419" s="201"/>
    </row>
    <row r="420">
      <c r="A420" s="190"/>
      <c r="B420" s="195"/>
      <c r="C420" s="196"/>
      <c r="D420" s="196"/>
      <c r="E420" s="197"/>
      <c r="F420" s="198"/>
      <c r="G420" s="199"/>
      <c r="H420" s="197"/>
      <c r="I420" s="199"/>
      <c r="J420" s="200"/>
      <c r="K420" s="211"/>
      <c r="L420" s="201"/>
      <c r="M420" s="201"/>
      <c r="N420" s="201"/>
    </row>
    <row r="421">
      <c r="A421" s="190"/>
      <c r="B421" s="195"/>
      <c r="C421" s="196"/>
      <c r="D421" s="196"/>
      <c r="E421" s="197"/>
      <c r="F421" s="198"/>
      <c r="G421" s="199"/>
      <c r="H421" s="197"/>
      <c r="I421" s="199"/>
      <c r="J421" s="200"/>
      <c r="K421" s="211"/>
      <c r="L421" s="201"/>
      <c r="M421" s="201"/>
      <c r="N421" s="201"/>
    </row>
    <row r="422">
      <c r="A422" s="190"/>
      <c r="B422" s="195"/>
      <c r="C422" s="196"/>
      <c r="D422" s="196"/>
      <c r="E422" s="197"/>
      <c r="F422" s="198"/>
      <c r="G422" s="199"/>
      <c r="H422" s="197"/>
      <c r="I422" s="199"/>
      <c r="J422" s="200"/>
      <c r="K422" s="211"/>
      <c r="L422" s="201"/>
      <c r="M422" s="201"/>
      <c r="N422" s="201"/>
    </row>
    <row r="423">
      <c r="A423" s="190"/>
      <c r="B423" s="195"/>
      <c r="C423" s="196"/>
      <c r="D423" s="196"/>
      <c r="E423" s="197"/>
      <c r="F423" s="198"/>
      <c r="G423" s="199"/>
      <c r="H423" s="197"/>
      <c r="I423" s="199"/>
      <c r="J423" s="200"/>
      <c r="K423" s="211"/>
      <c r="L423" s="201"/>
      <c r="M423" s="201"/>
      <c r="N423" s="201"/>
    </row>
    <row r="424">
      <c r="A424" s="190"/>
      <c r="B424" s="195"/>
      <c r="C424" s="196"/>
      <c r="D424" s="196"/>
      <c r="E424" s="197"/>
      <c r="F424" s="198"/>
      <c r="G424" s="199"/>
      <c r="H424" s="197"/>
      <c r="I424" s="199"/>
      <c r="J424" s="200"/>
      <c r="K424" s="211"/>
      <c r="L424" s="201"/>
      <c r="M424" s="201"/>
      <c r="N424" s="201"/>
    </row>
    <row r="425">
      <c r="A425" s="190"/>
      <c r="B425" s="195"/>
      <c r="C425" s="196"/>
      <c r="D425" s="196"/>
      <c r="E425" s="197"/>
      <c r="F425" s="198"/>
      <c r="G425" s="199"/>
      <c r="H425" s="197"/>
      <c r="I425" s="199"/>
      <c r="J425" s="200"/>
      <c r="K425" s="211"/>
      <c r="L425" s="201"/>
      <c r="M425" s="201"/>
      <c r="N425" s="201"/>
    </row>
    <row r="426">
      <c r="A426" s="190"/>
      <c r="B426" s="195"/>
      <c r="C426" s="196"/>
      <c r="D426" s="196"/>
      <c r="E426" s="197"/>
      <c r="F426" s="198"/>
      <c r="G426" s="199"/>
      <c r="H426" s="197"/>
      <c r="I426" s="199"/>
      <c r="J426" s="200"/>
      <c r="K426" s="211"/>
      <c r="L426" s="201"/>
      <c r="M426" s="201"/>
      <c r="N426" s="201"/>
    </row>
    <row r="427">
      <c r="A427" s="190"/>
      <c r="B427" s="195"/>
      <c r="C427" s="196"/>
      <c r="D427" s="196"/>
      <c r="E427" s="197"/>
      <c r="F427" s="198"/>
      <c r="G427" s="199"/>
      <c r="H427" s="197"/>
      <c r="I427" s="199"/>
      <c r="J427" s="200"/>
      <c r="K427" s="211"/>
      <c r="L427" s="201"/>
      <c r="M427" s="201"/>
      <c r="N427" s="201"/>
    </row>
    <row r="428">
      <c r="A428" s="190"/>
      <c r="B428" s="195"/>
      <c r="C428" s="196"/>
      <c r="D428" s="196"/>
      <c r="E428" s="197"/>
      <c r="F428" s="198"/>
      <c r="G428" s="199"/>
      <c r="H428" s="197"/>
      <c r="I428" s="199"/>
      <c r="J428" s="200"/>
      <c r="K428" s="211"/>
      <c r="L428" s="201"/>
      <c r="M428" s="201"/>
      <c r="N428" s="201"/>
    </row>
    <row r="429">
      <c r="A429" s="190"/>
      <c r="B429" s="195"/>
      <c r="C429" s="196"/>
      <c r="D429" s="196"/>
      <c r="E429" s="197"/>
      <c r="F429" s="198"/>
      <c r="G429" s="199"/>
      <c r="H429" s="197"/>
      <c r="I429" s="199"/>
      <c r="J429" s="200"/>
      <c r="K429" s="211"/>
      <c r="L429" s="201"/>
      <c r="M429" s="201"/>
      <c r="N429" s="201"/>
    </row>
    <row r="430">
      <c r="A430" s="190"/>
      <c r="B430" s="195"/>
      <c r="C430" s="196"/>
      <c r="D430" s="196"/>
      <c r="E430" s="197"/>
      <c r="F430" s="198"/>
      <c r="G430" s="199"/>
      <c r="H430" s="197"/>
      <c r="I430" s="199"/>
      <c r="J430" s="200"/>
      <c r="K430" s="211"/>
      <c r="L430" s="201"/>
      <c r="M430" s="201"/>
      <c r="N430" s="201"/>
    </row>
    <row r="431">
      <c r="A431" s="190"/>
      <c r="B431" s="195"/>
      <c r="C431" s="196"/>
      <c r="D431" s="196"/>
      <c r="E431" s="197"/>
      <c r="F431" s="198"/>
      <c r="G431" s="199"/>
      <c r="H431" s="197"/>
      <c r="I431" s="199"/>
      <c r="J431" s="200"/>
      <c r="K431" s="211"/>
      <c r="L431" s="201"/>
      <c r="M431" s="201"/>
      <c r="N431" s="201"/>
    </row>
    <row r="432">
      <c r="A432" s="190"/>
      <c r="B432" s="195"/>
      <c r="C432" s="196"/>
      <c r="D432" s="196"/>
      <c r="E432" s="197"/>
      <c r="F432" s="198"/>
      <c r="G432" s="199"/>
      <c r="H432" s="197"/>
      <c r="I432" s="199"/>
      <c r="J432" s="200"/>
      <c r="K432" s="211"/>
      <c r="L432" s="201"/>
      <c r="M432" s="201"/>
      <c r="N432" s="201"/>
    </row>
    <row r="433">
      <c r="A433" s="190"/>
      <c r="B433" s="195"/>
      <c r="C433" s="196"/>
      <c r="D433" s="196"/>
      <c r="E433" s="197"/>
      <c r="F433" s="198"/>
      <c r="G433" s="199"/>
      <c r="H433" s="197"/>
      <c r="I433" s="199"/>
      <c r="J433" s="200"/>
      <c r="K433" s="211"/>
      <c r="L433" s="201"/>
      <c r="M433" s="201"/>
      <c r="N433" s="201"/>
    </row>
    <row r="434">
      <c r="A434" s="190"/>
      <c r="B434" s="195"/>
      <c r="C434" s="196"/>
      <c r="D434" s="196"/>
      <c r="E434" s="197"/>
      <c r="F434" s="198"/>
      <c r="G434" s="199"/>
      <c r="H434" s="197"/>
      <c r="I434" s="199"/>
      <c r="J434" s="200"/>
      <c r="K434" s="211"/>
      <c r="L434" s="201"/>
      <c r="M434" s="201"/>
      <c r="N434" s="201"/>
    </row>
    <row r="435">
      <c r="A435" s="190"/>
      <c r="B435" s="195"/>
      <c r="C435" s="196"/>
      <c r="D435" s="196"/>
      <c r="E435" s="197"/>
      <c r="F435" s="198"/>
      <c r="G435" s="199"/>
      <c r="H435" s="197"/>
      <c r="I435" s="199"/>
      <c r="J435" s="200"/>
      <c r="K435" s="211"/>
      <c r="L435" s="201"/>
      <c r="M435" s="201"/>
      <c r="N435" s="201"/>
    </row>
    <row r="436">
      <c r="A436" s="190"/>
      <c r="B436" s="195"/>
      <c r="C436" s="196"/>
      <c r="D436" s="196"/>
      <c r="E436" s="197"/>
      <c r="F436" s="198"/>
      <c r="G436" s="199"/>
      <c r="H436" s="197"/>
      <c r="I436" s="199"/>
      <c r="J436" s="200"/>
      <c r="K436" s="211"/>
      <c r="L436" s="201"/>
      <c r="M436" s="201"/>
      <c r="N436" s="201"/>
    </row>
    <row r="437">
      <c r="A437" s="190"/>
      <c r="B437" s="195"/>
      <c r="C437" s="196"/>
      <c r="D437" s="196"/>
      <c r="E437" s="197"/>
      <c r="F437" s="198"/>
      <c r="G437" s="199"/>
      <c r="H437" s="197"/>
      <c r="I437" s="199"/>
      <c r="J437" s="200"/>
      <c r="K437" s="211"/>
      <c r="L437" s="201"/>
      <c r="M437" s="201"/>
      <c r="N437" s="201"/>
    </row>
    <row r="438">
      <c r="A438" s="190"/>
      <c r="B438" s="195"/>
      <c r="C438" s="196"/>
      <c r="D438" s="196"/>
      <c r="E438" s="197"/>
      <c r="F438" s="198"/>
      <c r="G438" s="199"/>
      <c r="H438" s="197"/>
      <c r="I438" s="199"/>
      <c r="J438" s="200"/>
      <c r="K438" s="211"/>
      <c r="L438" s="201"/>
      <c r="M438" s="201"/>
      <c r="N438" s="201"/>
    </row>
    <row r="439">
      <c r="A439" s="190"/>
      <c r="B439" s="195"/>
      <c r="C439" s="196"/>
      <c r="D439" s="196"/>
      <c r="E439" s="197"/>
      <c r="F439" s="198"/>
      <c r="G439" s="199"/>
      <c r="H439" s="197"/>
      <c r="I439" s="199"/>
      <c r="J439" s="200"/>
      <c r="K439" s="211"/>
      <c r="L439" s="201"/>
      <c r="M439" s="201"/>
      <c r="N439" s="201"/>
    </row>
    <row r="440">
      <c r="A440" s="190"/>
      <c r="B440" s="195"/>
      <c r="C440" s="196"/>
      <c r="D440" s="196"/>
      <c r="E440" s="197"/>
      <c r="F440" s="198"/>
      <c r="G440" s="199"/>
      <c r="H440" s="197"/>
      <c r="I440" s="199"/>
      <c r="J440" s="200"/>
      <c r="K440" s="211"/>
      <c r="L440" s="201"/>
      <c r="M440" s="201"/>
      <c r="N440" s="201"/>
    </row>
    <row r="441">
      <c r="A441" s="190"/>
      <c r="B441" s="195"/>
      <c r="C441" s="196"/>
      <c r="D441" s="196"/>
      <c r="E441" s="197"/>
      <c r="F441" s="198"/>
      <c r="G441" s="199"/>
      <c r="H441" s="197"/>
      <c r="I441" s="199"/>
      <c r="J441" s="200"/>
      <c r="K441" s="211"/>
      <c r="L441" s="201"/>
      <c r="M441" s="201"/>
      <c r="N441" s="201"/>
    </row>
    <row r="442">
      <c r="A442" s="190"/>
      <c r="B442" s="195"/>
      <c r="C442" s="196"/>
      <c r="D442" s="196"/>
      <c r="E442" s="197"/>
      <c r="F442" s="198"/>
      <c r="G442" s="199"/>
      <c r="H442" s="197"/>
      <c r="I442" s="199"/>
      <c r="J442" s="200"/>
      <c r="K442" s="211"/>
      <c r="L442" s="201"/>
      <c r="M442" s="201"/>
      <c r="N442" s="201"/>
    </row>
    <row r="443">
      <c r="A443" s="190"/>
      <c r="B443" s="195"/>
      <c r="C443" s="196"/>
      <c r="D443" s="196"/>
      <c r="E443" s="197"/>
      <c r="F443" s="198"/>
      <c r="G443" s="199"/>
      <c r="H443" s="197"/>
      <c r="I443" s="199"/>
      <c r="J443" s="200"/>
      <c r="K443" s="211"/>
      <c r="L443" s="201"/>
      <c r="M443" s="201"/>
      <c r="N443" s="201"/>
    </row>
    <row r="444">
      <c r="A444" s="190"/>
      <c r="B444" s="195"/>
      <c r="C444" s="196"/>
      <c r="D444" s="196"/>
      <c r="E444" s="197"/>
      <c r="F444" s="198"/>
      <c r="G444" s="199"/>
      <c r="H444" s="197"/>
      <c r="I444" s="199"/>
      <c r="J444" s="200"/>
      <c r="K444" s="211"/>
      <c r="L444" s="201"/>
      <c r="M444" s="201"/>
      <c r="N444" s="201"/>
    </row>
    <row r="445">
      <c r="A445" s="190"/>
      <c r="B445" s="195"/>
      <c r="C445" s="196"/>
      <c r="D445" s="196"/>
      <c r="E445" s="197"/>
      <c r="F445" s="198"/>
      <c r="G445" s="199"/>
      <c r="H445" s="197"/>
      <c r="I445" s="199"/>
      <c r="J445" s="200"/>
      <c r="K445" s="211"/>
      <c r="L445" s="201"/>
      <c r="M445" s="201"/>
      <c r="N445" s="201"/>
    </row>
    <row r="446">
      <c r="A446" s="190"/>
      <c r="B446" s="195"/>
      <c r="C446" s="196"/>
      <c r="D446" s="196"/>
      <c r="E446" s="197"/>
      <c r="F446" s="198"/>
      <c r="G446" s="199"/>
      <c r="H446" s="197"/>
      <c r="I446" s="199"/>
      <c r="J446" s="200"/>
      <c r="K446" s="211"/>
      <c r="L446" s="201"/>
      <c r="M446" s="201"/>
      <c r="N446" s="201"/>
    </row>
    <row r="447">
      <c r="A447" s="190"/>
      <c r="B447" s="195"/>
      <c r="C447" s="196"/>
      <c r="D447" s="196"/>
      <c r="E447" s="197"/>
      <c r="F447" s="198"/>
      <c r="G447" s="199"/>
      <c r="H447" s="197"/>
      <c r="I447" s="199"/>
      <c r="J447" s="200"/>
      <c r="K447" s="211"/>
      <c r="L447" s="201"/>
      <c r="M447" s="201"/>
      <c r="N447" s="201"/>
    </row>
    <row r="448">
      <c r="A448" s="190"/>
      <c r="B448" s="195"/>
      <c r="C448" s="196"/>
      <c r="D448" s="196"/>
      <c r="E448" s="197"/>
      <c r="F448" s="198"/>
      <c r="G448" s="199"/>
      <c r="H448" s="197"/>
      <c r="I448" s="199"/>
      <c r="J448" s="200"/>
      <c r="K448" s="211"/>
      <c r="L448" s="201"/>
      <c r="M448" s="201"/>
      <c r="N448" s="201"/>
    </row>
    <row r="449">
      <c r="A449" s="190"/>
      <c r="B449" s="195"/>
      <c r="C449" s="196"/>
      <c r="D449" s="196"/>
      <c r="E449" s="197"/>
      <c r="F449" s="198"/>
      <c r="G449" s="199"/>
      <c r="H449" s="197"/>
      <c r="I449" s="199"/>
      <c r="J449" s="200"/>
      <c r="K449" s="211"/>
      <c r="L449" s="201"/>
      <c r="M449" s="201"/>
      <c r="N449" s="201"/>
    </row>
    <row r="450">
      <c r="A450" s="190"/>
      <c r="B450" s="195"/>
      <c r="C450" s="196"/>
      <c r="D450" s="196"/>
      <c r="E450" s="197"/>
      <c r="F450" s="198"/>
      <c r="G450" s="199"/>
      <c r="H450" s="197"/>
      <c r="I450" s="199"/>
      <c r="J450" s="200"/>
      <c r="K450" s="211"/>
      <c r="L450" s="201"/>
      <c r="M450" s="201"/>
      <c r="N450" s="201"/>
    </row>
    <row r="451">
      <c r="A451" s="190"/>
      <c r="B451" s="195"/>
      <c r="C451" s="196"/>
      <c r="D451" s="196"/>
      <c r="E451" s="197"/>
      <c r="F451" s="198"/>
      <c r="G451" s="199"/>
      <c r="H451" s="197"/>
      <c r="I451" s="199"/>
      <c r="J451" s="200"/>
      <c r="K451" s="211"/>
      <c r="L451" s="201"/>
      <c r="M451" s="201"/>
      <c r="N451" s="201"/>
    </row>
    <row r="452">
      <c r="A452" s="190"/>
      <c r="B452" s="195"/>
      <c r="C452" s="196"/>
      <c r="D452" s="196"/>
      <c r="E452" s="197"/>
      <c r="F452" s="198"/>
      <c r="G452" s="199"/>
      <c r="H452" s="197"/>
      <c r="I452" s="199"/>
      <c r="J452" s="200"/>
      <c r="K452" s="211"/>
      <c r="L452" s="201"/>
      <c r="M452" s="201"/>
      <c r="N452" s="201"/>
    </row>
    <row r="453">
      <c r="A453" s="190"/>
      <c r="B453" s="195"/>
      <c r="C453" s="196"/>
      <c r="D453" s="196"/>
      <c r="E453" s="197"/>
      <c r="F453" s="198"/>
      <c r="G453" s="199"/>
      <c r="H453" s="197"/>
      <c r="I453" s="199"/>
      <c r="J453" s="200"/>
      <c r="K453" s="211"/>
      <c r="L453" s="201"/>
      <c r="M453" s="201"/>
      <c r="N453" s="201"/>
    </row>
    <row r="454">
      <c r="A454" s="190"/>
      <c r="B454" s="195"/>
      <c r="C454" s="196"/>
      <c r="D454" s="196"/>
      <c r="E454" s="197"/>
      <c r="F454" s="198"/>
      <c r="G454" s="199"/>
      <c r="H454" s="197"/>
      <c r="I454" s="199"/>
      <c r="J454" s="200"/>
      <c r="K454" s="211"/>
      <c r="L454" s="201"/>
      <c r="M454" s="201"/>
      <c r="N454" s="201"/>
    </row>
    <row r="455">
      <c r="A455" s="190"/>
      <c r="B455" s="195"/>
      <c r="C455" s="196"/>
      <c r="D455" s="196"/>
      <c r="E455" s="197"/>
      <c r="F455" s="198"/>
      <c r="G455" s="199"/>
      <c r="H455" s="197"/>
      <c r="I455" s="199"/>
      <c r="J455" s="200"/>
      <c r="K455" s="211"/>
      <c r="L455" s="201"/>
      <c r="M455" s="201"/>
      <c r="N455" s="201"/>
    </row>
    <row r="456">
      <c r="A456" s="190"/>
      <c r="B456" s="195"/>
      <c r="C456" s="196"/>
      <c r="D456" s="196"/>
      <c r="E456" s="197"/>
      <c r="F456" s="198"/>
      <c r="G456" s="199"/>
      <c r="H456" s="197"/>
      <c r="I456" s="199"/>
      <c r="J456" s="200"/>
      <c r="K456" s="211"/>
      <c r="L456" s="201"/>
      <c r="M456" s="201"/>
      <c r="N456" s="201"/>
    </row>
    <row r="457">
      <c r="A457" s="190"/>
      <c r="B457" s="195"/>
      <c r="C457" s="196"/>
      <c r="D457" s="196"/>
      <c r="E457" s="197"/>
      <c r="F457" s="198"/>
      <c r="G457" s="199"/>
      <c r="H457" s="197"/>
      <c r="I457" s="199"/>
      <c r="J457" s="200"/>
      <c r="K457" s="211"/>
      <c r="L457" s="201"/>
      <c r="M457" s="201"/>
      <c r="N457" s="201"/>
    </row>
    <row r="458">
      <c r="A458" s="190"/>
      <c r="B458" s="195"/>
      <c r="C458" s="196"/>
      <c r="D458" s="196"/>
      <c r="E458" s="197"/>
      <c r="F458" s="198"/>
      <c r="G458" s="199"/>
      <c r="H458" s="197"/>
      <c r="I458" s="199"/>
      <c r="J458" s="200"/>
      <c r="K458" s="211"/>
      <c r="L458" s="201"/>
      <c r="M458" s="201"/>
      <c r="N458" s="201"/>
    </row>
    <row r="459">
      <c r="A459" s="190"/>
      <c r="B459" s="195"/>
      <c r="C459" s="196"/>
      <c r="D459" s="196"/>
      <c r="E459" s="197"/>
      <c r="F459" s="198"/>
      <c r="G459" s="199"/>
      <c r="H459" s="197"/>
      <c r="I459" s="199"/>
      <c r="J459" s="200"/>
      <c r="K459" s="211"/>
      <c r="L459" s="201"/>
      <c r="M459" s="201"/>
      <c r="N459" s="201"/>
    </row>
    <row r="460">
      <c r="A460" s="190"/>
      <c r="B460" s="195"/>
      <c r="C460" s="196"/>
      <c r="D460" s="196"/>
      <c r="E460" s="197"/>
      <c r="F460" s="198"/>
      <c r="G460" s="199"/>
      <c r="H460" s="197"/>
      <c r="I460" s="199"/>
      <c r="J460" s="200"/>
      <c r="K460" s="211"/>
      <c r="L460" s="201"/>
      <c r="M460" s="201"/>
      <c r="N460" s="201"/>
    </row>
    <row r="461">
      <c r="A461" s="190"/>
      <c r="B461" s="195"/>
      <c r="C461" s="196"/>
      <c r="D461" s="196"/>
      <c r="E461" s="197"/>
      <c r="F461" s="198"/>
      <c r="G461" s="199"/>
      <c r="H461" s="197"/>
      <c r="I461" s="199"/>
      <c r="J461" s="200"/>
      <c r="K461" s="211"/>
      <c r="L461" s="201"/>
      <c r="M461" s="201"/>
      <c r="N461" s="201"/>
    </row>
    <row r="462">
      <c r="A462" s="190"/>
      <c r="B462" s="195"/>
      <c r="C462" s="196"/>
      <c r="D462" s="196"/>
      <c r="E462" s="197"/>
      <c r="F462" s="198"/>
      <c r="G462" s="199"/>
      <c r="H462" s="197"/>
      <c r="I462" s="199"/>
      <c r="J462" s="200"/>
      <c r="K462" s="211"/>
      <c r="L462" s="201"/>
      <c r="M462" s="201"/>
      <c r="N462" s="201"/>
    </row>
    <row r="463">
      <c r="A463" s="190"/>
      <c r="B463" s="195"/>
      <c r="C463" s="196"/>
      <c r="D463" s="196"/>
      <c r="E463" s="197"/>
      <c r="F463" s="198"/>
      <c r="G463" s="199"/>
      <c r="H463" s="197"/>
      <c r="I463" s="199"/>
      <c r="J463" s="200"/>
      <c r="K463" s="211"/>
      <c r="L463" s="201"/>
      <c r="M463" s="201"/>
      <c r="N463" s="201"/>
    </row>
    <row r="464">
      <c r="A464" s="190"/>
      <c r="B464" s="195"/>
      <c r="C464" s="196"/>
      <c r="D464" s="196"/>
      <c r="E464" s="197"/>
      <c r="F464" s="198"/>
      <c r="G464" s="199"/>
      <c r="H464" s="197"/>
      <c r="I464" s="199"/>
      <c r="J464" s="200"/>
      <c r="K464" s="211"/>
      <c r="L464" s="201"/>
      <c r="M464" s="201"/>
      <c r="N464" s="201"/>
    </row>
    <row r="465">
      <c r="A465" s="190"/>
      <c r="B465" s="195"/>
      <c r="C465" s="196"/>
      <c r="D465" s="196"/>
      <c r="E465" s="197"/>
      <c r="F465" s="198"/>
      <c r="G465" s="199"/>
      <c r="H465" s="197"/>
      <c r="I465" s="199"/>
      <c r="J465" s="200"/>
      <c r="K465" s="211"/>
      <c r="L465" s="201"/>
      <c r="M465" s="201"/>
      <c r="N465" s="201"/>
    </row>
    <row r="466">
      <c r="A466" s="190"/>
      <c r="B466" s="195"/>
      <c r="C466" s="196"/>
      <c r="D466" s="196"/>
      <c r="E466" s="197"/>
      <c r="F466" s="198"/>
      <c r="G466" s="199"/>
      <c r="H466" s="197"/>
      <c r="I466" s="199"/>
      <c r="J466" s="200"/>
      <c r="K466" s="211"/>
      <c r="L466" s="201"/>
      <c r="M466" s="201"/>
      <c r="N466" s="201"/>
    </row>
    <row r="467">
      <c r="A467" s="190"/>
      <c r="B467" s="195"/>
      <c r="C467" s="196"/>
      <c r="D467" s="196"/>
      <c r="E467" s="197"/>
      <c r="F467" s="198"/>
      <c r="G467" s="199"/>
      <c r="H467" s="197"/>
      <c r="I467" s="199"/>
      <c r="J467" s="200"/>
      <c r="K467" s="211"/>
      <c r="L467" s="201"/>
      <c r="M467" s="201"/>
      <c r="N467" s="201"/>
    </row>
    <row r="468">
      <c r="A468" s="190"/>
      <c r="B468" s="195"/>
      <c r="C468" s="196"/>
      <c r="D468" s="196"/>
      <c r="E468" s="197"/>
      <c r="F468" s="198"/>
      <c r="G468" s="199"/>
      <c r="H468" s="197"/>
      <c r="I468" s="199"/>
      <c r="J468" s="200"/>
      <c r="K468" s="211"/>
      <c r="L468" s="201"/>
      <c r="M468" s="201"/>
      <c r="N468" s="201"/>
    </row>
    <row r="469">
      <c r="A469" s="190"/>
      <c r="B469" s="195"/>
      <c r="C469" s="196"/>
      <c r="D469" s="196"/>
      <c r="E469" s="197"/>
      <c r="F469" s="198"/>
      <c r="G469" s="199"/>
      <c r="H469" s="197"/>
      <c r="I469" s="199"/>
      <c r="J469" s="200"/>
      <c r="K469" s="211"/>
      <c r="L469" s="201"/>
      <c r="M469" s="201"/>
      <c r="N469" s="201"/>
    </row>
    <row r="470">
      <c r="A470" s="190"/>
      <c r="B470" s="195"/>
      <c r="C470" s="196"/>
      <c r="D470" s="196"/>
      <c r="E470" s="197"/>
      <c r="F470" s="198"/>
      <c r="G470" s="199"/>
      <c r="H470" s="197"/>
      <c r="I470" s="199"/>
      <c r="J470" s="200"/>
      <c r="K470" s="211"/>
      <c r="L470" s="201"/>
      <c r="M470" s="201"/>
      <c r="N470" s="201"/>
    </row>
    <row r="471">
      <c r="A471" s="190"/>
      <c r="B471" s="195"/>
      <c r="C471" s="196"/>
      <c r="D471" s="196"/>
      <c r="E471" s="197"/>
      <c r="F471" s="198"/>
      <c r="G471" s="199"/>
      <c r="H471" s="197"/>
      <c r="I471" s="199"/>
      <c r="J471" s="200"/>
      <c r="K471" s="211"/>
      <c r="L471" s="201"/>
      <c r="M471" s="201"/>
      <c r="N471" s="201"/>
    </row>
    <row r="472">
      <c r="A472" s="190"/>
      <c r="B472" s="195"/>
      <c r="C472" s="196"/>
      <c r="D472" s="196"/>
      <c r="E472" s="197"/>
      <c r="F472" s="198"/>
      <c r="G472" s="199"/>
      <c r="H472" s="197"/>
      <c r="I472" s="199"/>
      <c r="J472" s="200"/>
      <c r="K472" s="211"/>
      <c r="L472" s="201"/>
      <c r="M472" s="201"/>
      <c r="N472" s="201"/>
    </row>
    <row r="473">
      <c r="A473" s="190"/>
      <c r="B473" s="195"/>
      <c r="C473" s="196"/>
      <c r="D473" s="196"/>
      <c r="E473" s="197"/>
      <c r="F473" s="198"/>
      <c r="G473" s="199"/>
      <c r="H473" s="197"/>
      <c r="I473" s="199"/>
      <c r="J473" s="200"/>
      <c r="K473" s="211"/>
      <c r="L473" s="201"/>
      <c r="M473" s="201"/>
      <c r="N473" s="201"/>
    </row>
    <row r="474">
      <c r="A474" s="190"/>
      <c r="B474" s="195"/>
      <c r="C474" s="196"/>
      <c r="D474" s="196"/>
      <c r="E474" s="197"/>
      <c r="F474" s="198"/>
      <c r="G474" s="199"/>
      <c r="H474" s="197"/>
      <c r="I474" s="199"/>
      <c r="J474" s="200"/>
      <c r="K474" s="211"/>
      <c r="L474" s="201"/>
      <c r="M474" s="201"/>
      <c r="N474" s="201"/>
    </row>
    <row r="475">
      <c r="A475" s="190"/>
      <c r="B475" s="195"/>
      <c r="C475" s="196"/>
      <c r="D475" s="196"/>
      <c r="E475" s="197"/>
      <c r="F475" s="198"/>
      <c r="G475" s="199"/>
      <c r="H475" s="197"/>
      <c r="I475" s="199"/>
      <c r="J475" s="200"/>
      <c r="K475" s="211"/>
      <c r="L475" s="201"/>
      <c r="M475" s="201"/>
      <c r="N475" s="201"/>
    </row>
    <row r="476">
      <c r="A476" s="190"/>
      <c r="B476" s="195"/>
      <c r="C476" s="196"/>
      <c r="D476" s="196"/>
      <c r="E476" s="197"/>
      <c r="F476" s="198"/>
      <c r="G476" s="199"/>
      <c r="H476" s="197"/>
      <c r="I476" s="199"/>
      <c r="J476" s="200"/>
      <c r="K476" s="211"/>
      <c r="L476" s="201"/>
      <c r="M476" s="201"/>
      <c r="N476" s="201"/>
    </row>
    <row r="477">
      <c r="A477" s="190"/>
      <c r="B477" s="195"/>
      <c r="C477" s="196"/>
      <c r="D477" s="196"/>
      <c r="E477" s="197"/>
      <c r="F477" s="198"/>
      <c r="G477" s="199"/>
      <c r="H477" s="197"/>
      <c r="I477" s="199"/>
      <c r="J477" s="200"/>
      <c r="K477" s="211"/>
      <c r="L477" s="201"/>
      <c r="M477" s="201"/>
      <c r="N477" s="201"/>
    </row>
    <row r="478">
      <c r="A478" s="190"/>
      <c r="B478" s="195"/>
      <c r="C478" s="196"/>
      <c r="D478" s="196"/>
      <c r="E478" s="197"/>
      <c r="F478" s="198"/>
      <c r="G478" s="199"/>
      <c r="H478" s="197"/>
      <c r="I478" s="199"/>
      <c r="J478" s="200"/>
      <c r="K478" s="211"/>
      <c r="L478" s="201"/>
      <c r="M478" s="201"/>
      <c r="N478" s="201"/>
    </row>
    <row r="479">
      <c r="A479" s="190"/>
      <c r="B479" s="195"/>
      <c r="C479" s="196"/>
      <c r="D479" s="196"/>
      <c r="E479" s="197"/>
      <c r="F479" s="198"/>
      <c r="G479" s="199"/>
      <c r="H479" s="197"/>
      <c r="I479" s="199"/>
      <c r="J479" s="200"/>
      <c r="K479" s="211"/>
      <c r="L479" s="201"/>
      <c r="M479" s="201"/>
      <c r="N479" s="201"/>
    </row>
    <row r="480">
      <c r="A480" s="190"/>
      <c r="B480" s="195"/>
      <c r="C480" s="196"/>
      <c r="D480" s="196"/>
      <c r="E480" s="197"/>
      <c r="F480" s="198"/>
      <c r="G480" s="199"/>
      <c r="H480" s="197"/>
      <c r="I480" s="199"/>
      <c r="J480" s="200"/>
      <c r="K480" s="211"/>
      <c r="L480" s="201"/>
      <c r="M480" s="201"/>
      <c r="N480" s="201"/>
    </row>
    <row r="481">
      <c r="A481" s="190"/>
      <c r="B481" s="195"/>
      <c r="C481" s="196"/>
      <c r="D481" s="196"/>
      <c r="E481" s="197"/>
      <c r="F481" s="198"/>
      <c r="G481" s="199"/>
      <c r="H481" s="197"/>
      <c r="I481" s="199"/>
      <c r="J481" s="200"/>
      <c r="K481" s="211"/>
      <c r="L481" s="201"/>
      <c r="M481" s="201"/>
      <c r="N481" s="201"/>
    </row>
    <row r="482">
      <c r="A482" s="190"/>
      <c r="B482" s="195"/>
      <c r="C482" s="196"/>
      <c r="D482" s="196"/>
      <c r="E482" s="197"/>
      <c r="F482" s="198"/>
      <c r="G482" s="199"/>
      <c r="H482" s="197"/>
      <c r="I482" s="199"/>
      <c r="J482" s="200"/>
      <c r="K482" s="211"/>
      <c r="L482" s="201"/>
      <c r="M482" s="201"/>
      <c r="N482" s="201"/>
    </row>
    <row r="483">
      <c r="A483" s="190"/>
      <c r="B483" s="195"/>
      <c r="C483" s="196"/>
      <c r="D483" s="196"/>
      <c r="E483" s="197"/>
      <c r="F483" s="198"/>
      <c r="G483" s="199"/>
      <c r="H483" s="197"/>
      <c r="I483" s="199"/>
      <c r="J483" s="200"/>
      <c r="K483" s="211"/>
      <c r="L483" s="201"/>
      <c r="M483" s="201"/>
      <c r="N483" s="201"/>
    </row>
    <row r="484">
      <c r="A484" s="190"/>
      <c r="B484" s="195"/>
      <c r="C484" s="196"/>
      <c r="D484" s="196"/>
      <c r="E484" s="197"/>
      <c r="F484" s="198"/>
      <c r="G484" s="199"/>
      <c r="H484" s="197"/>
      <c r="I484" s="199"/>
      <c r="J484" s="200"/>
      <c r="K484" s="211"/>
      <c r="L484" s="201"/>
      <c r="M484" s="201"/>
      <c r="N484" s="201"/>
    </row>
    <row r="485">
      <c r="A485" s="190"/>
      <c r="B485" s="195"/>
      <c r="C485" s="196"/>
      <c r="D485" s="196"/>
      <c r="E485" s="197"/>
      <c r="F485" s="198"/>
      <c r="G485" s="199"/>
      <c r="H485" s="197"/>
      <c r="I485" s="199"/>
      <c r="J485" s="200"/>
      <c r="K485" s="211"/>
      <c r="L485" s="201"/>
      <c r="M485" s="201"/>
      <c r="N485" s="201"/>
    </row>
    <row r="486">
      <c r="A486" s="190"/>
      <c r="B486" s="195"/>
      <c r="C486" s="196"/>
      <c r="D486" s="196"/>
      <c r="E486" s="197"/>
      <c r="F486" s="198"/>
      <c r="G486" s="199"/>
      <c r="H486" s="197"/>
      <c r="I486" s="199"/>
      <c r="J486" s="200"/>
      <c r="K486" s="211"/>
      <c r="L486" s="201"/>
      <c r="M486" s="201"/>
      <c r="N486" s="201"/>
    </row>
    <row r="487">
      <c r="A487" s="190"/>
      <c r="B487" s="195"/>
      <c r="C487" s="196"/>
      <c r="D487" s="196"/>
      <c r="E487" s="197"/>
      <c r="F487" s="198"/>
      <c r="G487" s="199"/>
      <c r="H487" s="197"/>
      <c r="I487" s="199"/>
      <c r="J487" s="200"/>
      <c r="K487" s="211"/>
      <c r="L487" s="201"/>
      <c r="M487" s="201"/>
      <c r="N487" s="201"/>
    </row>
    <row r="488">
      <c r="A488" s="203"/>
      <c r="B488" s="204"/>
      <c r="C488" s="205"/>
      <c r="D488" s="205"/>
      <c r="E488" s="166"/>
      <c r="F488" s="206"/>
      <c r="G488" s="167"/>
      <c r="H488" s="166"/>
      <c r="I488" s="167"/>
      <c r="J488" s="168"/>
      <c r="K488" s="169"/>
      <c r="L488" s="207"/>
      <c r="M488" s="207"/>
      <c r="N488" s="207"/>
    </row>
    <row r="489">
      <c r="A489" s="203"/>
      <c r="B489" s="204"/>
      <c r="C489" s="205"/>
      <c r="D489" s="205"/>
      <c r="E489" s="166"/>
      <c r="F489" s="206"/>
      <c r="G489" s="167"/>
      <c r="H489" s="166"/>
      <c r="I489" s="167"/>
      <c r="J489" s="168"/>
      <c r="K489" s="169"/>
      <c r="L489" s="207"/>
      <c r="M489" s="207"/>
      <c r="N489" s="207"/>
    </row>
    <row r="490">
      <c r="A490" s="203"/>
      <c r="B490" s="204"/>
      <c r="C490" s="205"/>
      <c r="D490" s="205"/>
      <c r="E490" s="166"/>
      <c r="F490" s="206"/>
      <c r="G490" s="167"/>
      <c r="H490" s="166"/>
      <c r="I490" s="167"/>
      <c r="J490" s="168"/>
      <c r="K490" s="169"/>
      <c r="L490" s="207"/>
      <c r="M490" s="207"/>
      <c r="N490" s="207"/>
    </row>
    <row r="491">
      <c r="A491" s="203"/>
      <c r="B491" s="204"/>
      <c r="C491" s="205"/>
      <c r="D491" s="205"/>
      <c r="E491" s="166"/>
      <c r="F491" s="206"/>
      <c r="G491" s="167"/>
      <c r="H491" s="166"/>
      <c r="I491" s="167"/>
      <c r="J491" s="168"/>
      <c r="K491" s="169"/>
      <c r="L491" s="207"/>
      <c r="M491" s="207"/>
      <c r="N491" s="207"/>
    </row>
    <row r="492">
      <c r="A492" s="203"/>
      <c r="B492" s="204"/>
      <c r="C492" s="205"/>
      <c r="D492" s="205"/>
      <c r="E492" s="166"/>
      <c r="F492" s="206"/>
      <c r="G492" s="167"/>
      <c r="H492" s="166"/>
      <c r="I492" s="167"/>
      <c r="J492" s="168"/>
      <c r="K492" s="169"/>
      <c r="L492" s="207"/>
      <c r="M492" s="207"/>
      <c r="N492" s="207"/>
    </row>
    <row r="493">
      <c r="A493" s="203"/>
      <c r="B493" s="204"/>
      <c r="C493" s="205"/>
      <c r="D493" s="205"/>
      <c r="E493" s="166"/>
      <c r="F493" s="206"/>
      <c r="G493" s="167"/>
      <c r="H493" s="166"/>
      <c r="I493" s="167"/>
      <c r="J493" s="168"/>
      <c r="K493" s="169"/>
      <c r="L493" s="207"/>
      <c r="M493" s="207"/>
      <c r="N493" s="207"/>
    </row>
    <row r="494">
      <c r="A494" s="203"/>
      <c r="B494" s="204"/>
      <c r="C494" s="205"/>
      <c r="D494" s="205"/>
      <c r="E494" s="166"/>
      <c r="F494" s="206"/>
      <c r="G494" s="167"/>
      <c r="H494" s="166"/>
      <c r="I494" s="167"/>
      <c r="J494" s="168"/>
      <c r="K494" s="169"/>
      <c r="L494" s="207"/>
      <c r="M494" s="207"/>
      <c r="N494" s="207"/>
    </row>
    <row r="495">
      <c r="A495" s="203"/>
      <c r="B495" s="204"/>
      <c r="C495" s="205"/>
      <c r="D495" s="205"/>
      <c r="E495" s="166"/>
      <c r="F495" s="206"/>
      <c r="G495" s="167"/>
      <c r="H495" s="166"/>
      <c r="I495" s="167"/>
      <c r="J495" s="168"/>
      <c r="K495" s="169"/>
      <c r="L495" s="207"/>
      <c r="M495" s="207"/>
      <c r="N495" s="207"/>
    </row>
    <row r="496">
      <c r="A496" s="203"/>
      <c r="B496" s="204"/>
      <c r="C496" s="205"/>
      <c r="D496" s="205"/>
      <c r="E496" s="166"/>
      <c r="F496" s="206"/>
      <c r="G496" s="167"/>
      <c r="H496" s="166"/>
      <c r="I496" s="167"/>
      <c r="J496" s="168"/>
      <c r="K496" s="169"/>
      <c r="L496" s="207"/>
      <c r="M496" s="207"/>
      <c r="N496" s="207"/>
    </row>
    <row r="497">
      <c r="A497" s="203"/>
      <c r="B497" s="204"/>
      <c r="C497" s="205"/>
      <c r="D497" s="205"/>
      <c r="E497" s="166"/>
      <c r="F497" s="206"/>
      <c r="G497" s="167"/>
      <c r="H497" s="166"/>
      <c r="I497" s="167"/>
      <c r="J497" s="168"/>
      <c r="K497" s="169"/>
      <c r="L497" s="207"/>
      <c r="M497" s="207"/>
      <c r="N497" s="207"/>
    </row>
    <row r="498">
      <c r="A498" s="203"/>
      <c r="B498" s="204"/>
      <c r="C498" s="205"/>
      <c r="D498" s="205"/>
      <c r="E498" s="166"/>
      <c r="F498" s="206"/>
      <c r="G498" s="167"/>
      <c r="H498" s="166"/>
      <c r="I498" s="167"/>
      <c r="J498" s="168"/>
      <c r="K498" s="169"/>
      <c r="L498" s="207"/>
      <c r="M498" s="207"/>
      <c r="N498" s="207"/>
    </row>
    <row r="499">
      <c r="A499" s="203"/>
      <c r="B499" s="204"/>
      <c r="C499" s="205"/>
      <c r="D499" s="205"/>
      <c r="E499" s="166"/>
      <c r="F499" s="206"/>
      <c r="G499" s="167"/>
      <c r="H499" s="166"/>
      <c r="I499" s="167"/>
      <c r="J499" s="168"/>
      <c r="K499" s="169"/>
      <c r="L499" s="207"/>
      <c r="M499" s="207"/>
      <c r="N499" s="207"/>
    </row>
    <row r="500">
      <c r="A500" s="203"/>
      <c r="B500" s="204"/>
      <c r="C500" s="205"/>
      <c r="D500" s="205"/>
      <c r="E500" s="166"/>
      <c r="F500" s="206"/>
      <c r="G500" s="167"/>
      <c r="H500" s="166"/>
      <c r="I500" s="167"/>
      <c r="J500" s="168"/>
      <c r="K500" s="169"/>
      <c r="L500" s="207"/>
      <c r="M500" s="207"/>
      <c r="N500" s="207"/>
    </row>
    <row r="501">
      <c r="A501" s="203"/>
      <c r="B501" s="204"/>
      <c r="C501" s="205"/>
      <c r="D501" s="205"/>
      <c r="E501" s="166"/>
      <c r="F501" s="206"/>
      <c r="G501" s="167"/>
      <c r="H501" s="166"/>
      <c r="I501" s="167"/>
      <c r="J501" s="168"/>
      <c r="K501" s="169"/>
      <c r="L501" s="207"/>
      <c r="M501" s="207"/>
      <c r="N501" s="207"/>
    </row>
    <row r="502">
      <c r="A502" s="203"/>
      <c r="B502" s="204"/>
      <c r="C502" s="205"/>
      <c r="D502" s="205"/>
      <c r="E502" s="166"/>
      <c r="F502" s="206"/>
      <c r="G502" s="167"/>
      <c r="H502" s="166"/>
      <c r="I502" s="167"/>
      <c r="J502" s="168"/>
      <c r="K502" s="169"/>
      <c r="L502" s="207"/>
      <c r="M502" s="207"/>
      <c r="N502" s="207"/>
    </row>
    <row r="503">
      <c r="A503" s="203"/>
      <c r="B503" s="204"/>
      <c r="C503" s="205"/>
      <c r="D503" s="205"/>
      <c r="E503" s="166"/>
      <c r="F503" s="206"/>
      <c r="G503" s="167"/>
      <c r="H503" s="166"/>
      <c r="I503" s="167"/>
      <c r="J503" s="168"/>
      <c r="K503" s="169"/>
      <c r="L503" s="207"/>
      <c r="M503" s="207"/>
      <c r="N503" s="207"/>
    </row>
    <row r="504">
      <c r="A504" s="203"/>
      <c r="B504" s="204"/>
      <c r="C504" s="205"/>
      <c r="D504" s="205"/>
      <c r="E504" s="166"/>
      <c r="F504" s="206"/>
      <c r="G504" s="167"/>
      <c r="H504" s="166"/>
      <c r="I504" s="167"/>
      <c r="J504" s="168"/>
      <c r="K504" s="169"/>
      <c r="L504" s="207"/>
      <c r="M504" s="207"/>
      <c r="N504" s="207"/>
    </row>
    <row r="505">
      <c r="A505" s="203"/>
      <c r="B505" s="204"/>
      <c r="C505" s="205"/>
      <c r="D505" s="205"/>
      <c r="E505" s="166"/>
      <c r="F505" s="206"/>
      <c r="G505" s="167"/>
      <c r="H505" s="166"/>
      <c r="I505" s="167"/>
      <c r="J505" s="168"/>
      <c r="K505" s="169"/>
      <c r="L505" s="207"/>
      <c r="M505" s="207"/>
      <c r="N505" s="207"/>
    </row>
    <row r="506">
      <c r="A506" s="203"/>
      <c r="B506" s="204"/>
      <c r="C506" s="205"/>
      <c r="D506" s="205"/>
      <c r="E506" s="166"/>
      <c r="F506" s="206"/>
      <c r="G506" s="167"/>
      <c r="H506" s="166"/>
      <c r="I506" s="167"/>
      <c r="J506" s="168"/>
      <c r="K506" s="169"/>
      <c r="L506" s="207"/>
      <c r="M506" s="207"/>
      <c r="N506" s="207"/>
    </row>
    <row r="507">
      <c r="A507" s="203"/>
      <c r="B507" s="204"/>
      <c r="C507" s="205"/>
      <c r="D507" s="205"/>
      <c r="E507" s="166"/>
      <c r="F507" s="206"/>
      <c r="G507" s="167"/>
      <c r="H507" s="166"/>
      <c r="I507" s="167"/>
      <c r="J507" s="168"/>
      <c r="K507" s="169"/>
      <c r="L507" s="207"/>
      <c r="M507" s="207"/>
      <c r="N507" s="207"/>
    </row>
    <row r="508">
      <c r="A508" s="203"/>
      <c r="B508" s="204"/>
      <c r="C508" s="205"/>
      <c r="D508" s="205"/>
      <c r="E508" s="166"/>
      <c r="F508" s="206"/>
      <c r="G508" s="167"/>
      <c r="H508" s="166"/>
      <c r="I508" s="167"/>
      <c r="J508" s="168"/>
      <c r="K508" s="169"/>
      <c r="L508" s="207"/>
      <c r="M508" s="207"/>
      <c r="N508" s="207"/>
    </row>
    <row r="509">
      <c r="A509" s="203"/>
      <c r="B509" s="204"/>
      <c r="C509" s="205"/>
      <c r="D509" s="205"/>
      <c r="E509" s="166"/>
      <c r="F509" s="206"/>
      <c r="G509" s="167"/>
      <c r="H509" s="166"/>
      <c r="I509" s="167"/>
      <c r="J509" s="168"/>
      <c r="K509" s="169"/>
      <c r="L509" s="207"/>
      <c r="M509" s="207"/>
      <c r="N509" s="207"/>
    </row>
    <row r="510">
      <c r="A510" s="203"/>
      <c r="B510" s="204"/>
      <c r="C510" s="205"/>
      <c r="D510" s="205"/>
      <c r="E510" s="166"/>
      <c r="F510" s="206"/>
      <c r="G510" s="167"/>
      <c r="H510" s="166"/>
      <c r="I510" s="167"/>
      <c r="J510" s="168"/>
      <c r="K510" s="169"/>
      <c r="L510" s="207"/>
      <c r="M510" s="207"/>
      <c r="N510" s="207"/>
    </row>
    <row r="511">
      <c r="A511" s="203"/>
      <c r="B511" s="204"/>
      <c r="C511" s="205"/>
      <c r="D511" s="205"/>
      <c r="E511" s="166"/>
      <c r="F511" s="206"/>
      <c r="G511" s="167"/>
      <c r="H511" s="166"/>
      <c r="I511" s="167"/>
      <c r="J511" s="168"/>
      <c r="K511" s="169"/>
      <c r="L511" s="207"/>
      <c r="M511" s="207"/>
      <c r="N511" s="207"/>
    </row>
    <row r="512">
      <c r="A512" s="203"/>
      <c r="B512" s="204"/>
      <c r="C512" s="205"/>
      <c r="D512" s="205"/>
      <c r="E512" s="166"/>
      <c r="F512" s="206"/>
      <c r="G512" s="167"/>
      <c r="H512" s="166"/>
      <c r="I512" s="167"/>
      <c r="J512" s="168"/>
      <c r="K512" s="169"/>
      <c r="L512" s="207"/>
      <c r="M512" s="207"/>
      <c r="N512" s="207"/>
    </row>
    <row r="513">
      <c r="A513" s="203"/>
      <c r="B513" s="204"/>
      <c r="C513" s="205"/>
      <c r="D513" s="205"/>
      <c r="E513" s="166"/>
      <c r="F513" s="206"/>
      <c r="G513" s="167"/>
      <c r="H513" s="166"/>
      <c r="I513" s="167"/>
      <c r="J513" s="168"/>
      <c r="K513" s="169"/>
      <c r="L513" s="207"/>
      <c r="M513" s="207"/>
      <c r="N513" s="207"/>
    </row>
    <row r="514">
      <c r="A514" s="203"/>
      <c r="B514" s="204"/>
      <c r="C514" s="205"/>
      <c r="D514" s="205"/>
      <c r="E514" s="166"/>
      <c r="F514" s="206"/>
      <c r="G514" s="167"/>
      <c r="H514" s="166"/>
      <c r="I514" s="167"/>
      <c r="J514" s="168"/>
      <c r="K514" s="169"/>
      <c r="L514" s="207"/>
      <c r="M514" s="207"/>
      <c r="N514" s="207"/>
    </row>
    <row r="515">
      <c r="A515" s="203"/>
      <c r="B515" s="204"/>
      <c r="C515" s="205"/>
      <c r="D515" s="205"/>
      <c r="E515" s="166"/>
      <c r="F515" s="206"/>
      <c r="G515" s="167"/>
      <c r="H515" s="166"/>
      <c r="I515" s="167"/>
      <c r="J515" s="168"/>
      <c r="K515" s="169"/>
      <c r="L515" s="207"/>
      <c r="M515" s="207"/>
      <c r="N515" s="207"/>
    </row>
    <row r="516">
      <c r="A516" s="203"/>
      <c r="B516" s="204"/>
      <c r="C516" s="205"/>
      <c r="D516" s="205"/>
      <c r="E516" s="166"/>
      <c r="F516" s="206"/>
      <c r="G516" s="167"/>
      <c r="H516" s="166"/>
      <c r="I516" s="167"/>
      <c r="J516" s="168"/>
      <c r="K516" s="169"/>
      <c r="L516" s="207"/>
      <c r="M516" s="207"/>
      <c r="N516" s="207"/>
    </row>
    <row r="517">
      <c r="A517" s="203"/>
      <c r="B517" s="204"/>
      <c r="C517" s="205"/>
      <c r="D517" s="205"/>
      <c r="E517" s="166"/>
      <c r="F517" s="206"/>
      <c r="G517" s="167"/>
      <c r="H517" s="166"/>
      <c r="I517" s="167"/>
      <c r="J517" s="168"/>
      <c r="K517" s="169"/>
      <c r="L517" s="207"/>
      <c r="M517" s="207"/>
      <c r="N517" s="207"/>
    </row>
    <row r="518">
      <c r="A518" s="203"/>
      <c r="B518" s="204"/>
      <c r="C518" s="205"/>
      <c r="D518" s="205"/>
      <c r="E518" s="166"/>
      <c r="F518" s="206"/>
      <c r="G518" s="167"/>
      <c r="H518" s="166"/>
      <c r="I518" s="167"/>
      <c r="J518" s="168"/>
      <c r="K518" s="169"/>
      <c r="L518" s="207"/>
      <c r="M518" s="207"/>
      <c r="N518" s="207"/>
    </row>
    <row r="519">
      <c r="A519" s="203"/>
      <c r="B519" s="204"/>
      <c r="C519" s="205"/>
      <c r="D519" s="205"/>
      <c r="E519" s="166"/>
      <c r="F519" s="206"/>
      <c r="G519" s="167"/>
      <c r="H519" s="166"/>
      <c r="I519" s="167"/>
      <c r="J519" s="168"/>
      <c r="K519" s="169"/>
      <c r="L519" s="207"/>
      <c r="M519" s="207"/>
      <c r="N519" s="207"/>
    </row>
    <row r="520">
      <c r="A520" s="203"/>
      <c r="B520" s="204"/>
      <c r="C520" s="205"/>
      <c r="D520" s="205"/>
      <c r="E520" s="166"/>
      <c r="F520" s="206"/>
      <c r="G520" s="167"/>
      <c r="H520" s="166"/>
      <c r="I520" s="167"/>
      <c r="J520" s="168"/>
      <c r="K520" s="169"/>
      <c r="L520" s="207"/>
      <c r="M520" s="207"/>
      <c r="N520" s="207"/>
    </row>
    <row r="521">
      <c r="A521" s="203"/>
      <c r="B521" s="204"/>
      <c r="C521" s="205"/>
      <c r="D521" s="205"/>
      <c r="E521" s="166"/>
      <c r="F521" s="206"/>
      <c r="G521" s="167"/>
      <c r="H521" s="166"/>
      <c r="I521" s="167"/>
      <c r="J521" s="168"/>
      <c r="K521" s="169"/>
      <c r="L521" s="207"/>
      <c r="M521" s="207"/>
      <c r="N521" s="207"/>
    </row>
    <row r="522">
      <c r="A522" s="203"/>
      <c r="B522" s="204"/>
      <c r="C522" s="205"/>
      <c r="D522" s="205"/>
      <c r="E522" s="166"/>
      <c r="F522" s="206"/>
      <c r="G522" s="167"/>
      <c r="H522" s="166"/>
      <c r="I522" s="167"/>
      <c r="J522" s="168"/>
      <c r="K522" s="169"/>
      <c r="L522" s="207"/>
      <c r="M522" s="207"/>
      <c r="N522" s="207"/>
    </row>
    <row r="523">
      <c r="A523" s="203"/>
      <c r="B523" s="204"/>
      <c r="C523" s="205"/>
      <c r="D523" s="205"/>
      <c r="E523" s="166"/>
      <c r="F523" s="206"/>
      <c r="G523" s="167"/>
      <c r="H523" s="166"/>
      <c r="I523" s="167"/>
      <c r="J523" s="168"/>
      <c r="K523" s="169"/>
      <c r="L523" s="207"/>
      <c r="M523" s="207"/>
      <c r="N523" s="207"/>
    </row>
    <row r="524">
      <c r="A524" s="203"/>
      <c r="B524" s="204"/>
      <c r="C524" s="205"/>
      <c r="D524" s="205"/>
      <c r="E524" s="166"/>
      <c r="F524" s="206"/>
      <c r="G524" s="167"/>
      <c r="H524" s="166"/>
      <c r="I524" s="167"/>
      <c r="J524" s="168"/>
      <c r="K524" s="169"/>
      <c r="L524" s="207"/>
      <c r="M524" s="207"/>
      <c r="N524" s="207"/>
    </row>
    <row r="525">
      <c r="A525" s="203"/>
      <c r="B525" s="204"/>
      <c r="C525" s="205"/>
      <c r="D525" s="205"/>
      <c r="E525" s="166"/>
      <c r="F525" s="206"/>
      <c r="G525" s="167"/>
      <c r="H525" s="166"/>
      <c r="I525" s="167"/>
      <c r="J525" s="168"/>
      <c r="K525" s="169"/>
      <c r="L525" s="207"/>
      <c r="M525" s="207"/>
      <c r="N525" s="207"/>
    </row>
    <row r="526">
      <c r="A526" s="203"/>
      <c r="B526" s="204"/>
      <c r="C526" s="205"/>
      <c r="D526" s="205"/>
      <c r="E526" s="166"/>
      <c r="F526" s="206"/>
      <c r="G526" s="167"/>
      <c r="H526" s="166"/>
      <c r="I526" s="167"/>
      <c r="J526" s="168"/>
      <c r="K526" s="169"/>
      <c r="L526" s="207"/>
      <c r="M526" s="207"/>
      <c r="N526" s="207"/>
    </row>
    <row r="527">
      <c r="A527" s="203"/>
      <c r="B527" s="204"/>
      <c r="C527" s="205"/>
      <c r="D527" s="205"/>
      <c r="E527" s="166"/>
      <c r="F527" s="206"/>
      <c r="G527" s="167"/>
      <c r="H527" s="166"/>
      <c r="I527" s="167"/>
      <c r="J527" s="168"/>
      <c r="K527" s="169"/>
      <c r="L527" s="207"/>
      <c r="M527" s="207"/>
      <c r="N527" s="207"/>
    </row>
    <row r="528">
      <c r="A528" s="203"/>
      <c r="B528" s="204"/>
      <c r="C528" s="205"/>
      <c r="D528" s="205"/>
      <c r="E528" s="166"/>
      <c r="F528" s="206"/>
      <c r="G528" s="167"/>
      <c r="H528" s="166"/>
      <c r="I528" s="167"/>
      <c r="J528" s="168"/>
      <c r="K528" s="169"/>
      <c r="L528" s="207"/>
      <c r="M528" s="207"/>
      <c r="N528" s="207"/>
    </row>
    <row r="529">
      <c r="A529" s="203"/>
      <c r="B529" s="204"/>
      <c r="C529" s="205"/>
      <c r="D529" s="205"/>
      <c r="E529" s="166"/>
      <c r="F529" s="206"/>
      <c r="G529" s="167"/>
      <c r="H529" s="166"/>
      <c r="I529" s="167"/>
      <c r="J529" s="168"/>
      <c r="K529" s="169"/>
      <c r="L529" s="207"/>
      <c r="M529" s="207"/>
      <c r="N529" s="207"/>
    </row>
    <row r="530">
      <c r="A530" s="203"/>
      <c r="B530" s="204"/>
      <c r="C530" s="205"/>
      <c r="D530" s="205"/>
      <c r="E530" s="166"/>
      <c r="F530" s="206"/>
      <c r="G530" s="167"/>
      <c r="H530" s="166"/>
      <c r="I530" s="167"/>
      <c r="J530" s="168"/>
      <c r="K530" s="169"/>
      <c r="L530" s="207"/>
      <c r="M530" s="207"/>
      <c r="N530" s="207"/>
    </row>
    <row r="531">
      <c r="A531" s="203"/>
      <c r="B531" s="204"/>
      <c r="C531" s="205"/>
      <c r="D531" s="205"/>
      <c r="E531" s="166"/>
      <c r="F531" s="206"/>
      <c r="G531" s="167"/>
      <c r="H531" s="166"/>
      <c r="I531" s="167"/>
      <c r="J531" s="168"/>
      <c r="K531" s="169"/>
      <c r="L531" s="207"/>
      <c r="M531" s="207"/>
      <c r="N531" s="207"/>
    </row>
    <row r="532">
      <c r="A532" s="203"/>
      <c r="B532" s="204"/>
      <c r="C532" s="205"/>
      <c r="D532" s="205"/>
      <c r="E532" s="166"/>
      <c r="F532" s="206"/>
      <c r="G532" s="167"/>
      <c r="H532" s="166"/>
      <c r="I532" s="167"/>
      <c r="J532" s="168"/>
      <c r="K532" s="169"/>
      <c r="L532" s="207"/>
      <c r="M532" s="207"/>
      <c r="N532" s="207"/>
    </row>
    <row r="533">
      <c r="A533" s="203"/>
      <c r="B533" s="204"/>
      <c r="C533" s="205"/>
      <c r="D533" s="205"/>
      <c r="E533" s="166"/>
      <c r="F533" s="206"/>
      <c r="G533" s="167"/>
      <c r="H533" s="166"/>
      <c r="I533" s="167"/>
      <c r="J533" s="168"/>
      <c r="K533" s="169"/>
      <c r="L533" s="207"/>
      <c r="M533" s="207"/>
      <c r="N533" s="207"/>
    </row>
    <row r="534">
      <c r="A534" s="203"/>
      <c r="B534" s="204"/>
      <c r="C534" s="205"/>
      <c r="D534" s="205"/>
      <c r="E534" s="166"/>
      <c r="F534" s="206"/>
      <c r="G534" s="167"/>
      <c r="H534" s="166"/>
      <c r="I534" s="167"/>
      <c r="J534" s="168"/>
      <c r="K534" s="169"/>
      <c r="L534" s="207"/>
      <c r="M534" s="207"/>
      <c r="N534" s="207"/>
    </row>
    <row r="535">
      <c r="A535" s="203"/>
      <c r="B535" s="204"/>
      <c r="C535" s="205"/>
      <c r="D535" s="205"/>
      <c r="E535" s="166"/>
      <c r="F535" s="206"/>
      <c r="G535" s="167"/>
      <c r="H535" s="166"/>
      <c r="I535" s="167"/>
      <c r="J535" s="168"/>
      <c r="K535" s="169"/>
      <c r="L535" s="207"/>
      <c r="M535" s="207"/>
      <c r="N535" s="207"/>
    </row>
    <row r="536">
      <c r="A536" s="203"/>
      <c r="B536" s="204"/>
      <c r="C536" s="205"/>
      <c r="D536" s="205"/>
      <c r="E536" s="166"/>
      <c r="F536" s="206"/>
      <c r="G536" s="167"/>
      <c r="H536" s="166"/>
      <c r="I536" s="167"/>
      <c r="J536" s="168"/>
      <c r="K536" s="169"/>
      <c r="L536" s="207"/>
      <c r="M536" s="207"/>
      <c r="N536" s="207"/>
    </row>
    <row r="537">
      <c r="A537" s="203"/>
      <c r="B537" s="204"/>
      <c r="C537" s="205"/>
      <c r="D537" s="205"/>
      <c r="E537" s="166"/>
      <c r="F537" s="206"/>
      <c r="G537" s="167"/>
      <c r="H537" s="166"/>
      <c r="I537" s="167"/>
      <c r="J537" s="168"/>
      <c r="K537" s="169"/>
      <c r="L537" s="207"/>
      <c r="M537" s="207"/>
      <c r="N537" s="207"/>
    </row>
    <row r="538">
      <c r="A538" s="203"/>
      <c r="B538" s="204"/>
      <c r="C538" s="205"/>
      <c r="D538" s="205"/>
      <c r="E538" s="166"/>
      <c r="F538" s="206"/>
      <c r="G538" s="167"/>
      <c r="H538" s="166"/>
      <c r="I538" s="167"/>
      <c r="J538" s="168"/>
      <c r="K538" s="169"/>
      <c r="L538" s="207"/>
      <c r="M538" s="207"/>
      <c r="N538" s="207"/>
    </row>
    <row r="539">
      <c r="A539" s="203"/>
      <c r="B539" s="204"/>
      <c r="C539" s="205"/>
      <c r="D539" s="205"/>
      <c r="E539" s="166"/>
      <c r="F539" s="206"/>
      <c r="G539" s="167"/>
      <c r="H539" s="166"/>
      <c r="I539" s="167"/>
      <c r="J539" s="168"/>
      <c r="K539" s="169"/>
      <c r="L539" s="207"/>
      <c r="M539" s="207"/>
      <c r="N539" s="207"/>
    </row>
    <row r="540">
      <c r="A540" s="203"/>
      <c r="B540" s="204"/>
      <c r="C540" s="205"/>
      <c r="D540" s="205"/>
      <c r="E540" s="166"/>
      <c r="F540" s="206"/>
      <c r="G540" s="167"/>
      <c r="H540" s="166"/>
      <c r="I540" s="167"/>
      <c r="J540" s="168"/>
      <c r="K540" s="169"/>
      <c r="L540" s="207"/>
      <c r="M540" s="207"/>
      <c r="N540" s="207"/>
    </row>
    <row r="541">
      <c r="A541" s="203"/>
      <c r="B541" s="204"/>
      <c r="C541" s="205"/>
      <c r="D541" s="205"/>
      <c r="E541" s="166"/>
      <c r="F541" s="206"/>
      <c r="G541" s="167"/>
      <c r="H541" s="166"/>
      <c r="I541" s="167"/>
      <c r="J541" s="168"/>
      <c r="K541" s="169"/>
      <c r="L541" s="207"/>
      <c r="M541" s="207"/>
      <c r="N541" s="207"/>
    </row>
    <row r="542">
      <c r="A542" s="203"/>
      <c r="B542" s="204"/>
      <c r="C542" s="205"/>
      <c r="D542" s="205"/>
      <c r="E542" s="166"/>
      <c r="F542" s="206"/>
      <c r="G542" s="167"/>
      <c r="H542" s="166"/>
      <c r="I542" s="167"/>
      <c r="J542" s="168"/>
      <c r="K542" s="169"/>
      <c r="L542" s="207"/>
      <c r="M542" s="207"/>
      <c r="N542" s="207"/>
    </row>
    <row r="543">
      <c r="A543" s="203"/>
      <c r="B543" s="204"/>
      <c r="C543" s="205"/>
      <c r="D543" s="205"/>
      <c r="E543" s="166"/>
      <c r="F543" s="206"/>
      <c r="G543" s="167"/>
      <c r="H543" s="166"/>
      <c r="I543" s="167"/>
      <c r="J543" s="168"/>
      <c r="K543" s="169"/>
      <c r="L543" s="207"/>
      <c r="M543" s="207"/>
      <c r="N543" s="207"/>
    </row>
    <row r="544">
      <c r="A544" s="203"/>
      <c r="B544" s="204"/>
      <c r="C544" s="205"/>
      <c r="D544" s="205"/>
      <c r="E544" s="166"/>
      <c r="F544" s="206"/>
      <c r="G544" s="167"/>
      <c r="H544" s="166"/>
      <c r="I544" s="167"/>
      <c r="J544" s="168"/>
      <c r="K544" s="169"/>
      <c r="L544" s="207"/>
      <c r="M544" s="207"/>
      <c r="N544" s="207"/>
    </row>
    <row r="545">
      <c r="A545" s="203"/>
      <c r="B545" s="204"/>
      <c r="C545" s="205"/>
      <c r="D545" s="205"/>
      <c r="E545" s="166"/>
      <c r="F545" s="206"/>
      <c r="G545" s="167"/>
      <c r="H545" s="166"/>
      <c r="I545" s="167"/>
      <c r="J545" s="168"/>
      <c r="K545" s="169"/>
      <c r="L545" s="207"/>
      <c r="M545" s="207"/>
      <c r="N545" s="207"/>
    </row>
    <row r="546">
      <c r="A546" s="203"/>
      <c r="B546" s="204"/>
      <c r="C546" s="205"/>
      <c r="D546" s="205"/>
      <c r="E546" s="166"/>
      <c r="F546" s="206"/>
      <c r="G546" s="167"/>
      <c r="H546" s="166"/>
      <c r="I546" s="167"/>
      <c r="J546" s="168"/>
      <c r="K546" s="169"/>
      <c r="L546" s="207"/>
      <c r="M546" s="207"/>
      <c r="N546" s="207"/>
    </row>
    <row r="547">
      <c r="A547" s="203"/>
      <c r="B547" s="204"/>
      <c r="C547" s="205"/>
      <c r="D547" s="205"/>
      <c r="E547" s="166"/>
      <c r="F547" s="206"/>
      <c r="G547" s="167"/>
      <c r="H547" s="166"/>
      <c r="I547" s="167"/>
      <c r="J547" s="168"/>
      <c r="K547" s="169"/>
      <c r="L547" s="207"/>
      <c r="M547" s="207"/>
      <c r="N547" s="207"/>
    </row>
    <row r="548">
      <c r="A548" s="203"/>
      <c r="B548" s="204"/>
      <c r="C548" s="205"/>
      <c r="D548" s="205"/>
      <c r="E548" s="166"/>
      <c r="F548" s="206"/>
      <c r="G548" s="167"/>
      <c r="H548" s="166"/>
      <c r="I548" s="167"/>
      <c r="J548" s="168"/>
      <c r="K548" s="169"/>
      <c r="L548" s="207"/>
      <c r="M548" s="207"/>
      <c r="N548" s="207"/>
    </row>
    <row r="549">
      <c r="A549" s="203"/>
      <c r="B549" s="204"/>
      <c r="C549" s="205"/>
      <c r="D549" s="205"/>
      <c r="E549" s="166"/>
      <c r="F549" s="206"/>
      <c r="G549" s="167"/>
      <c r="H549" s="166"/>
      <c r="I549" s="167"/>
      <c r="J549" s="168"/>
      <c r="K549" s="169"/>
      <c r="L549" s="207"/>
      <c r="M549" s="207"/>
      <c r="N549" s="207"/>
    </row>
    <row r="550">
      <c r="A550" s="203"/>
      <c r="B550" s="204"/>
      <c r="C550" s="205"/>
      <c r="D550" s="205"/>
      <c r="E550" s="166"/>
      <c r="F550" s="206"/>
      <c r="G550" s="167"/>
      <c r="H550" s="166"/>
      <c r="I550" s="167"/>
      <c r="J550" s="168"/>
      <c r="K550" s="169"/>
      <c r="L550" s="207"/>
      <c r="M550" s="207"/>
      <c r="N550" s="207"/>
    </row>
    <row r="551">
      <c r="A551" s="203"/>
      <c r="B551" s="204"/>
      <c r="C551" s="205"/>
      <c r="D551" s="205"/>
      <c r="E551" s="166"/>
      <c r="F551" s="206"/>
      <c r="G551" s="167"/>
      <c r="H551" s="166"/>
      <c r="I551" s="167"/>
      <c r="J551" s="168"/>
      <c r="K551" s="169"/>
      <c r="L551" s="207"/>
      <c r="M551" s="207"/>
      <c r="N551" s="207"/>
    </row>
    <row r="552">
      <c r="A552" s="203"/>
      <c r="B552" s="204"/>
      <c r="C552" s="205"/>
      <c r="D552" s="205"/>
      <c r="E552" s="166"/>
      <c r="F552" s="206"/>
      <c r="G552" s="167"/>
      <c r="H552" s="166"/>
      <c r="I552" s="167"/>
      <c r="J552" s="168"/>
      <c r="K552" s="169"/>
      <c r="L552" s="207"/>
      <c r="M552" s="207"/>
      <c r="N552" s="207"/>
    </row>
    <row r="553">
      <c r="A553" s="203"/>
      <c r="B553" s="204"/>
      <c r="C553" s="205"/>
      <c r="D553" s="205"/>
      <c r="E553" s="166"/>
      <c r="F553" s="206"/>
      <c r="G553" s="167"/>
      <c r="H553" s="166"/>
      <c r="I553" s="167"/>
      <c r="J553" s="168"/>
      <c r="K553" s="169"/>
      <c r="L553" s="207"/>
      <c r="M553" s="207"/>
      <c r="N553" s="207"/>
    </row>
    <row r="554">
      <c r="A554" s="203"/>
      <c r="B554" s="204"/>
      <c r="C554" s="205"/>
      <c r="D554" s="205"/>
      <c r="E554" s="166"/>
      <c r="F554" s="206"/>
      <c r="G554" s="167"/>
      <c r="H554" s="166"/>
      <c r="I554" s="167"/>
      <c r="J554" s="168"/>
      <c r="K554" s="169"/>
      <c r="L554" s="207"/>
      <c r="M554" s="207"/>
      <c r="N554" s="207"/>
    </row>
    <row r="555">
      <c r="A555" s="203"/>
      <c r="B555" s="204"/>
      <c r="C555" s="205"/>
      <c r="D555" s="205"/>
      <c r="E555" s="166"/>
      <c r="F555" s="206"/>
      <c r="G555" s="167"/>
      <c r="H555" s="166"/>
      <c r="I555" s="167"/>
      <c r="J555" s="168"/>
      <c r="K555" s="169"/>
      <c r="L555" s="207"/>
      <c r="M555" s="207"/>
      <c r="N555" s="207"/>
    </row>
    <row r="556">
      <c r="A556" s="203"/>
      <c r="B556" s="204"/>
      <c r="C556" s="205"/>
      <c r="D556" s="205"/>
      <c r="E556" s="166"/>
      <c r="F556" s="206"/>
      <c r="G556" s="167"/>
      <c r="H556" s="166"/>
      <c r="I556" s="167"/>
      <c r="J556" s="168"/>
      <c r="K556" s="169"/>
      <c r="L556" s="207"/>
      <c r="M556" s="207"/>
      <c r="N556" s="207"/>
    </row>
    <row r="557">
      <c r="A557" s="203"/>
      <c r="B557" s="204"/>
      <c r="C557" s="205"/>
      <c r="D557" s="205"/>
      <c r="E557" s="166"/>
      <c r="F557" s="206"/>
      <c r="G557" s="167"/>
      <c r="H557" s="166"/>
      <c r="I557" s="167"/>
      <c r="J557" s="168"/>
      <c r="K557" s="169"/>
      <c r="L557" s="207"/>
      <c r="M557" s="207"/>
      <c r="N557" s="207"/>
    </row>
    <row r="558">
      <c r="A558" s="203"/>
      <c r="B558" s="204"/>
      <c r="C558" s="205"/>
      <c r="D558" s="205"/>
      <c r="E558" s="166"/>
      <c r="F558" s="206"/>
      <c r="G558" s="167"/>
      <c r="H558" s="166"/>
      <c r="I558" s="167"/>
      <c r="J558" s="168"/>
      <c r="K558" s="169"/>
      <c r="L558" s="207"/>
      <c r="M558" s="207"/>
      <c r="N558" s="207"/>
    </row>
    <row r="559">
      <c r="A559" s="203"/>
      <c r="B559" s="204"/>
      <c r="C559" s="205"/>
      <c r="D559" s="205"/>
      <c r="E559" s="166"/>
      <c r="F559" s="206"/>
      <c r="G559" s="167"/>
      <c r="H559" s="166"/>
      <c r="I559" s="167"/>
      <c r="J559" s="168"/>
      <c r="K559" s="169"/>
      <c r="L559" s="207"/>
      <c r="M559" s="207"/>
      <c r="N559" s="207"/>
    </row>
    <row r="560">
      <c r="A560" s="203"/>
      <c r="B560" s="204"/>
      <c r="C560" s="205"/>
      <c r="D560" s="205"/>
      <c r="E560" s="166"/>
      <c r="F560" s="206"/>
      <c r="G560" s="167"/>
      <c r="H560" s="166"/>
      <c r="I560" s="167"/>
      <c r="J560" s="168"/>
      <c r="K560" s="169"/>
      <c r="L560" s="207"/>
      <c r="M560" s="207"/>
      <c r="N560" s="207"/>
    </row>
    <row r="561">
      <c r="A561" s="203"/>
      <c r="B561" s="204"/>
      <c r="C561" s="205"/>
      <c r="D561" s="205"/>
      <c r="E561" s="166"/>
      <c r="F561" s="206"/>
      <c r="G561" s="167"/>
      <c r="H561" s="166"/>
      <c r="I561" s="167"/>
      <c r="J561" s="168"/>
      <c r="K561" s="169"/>
      <c r="L561" s="207"/>
      <c r="M561" s="207"/>
      <c r="N561" s="207"/>
    </row>
    <row r="562">
      <c r="A562" s="203"/>
      <c r="B562" s="204"/>
      <c r="C562" s="205"/>
      <c r="D562" s="205"/>
      <c r="E562" s="166"/>
      <c r="F562" s="206"/>
      <c r="G562" s="167"/>
      <c r="H562" s="166"/>
      <c r="I562" s="167"/>
      <c r="J562" s="168"/>
      <c r="K562" s="169"/>
      <c r="L562" s="207"/>
      <c r="M562" s="207"/>
      <c r="N562" s="207"/>
    </row>
    <row r="563">
      <c r="A563" s="203"/>
      <c r="B563" s="204"/>
      <c r="C563" s="205"/>
      <c r="D563" s="205"/>
      <c r="E563" s="166"/>
      <c r="F563" s="206"/>
      <c r="G563" s="167"/>
      <c r="H563" s="166"/>
      <c r="I563" s="167"/>
      <c r="J563" s="168"/>
      <c r="K563" s="169"/>
      <c r="L563" s="207"/>
      <c r="M563" s="207"/>
      <c r="N563" s="207"/>
    </row>
    <row r="564">
      <c r="A564" s="203"/>
      <c r="B564" s="204"/>
      <c r="C564" s="205"/>
      <c r="D564" s="205"/>
      <c r="E564" s="166"/>
      <c r="F564" s="206"/>
      <c r="G564" s="167"/>
      <c r="H564" s="166"/>
      <c r="I564" s="167"/>
      <c r="J564" s="168"/>
      <c r="K564" s="169"/>
      <c r="L564" s="207"/>
      <c r="M564" s="207"/>
      <c r="N564" s="207"/>
    </row>
    <row r="565">
      <c r="A565" s="203"/>
      <c r="B565" s="204"/>
      <c r="C565" s="205"/>
      <c r="D565" s="205"/>
      <c r="E565" s="166"/>
      <c r="F565" s="206"/>
      <c r="G565" s="167"/>
      <c r="H565" s="166"/>
      <c r="I565" s="167"/>
      <c r="J565" s="168"/>
      <c r="K565" s="169"/>
      <c r="L565" s="207"/>
      <c r="M565" s="207"/>
      <c r="N565" s="207"/>
    </row>
    <row r="566">
      <c r="A566" s="203"/>
      <c r="B566" s="204"/>
      <c r="C566" s="205"/>
      <c r="D566" s="205"/>
      <c r="E566" s="166"/>
      <c r="F566" s="206"/>
      <c r="G566" s="167"/>
      <c r="H566" s="166"/>
      <c r="I566" s="167"/>
      <c r="J566" s="168"/>
      <c r="K566" s="169"/>
      <c r="L566" s="207"/>
      <c r="M566" s="207"/>
      <c r="N566" s="207"/>
    </row>
    <row r="567">
      <c r="A567" s="203"/>
      <c r="B567" s="204"/>
      <c r="C567" s="205"/>
      <c r="D567" s="205"/>
      <c r="E567" s="166"/>
      <c r="F567" s="206"/>
      <c r="G567" s="167"/>
      <c r="H567" s="166"/>
      <c r="I567" s="167"/>
      <c r="J567" s="168"/>
      <c r="K567" s="169"/>
      <c r="L567" s="207"/>
      <c r="M567" s="207"/>
      <c r="N567" s="207"/>
    </row>
    <row r="568">
      <c r="A568" s="203"/>
      <c r="B568" s="204"/>
      <c r="C568" s="205"/>
      <c r="D568" s="205"/>
      <c r="E568" s="166"/>
      <c r="F568" s="206"/>
      <c r="G568" s="167"/>
      <c r="H568" s="166"/>
      <c r="I568" s="167"/>
      <c r="J568" s="168"/>
      <c r="K568" s="169"/>
      <c r="L568" s="207"/>
      <c r="M568" s="207"/>
      <c r="N568" s="207"/>
    </row>
    <row r="569">
      <c r="A569" s="203"/>
      <c r="B569" s="204"/>
      <c r="C569" s="205"/>
      <c r="D569" s="205"/>
      <c r="E569" s="166"/>
      <c r="F569" s="206"/>
      <c r="G569" s="167"/>
      <c r="H569" s="166"/>
      <c r="I569" s="167"/>
      <c r="J569" s="168"/>
      <c r="K569" s="169"/>
      <c r="L569" s="207"/>
      <c r="M569" s="207"/>
      <c r="N569" s="207"/>
    </row>
    <row r="570">
      <c r="A570" s="203"/>
      <c r="B570" s="204"/>
      <c r="C570" s="205"/>
      <c r="D570" s="205"/>
      <c r="E570" s="166"/>
      <c r="F570" s="206"/>
      <c r="G570" s="167"/>
      <c r="H570" s="166"/>
      <c r="I570" s="167"/>
      <c r="J570" s="168"/>
      <c r="K570" s="169"/>
      <c r="L570" s="207"/>
      <c r="M570" s="207"/>
      <c r="N570" s="207"/>
    </row>
    <row r="571">
      <c r="A571" s="203"/>
      <c r="B571" s="204"/>
      <c r="C571" s="205"/>
      <c r="D571" s="205"/>
      <c r="E571" s="166"/>
      <c r="F571" s="206"/>
      <c r="G571" s="167"/>
      <c r="H571" s="166"/>
      <c r="I571" s="167"/>
      <c r="J571" s="168"/>
      <c r="K571" s="169"/>
      <c r="L571" s="207"/>
      <c r="M571" s="207"/>
      <c r="N571" s="207"/>
    </row>
    <row r="572">
      <c r="A572" s="203"/>
      <c r="B572" s="204"/>
      <c r="C572" s="205"/>
      <c r="D572" s="205"/>
      <c r="E572" s="166"/>
      <c r="F572" s="206"/>
      <c r="G572" s="167"/>
      <c r="H572" s="166"/>
      <c r="I572" s="167"/>
      <c r="J572" s="168"/>
      <c r="K572" s="169"/>
      <c r="L572" s="207"/>
      <c r="M572" s="207"/>
      <c r="N572" s="207"/>
    </row>
    <row r="573">
      <c r="A573" s="203"/>
      <c r="B573" s="204"/>
      <c r="C573" s="205"/>
      <c r="D573" s="205"/>
      <c r="E573" s="166"/>
      <c r="F573" s="206"/>
      <c r="G573" s="167"/>
      <c r="H573" s="166"/>
      <c r="I573" s="167"/>
      <c r="J573" s="168"/>
      <c r="K573" s="169"/>
      <c r="L573" s="207"/>
      <c r="M573" s="207"/>
      <c r="N573" s="207"/>
    </row>
    <row r="574">
      <c r="A574" s="203"/>
      <c r="B574" s="204"/>
      <c r="C574" s="205"/>
      <c r="D574" s="205"/>
      <c r="E574" s="166"/>
      <c r="F574" s="206"/>
      <c r="G574" s="167"/>
      <c r="H574" s="166"/>
      <c r="I574" s="167"/>
      <c r="J574" s="168"/>
      <c r="K574" s="169"/>
      <c r="L574" s="207"/>
      <c r="M574" s="207"/>
      <c r="N574" s="207"/>
    </row>
    <row r="575">
      <c r="A575" s="203"/>
      <c r="B575" s="204"/>
      <c r="C575" s="205"/>
      <c r="D575" s="205"/>
      <c r="E575" s="166"/>
      <c r="F575" s="206"/>
      <c r="G575" s="167"/>
      <c r="H575" s="166"/>
      <c r="I575" s="167"/>
      <c r="J575" s="168"/>
      <c r="K575" s="169"/>
      <c r="L575" s="207"/>
      <c r="M575" s="207"/>
      <c r="N575" s="207"/>
    </row>
    <row r="576">
      <c r="A576" s="203"/>
      <c r="B576" s="204"/>
      <c r="C576" s="205"/>
      <c r="D576" s="205"/>
      <c r="E576" s="166"/>
      <c r="F576" s="206"/>
      <c r="G576" s="167"/>
      <c r="H576" s="166"/>
      <c r="I576" s="167"/>
      <c r="J576" s="168"/>
      <c r="K576" s="169"/>
      <c r="L576" s="207"/>
      <c r="M576" s="207"/>
      <c r="N576" s="207"/>
    </row>
    <row r="577">
      <c r="A577" s="203"/>
      <c r="B577" s="204"/>
      <c r="C577" s="205"/>
      <c r="D577" s="205"/>
      <c r="E577" s="166"/>
      <c r="F577" s="206"/>
      <c r="G577" s="167"/>
      <c r="H577" s="166"/>
      <c r="I577" s="167"/>
      <c r="J577" s="168"/>
      <c r="K577" s="169"/>
      <c r="L577" s="207"/>
      <c r="M577" s="207"/>
      <c r="N577" s="207"/>
    </row>
    <row r="578">
      <c r="A578" s="203"/>
      <c r="B578" s="204"/>
      <c r="C578" s="205"/>
      <c r="D578" s="205"/>
      <c r="E578" s="166"/>
      <c r="F578" s="206"/>
      <c r="G578" s="167"/>
      <c r="H578" s="166"/>
      <c r="I578" s="167"/>
      <c r="J578" s="168"/>
      <c r="K578" s="169"/>
      <c r="L578" s="207"/>
      <c r="M578" s="207"/>
      <c r="N578" s="207"/>
    </row>
    <row r="579">
      <c r="A579" s="203"/>
      <c r="B579" s="204"/>
      <c r="C579" s="205"/>
      <c r="D579" s="205"/>
      <c r="E579" s="166"/>
      <c r="F579" s="206"/>
      <c r="G579" s="167"/>
      <c r="H579" s="166"/>
      <c r="I579" s="167"/>
      <c r="J579" s="168"/>
      <c r="K579" s="169"/>
      <c r="L579" s="207"/>
      <c r="M579" s="207"/>
      <c r="N579" s="207"/>
    </row>
    <row r="580">
      <c r="A580" s="203"/>
      <c r="B580" s="204"/>
      <c r="C580" s="205"/>
      <c r="D580" s="205"/>
      <c r="E580" s="166"/>
      <c r="F580" s="206"/>
      <c r="G580" s="167"/>
      <c r="H580" s="166"/>
      <c r="I580" s="167"/>
      <c r="J580" s="168"/>
      <c r="K580" s="169"/>
      <c r="L580" s="207"/>
      <c r="M580" s="207"/>
      <c r="N580" s="207"/>
    </row>
    <row r="581">
      <c r="A581" s="203"/>
      <c r="B581" s="204"/>
      <c r="C581" s="205"/>
      <c r="D581" s="205"/>
      <c r="E581" s="166"/>
      <c r="F581" s="206"/>
      <c r="G581" s="167"/>
      <c r="H581" s="166"/>
      <c r="I581" s="167"/>
      <c r="J581" s="168"/>
      <c r="K581" s="169"/>
      <c r="L581" s="207"/>
      <c r="M581" s="207"/>
      <c r="N581" s="207"/>
    </row>
    <row r="582">
      <c r="A582" s="203"/>
      <c r="B582" s="204"/>
      <c r="C582" s="205"/>
      <c r="D582" s="205"/>
      <c r="E582" s="166"/>
      <c r="F582" s="206"/>
      <c r="G582" s="167"/>
      <c r="H582" s="166"/>
      <c r="I582" s="167"/>
      <c r="J582" s="168"/>
      <c r="K582" s="169"/>
      <c r="L582" s="207"/>
      <c r="M582" s="207"/>
      <c r="N582" s="207"/>
    </row>
    <row r="583">
      <c r="A583" s="203"/>
      <c r="B583" s="204"/>
      <c r="C583" s="205"/>
      <c r="D583" s="205"/>
      <c r="E583" s="166"/>
      <c r="F583" s="206"/>
      <c r="G583" s="167"/>
      <c r="H583" s="166"/>
      <c r="I583" s="167"/>
      <c r="J583" s="168"/>
      <c r="K583" s="169"/>
      <c r="L583" s="207"/>
      <c r="M583" s="207"/>
      <c r="N583" s="207"/>
    </row>
    <row r="584">
      <c r="A584" s="203"/>
      <c r="B584" s="204"/>
      <c r="C584" s="205"/>
      <c r="D584" s="205"/>
      <c r="E584" s="166"/>
      <c r="F584" s="206"/>
      <c r="G584" s="167"/>
      <c r="H584" s="166"/>
      <c r="I584" s="167"/>
      <c r="J584" s="168"/>
      <c r="K584" s="169"/>
      <c r="L584" s="207"/>
      <c r="M584" s="207"/>
      <c r="N584" s="207"/>
    </row>
    <row r="585">
      <c r="A585" s="203"/>
      <c r="B585" s="204"/>
      <c r="C585" s="205"/>
      <c r="D585" s="205"/>
      <c r="E585" s="166"/>
      <c r="F585" s="206"/>
      <c r="G585" s="167"/>
      <c r="H585" s="166"/>
      <c r="I585" s="167"/>
      <c r="J585" s="168"/>
      <c r="K585" s="169"/>
      <c r="L585" s="207"/>
      <c r="M585" s="207"/>
      <c r="N585" s="207"/>
    </row>
    <row r="586">
      <c r="A586" s="203"/>
      <c r="B586" s="204"/>
      <c r="C586" s="205"/>
      <c r="D586" s="205"/>
      <c r="E586" s="166"/>
      <c r="F586" s="206"/>
      <c r="G586" s="167"/>
      <c r="H586" s="166"/>
      <c r="I586" s="167"/>
      <c r="J586" s="168"/>
      <c r="K586" s="169"/>
      <c r="L586" s="207"/>
      <c r="M586" s="207"/>
      <c r="N586" s="207"/>
    </row>
    <row r="587">
      <c r="A587" s="203"/>
      <c r="B587" s="204"/>
      <c r="C587" s="205"/>
      <c r="D587" s="205"/>
      <c r="E587" s="166"/>
      <c r="F587" s="206"/>
      <c r="G587" s="167"/>
      <c r="H587" s="166"/>
      <c r="I587" s="167"/>
      <c r="J587" s="168"/>
      <c r="K587" s="169"/>
      <c r="L587" s="207"/>
      <c r="M587" s="207"/>
      <c r="N587" s="207"/>
    </row>
    <row r="588">
      <c r="A588" s="203"/>
      <c r="B588" s="204"/>
      <c r="C588" s="205"/>
      <c r="D588" s="205"/>
      <c r="E588" s="166"/>
      <c r="F588" s="206"/>
      <c r="G588" s="167"/>
      <c r="H588" s="166"/>
      <c r="I588" s="167"/>
      <c r="J588" s="168"/>
      <c r="K588" s="169"/>
      <c r="L588" s="207"/>
      <c r="M588" s="207"/>
      <c r="N588" s="207"/>
    </row>
    <row r="589">
      <c r="A589" s="203"/>
      <c r="B589" s="204"/>
      <c r="C589" s="205"/>
      <c r="D589" s="205"/>
      <c r="E589" s="166"/>
      <c r="F589" s="206"/>
      <c r="G589" s="167"/>
      <c r="H589" s="166"/>
      <c r="I589" s="167"/>
      <c r="J589" s="168"/>
      <c r="K589" s="169"/>
      <c r="L589" s="207"/>
      <c r="M589" s="207"/>
      <c r="N589" s="207"/>
    </row>
    <row r="590">
      <c r="A590" s="203"/>
      <c r="B590" s="204"/>
      <c r="C590" s="205"/>
      <c r="D590" s="205"/>
      <c r="E590" s="166"/>
      <c r="F590" s="206"/>
      <c r="G590" s="167"/>
      <c r="H590" s="166"/>
      <c r="I590" s="167"/>
      <c r="J590" s="168"/>
      <c r="K590" s="169"/>
      <c r="L590" s="207"/>
      <c r="M590" s="207"/>
      <c r="N590" s="207"/>
    </row>
    <row r="591">
      <c r="A591" s="203"/>
      <c r="B591" s="204"/>
      <c r="C591" s="205"/>
      <c r="D591" s="205"/>
      <c r="E591" s="166"/>
      <c r="F591" s="206"/>
      <c r="G591" s="167"/>
      <c r="H591" s="166"/>
      <c r="I591" s="167"/>
      <c r="J591" s="168"/>
      <c r="K591" s="169"/>
      <c r="L591" s="207"/>
      <c r="M591" s="207"/>
      <c r="N591" s="207"/>
    </row>
    <row r="592">
      <c r="A592" s="203"/>
      <c r="B592" s="204"/>
      <c r="C592" s="205"/>
      <c r="D592" s="205"/>
      <c r="E592" s="166"/>
      <c r="F592" s="206"/>
      <c r="G592" s="167"/>
      <c r="H592" s="166"/>
      <c r="I592" s="167"/>
      <c r="J592" s="168"/>
      <c r="K592" s="169"/>
      <c r="L592" s="207"/>
      <c r="M592" s="207"/>
      <c r="N592" s="207"/>
    </row>
    <row r="593">
      <c r="A593" s="203"/>
      <c r="B593" s="204"/>
      <c r="C593" s="205"/>
      <c r="D593" s="205"/>
      <c r="E593" s="166"/>
      <c r="F593" s="206"/>
      <c r="G593" s="167"/>
      <c r="H593" s="166"/>
      <c r="I593" s="167"/>
      <c r="J593" s="168"/>
      <c r="K593" s="169"/>
      <c r="L593" s="207"/>
      <c r="M593" s="207"/>
      <c r="N593" s="207"/>
    </row>
    <row r="594">
      <c r="A594" s="203"/>
      <c r="B594" s="204"/>
      <c r="C594" s="205"/>
      <c r="D594" s="205"/>
      <c r="E594" s="166"/>
      <c r="F594" s="206"/>
      <c r="G594" s="167"/>
      <c r="H594" s="166"/>
      <c r="I594" s="167"/>
      <c r="J594" s="168"/>
      <c r="K594" s="169"/>
      <c r="L594" s="207"/>
      <c r="M594" s="207"/>
      <c r="N594" s="207"/>
    </row>
    <row r="595">
      <c r="A595" s="203"/>
      <c r="B595" s="204"/>
      <c r="C595" s="205"/>
      <c r="D595" s="205"/>
      <c r="E595" s="166"/>
      <c r="F595" s="206"/>
      <c r="G595" s="167"/>
      <c r="H595" s="166"/>
      <c r="I595" s="167"/>
      <c r="J595" s="168"/>
      <c r="K595" s="169"/>
      <c r="L595" s="207"/>
      <c r="M595" s="207"/>
      <c r="N595" s="207"/>
    </row>
    <row r="596">
      <c r="A596" s="203"/>
      <c r="B596" s="204"/>
      <c r="C596" s="205"/>
      <c r="D596" s="205"/>
      <c r="E596" s="166"/>
      <c r="F596" s="206"/>
      <c r="G596" s="167"/>
      <c r="H596" s="166"/>
      <c r="I596" s="167"/>
      <c r="J596" s="168"/>
      <c r="K596" s="169"/>
      <c r="L596" s="207"/>
      <c r="M596" s="207"/>
      <c r="N596" s="207"/>
    </row>
    <row r="597">
      <c r="A597" s="203"/>
      <c r="B597" s="204"/>
      <c r="C597" s="205"/>
      <c r="D597" s="205"/>
      <c r="E597" s="166"/>
      <c r="F597" s="206"/>
      <c r="G597" s="167"/>
      <c r="H597" s="166"/>
      <c r="I597" s="167"/>
      <c r="J597" s="168"/>
      <c r="K597" s="169"/>
      <c r="L597" s="207"/>
      <c r="M597" s="207"/>
      <c r="N597" s="207"/>
    </row>
    <row r="598">
      <c r="A598" s="203"/>
      <c r="B598" s="204"/>
      <c r="C598" s="205"/>
      <c r="D598" s="205"/>
      <c r="E598" s="166"/>
      <c r="F598" s="206"/>
      <c r="G598" s="167"/>
      <c r="H598" s="166"/>
      <c r="I598" s="167"/>
      <c r="J598" s="168"/>
      <c r="K598" s="169"/>
      <c r="L598" s="207"/>
      <c r="M598" s="207"/>
      <c r="N598" s="207"/>
    </row>
    <row r="599">
      <c r="A599" s="203"/>
      <c r="B599" s="204"/>
      <c r="C599" s="205"/>
      <c r="D599" s="205"/>
      <c r="E599" s="166"/>
      <c r="F599" s="206"/>
      <c r="G599" s="167"/>
      <c r="H599" s="166"/>
      <c r="I599" s="167"/>
      <c r="J599" s="168"/>
      <c r="K599" s="169"/>
      <c r="L599" s="207"/>
      <c r="M599" s="207"/>
      <c r="N599" s="207"/>
    </row>
    <row r="600">
      <c r="A600" s="203"/>
      <c r="B600" s="204"/>
      <c r="C600" s="205"/>
      <c r="D600" s="205"/>
      <c r="E600" s="166"/>
      <c r="F600" s="206"/>
      <c r="G600" s="167"/>
      <c r="H600" s="166"/>
      <c r="I600" s="167"/>
      <c r="J600" s="168"/>
      <c r="K600" s="169"/>
      <c r="L600" s="207"/>
      <c r="M600" s="207"/>
      <c r="N600" s="207"/>
    </row>
    <row r="601">
      <c r="A601" s="203"/>
      <c r="B601" s="204"/>
      <c r="C601" s="205"/>
      <c r="D601" s="205"/>
      <c r="E601" s="166"/>
      <c r="F601" s="206"/>
      <c r="G601" s="167"/>
      <c r="H601" s="166"/>
      <c r="I601" s="167"/>
      <c r="J601" s="168"/>
      <c r="K601" s="169"/>
      <c r="L601" s="207"/>
      <c r="M601" s="207"/>
      <c r="N601" s="207"/>
    </row>
    <row r="602">
      <c r="A602" s="203"/>
      <c r="B602" s="204"/>
      <c r="C602" s="205"/>
      <c r="D602" s="205"/>
      <c r="E602" s="166"/>
      <c r="F602" s="206"/>
      <c r="G602" s="167"/>
      <c r="H602" s="166"/>
      <c r="I602" s="167"/>
      <c r="J602" s="168"/>
      <c r="K602" s="169"/>
      <c r="L602" s="207"/>
      <c r="M602" s="207"/>
      <c r="N602" s="207"/>
    </row>
    <row r="603">
      <c r="A603" s="203"/>
      <c r="B603" s="204"/>
      <c r="C603" s="205"/>
      <c r="D603" s="205"/>
      <c r="E603" s="166"/>
      <c r="F603" s="206"/>
      <c r="G603" s="167"/>
      <c r="H603" s="166"/>
      <c r="I603" s="167"/>
      <c r="J603" s="168"/>
      <c r="K603" s="169"/>
      <c r="L603" s="207"/>
      <c r="M603" s="207"/>
      <c r="N603" s="207"/>
    </row>
    <row r="604">
      <c r="A604" s="203"/>
      <c r="B604" s="204"/>
      <c r="C604" s="205"/>
      <c r="D604" s="205"/>
      <c r="E604" s="166"/>
      <c r="F604" s="206"/>
      <c r="G604" s="167"/>
      <c r="H604" s="166"/>
      <c r="I604" s="167"/>
      <c r="J604" s="168"/>
      <c r="K604" s="169"/>
      <c r="L604" s="207"/>
      <c r="M604" s="207"/>
      <c r="N604" s="207"/>
    </row>
    <row r="605">
      <c r="A605" s="203"/>
      <c r="B605" s="204"/>
      <c r="C605" s="205"/>
      <c r="D605" s="205"/>
      <c r="E605" s="166"/>
      <c r="F605" s="206"/>
      <c r="G605" s="167"/>
      <c r="H605" s="166"/>
      <c r="I605" s="167"/>
      <c r="J605" s="168"/>
      <c r="K605" s="169"/>
      <c r="L605" s="207"/>
      <c r="M605" s="207"/>
      <c r="N605" s="207"/>
    </row>
    <row r="606">
      <c r="A606" s="203"/>
      <c r="B606" s="204"/>
      <c r="C606" s="205"/>
      <c r="D606" s="205"/>
      <c r="E606" s="166"/>
      <c r="F606" s="206"/>
      <c r="G606" s="167"/>
      <c r="H606" s="166"/>
      <c r="I606" s="167"/>
      <c r="J606" s="168"/>
      <c r="K606" s="169"/>
      <c r="L606" s="207"/>
      <c r="M606" s="207"/>
      <c r="N606" s="207"/>
    </row>
    <row r="607">
      <c r="A607" s="203"/>
      <c r="B607" s="204"/>
      <c r="C607" s="205"/>
      <c r="D607" s="205"/>
      <c r="E607" s="166"/>
      <c r="F607" s="206"/>
      <c r="G607" s="167"/>
      <c r="H607" s="166"/>
      <c r="I607" s="167"/>
      <c r="J607" s="168"/>
      <c r="K607" s="169"/>
      <c r="L607" s="207"/>
      <c r="M607" s="207"/>
      <c r="N607" s="207"/>
    </row>
    <row r="608">
      <c r="A608" s="203"/>
      <c r="B608" s="204"/>
      <c r="C608" s="205"/>
      <c r="D608" s="205"/>
      <c r="E608" s="166"/>
      <c r="F608" s="206"/>
      <c r="G608" s="167"/>
      <c r="H608" s="166"/>
      <c r="I608" s="167"/>
      <c r="J608" s="168"/>
      <c r="K608" s="169"/>
      <c r="L608" s="207"/>
      <c r="M608" s="207"/>
      <c r="N608" s="207"/>
    </row>
    <row r="609">
      <c r="A609" s="203"/>
      <c r="B609" s="204"/>
      <c r="C609" s="205"/>
      <c r="D609" s="205"/>
      <c r="E609" s="166"/>
      <c r="F609" s="206"/>
      <c r="G609" s="167"/>
      <c r="H609" s="166"/>
      <c r="I609" s="167"/>
      <c r="J609" s="168"/>
      <c r="K609" s="169"/>
      <c r="L609" s="207"/>
      <c r="M609" s="207"/>
      <c r="N609" s="207"/>
    </row>
    <row r="610">
      <c r="A610" s="203"/>
      <c r="B610" s="204"/>
      <c r="C610" s="205"/>
      <c r="D610" s="205"/>
      <c r="E610" s="166"/>
      <c r="F610" s="206"/>
      <c r="G610" s="167"/>
      <c r="H610" s="166"/>
      <c r="I610" s="167"/>
      <c r="J610" s="168"/>
      <c r="K610" s="169"/>
      <c r="L610" s="207"/>
      <c r="M610" s="207"/>
      <c r="N610" s="207"/>
    </row>
    <row r="611">
      <c r="A611" s="203"/>
      <c r="B611" s="204"/>
      <c r="C611" s="205"/>
      <c r="D611" s="205"/>
      <c r="E611" s="166"/>
      <c r="F611" s="206"/>
      <c r="G611" s="167"/>
      <c r="H611" s="166"/>
      <c r="I611" s="167"/>
      <c r="J611" s="168"/>
      <c r="K611" s="169"/>
      <c r="L611" s="207"/>
      <c r="M611" s="207"/>
      <c r="N611" s="207"/>
    </row>
    <row r="612">
      <c r="A612" s="203"/>
      <c r="B612" s="204"/>
      <c r="C612" s="205"/>
      <c r="D612" s="205"/>
      <c r="E612" s="166"/>
      <c r="F612" s="206"/>
      <c r="G612" s="167"/>
      <c r="H612" s="166"/>
      <c r="I612" s="167"/>
      <c r="J612" s="168"/>
      <c r="K612" s="169"/>
      <c r="L612" s="207"/>
      <c r="M612" s="207"/>
      <c r="N612" s="207"/>
    </row>
    <row r="613">
      <c r="A613" s="203"/>
      <c r="B613" s="204"/>
      <c r="C613" s="205"/>
      <c r="D613" s="205"/>
      <c r="E613" s="166"/>
      <c r="F613" s="206"/>
      <c r="G613" s="167"/>
      <c r="H613" s="166"/>
      <c r="I613" s="167"/>
      <c r="J613" s="168"/>
      <c r="K613" s="169"/>
      <c r="L613" s="207"/>
      <c r="M613" s="207"/>
      <c r="N613" s="207"/>
    </row>
    <row r="614">
      <c r="A614" s="203"/>
      <c r="B614" s="204"/>
      <c r="C614" s="205"/>
      <c r="D614" s="205"/>
      <c r="E614" s="166"/>
      <c r="F614" s="206"/>
      <c r="G614" s="167"/>
      <c r="H614" s="166"/>
      <c r="I614" s="167"/>
      <c r="J614" s="168"/>
      <c r="K614" s="169"/>
      <c r="L614" s="207"/>
      <c r="M614" s="207"/>
      <c r="N614" s="207"/>
    </row>
    <row r="615">
      <c r="A615" s="203"/>
      <c r="B615" s="204"/>
      <c r="C615" s="205"/>
      <c r="D615" s="205"/>
      <c r="E615" s="166"/>
      <c r="F615" s="206"/>
      <c r="G615" s="167"/>
      <c r="H615" s="166"/>
      <c r="I615" s="167"/>
      <c r="J615" s="168"/>
      <c r="K615" s="169"/>
      <c r="L615" s="207"/>
      <c r="M615" s="207"/>
      <c r="N615" s="207"/>
    </row>
    <row r="616">
      <c r="A616" s="203"/>
      <c r="B616" s="204"/>
      <c r="C616" s="205"/>
      <c r="D616" s="205"/>
      <c r="E616" s="166"/>
      <c r="F616" s="206"/>
      <c r="G616" s="167"/>
      <c r="H616" s="166"/>
      <c r="I616" s="167"/>
      <c r="J616" s="168"/>
      <c r="K616" s="169"/>
      <c r="L616" s="207"/>
      <c r="M616" s="207"/>
      <c r="N616" s="207"/>
    </row>
    <row r="617">
      <c r="A617" s="203"/>
      <c r="B617" s="204"/>
      <c r="C617" s="205"/>
      <c r="D617" s="205"/>
      <c r="E617" s="166"/>
      <c r="F617" s="206"/>
      <c r="G617" s="167"/>
      <c r="H617" s="166"/>
      <c r="I617" s="167"/>
      <c r="J617" s="168"/>
      <c r="K617" s="169"/>
      <c r="L617" s="207"/>
      <c r="M617" s="207"/>
      <c r="N617" s="207"/>
    </row>
    <row r="618">
      <c r="A618" s="203"/>
      <c r="B618" s="204"/>
      <c r="C618" s="205"/>
      <c r="D618" s="205"/>
      <c r="E618" s="166"/>
      <c r="F618" s="206"/>
      <c r="G618" s="167"/>
      <c r="H618" s="166"/>
      <c r="I618" s="167"/>
      <c r="J618" s="168"/>
      <c r="K618" s="169"/>
      <c r="L618" s="207"/>
      <c r="M618" s="207"/>
      <c r="N618" s="207"/>
    </row>
    <row r="619">
      <c r="A619" s="203"/>
      <c r="B619" s="204"/>
      <c r="C619" s="205"/>
      <c r="D619" s="205"/>
      <c r="E619" s="166"/>
      <c r="F619" s="206"/>
      <c r="G619" s="167"/>
      <c r="H619" s="166"/>
      <c r="I619" s="167"/>
      <c r="J619" s="168"/>
      <c r="K619" s="169"/>
      <c r="L619" s="207"/>
      <c r="M619" s="207"/>
      <c r="N619" s="207"/>
    </row>
    <row r="620">
      <c r="A620" s="203"/>
      <c r="B620" s="204"/>
      <c r="C620" s="205"/>
      <c r="D620" s="205"/>
      <c r="E620" s="166"/>
      <c r="F620" s="206"/>
      <c r="G620" s="167"/>
      <c r="H620" s="166"/>
      <c r="I620" s="167"/>
      <c r="J620" s="168"/>
      <c r="K620" s="169"/>
      <c r="L620" s="207"/>
      <c r="M620" s="207"/>
      <c r="N620" s="207"/>
    </row>
    <row r="621">
      <c r="A621" s="203"/>
      <c r="B621" s="204"/>
      <c r="C621" s="205"/>
      <c r="D621" s="205"/>
      <c r="E621" s="166"/>
      <c r="F621" s="206"/>
      <c r="G621" s="167"/>
      <c r="H621" s="166"/>
      <c r="I621" s="167"/>
      <c r="J621" s="168"/>
      <c r="K621" s="169"/>
      <c r="L621" s="207"/>
      <c r="M621" s="207"/>
      <c r="N621" s="207"/>
    </row>
    <row r="622">
      <c r="A622" s="203"/>
      <c r="B622" s="204"/>
      <c r="C622" s="205"/>
      <c r="D622" s="205"/>
      <c r="E622" s="166"/>
      <c r="F622" s="206"/>
      <c r="G622" s="167"/>
      <c r="H622" s="166"/>
      <c r="I622" s="167"/>
      <c r="J622" s="168"/>
      <c r="K622" s="169"/>
      <c r="L622" s="207"/>
      <c r="M622" s="207"/>
      <c r="N622" s="207"/>
    </row>
    <row r="623">
      <c r="A623" s="203"/>
      <c r="B623" s="204"/>
      <c r="C623" s="205"/>
      <c r="D623" s="205"/>
      <c r="E623" s="166"/>
      <c r="F623" s="206"/>
      <c r="G623" s="167"/>
      <c r="H623" s="166"/>
      <c r="I623" s="167"/>
      <c r="J623" s="168"/>
      <c r="K623" s="169"/>
      <c r="L623" s="207"/>
      <c r="M623" s="207"/>
      <c r="N623" s="207"/>
    </row>
    <row r="624">
      <c r="A624" s="203"/>
      <c r="B624" s="204"/>
      <c r="C624" s="205"/>
      <c r="D624" s="205"/>
      <c r="E624" s="166"/>
      <c r="F624" s="206"/>
      <c r="G624" s="167"/>
      <c r="H624" s="166"/>
      <c r="I624" s="167"/>
      <c r="J624" s="168"/>
      <c r="K624" s="169"/>
      <c r="L624" s="207"/>
      <c r="M624" s="207"/>
      <c r="N624" s="207"/>
    </row>
    <row r="625">
      <c r="A625" s="203"/>
      <c r="B625" s="204"/>
      <c r="C625" s="205"/>
      <c r="D625" s="205"/>
      <c r="E625" s="166"/>
      <c r="F625" s="206"/>
      <c r="G625" s="167"/>
      <c r="H625" s="166"/>
      <c r="I625" s="167"/>
      <c r="J625" s="168"/>
      <c r="K625" s="169"/>
      <c r="L625" s="207"/>
      <c r="M625" s="207"/>
      <c r="N625" s="207"/>
    </row>
    <row r="626">
      <c r="A626" s="203"/>
      <c r="B626" s="204"/>
      <c r="C626" s="205"/>
      <c r="D626" s="205"/>
      <c r="E626" s="166"/>
      <c r="F626" s="206"/>
      <c r="G626" s="167"/>
      <c r="H626" s="166"/>
      <c r="I626" s="167"/>
      <c r="J626" s="168"/>
      <c r="K626" s="169"/>
      <c r="L626" s="207"/>
      <c r="M626" s="207"/>
      <c r="N626" s="207"/>
    </row>
    <row r="627">
      <c r="A627" s="203"/>
      <c r="B627" s="204"/>
      <c r="C627" s="205"/>
      <c r="D627" s="205"/>
      <c r="E627" s="166"/>
      <c r="F627" s="206"/>
      <c r="G627" s="167"/>
      <c r="H627" s="166"/>
      <c r="I627" s="167"/>
      <c r="J627" s="168"/>
      <c r="K627" s="169"/>
      <c r="L627" s="207"/>
      <c r="M627" s="207"/>
      <c r="N627" s="207"/>
    </row>
    <row r="628">
      <c r="A628" s="203"/>
      <c r="B628" s="204"/>
      <c r="C628" s="205"/>
      <c r="D628" s="205"/>
      <c r="E628" s="166"/>
      <c r="F628" s="206"/>
      <c r="G628" s="167"/>
      <c r="H628" s="166"/>
      <c r="I628" s="167"/>
      <c r="J628" s="168"/>
      <c r="K628" s="169"/>
      <c r="L628" s="207"/>
      <c r="M628" s="207"/>
      <c r="N628" s="207"/>
    </row>
    <row r="629">
      <c r="A629" s="203"/>
      <c r="B629" s="204"/>
      <c r="C629" s="205"/>
      <c r="D629" s="205"/>
      <c r="E629" s="166"/>
      <c r="F629" s="206"/>
      <c r="G629" s="167"/>
      <c r="H629" s="166"/>
      <c r="I629" s="167"/>
      <c r="J629" s="168"/>
      <c r="K629" s="169"/>
      <c r="L629" s="207"/>
      <c r="M629" s="207"/>
      <c r="N629" s="207"/>
    </row>
    <row r="630">
      <c r="A630" s="203"/>
      <c r="B630" s="204"/>
      <c r="C630" s="205"/>
      <c r="D630" s="205"/>
      <c r="E630" s="166"/>
      <c r="F630" s="206"/>
      <c r="G630" s="167"/>
      <c r="H630" s="166"/>
      <c r="I630" s="167"/>
      <c r="J630" s="168"/>
      <c r="K630" s="169"/>
      <c r="L630" s="207"/>
      <c r="M630" s="207"/>
      <c r="N630" s="207"/>
    </row>
    <row r="631">
      <c r="A631" s="203"/>
      <c r="B631" s="204"/>
      <c r="C631" s="205"/>
      <c r="D631" s="205"/>
      <c r="E631" s="166"/>
      <c r="F631" s="206"/>
      <c r="G631" s="167"/>
      <c r="H631" s="166"/>
      <c r="I631" s="167"/>
      <c r="J631" s="168"/>
      <c r="K631" s="169"/>
      <c r="L631" s="207"/>
      <c r="M631" s="207"/>
      <c r="N631" s="207"/>
    </row>
    <row r="632">
      <c r="A632" s="203"/>
      <c r="B632" s="204"/>
      <c r="C632" s="205"/>
      <c r="D632" s="205"/>
      <c r="E632" s="166"/>
      <c r="F632" s="206"/>
      <c r="G632" s="167"/>
      <c r="H632" s="166"/>
      <c r="I632" s="167"/>
      <c r="J632" s="168"/>
      <c r="K632" s="169"/>
      <c r="L632" s="207"/>
      <c r="M632" s="207"/>
      <c r="N632" s="207"/>
    </row>
    <row r="633">
      <c r="A633" s="203"/>
      <c r="B633" s="204"/>
      <c r="C633" s="205"/>
      <c r="D633" s="205"/>
      <c r="E633" s="166"/>
      <c r="F633" s="206"/>
      <c r="G633" s="167"/>
      <c r="H633" s="166"/>
      <c r="I633" s="167"/>
      <c r="J633" s="168"/>
      <c r="K633" s="169"/>
      <c r="L633" s="207"/>
      <c r="M633" s="207"/>
      <c r="N633" s="207"/>
    </row>
    <row r="634">
      <c r="A634" s="203"/>
      <c r="B634" s="204"/>
      <c r="C634" s="205"/>
      <c r="D634" s="205"/>
      <c r="E634" s="166"/>
      <c r="F634" s="206"/>
      <c r="G634" s="167"/>
      <c r="H634" s="166"/>
      <c r="I634" s="167"/>
      <c r="J634" s="168"/>
      <c r="K634" s="169"/>
      <c r="L634" s="207"/>
      <c r="M634" s="207"/>
      <c r="N634" s="207"/>
    </row>
    <row r="635">
      <c r="A635" s="203"/>
      <c r="B635" s="204"/>
      <c r="C635" s="205"/>
      <c r="D635" s="205"/>
      <c r="E635" s="166"/>
      <c r="F635" s="206"/>
      <c r="G635" s="167"/>
      <c r="H635" s="166"/>
      <c r="I635" s="167"/>
      <c r="J635" s="168"/>
      <c r="K635" s="169"/>
      <c r="L635" s="207"/>
      <c r="M635" s="207"/>
      <c r="N635" s="207"/>
    </row>
    <row r="636">
      <c r="A636" s="203"/>
      <c r="B636" s="204"/>
      <c r="C636" s="205"/>
      <c r="D636" s="205"/>
      <c r="E636" s="166"/>
      <c r="F636" s="206"/>
      <c r="G636" s="167"/>
      <c r="H636" s="166"/>
      <c r="I636" s="167"/>
      <c r="J636" s="168"/>
      <c r="K636" s="169"/>
      <c r="L636" s="207"/>
      <c r="M636" s="207"/>
      <c r="N636" s="207"/>
    </row>
    <row r="637">
      <c r="A637" s="203"/>
      <c r="B637" s="204"/>
      <c r="C637" s="205"/>
      <c r="D637" s="205"/>
      <c r="E637" s="166"/>
      <c r="F637" s="206"/>
      <c r="G637" s="167"/>
      <c r="H637" s="166"/>
      <c r="I637" s="167"/>
      <c r="J637" s="168"/>
      <c r="K637" s="169"/>
      <c r="L637" s="207"/>
      <c r="M637" s="207"/>
      <c r="N637" s="207"/>
    </row>
    <row r="638">
      <c r="A638" s="203"/>
      <c r="B638" s="204"/>
      <c r="C638" s="205"/>
      <c r="D638" s="205"/>
      <c r="E638" s="166"/>
      <c r="F638" s="206"/>
      <c r="G638" s="167"/>
      <c r="H638" s="166"/>
      <c r="I638" s="167"/>
      <c r="J638" s="168"/>
      <c r="K638" s="169"/>
      <c r="L638" s="207"/>
      <c r="M638" s="207"/>
      <c r="N638" s="207"/>
    </row>
    <row r="639">
      <c r="A639" s="203"/>
      <c r="B639" s="204"/>
      <c r="C639" s="205"/>
      <c r="D639" s="205"/>
      <c r="E639" s="166"/>
      <c r="F639" s="206"/>
      <c r="G639" s="167"/>
      <c r="H639" s="166"/>
      <c r="I639" s="167"/>
      <c r="J639" s="168"/>
      <c r="K639" s="169"/>
      <c r="L639" s="207"/>
      <c r="M639" s="207"/>
      <c r="N639" s="207"/>
    </row>
    <row r="640">
      <c r="A640" s="203"/>
      <c r="B640" s="204"/>
      <c r="C640" s="205"/>
      <c r="D640" s="205"/>
      <c r="E640" s="166"/>
      <c r="F640" s="206"/>
      <c r="G640" s="167"/>
      <c r="H640" s="166"/>
      <c r="I640" s="167"/>
      <c r="J640" s="168"/>
      <c r="K640" s="169"/>
      <c r="L640" s="207"/>
      <c r="M640" s="207"/>
      <c r="N640" s="207"/>
    </row>
    <row r="641">
      <c r="A641" s="203"/>
      <c r="B641" s="204"/>
      <c r="C641" s="205"/>
      <c r="D641" s="205"/>
      <c r="E641" s="166"/>
      <c r="F641" s="206"/>
      <c r="G641" s="167"/>
      <c r="H641" s="166"/>
      <c r="I641" s="167"/>
      <c r="J641" s="168"/>
      <c r="K641" s="169"/>
      <c r="L641" s="207"/>
      <c r="M641" s="207"/>
      <c r="N641" s="207"/>
    </row>
    <row r="642">
      <c r="A642" s="203"/>
      <c r="B642" s="204"/>
      <c r="C642" s="205"/>
      <c r="D642" s="205"/>
      <c r="E642" s="166"/>
      <c r="F642" s="206"/>
      <c r="G642" s="167"/>
      <c r="H642" s="166"/>
      <c r="I642" s="167"/>
      <c r="J642" s="168"/>
      <c r="K642" s="169"/>
      <c r="L642" s="207"/>
      <c r="M642" s="207"/>
      <c r="N642" s="207"/>
    </row>
    <row r="643">
      <c r="A643" s="203"/>
      <c r="B643" s="204"/>
      <c r="C643" s="205"/>
      <c r="D643" s="205"/>
      <c r="E643" s="166"/>
      <c r="F643" s="206"/>
      <c r="G643" s="167"/>
      <c r="H643" s="166"/>
      <c r="I643" s="167"/>
      <c r="J643" s="168"/>
      <c r="K643" s="169"/>
      <c r="L643" s="207"/>
      <c r="M643" s="207"/>
      <c r="N643" s="207"/>
    </row>
    <row r="644">
      <c r="A644" s="203"/>
      <c r="B644" s="204"/>
      <c r="C644" s="205"/>
      <c r="D644" s="205"/>
      <c r="E644" s="166"/>
      <c r="F644" s="206"/>
      <c r="G644" s="167"/>
      <c r="H644" s="166"/>
      <c r="I644" s="167"/>
      <c r="J644" s="168"/>
      <c r="K644" s="169"/>
      <c r="L644" s="207"/>
      <c r="M644" s="207"/>
      <c r="N644" s="207"/>
    </row>
    <row r="645">
      <c r="A645" s="203"/>
      <c r="B645" s="204"/>
      <c r="C645" s="205"/>
      <c r="D645" s="205"/>
      <c r="E645" s="166"/>
      <c r="F645" s="206"/>
      <c r="G645" s="167"/>
      <c r="H645" s="166"/>
      <c r="I645" s="167"/>
      <c r="J645" s="168"/>
      <c r="K645" s="169"/>
      <c r="L645" s="207"/>
      <c r="M645" s="207"/>
      <c r="N645" s="207"/>
    </row>
    <row r="646">
      <c r="A646" s="203"/>
      <c r="B646" s="204"/>
      <c r="C646" s="205"/>
      <c r="D646" s="205"/>
      <c r="E646" s="166"/>
      <c r="F646" s="206"/>
      <c r="G646" s="167"/>
      <c r="H646" s="166"/>
      <c r="I646" s="167"/>
      <c r="J646" s="168"/>
      <c r="K646" s="169"/>
      <c r="L646" s="207"/>
      <c r="M646" s="207"/>
      <c r="N646" s="207"/>
    </row>
    <row r="647">
      <c r="A647" s="203"/>
      <c r="B647" s="204"/>
      <c r="C647" s="205"/>
      <c r="D647" s="205"/>
      <c r="E647" s="166"/>
      <c r="F647" s="206"/>
      <c r="G647" s="167"/>
      <c r="H647" s="166"/>
      <c r="I647" s="167"/>
      <c r="J647" s="168"/>
      <c r="K647" s="169"/>
      <c r="L647" s="207"/>
      <c r="M647" s="207"/>
      <c r="N647" s="207"/>
    </row>
    <row r="648">
      <c r="A648" s="203"/>
      <c r="B648" s="204"/>
      <c r="C648" s="205"/>
      <c r="D648" s="205"/>
      <c r="E648" s="166"/>
      <c r="F648" s="206"/>
      <c r="G648" s="167"/>
      <c r="H648" s="166"/>
      <c r="I648" s="167"/>
      <c r="J648" s="168"/>
      <c r="K648" s="169"/>
      <c r="L648" s="207"/>
      <c r="M648" s="207"/>
      <c r="N648" s="207"/>
    </row>
    <row r="649">
      <c r="A649" s="203"/>
      <c r="B649" s="204"/>
      <c r="C649" s="205"/>
      <c r="D649" s="205"/>
      <c r="E649" s="166"/>
      <c r="F649" s="206"/>
      <c r="G649" s="167"/>
      <c r="H649" s="166"/>
      <c r="I649" s="167"/>
      <c r="J649" s="168"/>
      <c r="K649" s="169"/>
      <c r="L649" s="207"/>
      <c r="M649" s="207"/>
      <c r="N649" s="207"/>
    </row>
    <row r="650">
      <c r="A650" s="203"/>
      <c r="B650" s="204"/>
      <c r="C650" s="205"/>
      <c r="D650" s="205"/>
      <c r="E650" s="166"/>
      <c r="F650" s="206"/>
      <c r="G650" s="167"/>
      <c r="H650" s="166"/>
      <c r="I650" s="167"/>
      <c r="J650" s="168"/>
      <c r="K650" s="169"/>
      <c r="L650" s="207"/>
      <c r="M650" s="207"/>
      <c r="N650" s="207"/>
    </row>
    <row r="651">
      <c r="A651" s="203"/>
      <c r="B651" s="204"/>
      <c r="C651" s="205"/>
      <c r="D651" s="205"/>
      <c r="E651" s="166"/>
      <c r="F651" s="206"/>
      <c r="G651" s="167"/>
      <c r="H651" s="166"/>
      <c r="I651" s="167"/>
      <c r="J651" s="168"/>
      <c r="K651" s="169"/>
      <c r="L651" s="207"/>
      <c r="M651" s="207"/>
      <c r="N651" s="207"/>
    </row>
    <row r="652">
      <c r="A652" s="203"/>
      <c r="B652" s="204"/>
      <c r="C652" s="205"/>
      <c r="D652" s="205"/>
      <c r="E652" s="166"/>
      <c r="F652" s="206"/>
      <c r="G652" s="167"/>
      <c r="H652" s="166"/>
      <c r="I652" s="167"/>
      <c r="J652" s="168"/>
      <c r="K652" s="169"/>
      <c r="L652" s="207"/>
      <c r="M652" s="207"/>
      <c r="N652" s="207"/>
    </row>
    <row r="653">
      <c r="A653" s="203"/>
      <c r="B653" s="204"/>
      <c r="C653" s="205"/>
      <c r="D653" s="205"/>
      <c r="E653" s="166"/>
      <c r="F653" s="206"/>
      <c r="G653" s="167"/>
      <c r="H653" s="166"/>
      <c r="I653" s="167"/>
      <c r="J653" s="168"/>
      <c r="K653" s="169"/>
      <c r="L653" s="207"/>
      <c r="M653" s="207"/>
      <c r="N653" s="207"/>
    </row>
    <row r="654">
      <c r="A654" s="203"/>
      <c r="B654" s="204"/>
      <c r="C654" s="205"/>
      <c r="D654" s="205"/>
      <c r="E654" s="166"/>
      <c r="F654" s="206"/>
      <c r="G654" s="167"/>
      <c r="H654" s="166"/>
      <c r="I654" s="167"/>
      <c r="J654" s="168"/>
      <c r="K654" s="169"/>
      <c r="L654" s="207"/>
      <c r="M654" s="207"/>
      <c r="N654" s="207"/>
    </row>
    <row r="655">
      <c r="A655" s="203"/>
      <c r="B655" s="204"/>
      <c r="C655" s="205"/>
      <c r="D655" s="205"/>
      <c r="E655" s="166"/>
      <c r="F655" s="206"/>
      <c r="G655" s="167"/>
      <c r="H655" s="166"/>
      <c r="I655" s="167"/>
      <c r="J655" s="168"/>
      <c r="K655" s="169"/>
      <c r="L655" s="207"/>
      <c r="M655" s="207"/>
      <c r="N655" s="207"/>
    </row>
    <row r="656">
      <c r="A656" s="203"/>
      <c r="B656" s="204"/>
      <c r="C656" s="205"/>
      <c r="D656" s="205"/>
      <c r="E656" s="166"/>
      <c r="F656" s="206"/>
      <c r="G656" s="167"/>
      <c r="H656" s="166"/>
      <c r="I656" s="167"/>
      <c r="J656" s="168"/>
      <c r="K656" s="169"/>
      <c r="L656" s="207"/>
      <c r="M656" s="207"/>
      <c r="N656" s="207"/>
    </row>
    <row r="657">
      <c r="A657" s="203"/>
      <c r="B657" s="204"/>
      <c r="C657" s="205"/>
      <c r="D657" s="205"/>
      <c r="E657" s="166"/>
      <c r="F657" s="206"/>
      <c r="G657" s="167"/>
      <c r="H657" s="166"/>
      <c r="I657" s="167"/>
      <c r="J657" s="168"/>
      <c r="K657" s="169"/>
      <c r="L657" s="207"/>
      <c r="M657" s="207"/>
      <c r="N657" s="207"/>
    </row>
    <row r="658">
      <c r="A658" s="203"/>
      <c r="B658" s="204"/>
      <c r="C658" s="205"/>
      <c r="D658" s="205"/>
      <c r="E658" s="166"/>
      <c r="F658" s="206"/>
      <c r="G658" s="167"/>
      <c r="H658" s="166"/>
      <c r="I658" s="167"/>
      <c r="J658" s="168"/>
      <c r="K658" s="169"/>
      <c r="L658" s="207"/>
      <c r="M658" s="207"/>
      <c r="N658" s="207"/>
    </row>
    <row r="659">
      <c r="A659" s="203"/>
      <c r="B659" s="204"/>
      <c r="C659" s="205"/>
      <c r="D659" s="205"/>
      <c r="E659" s="166"/>
      <c r="F659" s="206"/>
      <c r="G659" s="167"/>
      <c r="H659" s="166"/>
      <c r="I659" s="167"/>
      <c r="J659" s="168"/>
      <c r="K659" s="169"/>
      <c r="L659" s="207"/>
      <c r="M659" s="207"/>
      <c r="N659" s="207"/>
    </row>
    <row r="660">
      <c r="A660" s="203"/>
      <c r="B660" s="204"/>
      <c r="C660" s="205"/>
      <c r="D660" s="205"/>
      <c r="E660" s="166"/>
      <c r="F660" s="206"/>
      <c r="G660" s="167"/>
      <c r="H660" s="166"/>
      <c r="I660" s="167"/>
      <c r="J660" s="168"/>
      <c r="K660" s="169"/>
      <c r="L660" s="207"/>
      <c r="M660" s="207"/>
      <c r="N660" s="207"/>
    </row>
    <row r="661">
      <c r="A661" s="203"/>
      <c r="B661" s="204"/>
      <c r="C661" s="205"/>
      <c r="D661" s="205"/>
      <c r="E661" s="166"/>
      <c r="F661" s="206"/>
      <c r="G661" s="167"/>
      <c r="H661" s="166"/>
      <c r="I661" s="167"/>
      <c r="J661" s="168"/>
      <c r="K661" s="169"/>
      <c r="L661" s="207"/>
      <c r="M661" s="207"/>
      <c r="N661" s="207"/>
    </row>
    <row r="662">
      <c r="A662" s="203"/>
      <c r="B662" s="204"/>
      <c r="C662" s="205"/>
      <c r="D662" s="205"/>
      <c r="E662" s="166"/>
      <c r="F662" s="206"/>
      <c r="G662" s="167"/>
      <c r="H662" s="166"/>
      <c r="I662" s="167"/>
      <c r="J662" s="168"/>
      <c r="K662" s="169"/>
      <c r="L662" s="207"/>
      <c r="M662" s="207"/>
      <c r="N662" s="207"/>
    </row>
    <row r="663">
      <c r="A663" s="203"/>
      <c r="B663" s="204"/>
      <c r="C663" s="205"/>
      <c r="D663" s="205"/>
      <c r="E663" s="166"/>
      <c r="F663" s="206"/>
      <c r="G663" s="167"/>
      <c r="H663" s="166"/>
      <c r="I663" s="167"/>
      <c r="J663" s="168"/>
      <c r="K663" s="169"/>
      <c r="L663" s="207"/>
      <c r="M663" s="207"/>
      <c r="N663" s="207"/>
    </row>
    <row r="664">
      <c r="A664" s="203"/>
      <c r="B664" s="204"/>
      <c r="C664" s="205"/>
      <c r="D664" s="205"/>
      <c r="E664" s="166"/>
      <c r="F664" s="206"/>
      <c r="G664" s="167"/>
      <c r="H664" s="166"/>
      <c r="I664" s="167"/>
      <c r="J664" s="168"/>
      <c r="K664" s="169"/>
      <c r="L664" s="207"/>
      <c r="M664" s="207"/>
      <c r="N664" s="207"/>
    </row>
    <row r="665">
      <c r="A665" s="203"/>
      <c r="B665" s="204"/>
      <c r="C665" s="205"/>
      <c r="D665" s="205"/>
      <c r="E665" s="166"/>
      <c r="F665" s="206"/>
      <c r="G665" s="167"/>
      <c r="H665" s="166"/>
      <c r="I665" s="167"/>
      <c r="J665" s="168"/>
      <c r="K665" s="169"/>
      <c r="L665" s="207"/>
      <c r="M665" s="207"/>
      <c r="N665" s="207"/>
    </row>
    <row r="666">
      <c r="A666" s="203"/>
      <c r="B666" s="204"/>
      <c r="C666" s="205"/>
      <c r="D666" s="205"/>
      <c r="E666" s="166"/>
      <c r="F666" s="206"/>
      <c r="G666" s="167"/>
      <c r="H666" s="166"/>
      <c r="I666" s="167"/>
      <c r="J666" s="168"/>
      <c r="K666" s="169"/>
      <c r="L666" s="207"/>
      <c r="M666" s="207"/>
      <c r="N666" s="207"/>
    </row>
    <row r="667">
      <c r="A667" s="203"/>
      <c r="B667" s="204"/>
      <c r="C667" s="205"/>
      <c r="D667" s="205"/>
      <c r="E667" s="166"/>
      <c r="F667" s="206"/>
      <c r="G667" s="167"/>
      <c r="H667" s="166"/>
      <c r="I667" s="167"/>
      <c r="J667" s="168"/>
      <c r="K667" s="169"/>
      <c r="L667" s="207"/>
      <c r="M667" s="207"/>
      <c r="N667" s="207"/>
    </row>
    <row r="668">
      <c r="A668" s="203"/>
      <c r="B668" s="204"/>
      <c r="C668" s="205"/>
      <c r="D668" s="205"/>
      <c r="E668" s="166"/>
      <c r="F668" s="206"/>
      <c r="G668" s="167"/>
      <c r="H668" s="166"/>
      <c r="I668" s="167"/>
      <c r="J668" s="168"/>
      <c r="K668" s="169"/>
      <c r="L668" s="207"/>
      <c r="M668" s="207"/>
      <c r="N668" s="207"/>
    </row>
    <row r="669">
      <c r="A669" s="203"/>
      <c r="B669" s="204"/>
      <c r="C669" s="205"/>
      <c r="D669" s="205"/>
      <c r="E669" s="166"/>
      <c r="F669" s="206"/>
      <c r="G669" s="167"/>
      <c r="H669" s="166"/>
      <c r="I669" s="167"/>
      <c r="J669" s="168"/>
      <c r="K669" s="169"/>
      <c r="L669" s="207"/>
      <c r="M669" s="207"/>
      <c r="N669" s="207"/>
    </row>
    <row r="670">
      <c r="A670" s="203"/>
      <c r="B670" s="204"/>
      <c r="C670" s="205"/>
      <c r="D670" s="205"/>
      <c r="E670" s="166"/>
      <c r="F670" s="206"/>
      <c r="G670" s="167"/>
      <c r="H670" s="166"/>
      <c r="I670" s="167"/>
      <c r="J670" s="168"/>
      <c r="K670" s="169"/>
      <c r="L670" s="207"/>
      <c r="M670" s="207"/>
      <c r="N670" s="207"/>
    </row>
    <row r="671">
      <c r="A671" s="203"/>
      <c r="B671" s="204"/>
      <c r="C671" s="205"/>
      <c r="D671" s="205"/>
      <c r="E671" s="166"/>
      <c r="F671" s="206"/>
      <c r="G671" s="167"/>
      <c r="H671" s="166"/>
      <c r="I671" s="167"/>
      <c r="J671" s="168"/>
      <c r="K671" s="169"/>
      <c r="L671" s="207"/>
      <c r="M671" s="207"/>
      <c r="N671" s="207"/>
    </row>
    <row r="672">
      <c r="A672" s="203"/>
      <c r="B672" s="204"/>
      <c r="C672" s="205"/>
      <c r="D672" s="205"/>
      <c r="E672" s="166"/>
      <c r="F672" s="206"/>
      <c r="G672" s="167"/>
      <c r="H672" s="166"/>
      <c r="I672" s="167"/>
      <c r="J672" s="168"/>
      <c r="K672" s="169"/>
      <c r="L672" s="207"/>
      <c r="M672" s="207"/>
      <c r="N672" s="207"/>
    </row>
    <row r="673">
      <c r="A673" s="203"/>
      <c r="B673" s="204"/>
      <c r="C673" s="205"/>
      <c r="D673" s="205"/>
      <c r="E673" s="166"/>
      <c r="F673" s="206"/>
      <c r="G673" s="167"/>
      <c r="H673" s="166"/>
      <c r="I673" s="167"/>
      <c r="J673" s="168"/>
      <c r="K673" s="169"/>
      <c r="L673" s="207"/>
      <c r="M673" s="207"/>
      <c r="N673" s="207"/>
    </row>
    <row r="674">
      <c r="A674" s="203"/>
      <c r="B674" s="204"/>
      <c r="C674" s="205"/>
      <c r="D674" s="205"/>
      <c r="E674" s="166"/>
      <c r="F674" s="206"/>
      <c r="G674" s="167"/>
      <c r="H674" s="166"/>
      <c r="I674" s="167"/>
      <c r="J674" s="168"/>
      <c r="K674" s="169"/>
      <c r="L674" s="207"/>
      <c r="M674" s="207"/>
      <c r="N674" s="207"/>
    </row>
    <row r="675">
      <c r="A675" s="203"/>
      <c r="B675" s="204"/>
      <c r="C675" s="205"/>
      <c r="D675" s="205"/>
      <c r="E675" s="166"/>
      <c r="F675" s="206"/>
      <c r="G675" s="167"/>
      <c r="H675" s="166"/>
      <c r="I675" s="167"/>
      <c r="J675" s="168"/>
      <c r="K675" s="169"/>
      <c r="L675" s="207"/>
      <c r="M675" s="207"/>
      <c r="N675" s="207"/>
    </row>
    <row r="676">
      <c r="A676" s="203"/>
      <c r="B676" s="204"/>
      <c r="C676" s="205"/>
      <c r="D676" s="205"/>
      <c r="E676" s="166"/>
      <c r="F676" s="206"/>
      <c r="G676" s="167"/>
      <c r="H676" s="166"/>
      <c r="I676" s="167"/>
      <c r="J676" s="168"/>
      <c r="K676" s="169"/>
      <c r="L676" s="207"/>
      <c r="M676" s="207"/>
      <c r="N676" s="207"/>
    </row>
    <row r="677">
      <c r="A677" s="203"/>
      <c r="B677" s="204"/>
      <c r="C677" s="205"/>
      <c r="D677" s="205"/>
      <c r="E677" s="166"/>
      <c r="F677" s="206"/>
      <c r="G677" s="167"/>
      <c r="H677" s="166"/>
      <c r="I677" s="167"/>
      <c r="J677" s="168"/>
      <c r="K677" s="169"/>
      <c r="L677" s="207"/>
      <c r="M677" s="207"/>
      <c r="N677" s="207"/>
    </row>
    <row r="678">
      <c r="A678" s="203"/>
      <c r="B678" s="204"/>
      <c r="C678" s="205"/>
      <c r="D678" s="205"/>
      <c r="E678" s="166"/>
      <c r="F678" s="206"/>
      <c r="G678" s="167"/>
      <c r="H678" s="166"/>
      <c r="I678" s="167"/>
      <c r="J678" s="168"/>
      <c r="K678" s="169"/>
      <c r="L678" s="207"/>
      <c r="M678" s="207"/>
      <c r="N678" s="207"/>
    </row>
    <row r="679">
      <c r="A679" s="203"/>
      <c r="B679" s="204"/>
      <c r="C679" s="205"/>
      <c r="D679" s="205"/>
      <c r="E679" s="166"/>
      <c r="F679" s="206"/>
      <c r="G679" s="167"/>
      <c r="H679" s="166"/>
      <c r="I679" s="167"/>
      <c r="J679" s="168"/>
      <c r="K679" s="169"/>
      <c r="L679" s="207"/>
      <c r="M679" s="207"/>
      <c r="N679" s="207"/>
    </row>
    <row r="680">
      <c r="A680" s="203"/>
      <c r="B680" s="204"/>
      <c r="C680" s="205"/>
      <c r="D680" s="205"/>
      <c r="E680" s="166"/>
      <c r="F680" s="206"/>
      <c r="G680" s="167"/>
      <c r="H680" s="166"/>
      <c r="I680" s="167"/>
      <c r="J680" s="168"/>
      <c r="K680" s="169"/>
      <c r="L680" s="207"/>
      <c r="M680" s="207"/>
      <c r="N680" s="207"/>
    </row>
    <row r="681">
      <c r="A681" s="203"/>
      <c r="B681" s="204"/>
      <c r="C681" s="205"/>
      <c r="D681" s="205"/>
      <c r="E681" s="166"/>
      <c r="F681" s="206"/>
      <c r="G681" s="167"/>
      <c r="H681" s="166"/>
      <c r="I681" s="167"/>
      <c r="J681" s="168"/>
      <c r="K681" s="169"/>
      <c r="L681" s="207"/>
      <c r="M681" s="207"/>
      <c r="N681" s="207"/>
    </row>
    <row r="682">
      <c r="A682" s="203"/>
      <c r="B682" s="204"/>
      <c r="C682" s="205"/>
      <c r="D682" s="205"/>
      <c r="E682" s="166"/>
      <c r="F682" s="206"/>
      <c r="G682" s="167"/>
      <c r="H682" s="166"/>
      <c r="I682" s="167"/>
      <c r="J682" s="168"/>
      <c r="K682" s="169"/>
      <c r="L682" s="207"/>
      <c r="M682" s="207"/>
      <c r="N682" s="207"/>
    </row>
    <row r="683">
      <c r="A683" s="203"/>
      <c r="B683" s="204"/>
      <c r="C683" s="205"/>
      <c r="D683" s="205"/>
      <c r="E683" s="166"/>
      <c r="F683" s="206"/>
      <c r="G683" s="167"/>
      <c r="H683" s="166"/>
      <c r="I683" s="167"/>
      <c r="J683" s="168"/>
      <c r="K683" s="169"/>
      <c r="L683" s="207"/>
      <c r="M683" s="207"/>
      <c r="N683" s="207"/>
    </row>
    <row r="684">
      <c r="A684" s="203"/>
      <c r="B684" s="204"/>
      <c r="C684" s="205"/>
      <c r="D684" s="205"/>
      <c r="E684" s="166"/>
      <c r="F684" s="206"/>
      <c r="G684" s="167"/>
      <c r="H684" s="166"/>
      <c r="I684" s="167"/>
      <c r="J684" s="168"/>
      <c r="K684" s="169"/>
      <c r="L684" s="207"/>
      <c r="M684" s="207"/>
      <c r="N684" s="207"/>
    </row>
    <row r="685">
      <c r="A685" s="203"/>
      <c r="B685" s="204"/>
      <c r="C685" s="205"/>
      <c r="D685" s="205"/>
      <c r="E685" s="166"/>
      <c r="F685" s="206"/>
      <c r="G685" s="167"/>
      <c r="H685" s="166"/>
      <c r="I685" s="167"/>
      <c r="J685" s="168"/>
      <c r="K685" s="169"/>
      <c r="L685" s="207"/>
      <c r="M685" s="207"/>
      <c r="N685" s="207"/>
    </row>
    <row r="686">
      <c r="A686" s="203"/>
      <c r="B686" s="204"/>
      <c r="C686" s="205"/>
      <c r="D686" s="205"/>
      <c r="E686" s="166"/>
      <c r="F686" s="206"/>
      <c r="G686" s="167"/>
      <c r="H686" s="166"/>
      <c r="I686" s="167"/>
      <c r="J686" s="168"/>
      <c r="K686" s="169"/>
      <c r="L686" s="207"/>
      <c r="M686" s="207"/>
      <c r="N686" s="207"/>
    </row>
    <row r="687">
      <c r="A687" s="203"/>
      <c r="B687" s="204"/>
      <c r="C687" s="205"/>
      <c r="D687" s="205"/>
      <c r="E687" s="166"/>
      <c r="F687" s="206"/>
      <c r="G687" s="167"/>
      <c r="H687" s="166"/>
      <c r="I687" s="167"/>
      <c r="J687" s="168"/>
      <c r="K687" s="169"/>
      <c r="L687" s="207"/>
      <c r="M687" s="207"/>
      <c r="N687" s="207"/>
    </row>
    <row r="688">
      <c r="A688" s="203"/>
      <c r="B688" s="204"/>
      <c r="C688" s="205"/>
      <c r="D688" s="205"/>
      <c r="E688" s="166"/>
      <c r="F688" s="206"/>
      <c r="G688" s="167"/>
      <c r="H688" s="166"/>
      <c r="I688" s="167"/>
      <c r="J688" s="168"/>
      <c r="K688" s="169"/>
      <c r="L688" s="207"/>
      <c r="M688" s="207"/>
      <c r="N688" s="207"/>
    </row>
    <row r="689">
      <c r="A689" s="203"/>
      <c r="B689" s="204"/>
      <c r="C689" s="205"/>
      <c r="D689" s="205"/>
      <c r="E689" s="166"/>
      <c r="F689" s="206"/>
      <c r="G689" s="167"/>
      <c r="H689" s="166"/>
      <c r="I689" s="167"/>
      <c r="J689" s="168"/>
      <c r="K689" s="169"/>
      <c r="L689" s="207"/>
      <c r="M689" s="207"/>
      <c r="N689" s="207"/>
    </row>
    <row r="690">
      <c r="A690" s="203"/>
      <c r="B690" s="204"/>
      <c r="C690" s="205"/>
      <c r="D690" s="205"/>
      <c r="E690" s="166"/>
      <c r="F690" s="206"/>
      <c r="G690" s="167"/>
      <c r="H690" s="166"/>
      <c r="I690" s="167"/>
      <c r="J690" s="168"/>
      <c r="K690" s="169"/>
      <c r="L690" s="207"/>
      <c r="M690" s="207"/>
      <c r="N690" s="207"/>
    </row>
    <row r="691">
      <c r="A691" s="203"/>
      <c r="B691" s="204"/>
      <c r="C691" s="205"/>
      <c r="D691" s="205"/>
      <c r="E691" s="166"/>
      <c r="F691" s="206"/>
      <c r="G691" s="167"/>
      <c r="H691" s="166"/>
      <c r="I691" s="167"/>
      <c r="J691" s="168"/>
      <c r="K691" s="169"/>
      <c r="L691" s="207"/>
      <c r="M691" s="207"/>
      <c r="N691" s="207"/>
    </row>
    <row r="692">
      <c r="A692" s="203"/>
      <c r="B692" s="204"/>
      <c r="C692" s="205"/>
      <c r="D692" s="205"/>
      <c r="E692" s="166"/>
      <c r="F692" s="206"/>
      <c r="G692" s="167"/>
      <c r="H692" s="166"/>
      <c r="I692" s="167"/>
      <c r="J692" s="168"/>
      <c r="K692" s="169"/>
      <c r="L692" s="207"/>
      <c r="M692" s="207"/>
      <c r="N692" s="207"/>
    </row>
    <row r="693">
      <c r="A693" s="203"/>
      <c r="B693" s="204"/>
      <c r="C693" s="205"/>
      <c r="D693" s="205"/>
      <c r="E693" s="166"/>
      <c r="F693" s="206"/>
      <c r="G693" s="167"/>
      <c r="H693" s="166"/>
      <c r="I693" s="167"/>
      <c r="J693" s="168"/>
      <c r="K693" s="169"/>
      <c r="L693" s="207"/>
      <c r="M693" s="207"/>
      <c r="N693" s="207"/>
    </row>
    <row r="694">
      <c r="A694" s="203"/>
      <c r="B694" s="204"/>
      <c r="C694" s="205"/>
      <c r="D694" s="205"/>
      <c r="E694" s="166"/>
      <c r="F694" s="206"/>
      <c r="G694" s="167"/>
      <c r="H694" s="166"/>
      <c r="I694" s="167"/>
      <c r="J694" s="168"/>
      <c r="K694" s="169"/>
      <c r="L694" s="207"/>
      <c r="M694" s="207"/>
      <c r="N694" s="207"/>
    </row>
    <row r="695">
      <c r="A695" s="203"/>
      <c r="B695" s="204"/>
      <c r="C695" s="205"/>
      <c r="D695" s="205"/>
      <c r="E695" s="166"/>
      <c r="F695" s="206"/>
      <c r="G695" s="167"/>
      <c r="H695" s="166"/>
      <c r="I695" s="167"/>
      <c r="J695" s="168"/>
      <c r="K695" s="169"/>
      <c r="L695" s="207"/>
      <c r="M695" s="207"/>
      <c r="N695" s="207"/>
    </row>
    <row r="696">
      <c r="A696" s="203"/>
      <c r="B696" s="204"/>
      <c r="C696" s="205"/>
      <c r="D696" s="205"/>
      <c r="E696" s="166"/>
      <c r="F696" s="206"/>
      <c r="G696" s="167"/>
      <c r="H696" s="166"/>
      <c r="I696" s="167"/>
      <c r="J696" s="168"/>
      <c r="K696" s="169"/>
      <c r="L696" s="207"/>
      <c r="M696" s="207"/>
      <c r="N696" s="207"/>
    </row>
    <row r="697">
      <c r="A697" s="203"/>
      <c r="B697" s="204"/>
      <c r="C697" s="205"/>
      <c r="D697" s="205"/>
      <c r="E697" s="166"/>
      <c r="F697" s="206"/>
      <c r="G697" s="167"/>
      <c r="H697" s="166"/>
      <c r="I697" s="167"/>
      <c r="J697" s="168"/>
      <c r="K697" s="169"/>
      <c r="L697" s="207"/>
      <c r="M697" s="207"/>
      <c r="N697" s="207"/>
    </row>
    <row r="698">
      <c r="A698" s="203"/>
      <c r="B698" s="204"/>
      <c r="C698" s="205"/>
      <c r="D698" s="205"/>
      <c r="E698" s="166"/>
      <c r="F698" s="206"/>
      <c r="G698" s="167"/>
      <c r="H698" s="166"/>
      <c r="I698" s="167"/>
      <c r="J698" s="168"/>
      <c r="K698" s="169"/>
      <c r="L698" s="207"/>
      <c r="M698" s="207"/>
      <c r="N698" s="207"/>
    </row>
    <row r="699">
      <c r="A699" s="203"/>
      <c r="B699" s="204"/>
      <c r="C699" s="205"/>
      <c r="D699" s="205"/>
      <c r="E699" s="166"/>
      <c r="F699" s="206"/>
      <c r="G699" s="167"/>
      <c r="H699" s="166"/>
      <c r="I699" s="167"/>
      <c r="J699" s="168"/>
      <c r="K699" s="169"/>
      <c r="L699" s="207"/>
      <c r="M699" s="207"/>
      <c r="N699" s="207"/>
    </row>
    <row r="700">
      <c r="A700" s="203"/>
      <c r="B700" s="204"/>
      <c r="C700" s="205"/>
      <c r="D700" s="205"/>
      <c r="E700" s="166"/>
      <c r="F700" s="206"/>
      <c r="G700" s="167"/>
      <c r="H700" s="166"/>
      <c r="I700" s="167"/>
      <c r="J700" s="168"/>
      <c r="K700" s="169"/>
      <c r="L700" s="207"/>
      <c r="M700" s="207"/>
      <c r="N700" s="207"/>
    </row>
    <row r="701">
      <c r="A701" s="203"/>
      <c r="B701" s="204"/>
      <c r="C701" s="205"/>
      <c r="D701" s="205"/>
      <c r="E701" s="166"/>
      <c r="F701" s="206"/>
      <c r="G701" s="167"/>
      <c r="H701" s="166"/>
      <c r="I701" s="167"/>
      <c r="J701" s="168"/>
      <c r="K701" s="169"/>
      <c r="L701" s="207"/>
      <c r="M701" s="207"/>
      <c r="N701" s="207"/>
    </row>
    <row r="702">
      <c r="A702" s="203"/>
      <c r="B702" s="204"/>
      <c r="C702" s="205"/>
      <c r="D702" s="205"/>
      <c r="E702" s="166"/>
      <c r="F702" s="206"/>
      <c r="G702" s="167"/>
      <c r="H702" s="166"/>
      <c r="I702" s="167"/>
      <c r="J702" s="168"/>
      <c r="K702" s="169"/>
      <c r="L702" s="207"/>
      <c r="M702" s="207"/>
      <c r="N702" s="207"/>
    </row>
    <row r="703">
      <c r="A703" s="203"/>
      <c r="B703" s="204"/>
      <c r="C703" s="205"/>
      <c r="D703" s="205"/>
      <c r="E703" s="166"/>
      <c r="F703" s="206"/>
      <c r="G703" s="167"/>
      <c r="H703" s="166"/>
      <c r="I703" s="167"/>
      <c r="J703" s="168"/>
      <c r="K703" s="169"/>
      <c r="L703" s="207"/>
      <c r="M703" s="207"/>
      <c r="N703" s="207"/>
    </row>
    <row r="704">
      <c r="A704" s="203"/>
      <c r="B704" s="204"/>
      <c r="C704" s="205"/>
      <c r="D704" s="205"/>
      <c r="E704" s="166"/>
      <c r="F704" s="206"/>
      <c r="G704" s="167"/>
      <c r="H704" s="166"/>
      <c r="I704" s="167"/>
      <c r="J704" s="168"/>
      <c r="K704" s="169"/>
      <c r="L704" s="207"/>
      <c r="M704" s="207"/>
      <c r="N704" s="207"/>
    </row>
    <row r="705">
      <c r="A705" s="203"/>
      <c r="B705" s="204"/>
      <c r="C705" s="205"/>
      <c r="D705" s="205"/>
      <c r="E705" s="166"/>
      <c r="F705" s="206"/>
      <c r="G705" s="167"/>
      <c r="H705" s="166"/>
      <c r="I705" s="167"/>
      <c r="J705" s="168"/>
      <c r="K705" s="169"/>
      <c r="L705" s="207"/>
      <c r="M705" s="207"/>
      <c r="N705" s="207"/>
    </row>
    <row r="706">
      <c r="A706" s="203"/>
      <c r="B706" s="204"/>
      <c r="C706" s="205"/>
      <c r="D706" s="205"/>
      <c r="E706" s="166"/>
      <c r="F706" s="206"/>
      <c r="G706" s="167"/>
      <c r="H706" s="166"/>
      <c r="I706" s="167"/>
      <c r="J706" s="168"/>
      <c r="K706" s="169"/>
      <c r="L706" s="207"/>
      <c r="M706" s="207"/>
      <c r="N706" s="207"/>
    </row>
    <row r="707">
      <c r="A707" s="203"/>
      <c r="B707" s="204"/>
      <c r="C707" s="205"/>
      <c r="D707" s="205"/>
      <c r="E707" s="166"/>
      <c r="F707" s="206"/>
      <c r="G707" s="167"/>
      <c r="H707" s="166"/>
      <c r="I707" s="167"/>
      <c r="J707" s="168"/>
      <c r="K707" s="169"/>
      <c r="L707" s="207"/>
      <c r="M707" s="207"/>
      <c r="N707" s="207"/>
    </row>
    <row r="708">
      <c r="A708" s="203"/>
      <c r="B708" s="204"/>
      <c r="C708" s="205"/>
      <c r="D708" s="205"/>
      <c r="E708" s="166"/>
      <c r="F708" s="206"/>
      <c r="G708" s="167"/>
      <c r="H708" s="166"/>
      <c r="I708" s="167"/>
      <c r="J708" s="168"/>
      <c r="K708" s="169"/>
      <c r="L708" s="207"/>
      <c r="M708" s="207"/>
      <c r="N708" s="207"/>
    </row>
    <row r="709">
      <c r="A709" s="203"/>
      <c r="B709" s="204"/>
      <c r="C709" s="205"/>
      <c r="D709" s="205"/>
      <c r="E709" s="166"/>
      <c r="F709" s="206"/>
      <c r="G709" s="167"/>
      <c r="H709" s="166"/>
      <c r="I709" s="167"/>
      <c r="J709" s="168"/>
      <c r="K709" s="169"/>
      <c r="L709" s="207"/>
      <c r="M709" s="207"/>
      <c r="N709" s="207"/>
    </row>
    <row r="710">
      <c r="A710" s="203"/>
      <c r="B710" s="204"/>
      <c r="C710" s="205"/>
      <c r="D710" s="205"/>
      <c r="E710" s="166"/>
      <c r="F710" s="206"/>
      <c r="G710" s="167"/>
      <c r="H710" s="166"/>
      <c r="I710" s="167"/>
      <c r="J710" s="168"/>
      <c r="K710" s="169"/>
      <c r="L710" s="207"/>
      <c r="M710" s="207"/>
      <c r="N710" s="207"/>
    </row>
    <row r="711">
      <c r="A711" s="203"/>
      <c r="B711" s="204"/>
      <c r="C711" s="205"/>
      <c r="D711" s="205"/>
      <c r="E711" s="166"/>
      <c r="F711" s="206"/>
      <c r="G711" s="167"/>
      <c r="H711" s="166"/>
      <c r="I711" s="167"/>
      <c r="J711" s="168"/>
      <c r="K711" s="169"/>
      <c r="L711" s="207"/>
      <c r="M711" s="207"/>
      <c r="N711" s="207"/>
    </row>
    <row r="712">
      <c r="A712" s="203"/>
      <c r="B712" s="204"/>
      <c r="C712" s="205"/>
      <c r="D712" s="205"/>
      <c r="E712" s="166"/>
      <c r="F712" s="206"/>
      <c r="G712" s="167"/>
      <c r="H712" s="166"/>
      <c r="I712" s="167"/>
      <c r="J712" s="168"/>
      <c r="K712" s="169"/>
      <c r="L712" s="207"/>
      <c r="M712" s="207"/>
      <c r="N712" s="207"/>
    </row>
    <row r="713">
      <c r="A713" s="203"/>
      <c r="B713" s="204"/>
      <c r="C713" s="205"/>
      <c r="D713" s="205"/>
      <c r="E713" s="166"/>
      <c r="F713" s="206"/>
      <c r="G713" s="167"/>
      <c r="H713" s="166"/>
      <c r="I713" s="167"/>
      <c r="J713" s="168"/>
      <c r="K713" s="169"/>
      <c r="L713" s="207"/>
      <c r="M713" s="207"/>
      <c r="N713" s="207"/>
    </row>
    <row r="714">
      <c r="A714" s="203"/>
      <c r="B714" s="204"/>
      <c r="C714" s="205"/>
      <c r="D714" s="205"/>
      <c r="E714" s="166"/>
      <c r="F714" s="206"/>
      <c r="G714" s="167"/>
      <c r="H714" s="166"/>
      <c r="I714" s="167"/>
      <c r="J714" s="168"/>
      <c r="K714" s="169"/>
      <c r="L714" s="207"/>
      <c r="M714" s="207"/>
      <c r="N714" s="207"/>
    </row>
    <row r="715">
      <c r="A715" s="203"/>
      <c r="B715" s="204"/>
      <c r="C715" s="205"/>
      <c r="D715" s="205"/>
      <c r="E715" s="166"/>
      <c r="F715" s="206"/>
      <c r="G715" s="167"/>
      <c r="H715" s="166"/>
      <c r="I715" s="167"/>
      <c r="J715" s="168"/>
      <c r="K715" s="169"/>
      <c r="L715" s="207"/>
      <c r="M715" s="207"/>
      <c r="N715" s="207"/>
    </row>
    <row r="716">
      <c r="A716" s="203"/>
      <c r="B716" s="204"/>
      <c r="C716" s="205"/>
      <c r="D716" s="205"/>
      <c r="E716" s="166"/>
      <c r="F716" s="206"/>
      <c r="G716" s="167"/>
      <c r="H716" s="166"/>
      <c r="I716" s="167"/>
      <c r="J716" s="168"/>
      <c r="K716" s="169"/>
      <c r="L716" s="207"/>
      <c r="M716" s="207"/>
      <c r="N716" s="207"/>
    </row>
    <row r="717">
      <c r="A717" s="203"/>
      <c r="B717" s="204"/>
      <c r="C717" s="205"/>
      <c r="D717" s="205"/>
      <c r="E717" s="166"/>
      <c r="F717" s="206"/>
      <c r="G717" s="167"/>
      <c r="H717" s="166"/>
      <c r="I717" s="167"/>
      <c r="J717" s="168"/>
      <c r="K717" s="169"/>
      <c r="L717" s="207"/>
      <c r="M717" s="207"/>
      <c r="N717" s="207"/>
    </row>
    <row r="718">
      <c r="A718" s="203"/>
      <c r="B718" s="204"/>
      <c r="C718" s="205"/>
      <c r="D718" s="205"/>
      <c r="E718" s="166"/>
      <c r="F718" s="206"/>
      <c r="G718" s="167"/>
      <c r="H718" s="166"/>
      <c r="I718" s="167"/>
      <c r="J718" s="168"/>
      <c r="K718" s="169"/>
      <c r="L718" s="207"/>
      <c r="M718" s="207"/>
      <c r="N718" s="207"/>
    </row>
    <row r="719">
      <c r="A719" s="203"/>
      <c r="B719" s="204"/>
      <c r="C719" s="205"/>
      <c r="D719" s="205"/>
      <c r="E719" s="166"/>
      <c r="F719" s="206"/>
      <c r="G719" s="167"/>
      <c r="H719" s="166"/>
      <c r="I719" s="167"/>
      <c r="J719" s="168"/>
      <c r="K719" s="169"/>
      <c r="L719" s="207"/>
      <c r="M719" s="207"/>
      <c r="N719" s="207"/>
    </row>
    <row r="720">
      <c r="A720" s="203"/>
      <c r="B720" s="204"/>
      <c r="C720" s="205"/>
      <c r="D720" s="205"/>
      <c r="E720" s="166"/>
      <c r="F720" s="206"/>
      <c r="G720" s="167"/>
      <c r="H720" s="166"/>
      <c r="I720" s="167"/>
      <c r="J720" s="168"/>
      <c r="K720" s="169"/>
      <c r="L720" s="207"/>
      <c r="M720" s="207"/>
      <c r="N720" s="207"/>
    </row>
    <row r="721">
      <c r="A721" s="203"/>
      <c r="B721" s="204"/>
      <c r="C721" s="205"/>
      <c r="D721" s="205"/>
      <c r="E721" s="166"/>
      <c r="F721" s="206"/>
      <c r="G721" s="167"/>
      <c r="H721" s="166"/>
      <c r="I721" s="167"/>
      <c r="J721" s="168"/>
      <c r="K721" s="169"/>
      <c r="L721" s="207"/>
      <c r="M721" s="207"/>
      <c r="N721" s="207"/>
    </row>
    <row r="722">
      <c r="A722" s="203"/>
      <c r="B722" s="204"/>
      <c r="C722" s="205"/>
      <c r="D722" s="205"/>
      <c r="E722" s="166"/>
      <c r="F722" s="206"/>
      <c r="G722" s="167"/>
      <c r="H722" s="166"/>
      <c r="I722" s="167"/>
      <c r="J722" s="168"/>
      <c r="K722" s="169"/>
      <c r="L722" s="207"/>
      <c r="M722" s="207"/>
      <c r="N722" s="207"/>
    </row>
    <row r="723">
      <c r="A723" s="203"/>
      <c r="B723" s="204"/>
      <c r="C723" s="205"/>
      <c r="D723" s="205"/>
      <c r="E723" s="166"/>
      <c r="F723" s="206"/>
      <c r="G723" s="167"/>
      <c r="H723" s="166"/>
      <c r="I723" s="167"/>
      <c r="J723" s="168"/>
      <c r="K723" s="169"/>
      <c r="L723" s="207"/>
      <c r="M723" s="207"/>
      <c r="N723" s="207"/>
    </row>
    <row r="724">
      <c r="A724" s="203"/>
      <c r="B724" s="204"/>
      <c r="C724" s="205"/>
      <c r="D724" s="205"/>
      <c r="E724" s="166"/>
      <c r="F724" s="206"/>
      <c r="G724" s="167"/>
      <c r="H724" s="166"/>
      <c r="I724" s="167"/>
      <c r="J724" s="168"/>
      <c r="K724" s="169"/>
      <c r="L724" s="207"/>
      <c r="M724" s="207"/>
      <c r="N724" s="207"/>
    </row>
    <row r="725">
      <c r="A725" s="203"/>
      <c r="B725" s="204"/>
      <c r="C725" s="205"/>
      <c r="D725" s="205"/>
      <c r="E725" s="166"/>
      <c r="F725" s="206"/>
      <c r="G725" s="167"/>
      <c r="H725" s="166"/>
      <c r="I725" s="167"/>
      <c r="J725" s="168"/>
      <c r="K725" s="169"/>
      <c r="L725" s="207"/>
      <c r="M725" s="207"/>
      <c r="N725" s="207"/>
    </row>
    <row r="726">
      <c r="A726" s="203"/>
      <c r="B726" s="204"/>
      <c r="C726" s="205"/>
      <c r="D726" s="205"/>
      <c r="E726" s="166"/>
      <c r="F726" s="206"/>
      <c r="G726" s="167"/>
      <c r="H726" s="166"/>
      <c r="I726" s="167"/>
      <c r="J726" s="168"/>
      <c r="K726" s="169"/>
      <c r="L726" s="207"/>
      <c r="M726" s="207"/>
      <c r="N726" s="207"/>
    </row>
    <row r="727">
      <c r="A727" s="203"/>
      <c r="B727" s="204"/>
      <c r="C727" s="205"/>
      <c r="D727" s="205"/>
      <c r="E727" s="166"/>
      <c r="F727" s="206"/>
      <c r="G727" s="167"/>
      <c r="H727" s="166"/>
      <c r="I727" s="167"/>
      <c r="J727" s="168"/>
      <c r="K727" s="169"/>
      <c r="L727" s="207"/>
      <c r="M727" s="207"/>
      <c r="N727" s="207"/>
    </row>
    <row r="728">
      <c r="A728" s="203"/>
      <c r="B728" s="204"/>
      <c r="C728" s="205"/>
      <c r="D728" s="205"/>
      <c r="E728" s="166"/>
      <c r="F728" s="206"/>
      <c r="G728" s="167"/>
      <c r="H728" s="166"/>
      <c r="I728" s="167"/>
      <c r="J728" s="168"/>
      <c r="K728" s="169"/>
      <c r="L728" s="207"/>
      <c r="M728" s="207"/>
      <c r="N728" s="207"/>
    </row>
    <row r="729">
      <c r="A729" s="203"/>
      <c r="B729" s="204"/>
      <c r="C729" s="205"/>
      <c r="D729" s="205"/>
      <c r="E729" s="166"/>
      <c r="F729" s="206"/>
      <c r="G729" s="167"/>
      <c r="H729" s="166"/>
      <c r="I729" s="167"/>
      <c r="J729" s="168"/>
      <c r="K729" s="169"/>
      <c r="L729" s="207"/>
      <c r="M729" s="207"/>
      <c r="N729" s="207"/>
    </row>
    <row r="730">
      <c r="A730" s="203"/>
      <c r="B730" s="204"/>
      <c r="C730" s="205"/>
      <c r="D730" s="205"/>
      <c r="E730" s="166"/>
      <c r="F730" s="206"/>
      <c r="G730" s="167"/>
      <c r="H730" s="166"/>
      <c r="I730" s="167"/>
      <c r="J730" s="168"/>
      <c r="K730" s="169"/>
      <c r="L730" s="207"/>
      <c r="M730" s="207"/>
      <c r="N730" s="207"/>
    </row>
    <row r="731">
      <c r="A731" s="203"/>
      <c r="B731" s="204"/>
      <c r="C731" s="205"/>
      <c r="D731" s="205"/>
      <c r="E731" s="166"/>
      <c r="F731" s="206"/>
      <c r="G731" s="167"/>
      <c r="H731" s="166"/>
      <c r="I731" s="167"/>
      <c r="J731" s="168"/>
      <c r="K731" s="169"/>
      <c r="L731" s="207"/>
      <c r="M731" s="207"/>
      <c r="N731" s="207"/>
    </row>
    <row r="732">
      <c r="A732" s="203"/>
      <c r="B732" s="204"/>
      <c r="C732" s="205"/>
      <c r="D732" s="205"/>
      <c r="E732" s="166"/>
      <c r="F732" s="206"/>
      <c r="G732" s="167"/>
      <c r="H732" s="166"/>
      <c r="I732" s="167"/>
      <c r="J732" s="168"/>
      <c r="K732" s="169"/>
      <c r="L732" s="207"/>
      <c r="M732" s="207"/>
      <c r="N732" s="207"/>
    </row>
    <row r="733">
      <c r="A733" s="203"/>
      <c r="B733" s="204"/>
      <c r="C733" s="205"/>
      <c r="D733" s="205"/>
      <c r="E733" s="166"/>
      <c r="F733" s="206"/>
      <c r="G733" s="167"/>
      <c r="H733" s="166"/>
      <c r="I733" s="167"/>
      <c r="J733" s="168"/>
      <c r="K733" s="169"/>
      <c r="L733" s="207"/>
      <c r="M733" s="207"/>
      <c r="N733" s="207"/>
    </row>
    <row r="734">
      <c r="A734" s="203"/>
      <c r="B734" s="204"/>
      <c r="C734" s="205"/>
      <c r="D734" s="205"/>
      <c r="E734" s="166"/>
      <c r="F734" s="206"/>
      <c r="G734" s="167"/>
      <c r="H734" s="166"/>
      <c r="I734" s="167"/>
      <c r="J734" s="168"/>
      <c r="K734" s="169"/>
      <c r="L734" s="207"/>
      <c r="M734" s="207"/>
      <c r="N734" s="207"/>
    </row>
    <row r="735">
      <c r="A735" s="203"/>
      <c r="B735" s="204"/>
      <c r="C735" s="205"/>
      <c r="D735" s="205"/>
      <c r="E735" s="166"/>
      <c r="F735" s="206"/>
      <c r="G735" s="167"/>
      <c r="H735" s="166"/>
      <c r="I735" s="167"/>
      <c r="J735" s="168"/>
      <c r="K735" s="169"/>
      <c r="L735" s="207"/>
      <c r="M735" s="207"/>
      <c r="N735" s="207"/>
    </row>
    <row r="736">
      <c r="A736" s="203"/>
      <c r="B736" s="204"/>
      <c r="C736" s="205"/>
      <c r="D736" s="205"/>
      <c r="E736" s="166"/>
      <c r="F736" s="206"/>
      <c r="G736" s="167"/>
      <c r="H736" s="166"/>
      <c r="I736" s="167"/>
      <c r="J736" s="168"/>
      <c r="K736" s="169"/>
      <c r="L736" s="207"/>
      <c r="M736" s="207"/>
      <c r="N736" s="207"/>
    </row>
    <row r="737">
      <c r="A737" s="203"/>
      <c r="B737" s="204"/>
      <c r="C737" s="205"/>
      <c r="D737" s="205"/>
      <c r="E737" s="166"/>
      <c r="F737" s="206"/>
      <c r="G737" s="167"/>
      <c r="H737" s="166"/>
      <c r="I737" s="167"/>
      <c r="J737" s="168"/>
      <c r="K737" s="169"/>
      <c r="L737" s="207"/>
      <c r="M737" s="207"/>
      <c r="N737" s="207"/>
    </row>
    <row r="738">
      <c r="A738" s="203"/>
      <c r="B738" s="204"/>
      <c r="C738" s="205"/>
      <c r="D738" s="205"/>
      <c r="E738" s="166"/>
      <c r="F738" s="206"/>
      <c r="G738" s="167"/>
      <c r="H738" s="166"/>
      <c r="I738" s="167"/>
      <c r="J738" s="168"/>
      <c r="K738" s="169"/>
      <c r="L738" s="207"/>
      <c r="M738" s="207"/>
      <c r="N738" s="207"/>
    </row>
    <row r="739">
      <c r="A739" s="203"/>
      <c r="B739" s="204"/>
      <c r="C739" s="205"/>
      <c r="D739" s="205"/>
      <c r="E739" s="166"/>
      <c r="F739" s="206"/>
      <c r="G739" s="167"/>
      <c r="H739" s="166"/>
      <c r="I739" s="167"/>
      <c r="J739" s="168"/>
      <c r="K739" s="169"/>
      <c r="L739" s="207"/>
      <c r="M739" s="207"/>
      <c r="N739" s="207"/>
    </row>
    <row r="740">
      <c r="A740" s="203"/>
      <c r="B740" s="204"/>
      <c r="C740" s="205"/>
      <c r="D740" s="205"/>
      <c r="E740" s="166"/>
      <c r="F740" s="206"/>
      <c r="G740" s="167"/>
      <c r="H740" s="166"/>
      <c r="I740" s="167"/>
      <c r="J740" s="168"/>
      <c r="K740" s="169"/>
      <c r="L740" s="207"/>
      <c r="M740" s="207"/>
      <c r="N740" s="207"/>
    </row>
    <row r="741">
      <c r="A741" s="203"/>
      <c r="B741" s="204"/>
      <c r="C741" s="205"/>
      <c r="D741" s="205"/>
      <c r="E741" s="166"/>
      <c r="F741" s="206"/>
      <c r="G741" s="167"/>
      <c r="H741" s="166"/>
      <c r="I741" s="167"/>
      <c r="J741" s="168"/>
      <c r="K741" s="169"/>
      <c r="L741" s="207"/>
      <c r="M741" s="207"/>
      <c r="N741" s="207"/>
    </row>
    <row r="742">
      <c r="A742" s="203"/>
      <c r="B742" s="204"/>
      <c r="C742" s="205"/>
      <c r="D742" s="205"/>
      <c r="E742" s="166"/>
      <c r="F742" s="206"/>
      <c r="G742" s="167"/>
      <c r="H742" s="166"/>
      <c r="I742" s="167"/>
      <c r="J742" s="168"/>
      <c r="K742" s="169"/>
      <c r="L742" s="207"/>
      <c r="M742" s="207"/>
      <c r="N742" s="207"/>
    </row>
    <row r="743">
      <c r="A743" s="203"/>
      <c r="B743" s="204"/>
      <c r="C743" s="205"/>
      <c r="D743" s="205"/>
      <c r="E743" s="166"/>
      <c r="F743" s="206"/>
      <c r="G743" s="167"/>
      <c r="H743" s="166"/>
      <c r="I743" s="167"/>
      <c r="J743" s="168"/>
      <c r="K743" s="169"/>
      <c r="L743" s="207"/>
      <c r="M743" s="207"/>
      <c r="N743" s="207"/>
    </row>
    <row r="744">
      <c r="A744" s="203"/>
      <c r="B744" s="204"/>
      <c r="C744" s="205"/>
      <c r="D744" s="205"/>
      <c r="E744" s="166"/>
      <c r="F744" s="206"/>
      <c r="G744" s="167"/>
      <c r="H744" s="166"/>
      <c r="I744" s="167"/>
      <c r="J744" s="168"/>
      <c r="K744" s="169"/>
      <c r="L744" s="207"/>
      <c r="M744" s="207"/>
      <c r="N744" s="207"/>
    </row>
    <row r="745">
      <c r="A745" s="203"/>
      <c r="B745" s="204"/>
      <c r="C745" s="205"/>
      <c r="D745" s="205"/>
      <c r="E745" s="166"/>
      <c r="F745" s="206"/>
      <c r="G745" s="167"/>
      <c r="H745" s="166"/>
      <c r="I745" s="167"/>
      <c r="J745" s="168"/>
      <c r="K745" s="169"/>
      <c r="L745" s="207"/>
      <c r="M745" s="207"/>
      <c r="N745" s="207"/>
    </row>
    <row r="746">
      <c r="A746" s="203"/>
      <c r="B746" s="204"/>
      <c r="C746" s="205"/>
      <c r="D746" s="205"/>
      <c r="E746" s="166"/>
      <c r="F746" s="206"/>
      <c r="G746" s="167"/>
      <c r="H746" s="166"/>
      <c r="I746" s="167"/>
      <c r="J746" s="168"/>
      <c r="K746" s="169"/>
      <c r="L746" s="207"/>
      <c r="M746" s="207"/>
      <c r="N746" s="207"/>
    </row>
    <row r="747">
      <c r="A747" s="203"/>
      <c r="B747" s="204"/>
      <c r="C747" s="205"/>
      <c r="D747" s="205"/>
      <c r="E747" s="166"/>
      <c r="F747" s="206"/>
      <c r="G747" s="167"/>
      <c r="H747" s="166"/>
      <c r="I747" s="167"/>
      <c r="J747" s="168"/>
      <c r="K747" s="169"/>
      <c r="L747" s="207"/>
      <c r="M747" s="207"/>
      <c r="N747" s="207"/>
    </row>
    <row r="748">
      <c r="A748" s="203"/>
      <c r="B748" s="204"/>
      <c r="C748" s="205"/>
      <c r="D748" s="205"/>
      <c r="E748" s="166"/>
      <c r="F748" s="206"/>
      <c r="G748" s="167"/>
      <c r="H748" s="166"/>
      <c r="I748" s="167"/>
      <c r="J748" s="168"/>
      <c r="K748" s="169"/>
      <c r="L748" s="207"/>
      <c r="M748" s="207"/>
      <c r="N748" s="207"/>
    </row>
    <row r="749">
      <c r="A749" s="203"/>
      <c r="B749" s="204"/>
      <c r="C749" s="205"/>
      <c r="D749" s="205"/>
      <c r="E749" s="166"/>
      <c r="F749" s="206"/>
      <c r="G749" s="167"/>
      <c r="H749" s="166"/>
      <c r="I749" s="167"/>
      <c r="J749" s="168"/>
      <c r="K749" s="169"/>
      <c r="L749" s="207"/>
      <c r="M749" s="207"/>
      <c r="N749" s="207"/>
    </row>
    <row r="750">
      <c r="A750" s="203"/>
      <c r="B750" s="204"/>
      <c r="C750" s="205"/>
      <c r="D750" s="205"/>
      <c r="E750" s="166"/>
      <c r="F750" s="206"/>
      <c r="G750" s="167"/>
      <c r="H750" s="166"/>
      <c r="I750" s="167"/>
      <c r="J750" s="168"/>
      <c r="K750" s="169"/>
      <c r="L750" s="207"/>
      <c r="M750" s="207"/>
      <c r="N750" s="207"/>
    </row>
    <row r="751">
      <c r="A751" s="203"/>
      <c r="B751" s="204"/>
      <c r="C751" s="205"/>
      <c r="D751" s="205"/>
      <c r="E751" s="166"/>
      <c r="F751" s="206"/>
      <c r="G751" s="167"/>
      <c r="H751" s="166"/>
      <c r="I751" s="167"/>
      <c r="J751" s="168"/>
      <c r="K751" s="169"/>
      <c r="L751" s="207"/>
      <c r="M751" s="207"/>
      <c r="N751" s="207"/>
    </row>
    <row r="752">
      <c r="A752" s="203"/>
      <c r="B752" s="204"/>
      <c r="C752" s="205"/>
      <c r="D752" s="205"/>
      <c r="E752" s="166"/>
      <c r="F752" s="206"/>
      <c r="G752" s="167"/>
      <c r="H752" s="166"/>
      <c r="I752" s="167"/>
      <c r="J752" s="168"/>
      <c r="K752" s="169"/>
      <c r="L752" s="207"/>
      <c r="M752" s="207"/>
      <c r="N752" s="207"/>
    </row>
    <row r="753">
      <c r="A753" s="203"/>
      <c r="B753" s="204"/>
      <c r="C753" s="205"/>
      <c r="D753" s="205"/>
      <c r="E753" s="166"/>
      <c r="F753" s="206"/>
      <c r="G753" s="167"/>
      <c r="H753" s="166"/>
      <c r="I753" s="167"/>
      <c r="J753" s="168"/>
      <c r="K753" s="169"/>
      <c r="L753" s="207"/>
      <c r="M753" s="207"/>
      <c r="N753" s="207"/>
    </row>
    <row r="754">
      <c r="A754" s="203"/>
      <c r="B754" s="204"/>
      <c r="C754" s="205"/>
      <c r="D754" s="205"/>
      <c r="E754" s="166"/>
      <c r="F754" s="206"/>
      <c r="G754" s="167"/>
      <c r="H754" s="166"/>
      <c r="I754" s="167"/>
      <c r="J754" s="168"/>
      <c r="K754" s="169"/>
      <c r="L754" s="207"/>
      <c r="M754" s="207"/>
      <c r="N754" s="207"/>
    </row>
    <row r="755">
      <c r="A755" s="203"/>
      <c r="B755" s="204"/>
      <c r="C755" s="205"/>
      <c r="D755" s="205"/>
      <c r="E755" s="166"/>
      <c r="F755" s="206"/>
      <c r="G755" s="167"/>
      <c r="H755" s="166"/>
      <c r="I755" s="167"/>
      <c r="J755" s="168"/>
      <c r="K755" s="169"/>
      <c r="L755" s="207"/>
      <c r="M755" s="207"/>
      <c r="N755" s="207"/>
    </row>
    <row r="756">
      <c r="A756" s="203"/>
      <c r="B756" s="204"/>
      <c r="C756" s="205"/>
      <c r="D756" s="205"/>
      <c r="E756" s="166"/>
      <c r="F756" s="206"/>
      <c r="G756" s="167"/>
      <c r="H756" s="166"/>
      <c r="I756" s="167"/>
      <c r="J756" s="168"/>
      <c r="K756" s="169"/>
      <c r="L756" s="207"/>
      <c r="M756" s="207"/>
      <c r="N756" s="207"/>
    </row>
    <row r="757">
      <c r="A757" s="203"/>
      <c r="B757" s="204"/>
      <c r="C757" s="205"/>
      <c r="D757" s="205"/>
      <c r="E757" s="166"/>
      <c r="F757" s="206"/>
      <c r="G757" s="167"/>
      <c r="H757" s="166"/>
      <c r="I757" s="167"/>
      <c r="J757" s="168"/>
      <c r="K757" s="169"/>
      <c r="L757" s="207"/>
      <c r="M757" s="207"/>
      <c r="N757" s="207"/>
    </row>
    <row r="758">
      <c r="A758" s="203"/>
      <c r="B758" s="204"/>
      <c r="C758" s="205"/>
      <c r="D758" s="205"/>
      <c r="E758" s="166"/>
      <c r="F758" s="206"/>
      <c r="G758" s="167"/>
      <c r="H758" s="166"/>
      <c r="I758" s="167"/>
      <c r="J758" s="168"/>
      <c r="K758" s="169"/>
      <c r="L758" s="207"/>
      <c r="M758" s="207"/>
      <c r="N758" s="207"/>
    </row>
    <row r="759">
      <c r="A759" s="203"/>
      <c r="B759" s="204"/>
      <c r="C759" s="205"/>
      <c r="D759" s="205"/>
      <c r="E759" s="166"/>
      <c r="F759" s="206"/>
      <c r="G759" s="167"/>
      <c r="H759" s="166"/>
      <c r="I759" s="167"/>
      <c r="J759" s="168"/>
      <c r="K759" s="169"/>
      <c r="L759" s="207"/>
      <c r="M759" s="207"/>
      <c r="N759" s="207"/>
    </row>
    <row r="760">
      <c r="A760" s="203"/>
      <c r="B760" s="204"/>
      <c r="C760" s="205"/>
      <c r="D760" s="205"/>
      <c r="E760" s="166"/>
      <c r="F760" s="206"/>
      <c r="G760" s="167"/>
      <c r="H760" s="166"/>
      <c r="I760" s="167"/>
      <c r="J760" s="168"/>
      <c r="K760" s="169"/>
      <c r="L760" s="207"/>
      <c r="M760" s="207"/>
      <c r="N760" s="207"/>
    </row>
    <row r="761">
      <c r="A761" s="203"/>
      <c r="B761" s="204"/>
      <c r="C761" s="205"/>
      <c r="D761" s="205"/>
      <c r="E761" s="166"/>
      <c r="F761" s="206"/>
      <c r="G761" s="167"/>
      <c r="H761" s="166"/>
      <c r="I761" s="167"/>
      <c r="J761" s="168"/>
      <c r="K761" s="169"/>
      <c r="L761" s="207"/>
      <c r="M761" s="207"/>
      <c r="N761" s="207"/>
    </row>
    <row r="762">
      <c r="A762" s="203"/>
      <c r="B762" s="204"/>
      <c r="C762" s="205"/>
      <c r="D762" s="205"/>
      <c r="E762" s="166"/>
      <c r="F762" s="206"/>
      <c r="G762" s="167"/>
      <c r="H762" s="166"/>
      <c r="I762" s="167"/>
      <c r="J762" s="168"/>
      <c r="K762" s="169"/>
      <c r="L762" s="207"/>
      <c r="M762" s="207"/>
      <c r="N762" s="207"/>
    </row>
    <row r="763">
      <c r="A763" s="203"/>
      <c r="B763" s="204"/>
      <c r="C763" s="205"/>
      <c r="D763" s="205"/>
      <c r="E763" s="166"/>
      <c r="F763" s="206"/>
      <c r="G763" s="167"/>
      <c r="H763" s="166"/>
      <c r="I763" s="167"/>
      <c r="J763" s="168"/>
      <c r="K763" s="169"/>
      <c r="L763" s="207"/>
      <c r="M763" s="207"/>
      <c r="N763" s="207"/>
    </row>
    <row r="764">
      <c r="A764" s="203"/>
      <c r="B764" s="204"/>
      <c r="C764" s="205"/>
      <c r="D764" s="205"/>
      <c r="E764" s="166"/>
      <c r="F764" s="206"/>
      <c r="G764" s="167"/>
      <c r="H764" s="166"/>
      <c r="I764" s="167"/>
      <c r="J764" s="168"/>
      <c r="K764" s="169"/>
      <c r="L764" s="207"/>
      <c r="M764" s="207"/>
      <c r="N764" s="207"/>
    </row>
    <row r="765">
      <c r="A765" s="203"/>
      <c r="B765" s="204"/>
      <c r="C765" s="205"/>
      <c r="D765" s="205"/>
      <c r="E765" s="166"/>
      <c r="F765" s="206"/>
      <c r="G765" s="167"/>
      <c r="H765" s="166"/>
      <c r="I765" s="167"/>
      <c r="J765" s="168"/>
      <c r="K765" s="169"/>
      <c r="L765" s="207"/>
      <c r="M765" s="207"/>
      <c r="N765" s="207"/>
    </row>
    <row r="766">
      <c r="A766" s="203"/>
      <c r="B766" s="204"/>
      <c r="C766" s="205"/>
      <c r="D766" s="205"/>
      <c r="E766" s="166"/>
      <c r="F766" s="206"/>
      <c r="G766" s="167"/>
      <c r="H766" s="166"/>
      <c r="I766" s="167"/>
      <c r="J766" s="168"/>
      <c r="K766" s="169"/>
      <c r="L766" s="207"/>
      <c r="M766" s="207"/>
      <c r="N766" s="207"/>
    </row>
    <row r="767">
      <c r="A767" s="203"/>
      <c r="B767" s="204"/>
      <c r="C767" s="205"/>
      <c r="D767" s="205"/>
      <c r="E767" s="166"/>
      <c r="F767" s="206"/>
      <c r="G767" s="167"/>
      <c r="H767" s="166"/>
      <c r="I767" s="167"/>
      <c r="J767" s="168"/>
      <c r="K767" s="169"/>
      <c r="L767" s="207"/>
      <c r="M767" s="207"/>
      <c r="N767" s="207"/>
    </row>
    <row r="768">
      <c r="A768" s="203"/>
      <c r="B768" s="204"/>
      <c r="C768" s="205"/>
      <c r="D768" s="205"/>
      <c r="E768" s="166"/>
      <c r="F768" s="206"/>
      <c r="G768" s="167"/>
      <c r="H768" s="166"/>
      <c r="I768" s="167"/>
      <c r="J768" s="168"/>
      <c r="K768" s="169"/>
      <c r="L768" s="207"/>
      <c r="M768" s="207"/>
      <c r="N768" s="207"/>
    </row>
    <row r="769">
      <c r="A769" s="203"/>
      <c r="B769" s="204"/>
      <c r="C769" s="205"/>
      <c r="D769" s="205"/>
      <c r="E769" s="166"/>
      <c r="F769" s="206"/>
      <c r="G769" s="167"/>
      <c r="H769" s="166"/>
      <c r="I769" s="167"/>
      <c r="J769" s="168"/>
      <c r="K769" s="169"/>
      <c r="L769" s="207"/>
      <c r="M769" s="207"/>
      <c r="N769" s="207"/>
    </row>
    <row r="770">
      <c r="A770" s="203"/>
      <c r="B770" s="204"/>
      <c r="C770" s="205"/>
      <c r="D770" s="205"/>
      <c r="E770" s="166"/>
      <c r="F770" s="206"/>
      <c r="G770" s="167"/>
      <c r="H770" s="166"/>
      <c r="I770" s="167"/>
      <c r="J770" s="168"/>
      <c r="K770" s="169"/>
      <c r="L770" s="207"/>
      <c r="M770" s="207"/>
      <c r="N770" s="207"/>
    </row>
    <row r="771">
      <c r="A771" s="203"/>
      <c r="B771" s="204"/>
      <c r="C771" s="205"/>
      <c r="D771" s="205"/>
      <c r="E771" s="166"/>
      <c r="F771" s="206"/>
      <c r="G771" s="167"/>
      <c r="H771" s="166"/>
      <c r="I771" s="167"/>
      <c r="J771" s="168"/>
      <c r="K771" s="169"/>
      <c r="L771" s="207"/>
      <c r="M771" s="207"/>
      <c r="N771" s="207"/>
    </row>
    <row r="772">
      <c r="A772" s="203"/>
      <c r="B772" s="204"/>
      <c r="C772" s="205"/>
      <c r="D772" s="205"/>
      <c r="E772" s="166"/>
      <c r="F772" s="206"/>
      <c r="G772" s="167"/>
      <c r="H772" s="166"/>
      <c r="I772" s="167"/>
      <c r="J772" s="168"/>
      <c r="K772" s="169"/>
      <c r="L772" s="207"/>
      <c r="M772" s="207"/>
      <c r="N772" s="207"/>
    </row>
    <row r="773">
      <c r="A773" s="203"/>
      <c r="B773" s="204"/>
      <c r="C773" s="205"/>
      <c r="D773" s="205"/>
      <c r="E773" s="166"/>
      <c r="F773" s="206"/>
      <c r="G773" s="167"/>
      <c r="H773" s="166"/>
      <c r="I773" s="167"/>
      <c r="J773" s="168"/>
      <c r="K773" s="169"/>
      <c r="L773" s="207"/>
      <c r="M773" s="207"/>
      <c r="N773" s="207"/>
    </row>
    <row r="774">
      <c r="A774" s="203"/>
      <c r="B774" s="204"/>
      <c r="C774" s="205"/>
      <c r="D774" s="205"/>
      <c r="E774" s="166"/>
      <c r="F774" s="206"/>
      <c r="G774" s="167"/>
      <c r="H774" s="166"/>
      <c r="I774" s="167"/>
      <c r="J774" s="168"/>
      <c r="K774" s="169"/>
      <c r="L774" s="207"/>
      <c r="M774" s="207"/>
      <c r="N774" s="207"/>
    </row>
    <row r="775">
      <c r="A775" s="203"/>
      <c r="B775" s="204"/>
      <c r="C775" s="205"/>
      <c r="D775" s="205"/>
      <c r="E775" s="166"/>
      <c r="F775" s="206"/>
      <c r="G775" s="167"/>
      <c r="H775" s="166"/>
      <c r="I775" s="167"/>
      <c r="J775" s="168"/>
      <c r="K775" s="169"/>
      <c r="L775" s="207"/>
      <c r="M775" s="207"/>
      <c r="N775" s="207"/>
    </row>
    <row r="776">
      <c r="A776" s="203"/>
      <c r="B776" s="204"/>
      <c r="C776" s="205"/>
      <c r="D776" s="205"/>
      <c r="E776" s="166"/>
      <c r="F776" s="206"/>
      <c r="G776" s="167"/>
      <c r="H776" s="166"/>
      <c r="I776" s="167"/>
      <c r="J776" s="168"/>
      <c r="K776" s="169"/>
      <c r="L776" s="207"/>
      <c r="M776" s="207"/>
      <c r="N776" s="207"/>
    </row>
    <row r="777">
      <c r="A777" s="203"/>
      <c r="B777" s="204"/>
      <c r="C777" s="205"/>
      <c r="D777" s="205"/>
      <c r="E777" s="166"/>
      <c r="F777" s="206"/>
      <c r="G777" s="167"/>
      <c r="H777" s="166"/>
      <c r="I777" s="167"/>
      <c r="J777" s="168"/>
      <c r="K777" s="169"/>
      <c r="L777" s="207"/>
      <c r="M777" s="207"/>
      <c r="N777" s="207"/>
    </row>
    <row r="778">
      <c r="A778" s="203"/>
      <c r="B778" s="204"/>
      <c r="C778" s="205"/>
      <c r="D778" s="205"/>
      <c r="E778" s="166"/>
      <c r="F778" s="206"/>
      <c r="G778" s="167"/>
      <c r="H778" s="166"/>
      <c r="I778" s="167"/>
      <c r="J778" s="168"/>
      <c r="K778" s="169"/>
      <c r="L778" s="207"/>
      <c r="M778" s="207"/>
      <c r="N778" s="207"/>
    </row>
    <row r="779">
      <c r="A779" s="203"/>
      <c r="B779" s="204"/>
      <c r="C779" s="205"/>
      <c r="D779" s="205"/>
      <c r="E779" s="166"/>
      <c r="F779" s="206"/>
      <c r="G779" s="167"/>
      <c r="H779" s="166"/>
      <c r="I779" s="167"/>
      <c r="J779" s="168"/>
      <c r="K779" s="169"/>
      <c r="L779" s="207"/>
      <c r="M779" s="207"/>
      <c r="N779" s="207"/>
    </row>
    <row r="780">
      <c r="A780" s="203"/>
      <c r="B780" s="204"/>
      <c r="C780" s="205"/>
      <c r="D780" s="205"/>
      <c r="E780" s="166"/>
      <c r="F780" s="206"/>
      <c r="G780" s="167"/>
      <c r="H780" s="166"/>
      <c r="I780" s="167"/>
      <c r="J780" s="168"/>
      <c r="K780" s="169"/>
      <c r="L780" s="207"/>
      <c r="M780" s="207"/>
      <c r="N780" s="207"/>
    </row>
    <row r="781">
      <c r="A781" s="203"/>
      <c r="B781" s="204"/>
      <c r="C781" s="205"/>
      <c r="D781" s="205"/>
      <c r="E781" s="166"/>
      <c r="F781" s="206"/>
      <c r="G781" s="167"/>
      <c r="H781" s="166"/>
      <c r="I781" s="167"/>
      <c r="J781" s="168"/>
      <c r="K781" s="169"/>
      <c r="L781" s="207"/>
      <c r="M781" s="207"/>
      <c r="N781" s="207"/>
    </row>
    <row r="782">
      <c r="A782" s="203"/>
      <c r="B782" s="204"/>
      <c r="C782" s="205"/>
      <c r="D782" s="205"/>
      <c r="E782" s="166"/>
      <c r="F782" s="206"/>
      <c r="G782" s="167"/>
      <c r="H782" s="166"/>
      <c r="I782" s="167"/>
      <c r="J782" s="168"/>
      <c r="K782" s="169"/>
      <c r="L782" s="207"/>
      <c r="M782" s="207"/>
      <c r="N782" s="207"/>
    </row>
    <row r="783">
      <c r="A783" s="203"/>
      <c r="B783" s="204"/>
      <c r="C783" s="205"/>
      <c r="D783" s="205"/>
      <c r="E783" s="166"/>
      <c r="F783" s="206"/>
      <c r="G783" s="167"/>
      <c r="H783" s="166"/>
      <c r="I783" s="167"/>
      <c r="J783" s="168"/>
      <c r="K783" s="169"/>
      <c r="L783" s="207"/>
      <c r="M783" s="207"/>
      <c r="N783" s="207"/>
    </row>
    <row r="784">
      <c r="A784" s="203"/>
      <c r="B784" s="204"/>
      <c r="C784" s="205"/>
      <c r="D784" s="205"/>
      <c r="E784" s="166"/>
      <c r="F784" s="206"/>
      <c r="G784" s="167"/>
      <c r="H784" s="166"/>
      <c r="I784" s="167"/>
      <c r="J784" s="168"/>
      <c r="K784" s="169"/>
      <c r="L784" s="207"/>
      <c r="M784" s="207"/>
      <c r="N784" s="207"/>
    </row>
    <row r="785">
      <c r="A785" s="203"/>
      <c r="B785" s="204"/>
      <c r="C785" s="205"/>
      <c r="D785" s="205"/>
      <c r="E785" s="166"/>
      <c r="F785" s="206"/>
      <c r="G785" s="167"/>
      <c r="H785" s="166"/>
      <c r="I785" s="167"/>
      <c r="J785" s="168"/>
      <c r="K785" s="169"/>
      <c r="L785" s="207"/>
      <c r="M785" s="207"/>
      <c r="N785" s="207"/>
    </row>
    <row r="786">
      <c r="A786" s="203"/>
      <c r="B786" s="204"/>
      <c r="C786" s="205"/>
      <c r="D786" s="205"/>
      <c r="E786" s="166"/>
      <c r="F786" s="206"/>
      <c r="G786" s="167"/>
      <c r="H786" s="166"/>
      <c r="I786" s="167"/>
      <c r="J786" s="168"/>
      <c r="K786" s="169"/>
      <c r="L786" s="207"/>
      <c r="M786" s="207"/>
      <c r="N786" s="207"/>
    </row>
    <row r="787">
      <c r="A787" s="203"/>
      <c r="B787" s="204"/>
      <c r="C787" s="205"/>
      <c r="D787" s="205"/>
      <c r="E787" s="166"/>
      <c r="F787" s="206"/>
      <c r="G787" s="167"/>
      <c r="H787" s="166"/>
      <c r="I787" s="167"/>
      <c r="J787" s="168"/>
      <c r="K787" s="169"/>
      <c r="L787" s="207"/>
      <c r="M787" s="207"/>
      <c r="N787" s="207"/>
    </row>
    <row r="788">
      <c r="A788" s="203"/>
      <c r="B788" s="204"/>
      <c r="C788" s="205"/>
      <c r="D788" s="205"/>
      <c r="E788" s="166"/>
      <c r="F788" s="206"/>
      <c r="G788" s="167"/>
      <c r="H788" s="166"/>
      <c r="I788" s="167"/>
      <c r="J788" s="168"/>
      <c r="K788" s="169"/>
      <c r="L788" s="207"/>
      <c r="M788" s="207"/>
      <c r="N788" s="207"/>
    </row>
    <row r="789">
      <c r="A789" s="203"/>
      <c r="B789" s="204"/>
      <c r="C789" s="205"/>
      <c r="D789" s="205"/>
      <c r="E789" s="166"/>
      <c r="F789" s="206"/>
      <c r="G789" s="167"/>
      <c r="H789" s="166"/>
      <c r="I789" s="167"/>
      <c r="J789" s="168"/>
      <c r="K789" s="169"/>
      <c r="L789" s="207"/>
      <c r="M789" s="207"/>
      <c r="N789" s="207"/>
    </row>
    <row r="790">
      <c r="A790" s="203"/>
      <c r="B790" s="204"/>
      <c r="C790" s="205"/>
      <c r="D790" s="205"/>
      <c r="E790" s="166"/>
      <c r="F790" s="206"/>
      <c r="G790" s="167"/>
      <c r="H790" s="166"/>
      <c r="I790" s="167"/>
      <c r="J790" s="168"/>
      <c r="K790" s="169"/>
      <c r="L790" s="207"/>
      <c r="M790" s="207"/>
      <c r="N790" s="207"/>
    </row>
    <row r="791">
      <c r="A791" s="203"/>
      <c r="B791" s="204"/>
      <c r="C791" s="205"/>
      <c r="D791" s="205"/>
      <c r="E791" s="166"/>
      <c r="F791" s="206"/>
      <c r="G791" s="167"/>
      <c r="H791" s="166"/>
      <c r="I791" s="167"/>
      <c r="J791" s="168"/>
      <c r="K791" s="169"/>
      <c r="L791" s="207"/>
      <c r="M791" s="207"/>
      <c r="N791" s="207"/>
    </row>
    <row r="792">
      <c r="A792" s="203"/>
      <c r="B792" s="204"/>
      <c r="C792" s="205"/>
      <c r="D792" s="205"/>
      <c r="E792" s="166"/>
      <c r="F792" s="206"/>
      <c r="G792" s="167"/>
      <c r="H792" s="166"/>
      <c r="I792" s="167"/>
      <c r="J792" s="168"/>
      <c r="K792" s="169"/>
      <c r="L792" s="207"/>
      <c r="M792" s="207"/>
      <c r="N792" s="207"/>
    </row>
    <row r="793">
      <c r="A793" s="203"/>
      <c r="B793" s="204"/>
      <c r="C793" s="205"/>
      <c r="D793" s="205"/>
      <c r="E793" s="166"/>
      <c r="F793" s="206"/>
      <c r="G793" s="167"/>
      <c r="H793" s="166"/>
      <c r="I793" s="167"/>
      <c r="J793" s="168"/>
      <c r="K793" s="169"/>
      <c r="L793" s="207"/>
      <c r="M793" s="207"/>
      <c r="N793" s="207"/>
    </row>
    <row r="794">
      <c r="A794" s="203"/>
      <c r="B794" s="204"/>
      <c r="C794" s="205"/>
      <c r="D794" s="205"/>
      <c r="E794" s="166"/>
      <c r="F794" s="206"/>
      <c r="G794" s="167"/>
      <c r="H794" s="166"/>
      <c r="I794" s="167"/>
      <c r="J794" s="168"/>
      <c r="K794" s="169"/>
      <c r="L794" s="207"/>
      <c r="M794" s="207"/>
      <c r="N794" s="207"/>
    </row>
    <row r="795">
      <c r="A795" s="203"/>
      <c r="B795" s="204"/>
      <c r="C795" s="205"/>
      <c r="D795" s="205"/>
      <c r="E795" s="166"/>
      <c r="F795" s="206"/>
      <c r="G795" s="167"/>
      <c r="H795" s="166"/>
      <c r="I795" s="167"/>
      <c r="J795" s="168"/>
      <c r="K795" s="169"/>
      <c r="L795" s="207"/>
      <c r="M795" s="207"/>
      <c r="N795" s="207"/>
    </row>
    <row r="796">
      <c r="A796" s="203"/>
      <c r="B796" s="204"/>
      <c r="C796" s="205"/>
      <c r="D796" s="205"/>
      <c r="E796" s="166"/>
      <c r="F796" s="206"/>
      <c r="G796" s="167"/>
      <c r="H796" s="166"/>
      <c r="I796" s="167"/>
      <c r="J796" s="168"/>
      <c r="K796" s="169"/>
      <c r="L796" s="207"/>
      <c r="M796" s="207"/>
      <c r="N796" s="207"/>
    </row>
    <row r="797">
      <c r="A797" s="203"/>
      <c r="B797" s="204"/>
      <c r="C797" s="205"/>
      <c r="D797" s="205"/>
      <c r="E797" s="166"/>
      <c r="F797" s="206"/>
      <c r="G797" s="167"/>
      <c r="H797" s="166"/>
      <c r="I797" s="167"/>
      <c r="J797" s="168"/>
      <c r="K797" s="169"/>
      <c r="L797" s="207"/>
      <c r="M797" s="207"/>
      <c r="N797" s="207"/>
    </row>
    <row r="798">
      <c r="A798" s="203"/>
      <c r="B798" s="204"/>
      <c r="C798" s="205"/>
      <c r="D798" s="205"/>
      <c r="E798" s="166"/>
      <c r="F798" s="206"/>
      <c r="G798" s="167"/>
      <c r="H798" s="166"/>
      <c r="I798" s="167"/>
      <c r="J798" s="168"/>
      <c r="K798" s="169"/>
      <c r="L798" s="207"/>
      <c r="M798" s="207"/>
      <c r="N798" s="207"/>
    </row>
    <row r="799">
      <c r="A799" s="203"/>
      <c r="B799" s="204"/>
      <c r="C799" s="205"/>
      <c r="D799" s="205"/>
      <c r="E799" s="166"/>
      <c r="F799" s="206"/>
      <c r="G799" s="167"/>
      <c r="H799" s="166"/>
      <c r="I799" s="167"/>
      <c r="J799" s="168"/>
      <c r="K799" s="169"/>
      <c r="L799" s="207"/>
      <c r="M799" s="207"/>
      <c r="N799" s="207"/>
    </row>
    <row r="800">
      <c r="A800" s="203"/>
      <c r="B800" s="204"/>
      <c r="C800" s="205"/>
      <c r="D800" s="205"/>
      <c r="E800" s="166"/>
      <c r="F800" s="206"/>
      <c r="G800" s="167"/>
      <c r="H800" s="166"/>
      <c r="I800" s="167"/>
      <c r="J800" s="168"/>
      <c r="K800" s="169"/>
      <c r="L800" s="207"/>
      <c r="M800" s="207"/>
      <c r="N800" s="207"/>
    </row>
    <row r="801">
      <c r="A801" s="203"/>
      <c r="B801" s="204"/>
      <c r="C801" s="205"/>
      <c r="D801" s="205"/>
      <c r="E801" s="166"/>
      <c r="F801" s="206"/>
      <c r="G801" s="167"/>
      <c r="H801" s="166"/>
      <c r="I801" s="167"/>
      <c r="J801" s="168"/>
      <c r="K801" s="169"/>
      <c r="L801" s="207"/>
      <c r="M801" s="207"/>
      <c r="N801" s="207"/>
    </row>
    <row r="802">
      <c r="A802" s="203"/>
      <c r="B802" s="204"/>
      <c r="C802" s="205"/>
      <c r="D802" s="205"/>
      <c r="E802" s="166"/>
      <c r="F802" s="206"/>
      <c r="G802" s="167"/>
      <c r="H802" s="166"/>
      <c r="I802" s="167"/>
      <c r="J802" s="168"/>
      <c r="K802" s="169"/>
      <c r="L802" s="207"/>
      <c r="M802" s="207"/>
      <c r="N802" s="207"/>
    </row>
    <row r="803">
      <c r="A803" s="203"/>
      <c r="B803" s="204"/>
      <c r="C803" s="205"/>
      <c r="D803" s="205"/>
      <c r="E803" s="166"/>
      <c r="F803" s="206"/>
      <c r="G803" s="167"/>
      <c r="H803" s="166"/>
      <c r="I803" s="167"/>
      <c r="J803" s="168"/>
      <c r="K803" s="169"/>
      <c r="L803" s="207"/>
      <c r="M803" s="207"/>
      <c r="N803" s="207"/>
    </row>
    <row r="804">
      <c r="A804" s="203"/>
      <c r="B804" s="204"/>
      <c r="C804" s="205"/>
      <c r="D804" s="205"/>
      <c r="E804" s="166"/>
      <c r="F804" s="206"/>
      <c r="G804" s="167"/>
      <c r="H804" s="166"/>
      <c r="I804" s="167"/>
      <c r="J804" s="168"/>
      <c r="K804" s="169"/>
      <c r="L804" s="207"/>
      <c r="M804" s="207"/>
      <c r="N804" s="207"/>
    </row>
    <row r="805">
      <c r="A805" s="203"/>
      <c r="B805" s="204"/>
      <c r="C805" s="205"/>
      <c r="D805" s="205"/>
      <c r="E805" s="166"/>
      <c r="F805" s="206"/>
      <c r="G805" s="167"/>
      <c r="H805" s="166"/>
      <c r="I805" s="167"/>
      <c r="J805" s="168"/>
      <c r="K805" s="169"/>
      <c r="L805" s="207"/>
      <c r="M805" s="207"/>
      <c r="N805" s="207"/>
    </row>
    <row r="806">
      <c r="A806" s="203"/>
      <c r="B806" s="204"/>
      <c r="C806" s="205"/>
      <c r="D806" s="205"/>
      <c r="E806" s="166"/>
      <c r="F806" s="206"/>
      <c r="G806" s="167"/>
      <c r="H806" s="166"/>
      <c r="I806" s="167"/>
      <c r="J806" s="168"/>
      <c r="K806" s="169"/>
      <c r="L806" s="207"/>
      <c r="M806" s="207"/>
      <c r="N806" s="207"/>
    </row>
    <row r="807">
      <c r="A807" s="203"/>
      <c r="B807" s="204"/>
      <c r="C807" s="205"/>
      <c r="D807" s="205"/>
      <c r="E807" s="166"/>
      <c r="F807" s="206"/>
      <c r="G807" s="167"/>
      <c r="H807" s="166"/>
      <c r="I807" s="167"/>
      <c r="J807" s="168"/>
      <c r="K807" s="169"/>
      <c r="L807" s="207"/>
      <c r="M807" s="207"/>
      <c r="N807" s="207"/>
    </row>
    <row r="808">
      <c r="A808" s="203"/>
      <c r="B808" s="204"/>
      <c r="C808" s="205"/>
      <c r="D808" s="205"/>
      <c r="E808" s="166"/>
      <c r="F808" s="206"/>
      <c r="G808" s="167"/>
      <c r="H808" s="166"/>
      <c r="I808" s="167"/>
      <c r="J808" s="168"/>
      <c r="K808" s="169"/>
      <c r="L808" s="207"/>
      <c r="M808" s="207"/>
      <c r="N808" s="207"/>
    </row>
    <row r="809">
      <c r="A809" s="203"/>
      <c r="B809" s="204"/>
      <c r="C809" s="205"/>
      <c r="D809" s="205"/>
      <c r="E809" s="166"/>
      <c r="F809" s="206"/>
      <c r="G809" s="167"/>
      <c r="H809" s="166"/>
      <c r="I809" s="167"/>
      <c r="J809" s="168"/>
      <c r="K809" s="169"/>
      <c r="L809" s="207"/>
      <c r="M809" s="207"/>
      <c r="N809" s="207"/>
    </row>
    <row r="810">
      <c r="A810" s="203"/>
      <c r="B810" s="204"/>
      <c r="C810" s="205"/>
      <c r="D810" s="205"/>
      <c r="E810" s="166"/>
      <c r="F810" s="206"/>
      <c r="G810" s="167"/>
      <c r="H810" s="166"/>
      <c r="I810" s="167"/>
      <c r="J810" s="168"/>
      <c r="K810" s="169"/>
      <c r="L810" s="207"/>
      <c r="M810" s="207"/>
      <c r="N810" s="207"/>
    </row>
    <row r="811">
      <c r="A811" s="203"/>
      <c r="B811" s="204"/>
      <c r="C811" s="205"/>
      <c r="D811" s="205"/>
      <c r="E811" s="166"/>
      <c r="F811" s="206"/>
      <c r="G811" s="167"/>
      <c r="H811" s="166"/>
      <c r="I811" s="167"/>
      <c r="J811" s="168"/>
      <c r="K811" s="169"/>
      <c r="L811" s="207"/>
      <c r="M811" s="207"/>
      <c r="N811" s="207"/>
    </row>
    <row r="812">
      <c r="A812" s="203"/>
      <c r="B812" s="204"/>
      <c r="C812" s="205"/>
      <c r="D812" s="205"/>
      <c r="E812" s="166"/>
      <c r="F812" s="206"/>
      <c r="G812" s="167"/>
      <c r="H812" s="166"/>
      <c r="I812" s="167"/>
      <c r="J812" s="168"/>
      <c r="K812" s="169"/>
      <c r="L812" s="207"/>
      <c r="M812" s="207"/>
      <c r="N812" s="207"/>
    </row>
    <row r="813">
      <c r="A813" s="203"/>
      <c r="B813" s="204"/>
      <c r="C813" s="205"/>
      <c r="D813" s="205"/>
      <c r="E813" s="166"/>
      <c r="F813" s="206"/>
      <c r="G813" s="167"/>
      <c r="H813" s="166"/>
      <c r="I813" s="167"/>
      <c r="J813" s="168"/>
      <c r="K813" s="169"/>
      <c r="L813" s="207"/>
      <c r="M813" s="207"/>
      <c r="N813" s="207"/>
    </row>
    <row r="814">
      <c r="A814" s="203"/>
      <c r="B814" s="204"/>
      <c r="C814" s="205"/>
      <c r="D814" s="205"/>
      <c r="E814" s="166"/>
      <c r="F814" s="206"/>
      <c r="G814" s="167"/>
      <c r="H814" s="166"/>
      <c r="I814" s="167"/>
      <c r="J814" s="168"/>
      <c r="K814" s="169"/>
      <c r="L814" s="207"/>
      <c r="M814" s="207"/>
      <c r="N814" s="207"/>
    </row>
    <row r="815">
      <c r="A815" s="203"/>
      <c r="B815" s="204"/>
      <c r="C815" s="205"/>
      <c r="D815" s="205"/>
      <c r="E815" s="166"/>
      <c r="F815" s="206"/>
      <c r="G815" s="167"/>
      <c r="H815" s="166"/>
      <c r="I815" s="167"/>
      <c r="J815" s="168"/>
      <c r="K815" s="169"/>
      <c r="L815" s="207"/>
      <c r="M815" s="207"/>
      <c r="N815" s="207"/>
    </row>
    <row r="816">
      <c r="A816" s="203"/>
      <c r="B816" s="204"/>
      <c r="C816" s="205"/>
      <c r="D816" s="205"/>
      <c r="E816" s="166"/>
      <c r="F816" s="206"/>
      <c r="G816" s="167"/>
      <c r="H816" s="166"/>
      <c r="I816" s="167"/>
      <c r="J816" s="168"/>
      <c r="K816" s="169"/>
      <c r="L816" s="207"/>
      <c r="M816" s="207"/>
      <c r="N816" s="207"/>
    </row>
    <row r="817">
      <c r="A817" s="203"/>
      <c r="B817" s="204"/>
      <c r="C817" s="205"/>
      <c r="D817" s="205"/>
      <c r="E817" s="166"/>
      <c r="F817" s="206"/>
      <c r="G817" s="167"/>
      <c r="H817" s="166"/>
      <c r="I817" s="167"/>
      <c r="J817" s="168"/>
      <c r="K817" s="169"/>
      <c r="L817" s="207"/>
      <c r="M817" s="207"/>
      <c r="N817" s="207"/>
    </row>
    <row r="818">
      <c r="A818" s="203"/>
      <c r="B818" s="204"/>
      <c r="C818" s="205"/>
      <c r="D818" s="205"/>
      <c r="E818" s="166"/>
      <c r="F818" s="206"/>
      <c r="G818" s="167"/>
      <c r="H818" s="166"/>
      <c r="I818" s="167"/>
      <c r="J818" s="168"/>
      <c r="K818" s="169"/>
      <c r="L818" s="207"/>
      <c r="M818" s="207"/>
      <c r="N818" s="207"/>
    </row>
    <row r="819">
      <c r="A819" s="203"/>
      <c r="B819" s="204"/>
      <c r="C819" s="205"/>
      <c r="D819" s="205"/>
      <c r="E819" s="166"/>
      <c r="F819" s="206"/>
      <c r="G819" s="167"/>
      <c r="H819" s="166"/>
      <c r="I819" s="167"/>
      <c r="J819" s="168"/>
      <c r="K819" s="169"/>
      <c r="L819" s="207"/>
      <c r="M819" s="207"/>
      <c r="N819" s="207"/>
    </row>
    <row r="820">
      <c r="A820" s="203"/>
      <c r="B820" s="204"/>
      <c r="C820" s="205"/>
      <c r="D820" s="205"/>
      <c r="E820" s="166"/>
      <c r="F820" s="206"/>
      <c r="G820" s="167"/>
      <c r="H820" s="166"/>
      <c r="I820" s="167"/>
      <c r="J820" s="168"/>
      <c r="K820" s="169"/>
      <c r="L820" s="207"/>
      <c r="M820" s="207"/>
      <c r="N820" s="207"/>
    </row>
    <row r="821">
      <c r="A821" s="203"/>
      <c r="B821" s="204"/>
      <c r="C821" s="205"/>
      <c r="D821" s="205"/>
      <c r="E821" s="166"/>
      <c r="F821" s="206"/>
      <c r="G821" s="167"/>
      <c r="H821" s="166"/>
      <c r="I821" s="167"/>
      <c r="J821" s="168"/>
      <c r="K821" s="169"/>
      <c r="L821" s="207"/>
      <c r="M821" s="207"/>
      <c r="N821" s="207"/>
    </row>
    <row r="822">
      <c r="A822" s="203"/>
      <c r="B822" s="204"/>
      <c r="C822" s="205"/>
      <c r="D822" s="205"/>
      <c r="E822" s="166"/>
      <c r="F822" s="206"/>
      <c r="G822" s="167"/>
      <c r="H822" s="166"/>
      <c r="I822" s="167"/>
      <c r="J822" s="168"/>
      <c r="K822" s="169"/>
      <c r="L822" s="207"/>
      <c r="M822" s="207"/>
      <c r="N822" s="207"/>
    </row>
    <row r="823">
      <c r="A823" s="203"/>
      <c r="B823" s="204"/>
      <c r="C823" s="205"/>
      <c r="D823" s="205"/>
      <c r="E823" s="166"/>
      <c r="F823" s="206"/>
      <c r="G823" s="167"/>
      <c r="H823" s="166"/>
      <c r="I823" s="167"/>
      <c r="J823" s="168"/>
      <c r="K823" s="169"/>
      <c r="L823" s="207"/>
      <c r="M823" s="207"/>
      <c r="N823" s="207"/>
    </row>
    <row r="824">
      <c r="A824" s="203"/>
      <c r="B824" s="204"/>
      <c r="C824" s="205"/>
      <c r="D824" s="205"/>
      <c r="E824" s="166"/>
      <c r="F824" s="206"/>
      <c r="G824" s="167"/>
      <c r="H824" s="166"/>
      <c r="I824" s="167"/>
      <c r="J824" s="168"/>
      <c r="K824" s="169"/>
      <c r="L824" s="207"/>
      <c r="M824" s="207"/>
      <c r="N824" s="207"/>
    </row>
    <row r="825">
      <c r="A825" s="203"/>
      <c r="B825" s="204"/>
      <c r="C825" s="205"/>
      <c r="D825" s="205"/>
      <c r="E825" s="166"/>
      <c r="F825" s="206"/>
      <c r="G825" s="167"/>
      <c r="H825" s="166"/>
      <c r="I825" s="167"/>
      <c r="J825" s="168"/>
      <c r="K825" s="169"/>
      <c r="L825" s="207"/>
      <c r="M825" s="207"/>
      <c r="N825" s="207"/>
    </row>
    <row r="826">
      <c r="A826" s="203"/>
      <c r="B826" s="204"/>
      <c r="C826" s="205"/>
      <c r="D826" s="205"/>
      <c r="E826" s="166"/>
      <c r="F826" s="206"/>
      <c r="G826" s="167"/>
      <c r="H826" s="166"/>
      <c r="I826" s="167"/>
      <c r="J826" s="168"/>
      <c r="K826" s="169"/>
      <c r="L826" s="207"/>
      <c r="M826" s="207"/>
      <c r="N826" s="207"/>
    </row>
    <row r="827">
      <c r="A827" s="203"/>
      <c r="B827" s="204"/>
      <c r="C827" s="205"/>
      <c r="D827" s="205"/>
      <c r="E827" s="166"/>
      <c r="F827" s="206"/>
      <c r="G827" s="167"/>
      <c r="H827" s="166"/>
      <c r="I827" s="167"/>
      <c r="J827" s="168"/>
      <c r="K827" s="169"/>
      <c r="L827" s="207"/>
      <c r="M827" s="207"/>
      <c r="N827" s="207"/>
    </row>
    <row r="828">
      <c r="A828" s="203"/>
      <c r="B828" s="204"/>
      <c r="C828" s="205"/>
      <c r="D828" s="205"/>
      <c r="E828" s="166"/>
      <c r="F828" s="206"/>
      <c r="G828" s="167"/>
      <c r="H828" s="166"/>
      <c r="I828" s="167"/>
      <c r="J828" s="168"/>
      <c r="K828" s="169"/>
      <c r="L828" s="207"/>
      <c r="M828" s="207"/>
      <c r="N828" s="207"/>
    </row>
    <row r="829">
      <c r="A829" s="203"/>
      <c r="B829" s="204"/>
      <c r="C829" s="205"/>
      <c r="D829" s="205"/>
      <c r="E829" s="166"/>
      <c r="F829" s="206"/>
      <c r="G829" s="167"/>
      <c r="H829" s="166"/>
      <c r="I829" s="167"/>
      <c r="J829" s="168"/>
      <c r="K829" s="169"/>
      <c r="L829" s="207"/>
      <c r="M829" s="207"/>
      <c r="N829" s="207"/>
    </row>
    <row r="830">
      <c r="A830" s="203"/>
      <c r="B830" s="204"/>
      <c r="C830" s="205"/>
      <c r="D830" s="205"/>
      <c r="E830" s="166"/>
      <c r="F830" s="206"/>
      <c r="G830" s="167"/>
      <c r="H830" s="166"/>
      <c r="I830" s="167"/>
      <c r="J830" s="168"/>
      <c r="K830" s="169"/>
      <c r="L830" s="207"/>
      <c r="M830" s="207"/>
      <c r="N830" s="207"/>
    </row>
    <row r="831">
      <c r="A831" s="203"/>
      <c r="B831" s="204"/>
      <c r="C831" s="205"/>
      <c r="D831" s="205"/>
      <c r="E831" s="166"/>
      <c r="F831" s="206"/>
      <c r="G831" s="167"/>
      <c r="H831" s="166"/>
      <c r="I831" s="167"/>
      <c r="J831" s="168"/>
      <c r="K831" s="169"/>
      <c r="L831" s="207"/>
      <c r="M831" s="207"/>
      <c r="N831" s="207"/>
    </row>
    <row r="832">
      <c r="A832" s="203"/>
      <c r="B832" s="204"/>
      <c r="C832" s="205"/>
      <c r="D832" s="205"/>
      <c r="E832" s="166"/>
      <c r="F832" s="206"/>
      <c r="G832" s="167"/>
      <c r="H832" s="166"/>
      <c r="I832" s="167"/>
      <c r="J832" s="168"/>
      <c r="K832" s="169"/>
      <c r="L832" s="207"/>
      <c r="M832" s="207"/>
      <c r="N832" s="207"/>
    </row>
    <row r="833">
      <c r="A833" s="203"/>
      <c r="B833" s="204"/>
      <c r="C833" s="205"/>
      <c r="D833" s="205"/>
      <c r="E833" s="166"/>
      <c r="F833" s="206"/>
      <c r="G833" s="167"/>
      <c r="H833" s="166"/>
      <c r="I833" s="167"/>
      <c r="J833" s="168"/>
      <c r="K833" s="169"/>
      <c r="L833" s="207"/>
      <c r="M833" s="207"/>
      <c r="N833" s="207"/>
    </row>
    <row r="834">
      <c r="A834" s="203"/>
      <c r="B834" s="204"/>
      <c r="C834" s="205"/>
      <c r="D834" s="205"/>
      <c r="E834" s="166"/>
      <c r="F834" s="206"/>
      <c r="G834" s="167"/>
      <c r="H834" s="166"/>
      <c r="I834" s="167"/>
      <c r="J834" s="168"/>
      <c r="K834" s="169"/>
      <c r="L834" s="207"/>
      <c r="M834" s="207"/>
      <c r="N834" s="207"/>
    </row>
    <row r="835">
      <c r="A835" s="203"/>
      <c r="B835" s="204"/>
      <c r="C835" s="205"/>
      <c r="D835" s="205"/>
      <c r="E835" s="166"/>
      <c r="F835" s="206"/>
      <c r="G835" s="167"/>
      <c r="H835" s="166"/>
      <c r="I835" s="167"/>
      <c r="J835" s="168"/>
      <c r="K835" s="169"/>
      <c r="L835" s="207"/>
      <c r="M835" s="207"/>
      <c r="N835" s="207"/>
    </row>
    <row r="836">
      <c r="A836" s="203"/>
      <c r="B836" s="204"/>
      <c r="C836" s="205"/>
      <c r="D836" s="205"/>
      <c r="E836" s="166"/>
      <c r="F836" s="206"/>
      <c r="G836" s="167"/>
      <c r="H836" s="166"/>
      <c r="I836" s="167"/>
      <c r="J836" s="168"/>
      <c r="K836" s="169"/>
      <c r="L836" s="207"/>
      <c r="M836" s="207"/>
      <c r="N836" s="207"/>
    </row>
    <row r="837">
      <c r="A837" s="203"/>
      <c r="B837" s="204"/>
      <c r="C837" s="205"/>
      <c r="D837" s="205"/>
      <c r="E837" s="166"/>
      <c r="F837" s="206"/>
      <c r="G837" s="167"/>
      <c r="H837" s="166"/>
      <c r="I837" s="167"/>
      <c r="J837" s="168"/>
      <c r="K837" s="169"/>
      <c r="L837" s="207"/>
      <c r="M837" s="207"/>
      <c r="N837" s="207"/>
    </row>
    <row r="838">
      <c r="A838" s="203"/>
      <c r="B838" s="204"/>
      <c r="C838" s="205"/>
      <c r="D838" s="205"/>
      <c r="E838" s="166"/>
      <c r="F838" s="206"/>
      <c r="G838" s="167"/>
      <c r="H838" s="166"/>
      <c r="I838" s="167"/>
      <c r="J838" s="168"/>
      <c r="K838" s="169"/>
      <c r="L838" s="207"/>
      <c r="M838" s="207"/>
      <c r="N838" s="207"/>
    </row>
    <row r="839">
      <c r="A839" s="203"/>
      <c r="B839" s="204"/>
      <c r="C839" s="205"/>
      <c r="D839" s="205"/>
      <c r="E839" s="166"/>
      <c r="F839" s="206"/>
      <c r="G839" s="167"/>
      <c r="H839" s="166"/>
      <c r="I839" s="167"/>
      <c r="J839" s="168"/>
      <c r="K839" s="169"/>
      <c r="L839" s="207"/>
      <c r="M839" s="207"/>
      <c r="N839" s="207"/>
    </row>
    <row r="840">
      <c r="A840" s="203"/>
      <c r="B840" s="204"/>
      <c r="C840" s="205"/>
      <c r="D840" s="205"/>
      <c r="E840" s="166"/>
      <c r="F840" s="206"/>
      <c r="G840" s="167"/>
      <c r="H840" s="166"/>
      <c r="I840" s="167"/>
      <c r="J840" s="168"/>
      <c r="K840" s="169"/>
      <c r="L840" s="207"/>
      <c r="M840" s="207"/>
      <c r="N840" s="207"/>
    </row>
    <row r="841">
      <c r="A841" s="203"/>
      <c r="B841" s="204"/>
      <c r="C841" s="205"/>
      <c r="D841" s="205"/>
      <c r="E841" s="166"/>
      <c r="F841" s="206"/>
      <c r="G841" s="167"/>
      <c r="H841" s="166"/>
      <c r="I841" s="167"/>
      <c r="J841" s="168"/>
      <c r="K841" s="169"/>
      <c r="L841" s="207"/>
      <c r="M841" s="207"/>
      <c r="N841" s="207"/>
    </row>
    <row r="842">
      <c r="A842" s="203"/>
      <c r="B842" s="204"/>
      <c r="C842" s="205"/>
      <c r="D842" s="205"/>
      <c r="E842" s="166"/>
      <c r="F842" s="206"/>
      <c r="G842" s="167"/>
      <c r="H842" s="166"/>
      <c r="I842" s="167"/>
      <c r="J842" s="168"/>
      <c r="K842" s="169"/>
      <c r="L842" s="207"/>
      <c r="M842" s="207"/>
      <c r="N842" s="207"/>
    </row>
    <row r="843">
      <c r="A843" s="203"/>
      <c r="B843" s="204"/>
      <c r="C843" s="205"/>
      <c r="D843" s="205"/>
      <c r="E843" s="166"/>
      <c r="F843" s="206"/>
      <c r="G843" s="167"/>
      <c r="H843" s="166"/>
      <c r="I843" s="167"/>
      <c r="J843" s="168"/>
      <c r="K843" s="169"/>
      <c r="L843" s="207"/>
      <c r="M843" s="207"/>
      <c r="N843" s="207"/>
    </row>
    <row r="844">
      <c r="A844" s="203"/>
      <c r="B844" s="204"/>
      <c r="C844" s="205"/>
      <c r="D844" s="205"/>
      <c r="E844" s="166"/>
      <c r="F844" s="206"/>
      <c r="G844" s="167"/>
      <c r="H844" s="166"/>
      <c r="I844" s="167"/>
      <c r="J844" s="168"/>
      <c r="K844" s="169"/>
      <c r="L844" s="207"/>
      <c r="M844" s="207"/>
      <c r="N844" s="207"/>
    </row>
    <row r="845">
      <c r="A845" s="203"/>
      <c r="B845" s="204"/>
      <c r="C845" s="205"/>
      <c r="D845" s="205"/>
      <c r="E845" s="166"/>
      <c r="F845" s="206"/>
      <c r="G845" s="167"/>
      <c r="H845" s="166"/>
      <c r="I845" s="167"/>
      <c r="J845" s="168"/>
      <c r="K845" s="169"/>
      <c r="L845" s="207"/>
      <c r="M845" s="207"/>
      <c r="N845" s="207"/>
    </row>
    <row r="846">
      <c r="A846" s="203"/>
      <c r="B846" s="204"/>
      <c r="C846" s="205"/>
      <c r="D846" s="205"/>
      <c r="E846" s="166"/>
      <c r="F846" s="206"/>
      <c r="G846" s="167"/>
      <c r="H846" s="166"/>
      <c r="I846" s="167"/>
      <c r="J846" s="168"/>
      <c r="K846" s="169"/>
      <c r="L846" s="207"/>
      <c r="M846" s="207"/>
      <c r="N846" s="207"/>
    </row>
    <row r="847">
      <c r="A847" s="203"/>
      <c r="B847" s="204"/>
      <c r="C847" s="205"/>
      <c r="D847" s="205"/>
      <c r="E847" s="166"/>
      <c r="F847" s="206"/>
      <c r="G847" s="167"/>
      <c r="H847" s="166"/>
      <c r="I847" s="167"/>
      <c r="J847" s="168"/>
      <c r="K847" s="169"/>
      <c r="L847" s="207"/>
      <c r="M847" s="207"/>
      <c r="N847" s="207"/>
    </row>
    <row r="848">
      <c r="A848" s="203"/>
      <c r="B848" s="204"/>
      <c r="C848" s="205"/>
      <c r="D848" s="205"/>
      <c r="E848" s="166"/>
      <c r="F848" s="206"/>
      <c r="G848" s="167"/>
      <c r="H848" s="166"/>
      <c r="I848" s="167"/>
      <c r="J848" s="168"/>
      <c r="K848" s="169"/>
      <c r="L848" s="207"/>
      <c r="M848" s="207"/>
      <c r="N848" s="207"/>
    </row>
    <row r="849">
      <c r="A849" s="203"/>
      <c r="B849" s="204"/>
      <c r="C849" s="205"/>
      <c r="D849" s="205"/>
      <c r="E849" s="166"/>
      <c r="F849" s="206"/>
      <c r="G849" s="167"/>
      <c r="H849" s="166"/>
      <c r="I849" s="167"/>
      <c r="J849" s="168"/>
      <c r="K849" s="169"/>
      <c r="L849" s="207"/>
      <c r="M849" s="207"/>
      <c r="N849" s="207"/>
    </row>
    <row r="850">
      <c r="A850" s="203"/>
      <c r="B850" s="204"/>
      <c r="C850" s="205"/>
      <c r="D850" s="205"/>
      <c r="E850" s="166"/>
      <c r="F850" s="206"/>
      <c r="G850" s="167"/>
      <c r="H850" s="166"/>
      <c r="I850" s="167"/>
      <c r="J850" s="168"/>
      <c r="K850" s="169"/>
      <c r="L850" s="207"/>
      <c r="M850" s="207"/>
      <c r="N850" s="207"/>
    </row>
    <row r="851">
      <c r="A851" s="203"/>
      <c r="B851" s="204"/>
      <c r="C851" s="205"/>
      <c r="D851" s="205"/>
      <c r="E851" s="166"/>
      <c r="F851" s="206"/>
      <c r="G851" s="167"/>
      <c r="H851" s="166"/>
      <c r="I851" s="167"/>
      <c r="J851" s="168"/>
      <c r="K851" s="169"/>
      <c r="L851" s="207"/>
      <c r="M851" s="207"/>
      <c r="N851" s="207"/>
    </row>
    <row r="852">
      <c r="A852" s="203"/>
      <c r="B852" s="204"/>
      <c r="C852" s="205"/>
      <c r="D852" s="205"/>
      <c r="E852" s="166"/>
      <c r="F852" s="206"/>
      <c r="G852" s="167"/>
      <c r="H852" s="166"/>
      <c r="I852" s="167"/>
      <c r="J852" s="168"/>
      <c r="K852" s="169"/>
      <c r="L852" s="207"/>
      <c r="M852" s="207"/>
      <c r="N852" s="207"/>
    </row>
    <row r="853">
      <c r="A853" s="203"/>
      <c r="B853" s="204"/>
      <c r="C853" s="205"/>
      <c r="D853" s="205"/>
      <c r="E853" s="166"/>
      <c r="F853" s="206"/>
      <c r="G853" s="167"/>
      <c r="H853" s="166"/>
      <c r="I853" s="167"/>
      <c r="J853" s="168"/>
      <c r="K853" s="169"/>
      <c r="L853" s="207"/>
      <c r="M853" s="207"/>
      <c r="N853" s="207"/>
    </row>
    <row r="854">
      <c r="A854" s="203"/>
      <c r="B854" s="204"/>
      <c r="C854" s="205"/>
      <c r="D854" s="205"/>
      <c r="E854" s="166"/>
      <c r="F854" s="206"/>
      <c r="G854" s="167"/>
      <c r="H854" s="166"/>
      <c r="I854" s="167"/>
      <c r="J854" s="168"/>
      <c r="K854" s="169"/>
      <c r="L854" s="207"/>
      <c r="M854" s="207"/>
      <c r="N854" s="207"/>
    </row>
    <row r="855">
      <c r="A855" s="203"/>
      <c r="B855" s="204"/>
      <c r="C855" s="205"/>
      <c r="D855" s="205"/>
      <c r="E855" s="166"/>
      <c r="F855" s="206"/>
      <c r="G855" s="167"/>
      <c r="H855" s="166"/>
      <c r="I855" s="167"/>
      <c r="J855" s="168"/>
      <c r="K855" s="169"/>
      <c r="L855" s="207"/>
      <c r="M855" s="207"/>
      <c r="N855" s="207"/>
    </row>
    <row r="856">
      <c r="A856" s="203"/>
      <c r="B856" s="204"/>
      <c r="C856" s="205"/>
      <c r="D856" s="205"/>
      <c r="E856" s="166"/>
      <c r="F856" s="206"/>
      <c r="G856" s="167"/>
      <c r="H856" s="166"/>
      <c r="I856" s="167"/>
      <c r="J856" s="168"/>
      <c r="K856" s="169"/>
      <c r="L856" s="207"/>
      <c r="M856" s="207"/>
      <c r="N856" s="207"/>
    </row>
    <row r="857">
      <c r="A857" s="203"/>
      <c r="B857" s="204"/>
      <c r="C857" s="205"/>
      <c r="D857" s="205"/>
      <c r="E857" s="166"/>
      <c r="F857" s="206"/>
      <c r="G857" s="167"/>
      <c r="H857" s="166"/>
      <c r="I857" s="167"/>
      <c r="J857" s="168"/>
      <c r="K857" s="169"/>
      <c r="L857" s="207"/>
      <c r="M857" s="207"/>
      <c r="N857" s="207"/>
    </row>
    <row r="858">
      <c r="A858" s="203"/>
      <c r="B858" s="204"/>
      <c r="C858" s="205"/>
      <c r="D858" s="205"/>
      <c r="E858" s="166"/>
      <c r="F858" s="206"/>
      <c r="G858" s="167"/>
      <c r="H858" s="166"/>
      <c r="I858" s="167"/>
      <c r="J858" s="168"/>
      <c r="K858" s="169"/>
      <c r="L858" s="207"/>
      <c r="M858" s="207"/>
      <c r="N858" s="207"/>
    </row>
    <row r="859">
      <c r="A859" s="203"/>
      <c r="B859" s="204"/>
      <c r="C859" s="205"/>
      <c r="D859" s="205"/>
      <c r="E859" s="166"/>
      <c r="F859" s="206"/>
      <c r="G859" s="167"/>
      <c r="H859" s="166"/>
      <c r="I859" s="167"/>
      <c r="J859" s="168"/>
      <c r="K859" s="169"/>
      <c r="L859" s="207"/>
      <c r="M859" s="207"/>
      <c r="N859" s="207"/>
    </row>
    <row r="860">
      <c r="A860" s="203"/>
      <c r="B860" s="204"/>
      <c r="C860" s="205"/>
      <c r="D860" s="205"/>
      <c r="E860" s="166"/>
      <c r="F860" s="206"/>
      <c r="G860" s="167"/>
      <c r="H860" s="166"/>
      <c r="I860" s="167"/>
      <c r="J860" s="168"/>
      <c r="K860" s="169"/>
      <c r="L860" s="207"/>
      <c r="M860" s="207"/>
      <c r="N860" s="207"/>
    </row>
    <row r="861">
      <c r="A861" s="203"/>
      <c r="B861" s="204"/>
      <c r="C861" s="205"/>
      <c r="D861" s="205"/>
      <c r="E861" s="166"/>
      <c r="F861" s="206"/>
      <c r="G861" s="167"/>
      <c r="H861" s="166"/>
      <c r="I861" s="167"/>
      <c r="J861" s="168"/>
      <c r="K861" s="169"/>
      <c r="L861" s="207"/>
      <c r="M861" s="207"/>
      <c r="N861" s="207"/>
    </row>
    <row r="862">
      <c r="A862" s="203"/>
      <c r="B862" s="204"/>
      <c r="C862" s="205"/>
      <c r="D862" s="205"/>
      <c r="E862" s="166"/>
      <c r="F862" s="206"/>
      <c r="G862" s="167"/>
      <c r="H862" s="166"/>
      <c r="I862" s="167"/>
      <c r="J862" s="168"/>
      <c r="K862" s="169"/>
      <c r="L862" s="207"/>
      <c r="M862" s="207"/>
      <c r="N862" s="207"/>
    </row>
    <row r="863">
      <c r="A863" s="203"/>
      <c r="B863" s="204"/>
      <c r="C863" s="205"/>
      <c r="D863" s="205"/>
      <c r="E863" s="166"/>
      <c r="F863" s="206"/>
      <c r="G863" s="167"/>
      <c r="H863" s="166"/>
      <c r="I863" s="167"/>
      <c r="J863" s="168"/>
      <c r="K863" s="169"/>
      <c r="L863" s="207"/>
      <c r="M863" s="207"/>
      <c r="N863" s="207"/>
    </row>
    <row r="864">
      <c r="A864" s="203"/>
      <c r="B864" s="204"/>
      <c r="C864" s="205"/>
      <c r="D864" s="205"/>
      <c r="E864" s="166"/>
      <c r="F864" s="206"/>
      <c r="G864" s="167"/>
      <c r="H864" s="166"/>
      <c r="I864" s="167"/>
      <c r="J864" s="168"/>
      <c r="K864" s="169"/>
      <c r="L864" s="207"/>
      <c r="M864" s="207"/>
      <c r="N864" s="207"/>
    </row>
    <row r="865">
      <c r="A865" s="203"/>
      <c r="B865" s="204"/>
      <c r="C865" s="205"/>
      <c r="D865" s="205"/>
      <c r="E865" s="166"/>
      <c r="F865" s="206"/>
      <c r="G865" s="167"/>
      <c r="H865" s="166"/>
      <c r="I865" s="167"/>
      <c r="J865" s="168"/>
      <c r="K865" s="169"/>
      <c r="L865" s="207"/>
      <c r="M865" s="207"/>
      <c r="N865" s="207"/>
    </row>
    <row r="866">
      <c r="A866" s="203"/>
      <c r="B866" s="204"/>
      <c r="C866" s="205"/>
      <c r="D866" s="205"/>
      <c r="E866" s="166"/>
      <c r="F866" s="206"/>
      <c r="G866" s="167"/>
      <c r="H866" s="166"/>
      <c r="I866" s="167"/>
      <c r="J866" s="168"/>
      <c r="K866" s="169"/>
      <c r="L866" s="207"/>
      <c r="M866" s="207"/>
      <c r="N866" s="207"/>
    </row>
    <row r="867">
      <c r="A867" s="203"/>
      <c r="B867" s="204"/>
      <c r="C867" s="205"/>
      <c r="D867" s="205"/>
      <c r="E867" s="166"/>
      <c r="F867" s="206"/>
      <c r="G867" s="167"/>
      <c r="H867" s="166"/>
      <c r="I867" s="167"/>
      <c r="J867" s="168"/>
      <c r="K867" s="169"/>
      <c r="L867" s="207"/>
      <c r="M867" s="207"/>
      <c r="N867" s="207"/>
    </row>
    <row r="868">
      <c r="A868" s="203"/>
      <c r="B868" s="204"/>
      <c r="C868" s="205"/>
      <c r="D868" s="205"/>
      <c r="E868" s="166"/>
      <c r="F868" s="206"/>
      <c r="G868" s="167"/>
      <c r="H868" s="166"/>
      <c r="I868" s="167"/>
      <c r="J868" s="168"/>
      <c r="K868" s="169"/>
      <c r="L868" s="207"/>
      <c r="M868" s="207"/>
      <c r="N868" s="207"/>
    </row>
    <row r="869">
      <c r="A869" s="203"/>
      <c r="B869" s="204"/>
      <c r="C869" s="205"/>
      <c r="D869" s="205"/>
      <c r="E869" s="166"/>
      <c r="F869" s="206"/>
      <c r="G869" s="167"/>
      <c r="H869" s="166"/>
      <c r="I869" s="167"/>
      <c r="J869" s="168"/>
      <c r="K869" s="169"/>
      <c r="L869" s="207"/>
      <c r="M869" s="207"/>
      <c r="N869" s="207"/>
    </row>
    <row r="870">
      <c r="A870" s="203"/>
      <c r="B870" s="204"/>
      <c r="C870" s="205"/>
      <c r="D870" s="205"/>
      <c r="E870" s="166"/>
      <c r="F870" s="206"/>
      <c r="G870" s="167"/>
      <c r="H870" s="166"/>
      <c r="I870" s="167"/>
      <c r="J870" s="168"/>
      <c r="K870" s="169"/>
      <c r="L870" s="207"/>
      <c r="M870" s="207"/>
      <c r="N870" s="207"/>
    </row>
    <row r="871">
      <c r="A871" s="203"/>
      <c r="B871" s="204"/>
      <c r="C871" s="205"/>
      <c r="D871" s="205"/>
      <c r="E871" s="166"/>
      <c r="F871" s="206"/>
      <c r="G871" s="167"/>
      <c r="H871" s="166"/>
      <c r="I871" s="167"/>
      <c r="J871" s="168"/>
      <c r="K871" s="169"/>
      <c r="L871" s="207"/>
      <c r="M871" s="207"/>
      <c r="N871" s="207"/>
    </row>
    <row r="872">
      <c r="A872" s="203"/>
      <c r="B872" s="204"/>
      <c r="C872" s="205"/>
      <c r="D872" s="205"/>
      <c r="E872" s="166"/>
      <c r="F872" s="206"/>
      <c r="G872" s="167"/>
      <c r="H872" s="166"/>
      <c r="I872" s="167"/>
      <c r="J872" s="168"/>
      <c r="K872" s="169"/>
      <c r="L872" s="207"/>
      <c r="M872" s="207"/>
      <c r="N872" s="207"/>
    </row>
    <row r="873">
      <c r="A873" s="203"/>
      <c r="B873" s="204"/>
      <c r="C873" s="205"/>
      <c r="D873" s="205"/>
      <c r="E873" s="166"/>
      <c r="F873" s="206"/>
      <c r="G873" s="167"/>
      <c r="H873" s="166"/>
      <c r="I873" s="167"/>
      <c r="J873" s="168"/>
      <c r="K873" s="169"/>
      <c r="L873" s="207"/>
      <c r="M873" s="207"/>
      <c r="N873" s="207"/>
    </row>
    <row r="874">
      <c r="A874" s="203"/>
      <c r="B874" s="204"/>
      <c r="C874" s="205"/>
      <c r="D874" s="205"/>
      <c r="E874" s="166"/>
      <c r="F874" s="206"/>
      <c r="G874" s="167"/>
      <c r="H874" s="166"/>
      <c r="I874" s="167"/>
      <c r="J874" s="168"/>
      <c r="K874" s="169"/>
      <c r="L874" s="207"/>
      <c r="M874" s="207"/>
      <c r="N874" s="207"/>
    </row>
    <row r="875">
      <c r="A875" s="203"/>
      <c r="B875" s="204"/>
      <c r="C875" s="205"/>
      <c r="D875" s="205"/>
      <c r="E875" s="166"/>
      <c r="F875" s="206"/>
      <c r="G875" s="167"/>
      <c r="H875" s="166"/>
      <c r="I875" s="167"/>
      <c r="J875" s="168"/>
      <c r="K875" s="169"/>
      <c r="L875" s="207"/>
      <c r="M875" s="207"/>
      <c r="N875" s="207"/>
    </row>
    <row r="876">
      <c r="A876" s="203"/>
      <c r="B876" s="204"/>
      <c r="C876" s="205"/>
      <c r="D876" s="205"/>
      <c r="E876" s="166"/>
      <c r="F876" s="206"/>
      <c r="G876" s="167"/>
      <c r="H876" s="166"/>
      <c r="I876" s="167"/>
      <c r="J876" s="168"/>
      <c r="K876" s="169"/>
      <c r="L876" s="207"/>
      <c r="M876" s="207"/>
      <c r="N876" s="207"/>
    </row>
    <row r="877">
      <c r="A877" s="203"/>
      <c r="B877" s="204"/>
      <c r="C877" s="205"/>
      <c r="D877" s="205"/>
      <c r="E877" s="166"/>
      <c r="F877" s="206"/>
      <c r="G877" s="167"/>
      <c r="H877" s="166"/>
      <c r="I877" s="167"/>
      <c r="J877" s="168"/>
      <c r="K877" s="169"/>
      <c r="L877" s="207"/>
      <c r="M877" s="207"/>
      <c r="N877" s="207"/>
    </row>
    <row r="878">
      <c r="A878" s="203"/>
      <c r="B878" s="204"/>
      <c r="C878" s="205"/>
      <c r="D878" s="205"/>
      <c r="E878" s="166"/>
      <c r="F878" s="206"/>
      <c r="G878" s="167"/>
      <c r="H878" s="166"/>
      <c r="I878" s="167"/>
      <c r="J878" s="168"/>
      <c r="K878" s="169"/>
      <c r="L878" s="207"/>
      <c r="M878" s="207"/>
      <c r="N878" s="207"/>
    </row>
    <row r="879">
      <c r="A879" s="203"/>
      <c r="B879" s="204"/>
      <c r="C879" s="205"/>
      <c r="D879" s="205"/>
      <c r="E879" s="166"/>
      <c r="F879" s="206"/>
      <c r="G879" s="167"/>
      <c r="H879" s="166"/>
      <c r="I879" s="167"/>
      <c r="J879" s="168"/>
      <c r="K879" s="169"/>
      <c r="L879" s="207"/>
      <c r="M879" s="207"/>
      <c r="N879" s="207"/>
    </row>
    <row r="880">
      <c r="A880" s="203"/>
      <c r="B880" s="204"/>
      <c r="C880" s="205"/>
      <c r="D880" s="205"/>
      <c r="E880" s="166"/>
      <c r="F880" s="206"/>
      <c r="G880" s="167"/>
      <c r="H880" s="166"/>
      <c r="I880" s="167"/>
      <c r="J880" s="168"/>
      <c r="K880" s="169"/>
      <c r="L880" s="207"/>
      <c r="M880" s="207"/>
      <c r="N880" s="207"/>
    </row>
    <row r="881">
      <c r="A881" s="203"/>
      <c r="B881" s="204"/>
      <c r="C881" s="205"/>
      <c r="D881" s="205"/>
      <c r="E881" s="166"/>
      <c r="F881" s="206"/>
      <c r="G881" s="167"/>
      <c r="H881" s="166"/>
      <c r="I881" s="167"/>
      <c r="J881" s="168"/>
      <c r="K881" s="169"/>
      <c r="L881" s="207"/>
      <c r="M881" s="207"/>
      <c r="N881" s="207"/>
    </row>
    <row r="882">
      <c r="A882" s="203"/>
      <c r="B882" s="204"/>
      <c r="C882" s="205"/>
      <c r="D882" s="205"/>
      <c r="E882" s="166"/>
      <c r="F882" s="206"/>
      <c r="G882" s="167"/>
      <c r="H882" s="166"/>
      <c r="I882" s="167"/>
      <c r="J882" s="168"/>
      <c r="K882" s="169"/>
      <c r="L882" s="207"/>
      <c r="M882" s="207"/>
      <c r="N882" s="207"/>
    </row>
    <row r="883">
      <c r="A883" s="203"/>
      <c r="B883" s="204"/>
      <c r="C883" s="205"/>
      <c r="D883" s="205"/>
      <c r="E883" s="166"/>
      <c r="F883" s="206"/>
      <c r="G883" s="167"/>
      <c r="H883" s="166"/>
      <c r="I883" s="167"/>
      <c r="J883" s="168"/>
      <c r="K883" s="169"/>
      <c r="L883" s="207"/>
      <c r="M883" s="207"/>
      <c r="N883" s="207"/>
    </row>
    <row r="884">
      <c r="A884" s="203"/>
      <c r="B884" s="204"/>
      <c r="C884" s="205"/>
      <c r="D884" s="205"/>
      <c r="E884" s="166"/>
      <c r="F884" s="206"/>
      <c r="G884" s="167"/>
      <c r="H884" s="166"/>
      <c r="I884" s="167"/>
      <c r="J884" s="168"/>
      <c r="K884" s="169"/>
      <c r="L884" s="207"/>
      <c r="M884" s="207"/>
      <c r="N884" s="207"/>
    </row>
    <row r="885">
      <c r="A885" s="203"/>
      <c r="B885" s="204"/>
      <c r="C885" s="205"/>
      <c r="D885" s="205"/>
      <c r="E885" s="166"/>
      <c r="F885" s="206"/>
      <c r="G885" s="167"/>
      <c r="H885" s="166"/>
      <c r="I885" s="167"/>
      <c r="J885" s="168"/>
      <c r="K885" s="169"/>
      <c r="L885" s="207"/>
      <c r="M885" s="207"/>
      <c r="N885" s="207"/>
    </row>
    <row r="886">
      <c r="A886" s="203"/>
      <c r="B886" s="204"/>
      <c r="C886" s="205"/>
      <c r="D886" s="205"/>
      <c r="E886" s="166"/>
      <c r="F886" s="206"/>
      <c r="G886" s="167"/>
      <c r="H886" s="166"/>
      <c r="I886" s="167"/>
      <c r="J886" s="168"/>
      <c r="K886" s="169"/>
      <c r="L886" s="207"/>
      <c r="M886" s="207"/>
      <c r="N886" s="207"/>
    </row>
    <row r="887">
      <c r="A887" s="203"/>
      <c r="B887" s="204"/>
      <c r="C887" s="205"/>
      <c r="D887" s="205"/>
      <c r="E887" s="166"/>
      <c r="F887" s="206"/>
      <c r="G887" s="167"/>
      <c r="H887" s="166"/>
      <c r="I887" s="167"/>
      <c r="J887" s="168"/>
      <c r="K887" s="169"/>
      <c r="L887" s="207"/>
      <c r="M887" s="207"/>
      <c r="N887" s="207"/>
    </row>
    <row r="888">
      <c r="A888" s="203"/>
      <c r="B888" s="204"/>
      <c r="C888" s="205"/>
      <c r="D888" s="205"/>
      <c r="E888" s="166"/>
      <c r="F888" s="206"/>
      <c r="G888" s="167"/>
      <c r="H888" s="166"/>
      <c r="I888" s="167"/>
      <c r="J888" s="168"/>
      <c r="K888" s="169"/>
      <c r="L888" s="207"/>
      <c r="M888" s="207"/>
      <c r="N888" s="207"/>
    </row>
    <row r="889">
      <c r="A889" s="203"/>
      <c r="B889" s="204"/>
      <c r="C889" s="205"/>
      <c r="D889" s="205"/>
      <c r="E889" s="166"/>
      <c r="F889" s="206"/>
      <c r="G889" s="167"/>
      <c r="H889" s="166"/>
      <c r="I889" s="167"/>
      <c r="J889" s="168"/>
      <c r="K889" s="169"/>
      <c r="L889" s="207"/>
      <c r="M889" s="207"/>
      <c r="N889" s="207"/>
    </row>
    <row r="890">
      <c r="A890" s="203"/>
      <c r="B890" s="204"/>
      <c r="C890" s="205"/>
      <c r="D890" s="205"/>
      <c r="E890" s="166"/>
      <c r="F890" s="206"/>
      <c r="G890" s="167"/>
      <c r="H890" s="166"/>
      <c r="I890" s="167"/>
      <c r="J890" s="168"/>
      <c r="K890" s="169"/>
      <c r="L890" s="207"/>
      <c r="M890" s="207"/>
      <c r="N890" s="207"/>
    </row>
    <row r="891">
      <c r="A891" s="203"/>
      <c r="B891" s="204"/>
      <c r="C891" s="205"/>
      <c r="D891" s="205"/>
      <c r="E891" s="166"/>
      <c r="F891" s="206"/>
      <c r="G891" s="167"/>
      <c r="H891" s="166"/>
      <c r="I891" s="167"/>
      <c r="J891" s="168"/>
      <c r="K891" s="169"/>
      <c r="L891" s="207"/>
      <c r="M891" s="207"/>
      <c r="N891" s="207"/>
    </row>
    <row r="892">
      <c r="A892" s="203"/>
      <c r="B892" s="204"/>
      <c r="C892" s="205"/>
      <c r="D892" s="205"/>
      <c r="E892" s="166"/>
      <c r="F892" s="206"/>
      <c r="G892" s="167"/>
      <c r="H892" s="166"/>
      <c r="I892" s="167"/>
      <c r="J892" s="168"/>
      <c r="K892" s="169"/>
      <c r="L892" s="207"/>
      <c r="M892" s="207"/>
      <c r="N892" s="207"/>
    </row>
    <row r="893">
      <c r="A893" s="203"/>
      <c r="B893" s="204"/>
      <c r="C893" s="205"/>
      <c r="D893" s="205"/>
      <c r="E893" s="166"/>
      <c r="F893" s="206"/>
      <c r="G893" s="167"/>
      <c r="H893" s="166"/>
      <c r="I893" s="167"/>
      <c r="J893" s="168"/>
      <c r="K893" s="169"/>
      <c r="L893" s="207"/>
      <c r="M893" s="207"/>
      <c r="N893" s="207"/>
    </row>
    <row r="894">
      <c r="A894" s="203"/>
      <c r="B894" s="204"/>
      <c r="C894" s="205"/>
      <c r="D894" s="205"/>
      <c r="E894" s="166"/>
      <c r="F894" s="206"/>
      <c r="G894" s="167"/>
      <c r="H894" s="166"/>
      <c r="I894" s="167"/>
      <c r="J894" s="168"/>
      <c r="K894" s="169"/>
      <c r="L894" s="207"/>
      <c r="M894" s="207"/>
      <c r="N894" s="207"/>
    </row>
    <row r="895">
      <c r="A895" s="203"/>
      <c r="B895" s="204"/>
      <c r="C895" s="205"/>
      <c r="D895" s="205"/>
      <c r="E895" s="166"/>
      <c r="F895" s="206"/>
      <c r="G895" s="167"/>
      <c r="H895" s="166"/>
      <c r="I895" s="167"/>
      <c r="J895" s="168"/>
      <c r="K895" s="169"/>
      <c r="L895" s="207"/>
      <c r="M895" s="207"/>
      <c r="N895" s="207"/>
    </row>
    <row r="896">
      <c r="A896" s="203"/>
      <c r="B896" s="204"/>
      <c r="C896" s="205"/>
      <c r="D896" s="205"/>
      <c r="E896" s="166"/>
      <c r="F896" s="206"/>
      <c r="G896" s="167"/>
      <c r="H896" s="166"/>
      <c r="I896" s="167"/>
      <c r="J896" s="168"/>
      <c r="K896" s="169"/>
      <c r="L896" s="207"/>
      <c r="M896" s="207"/>
      <c r="N896" s="207"/>
    </row>
    <row r="897">
      <c r="A897" s="203"/>
      <c r="B897" s="204"/>
      <c r="C897" s="205"/>
      <c r="D897" s="205"/>
      <c r="E897" s="166"/>
      <c r="F897" s="206"/>
      <c r="G897" s="167"/>
      <c r="H897" s="166"/>
      <c r="I897" s="167"/>
      <c r="J897" s="168"/>
      <c r="K897" s="169"/>
      <c r="L897" s="207"/>
      <c r="M897" s="207"/>
      <c r="N897" s="207"/>
    </row>
    <row r="898">
      <c r="A898" s="203"/>
      <c r="B898" s="204"/>
      <c r="C898" s="205"/>
      <c r="D898" s="205"/>
      <c r="E898" s="166"/>
      <c r="F898" s="206"/>
      <c r="G898" s="167"/>
      <c r="H898" s="166"/>
      <c r="I898" s="167"/>
      <c r="J898" s="168"/>
      <c r="K898" s="169"/>
      <c r="L898" s="207"/>
      <c r="M898" s="207"/>
      <c r="N898" s="207"/>
    </row>
    <row r="899">
      <c r="A899" s="203"/>
      <c r="B899" s="204"/>
      <c r="C899" s="205"/>
      <c r="D899" s="205"/>
      <c r="E899" s="166"/>
      <c r="F899" s="206"/>
      <c r="G899" s="167"/>
      <c r="H899" s="166"/>
      <c r="I899" s="167"/>
      <c r="J899" s="168"/>
      <c r="K899" s="169"/>
      <c r="L899" s="207"/>
      <c r="M899" s="207"/>
      <c r="N899" s="207"/>
    </row>
    <row r="900">
      <c r="A900" s="203"/>
      <c r="B900" s="204"/>
      <c r="C900" s="205"/>
      <c r="D900" s="205"/>
      <c r="E900" s="166"/>
      <c r="F900" s="206"/>
      <c r="G900" s="167"/>
      <c r="H900" s="166"/>
      <c r="I900" s="167"/>
      <c r="J900" s="168"/>
      <c r="K900" s="169"/>
      <c r="L900" s="207"/>
      <c r="M900" s="207"/>
      <c r="N900" s="207"/>
    </row>
    <row r="901">
      <c r="A901" s="203"/>
      <c r="B901" s="204"/>
      <c r="C901" s="205"/>
      <c r="D901" s="205"/>
      <c r="E901" s="166"/>
      <c r="F901" s="206"/>
      <c r="G901" s="167"/>
      <c r="H901" s="166"/>
      <c r="I901" s="167"/>
      <c r="J901" s="168"/>
      <c r="K901" s="169"/>
      <c r="L901" s="207"/>
      <c r="M901" s="207"/>
      <c r="N901" s="207"/>
    </row>
    <row r="902">
      <c r="A902" s="203"/>
      <c r="B902" s="204"/>
      <c r="C902" s="205"/>
      <c r="D902" s="205"/>
      <c r="E902" s="166"/>
      <c r="F902" s="206"/>
      <c r="G902" s="167"/>
      <c r="H902" s="166"/>
      <c r="I902" s="167"/>
      <c r="J902" s="168"/>
      <c r="K902" s="169"/>
      <c r="L902" s="207"/>
      <c r="M902" s="207"/>
      <c r="N902" s="207"/>
    </row>
    <row r="903">
      <c r="A903" s="203"/>
      <c r="B903" s="204"/>
      <c r="C903" s="205"/>
      <c r="D903" s="205"/>
      <c r="E903" s="166"/>
      <c r="F903" s="206"/>
      <c r="G903" s="167"/>
      <c r="H903" s="166"/>
      <c r="I903" s="167"/>
      <c r="J903" s="168"/>
      <c r="K903" s="169"/>
      <c r="L903" s="207"/>
      <c r="M903" s="207"/>
      <c r="N903" s="207"/>
    </row>
    <row r="904">
      <c r="A904" s="203"/>
      <c r="B904" s="204"/>
      <c r="C904" s="205"/>
      <c r="D904" s="205"/>
      <c r="E904" s="166"/>
      <c r="F904" s="206"/>
      <c r="G904" s="167"/>
      <c r="H904" s="166"/>
      <c r="I904" s="167"/>
      <c r="J904" s="168"/>
      <c r="K904" s="169"/>
      <c r="L904" s="207"/>
      <c r="M904" s="207"/>
      <c r="N904" s="207"/>
    </row>
    <row r="905">
      <c r="A905" s="203"/>
      <c r="B905" s="204"/>
      <c r="C905" s="205"/>
      <c r="D905" s="205"/>
      <c r="E905" s="166"/>
      <c r="F905" s="206"/>
      <c r="G905" s="167"/>
      <c r="H905" s="166"/>
      <c r="I905" s="167"/>
      <c r="J905" s="168"/>
      <c r="K905" s="169"/>
      <c r="L905" s="207"/>
      <c r="M905" s="207"/>
      <c r="N905" s="207"/>
    </row>
    <row r="906">
      <c r="A906" s="203"/>
      <c r="B906" s="204"/>
      <c r="C906" s="205"/>
      <c r="D906" s="205"/>
      <c r="E906" s="166"/>
      <c r="F906" s="206"/>
      <c r="G906" s="167"/>
      <c r="H906" s="166"/>
      <c r="I906" s="167"/>
      <c r="J906" s="168"/>
      <c r="K906" s="169"/>
      <c r="L906" s="207"/>
      <c r="M906" s="207"/>
      <c r="N906" s="207"/>
    </row>
    <row r="907">
      <c r="A907" s="203"/>
      <c r="B907" s="204"/>
      <c r="C907" s="205"/>
      <c r="D907" s="205"/>
      <c r="E907" s="166"/>
      <c r="F907" s="206"/>
      <c r="G907" s="167"/>
      <c r="H907" s="166"/>
      <c r="I907" s="167"/>
      <c r="J907" s="168"/>
      <c r="K907" s="169"/>
      <c r="L907" s="207"/>
      <c r="M907" s="207"/>
      <c r="N907" s="207"/>
    </row>
    <row r="908">
      <c r="A908" s="203"/>
      <c r="B908" s="204"/>
      <c r="C908" s="205"/>
      <c r="D908" s="205"/>
      <c r="E908" s="166"/>
      <c r="F908" s="206"/>
      <c r="G908" s="167"/>
      <c r="H908" s="166"/>
      <c r="I908" s="167"/>
      <c r="J908" s="168"/>
      <c r="K908" s="169"/>
      <c r="L908" s="207"/>
      <c r="M908" s="207"/>
      <c r="N908" s="207"/>
    </row>
    <row r="909">
      <c r="A909" s="203"/>
      <c r="B909" s="204"/>
      <c r="C909" s="205"/>
      <c r="D909" s="205"/>
      <c r="E909" s="166"/>
      <c r="F909" s="206"/>
      <c r="G909" s="167"/>
      <c r="H909" s="166"/>
      <c r="I909" s="167"/>
      <c r="J909" s="168"/>
      <c r="K909" s="169"/>
      <c r="L909" s="207"/>
      <c r="M909" s="207"/>
      <c r="N909" s="207"/>
    </row>
    <row r="910">
      <c r="A910" s="203"/>
      <c r="B910" s="204"/>
      <c r="C910" s="205"/>
      <c r="D910" s="205"/>
      <c r="E910" s="166"/>
      <c r="F910" s="206"/>
      <c r="G910" s="167"/>
      <c r="H910" s="166"/>
      <c r="I910" s="167"/>
      <c r="J910" s="168"/>
      <c r="K910" s="169"/>
      <c r="L910" s="207"/>
      <c r="M910" s="207"/>
      <c r="N910" s="207"/>
    </row>
    <row r="911">
      <c r="A911" s="203"/>
      <c r="B911" s="204"/>
      <c r="C911" s="205"/>
      <c r="D911" s="205"/>
      <c r="E911" s="166"/>
      <c r="F911" s="206"/>
      <c r="G911" s="167"/>
      <c r="H911" s="166"/>
      <c r="I911" s="167"/>
      <c r="J911" s="168"/>
      <c r="K911" s="169"/>
      <c r="L911" s="207"/>
      <c r="M911" s="207"/>
      <c r="N911" s="207"/>
    </row>
    <row r="912">
      <c r="A912" s="203"/>
      <c r="B912" s="204"/>
      <c r="C912" s="205"/>
      <c r="D912" s="205"/>
      <c r="E912" s="166"/>
      <c r="F912" s="206"/>
      <c r="G912" s="167"/>
      <c r="H912" s="166"/>
      <c r="I912" s="167"/>
      <c r="J912" s="168"/>
      <c r="K912" s="169"/>
      <c r="L912" s="207"/>
      <c r="M912" s="207"/>
      <c r="N912" s="207"/>
    </row>
    <row r="913">
      <c r="A913" s="203"/>
      <c r="B913" s="204"/>
      <c r="C913" s="205"/>
      <c r="D913" s="205"/>
      <c r="E913" s="166"/>
      <c r="F913" s="206"/>
      <c r="G913" s="167"/>
      <c r="H913" s="166"/>
      <c r="I913" s="167"/>
      <c r="J913" s="168"/>
      <c r="K913" s="169"/>
      <c r="L913" s="207"/>
      <c r="M913" s="207"/>
      <c r="N913" s="207"/>
    </row>
    <row r="914">
      <c r="A914" s="203"/>
      <c r="B914" s="204"/>
      <c r="C914" s="205"/>
      <c r="D914" s="205"/>
      <c r="E914" s="166"/>
      <c r="F914" s="206"/>
      <c r="G914" s="167"/>
      <c r="H914" s="166"/>
      <c r="I914" s="167"/>
      <c r="J914" s="168"/>
      <c r="K914" s="169"/>
      <c r="L914" s="207"/>
      <c r="M914" s="207"/>
      <c r="N914" s="207"/>
    </row>
    <row r="915">
      <c r="A915" s="203"/>
      <c r="B915" s="204"/>
      <c r="C915" s="205"/>
      <c r="D915" s="205"/>
      <c r="E915" s="166"/>
      <c r="F915" s="206"/>
      <c r="G915" s="167"/>
      <c r="H915" s="166"/>
      <c r="I915" s="167"/>
      <c r="J915" s="168"/>
      <c r="K915" s="169"/>
      <c r="L915" s="207"/>
      <c r="M915" s="207"/>
      <c r="N915" s="207"/>
    </row>
    <row r="916">
      <c r="A916" s="203"/>
      <c r="B916" s="204"/>
      <c r="C916" s="205"/>
      <c r="D916" s="205"/>
      <c r="E916" s="166"/>
      <c r="F916" s="206"/>
      <c r="G916" s="167"/>
      <c r="H916" s="166"/>
      <c r="I916" s="167"/>
      <c r="J916" s="168"/>
      <c r="K916" s="169"/>
      <c r="L916" s="207"/>
      <c r="M916" s="207"/>
      <c r="N916" s="207"/>
    </row>
    <row r="917">
      <c r="A917" s="203"/>
      <c r="B917" s="204"/>
      <c r="C917" s="205"/>
      <c r="D917" s="205"/>
      <c r="E917" s="166"/>
      <c r="F917" s="206"/>
      <c r="G917" s="167"/>
      <c r="H917" s="166"/>
      <c r="I917" s="167"/>
      <c r="J917" s="168"/>
      <c r="K917" s="169"/>
      <c r="L917" s="207"/>
      <c r="M917" s="207"/>
      <c r="N917" s="207"/>
    </row>
    <row r="918">
      <c r="A918" s="203"/>
      <c r="B918" s="204"/>
      <c r="C918" s="205"/>
      <c r="D918" s="205"/>
      <c r="E918" s="166"/>
      <c r="F918" s="206"/>
      <c r="G918" s="167"/>
      <c r="H918" s="166"/>
      <c r="I918" s="167"/>
      <c r="J918" s="168"/>
      <c r="K918" s="169"/>
      <c r="L918" s="207"/>
      <c r="M918" s="207"/>
      <c r="N918" s="207"/>
    </row>
    <row r="919">
      <c r="A919" s="203"/>
      <c r="B919" s="204"/>
      <c r="C919" s="205"/>
      <c r="D919" s="205"/>
      <c r="E919" s="166"/>
      <c r="F919" s="206"/>
      <c r="G919" s="167"/>
      <c r="H919" s="166"/>
      <c r="I919" s="167"/>
      <c r="J919" s="168"/>
      <c r="K919" s="169"/>
      <c r="L919" s="207"/>
      <c r="M919" s="207"/>
      <c r="N919" s="207"/>
    </row>
    <row r="920">
      <c r="A920" s="203"/>
      <c r="B920" s="204"/>
      <c r="C920" s="205"/>
      <c r="D920" s="205"/>
      <c r="E920" s="166"/>
      <c r="F920" s="206"/>
      <c r="G920" s="167"/>
      <c r="H920" s="166"/>
      <c r="I920" s="167"/>
      <c r="J920" s="168"/>
      <c r="K920" s="169"/>
      <c r="L920" s="207"/>
      <c r="M920" s="207"/>
      <c r="N920" s="207"/>
    </row>
    <row r="921">
      <c r="A921" s="203"/>
      <c r="B921" s="204"/>
      <c r="C921" s="205"/>
      <c r="D921" s="205"/>
      <c r="E921" s="166"/>
      <c r="F921" s="206"/>
      <c r="G921" s="167"/>
      <c r="H921" s="166"/>
      <c r="I921" s="167"/>
      <c r="J921" s="168"/>
      <c r="K921" s="169"/>
      <c r="L921" s="207"/>
      <c r="M921" s="207"/>
      <c r="N921" s="207"/>
    </row>
    <row r="922">
      <c r="A922" s="203"/>
      <c r="B922" s="204"/>
      <c r="C922" s="205"/>
      <c r="D922" s="205"/>
      <c r="E922" s="166"/>
      <c r="F922" s="206"/>
      <c r="G922" s="167"/>
      <c r="H922" s="166"/>
      <c r="I922" s="167"/>
      <c r="J922" s="168"/>
      <c r="K922" s="169"/>
      <c r="L922" s="207"/>
      <c r="M922" s="207"/>
      <c r="N922" s="207"/>
    </row>
    <row r="923">
      <c r="A923" s="203"/>
      <c r="B923" s="204"/>
      <c r="C923" s="205"/>
      <c r="D923" s="205"/>
      <c r="E923" s="166"/>
      <c r="F923" s="206"/>
      <c r="G923" s="167"/>
      <c r="H923" s="166"/>
      <c r="I923" s="167"/>
      <c r="J923" s="168"/>
      <c r="K923" s="169"/>
      <c r="L923" s="207"/>
      <c r="M923" s="207"/>
      <c r="N923" s="207"/>
    </row>
    <row r="924">
      <c r="A924" s="203"/>
      <c r="B924" s="204"/>
      <c r="C924" s="205"/>
      <c r="D924" s="205"/>
      <c r="E924" s="166"/>
      <c r="F924" s="206"/>
      <c r="G924" s="167"/>
      <c r="H924" s="166"/>
      <c r="I924" s="167"/>
      <c r="J924" s="168"/>
      <c r="K924" s="169"/>
      <c r="L924" s="207"/>
      <c r="M924" s="207"/>
      <c r="N924" s="207"/>
    </row>
    <row r="925">
      <c r="A925" s="203"/>
      <c r="B925" s="204"/>
      <c r="C925" s="205"/>
      <c r="D925" s="205"/>
      <c r="E925" s="166"/>
      <c r="F925" s="206"/>
      <c r="G925" s="167"/>
      <c r="H925" s="166"/>
      <c r="I925" s="167"/>
      <c r="J925" s="168"/>
      <c r="K925" s="169"/>
      <c r="L925" s="207"/>
      <c r="M925" s="207"/>
      <c r="N925" s="207"/>
    </row>
    <row r="926">
      <c r="A926" s="203"/>
      <c r="B926" s="204"/>
      <c r="C926" s="205"/>
      <c r="D926" s="205"/>
      <c r="E926" s="166"/>
      <c r="F926" s="206"/>
      <c r="G926" s="167"/>
      <c r="H926" s="166"/>
      <c r="I926" s="167"/>
      <c r="J926" s="168"/>
      <c r="K926" s="169"/>
      <c r="L926" s="207"/>
      <c r="M926" s="207"/>
      <c r="N926" s="207"/>
    </row>
  </sheetData>
  <autoFilter ref="$A$2:$M$400"/>
  <conditionalFormatting sqref="E3:E926 I3:I926">
    <cfRule type="expression" dxfId="2" priority="1">
      <formula>AND($E3&lt;&gt;"",(($E3-$H3)/365*12)&lt;1)</formula>
    </cfRule>
  </conditionalFormatting>
  <conditionalFormatting sqref="A2:A926 D2:D926">
    <cfRule type="expression" dxfId="3" priority="2">
      <formula>$D2="Coming Soon"</formula>
    </cfRule>
  </conditionalFormatting>
  <conditionalFormatting sqref="A2:A926 D2:D926">
    <cfRule type="expression" dxfId="4" priority="3">
      <formula>$D2="Removed"</formula>
    </cfRule>
  </conditionalFormatting>
  <conditionalFormatting sqref="A2:A926">
    <cfRule type="expression" dxfId="1" priority="4">
      <formula>MATCH(A2,INDIRECT("'Xbox Game Studios'!A:A"),0)</formula>
    </cfRule>
  </conditionalFormatting>
  <conditionalFormatting sqref="A2:A926 D2:D926">
    <cfRule type="expression" dxfId="5" priority="5">
      <formula>$D2="Leaving Soon"</formula>
    </cfRule>
  </conditionalFormatting>
  <conditionalFormatting sqref="A2:A926 D2:D926">
    <cfRule type="expression" dxfId="2" priority="6">
      <formula>AND($D3&lt;&gt;"",(($D3-$G3)/365*12)&lt;1)</formula>
    </cfRule>
  </conditionalFormatting>
  <conditionalFormatting sqref="J2:J926">
    <cfRule type="cellIs" dxfId="2" priority="7" operator="between">
      <formula>75</formula>
      <formula>100</formula>
    </cfRule>
  </conditionalFormatting>
  <conditionalFormatting sqref="J2:J926">
    <cfRule type="cellIs" dxfId="1" priority="8" operator="between">
      <formula>50</formula>
      <formula>74</formula>
    </cfRule>
  </conditionalFormatting>
  <conditionalFormatting sqref="J2:J926">
    <cfRule type="cellIs" dxfId="4" priority="9" operator="between">
      <formula>1</formula>
      <formula>49</formula>
    </cfRule>
  </conditionalFormatting>
  <conditionalFormatting sqref="B3:B926">
    <cfRule type="expression" dxfId="6" priority="10">
      <formula>AND(MATCH(A3,INDIRECT("'Cross Play'!D2:D"),0),MATCH(A3,INDIRECT("'Cross Play'!A2:A"),0))</formula>
    </cfRule>
  </conditionalFormatting>
  <conditionalFormatting sqref="B3:B926">
    <cfRule type="expression" dxfId="7" priority="11">
      <formula>MATCH(A3,INDIRECT("'Cross Play'!A2:A"),0)</formula>
    </cfRule>
  </conditionalFormatting>
  <conditionalFormatting sqref="B3:B926">
    <cfRule type="expression" dxfId="8" priority="12">
      <formula>MATCH(A3,INDIRECT("'Cross Play'!D2:D"),0)</formula>
    </cfRule>
  </conditionalFormatting>
  <conditionalFormatting sqref="B1:B926">
    <cfRule type="cellIs" dxfId="0" priority="13" operator="equal">
      <formula>"Xbox"</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0"/>
    <col customWidth="1" min="2" max="2" width="8.5"/>
    <col customWidth="1" min="3" max="3" width="12.13"/>
    <col customWidth="1" min="4" max="4" width="6.13"/>
    <col customWidth="1" min="5" max="5" width="8.38"/>
    <col customWidth="1" min="6" max="6" width="8.5"/>
    <col customWidth="1" min="7" max="7" width="6.88"/>
    <col customWidth="1" min="8" max="8" width="13.88"/>
    <col customWidth="1" min="9" max="9" width="4.25"/>
    <col customWidth="1" min="10" max="10" width="8.75"/>
    <col customWidth="1" min="11" max="11" width="10.13"/>
    <col customWidth="1" min="12" max="12" width="33.75"/>
    <col customWidth="1" min="13" max="13" width="13.75"/>
    <col customWidth="1" min="14" max="14" width="64.5"/>
    <col customWidth="1" min="15" max="15" width="5.63"/>
    <col customWidth="1" min="16" max="16" width="81.75"/>
    <col customWidth="1" min="17" max="19" width="74.5"/>
  </cols>
  <sheetData>
    <row r="1">
      <c r="A1" s="1" t="s">
        <v>0</v>
      </c>
      <c r="B1" s="2">
        <f>COUNTIF(D2:D506,"Active")+COUNTIF(D2:D506,"Leaving Soon")</f>
        <v>79</v>
      </c>
      <c r="C1" s="1"/>
      <c r="D1" s="1"/>
      <c r="E1" s="1"/>
      <c r="F1" s="2"/>
      <c r="G1" s="1"/>
      <c r="H1" s="3"/>
      <c r="I1" s="1"/>
      <c r="J1" s="1"/>
      <c r="K1" s="1"/>
      <c r="L1" s="1"/>
      <c r="M1" s="4"/>
      <c r="N1" s="5"/>
      <c r="O1" s="4"/>
      <c r="P1" s="5"/>
      <c r="Q1" s="4" t="s">
        <v>2846</v>
      </c>
      <c r="R1" s="1"/>
      <c r="S1" s="1"/>
    </row>
    <row r="2">
      <c r="A2" s="151" t="s">
        <v>8</v>
      </c>
      <c r="B2" s="152" t="s">
        <v>9</v>
      </c>
      <c r="C2" s="153" t="s">
        <v>10</v>
      </c>
      <c r="D2" s="152" t="s">
        <v>11</v>
      </c>
      <c r="E2" s="152" t="s">
        <v>12</v>
      </c>
      <c r="F2" s="153" t="s">
        <v>13</v>
      </c>
      <c r="G2" s="154" t="s">
        <v>14</v>
      </c>
      <c r="H2" s="155" t="s">
        <v>15</v>
      </c>
      <c r="I2" s="155" t="s">
        <v>16</v>
      </c>
      <c r="J2" s="155" t="s">
        <v>17</v>
      </c>
      <c r="K2" s="155" t="s">
        <v>18</v>
      </c>
      <c r="L2" s="155" t="s">
        <v>2847</v>
      </c>
      <c r="M2" s="155" t="s">
        <v>2848</v>
      </c>
      <c r="N2" s="153" t="s">
        <v>21</v>
      </c>
      <c r="O2" s="156" t="s">
        <v>22</v>
      </c>
      <c r="P2" s="156" t="s">
        <v>23</v>
      </c>
      <c r="Q2" s="156" t="s">
        <v>6</v>
      </c>
      <c r="R2" s="157"/>
      <c r="S2" s="157"/>
    </row>
    <row r="3">
      <c r="A3" s="158" t="str">
        <f>IFERROR(__xludf.DUMMYFUNCTION("SORT(FILTER('Master List'!A:Q, SEARCH(""Retro Classics"",'Master List'!N:N)),7,1)"),"Caesar III")</f>
        <v>Caesar III</v>
      </c>
      <c r="B3" s="158" t="str">
        <f>IFERROR(__xludf.DUMMYFUNCTION("""COMPUTED_VALUE"""),"Xbox / PC")</f>
        <v>Xbox / PC</v>
      </c>
      <c r="C3" s="158" t="str">
        <f>IFERROR(__xludf.DUMMYFUNCTION("""COMPUTED_VALUE"""),"Yes")</f>
        <v>Yes</v>
      </c>
      <c r="D3" s="159" t="str">
        <f>IFERROR(__xludf.DUMMYFUNCTION("""COMPUTED_VALUE"""),"Active")</f>
        <v>Active</v>
      </c>
      <c r="E3" s="160">
        <f>IFERROR(__xludf.DUMMYFUNCTION("""COMPUTED_VALUE"""),45883.0)</f>
        <v>45883</v>
      </c>
      <c r="F3" s="161"/>
      <c r="G3" s="162">
        <f>IFERROR(__xludf.DUMMYFUNCTION("""COMPUTED_VALUE"""),2.033333333333333)</f>
        <v>2.033333333</v>
      </c>
      <c r="H3" s="163">
        <f>IFERROR(__xludf.DUMMYFUNCTION("""COMPUTED_VALUE"""),36068.0)</f>
        <v>36068</v>
      </c>
      <c r="I3" s="162">
        <f>IFERROR(__xludf.DUMMYFUNCTION("""COMPUTED_VALUE"""),26.872222222222224)</f>
        <v>26.87222222</v>
      </c>
      <c r="J3" s="164"/>
      <c r="K3" s="164"/>
      <c r="L3" s="158"/>
      <c r="M3" s="158"/>
      <c r="N3" s="158" t="str">
        <f>IFERROR(__xludf.DUMMYFUNCTION("""COMPUTED_VALUE"""),"Retro Classics: Windows 9x")</f>
        <v>Retro Classics: Windows 9x</v>
      </c>
      <c r="O3" s="158"/>
      <c r="P3" s="158"/>
      <c r="Q3" s="158"/>
      <c r="R3" s="165"/>
      <c r="S3" s="165"/>
    </row>
    <row r="4">
      <c r="A4" s="175" t="str">
        <f>IFERROR(__xludf.DUMMYFUNCTION("""COMPUTED_VALUE"""),"Climber 5")</f>
        <v>Climber 5</v>
      </c>
      <c r="B4" s="158" t="str">
        <f>IFERROR(__xludf.DUMMYFUNCTION("""COMPUTED_VALUE"""),"Xbox / PC")</f>
        <v>Xbox / PC</v>
      </c>
      <c r="C4" s="158" t="str">
        <f>IFERROR(__xludf.DUMMYFUNCTION("""COMPUTED_VALUE"""),"Yes")</f>
        <v>Yes</v>
      </c>
      <c r="D4" s="159" t="str">
        <f>IFERROR(__xludf.DUMMYFUNCTION("""COMPUTED_VALUE"""),"Active")</f>
        <v>Active</v>
      </c>
      <c r="E4" s="160">
        <f>IFERROR(__xludf.DUMMYFUNCTION("""COMPUTED_VALUE"""),45883.0)</f>
        <v>45883</v>
      </c>
      <c r="F4" s="161"/>
      <c r="G4" s="162">
        <f>IFERROR(__xludf.DUMMYFUNCTION("""COMPUTED_VALUE"""),2.033333333333333)</f>
        <v>2.033333333</v>
      </c>
      <c r="H4" s="163">
        <f>IFERROR(__xludf.DUMMYFUNCTION("""COMPUTED_VALUE"""),31778.0)</f>
        <v>31778</v>
      </c>
      <c r="I4" s="162">
        <f>IFERROR(__xludf.DUMMYFUNCTION("""COMPUTED_VALUE"""),38.61944444444445)</f>
        <v>38.61944444</v>
      </c>
      <c r="J4" s="164"/>
      <c r="K4" s="164"/>
      <c r="L4" s="158"/>
      <c r="M4" s="158"/>
      <c r="N4" s="158" t="str">
        <f>IFERROR(__xludf.DUMMYFUNCTION("""COMPUTED_VALUE"""),"Retro Classics: Atari 2600")</f>
        <v>Retro Classics: Atari 2600</v>
      </c>
      <c r="O4" s="158"/>
      <c r="P4" s="158"/>
      <c r="Q4" s="158"/>
      <c r="R4" s="165"/>
      <c r="S4" s="165"/>
    </row>
    <row r="5">
      <c r="A5" s="158" t="str">
        <f>IFERROR(__xludf.DUMMYFUNCTION("""COMPUTED_VALUE"""),"The Colonel's Bequest")</f>
        <v>The Colonel's Bequest</v>
      </c>
      <c r="B5" s="158" t="str">
        <f>IFERROR(__xludf.DUMMYFUNCTION("""COMPUTED_VALUE"""),"Xbox / PC")</f>
        <v>Xbox / PC</v>
      </c>
      <c r="C5" s="158" t="str">
        <f>IFERROR(__xludf.DUMMYFUNCTION("""COMPUTED_VALUE"""),"Yes")</f>
        <v>Yes</v>
      </c>
      <c r="D5" s="159" t="str">
        <f>IFERROR(__xludf.DUMMYFUNCTION("""COMPUTED_VALUE"""),"Active")</f>
        <v>Active</v>
      </c>
      <c r="E5" s="160">
        <f>IFERROR(__xludf.DUMMYFUNCTION("""COMPUTED_VALUE"""),45883.0)</f>
        <v>45883</v>
      </c>
      <c r="F5" s="161"/>
      <c r="G5" s="162">
        <f>IFERROR(__xludf.DUMMYFUNCTION("""COMPUTED_VALUE"""),2.033333333333333)</f>
        <v>2.033333333</v>
      </c>
      <c r="H5" s="163">
        <f>IFERROR(__xludf.DUMMYFUNCTION("""COMPUTED_VALUE"""),32782.0)</f>
        <v>32782</v>
      </c>
      <c r="I5" s="162">
        <f>IFERROR(__xludf.DUMMYFUNCTION("""COMPUTED_VALUE"""),35.86944444444445)</f>
        <v>35.86944444</v>
      </c>
      <c r="J5" s="164"/>
      <c r="K5" s="164"/>
      <c r="L5" s="158"/>
      <c r="M5" s="158"/>
      <c r="N5" s="158" t="str">
        <f>IFERROR(__xludf.DUMMYFUNCTION("""COMPUTED_VALUE"""),"Retro Classics: Amiga")</f>
        <v>Retro Classics: Amiga</v>
      </c>
      <c r="O5" s="158"/>
      <c r="P5" s="158"/>
      <c r="Q5" s="158"/>
      <c r="R5" s="165"/>
      <c r="S5" s="165"/>
    </row>
    <row r="6">
      <c r="A6" s="158" t="str">
        <f>IFERROR(__xludf.DUMMYFUNCTION("""COMPUTED_VALUE"""),"Private Eye")</f>
        <v>Private Eye</v>
      </c>
      <c r="B6" s="158" t="str">
        <f>IFERROR(__xludf.DUMMYFUNCTION("""COMPUTED_VALUE"""),"Xbox / PC")</f>
        <v>Xbox / PC</v>
      </c>
      <c r="C6" s="158" t="str">
        <f>IFERROR(__xludf.DUMMYFUNCTION("""COMPUTED_VALUE"""),"Yes")</f>
        <v>Yes</v>
      </c>
      <c r="D6" s="159" t="str">
        <f>IFERROR(__xludf.DUMMYFUNCTION("""COMPUTED_VALUE"""),"Active")</f>
        <v>Active</v>
      </c>
      <c r="E6" s="160">
        <f>IFERROR(__xludf.DUMMYFUNCTION("""COMPUTED_VALUE"""),45883.0)</f>
        <v>45883</v>
      </c>
      <c r="F6" s="161"/>
      <c r="G6" s="162">
        <f>IFERROR(__xludf.DUMMYFUNCTION("""COMPUTED_VALUE"""),2.033333333333333)</f>
        <v>2.033333333</v>
      </c>
      <c r="H6" s="163">
        <f>IFERROR(__xludf.DUMMYFUNCTION("""COMPUTED_VALUE"""),30713.0)</f>
        <v>30713</v>
      </c>
      <c r="I6" s="162">
        <f>IFERROR(__xludf.DUMMYFUNCTION("""COMPUTED_VALUE"""),41.53611111111111)</f>
        <v>41.53611111</v>
      </c>
      <c r="J6" s="164"/>
      <c r="K6" s="164"/>
      <c r="L6" s="158"/>
      <c r="M6" s="158"/>
      <c r="N6" s="158" t="str">
        <f>IFERROR(__xludf.DUMMYFUNCTION("""COMPUTED_VALUE"""),"Retro Classics: Atari 2600")</f>
        <v>Retro Classics: Atari 2600</v>
      </c>
      <c r="O6" s="158"/>
      <c r="P6" s="158"/>
      <c r="Q6" s="158"/>
      <c r="R6" s="165"/>
      <c r="S6" s="165"/>
    </row>
    <row r="7">
      <c r="A7" s="158" t="str">
        <f>IFERROR(__xludf.DUMMYFUNCTION("""COMPUTED_VALUE"""),"Oystron")</f>
        <v>Oystron</v>
      </c>
      <c r="B7" s="158" t="str">
        <f>IFERROR(__xludf.DUMMYFUNCTION("""COMPUTED_VALUE"""),"Xbox / PC")</f>
        <v>Xbox / PC</v>
      </c>
      <c r="C7" s="158" t="str">
        <f>IFERROR(__xludf.DUMMYFUNCTION("""COMPUTED_VALUE"""),"Yes")</f>
        <v>Yes</v>
      </c>
      <c r="D7" s="159" t="str">
        <f>IFERROR(__xludf.DUMMYFUNCTION("""COMPUTED_VALUE"""),"Active")</f>
        <v>Active</v>
      </c>
      <c r="E7" s="160">
        <f>IFERROR(__xludf.DUMMYFUNCTION("""COMPUTED_VALUE"""),45883.0)</f>
        <v>45883</v>
      </c>
      <c r="F7" s="161"/>
      <c r="G7" s="162">
        <f>IFERROR(__xludf.DUMMYFUNCTION("""COMPUTED_VALUE"""),2.033333333333333)</f>
        <v>2.033333333</v>
      </c>
      <c r="H7" s="163">
        <f>IFERROR(__xludf.DUMMYFUNCTION("""COMPUTED_VALUE"""),35431.0)</f>
        <v>35431</v>
      </c>
      <c r="I7" s="162">
        <f>IFERROR(__xludf.DUMMYFUNCTION("""COMPUTED_VALUE"""),28.619444444444444)</f>
        <v>28.61944444</v>
      </c>
      <c r="J7" s="164"/>
      <c r="K7" s="164"/>
      <c r="L7" s="158"/>
      <c r="M7" s="158"/>
      <c r="N7" s="158" t="str">
        <f>IFERROR(__xludf.DUMMYFUNCTION("""COMPUTED_VALUE"""),"Retro Classics: Atari 2600")</f>
        <v>Retro Classics: Atari 2600</v>
      </c>
      <c r="O7" s="158"/>
      <c r="P7" s="158"/>
      <c r="Q7" s="158"/>
      <c r="R7" s="165"/>
      <c r="S7" s="165"/>
    </row>
    <row r="8">
      <c r="A8" s="158" t="str">
        <f>IFERROR(__xludf.DUMMYFUNCTION("""COMPUTED_VALUE"""),"Shootin' Gallery")</f>
        <v>Shootin' Gallery</v>
      </c>
      <c r="B8" s="158" t="str">
        <f>IFERROR(__xludf.DUMMYFUNCTION("""COMPUTED_VALUE"""),"Xbox / PC")</f>
        <v>Xbox / PC</v>
      </c>
      <c r="C8" s="158" t="str">
        <f>IFERROR(__xludf.DUMMYFUNCTION("""COMPUTED_VALUE"""),"Yes")</f>
        <v>Yes</v>
      </c>
      <c r="D8" s="159" t="str">
        <f>IFERROR(__xludf.DUMMYFUNCTION("""COMPUTED_VALUE"""),"Active")</f>
        <v>Active</v>
      </c>
      <c r="E8" s="160">
        <f>IFERROR(__xludf.DUMMYFUNCTION("""COMPUTED_VALUE"""),45883.0)</f>
        <v>45883</v>
      </c>
      <c r="F8" s="161"/>
      <c r="G8" s="162">
        <f>IFERROR(__xludf.DUMMYFUNCTION("""COMPUTED_VALUE"""),2.033333333333333)</f>
        <v>2.033333333</v>
      </c>
      <c r="H8" s="163">
        <f>IFERROR(__xludf.DUMMYFUNCTION("""COMPUTED_VALUE"""),29952.0)</f>
        <v>29952</v>
      </c>
      <c r="I8" s="162">
        <f>IFERROR(__xludf.DUMMYFUNCTION("""COMPUTED_VALUE"""),43.61944444444445)</f>
        <v>43.61944444</v>
      </c>
      <c r="J8" s="164"/>
      <c r="K8" s="164"/>
      <c r="L8" s="158"/>
      <c r="M8" s="158"/>
      <c r="N8" s="158" t="str">
        <f>IFERROR(__xludf.DUMMYFUNCTION("""COMPUTED_VALUE"""),"Retro Classics: Atari 2600")</f>
        <v>Retro Classics: Atari 2600</v>
      </c>
      <c r="O8" s="158"/>
      <c r="P8" s="158"/>
      <c r="Q8" s="158"/>
      <c r="R8" s="165"/>
      <c r="S8" s="165"/>
    </row>
    <row r="9">
      <c r="A9" s="158" t="str">
        <f>IFERROR(__xludf.DUMMYFUNCTION("""COMPUTED_VALUE"""),"Wing War")</f>
        <v>Wing War</v>
      </c>
      <c r="B9" s="158" t="str">
        <f>IFERROR(__xludf.DUMMYFUNCTION("""COMPUTED_VALUE"""),"Xbox / PC")</f>
        <v>Xbox / PC</v>
      </c>
      <c r="C9" s="158" t="str">
        <f>IFERROR(__xludf.DUMMYFUNCTION("""COMPUTED_VALUE"""),"Yes")</f>
        <v>Yes</v>
      </c>
      <c r="D9" s="159" t="str">
        <f>IFERROR(__xludf.DUMMYFUNCTION("""COMPUTED_VALUE"""),"Active")</f>
        <v>Active</v>
      </c>
      <c r="E9" s="160">
        <f>IFERROR(__xludf.DUMMYFUNCTION("""COMPUTED_VALUE"""),45883.0)</f>
        <v>45883</v>
      </c>
      <c r="F9" s="161"/>
      <c r="G9" s="162">
        <f>IFERROR(__xludf.DUMMYFUNCTION("""COMPUTED_VALUE"""),2.033333333333333)</f>
        <v>2.033333333</v>
      </c>
      <c r="H9" s="163">
        <f>IFERROR(__xludf.DUMMYFUNCTION("""COMPUTED_VALUE"""),30681.0)</f>
        <v>30681</v>
      </c>
      <c r="I9" s="162">
        <f>IFERROR(__xludf.DUMMYFUNCTION("""COMPUTED_VALUE"""),41.62222222222222)</f>
        <v>41.62222222</v>
      </c>
      <c r="J9" s="164"/>
      <c r="K9" s="164"/>
      <c r="L9" s="158"/>
      <c r="M9" s="158"/>
      <c r="N9" s="158" t="str">
        <f>IFERROR(__xludf.DUMMYFUNCTION("""COMPUTED_VALUE"""),"Retro Classics: Atari 2600")</f>
        <v>Retro Classics: Atari 2600</v>
      </c>
      <c r="O9" s="158"/>
      <c r="P9" s="158"/>
      <c r="Q9" s="158"/>
      <c r="R9" s="165"/>
      <c r="S9" s="165"/>
    </row>
    <row r="10">
      <c r="A10" s="158" t="str">
        <f>IFERROR(__xludf.DUMMYFUNCTION("""COMPUTED_VALUE"""),"Caesar")</f>
        <v>Caesar</v>
      </c>
      <c r="B10" s="158" t="str">
        <f>IFERROR(__xludf.DUMMYFUNCTION("""COMPUTED_VALUE"""),"Xbox / PC")</f>
        <v>Xbox / PC</v>
      </c>
      <c r="C10" s="158" t="str">
        <f>IFERROR(__xludf.DUMMYFUNCTION("""COMPUTED_VALUE"""),"Yes")</f>
        <v>Yes</v>
      </c>
      <c r="D10" s="159" t="str">
        <f>IFERROR(__xludf.DUMMYFUNCTION("""COMPUTED_VALUE"""),"Active")</f>
        <v>Active</v>
      </c>
      <c r="E10" s="160">
        <f>IFERROR(__xludf.DUMMYFUNCTION("""COMPUTED_VALUE"""),45859.0)</f>
        <v>45859</v>
      </c>
      <c r="F10" s="161"/>
      <c r="G10" s="162">
        <f>IFERROR(__xludf.DUMMYFUNCTION("""COMPUTED_VALUE"""),2.8)</f>
        <v>2.8</v>
      </c>
      <c r="H10" s="163">
        <f>IFERROR(__xludf.DUMMYFUNCTION("""COMPUTED_VALUE"""),33604.0)</f>
        <v>33604</v>
      </c>
      <c r="I10" s="162">
        <f>IFERROR(__xludf.DUMMYFUNCTION("""COMPUTED_VALUE"""),33.55555555555556)</f>
        <v>33.55555556</v>
      </c>
      <c r="J10" s="164"/>
      <c r="K10" s="164"/>
      <c r="L10" s="158"/>
      <c r="M10" s="158"/>
      <c r="N10" s="158" t="str">
        <f>IFERROR(__xludf.DUMMYFUNCTION("""COMPUTED_VALUE"""),"Retro Classics: Amiga")</f>
        <v>Retro Classics: Amiga</v>
      </c>
      <c r="O10" s="158"/>
      <c r="P10" s="158"/>
      <c r="Q10" s="158"/>
      <c r="R10" s="165"/>
      <c r="S10" s="165"/>
    </row>
    <row r="11">
      <c r="A11" s="158" t="str">
        <f>IFERROR(__xludf.DUMMYFUNCTION("""COMPUTED_VALUE"""),"Conquests of Camelot: The Search for the Grail")</f>
        <v>Conquests of Camelot: The Search for the Grail</v>
      </c>
      <c r="B11" s="158" t="str">
        <f>IFERROR(__xludf.DUMMYFUNCTION("""COMPUTED_VALUE"""),"Xbox / PC")</f>
        <v>Xbox / PC</v>
      </c>
      <c r="C11" s="158" t="str">
        <f>IFERROR(__xludf.DUMMYFUNCTION("""COMPUTED_VALUE"""),"Yes")</f>
        <v>Yes</v>
      </c>
      <c r="D11" s="159" t="str">
        <f>IFERROR(__xludf.DUMMYFUNCTION("""COMPUTED_VALUE"""),"Active")</f>
        <v>Active</v>
      </c>
      <c r="E11" s="160">
        <f>IFERROR(__xludf.DUMMYFUNCTION("""COMPUTED_VALUE"""),45859.0)</f>
        <v>45859</v>
      </c>
      <c r="F11" s="161"/>
      <c r="G11" s="162">
        <f>IFERROR(__xludf.DUMMYFUNCTION("""COMPUTED_VALUE"""),2.8)</f>
        <v>2.8</v>
      </c>
      <c r="H11" s="163">
        <f>IFERROR(__xludf.DUMMYFUNCTION("""COMPUTED_VALUE"""),32874.0)</f>
        <v>32874</v>
      </c>
      <c r="I11" s="162">
        <f>IFERROR(__xludf.DUMMYFUNCTION("""COMPUTED_VALUE"""),35.55555555555556)</f>
        <v>35.55555556</v>
      </c>
      <c r="J11" s="164"/>
      <c r="K11" s="164"/>
      <c r="L11" s="158"/>
      <c r="M11" s="158"/>
      <c r="N11" s="158" t="str">
        <f>IFERROR(__xludf.DUMMYFUNCTION("""COMPUTED_VALUE"""),"Retro Classics: Amiga")</f>
        <v>Retro Classics: Amiga</v>
      </c>
      <c r="O11" s="158"/>
      <c r="P11" s="158"/>
      <c r="Q11" s="158"/>
      <c r="R11" s="165"/>
      <c r="S11" s="165"/>
    </row>
    <row r="12">
      <c r="A12" s="158" t="str">
        <f>IFERROR(__xludf.DUMMYFUNCTION("""COMPUTED_VALUE"""),"Gabriel Knight: Sins of the Fathers")</f>
        <v>Gabriel Knight: Sins of the Fathers</v>
      </c>
      <c r="B12" s="158" t="str">
        <f>IFERROR(__xludf.DUMMYFUNCTION("""COMPUTED_VALUE"""),"Xbox / PC")</f>
        <v>Xbox / PC</v>
      </c>
      <c r="C12" s="158" t="str">
        <f>IFERROR(__xludf.DUMMYFUNCTION("""COMPUTED_VALUE"""),"Yes")</f>
        <v>Yes</v>
      </c>
      <c r="D12" s="159" t="str">
        <f>IFERROR(__xludf.DUMMYFUNCTION("""COMPUTED_VALUE"""),"Active")</f>
        <v>Active</v>
      </c>
      <c r="E12" s="160">
        <f>IFERROR(__xludf.DUMMYFUNCTION("""COMPUTED_VALUE"""),45859.0)</f>
        <v>45859</v>
      </c>
      <c r="F12" s="161"/>
      <c r="G12" s="162">
        <f>IFERROR(__xludf.DUMMYFUNCTION("""COMPUTED_VALUE"""),2.8)</f>
        <v>2.8</v>
      </c>
      <c r="H12" s="163">
        <f>IFERROR(__xludf.DUMMYFUNCTION("""COMPUTED_VALUE"""),33970.0)</f>
        <v>33970</v>
      </c>
      <c r="I12" s="162">
        <f>IFERROR(__xludf.DUMMYFUNCTION("""COMPUTED_VALUE"""),32.55555555555556)</f>
        <v>32.55555556</v>
      </c>
      <c r="J12" s="164"/>
      <c r="K12" s="164"/>
      <c r="L12" s="158"/>
      <c r="M12" s="158"/>
      <c r="N12" s="158" t="str">
        <f>IFERROR(__xludf.DUMMYFUNCTION("""COMPUTED_VALUE"""),"Retro Classics: DOS")</f>
        <v>Retro Classics: DOS</v>
      </c>
      <c r="O12" s="158"/>
      <c r="P12" s="158"/>
      <c r="Q12" s="158"/>
      <c r="R12" s="165"/>
      <c r="S12" s="165"/>
    </row>
    <row r="13">
      <c r="A13" s="158" t="str">
        <f>IFERROR(__xludf.DUMMYFUNCTION("""COMPUTED_VALUE"""),"Hard Head")</f>
        <v>Hard Head</v>
      </c>
      <c r="B13" s="158" t="str">
        <f>IFERROR(__xludf.DUMMYFUNCTION("""COMPUTED_VALUE"""),"Xbox / PC")</f>
        <v>Xbox / PC</v>
      </c>
      <c r="C13" s="158" t="str">
        <f>IFERROR(__xludf.DUMMYFUNCTION("""COMPUTED_VALUE"""),"Yes")</f>
        <v>Yes</v>
      </c>
      <c r="D13" s="159" t="str">
        <f>IFERROR(__xludf.DUMMYFUNCTION("""COMPUTED_VALUE"""),"Active")</f>
        <v>Active</v>
      </c>
      <c r="E13" s="160">
        <f>IFERROR(__xludf.DUMMYFUNCTION("""COMPUTED_VALUE"""),45859.0)</f>
        <v>45859</v>
      </c>
      <c r="F13" s="161"/>
      <c r="G13" s="162">
        <f>IFERROR(__xludf.DUMMYFUNCTION("""COMPUTED_VALUE"""),2.8)</f>
        <v>2.8</v>
      </c>
      <c r="H13" s="163">
        <f>IFERROR(__xludf.DUMMYFUNCTION("""COMPUTED_VALUE"""),30317.0)</f>
        <v>30317</v>
      </c>
      <c r="I13" s="162">
        <f>IFERROR(__xludf.DUMMYFUNCTION("""COMPUTED_VALUE"""),42.55555555555556)</f>
        <v>42.55555556</v>
      </c>
      <c r="J13" s="164"/>
      <c r="K13" s="164"/>
      <c r="L13" s="158"/>
      <c r="M13" s="158"/>
      <c r="N13" s="158" t="str">
        <f>IFERROR(__xludf.DUMMYFUNCTION("""COMPUTED_VALUE"""),"Retro Classics: Atari 2600")</f>
        <v>Retro Classics: Atari 2600</v>
      </c>
      <c r="O13" s="158"/>
      <c r="P13" s="158"/>
      <c r="Q13" s="158"/>
      <c r="R13" s="165"/>
      <c r="S13" s="165"/>
    </row>
    <row r="14">
      <c r="A14" s="158" t="str">
        <f>IFERROR(__xludf.DUMMYFUNCTION("""COMPUTED_VALUE"""),"Okie Dokie")</f>
        <v>Okie Dokie</v>
      </c>
      <c r="B14" s="158" t="str">
        <f>IFERROR(__xludf.DUMMYFUNCTION("""COMPUTED_VALUE"""),"Xbox / PC")</f>
        <v>Xbox / PC</v>
      </c>
      <c r="C14" s="158" t="str">
        <f>IFERROR(__xludf.DUMMYFUNCTION("""COMPUTED_VALUE"""),"Yes")</f>
        <v>Yes</v>
      </c>
      <c r="D14" s="159" t="str">
        <f>IFERROR(__xludf.DUMMYFUNCTION("""COMPUTED_VALUE"""),"Active")</f>
        <v>Active</v>
      </c>
      <c r="E14" s="160">
        <f>IFERROR(__xludf.DUMMYFUNCTION("""COMPUTED_VALUE"""),45859.0)</f>
        <v>45859</v>
      </c>
      <c r="F14" s="161"/>
      <c r="G14" s="162">
        <f>IFERROR(__xludf.DUMMYFUNCTION("""COMPUTED_VALUE"""),2.8)</f>
        <v>2.8</v>
      </c>
      <c r="H14" s="163">
        <f>IFERROR(__xludf.DUMMYFUNCTION("""COMPUTED_VALUE"""),35065.0)</f>
        <v>35065</v>
      </c>
      <c r="I14" s="162">
        <f>IFERROR(__xludf.DUMMYFUNCTION("""COMPUTED_VALUE"""),29.555555555555557)</f>
        <v>29.55555556</v>
      </c>
      <c r="J14" s="164"/>
      <c r="K14" s="164"/>
      <c r="L14" s="158"/>
      <c r="M14" s="158"/>
      <c r="N14" s="158" t="str">
        <f>IFERROR(__xludf.DUMMYFUNCTION("""COMPUTED_VALUE"""),"Retro Classics: Atari 2600")</f>
        <v>Retro Classics: Atari 2600</v>
      </c>
      <c r="O14" s="158"/>
      <c r="P14" s="158"/>
      <c r="Q14" s="158"/>
      <c r="R14" s="165"/>
      <c r="S14" s="165"/>
    </row>
    <row r="15">
      <c r="A15" s="158" t="str">
        <f>IFERROR(__xludf.DUMMYFUNCTION("""COMPUTED_VALUE"""),"Skate Boardin'")</f>
        <v>Skate Boardin'</v>
      </c>
      <c r="B15" s="158" t="str">
        <f>IFERROR(__xludf.DUMMYFUNCTION("""COMPUTED_VALUE"""),"Xbox / PC")</f>
        <v>Xbox / PC</v>
      </c>
      <c r="C15" s="158" t="str">
        <f>IFERROR(__xludf.DUMMYFUNCTION("""COMPUTED_VALUE"""),"Yes")</f>
        <v>Yes</v>
      </c>
      <c r="D15" s="159" t="str">
        <f>IFERROR(__xludf.DUMMYFUNCTION("""COMPUTED_VALUE"""),"Active")</f>
        <v>Active</v>
      </c>
      <c r="E15" s="160">
        <f>IFERROR(__xludf.DUMMYFUNCTION("""COMPUTED_VALUE"""),45859.0)</f>
        <v>45859</v>
      </c>
      <c r="F15" s="161"/>
      <c r="G15" s="162">
        <f>IFERROR(__xludf.DUMMYFUNCTION("""COMPUTED_VALUE"""),2.8)</f>
        <v>2.8</v>
      </c>
      <c r="H15" s="163">
        <f>IFERROR(__xludf.DUMMYFUNCTION("""COMPUTED_VALUE"""),31972.0)</f>
        <v>31972</v>
      </c>
      <c r="I15" s="162">
        <f>IFERROR(__xludf.DUMMYFUNCTION("""COMPUTED_VALUE"""),38.019444444444446)</f>
        <v>38.01944444</v>
      </c>
      <c r="J15" s="164"/>
      <c r="K15" s="164"/>
      <c r="L15" s="158"/>
      <c r="M15" s="158"/>
      <c r="N15" s="158" t="str">
        <f>IFERROR(__xludf.DUMMYFUNCTION("""COMPUTED_VALUE"""),"Retro Classics: Atari 2600")</f>
        <v>Retro Classics: Atari 2600</v>
      </c>
      <c r="O15" s="158"/>
      <c r="P15" s="158"/>
      <c r="Q15" s="158"/>
      <c r="R15" s="165"/>
      <c r="S15" s="165"/>
    </row>
    <row r="16">
      <c r="A16" s="158" t="str">
        <f>IFERROR(__xludf.DUMMYFUNCTION("""COMPUTED_VALUE"""),"Skeleton+")</f>
        <v>Skeleton+</v>
      </c>
      <c r="B16" s="158" t="str">
        <f>IFERROR(__xludf.DUMMYFUNCTION("""COMPUTED_VALUE"""),"Xbox / PC")</f>
        <v>Xbox / PC</v>
      </c>
      <c r="C16" s="158" t="str">
        <f>IFERROR(__xludf.DUMMYFUNCTION("""COMPUTED_VALUE"""),"Yes")</f>
        <v>Yes</v>
      </c>
      <c r="D16" s="159" t="str">
        <f>IFERROR(__xludf.DUMMYFUNCTION("""COMPUTED_VALUE"""),"Active")</f>
        <v>Active</v>
      </c>
      <c r="E16" s="160">
        <f>IFERROR(__xludf.DUMMYFUNCTION("""COMPUTED_VALUE"""),45859.0)</f>
        <v>45859</v>
      </c>
      <c r="F16" s="161"/>
      <c r="G16" s="162">
        <f>IFERROR(__xludf.DUMMYFUNCTION("""COMPUTED_VALUE"""),2.8)</f>
        <v>2.8</v>
      </c>
      <c r="H16" s="163">
        <f>IFERROR(__xludf.DUMMYFUNCTION("""COMPUTED_VALUE"""),37622.0)</f>
        <v>37622</v>
      </c>
      <c r="I16" s="162">
        <f>IFERROR(__xludf.DUMMYFUNCTION("""COMPUTED_VALUE"""),22.555555555555557)</f>
        <v>22.55555556</v>
      </c>
      <c r="J16" s="164"/>
      <c r="K16" s="164"/>
      <c r="L16" s="158"/>
      <c r="M16" s="158"/>
      <c r="N16" s="158" t="str">
        <f>IFERROR(__xludf.DUMMYFUNCTION("""COMPUTED_VALUE"""),"Retro Classics: Atari 2600")</f>
        <v>Retro Classics: Atari 2600</v>
      </c>
      <c r="O16" s="158"/>
      <c r="P16" s="158"/>
      <c r="Q16" s="158"/>
      <c r="R16" s="165"/>
      <c r="S16" s="165"/>
    </row>
    <row r="17">
      <c r="A17" s="158" t="str">
        <f>IFERROR(__xludf.DUMMYFUNCTION("""COMPUTED_VALUE"""),"Cosmic Commuter")</f>
        <v>Cosmic Commuter</v>
      </c>
      <c r="B17" s="158" t="str">
        <f>IFERROR(__xludf.DUMMYFUNCTION("""COMPUTED_VALUE"""),"Xbox / PC")</f>
        <v>Xbox / PC</v>
      </c>
      <c r="C17" s="158" t="str">
        <f>IFERROR(__xludf.DUMMYFUNCTION("""COMPUTED_VALUE"""),"Yes")</f>
        <v>Yes</v>
      </c>
      <c r="D17" s="159" t="str">
        <f>IFERROR(__xludf.DUMMYFUNCTION("""COMPUTED_VALUE"""),"Active")</f>
        <v>Active</v>
      </c>
      <c r="E17" s="160">
        <f>IFERROR(__xludf.DUMMYFUNCTION("""COMPUTED_VALUE"""),45839.0)</f>
        <v>45839</v>
      </c>
      <c r="F17" s="161"/>
      <c r="G17" s="162">
        <f>IFERROR(__xludf.DUMMYFUNCTION("""COMPUTED_VALUE"""),3.4666666666666663)</f>
        <v>3.466666667</v>
      </c>
      <c r="H17" s="163">
        <f>IFERROR(__xludf.DUMMYFUNCTION("""COMPUTED_VALUE"""),31048.0)</f>
        <v>31048</v>
      </c>
      <c r="I17" s="162">
        <f>IFERROR(__xludf.DUMMYFUNCTION("""COMPUTED_VALUE"""),40.5)</f>
        <v>40.5</v>
      </c>
      <c r="J17" s="164"/>
      <c r="K17" s="164"/>
      <c r="L17" s="158"/>
      <c r="M17" s="158"/>
      <c r="N17" s="158" t="str">
        <f>IFERROR(__xludf.DUMMYFUNCTION("""COMPUTED_VALUE"""),"Retro Classics: Atari 2600")</f>
        <v>Retro Classics: Atari 2600</v>
      </c>
      <c r="O17" s="158"/>
      <c r="P17" s="158"/>
      <c r="Q17" s="158"/>
      <c r="R17" s="165"/>
      <c r="S17" s="165"/>
    </row>
    <row r="18">
      <c r="A18" s="158" t="str">
        <f>IFERROR(__xludf.DUMMYFUNCTION("""COMPUTED_VALUE"""),"Heart of China")</f>
        <v>Heart of China</v>
      </c>
      <c r="B18" s="158" t="str">
        <f>IFERROR(__xludf.DUMMYFUNCTION("""COMPUTED_VALUE"""),"Xbox / PC")</f>
        <v>Xbox / PC</v>
      </c>
      <c r="C18" s="158" t="str">
        <f>IFERROR(__xludf.DUMMYFUNCTION("""COMPUTED_VALUE"""),"Yes")</f>
        <v>Yes</v>
      </c>
      <c r="D18" s="159" t="str">
        <f>IFERROR(__xludf.DUMMYFUNCTION("""COMPUTED_VALUE"""),"Active")</f>
        <v>Active</v>
      </c>
      <c r="E18" s="160">
        <f>IFERROR(__xludf.DUMMYFUNCTION("""COMPUTED_VALUE"""),45839.0)</f>
        <v>45839</v>
      </c>
      <c r="F18" s="161"/>
      <c r="G18" s="162">
        <f>IFERROR(__xludf.DUMMYFUNCTION("""COMPUTED_VALUE"""),3.4666666666666663)</f>
        <v>3.466666667</v>
      </c>
      <c r="H18" s="163">
        <f>IFERROR(__xludf.DUMMYFUNCTION("""COMPUTED_VALUE"""),33239.0)</f>
        <v>33239</v>
      </c>
      <c r="I18" s="162">
        <f>IFERROR(__xludf.DUMMYFUNCTION("""COMPUTED_VALUE"""),34.5)</f>
        <v>34.5</v>
      </c>
      <c r="J18" s="164"/>
      <c r="K18" s="164">
        <f>IFERROR(__xludf.DUMMYFUNCTION("""COMPUTED_VALUE"""),4.0)</f>
        <v>4</v>
      </c>
      <c r="L18" s="158"/>
      <c r="M18" s="158"/>
      <c r="N18" s="158" t="str">
        <f>IFERROR(__xludf.DUMMYFUNCTION("""COMPUTED_VALUE"""),"Retro Classics: DOS")</f>
        <v>Retro Classics: DOS</v>
      </c>
      <c r="O18" s="158"/>
      <c r="P18" s="158"/>
      <c r="Q18" s="158"/>
      <c r="R18" s="165"/>
      <c r="S18" s="165"/>
    </row>
    <row r="19">
      <c r="A19" s="158" t="str">
        <f>IFERROR(__xludf.DUMMYFUNCTION("""COMPUTED_VALUE"""),"Skiing")</f>
        <v>Skiing</v>
      </c>
      <c r="B19" s="158" t="str">
        <f>IFERROR(__xludf.DUMMYFUNCTION("""COMPUTED_VALUE"""),"Xbox / PC")</f>
        <v>Xbox / PC</v>
      </c>
      <c r="C19" s="158" t="str">
        <f>IFERROR(__xludf.DUMMYFUNCTION("""COMPUTED_VALUE"""),"Yes")</f>
        <v>Yes</v>
      </c>
      <c r="D19" s="159" t="str">
        <f>IFERROR(__xludf.DUMMYFUNCTION("""COMPUTED_VALUE"""),"Active")</f>
        <v>Active</v>
      </c>
      <c r="E19" s="160">
        <f>IFERROR(__xludf.DUMMYFUNCTION("""COMPUTED_VALUE"""),45839.0)</f>
        <v>45839</v>
      </c>
      <c r="F19" s="161"/>
      <c r="G19" s="162">
        <f>IFERROR(__xludf.DUMMYFUNCTION("""COMPUTED_VALUE"""),3.4666666666666663)</f>
        <v>3.466666667</v>
      </c>
      <c r="H19" s="163">
        <f>IFERROR(__xludf.DUMMYFUNCTION("""COMPUTED_VALUE"""),29221.0)</f>
        <v>29221</v>
      </c>
      <c r="I19" s="162">
        <f>IFERROR(__xludf.DUMMYFUNCTION("""COMPUTED_VALUE"""),45.5)</f>
        <v>45.5</v>
      </c>
      <c r="J19" s="164"/>
      <c r="K19" s="164">
        <f>IFERROR(__xludf.DUMMYFUNCTION("""COMPUTED_VALUE"""),1.0)</f>
        <v>1</v>
      </c>
      <c r="L19" s="158"/>
      <c r="M19" s="158"/>
      <c r="N19" s="158" t="str">
        <f>IFERROR(__xludf.DUMMYFUNCTION("""COMPUTED_VALUE"""),"Retro Classics: Atari 2600")</f>
        <v>Retro Classics: Atari 2600</v>
      </c>
      <c r="O19" s="158"/>
      <c r="P19" s="158"/>
      <c r="Q19" s="158"/>
      <c r="R19" s="165"/>
      <c r="S19" s="165"/>
    </row>
    <row r="20">
      <c r="A20" s="158" t="str">
        <f>IFERROR(__xludf.DUMMYFUNCTION("""COMPUTED_VALUE"""),"Solar Storm")</f>
        <v>Solar Storm</v>
      </c>
      <c r="B20" s="158" t="str">
        <f>IFERROR(__xludf.DUMMYFUNCTION("""COMPUTED_VALUE"""),"Xbox / PC")</f>
        <v>Xbox / PC</v>
      </c>
      <c r="C20" s="158" t="str">
        <f>IFERROR(__xludf.DUMMYFUNCTION("""COMPUTED_VALUE"""),"Yes")</f>
        <v>Yes</v>
      </c>
      <c r="D20" s="159" t="str">
        <f>IFERROR(__xludf.DUMMYFUNCTION("""COMPUTED_VALUE"""),"Active")</f>
        <v>Active</v>
      </c>
      <c r="E20" s="160">
        <f>IFERROR(__xludf.DUMMYFUNCTION("""COMPUTED_VALUE"""),45839.0)</f>
        <v>45839</v>
      </c>
      <c r="F20" s="161"/>
      <c r="G20" s="162">
        <f>IFERROR(__xludf.DUMMYFUNCTION("""COMPUTED_VALUE"""),3.4666666666666663)</f>
        <v>3.466666667</v>
      </c>
      <c r="H20" s="163">
        <f>IFERROR(__xludf.DUMMYFUNCTION("""COMPUTED_VALUE"""),30317.0)</f>
        <v>30317</v>
      </c>
      <c r="I20" s="162">
        <f>IFERROR(__xludf.DUMMYFUNCTION("""COMPUTED_VALUE"""),42.5)</f>
        <v>42.5</v>
      </c>
      <c r="J20" s="164"/>
      <c r="K20" s="164"/>
      <c r="L20" s="158"/>
      <c r="M20" s="158"/>
      <c r="N20" s="158" t="str">
        <f>IFERROR(__xludf.DUMMYFUNCTION("""COMPUTED_VALUE"""),"Retro Classics: Atari 2600")</f>
        <v>Retro Classics: Atari 2600</v>
      </c>
      <c r="O20" s="158"/>
      <c r="P20" s="158"/>
      <c r="Q20" s="158"/>
      <c r="R20" s="165"/>
      <c r="S20" s="165"/>
    </row>
    <row r="21">
      <c r="A21" s="158" t="str">
        <f>IFERROR(__xludf.DUMMYFUNCTION("""COMPUTED_VALUE"""),"Subterranea")</f>
        <v>Subterranea</v>
      </c>
      <c r="B21" s="158" t="str">
        <f>IFERROR(__xludf.DUMMYFUNCTION("""COMPUTED_VALUE"""),"Xbox / PC")</f>
        <v>Xbox / PC</v>
      </c>
      <c r="C21" s="158" t="str">
        <f>IFERROR(__xludf.DUMMYFUNCTION("""COMPUTED_VALUE"""),"Yes")</f>
        <v>Yes</v>
      </c>
      <c r="D21" s="159" t="str">
        <f>IFERROR(__xludf.DUMMYFUNCTION("""COMPUTED_VALUE"""),"Active")</f>
        <v>Active</v>
      </c>
      <c r="E21" s="160">
        <f>IFERROR(__xludf.DUMMYFUNCTION("""COMPUTED_VALUE"""),45839.0)</f>
        <v>45839</v>
      </c>
      <c r="F21" s="161"/>
      <c r="G21" s="162">
        <f>IFERROR(__xludf.DUMMYFUNCTION("""COMPUTED_VALUE"""),3.4666666666666663)</f>
        <v>3.466666667</v>
      </c>
      <c r="H21" s="163">
        <f>IFERROR(__xludf.DUMMYFUNCTION("""COMPUTED_VALUE"""),30317.0)</f>
        <v>30317</v>
      </c>
      <c r="I21" s="162">
        <f>IFERROR(__xludf.DUMMYFUNCTION("""COMPUTED_VALUE"""),42.5)</f>
        <v>42.5</v>
      </c>
      <c r="J21" s="164"/>
      <c r="K21" s="164"/>
      <c r="L21" s="158"/>
      <c r="M21" s="158"/>
      <c r="N21" s="158" t="str">
        <f>IFERROR(__xludf.DUMMYFUNCTION("""COMPUTED_VALUE"""),"Retro Classics: Atari 2600")</f>
        <v>Retro Classics: Atari 2600</v>
      </c>
      <c r="O21" s="158"/>
      <c r="P21" s="158"/>
      <c r="Q21" s="158"/>
      <c r="R21" s="165"/>
      <c r="S21" s="165"/>
    </row>
    <row r="22">
      <c r="A22" s="158" t="str">
        <f>IFERROR(__xludf.DUMMYFUNCTION("""COMPUTED_VALUE"""),"Activision Prototype #1")</f>
        <v>Activision Prototype #1</v>
      </c>
      <c r="B22" s="158" t="str">
        <f>IFERROR(__xludf.DUMMYFUNCTION("""COMPUTED_VALUE"""),"Xbox / PC")</f>
        <v>Xbox / PC</v>
      </c>
      <c r="C22" s="158" t="str">
        <f>IFERROR(__xludf.DUMMYFUNCTION("""COMPUTED_VALUE"""),"Yes")</f>
        <v>Yes</v>
      </c>
      <c r="D22" s="159" t="str">
        <f>IFERROR(__xludf.DUMMYFUNCTION("""COMPUTED_VALUE"""),"Active")</f>
        <v>Active</v>
      </c>
      <c r="E22" s="160">
        <f>IFERROR(__xludf.DUMMYFUNCTION("""COMPUTED_VALUE"""),45798.0)</f>
        <v>45798</v>
      </c>
      <c r="F22" s="161"/>
      <c r="G22" s="162">
        <f>IFERROR(__xludf.DUMMYFUNCTION("""COMPUTED_VALUE"""),4.800000000000001)</f>
        <v>4.8</v>
      </c>
      <c r="H22" s="163">
        <f>IFERROR(__xludf.DUMMYFUNCTION("""COMPUTED_VALUE"""),30317.0)</f>
        <v>30317</v>
      </c>
      <c r="I22" s="162">
        <f>IFERROR(__xludf.DUMMYFUNCTION("""COMPUTED_VALUE"""),42.388888888888886)</f>
        <v>42.38888889</v>
      </c>
      <c r="J22" s="164"/>
      <c r="K22" s="164"/>
      <c r="L22" s="158"/>
      <c r="M22" s="158"/>
      <c r="N22" s="158" t="str">
        <f>IFERROR(__xludf.DUMMYFUNCTION("""COMPUTED_VALUE"""),"Retro Classics: Atari 2600, Publisher")</f>
        <v>Retro Classics: Atari 2600, Publisher</v>
      </c>
      <c r="O22" s="158"/>
      <c r="P22" s="158"/>
      <c r="Q22" s="158"/>
      <c r="R22" s="165"/>
      <c r="S22" s="165"/>
    </row>
    <row r="23">
      <c r="A23" s="158" t="str">
        <f>IFERROR(__xludf.DUMMYFUNCTION("""COMPUTED_VALUE"""),"Atlantis")</f>
        <v>Atlantis</v>
      </c>
      <c r="B23" s="158" t="str">
        <f>IFERROR(__xludf.DUMMYFUNCTION("""COMPUTED_VALUE"""),"Xbox / PC")</f>
        <v>Xbox / PC</v>
      </c>
      <c r="C23" s="158" t="str">
        <f>IFERROR(__xludf.DUMMYFUNCTION("""COMPUTED_VALUE"""),"Yes")</f>
        <v>Yes</v>
      </c>
      <c r="D23" s="159" t="str">
        <f>IFERROR(__xludf.DUMMYFUNCTION("""COMPUTED_VALUE"""),"Active")</f>
        <v>Active</v>
      </c>
      <c r="E23" s="160">
        <f>IFERROR(__xludf.DUMMYFUNCTION("""COMPUTED_VALUE"""),45798.0)</f>
        <v>45798</v>
      </c>
      <c r="F23" s="161"/>
      <c r="G23" s="162">
        <f>IFERROR(__xludf.DUMMYFUNCTION("""COMPUTED_VALUE"""),4.800000000000001)</f>
        <v>4.8</v>
      </c>
      <c r="H23" s="163">
        <f>IFERROR(__xludf.DUMMYFUNCTION("""COMPUTED_VALUE"""),32255.0)</f>
        <v>32255</v>
      </c>
      <c r="I23" s="162">
        <f>IFERROR(__xludf.DUMMYFUNCTION("""COMPUTED_VALUE"""),37.080555555555556)</f>
        <v>37.08055556</v>
      </c>
      <c r="J23" s="164"/>
      <c r="K23" s="164"/>
      <c r="L23" s="158"/>
      <c r="M23" s="158"/>
      <c r="N23" s="158" t="str">
        <f>IFERROR(__xludf.DUMMYFUNCTION("""COMPUTED_VALUE"""),"Retro Classics: Atari 2600")</f>
        <v>Retro Classics: Atari 2600</v>
      </c>
      <c r="O23" s="158"/>
      <c r="P23" s="158"/>
      <c r="Q23" s="158"/>
      <c r="R23" s="165"/>
      <c r="S23" s="165"/>
    </row>
    <row r="24">
      <c r="A24" s="158" t="str">
        <f>IFERROR(__xludf.DUMMYFUNCTION("""COMPUTED_VALUE"""),"Atlantis II")</f>
        <v>Atlantis II</v>
      </c>
      <c r="B24" s="158" t="str">
        <f>IFERROR(__xludf.DUMMYFUNCTION("""COMPUTED_VALUE"""),"Xbox / PC")</f>
        <v>Xbox / PC</v>
      </c>
      <c r="C24" s="158" t="str">
        <f>IFERROR(__xludf.DUMMYFUNCTION("""COMPUTED_VALUE"""),"Yes")</f>
        <v>Yes</v>
      </c>
      <c r="D24" s="159" t="str">
        <f>IFERROR(__xludf.DUMMYFUNCTION("""COMPUTED_VALUE"""),"Active")</f>
        <v>Active</v>
      </c>
      <c r="E24" s="160">
        <f>IFERROR(__xludf.DUMMYFUNCTION("""COMPUTED_VALUE"""),45798.0)</f>
        <v>45798</v>
      </c>
      <c r="F24" s="161"/>
      <c r="G24" s="162">
        <f>IFERROR(__xludf.DUMMYFUNCTION("""COMPUTED_VALUE"""),4.800000000000001)</f>
        <v>4.8</v>
      </c>
      <c r="H24" s="163">
        <f>IFERROR(__xludf.DUMMYFUNCTION("""COMPUTED_VALUE"""),32255.0)</f>
        <v>32255</v>
      </c>
      <c r="I24" s="162">
        <f>IFERROR(__xludf.DUMMYFUNCTION("""COMPUTED_VALUE"""),37.080555555555556)</f>
        <v>37.08055556</v>
      </c>
      <c r="J24" s="164"/>
      <c r="K24" s="164">
        <f>IFERROR(__xludf.DUMMYFUNCTION("""COMPUTED_VALUE"""),7.0)</f>
        <v>7</v>
      </c>
      <c r="L24" s="158"/>
      <c r="M24" s="158"/>
      <c r="N24" s="158" t="str">
        <f>IFERROR(__xludf.DUMMYFUNCTION("""COMPUTED_VALUE"""),"Retro Classics: Atari 2600")</f>
        <v>Retro Classics: Atari 2600</v>
      </c>
      <c r="O24" s="158"/>
      <c r="P24" s="158"/>
      <c r="Q24" s="158"/>
      <c r="R24" s="165"/>
      <c r="S24" s="165"/>
    </row>
    <row r="25">
      <c r="A25" s="158" t="str">
        <f>IFERROR(__xludf.DUMMYFUNCTION("""COMPUTED_VALUE"""),"Barnstorming")</f>
        <v>Barnstorming</v>
      </c>
      <c r="B25" s="158" t="str">
        <f>IFERROR(__xludf.DUMMYFUNCTION("""COMPUTED_VALUE"""),"Xbox / PC")</f>
        <v>Xbox / PC</v>
      </c>
      <c r="C25" s="158" t="str">
        <f>IFERROR(__xludf.DUMMYFUNCTION("""COMPUTED_VALUE"""),"Yes")</f>
        <v>Yes</v>
      </c>
      <c r="D25" s="159" t="str">
        <f>IFERROR(__xludf.DUMMYFUNCTION("""COMPUTED_VALUE"""),"Active")</f>
        <v>Active</v>
      </c>
      <c r="E25" s="160">
        <f>IFERROR(__xludf.DUMMYFUNCTION("""COMPUTED_VALUE"""),45798.0)</f>
        <v>45798</v>
      </c>
      <c r="F25" s="161"/>
      <c r="G25" s="162">
        <f>IFERROR(__xludf.DUMMYFUNCTION("""COMPUTED_VALUE"""),4.800000000000001)</f>
        <v>4.8</v>
      </c>
      <c r="H25" s="163">
        <f>IFERROR(__xludf.DUMMYFUNCTION("""COMPUTED_VALUE"""),30011.0)</f>
        <v>30011</v>
      </c>
      <c r="I25" s="162">
        <f>IFERROR(__xludf.DUMMYFUNCTION("""COMPUTED_VALUE"""),43.22222222222222)</f>
        <v>43.22222222</v>
      </c>
      <c r="J25" s="164"/>
      <c r="K25" s="164"/>
      <c r="L25" s="158"/>
      <c r="M25" s="158"/>
      <c r="N25" s="158" t="str">
        <f>IFERROR(__xludf.DUMMYFUNCTION("""COMPUTED_VALUE"""),"Retro Classics: Atari 2600")</f>
        <v>Retro Classics: Atari 2600</v>
      </c>
      <c r="O25" s="158"/>
      <c r="P25" s="158"/>
      <c r="Q25" s="158"/>
      <c r="R25" s="165"/>
      <c r="S25" s="165"/>
    </row>
    <row r="26">
      <c r="A26" s="158" t="str">
        <f>IFERROR(__xludf.DUMMYFUNCTION("""COMPUTED_VALUE"""),"Baseball")</f>
        <v>Baseball</v>
      </c>
      <c r="B26" s="158" t="str">
        <f>IFERROR(__xludf.DUMMYFUNCTION("""COMPUTED_VALUE"""),"Xbox / PC")</f>
        <v>Xbox / PC</v>
      </c>
      <c r="C26" s="158" t="str">
        <f>IFERROR(__xludf.DUMMYFUNCTION("""COMPUTED_VALUE"""),"Yes")</f>
        <v>Yes</v>
      </c>
      <c r="D26" s="159" t="str">
        <f>IFERROR(__xludf.DUMMYFUNCTION("""COMPUTED_VALUE"""),"Active")</f>
        <v>Active</v>
      </c>
      <c r="E26" s="160">
        <f>IFERROR(__xludf.DUMMYFUNCTION("""COMPUTED_VALUE"""),45798.0)</f>
        <v>45798</v>
      </c>
      <c r="F26" s="161"/>
      <c r="G26" s="162">
        <f>IFERROR(__xludf.DUMMYFUNCTION("""COMPUTED_VALUE"""),4.800000000000001)</f>
        <v>4.8</v>
      </c>
      <c r="H26" s="163">
        <f>IFERROR(__xludf.DUMMYFUNCTION("""COMPUTED_VALUE"""),32214.0)</f>
        <v>32214</v>
      </c>
      <c r="I26" s="162">
        <f>IFERROR(__xludf.DUMMYFUNCTION("""COMPUTED_VALUE"""),37.19166666666667)</f>
        <v>37.19166667</v>
      </c>
      <c r="J26" s="164"/>
      <c r="K26" s="164"/>
      <c r="L26" s="158"/>
      <c r="M26" s="158"/>
      <c r="N26" s="158" t="str">
        <f>IFERROR(__xludf.DUMMYFUNCTION("""COMPUTED_VALUE"""),"Retro Classics: Atari 2600")</f>
        <v>Retro Classics: Atari 2600</v>
      </c>
      <c r="O26" s="158"/>
      <c r="P26" s="158"/>
      <c r="Q26" s="158"/>
      <c r="R26" s="165"/>
      <c r="S26" s="165"/>
    </row>
    <row r="27">
      <c r="A27" s="158" t="str">
        <f>IFERROR(__xludf.DUMMYFUNCTION("""COMPUTED_VALUE"""),"Beamrider")</f>
        <v>Beamrider</v>
      </c>
      <c r="B27" s="158" t="str">
        <f>IFERROR(__xludf.DUMMYFUNCTION("""COMPUTED_VALUE"""),"Xbox / PC")</f>
        <v>Xbox / PC</v>
      </c>
      <c r="C27" s="158" t="str">
        <f>IFERROR(__xludf.DUMMYFUNCTION("""COMPUTED_VALUE"""),"Yes")</f>
        <v>Yes</v>
      </c>
      <c r="D27" s="159" t="str">
        <f>IFERROR(__xludf.DUMMYFUNCTION("""COMPUTED_VALUE"""),"Active")</f>
        <v>Active</v>
      </c>
      <c r="E27" s="160">
        <f>IFERROR(__xludf.DUMMYFUNCTION("""COMPUTED_VALUE"""),45798.0)</f>
        <v>45798</v>
      </c>
      <c r="F27" s="161"/>
      <c r="G27" s="162">
        <f>IFERROR(__xludf.DUMMYFUNCTION("""COMPUTED_VALUE"""),4.800000000000001)</f>
        <v>4.8</v>
      </c>
      <c r="H27" s="163">
        <f>IFERROR(__xludf.DUMMYFUNCTION("""COMPUTED_VALUE"""),30705.0)</f>
        <v>30705</v>
      </c>
      <c r="I27" s="162">
        <f>IFERROR(__xludf.DUMMYFUNCTION("""COMPUTED_VALUE"""),41.325)</f>
        <v>41.325</v>
      </c>
      <c r="J27" s="164"/>
      <c r="K27" s="164"/>
      <c r="L27" s="158"/>
      <c r="M27" s="158"/>
      <c r="N27" s="158" t="str">
        <f>IFERROR(__xludf.DUMMYFUNCTION("""COMPUTED_VALUE"""),"Retro Classics: Atari 2600")</f>
        <v>Retro Classics: Atari 2600</v>
      </c>
      <c r="O27" s="158"/>
      <c r="P27" s="158"/>
      <c r="Q27" s="158"/>
      <c r="R27" s="165"/>
      <c r="S27" s="165"/>
    </row>
    <row r="28">
      <c r="A28" s="158" t="str">
        <f>IFERROR(__xludf.DUMMYFUNCTION("""COMPUTED_VALUE"""),"Bloody Human Freeway")</f>
        <v>Bloody Human Freeway</v>
      </c>
      <c r="B28" s="158" t="str">
        <f>IFERROR(__xludf.DUMMYFUNCTION("""COMPUTED_VALUE"""),"Xbox / PC")</f>
        <v>Xbox / PC</v>
      </c>
      <c r="C28" s="158" t="str">
        <f>IFERROR(__xludf.DUMMYFUNCTION("""COMPUTED_VALUE"""),"Yes")</f>
        <v>Yes</v>
      </c>
      <c r="D28" s="159" t="str">
        <f>IFERROR(__xludf.DUMMYFUNCTION("""COMPUTED_VALUE"""),"Active")</f>
        <v>Active</v>
      </c>
      <c r="E28" s="160">
        <f>IFERROR(__xludf.DUMMYFUNCTION("""COMPUTED_VALUE"""),45798.0)</f>
        <v>45798</v>
      </c>
      <c r="F28" s="161"/>
      <c r="G28" s="162">
        <f>IFERROR(__xludf.DUMMYFUNCTION("""COMPUTED_VALUE"""),4.800000000000001)</f>
        <v>4.8</v>
      </c>
      <c r="H28" s="163">
        <f>IFERROR(__xludf.DUMMYFUNCTION("""COMPUTED_VALUE"""),29768.0)</f>
        <v>29768</v>
      </c>
      <c r="I28" s="162">
        <f>IFERROR(__xludf.DUMMYFUNCTION("""COMPUTED_VALUE"""),43.888888888888886)</f>
        <v>43.88888889</v>
      </c>
      <c r="J28" s="164"/>
      <c r="K28" s="164"/>
      <c r="L28" s="158"/>
      <c r="M28" s="158"/>
      <c r="N28" s="158" t="str">
        <f>IFERROR(__xludf.DUMMYFUNCTION("""COMPUTED_VALUE"""),"Retro Classics: Atari 2600")</f>
        <v>Retro Classics: Atari 2600</v>
      </c>
      <c r="O28" s="158"/>
      <c r="P28" s="158"/>
      <c r="Q28" s="158"/>
      <c r="R28" s="165"/>
      <c r="S28" s="165"/>
    </row>
    <row r="29">
      <c r="A29" s="158" t="str">
        <f>IFERROR(__xludf.DUMMYFUNCTION("""COMPUTED_VALUE"""),"Boxing")</f>
        <v>Boxing</v>
      </c>
      <c r="B29" s="158" t="str">
        <f>IFERROR(__xludf.DUMMYFUNCTION("""COMPUTED_VALUE"""),"Xbox / PC")</f>
        <v>Xbox / PC</v>
      </c>
      <c r="C29" s="158" t="str">
        <f>IFERROR(__xludf.DUMMYFUNCTION("""COMPUTED_VALUE"""),"Yes")</f>
        <v>Yes</v>
      </c>
      <c r="D29" s="159" t="str">
        <f>IFERROR(__xludf.DUMMYFUNCTION("""COMPUTED_VALUE"""),"Active")</f>
        <v>Active</v>
      </c>
      <c r="E29" s="160">
        <f>IFERROR(__xludf.DUMMYFUNCTION("""COMPUTED_VALUE"""),45798.0)</f>
        <v>45798</v>
      </c>
      <c r="F29" s="161"/>
      <c r="G29" s="162">
        <f>IFERROR(__xludf.DUMMYFUNCTION("""COMPUTED_VALUE"""),4.800000000000001)</f>
        <v>4.8</v>
      </c>
      <c r="H29" s="163">
        <f>IFERROR(__xludf.DUMMYFUNCTION("""COMPUTED_VALUE"""),29403.0)</f>
        <v>29403</v>
      </c>
      <c r="I29" s="162">
        <f>IFERROR(__xludf.DUMMYFUNCTION("""COMPUTED_VALUE"""),44.888888888888886)</f>
        <v>44.88888889</v>
      </c>
      <c r="J29" s="164"/>
      <c r="K29" s="164"/>
      <c r="L29" s="158"/>
      <c r="M29" s="158"/>
      <c r="N29" s="158" t="str">
        <f>IFERROR(__xludf.DUMMYFUNCTION("""COMPUTED_VALUE"""),"Retro Classics: Atari 2600")</f>
        <v>Retro Classics: Atari 2600</v>
      </c>
      <c r="O29" s="158"/>
      <c r="P29" s="158"/>
      <c r="Q29" s="158"/>
      <c r="R29" s="165"/>
      <c r="S29" s="165"/>
    </row>
    <row r="30">
      <c r="A30" s="158" t="str">
        <f>IFERROR(__xludf.DUMMYFUNCTION("""COMPUTED_VALUE"""),"Bridge")</f>
        <v>Bridge</v>
      </c>
      <c r="B30" s="158" t="str">
        <f>IFERROR(__xludf.DUMMYFUNCTION("""COMPUTED_VALUE"""),"Xbox / PC")</f>
        <v>Xbox / PC</v>
      </c>
      <c r="C30" s="158" t="str">
        <f>IFERROR(__xludf.DUMMYFUNCTION("""COMPUTED_VALUE"""),"Yes")</f>
        <v>Yes</v>
      </c>
      <c r="D30" s="159" t="str">
        <f>IFERROR(__xludf.DUMMYFUNCTION("""COMPUTED_VALUE"""),"Active")</f>
        <v>Active</v>
      </c>
      <c r="E30" s="160">
        <f>IFERROR(__xludf.DUMMYFUNCTION("""COMPUTED_VALUE"""),45798.0)</f>
        <v>45798</v>
      </c>
      <c r="F30" s="161"/>
      <c r="G30" s="162">
        <f>IFERROR(__xludf.DUMMYFUNCTION("""COMPUTED_VALUE"""),4.800000000000001)</f>
        <v>4.8</v>
      </c>
      <c r="H30" s="163">
        <f>IFERROR(__xludf.DUMMYFUNCTION("""COMPUTED_VALUE"""),29556.0)</f>
        <v>29556</v>
      </c>
      <c r="I30" s="162">
        <f>IFERROR(__xludf.DUMMYFUNCTION("""COMPUTED_VALUE"""),44.47222222222222)</f>
        <v>44.47222222</v>
      </c>
      <c r="J30" s="164"/>
      <c r="K30" s="164"/>
      <c r="L30" s="158"/>
      <c r="M30" s="158"/>
      <c r="N30" s="158" t="str">
        <f>IFERROR(__xludf.DUMMYFUNCTION("""COMPUTED_VALUE"""),"Retro Classics: Atari 2600")</f>
        <v>Retro Classics: Atari 2600</v>
      </c>
      <c r="O30" s="158"/>
      <c r="P30" s="158"/>
      <c r="Q30" s="158"/>
      <c r="R30" s="165"/>
      <c r="S30" s="165"/>
    </row>
    <row r="31">
      <c r="A31" s="158" t="str">
        <f>IFERROR(__xludf.DUMMYFUNCTION("""COMPUTED_VALUE"""),"Caesar II")</f>
        <v>Caesar II</v>
      </c>
      <c r="B31" s="158" t="str">
        <f>IFERROR(__xludf.DUMMYFUNCTION("""COMPUTED_VALUE"""),"Xbox / PC")</f>
        <v>Xbox / PC</v>
      </c>
      <c r="C31" s="158" t="str">
        <f>IFERROR(__xludf.DUMMYFUNCTION("""COMPUTED_VALUE"""),"Yes")</f>
        <v>Yes</v>
      </c>
      <c r="D31" s="159" t="str">
        <f>IFERROR(__xludf.DUMMYFUNCTION("""COMPUTED_VALUE"""),"Active")</f>
        <v>Active</v>
      </c>
      <c r="E31" s="160">
        <f>IFERROR(__xludf.DUMMYFUNCTION("""COMPUTED_VALUE"""),45798.0)</f>
        <v>45798</v>
      </c>
      <c r="F31" s="161"/>
      <c r="G31" s="162">
        <f>IFERROR(__xludf.DUMMYFUNCTION("""COMPUTED_VALUE"""),4.800000000000001)</f>
        <v>4.8</v>
      </c>
      <c r="H31" s="163">
        <f>IFERROR(__xludf.DUMMYFUNCTION("""COMPUTED_VALUE"""),34700.0)</f>
        <v>34700</v>
      </c>
      <c r="I31" s="162">
        <f>IFERROR(__xludf.DUMMYFUNCTION("""COMPUTED_VALUE"""),30.38888888888889)</f>
        <v>30.38888889</v>
      </c>
      <c r="J31" s="164"/>
      <c r="K31" s="164">
        <f>IFERROR(__xludf.DUMMYFUNCTION("""COMPUTED_VALUE"""),7.0)</f>
        <v>7</v>
      </c>
      <c r="L31" s="158"/>
      <c r="M31" s="158"/>
      <c r="N31" s="158" t="str">
        <f>IFERROR(__xludf.DUMMYFUNCTION("""COMPUTED_VALUE"""),"Retro Classics: DOS, Sierra Entertainment (defunct) publisher")</f>
        <v>Retro Classics: DOS, Sierra Entertainment (defunct) publisher</v>
      </c>
      <c r="O31" s="158"/>
      <c r="P31" s="158"/>
      <c r="Q31" s="158"/>
      <c r="R31" s="165"/>
      <c r="S31" s="165"/>
    </row>
    <row r="32">
      <c r="A32" s="158" t="str">
        <f>IFERROR(__xludf.DUMMYFUNCTION("""COMPUTED_VALUE"""),"Checkers")</f>
        <v>Checkers</v>
      </c>
      <c r="B32" s="158" t="str">
        <f>IFERROR(__xludf.DUMMYFUNCTION("""COMPUTED_VALUE"""),"Xbox / PC")</f>
        <v>Xbox / PC</v>
      </c>
      <c r="C32" s="158" t="str">
        <f>IFERROR(__xludf.DUMMYFUNCTION("""COMPUTED_VALUE"""),"Yes")</f>
        <v>Yes</v>
      </c>
      <c r="D32" s="159" t="str">
        <f>IFERROR(__xludf.DUMMYFUNCTION("""COMPUTED_VALUE"""),"Active")</f>
        <v>Active</v>
      </c>
      <c r="E32" s="160">
        <f>IFERROR(__xludf.DUMMYFUNCTION("""COMPUTED_VALUE"""),45798.0)</f>
        <v>45798</v>
      </c>
      <c r="F32" s="161"/>
      <c r="G32" s="162">
        <f>IFERROR(__xludf.DUMMYFUNCTION("""COMPUTED_VALUE"""),4.800000000000001)</f>
        <v>4.8</v>
      </c>
      <c r="H32" s="163">
        <f>IFERROR(__xludf.DUMMYFUNCTION("""COMPUTED_VALUE"""),29403.0)</f>
        <v>29403</v>
      </c>
      <c r="I32" s="162">
        <f>IFERROR(__xludf.DUMMYFUNCTION("""COMPUTED_VALUE"""),44.888888888888886)</f>
        <v>44.88888889</v>
      </c>
      <c r="J32" s="164"/>
      <c r="K32" s="164"/>
      <c r="L32" s="158"/>
      <c r="M32" s="158"/>
      <c r="N32" s="158" t="str">
        <f>IFERROR(__xludf.DUMMYFUNCTION("""COMPUTED_VALUE"""),"Retro Classics: Atari 2600")</f>
        <v>Retro Classics: Atari 2600</v>
      </c>
      <c r="O32" s="158"/>
      <c r="P32" s="158"/>
      <c r="Q32" s="158"/>
      <c r="R32" s="165"/>
      <c r="S32" s="165"/>
    </row>
    <row r="33">
      <c r="A33" s="158" t="str">
        <f>IFERROR(__xludf.DUMMYFUNCTION("""COMPUTED_VALUE"""),"Chopper Command")</f>
        <v>Chopper Command</v>
      </c>
      <c r="B33" s="158" t="str">
        <f>IFERROR(__xludf.DUMMYFUNCTION("""COMPUTED_VALUE"""),"Xbox / PC")</f>
        <v>Xbox / PC</v>
      </c>
      <c r="C33" s="158" t="str">
        <f>IFERROR(__xludf.DUMMYFUNCTION("""COMPUTED_VALUE"""),"Yes")</f>
        <v>Yes</v>
      </c>
      <c r="D33" s="159" t="str">
        <f>IFERROR(__xludf.DUMMYFUNCTION("""COMPUTED_VALUE"""),"Active")</f>
        <v>Active</v>
      </c>
      <c r="E33" s="160">
        <f>IFERROR(__xludf.DUMMYFUNCTION("""COMPUTED_VALUE"""),45798.0)</f>
        <v>45798</v>
      </c>
      <c r="F33" s="161"/>
      <c r="G33" s="162">
        <f>IFERROR(__xludf.DUMMYFUNCTION("""COMPUTED_VALUE"""),4.800000000000001)</f>
        <v>4.8</v>
      </c>
      <c r="H33" s="163">
        <f>IFERROR(__xludf.DUMMYFUNCTION("""COMPUTED_VALUE"""),30072.0)</f>
        <v>30072</v>
      </c>
      <c r="I33" s="162">
        <f>IFERROR(__xludf.DUMMYFUNCTION("""COMPUTED_VALUE"""),43.05555555555556)</f>
        <v>43.05555556</v>
      </c>
      <c r="J33" s="164"/>
      <c r="K33" s="164"/>
      <c r="L33" s="158"/>
      <c r="M33" s="158"/>
      <c r="N33" s="158" t="str">
        <f>IFERROR(__xludf.DUMMYFUNCTION("""COMPUTED_VALUE"""),"Retro Classics: Atari 2600")</f>
        <v>Retro Classics: Atari 2600</v>
      </c>
      <c r="O33" s="158"/>
      <c r="P33" s="158"/>
      <c r="Q33" s="158"/>
      <c r="R33" s="165"/>
      <c r="S33" s="165"/>
    </row>
    <row r="34">
      <c r="A34" s="158" t="str">
        <f>IFERROR(__xludf.DUMMYFUNCTION("""COMPUTED_VALUE"""),"Commando")</f>
        <v>Commando</v>
      </c>
      <c r="B34" s="158" t="str">
        <f>IFERROR(__xludf.DUMMYFUNCTION("""COMPUTED_VALUE"""),"Xbox / PC")</f>
        <v>Xbox / PC</v>
      </c>
      <c r="C34" s="158" t="str">
        <f>IFERROR(__xludf.DUMMYFUNCTION("""COMPUTED_VALUE"""),"Yes")</f>
        <v>Yes</v>
      </c>
      <c r="D34" s="159" t="str">
        <f>IFERROR(__xludf.DUMMYFUNCTION("""COMPUTED_VALUE"""),"Active")</f>
        <v>Active</v>
      </c>
      <c r="E34" s="160">
        <f>IFERROR(__xludf.DUMMYFUNCTION("""COMPUTED_VALUE"""),45798.0)</f>
        <v>45798</v>
      </c>
      <c r="F34" s="161"/>
      <c r="G34" s="162">
        <f>IFERROR(__xludf.DUMMYFUNCTION("""COMPUTED_VALUE"""),4.800000000000001)</f>
        <v>4.8</v>
      </c>
      <c r="H34" s="163">
        <f>IFERROR(__xludf.DUMMYFUNCTION("""COMPUTED_VALUE"""),30393.0)</f>
        <v>30393</v>
      </c>
      <c r="I34" s="162">
        <f>IFERROR(__xludf.DUMMYFUNCTION("""COMPUTED_VALUE"""),42.175)</f>
        <v>42.175</v>
      </c>
      <c r="J34" s="164"/>
      <c r="K34" s="164"/>
      <c r="L34" s="158"/>
      <c r="M34" s="158"/>
      <c r="N34" s="158" t="str">
        <f>IFERROR(__xludf.DUMMYFUNCTION("""COMPUTED_VALUE"""),"Retro Classics: Atari 2600")</f>
        <v>Retro Classics: Atari 2600</v>
      </c>
      <c r="O34" s="158"/>
      <c r="P34" s="158"/>
      <c r="Q34" s="158"/>
      <c r="R34" s="165"/>
      <c r="S34" s="165"/>
    </row>
    <row r="35">
      <c r="A35" s="158" t="str">
        <f>IFERROR(__xludf.DUMMYFUNCTION("""COMPUTED_VALUE"""),"Conquests of the Longbow: The Legend of Robin Hood")</f>
        <v>Conquests of the Longbow: The Legend of Robin Hood</v>
      </c>
      <c r="B35" s="158" t="str">
        <f>IFERROR(__xludf.DUMMYFUNCTION("""COMPUTED_VALUE"""),"Xbox / PC")</f>
        <v>Xbox / PC</v>
      </c>
      <c r="C35" s="158" t="str">
        <f>IFERROR(__xludf.DUMMYFUNCTION("""COMPUTED_VALUE"""),"Yes")</f>
        <v>Yes</v>
      </c>
      <c r="D35" s="159" t="str">
        <f>IFERROR(__xludf.DUMMYFUNCTION("""COMPUTED_VALUE"""),"Active")</f>
        <v>Active</v>
      </c>
      <c r="E35" s="160">
        <f>IFERROR(__xludf.DUMMYFUNCTION("""COMPUTED_VALUE"""),45798.0)</f>
        <v>45798</v>
      </c>
      <c r="F35" s="161"/>
      <c r="G35" s="162">
        <f>IFERROR(__xludf.DUMMYFUNCTION("""COMPUTED_VALUE"""),4.800000000000001)</f>
        <v>4.8</v>
      </c>
      <c r="H35" s="163">
        <f>IFERROR(__xludf.DUMMYFUNCTION("""COMPUTED_VALUE"""),33239.0)</f>
        <v>33239</v>
      </c>
      <c r="I35" s="162">
        <f>IFERROR(__xludf.DUMMYFUNCTION("""COMPUTED_VALUE"""),34.388888888888886)</f>
        <v>34.38888889</v>
      </c>
      <c r="J35" s="164"/>
      <c r="K35" s="164">
        <f>IFERROR(__xludf.DUMMYFUNCTION("""COMPUTED_VALUE"""),6.0)</f>
        <v>6</v>
      </c>
      <c r="L35" s="158"/>
      <c r="M35" s="158"/>
      <c r="N35" s="158" t="str">
        <f>IFERROR(__xludf.DUMMYFUNCTION("""COMPUTED_VALUE"""),"Retro Classics: DOS, Sierra Entertainment (defunct) publisher")</f>
        <v>Retro Classics: DOS, Sierra Entertainment (defunct) publisher</v>
      </c>
      <c r="O35" s="158"/>
      <c r="P35" s="158"/>
      <c r="Q35" s="158"/>
      <c r="R35" s="165"/>
      <c r="S35" s="165"/>
    </row>
    <row r="36">
      <c r="A36" s="158" t="str">
        <f>IFERROR(__xludf.DUMMYFUNCTION("""COMPUTED_VALUE"""),"Cosmic Ark")</f>
        <v>Cosmic Ark</v>
      </c>
      <c r="B36" s="158" t="str">
        <f>IFERROR(__xludf.DUMMYFUNCTION("""COMPUTED_VALUE"""),"Xbox / PC")</f>
        <v>Xbox / PC</v>
      </c>
      <c r="C36" s="158" t="str">
        <f>IFERROR(__xludf.DUMMYFUNCTION("""COMPUTED_VALUE"""),"Yes")</f>
        <v>Yes</v>
      </c>
      <c r="D36" s="159" t="str">
        <f>IFERROR(__xludf.DUMMYFUNCTION("""COMPUTED_VALUE"""),"Active")</f>
        <v>Active</v>
      </c>
      <c r="E36" s="160">
        <f>IFERROR(__xludf.DUMMYFUNCTION("""COMPUTED_VALUE"""),45798.0)</f>
        <v>45798</v>
      </c>
      <c r="F36" s="161"/>
      <c r="G36" s="162">
        <f>IFERROR(__xludf.DUMMYFUNCTION("""COMPUTED_VALUE"""),4.800000000000001)</f>
        <v>4.8</v>
      </c>
      <c r="H36" s="163">
        <f>IFERROR(__xludf.DUMMYFUNCTION("""COMPUTED_VALUE"""),30164.0)</f>
        <v>30164</v>
      </c>
      <c r="I36" s="162">
        <f>IFERROR(__xludf.DUMMYFUNCTION("""COMPUTED_VALUE"""),42.80555555555556)</f>
        <v>42.80555556</v>
      </c>
      <c r="J36" s="164"/>
      <c r="K36" s="164"/>
      <c r="L36" s="158"/>
      <c r="M36" s="158"/>
      <c r="N36" s="158" t="str">
        <f>IFERROR(__xludf.DUMMYFUNCTION("""COMPUTED_VALUE"""),"Retro Classics: Atari 2600")</f>
        <v>Retro Classics: Atari 2600</v>
      </c>
      <c r="O36" s="158"/>
      <c r="P36" s="158"/>
      <c r="Q36" s="158"/>
      <c r="R36" s="165"/>
      <c r="S36" s="165"/>
    </row>
    <row r="37">
      <c r="A37" s="158" t="str">
        <f>IFERROR(__xludf.DUMMYFUNCTION("""COMPUTED_VALUE"""),"Crackpots")</f>
        <v>Crackpots</v>
      </c>
      <c r="B37" s="158" t="str">
        <f>IFERROR(__xludf.DUMMYFUNCTION("""COMPUTED_VALUE"""),"Xbox / PC")</f>
        <v>Xbox / PC</v>
      </c>
      <c r="C37" s="158" t="str">
        <f>IFERROR(__xludf.DUMMYFUNCTION("""COMPUTED_VALUE"""),"Yes")</f>
        <v>Yes</v>
      </c>
      <c r="D37" s="159" t="str">
        <f>IFERROR(__xludf.DUMMYFUNCTION("""COMPUTED_VALUE"""),"Active")</f>
        <v>Active</v>
      </c>
      <c r="E37" s="160">
        <f>IFERROR(__xludf.DUMMYFUNCTION("""COMPUTED_VALUE"""),45798.0)</f>
        <v>45798</v>
      </c>
      <c r="F37" s="161"/>
      <c r="G37" s="162">
        <f>IFERROR(__xludf.DUMMYFUNCTION("""COMPUTED_VALUE"""),4.800000000000001)</f>
        <v>4.8</v>
      </c>
      <c r="H37" s="163">
        <f>IFERROR(__xludf.DUMMYFUNCTION("""COMPUTED_VALUE"""),30452.0)</f>
        <v>30452</v>
      </c>
      <c r="I37" s="162">
        <f>IFERROR(__xludf.DUMMYFUNCTION("""COMPUTED_VALUE"""),42.013888888888886)</f>
        <v>42.01388889</v>
      </c>
      <c r="J37" s="164"/>
      <c r="K37" s="164"/>
      <c r="L37" s="158"/>
      <c r="M37" s="158"/>
      <c r="N37" s="158" t="str">
        <f>IFERROR(__xludf.DUMMYFUNCTION("""COMPUTED_VALUE"""),"Retro Classics: Atari 2600")</f>
        <v>Retro Classics: Atari 2600</v>
      </c>
      <c r="O37" s="158"/>
      <c r="P37" s="158"/>
      <c r="Q37" s="158"/>
      <c r="R37" s="165"/>
      <c r="S37" s="165"/>
    </row>
    <row r="38">
      <c r="A38" s="158" t="str">
        <f>IFERROR(__xludf.DUMMYFUNCTION("""COMPUTED_VALUE"""),"Decathlon")</f>
        <v>Decathlon</v>
      </c>
      <c r="B38" s="158" t="str">
        <f>IFERROR(__xludf.DUMMYFUNCTION("""COMPUTED_VALUE"""),"Xbox / PC")</f>
        <v>Xbox / PC</v>
      </c>
      <c r="C38" s="158" t="str">
        <f>IFERROR(__xludf.DUMMYFUNCTION("""COMPUTED_VALUE"""),"Yes")</f>
        <v>Yes</v>
      </c>
      <c r="D38" s="159" t="str">
        <f>IFERROR(__xludf.DUMMYFUNCTION("""COMPUTED_VALUE"""),"Active")</f>
        <v>Active</v>
      </c>
      <c r="E38" s="160">
        <f>IFERROR(__xludf.DUMMYFUNCTION("""COMPUTED_VALUE"""),45798.0)</f>
        <v>45798</v>
      </c>
      <c r="F38" s="161"/>
      <c r="G38" s="162">
        <f>IFERROR(__xludf.DUMMYFUNCTION("""COMPUTED_VALUE"""),4.800000000000001)</f>
        <v>4.8</v>
      </c>
      <c r="H38" s="163">
        <f>IFERROR(__xludf.DUMMYFUNCTION("""COMPUTED_VALUE"""),30393.0)</f>
        <v>30393</v>
      </c>
      <c r="I38" s="162">
        <f>IFERROR(__xludf.DUMMYFUNCTION("""COMPUTED_VALUE"""),42.175)</f>
        <v>42.175</v>
      </c>
      <c r="J38" s="164"/>
      <c r="K38" s="164"/>
      <c r="L38" s="158"/>
      <c r="M38" s="158"/>
      <c r="N38" s="158" t="str">
        <f>IFERROR(__xludf.DUMMYFUNCTION("""COMPUTED_VALUE"""),"Retro Classics: Atari 2600")</f>
        <v>Retro Classics: Atari 2600</v>
      </c>
      <c r="O38" s="158"/>
      <c r="P38" s="158"/>
      <c r="Q38" s="158"/>
      <c r="R38" s="165"/>
      <c r="S38" s="165"/>
    </row>
    <row r="39">
      <c r="A39" s="158" t="str">
        <f>IFERROR(__xludf.DUMMYFUNCTION("""COMPUTED_VALUE"""),"Demon Attack")</f>
        <v>Demon Attack</v>
      </c>
      <c r="B39" s="158" t="str">
        <f>IFERROR(__xludf.DUMMYFUNCTION("""COMPUTED_VALUE"""),"Xbox / PC")</f>
        <v>Xbox / PC</v>
      </c>
      <c r="C39" s="158" t="str">
        <f>IFERROR(__xludf.DUMMYFUNCTION("""COMPUTED_VALUE"""),"Yes")</f>
        <v>Yes</v>
      </c>
      <c r="D39" s="159" t="str">
        <f>IFERROR(__xludf.DUMMYFUNCTION("""COMPUTED_VALUE"""),"Active")</f>
        <v>Active</v>
      </c>
      <c r="E39" s="160">
        <f>IFERROR(__xludf.DUMMYFUNCTION("""COMPUTED_VALUE"""),45798.0)</f>
        <v>45798</v>
      </c>
      <c r="F39" s="161"/>
      <c r="G39" s="162">
        <f>IFERROR(__xludf.DUMMYFUNCTION("""COMPUTED_VALUE"""),4.800000000000001)</f>
        <v>4.8</v>
      </c>
      <c r="H39" s="163">
        <f>IFERROR(__xludf.DUMMYFUNCTION("""COMPUTED_VALUE"""),32255.0)</f>
        <v>32255</v>
      </c>
      <c r="I39" s="162">
        <f>IFERROR(__xludf.DUMMYFUNCTION("""COMPUTED_VALUE"""),37.080555555555556)</f>
        <v>37.08055556</v>
      </c>
      <c r="J39" s="164"/>
      <c r="K39" s="164"/>
      <c r="L39" s="158"/>
      <c r="M39" s="158"/>
      <c r="N39" s="158" t="str">
        <f>IFERROR(__xludf.DUMMYFUNCTION("""COMPUTED_VALUE"""),"Retro Classics: Atari 2600")</f>
        <v>Retro Classics: Atari 2600</v>
      </c>
      <c r="O39" s="158"/>
      <c r="P39" s="158"/>
      <c r="Q39" s="158"/>
      <c r="R39" s="165"/>
      <c r="S39" s="165"/>
    </row>
    <row r="40">
      <c r="A40" s="165" t="str">
        <f>IFERROR(__xludf.DUMMYFUNCTION("""COMPUTED_VALUE"""),"Dolphin")</f>
        <v>Dolphin</v>
      </c>
      <c r="B40" s="165" t="str">
        <f>IFERROR(__xludf.DUMMYFUNCTION("""COMPUTED_VALUE"""),"Xbox / PC")</f>
        <v>Xbox / PC</v>
      </c>
      <c r="C40" s="165" t="str">
        <f>IFERROR(__xludf.DUMMYFUNCTION("""COMPUTED_VALUE"""),"Yes")</f>
        <v>Yes</v>
      </c>
      <c r="D40" s="165" t="str">
        <f>IFERROR(__xludf.DUMMYFUNCTION("""COMPUTED_VALUE"""),"Active")</f>
        <v>Active</v>
      </c>
      <c r="E40" s="166">
        <f>IFERROR(__xludf.DUMMYFUNCTION("""COMPUTED_VALUE"""),45798.0)</f>
        <v>45798</v>
      </c>
      <c r="F40" s="165"/>
      <c r="G40" s="167">
        <f>IFERROR(__xludf.DUMMYFUNCTION("""COMPUTED_VALUE"""),4.800000000000001)</f>
        <v>4.8</v>
      </c>
      <c r="H40" s="166">
        <f>IFERROR(__xludf.DUMMYFUNCTION("""COMPUTED_VALUE"""),30677.0)</f>
        <v>30677</v>
      </c>
      <c r="I40" s="167">
        <f>IFERROR(__xludf.DUMMYFUNCTION("""COMPUTED_VALUE"""),41.4)</f>
        <v>41.4</v>
      </c>
      <c r="J40" s="168"/>
      <c r="K40" s="168"/>
      <c r="L40" s="165"/>
      <c r="M40" s="165"/>
      <c r="N40" s="165" t="str">
        <f>IFERROR(__xludf.DUMMYFUNCTION("""COMPUTED_VALUE"""),"Retro Classics: Atari 2600")</f>
        <v>Retro Classics: Atari 2600</v>
      </c>
      <c r="O40" s="165"/>
      <c r="P40" s="165"/>
      <c r="Q40" s="165"/>
      <c r="R40" s="165"/>
      <c r="S40" s="165"/>
    </row>
    <row r="41">
      <c r="A41" s="165" t="str">
        <f>IFERROR(__xludf.DUMMYFUNCTION("""COMPUTED_VALUE"""),"Dragster")</f>
        <v>Dragster</v>
      </c>
      <c r="B41" s="165" t="str">
        <f>IFERROR(__xludf.DUMMYFUNCTION("""COMPUTED_VALUE"""),"Xbox / PC")</f>
        <v>Xbox / PC</v>
      </c>
      <c r="C41" s="165" t="str">
        <f>IFERROR(__xludf.DUMMYFUNCTION("""COMPUTED_VALUE"""),"Yes")</f>
        <v>Yes</v>
      </c>
      <c r="D41" s="165" t="str">
        <f>IFERROR(__xludf.DUMMYFUNCTION("""COMPUTED_VALUE"""),"Active")</f>
        <v>Active</v>
      </c>
      <c r="E41" s="166">
        <f>IFERROR(__xludf.DUMMYFUNCTION("""COMPUTED_VALUE"""),45798.0)</f>
        <v>45798</v>
      </c>
      <c r="F41" s="165"/>
      <c r="G41" s="167">
        <f>IFERROR(__xludf.DUMMYFUNCTION("""COMPUTED_VALUE"""),4.800000000000001)</f>
        <v>4.8</v>
      </c>
      <c r="H41" s="166">
        <f>IFERROR(__xludf.DUMMYFUNCTION("""COMPUTED_VALUE"""),29403.0)</f>
        <v>29403</v>
      </c>
      <c r="I41" s="167">
        <f>IFERROR(__xludf.DUMMYFUNCTION("""COMPUTED_VALUE"""),44.888888888888886)</f>
        <v>44.88888889</v>
      </c>
      <c r="J41" s="168"/>
      <c r="K41" s="168"/>
      <c r="L41" s="165"/>
      <c r="M41" s="165"/>
      <c r="N41" s="165" t="str">
        <f>IFERROR(__xludf.DUMMYFUNCTION("""COMPUTED_VALUE"""),"Retro Classics: Atari 2600")</f>
        <v>Retro Classics: Atari 2600</v>
      </c>
      <c r="O41" s="165"/>
      <c r="P41" s="165"/>
      <c r="Q41" s="165"/>
      <c r="R41" s="165"/>
      <c r="S41" s="165"/>
    </row>
    <row r="42">
      <c r="A42" s="165" t="str">
        <f>IFERROR(__xludf.DUMMYFUNCTION("""COMPUTED_VALUE"""),"Enduro")</f>
        <v>Enduro</v>
      </c>
      <c r="B42" s="165" t="str">
        <f>IFERROR(__xludf.DUMMYFUNCTION("""COMPUTED_VALUE"""),"Xbox / PC")</f>
        <v>Xbox / PC</v>
      </c>
      <c r="C42" s="165" t="str">
        <f>IFERROR(__xludf.DUMMYFUNCTION("""COMPUTED_VALUE"""),"Yes")</f>
        <v>Yes</v>
      </c>
      <c r="D42" s="165" t="str">
        <f>IFERROR(__xludf.DUMMYFUNCTION("""COMPUTED_VALUE"""),"Active")</f>
        <v>Active</v>
      </c>
      <c r="E42" s="166">
        <f>IFERROR(__xludf.DUMMYFUNCTION("""COMPUTED_VALUE"""),45798.0)</f>
        <v>45798</v>
      </c>
      <c r="F42" s="165"/>
      <c r="G42" s="167">
        <f>IFERROR(__xludf.DUMMYFUNCTION("""COMPUTED_VALUE"""),4.800000000000001)</f>
        <v>4.8</v>
      </c>
      <c r="H42" s="166">
        <f>IFERROR(__xludf.DUMMYFUNCTION("""COMPUTED_VALUE"""),30348.0)</f>
        <v>30348</v>
      </c>
      <c r="I42" s="167">
        <f>IFERROR(__xludf.DUMMYFUNCTION("""COMPUTED_VALUE"""),42.30555555555556)</f>
        <v>42.30555556</v>
      </c>
      <c r="J42" s="168"/>
      <c r="K42" s="168"/>
      <c r="L42" s="165"/>
      <c r="M42" s="165"/>
      <c r="N42" s="165" t="str">
        <f>IFERROR(__xludf.DUMMYFUNCTION("""COMPUTED_VALUE"""),"Retro Classics: Atari 2600")</f>
        <v>Retro Classics: Atari 2600</v>
      </c>
      <c r="O42" s="165"/>
      <c r="P42" s="165"/>
      <c r="Q42" s="165"/>
      <c r="R42" s="165"/>
      <c r="S42" s="165"/>
    </row>
    <row r="43">
      <c r="A43" s="165" t="str">
        <f>IFERROR(__xludf.DUMMYFUNCTION("""COMPUTED_VALUE"""),"Fathom")</f>
        <v>Fathom</v>
      </c>
      <c r="B43" s="165" t="str">
        <f>IFERROR(__xludf.DUMMYFUNCTION("""COMPUTED_VALUE"""),"Xbox / PC")</f>
        <v>Xbox / PC</v>
      </c>
      <c r="C43" s="165" t="str">
        <f>IFERROR(__xludf.DUMMYFUNCTION("""COMPUTED_VALUE"""),"Yes")</f>
        <v>Yes</v>
      </c>
      <c r="D43" s="165" t="str">
        <f>IFERROR(__xludf.DUMMYFUNCTION("""COMPUTED_VALUE"""),"Active")</f>
        <v>Active</v>
      </c>
      <c r="E43" s="166">
        <f>IFERROR(__xludf.DUMMYFUNCTION("""COMPUTED_VALUE"""),45798.0)</f>
        <v>45798</v>
      </c>
      <c r="F43" s="165"/>
      <c r="G43" s="167">
        <f>IFERROR(__xludf.DUMMYFUNCTION("""COMPUTED_VALUE"""),4.800000000000001)</f>
        <v>4.8</v>
      </c>
      <c r="H43" s="166">
        <f>IFERROR(__xludf.DUMMYFUNCTION("""COMPUTED_VALUE"""),30529.0)</f>
        <v>30529</v>
      </c>
      <c r="I43" s="167">
        <f>IFERROR(__xludf.DUMMYFUNCTION("""COMPUTED_VALUE"""),41.80555555555556)</f>
        <v>41.80555556</v>
      </c>
      <c r="J43" s="168"/>
      <c r="K43" s="168"/>
      <c r="L43" s="165"/>
      <c r="M43" s="165"/>
      <c r="N43" s="165" t="str">
        <f>IFERROR(__xludf.DUMMYFUNCTION("""COMPUTED_VALUE"""),"Retro Classics: Atari 2600")</f>
        <v>Retro Classics: Atari 2600</v>
      </c>
      <c r="O43" s="165"/>
      <c r="P43" s="165"/>
      <c r="Q43" s="165"/>
      <c r="R43" s="165"/>
      <c r="S43" s="165"/>
    </row>
    <row r="44">
      <c r="A44" s="165" t="str">
        <f>IFERROR(__xludf.DUMMYFUNCTION("""COMPUTED_VALUE"""),"Fire Fighter")</f>
        <v>Fire Fighter</v>
      </c>
      <c r="B44" s="165" t="str">
        <f>IFERROR(__xludf.DUMMYFUNCTION("""COMPUTED_VALUE"""),"Xbox / PC")</f>
        <v>Xbox / PC</v>
      </c>
      <c r="C44" s="165" t="str">
        <f>IFERROR(__xludf.DUMMYFUNCTION("""COMPUTED_VALUE"""),"Yes")</f>
        <v>Yes</v>
      </c>
      <c r="D44" s="165" t="str">
        <f>IFERROR(__xludf.DUMMYFUNCTION("""COMPUTED_VALUE"""),"Active")</f>
        <v>Active</v>
      </c>
      <c r="E44" s="166">
        <f>IFERROR(__xludf.DUMMYFUNCTION("""COMPUTED_VALUE"""),45798.0)</f>
        <v>45798</v>
      </c>
      <c r="F44" s="165"/>
      <c r="G44" s="167">
        <f>IFERROR(__xludf.DUMMYFUNCTION("""COMPUTED_VALUE"""),4.800000000000001)</f>
        <v>4.8</v>
      </c>
      <c r="H44" s="166">
        <f>IFERROR(__xludf.DUMMYFUNCTION("""COMPUTED_VALUE"""),30195.0)</f>
        <v>30195</v>
      </c>
      <c r="I44" s="167">
        <f>IFERROR(__xludf.DUMMYFUNCTION("""COMPUTED_VALUE"""),42.72222222222222)</f>
        <v>42.72222222</v>
      </c>
      <c r="J44" s="168"/>
      <c r="K44" s="168"/>
      <c r="L44" s="165"/>
      <c r="M44" s="165"/>
      <c r="N44" s="165" t="str">
        <f>IFERROR(__xludf.DUMMYFUNCTION("""COMPUTED_VALUE"""),"Retro Classics: Atari 2600")</f>
        <v>Retro Classics: Atari 2600</v>
      </c>
      <c r="O44" s="165"/>
      <c r="P44" s="165"/>
      <c r="Q44" s="165"/>
      <c r="R44" s="165"/>
      <c r="S44" s="165"/>
    </row>
    <row r="45">
      <c r="A45" s="165" t="str">
        <f>IFERROR(__xludf.DUMMYFUNCTION("""COMPUTED_VALUE"""),"Fishing Derby")</f>
        <v>Fishing Derby</v>
      </c>
      <c r="B45" s="165" t="str">
        <f>IFERROR(__xludf.DUMMYFUNCTION("""COMPUTED_VALUE"""),"Xbox / PC")</f>
        <v>Xbox / PC</v>
      </c>
      <c r="C45" s="165" t="str">
        <f>IFERROR(__xludf.DUMMYFUNCTION("""COMPUTED_VALUE"""),"Yes")</f>
        <v>Yes</v>
      </c>
      <c r="D45" s="165" t="str">
        <f>IFERROR(__xludf.DUMMYFUNCTION("""COMPUTED_VALUE"""),"Active")</f>
        <v>Active</v>
      </c>
      <c r="E45" s="166">
        <f>IFERROR(__xludf.DUMMYFUNCTION("""COMPUTED_VALUE"""),45798.0)</f>
        <v>45798</v>
      </c>
      <c r="F45" s="165"/>
      <c r="G45" s="167">
        <f>IFERROR(__xludf.DUMMYFUNCTION("""COMPUTED_VALUE"""),4.800000000000001)</f>
        <v>4.8</v>
      </c>
      <c r="H45" s="166">
        <f>IFERROR(__xludf.DUMMYFUNCTION("""COMPUTED_VALUE"""),29403.0)</f>
        <v>29403</v>
      </c>
      <c r="I45" s="167">
        <f>IFERROR(__xludf.DUMMYFUNCTION("""COMPUTED_VALUE"""),44.888888888888886)</f>
        <v>44.88888889</v>
      </c>
      <c r="J45" s="168"/>
      <c r="K45" s="168"/>
      <c r="L45" s="165"/>
      <c r="M45" s="165"/>
      <c r="N45" s="165" t="str">
        <f>IFERROR(__xludf.DUMMYFUNCTION("""COMPUTED_VALUE"""),"Retro Classics: Atari 2600")</f>
        <v>Retro Classics: Atari 2600</v>
      </c>
      <c r="O45" s="165"/>
      <c r="P45" s="165"/>
      <c r="Q45" s="165"/>
      <c r="R45" s="165"/>
      <c r="S45" s="165"/>
    </row>
    <row r="46">
      <c r="A46" s="165" t="str">
        <f>IFERROR(__xludf.DUMMYFUNCTION("""COMPUTED_VALUE"""),"Freddy Pharkas: Frontier Pharmacist")</f>
        <v>Freddy Pharkas: Frontier Pharmacist</v>
      </c>
      <c r="B46" s="165" t="str">
        <f>IFERROR(__xludf.DUMMYFUNCTION("""COMPUTED_VALUE"""),"Xbox / PC")</f>
        <v>Xbox / PC</v>
      </c>
      <c r="C46" s="165" t="str">
        <f>IFERROR(__xludf.DUMMYFUNCTION("""COMPUTED_VALUE"""),"Yes")</f>
        <v>Yes</v>
      </c>
      <c r="D46" s="165" t="str">
        <f>IFERROR(__xludf.DUMMYFUNCTION("""COMPUTED_VALUE"""),"Active")</f>
        <v>Active</v>
      </c>
      <c r="E46" s="166">
        <f>IFERROR(__xludf.DUMMYFUNCTION("""COMPUTED_VALUE"""),45798.0)</f>
        <v>45798</v>
      </c>
      <c r="F46" s="165"/>
      <c r="G46" s="167">
        <f>IFERROR(__xludf.DUMMYFUNCTION("""COMPUTED_VALUE"""),4.800000000000001)</f>
        <v>4.8</v>
      </c>
      <c r="H46" s="166">
        <f>IFERROR(__xludf.DUMMYFUNCTION("""COMPUTED_VALUE"""),33970.0)</f>
        <v>33970</v>
      </c>
      <c r="I46" s="167">
        <f>IFERROR(__xludf.DUMMYFUNCTION("""COMPUTED_VALUE"""),32.388888888888886)</f>
        <v>32.38888889</v>
      </c>
      <c r="J46" s="168"/>
      <c r="K46" s="168"/>
      <c r="L46" s="165"/>
      <c r="M46" s="165"/>
      <c r="N46" s="165" t="str">
        <f>IFERROR(__xludf.DUMMYFUNCTION("""COMPUTED_VALUE"""),"Retro Classics: DOS, Sierra Entertainment (defunct) publisher")</f>
        <v>Retro Classics: DOS, Sierra Entertainment (defunct) publisher</v>
      </c>
      <c r="O46" s="165"/>
      <c r="P46" s="165"/>
      <c r="Q46" s="165"/>
      <c r="R46" s="165"/>
      <c r="S46" s="165"/>
    </row>
    <row r="47">
      <c r="A47" s="165" t="str">
        <f>IFERROR(__xludf.DUMMYFUNCTION("""COMPUTED_VALUE"""),"Freeway")</f>
        <v>Freeway</v>
      </c>
      <c r="B47" s="165" t="str">
        <f>IFERROR(__xludf.DUMMYFUNCTION("""COMPUTED_VALUE"""),"Xbox / PC")</f>
        <v>Xbox / PC</v>
      </c>
      <c r="C47" s="165" t="str">
        <f>IFERROR(__xludf.DUMMYFUNCTION("""COMPUTED_VALUE"""),"Yes")</f>
        <v>Yes</v>
      </c>
      <c r="D47" s="165" t="str">
        <f>IFERROR(__xludf.DUMMYFUNCTION("""COMPUTED_VALUE"""),"Active")</f>
        <v>Active</v>
      </c>
      <c r="E47" s="166">
        <f>IFERROR(__xludf.DUMMYFUNCTION("""COMPUTED_VALUE"""),45798.0)</f>
        <v>45798</v>
      </c>
      <c r="F47" s="165"/>
      <c r="G47" s="167">
        <f>IFERROR(__xludf.DUMMYFUNCTION("""COMPUTED_VALUE"""),4.800000000000001)</f>
        <v>4.8</v>
      </c>
      <c r="H47" s="166">
        <f>IFERROR(__xludf.DUMMYFUNCTION("""COMPUTED_VALUE"""),29768.0)</f>
        <v>29768</v>
      </c>
      <c r="I47" s="167">
        <f>IFERROR(__xludf.DUMMYFUNCTION("""COMPUTED_VALUE"""),43.888888888888886)</f>
        <v>43.88888889</v>
      </c>
      <c r="J47" s="168"/>
      <c r="K47" s="168"/>
      <c r="L47" s="165"/>
      <c r="M47" s="165"/>
      <c r="N47" s="165" t="str">
        <f>IFERROR(__xludf.DUMMYFUNCTION("""COMPUTED_VALUE"""),"Retro Classics: Atari 2600")</f>
        <v>Retro Classics: Atari 2600</v>
      </c>
      <c r="O47" s="165"/>
      <c r="P47" s="165"/>
      <c r="Q47" s="165"/>
      <c r="R47" s="165"/>
      <c r="S47" s="165"/>
    </row>
    <row r="48">
      <c r="A48" s="165" t="str">
        <f>IFERROR(__xludf.DUMMYFUNCTION("""COMPUTED_VALUE"""),"Frostbite")</f>
        <v>Frostbite</v>
      </c>
      <c r="B48" s="165" t="str">
        <f>IFERROR(__xludf.DUMMYFUNCTION("""COMPUTED_VALUE"""),"Xbox / PC")</f>
        <v>Xbox / PC</v>
      </c>
      <c r="C48" s="165" t="str">
        <f>IFERROR(__xludf.DUMMYFUNCTION("""COMPUTED_VALUE"""),"Yes")</f>
        <v>Yes</v>
      </c>
      <c r="D48" s="165" t="str">
        <f>IFERROR(__xludf.DUMMYFUNCTION("""COMPUTED_VALUE"""),"Active")</f>
        <v>Active</v>
      </c>
      <c r="E48" s="166">
        <f>IFERROR(__xludf.DUMMYFUNCTION("""COMPUTED_VALUE"""),45798.0)</f>
        <v>45798</v>
      </c>
      <c r="F48" s="165"/>
      <c r="G48" s="167">
        <f>IFERROR(__xludf.DUMMYFUNCTION("""COMPUTED_VALUE"""),4.800000000000001)</f>
        <v>4.8</v>
      </c>
      <c r="H48" s="166">
        <f>IFERROR(__xludf.DUMMYFUNCTION("""COMPUTED_VALUE"""),30542.0)</f>
        <v>30542</v>
      </c>
      <c r="I48" s="167">
        <f>IFERROR(__xludf.DUMMYFUNCTION("""COMPUTED_VALUE"""),41.769444444444446)</f>
        <v>41.76944444</v>
      </c>
      <c r="J48" s="168"/>
      <c r="K48" s="168"/>
      <c r="L48" s="165"/>
      <c r="M48" s="165"/>
      <c r="N48" s="165" t="str">
        <f>IFERROR(__xludf.DUMMYFUNCTION("""COMPUTED_VALUE"""),"Retro Classics: Atari 2600")</f>
        <v>Retro Classics: Atari 2600</v>
      </c>
      <c r="O48" s="165"/>
      <c r="P48" s="165"/>
      <c r="Q48" s="165"/>
      <c r="R48" s="165"/>
      <c r="S48" s="165"/>
    </row>
    <row r="49">
      <c r="A49" s="165" t="str">
        <f>IFERROR(__xludf.DUMMYFUNCTION("""COMPUTED_VALUE"""),"Grand Prix")</f>
        <v>Grand Prix</v>
      </c>
      <c r="B49" s="165" t="str">
        <f>IFERROR(__xludf.DUMMYFUNCTION("""COMPUTED_VALUE"""),"Xbox / PC")</f>
        <v>Xbox / PC</v>
      </c>
      <c r="C49" s="165" t="str">
        <f>IFERROR(__xludf.DUMMYFUNCTION("""COMPUTED_VALUE"""),"Yes")</f>
        <v>Yes</v>
      </c>
      <c r="D49" s="165" t="str">
        <f>IFERROR(__xludf.DUMMYFUNCTION("""COMPUTED_VALUE"""),"Active")</f>
        <v>Active</v>
      </c>
      <c r="E49" s="166">
        <f>IFERROR(__xludf.DUMMYFUNCTION("""COMPUTED_VALUE"""),45798.0)</f>
        <v>45798</v>
      </c>
      <c r="F49" s="165"/>
      <c r="G49" s="167">
        <f>IFERROR(__xludf.DUMMYFUNCTION("""COMPUTED_VALUE"""),4.800000000000001)</f>
        <v>4.8</v>
      </c>
      <c r="H49" s="166">
        <f>IFERROR(__xludf.DUMMYFUNCTION("""COMPUTED_VALUE"""),30011.0)</f>
        <v>30011</v>
      </c>
      <c r="I49" s="167">
        <f>IFERROR(__xludf.DUMMYFUNCTION("""COMPUTED_VALUE"""),43.22222222222222)</f>
        <v>43.22222222</v>
      </c>
      <c r="J49" s="168"/>
      <c r="K49" s="168"/>
      <c r="L49" s="165"/>
      <c r="M49" s="165"/>
      <c r="N49" s="165" t="str">
        <f>IFERROR(__xludf.DUMMYFUNCTION("""COMPUTED_VALUE"""),"Retro Classics: Atari 2600")</f>
        <v>Retro Classics: Atari 2600</v>
      </c>
      <c r="O49" s="165"/>
      <c r="P49" s="165"/>
      <c r="Q49" s="165"/>
      <c r="R49" s="165"/>
      <c r="S49" s="165"/>
    </row>
    <row r="50">
      <c r="A50" s="165" t="str">
        <f>IFERROR(__xludf.DUMMYFUNCTION("""COMPUTED_VALUE"""),"H.E.R.O.")</f>
        <v>H.E.R.O.</v>
      </c>
      <c r="B50" s="165" t="str">
        <f>IFERROR(__xludf.DUMMYFUNCTION("""COMPUTED_VALUE"""),"Xbox / PC")</f>
        <v>Xbox / PC</v>
      </c>
      <c r="C50" s="165" t="str">
        <f>IFERROR(__xludf.DUMMYFUNCTION("""COMPUTED_VALUE"""),"Yes")</f>
        <v>Yes</v>
      </c>
      <c r="D50" s="165" t="str">
        <f>IFERROR(__xludf.DUMMYFUNCTION("""COMPUTED_VALUE"""),"Active")</f>
        <v>Active</v>
      </c>
      <c r="E50" s="166">
        <f>IFERROR(__xludf.DUMMYFUNCTION("""COMPUTED_VALUE"""),45798.0)</f>
        <v>45798</v>
      </c>
      <c r="F50" s="165"/>
      <c r="G50" s="167">
        <f>IFERROR(__xludf.DUMMYFUNCTION("""COMPUTED_VALUE"""),4.800000000000001)</f>
        <v>4.8</v>
      </c>
      <c r="H50" s="166">
        <f>IFERROR(__xludf.DUMMYFUNCTION("""COMPUTED_VALUE"""),30764.0)</f>
        <v>30764</v>
      </c>
      <c r="I50" s="167">
        <f>IFERROR(__xludf.DUMMYFUNCTION("""COMPUTED_VALUE"""),41.16111111111111)</f>
        <v>41.16111111</v>
      </c>
      <c r="J50" s="168"/>
      <c r="K50" s="168"/>
      <c r="L50" s="165"/>
      <c r="M50" s="165"/>
      <c r="N50" s="165" t="str">
        <f>IFERROR(__xludf.DUMMYFUNCTION("""COMPUTED_VALUE"""),"Retro Classics: Atari 2600")</f>
        <v>Retro Classics: Atari 2600</v>
      </c>
      <c r="O50" s="165"/>
      <c r="P50" s="165"/>
      <c r="Q50" s="165"/>
      <c r="R50" s="165"/>
      <c r="S50" s="165"/>
    </row>
    <row r="51">
      <c r="A51" s="165" t="str">
        <f>IFERROR(__xludf.DUMMYFUNCTION("""COMPUTED_VALUE"""),"Kaboom!")</f>
        <v>Kaboom!</v>
      </c>
      <c r="B51" s="165" t="str">
        <f>IFERROR(__xludf.DUMMYFUNCTION("""COMPUTED_VALUE"""),"Xbox / PC")</f>
        <v>Xbox / PC</v>
      </c>
      <c r="C51" s="165" t="str">
        <f>IFERROR(__xludf.DUMMYFUNCTION("""COMPUTED_VALUE"""),"Yes")</f>
        <v>Yes</v>
      </c>
      <c r="D51" s="165" t="str">
        <f>IFERROR(__xludf.DUMMYFUNCTION("""COMPUTED_VALUE"""),"Active")</f>
        <v>Active</v>
      </c>
      <c r="E51" s="166">
        <f>IFERROR(__xludf.DUMMYFUNCTION("""COMPUTED_VALUE"""),45798.0)</f>
        <v>45798</v>
      </c>
      <c r="F51" s="165"/>
      <c r="G51" s="167">
        <f>IFERROR(__xludf.DUMMYFUNCTION("""COMPUTED_VALUE"""),4.800000000000001)</f>
        <v>4.8</v>
      </c>
      <c r="H51" s="166">
        <f>IFERROR(__xludf.DUMMYFUNCTION("""COMPUTED_VALUE"""),30682.0)</f>
        <v>30682</v>
      </c>
      <c r="I51" s="167">
        <f>IFERROR(__xludf.DUMMYFUNCTION("""COMPUTED_VALUE"""),41.388888888888886)</f>
        <v>41.38888889</v>
      </c>
      <c r="J51" s="168"/>
      <c r="K51" s="168"/>
      <c r="L51" s="165"/>
      <c r="M51" s="165"/>
      <c r="N51" s="165" t="str">
        <f>IFERROR(__xludf.DUMMYFUNCTION("""COMPUTED_VALUE"""),"Retro Classics: Atari 2600")</f>
        <v>Retro Classics: Atari 2600</v>
      </c>
      <c r="O51" s="165"/>
      <c r="P51" s="165"/>
      <c r="Q51" s="165"/>
      <c r="R51" s="165"/>
      <c r="S51" s="165"/>
    </row>
    <row r="52">
      <c r="A52" s="165" t="str">
        <f>IFERROR(__xludf.DUMMYFUNCTION("""COMPUTED_VALUE"""),"Laser Blast")</f>
        <v>Laser Blast</v>
      </c>
      <c r="B52" s="165" t="str">
        <f>IFERROR(__xludf.DUMMYFUNCTION("""COMPUTED_VALUE"""),"Xbox / PC")</f>
        <v>Xbox / PC</v>
      </c>
      <c r="C52" s="165" t="str">
        <f>IFERROR(__xludf.DUMMYFUNCTION("""COMPUTED_VALUE"""),"Yes")</f>
        <v>Yes</v>
      </c>
      <c r="D52" s="165" t="str">
        <f>IFERROR(__xludf.DUMMYFUNCTION("""COMPUTED_VALUE"""),"Active")</f>
        <v>Active</v>
      </c>
      <c r="E52" s="166">
        <f>IFERROR(__xludf.DUMMYFUNCTION("""COMPUTED_VALUE"""),45798.0)</f>
        <v>45798</v>
      </c>
      <c r="F52" s="165"/>
      <c r="G52" s="167">
        <f>IFERROR(__xludf.DUMMYFUNCTION("""COMPUTED_VALUE"""),4.800000000000001)</f>
        <v>4.8</v>
      </c>
      <c r="H52" s="166">
        <f>IFERROR(__xludf.DUMMYFUNCTION("""COMPUTED_VALUE"""),29646.0)</f>
        <v>29646</v>
      </c>
      <c r="I52" s="167">
        <f>IFERROR(__xludf.DUMMYFUNCTION("""COMPUTED_VALUE"""),44.22222222222222)</f>
        <v>44.22222222</v>
      </c>
      <c r="J52" s="168"/>
      <c r="K52" s="168"/>
      <c r="L52" s="165"/>
      <c r="M52" s="165"/>
      <c r="N52" s="165" t="str">
        <f>IFERROR(__xludf.DUMMYFUNCTION("""COMPUTED_VALUE"""),"Retro Classics: Atari 2600")</f>
        <v>Retro Classics: Atari 2600</v>
      </c>
      <c r="O52" s="165"/>
      <c r="P52" s="165"/>
      <c r="Q52" s="165"/>
      <c r="R52" s="165"/>
      <c r="S52" s="165"/>
    </row>
    <row r="53">
      <c r="A53" s="165" t="str">
        <f>IFERROR(__xludf.DUMMYFUNCTION("""COMPUTED_VALUE"""),"MechWarrior")</f>
        <v>MechWarrior</v>
      </c>
      <c r="B53" s="165" t="str">
        <f>IFERROR(__xludf.DUMMYFUNCTION("""COMPUTED_VALUE"""),"Xbox / PC")</f>
        <v>Xbox / PC</v>
      </c>
      <c r="C53" s="165" t="str">
        <f>IFERROR(__xludf.DUMMYFUNCTION("""COMPUTED_VALUE"""),"Yes")</f>
        <v>Yes</v>
      </c>
      <c r="D53" s="165" t="str">
        <f>IFERROR(__xludf.DUMMYFUNCTION("""COMPUTED_VALUE"""),"Active")</f>
        <v>Active</v>
      </c>
      <c r="E53" s="166">
        <f>IFERROR(__xludf.DUMMYFUNCTION("""COMPUTED_VALUE"""),45798.0)</f>
        <v>45798</v>
      </c>
      <c r="F53" s="165"/>
      <c r="G53" s="167">
        <f>IFERROR(__xludf.DUMMYFUNCTION("""COMPUTED_VALUE"""),4.800000000000001)</f>
        <v>4.8</v>
      </c>
      <c r="H53" s="166">
        <f>IFERROR(__xludf.DUMMYFUNCTION("""COMPUTED_VALUE"""),32843.0)</f>
        <v>32843</v>
      </c>
      <c r="I53" s="167">
        <f>IFERROR(__xludf.DUMMYFUNCTION("""COMPUTED_VALUE"""),35.47222222222222)</f>
        <v>35.47222222</v>
      </c>
      <c r="J53" s="168"/>
      <c r="K53" s="168"/>
      <c r="L53" s="165"/>
      <c r="M53" s="165"/>
      <c r="N53" s="165" t="str">
        <f>IFERROR(__xludf.DUMMYFUNCTION("""COMPUTED_VALUE"""),"Retro Classics: SNES")</f>
        <v>Retro Classics: SNES</v>
      </c>
      <c r="O53" s="165"/>
      <c r="P53" s="165"/>
      <c r="Q53" s="165"/>
      <c r="R53" s="165"/>
      <c r="S53" s="165"/>
    </row>
    <row r="54">
      <c r="A54" s="165" t="str">
        <f>IFERROR(__xludf.DUMMYFUNCTION("""COMPUTED_VALUE"""),"MechWarrior 2: 31st Century Combat")</f>
        <v>MechWarrior 2: 31st Century Combat</v>
      </c>
      <c r="B54" s="165" t="str">
        <f>IFERROR(__xludf.DUMMYFUNCTION("""COMPUTED_VALUE"""),"Xbox / PC")</f>
        <v>Xbox / PC</v>
      </c>
      <c r="C54" s="165" t="str">
        <f>IFERROR(__xludf.DUMMYFUNCTION("""COMPUTED_VALUE"""),"Yes")</f>
        <v>Yes</v>
      </c>
      <c r="D54" s="165" t="str">
        <f>IFERROR(__xludf.DUMMYFUNCTION("""COMPUTED_VALUE"""),"Active")</f>
        <v>Active</v>
      </c>
      <c r="E54" s="166">
        <f>IFERROR(__xludf.DUMMYFUNCTION("""COMPUTED_VALUE"""),45798.0)</f>
        <v>45798</v>
      </c>
      <c r="F54" s="165"/>
      <c r="G54" s="167">
        <f>IFERROR(__xludf.DUMMYFUNCTION("""COMPUTED_VALUE"""),4.800000000000001)</f>
        <v>4.8</v>
      </c>
      <c r="H54" s="166">
        <f>IFERROR(__xludf.DUMMYFUNCTION("""COMPUTED_VALUE"""),34904.0)</f>
        <v>34904</v>
      </c>
      <c r="I54" s="167">
        <f>IFERROR(__xludf.DUMMYFUNCTION("""COMPUTED_VALUE"""),29.825)</f>
        <v>29.825</v>
      </c>
      <c r="J54" s="168"/>
      <c r="K54" s="168"/>
      <c r="L54" s="165"/>
      <c r="M54" s="165"/>
      <c r="N54" s="165" t="str">
        <f>IFERROR(__xludf.DUMMYFUNCTION("""COMPUTED_VALUE"""),"Retro Classics: PSX")</f>
        <v>Retro Classics: PSX</v>
      </c>
      <c r="O54" s="165"/>
      <c r="P54" s="165"/>
      <c r="Q54" s="165"/>
      <c r="R54" s="165"/>
      <c r="S54" s="165"/>
    </row>
    <row r="55">
      <c r="A55" s="165" t="str">
        <f>IFERROR(__xludf.DUMMYFUNCTION("""COMPUTED_VALUE"""),"Megamania")</f>
        <v>Megamania</v>
      </c>
      <c r="B55" s="165" t="str">
        <f>IFERROR(__xludf.DUMMYFUNCTION("""COMPUTED_VALUE"""),"Xbox / PC")</f>
        <v>Xbox / PC</v>
      </c>
      <c r="C55" s="165" t="str">
        <f>IFERROR(__xludf.DUMMYFUNCTION("""COMPUTED_VALUE"""),"Yes")</f>
        <v>Yes</v>
      </c>
      <c r="D55" s="165" t="str">
        <f>IFERROR(__xludf.DUMMYFUNCTION("""COMPUTED_VALUE"""),"Active")</f>
        <v>Active</v>
      </c>
      <c r="E55" s="166">
        <f>IFERROR(__xludf.DUMMYFUNCTION("""COMPUTED_VALUE"""),45798.0)</f>
        <v>45798</v>
      </c>
      <c r="F55" s="165"/>
      <c r="G55" s="167">
        <f>IFERROR(__xludf.DUMMYFUNCTION("""COMPUTED_VALUE"""),4.800000000000001)</f>
        <v>4.8</v>
      </c>
      <c r="H55" s="166">
        <f>IFERROR(__xludf.DUMMYFUNCTION("""COMPUTED_VALUE"""),30050.0)</f>
        <v>30050</v>
      </c>
      <c r="I55" s="167">
        <f>IFERROR(__xludf.DUMMYFUNCTION("""COMPUTED_VALUE"""),43.11666666666667)</f>
        <v>43.11666667</v>
      </c>
      <c r="J55" s="168"/>
      <c r="K55" s="168"/>
      <c r="L55" s="165"/>
      <c r="M55" s="165"/>
      <c r="N55" s="165" t="str">
        <f>IFERROR(__xludf.DUMMYFUNCTION("""COMPUTED_VALUE"""),"Retro Classics: Atari 2600")</f>
        <v>Retro Classics: Atari 2600</v>
      </c>
      <c r="O55" s="165"/>
      <c r="P55" s="165"/>
      <c r="Q55" s="165"/>
      <c r="R55" s="165"/>
      <c r="S55" s="165"/>
    </row>
    <row r="56">
      <c r="A56" s="165" t="str">
        <f>IFERROR(__xludf.DUMMYFUNCTION("""COMPUTED_VALUE"""),"Pitfall II: Lost Caverns")</f>
        <v>Pitfall II: Lost Caverns</v>
      </c>
      <c r="B56" s="165" t="str">
        <f>IFERROR(__xludf.DUMMYFUNCTION("""COMPUTED_VALUE"""),"Xbox / PC")</f>
        <v>Xbox / PC</v>
      </c>
      <c r="C56" s="165" t="str">
        <f>IFERROR(__xludf.DUMMYFUNCTION("""COMPUTED_VALUE"""),"Yes")</f>
        <v>Yes</v>
      </c>
      <c r="D56" s="165" t="str">
        <f>IFERROR(__xludf.DUMMYFUNCTION("""COMPUTED_VALUE"""),"Active")</f>
        <v>Active</v>
      </c>
      <c r="E56" s="166">
        <f>IFERROR(__xludf.DUMMYFUNCTION("""COMPUTED_VALUE"""),45798.0)</f>
        <v>45798</v>
      </c>
      <c r="F56" s="165"/>
      <c r="G56" s="167">
        <f>IFERROR(__xludf.DUMMYFUNCTION("""COMPUTED_VALUE"""),4.800000000000001)</f>
        <v>4.8</v>
      </c>
      <c r="H56" s="166">
        <f>IFERROR(__xludf.DUMMYFUNCTION("""COMPUTED_VALUE"""),30575.0)</f>
        <v>30575</v>
      </c>
      <c r="I56" s="167">
        <f>IFERROR(__xludf.DUMMYFUNCTION("""COMPUTED_VALUE"""),41.68055555555556)</f>
        <v>41.68055556</v>
      </c>
      <c r="J56" s="168"/>
      <c r="K56" s="168"/>
      <c r="L56" s="165"/>
      <c r="M56" s="165"/>
      <c r="N56" s="165" t="str">
        <f>IFERROR(__xludf.DUMMYFUNCTION("""COMPUTED_VALUE"""),"Retro Classics: Atari 2600")</f>
        <v>Retro Classics: Atari 2600</v>
      </c>
      <c r="O56" s="165"/>
      <c r="P56" s="165"/>
      <c r="Q56" s="165"/>
      <c r="R56" s="165"/>
      <c r="S56" s="165"/>
    </row>
    <row r="57">
      <c r="A57" s="165" t="str">
        <f>IFERROR(__xludf.DUMMYFUNCTION("""COMPUTED_VALUE"""),"Pitfall!")</f>
        <v>Pitfall!</v>
      </c>
      <c r="B57" s="165" t="str">
        <f>IFERROR(__xludf.DUMMYFUNCTION("""COMPUTED_VALUE"""),"Xbox / PC")</f>
        <v>Xbox / PC</v>
      </c>
      <c r="C57" s="165" t="str">
        <f>IFERROR(__xludf.DUMMYFUNCTION("""COMPUTED_VALUE"""),"Yes")</f>
        <v>Yes</v>
      </c>
      <c r="D57" s="165" t="str">
        <f>IFERROR(__xludf.DUMMYFUNCTION("""COMPUTED_VALUE"""),"Active")</f>
        <v>Active</v>
      </c>
      <c r="E57" s="166">
        <f>IFERROR(__xludf.DUMMYFUNCTION("""COMPUTED_VALUE"""),45798.0)</f>
        <v>45798</v>
      </c>
      <c r="F57" s="165"/>
      <c r="G57" s="167">
        <f>IFERROR(__xludf.DUMMYFUNCTION("""COMPUTED_VALUE"""),4.800000000000001)</f>
        <v>4.8</v>
      </c>
      <c r="H57" s="166">
        <f>IFERROR(__xludf.DUMMYFUNCTION("""COMPUTED_VALUE"""),30061.0)</f>
        <v>30061</v>
      </c>
      <c r="I57" s="167">
        <f>IFERROR(__xludf.DUMMYFUNCTION("""COMPUTED_VALUE"""),43.08611111111111)</f>
        <v>43.08611111</v>
      </c>
      <c r="J57" s="168"/>
      <c r="K57" s="168"/>
      <c r="L57" s="165"/>
      <c r="M57" s="165"/>
      <c r="N57" s="165" t="str">
        <f>IFERROR(__xludf.DUMMYFUNCTION("""COMPUTED_VALUE"""),"Retro Classics: Atari 2600")</f>
        <v>Retro Classics: Atari 2600</v>
      </c>
      <c r="O57" s="165"/>
      <c r="P57" s="165"/>
      <c r="Q57" s="165"/>
      <c r="R57" s="165"/>
      <c r="S57" s="165"/>
    </row>
    <row r="58">
      <c r="A58" s="165" t="str">
        <f>IFERROR(__xludf.DUMMYFUNCTION("""COMPUTED_VALUE"""),"Police Quest")</f>
        <v>Police Quest</v>
      </c>
      <c r="B58" s="165" t="str">
        <f>IFERROR(__xludf.DUMMYFUNCTION("""COMPUTED_VALUE"""),"Xbox / PC")</f>
        <v>Xbox / PC</v>
      </c>
      <c r="C58" s="165" t="str">
        <f>IFERROR(__xludf.DUMMYFUNCTION("""COMPUTED_VALUE"""),"Yes")</f>
        <v>Yes</v>
      </c>
      <c r="D58" s="165" t="str">
        <f>IFERROR(__xludf.DUMMYFUNCTION("""COMPUTED_VALUE"""),"Active")</f>
        <v>Active</v>
      </c>
      <c r="E58" s="166">
        <f>IFERROR(__xludf.DUMMYFUNCTION("""COMPUTED_VALUE"""),45798.0)</f>
        <v>45798</v>
      </c>
      <c r="F58" s="165"/>
      <c r="G58" s="167">
        <f>IFERROR(__xludf.DUMMYFUNCTION("""COMPUTED_VALUE"""),4.800000000000001)</f>
        <v>4.8</v>
      </c>
      <c r="H58" s="166">
        <f>IFERROR(__xludf.DUMMYFUNCTION("""COMPUTED_VALUE"""),31778.0)</f>
        <v>31778</v>
      </c>
      <c r="I58" s="167">
        <f>IFERROR(__xludf.DUMMYFUNCTION("""COMPUTED_VALUE"""),38.388888888888886)</f>
        <v>38.38888889</v>
      </c>
      <c r="J58" s="168"/>
      <c r="K58" s="168"/>
      <c r="L58" s="165"/>
      <c r="M58" s="165"/>
      <c r="N58" s="165" t="str">
        <f>IFERROR(__xludf.DUMMYFUNCTION("""COMPUTED_VALUE"""),"Retro Classics: Amiga, Sierra Entertainment (defunct) publisher")</f>
        <v>Retro Classics: Amiga, Sierra Entertainment (defunct) publisher</v>
      </c>
      <c r="O58" s="165"/>
      <c r="P58" s="165"/>
      <c r="Q58" s="165"/>
      <c r="R58" s="165"/>
      <c r="S58" s="165"/>
    </row>
    <row r="59">
      <c r="A59" s="165" t="str">
        <f>IFERROR(__xludf.DUMMYFUNCTION("""COMPUTED_VALUE"""),"Pressure Cooker")</f>
        <v>Pressure Cooker</v>
      </c>
      <c r="B59" s="165" t="str">
        <f>IFERROR(__xludf.DUMMYFUNCTION("""COMPUTED_VALUE"""),"Xbox / PC")</f>
        <v>Xbox / PC</v>
      </c>
      <c r="C59" s="165" t="str">
        <f>IFERROR(__xludf.DUMMYFUNCTION("""COMPUTED_VALUE"""),"Yes")</f>
        <v>Yes</v>
      </c>
      <c r="D59" s="165" t="str">
        <f>IFERROR(__xludf.DUMMYFUNCTION("""COMPUTED_VALUE"""),"Active")</f>
        <v>Active</v>
      </c>
      <c r="E59" s="166">
        <f>IFERROR(__xludf.DUMMYFUNCTION("""COMPUTED_VALUE"""),45798.0)</f>
        <v>45798</v>
      </c>
      <c r="F59" s="165"/>
      <c r="G59" s="167">
        <f>IFERROR(__xludf.DUMMYFUNCTION("""COMPUTED_VALUE"""),4.800000000000001)</f>
        <v>4.8</v>
      </c>
      <c r="H59" s="166">
        <f>IFERROR(__xludf.DUMMYFUNCTION("""COMPUTED_VALUE"""),30369.0)</f>
        <v>30369</v>
      </c>
      <c r="I59" s="167">
        <f>IFERROR(__xludf.DUMMYFUNCTION("""COMPUTED_VALUE"""),42.24722222222222)</f>
        <v>42.24722222</v>
      </c>
      <c r="J59" s="168"/>
      <c r="K59" s="168"/>
      <c r="L59" s="165"/>
      <c r="M59" s="165"/>
      <c r="N59" s="165" t="str">
        <f>IFERROR(__xludf.DUMMYFUNCTION("""COMPUTED_VALUE"""),"Retro Classics: Atari 2600")</f>
        <v>Retro Classics: Atari 2600</v>
      </c>
      <c r="O59" s="165"/>
      <c r="P59" s="165"/>
      <c r="Q59" s="165"/>
      <c r="R59" s="165"/>
      <c r="S59" s="165"/>
    </row>
    <row r="60">
      <c r="A60" s="165" t="str">
        <f>IFERROR(__xludf.DUMMYFUNCTION("""COMPUTED_VALUE"""),"Quest for Glory: So You Want to Be a Hero")</f>
        <v>Quest for Glory: So You Want to Be a Hero</v>
      </c>
      <c r="B60" s="165" t="str">
        <f>IFERROR(__xludf.DUMMYFUNCTION("""COMPUTED_VALUE"""),"Xbox / PC")</f>
        <v>Xbox / PC</v>
      </c>
      <c r="C60" s="165" t="str">
        <f>IFERROR(__xludf.DUMMYFUNCTION("""COMPUTED_VALUE"""),"Yes")</f>
        <v>Yes</v>
      </c>
      <c r="D60" s="165" t="str">
        <f>IFERROR(__xludf.DUMMYFUNCTION("""COMPUTED_VALUE"""),"Active")</f>
        <v>Active</v>
      </c>
      <c r="E60" s="166">
        <f>IFERROR(__xludf.DUMMYFUNCTION("""COMPUTED_VALUE"""),45798.0)</f>
        <v>45798</v>
      </c>
      <c r="F60" s="165"/>
      <c r="G60" s="167">
        <f>IFERROR(__xludf.DUMMYFUNCTION("""COMPUTED_VALUE"""),4.800000000000001)</f>
        <v>4.8</v>
      </c>
      <c r="H60" s="166">
        <f>IFERROR(__xludf.DUMMYFUNCTION("""COMPUTED_VALUE"""),32782.0)</f>
        <v>32782</v>
      </c>
      <c r="I60" s="167">
        <f>IFERROR(__xludf.DUMMYFUNCTION("""COMPUTED_VALUE"""),35.638888888888886)</f>
        <v>35.63888889</v>
      </c>
      <c r="J60" s="168"/>
      <c r="K60" s="168"/>
      <c r="L60" s="165"/>
      <c r="M60" s="165"/>
      <c r="N60" s="165" t="str">
        <f>IFERROR(__xludf.DUMMYFUNCTION("""COMPUTED_VALUE"""),"Retro Classics: DOS, Sierra Entertainment (defunct) publisher")</f>
        <v>Retro Classics: DOS, Sierra Entertainment (defunct) publisher</v>
      </c>
      <c r="O60" s="165"/>
      <c r="P60" s="165"/>
      <c r="Q60" s="165"/>
      <c r="R60" s="165"/>
      <c r="S60" s="165"/>
    </row>
    <row r="61">
      <c r="A61" s="165" t="str">
        <f>IFERROR(__xludf.DUMMYFUNCTION("""COMPUTED_VALUE"""),"Riddle of the Sphinx")</f>
        <v>Riddle of the Sphinx</v>
      </c>
      <c r="B61" s="165" t="str">
        <f>IFERROR(__xludf.DUMMYFUNCTION("""COMPUTED_VALUE"""),"Xbox / PC")</f>
        <v>Xbox / PC</v>
      </c>
      <c r="C61" s="165" t="str">
        <f>IFERROR(__xludf.DUMMYFUNCTION("""COMPUTED_VALUE"""),"Yes")</f>
        <v>Yes</v>
      </c>
      <c r="D61" s="165" t="str">
        <f>IFERROR(__xludf.DUMMYFUNCTION("""COMPUTED_VALUE"""),"Active")</f>
        <v>Active</v>
      </c>
      <c r="E61" s="166">
        <f>IFERROR(__xludf.DUMMYFUNCTION("""COMPUTED_VALUE"""),45798.0)</f>
        <v>45798</v>
      </c>
      <c r="F61" s="165"/>
      <c r="G61" s="167">
        <f>IFERROR(__xludf.DUMMYFUNCTION("""COMPUTED_VALUE"""),4.800000000000001)</f>
        <v>4.8</v>
      </c>
      <c r="H61" s="166">
        <f>IFERROR(__xludf.DUMMYFUNCTION("""COMPUTED_VALUE"""),29952.0)</f>
        <v>29952</v>
      </c>
      <c r="I61" s="167">
        <f>IFERROR(__xludf.DUMMYFUNCTION("""COMPUTED_VALUE"""),43.388888888888886)</f>
        <v>43.38888889</v>
      </c>
      <c r="J61" s="168"/>
      <c r="K61" s="168"/>
      <c r="L61" s="165"/>
      <c r="M61" s="165"/>
      <c r="N61" s="165" t="str">
        <f>IFERROR(__xludf.DUMMYFUNCTION("""COMPUTED_VALUE"""),"Retro Classics: Atari 2600")</f>
        <v>Retro Classics: Atari 2600</v>
      </c>
      <c r="O61" s="165"/>
      <c r="P61" s="165"/>
      <c r="Q61" s="165"/>
      <c r="R61" s="165"/>
      <c r="S61" s="165"/>
    </row>
    <row r="62">
      <c r="A62" s="165" t="str">
        <f>IFERROR(__xludf.DUMMYFUNCTION("""COMPUTED_VALUE"""),"River Raid")</f>
        <v>River Raid</v>
      </c>
      <c r="B62" s="165" t="str">
        <f>IFERROR(__xludf.DUMMYFUNCTION("""COMPUTED_VALUE"""),"Xbox / PC")</f>
        <v>Xbox / PC</v>
      </c>
      <c r="C62" s="165" t="str">
        <f>IFERROR(__xludf.DUMMYFUNCTION("""COMPUTED_VALUE"""),"Yes")</f>
        <v>Yes</v>
      </c>
      <c r="D62" s="165" t="str">
        <f>IFERROR(__xludf.DUMMYFUNCTION("""COMPUTED_VALUE"""),"Active")</f>
        <v>Active</v>
      </c>
      <c r="E62" s="166">
        <f>IFERROR(__xludf.DUMMYFUNCTION("""COMPUTED_VALUE"""),45798.0)</f>
        <v>45798</v>
      </c>
      <c r="F62" s="165"/>
      <c r="G62" s="167">
        <f>IFERROR(__xludf.DUMMYFUNCTION("""COMPUTED_VALUE"""),4.800000000000001)</f>
        <v>4.8</v>
      </c>
      <c r="H62" s="166">
        <f>IFERROR(__xludf.DUMMYFUNCTION("""COMPUTED_VALUE"""),30164.0)</f>
        <v>30164</v>
      </c>
      <c r="I62" s="167">
        <f>IFERROR(__xludf.DUMMYFUNCTION("""COMPUTED_VALUE"""),42.80555555555556)</f>
        <v>42.80555556</v>
      </c>
      <c r="J62" s="168"/>
      <c r="K62" s="168"/>
      <c r="L62" s="165"/>
      <c r="M62" s="165"/>
      <c r="N62" s="165" t="str">
        <f>IFERROR(__xludf.DUMMYFUNCTION("""COMPUTED_VALUE"""),"Retro Classics: Atari 2600")</f>
        <v>Retro Classics: Atari 2600</v>
      </c>
      <c r="O62" s="165"/>
      <c r="P62" s="165"/>
      <c r="Q62" s="165"/>
      <c r="R62" s="165"/>
      <c r="S62" s="165"/>
    </row>
    <row r="63">
      <c r="A63" s="165" t="str">
        <f>IFERROR(__xludf.DUMMYFUNCTION("""COMPUTED_VALUE"""),"River Raid II")</f>
        <v>River Raid II</v>
      </c>
      <c r="B63" s="165" t="str">
        <f>IFERROR(__xludf.DUMMYFUNCTION("""COMPUTED_VALUE"""),"Xbox / PC")</f>
        <v>Xbox / PC</v>
      </c>
      <c r="C63" s="165" t="str">
        <f>IFERROR(__xludf.DUMMYFUNCTION("""COMPUTED_VALUE"""),"Yes")</f>
        <v>Yes</v>
      </c>
      <c r="D63" s="165" t="str">
        <f>IFERROR(__xludf.DUMMYFUNCTION("""COMPUTED_VALUE"""),"Active")</f>
        <v>Active</v>
      </c>
      <c r="E63" s="166">
        <f>IFERROR(__xludf.DUMMYFUNCTION("""COMPUTED_VALUE"""),45798.0)</f>
        <v>45798</v>
      </c>
      <c r="F63" s="165"/>
      <c r="G63" s="167">
        <f>IFERROR(__xludf.DUMMYFUNCTION("""COMPUTED_VALUE"""),4.800000000000001)</f>
        <v>4.8</v>
      </c>
      <c r="H63" s="166">
        <f>IFERROR(__xludf.DUMMYFUNCTION("""COMPUTED_VALUE"""),32352.0)</f>
        <v>32352</v>
      </c>
      <c r="I63" s="167">
        <f>IFERROR(__xludf.DUMMYFUNCTION("""COMPUTED_VALUE"""),36.81388888888889)</f>
        <v>36.81388889</v>
      </c>
      <c r="J63" s="168"/>
      <c r="K63" s="168"/>
      <c r="L63" s="165"/>
      <c r="M63" s="165"/>
      <c r="N63" s="165" t="str">
        <f>IFERROR(__xludf.DUMMYFUNCTION("""COMPUTED_VALUE"""),"Retro Classics: Atari 2600")</f>
        <v>Retro Classics: Atari 2600</v>
      </c>
      <c r="O63" s="165"/>
      <c r="P63" s="165"/>
      <c r="Q63" s="165"/>
      <c r="R63" s="165"/>
      <c r="S63" s="165"/>
    </row>
    <row r="64">
      <c r="A64" s="165" t="str">
        <f>IFERROR(__xludf.DUMMYFUNCTION("""COMPUTED_VALUE"""),"Robot Tank")</f>
        <v>Robot Tank</v>
      </c>
      <c r="B64" s="165" t="str">
        <f>IFERROR(__xludf.DUMMYFUNCTION("""COMPUTED_VALUE"""),"Xbox / PC")</f>
        <v>Xbox / PC</v>
      </c>
      <c r="C64" s="165" t="str">
        <f>IFERROR(__xludf.DUMMYFUNCTION("""COMPUTED_VALUE"""),"Yes")</f>
        <v>Yes</v>
      </c>
      <c r="D64" s="165" t="str">
        <f>IFERROR(__xludf.DUMMYFUNCTION("""COMPUTED_VALUE"""),"Active")</f>
        <v>Active</v>
      </c>
      <c r="E64" s="166">
        <f>IFERROR(__xludf.DUMMYFUNCTION("""COMPUTED_VALUE"""),45798.0)</f>
        <v>45798</v>
      </c>
      <c r="F64" s="165"/>
      <c r="G64" s="167">
        <f>IFERROR(__xludf.DUMMYFUNCTION("""COMPUTED_VALUE"""),4.800000000000001)</f>
        <v>4.8</v>
      </c>
      <c r="H64" s="166">
        <f>IFERROR(__xludf.DUMMYFUNCTION("""COMPUTED_VALUE"""),30399.0)</f>
        <v>30399</v>
      </c>
      <c r="I64" s="167">
        <f>IFERROR(__xludf.DUMMYFUNCTION("""COMPUTED_VALUE"""),42.15833333333333)</f>
        <v>42.15833333</v>
      </c>
      <c r="J64" s="168"/>
      <c r="K64" s="168"/>
      <c r="L64" s="165"/>
      <c r="M64" s="165"/>
      <c r="N64" s="165" t="str">
        <f>IFERROR(__xludf.DUMMYFUNCTION("""COMPUTED_VALUE"""),"Retro Classics: Atari 2600")</f>
        <v>Retro Classics: Atari 2600</v>
      </c>
      <c r="O64" s="165"/>
      <c r="P64" s="165"/>
      <c r="Q64" s="165"/>
      <c r="R64" s="165"/>
      <c r="S64" s="165"/>
    </row>
    <row r="65">
      <c r="A65" s="165" t="str">
        <f>IFERROR(__xludf.DUMMYFUNCTION("""COMPUTED_VALUE"""),"Sky Jinks")</f>
        <v>Sky Jinks</v>
      </c>
      <c r="B65" s="165" t="str">
        <f>IFERROR(__xludf.DUMMYFUNCTION("""COMPUTED_VALUE"""),"Xbox / PC")</f>
        <v>Xbox / PC</v>
      </c>
      <c r="C65" s="165" t="str">
        <f>IFERROR(__xludf.DUMMYFUNCTION("""COMPUTED_VALUE"""),"Yes")</f>
        <v>Yes</v>
      </c>
      <c r="D65" s="165" t="str">
        <f>IFERROR(__xludf.DUMMYFUNCTION("""COMPUTED_VALUE"""),"Active")</f>
        <v>Active</v>
      </c>
      <c r="E65" s="166">
        <f>IFERROR(__xludf.DUMMYFUNCTION("""COMPUTED_VALUE"""),45798.0)</f>
        <v>45798</v>
      </c>
      <c r="F65" s="165"/>
      <c r="G65" s="167">
        <f>IFERROR(__xludf.DUMMYFUNCTION("""COMPUTED_VALUE"""),4.800000000000001)</f>
        <v>4.8</v>
      </c>
      <c r="H65" s="166">
        <f>IFERROR(__xludf.DUMMYFUNCTION("""COMPUTED_VALUE"""),30256.0)</f>
        <v>30256</v>
      </c>
      <c r="I65" s="167">
        <f>IFERROR(__xludf.DUMMYFUNCTION("""COMPUTED_VALUE"""),42.55555555555556)</f>
        <v>42.55555556</v>
      </c>
      <c r="J65" s="168"/>
      <c r="K65" s="168"/>
      <c r="L65" s="165"/>
      <c r="M65" s="165"/>
      <c r="N65" s="165" t="str">
        <f>IFERROR(__xludf.DUMMYFUNCTION("""COMPUTED_VALUE"""),"Retro Classics: Atari 2600")</f>
        <v>Retro Classics: Atari 2600</v>
      </c>
      <c r="O65" s="165"/>
      <c r="P65" s="165"/>
      <c r="Q65" s="165"/>
      <c r="R65" s="165"/>
      <c r="S65" s="165"/>
    </row>
    <row r="66">
      <c r="A66" s="165" t="str">
        <f>IFERROR(__xludf.DUMMYFUNCTION("""COMPUTED_VALUE"""),"Space Quest 2")</f>
        <v>Space Quest 2</v>
      </c>
      <c r="B66" s="165" t="str">
        <f>IFERROR(__xludf.DUMMYFUNCTION("""COMPUTED_VALUE"""),"Xbox / PC")</f>
        <v>Xbox / PC</v>
      </c>
      <c r="C66" s="165" t="str">
        <f>IFERROR(__xludf.DUMMYFUNCTION("""COMPUTED_VALUE"""),"Yes")</f>
        <v>Yes</v>
      </c>
      <c r="D66" s="165" t="str">
        <f>IFERROR(__xludf.DUMMYFUNCTION("""COMPUTED_VALUE"""),"Active")</f>
        <v>Active</v>
      </c>
      <c r="E66" s="166">
        <f>IFERROR(__xludf.DUMMYFUNCTION("""COMPUTED_VALUE"""),45798.0)</f>
        <v>45798</v>
      </c>
      <c r="F66" s="165"/>
      <c r="G66" s="167">
        <f>IFERROR(__xludf.DUMMYFUNCTION("""COMPUTED_VALUE"""),4.800000000000001)</f>
        <v>4.8</v>
      </c>
      <c r="H66" s="166">
        <f>IFERROR(__xludf.DUMMYFUNCTION("""COMPUTED_VALUE"""),31778.0)</f>
        <v>31778</v>
      </c>
      <c r="I66" s="167">
        <f>IFERROR(__xludf.DUMMYFUNCTION("""COMPUTED_VALUE"""),38.388888888888886)</f>
        <v>38.38888889</v>
      </c>
      <c r="J66" s="168"/>
      <c r="K66" s="168"/>
      <c r="L66" s="165"/>
      <c r="M66" s="165"/>
      <c r="N66" s="165" t="str">
        <f>IFERROR(__xludf.DUMMYFUNCTION("""COMPUTED_VALUE"""),"Retro Classics: Amiga, Sierra Entertainment (defunct) publisher")</f>
        <v>Retro Classics: Amiga, Sierra Entertainment (defunct) publisher</v>
      </c>
      <c r="O66" s="165"/>
      <c r="P66" s="165"/>
      <c r="Q66" s="165"/>
      <c r="R66" s="165"/>
      <c r="S66" s="165"/>
    </row>
    <row r="67">
      <c r="A67" s="165" t="str">
        <f>IFERROR(__xludf.DUMMYFUNCTION("""COMPUTED_VALUE"""),"Space Quest 6")</f>
        <v>Space Quest 6</v>
      </c>
      <c r="B67" s="165" t="str">
        <f>IFERROR(__xludf.DUMMYFUNCTION("""COMPUTED_VALUE"""),"Xbox / PC")</f>
        <v>Xbox / PC</v>
      </c>
      <c r="C67" s="165" t="str">
        <f>IFERROR(__xludf.DUMMYFUNCTION("""COMPUTED_VALUE"""),"Yes")</f>
        <v>Yes</v>
      </c>
      <c r="D67" s="165" t="str">
        <f>IFERROR(__xludf.DUMMYFUNCTION("""COMPUTED_VALUE"""),"Active")</f>
        <v>Active</v>
      </c>
      <c r="E67" s="166">
        <f>IFERROR(__xludf.DUMMYFUNCTION("""COMPUTED_VALUE"""),45798.0)</f>
        <v>45798</v>
      </c>
      <c r="F67" s="165"/>
      <c r="G67" s="167">
        <f>IFERROR(__xludf.DUMMYFUNCTION("""COMPUTED_VALUE"""),4.800000000000001)</f>
        <v>4.8</v>
      </c>
      <c r="H67" s="166">
        <f>IFERROR(__xludf.DUMMYFUNCTION("""COMPUTED_VALUE"""),34700.0)</f>
        <v>34700</v>
      </c>
      <c r="I67" s="167">
        <f>IFERROR(__xludf.DUMMYFUNCTION("""COMPUTED_VALUE"""),30.38888888888889)</f>
        <v>30.38888889</v>
      </c>
      <c r="J67" s="168"/>
      <c r="K67" s="168"/>
      <c r="L67" s="165"/>
      <c r="M67" s="165"/>
      <c r="N67" s="165" t="str">
        <f>IFERROR(__xludf.DUMMYFUNCTION("""COMPUTED_VALUE"""),"Retro Classics: DOS, Sierra Entertainment (defunct) publisher")</f>
        <v>Retro Classics: DOS, Sierra Entertainment (defunct) publisher</v>
      </c>
      <c r="O67" s="165"/>
      <c r="P67" s="165"/>
      <c r="Q67" s="165"/>
      <c r="R67" s="165"/>
      <c r="S67" s="165"/>
    </row>
    <row r="68">
      <c r="A68" s="165" t="str">
        <f>IFERROR(__xludf.DUMMYFUNCTION("""COMPUTED_VALUE"""),"Space Treat Deluxe")</f>
        <v>Space Treat Deluxe</v>
      </c>
      <c r="B68" s="165" t="str">
        <f>IFERROR(__xludf.DUMMYFUNCTION("""COMPUTED_VALUE"""),"Xbox / PC")</f>
        <v>Xbox / PC</v>
      </c>
      <c r="C68" s="165" t="str">
        <f>IFERROR(__xludf.DUMMYFUNCTION("""COMPUTED_VALUE"""),"Yes")</f>
        <v>Yes</v>
      </c>
      <c r="D68" s="165" t="str">
        <f>IFERROR(__xludf.DUMMYFUNCTION("""COMPUTED_VALUE"""),"Active")</f>
        <v>Active</v>
      </c>
      <c r="E68" s="166">
        <f>IFERROR(__xludf.DUMMYFUNCTION("""COMPUTED_VALUE"""),45798.0)</f>
        <v>45798</v>
      </c>
      <c r="F68" s="165"/>
      <c r="G68" s="167">
        <f>IFERROR(__xludf.DUMMYFUNCTION("""COMPUTED_VALUE"""),4.800000000000001)</f>
        <v>4.8</v>
      </c>
      <c r="H68" s="166">
        <f>IFERROR(__xludf.DUMMYFUNCTION("""COMPUTED_VALUE"""),37714.0)</f>
        <v>37714</v>
      </c>
      <c r="I68" s="167">
        <f>IFERROR(__xludf.DUMMYFUNCTION("""COMPUTED_VALUE"""),22.133333333333333)</f>
        <v>22.13333333</v>
      </c>
      <c r="J68" s="168"/>
      <c r="K68" s="168"/>
      <c r="L68" s="165"/>
      <c r="M68" s="165"/>
      <c r="N68" s="165" t="str">
        <f>IFERROR(__xludf.DUMMYFUNCTION("""COMPUTED_VALUE"""),"Retro Classics: Atari 2600")</f>
        <v>Retro Classics: Atari 2600</v>
      </c>
      <c r="O68" s="165"/>
      <c r="P68" s="165"/>
      <c r="Q68" s="165"/>
      <c r="R68" s="165"/>
      <c r="S68" s="165"/>
    </row>
    <row r="69">
      <c r="A69" s="165" t="str">
        <f>IFERROR(__xludf.DUMMYFUNCTION("""COMPUTED_VALUE"""),"Spider Fighter")</f>
        <v>Spider Fighter</v>
      </c>
      <c r="B69" s="165" t="str">
        <f>IFERROR(__xludf.DUMMYFUNCTION("""COMPUTED_VALUE"""),"Xbox / PC")</f>
        <v>Xbox / PC</v>
      </c>
      <c r="C69" s="165" t="str">
        <f>IFERROR(__xludf.DUMMYFUNCTION("""COMPUTED_VALUE"""),"Yes")</f>
        <v>Yes</v>
      </c>
      <c r="D69" s="165" t="str">
        <f>IFERROR(__xludf.DUMMYFUNCTION("""COMPUTED_VALUE"""),"Active")</f>
        <v>Active</v>
      </c>
      <c r="E69" s="166">
        <f>IFERROR(__xludf.DUMMYFUNCTION("""COMPUTED_VALUE"""),45798.0)</f>
        <v>45798</v>
      </c>
      <c r="F69" s="165"/>
      <c r="G69" s="167">
        <f>IFERROR(__xludf.DUMMYFUNCTION("""COMPUTED_VALUE"""),4.800000000000001)</f>
        <v>4.8</v>
      </c>
      <c r="H69" s="166">
        <f>IFERROR(__xludf.DUMMYFUNCTION("""COMPUTED_VALUE"""),30317.0)</f>
        <v>30317</v>
      </c>
      <c r="I69" s="167">
        <f>IFERROR(__xludf.DUMMYFUNCTION("""COMPUTED_VALUE"""),42.388888888888886)</f>
        <v>42.38888889</v>
      </c>
      <c r="J69" s="168"/>
      <c r="K69" s="168"/>
      <c r="L69" s="165"/>
      <c r="M69" s="165"/>
      <c r="N69" s="165" t="str">
        <f>IFERROR(__xludf.DUMMYFUNCTION("""COMPUTED_VALUE"""),"Retro Classics: Atari 2600")</f>
        <v>Retro Classics: Atari 2600</v>
      </c>
      <c r="O69" s="165"/>
      <c r="P69" s="165"/>
      <c r="Q69" s="165"/>
      <c r="R69" s="165"/>
      <c r="S69" s="165"/>
    </row>
    <row r="70">
      <c r="A70" s="165" t="str">
        <f>IFERROR(__xludf.DUMMYFUNCTION("""COMPUTED_VALUE"""),"Star Voyager")</f>
        <v>Star Voyager</v>
      </c>
      <c r="B70" s="165" t="str">
        <f>IFERROR(__xludf.DUMMYFUNCTION("""COMPUTED_VALUE"""),"Xbox / PC")</f>
        <v>Xbox / PC</v>
      </c>
      <c r="C70" s="165" t="str">
        <f>IFERROR(__xludf.DUMMYFUNCTION("""COMPUTED_VALUE"""),"Yes")</f>
        <v>Yes</v>
      </c>
      <c r="D70" s="165" t="str">
        <f>IFERROR(__xludf.DUMMYFUNCTION("""COMPUTED_VALUE"""),"Active")</f>
        <v>Active</v>
      </c>
      <c r="E70" s="166">
        <f>IFERROR(__xludf.DUMMYFUNCTION("""COMPUTED_VALUE"""),45798.0)</f>
        <v>45798</v>
      </c>
      <c r="F70" s="165"/>
      <c r="G70" s="167">
        <f>IFERROR(__xludf.DUMMYFUNCTION("""COMPUTED_VALUE"""),4.800000000000001)</f>
        <v>4.8</v>
      </c>
      <c r="H70" s="166">
        <f>IFERROR(__xludf.DUMMYFUNCTION("""COMPUTED_VALUE"""),30042.0)</f>
        <v>30042</v>
      </c>
      <c r="I70" s="167">
        <f>IFERROR(__xludf.DUMMYFUNCTION("""COMPUTED_VALUE"""),43.138888888888886)</f>
        <v>43.13888889</v>
      </c>
      <c r="J70" s="168"/>
      <c r="K70" s="168"/>
      <c r="L70" s="165"/>
      <c r="M70" s="165"/>
      <c r="N70" s="165" t="str">
        <f>IFERROR(__xludf.DUMMYFUNCTION("""COMPUTED_VALUE"""),"Retro Classics: Atari 2600")</f>
        <v>Retro Classics: Atari 2600</v>
      </c>
      <c r="O70" s="165"/>
      <c r="P70" s="165"/>
      <c r="Q70" s="165"/>
      <c r="R70" s="165"/>
      <c r="S70" s="165"/>
    </row>
    <row r="71">
      <c r="A71" s="165" t="str">
        <f>IFERROR(__xludf.DUMMYFUNCTION("""COMPUTED_VALUE"""),"Tennis")</f>
        <v>Tennis</v>
      </c>
      <c r="B71" s="165" t="str">
        <f>IFERROR(__xludf.DUMMYFUNCTION("""COMPUTED_VALUE"""),"Xbox / PC")</f>
        <v>Xbox / PC</v>
      </c>
      <c r="C71" s="165" t="str">
        <f>IFERROR(__xludf.DUMMYFUNCTION("""COMPUTED_VALUE"""),"Yes")</f>
        <v>Yes</v>
      </c>
      <c r="D71" s="165" t="str">
        <f>IFERROR(__xludf.DUMMYFUNCTION("""COMPUTED_VALUE"""),"Active")</f>
        <v>Active</v>
      </c>
      <c r="E71" s="166">
        <f>IFERROR(__xludf.DUMMYFUNCTION("""COMPUTED_VALUE"""),45798.0)</f>
        <v>45798</v>
      </c>
      <c r="F71" s="165"/>
      <c r="G71" s="167">
        <f>IFERROR(__xludf.DUMMYFUNCTION("""COMPUTED_VALUE"""),4.800000000000001)</f>
        <v>4.8</v>
      </c>
      <c r="H71" s="166">
        <f>IFERROR(__xludf.DUMMYFUNCTION("""COMPUTED_VALUE"""),29646.0)</f>
        <v>29646</v>
      </c>
      <c r="I71" s="167">
        <f>IFERROR(__xludf.DUMMYFUNCTION("""COMPUTED_VALUE"""),44.22222222222222)</f>
        <v>44.22222222</v>
      </c>
      <c r="J71" s="168"/>
      <c r="K71" s="168"/>
      <c r="L71" s="165"/>
      <c r="M71" s="165"/>
      <c r="N71" s="165" t="str">
        <f>IFERROR(__xludf.DUMMYFUNCTION("""COMPUTED_VALUE"""),"Retro Classics: Atari 2600")</f>
        <v>Retro Classics: Atari 2600</v>
      </c>
      <c r="O71" s="165"/>
      <c r="P71" s="165"/>
      <c r="Q71" s="165"/>
      <c r="R71" s="165"/>
      <c r="S71" s="165"/>
    </row>
    <row r="72">
      <c r="A72" s="165" t="str">
        <f>IFERROR(__xludf.DUMMYFUNCTION("""COMPUTED_VALUE"""),"The Adventures of Willy Beamish")</f>
        <v>The Adventures of Willy Beamish</v>
      </c>
      <c r="B72" s="165" t="str">
        <f>IFERROR(__xludf.DUMMYFUNCTION("""COMPUTED_VALUE"""),"Xbox / PC")</f>
        <v>Xbox / PC</v>
      </c>
      <c r="C72" s="165" t="str">
        <f>IFERROR(__xludf.DUMMYFUNCTION("""COMPUTED_VALUE"""),"Yes")</f>
        <v>Yes</v>
      </c>
      <c r="D72" s="165" t="str">
        <f>IFERROR(__xludf.DUMMYFUNCTION("""COMPUTED_VALUE"""),"Active")</f>
        <v>Active</v>
      </c>
      <c r="E72" s="166">
        <f>IFERROR(__xludf.DUMMYFUNCTION("""COMPUTED_VALUE"""),45798.0)</f>
        <v>45798</v>
      </c>
      <c r="F72" s="165"/>
      <c r="G72" s="167">
        <f>IFERROR(__xludf.DUMMYFUNCTION("""COMPUTED_VALUE"""),4.800000000000001)</f>
        <v>4.8</v>
      </c>
      <c r="H72" s="166">
        <f>IFERROR(__xludf.DUMMYFUNCTION("""COMPUTED_VALUE"""),33239.0)</f>
        <v>33239</v>
      </c>
      <c r="I72" s="167">
        <f>IFERROR(__xludf.DUMMYFUNCTION("""COMPUTED_VALUE"""),34.388888888888886)</f>
        <v>34.38888889</v>
      </c>
      <c r="J72" s="168"/>
      <c r="K72" s="168"/>
      <c r="L72" s="165"/>
      <c r="M72" s="165"/>
      <c r="N72" s="165" t="str">
        <f>IFERROR(__xludf.DUMMYFUNCTION("""COMPUTED_VALUE"""),"Retro Classics: Amiga, Sierra Entertainment (defunct) publisher")</f>
        <v>Retro Classics: Amiga, Sierra Entertainment (defunct) publisher</v>
      </c>
      <c r="O72" s="165"/>
      <c r="P72" s="165"/>
      <c r="Q72" s="165"/>
      <c r="R72" s="165"/>
      <c r="S72" s="165"/>
    </row>
    <row r="73">
      <c r="A73" s="165" t="str">
        <f>IFERROR(__xludf.DUMMYFUNCTION("""COMPUTED_VALUE"""),"The Dagger of Amon Ra")</f>
        <v>The Dagger of Amon Ra</v>
      </c>
      <c r="B73" s="165" t="str">
        <f>IFERROR(__xludf.DUMMYFUNCTION("""COMPUTED_VALUE"""),"Xbox / PC")</f>
        <v>Xbox / PC</v>
      </c>
      <c r="C73" s="165" t="str">
        <f>IFERROR(__xludf.DUMMYFUNCTION("""COMPUTED_VALUE"""),"Yes")</f>
        <v>Yes</v>
      </c>
      <c r="D73" s="165" t="str">
        <f>IFERROR(__xludf.DUMMYFUNCTION("""COMPUTED_VALUE"""),"Active")</f>
        <v>Active</v>
      </c>
      <c r="E73" s="166">
        <f>IFERROR(__xludf.DUMMYFUNCTION("""COMPUTED_VALUE"""),45798.0)</f>
        <v>45798</v>
      </c>
      <c r="F73" s="165"/>
      <c r="G73" s="167">
        <f>IFERROR(__xludf.DUMMYFUNCTION("""COMPUTED_VALUE"""),4.800000000000001)</f>
        <v>4.8</v>
      </c>
      <c r="H73" s="166">
        <f>IFERROR(__xludf.DUMMYFUNCTION("""COMPUTED_VALUE"""),33604.0)</f>
        <v>33604</v>
      </c>
      <c r="I73" s="167">
        <f>IFERROR(__xludf.DUMMYFUNCTION("""COMPUTED_VALUE"""),33.388888888888886)</f>
        <v>33.38888889</v>
      </c>
      <c r="J73" s="168"/>
      <c r="K73" s="168"/>
      <c r="L73" s="165"/>
      <c r="M73" s="165"/>
      <c r="N73" s="165" t="str">
        <f>IFERROR(__xludf.DUMMYFUNCTION("""COMPUTED_VALUE"""),"Retro Classics: DOS, Sierra Entertainment (defunct) publisher")</f>
        <v>Retro Classics: DOS, Sierra Entertainment (defunct) publisher</v>
      </c>
      <c r="O73" s="165"/>
      <c r="P73" s="165"/>
      <c r="Q73" s="165"/>
      <c r="R73" s="165"/>
      <c r="S73" s="165"/>
    </row>
    <row r="74">
      <c r="A74" s="165" t="str">
        <f>IFERROR(__xludf.DUMMYFUNCTION("""COMPUTED_VALUE"""),"Thwocker")</f>
        <v>Thwocker</v>
      </c>
      <c r="B74" s="165" t="str">
        <f>IFERROR(__xludf.DUMMYFUNCTION("""COMPUTED_VALUE"""),"Xbox / PC")</f>
        <v>Xbox / PC</v>
      </c>
      <c r="C74" s="165" t="str">
        <f>IFERROR(__xludf.DUMMYFUNCTION("""COMPUTED_VALUE"""),"Yes")</f>
        <v>Yes</v>
      </c>
      <c r="D74" s="165" t="str">
        <f>IFERROR(__xludf.DUMMYFUNCTION("""COMPUTED_VALUE"""),"Active")</f>
        <v>Active</v>
      </c>
      <c r="E74" s="166">
        <f>IFERROR(__xludf.DUMMYFUNCTION("""COMPUTED_VALUE"""),45798.0)</f>
        <v>45798</v>
      </c>
      <c r="F74" s="165"/>
      <c r="G74" s="167">
        <f>IFERROR(__xludf.DUMMYFUNCTION("""COMPUTED_VALUE"""),4.800000000000001)</f>
        <v>4.8</v>
      </c>
      <c r="H74" s="166">
        <f>IFERROR(__xludf.DUMMYFUNCTION("""COMPUTED_VALUE"""),30682.0)</f>
        <v>30682</v>
      </c>
      <c r="I74" s="167">
        <f>IFERROR(__xludf.DUMMYFUNCTION("""COMPUTED_VALUE"""),41.388888888888886)</f>
        <v>41.38888889</v>
      </c>
      <c r="J74" s="168"/>
      <c r="K74" s="168"/>
      <c r="L74" s="165"/>
      <c r="M74" s="165"/>
      <c r="N74" s="165" t="str">
        <f>IFERROR(__xludf.DUMMYFUNCTION("""COMPUTED_VALUE"""),"Retro Classics: Atari 2600")</f>
        <v>Retro Classics: Atari 2600</v>
      </c>
      <c r="O74" s="165"/>
      <c r="P74" s="165"/>
      <c r="Q74" s="165"/>
      <c r="R74" s="165"/>
      <c r="S74" s="165"/>
    </row>
    <row r="75">
      <c r="A75" s="165" t="str">
        <f>IFERROR(__xludf.DUMMYFUNCTION("""COMPUTED_VALUE"""),"Title Match Pro Wrestling")</f>
        <v>Title Match Pro Wrestling</v>
      </c>
      <c r="B75" s="165" t="str">
        <f>IFERROR(__xludf.DUMMYFUNCTION("""COMPUTED_VALUE"""),"Xbox / PC")</f>
        <v>Xbox / PC</v>
      </c>
      <c r="C75" s="165" t="str">
        <f>IFERROR(__xludf.DUMMYFUNCTION("""COMPUTED_VALUE"""),"Yes")</f>
        <v>Yes</v>
      </c>
      <c r="D75" s="165" t="str">
        <f>IFERROR(__xludf.DUMMYFUNCTION("""COMPUTED_VALUE"""),"Active")</f>
        <v>Active</v>
      </c>
      <c r="E75" s="166">
        <f>IFERROR(__xludf.DUMMYFUNCTION("""COMPUTED_VALUE"""),45798.0)</f>
        <v>45798</v>
      </c>
      <c r="F75" s="165"/>
      <c r="G75" s="167">
        <f>IFERROR(__xludf.DUMMYFUNCTION("""COMPUTED_VALUE"""),4.800000000000001)</f>
        <v>4.8</v>
      </c>
      <c r="H75" s="166">
        <f>IFERROR(__xludf.DUMMYFUNCTION("""COMPUTED_VALUE"""),31972.0)</f>
        <v>31972</v>
      </c>
      <c r="I75" s="167">
        <f>IFERROR(__xludf.DUMMYFUNCTION("""COMPUTED_VALUE"""),37.852777777777774)</f>
        <v>37.85277778</v>
      </c>
      <c r="J75" s="168"/>
      <c r="K75" s="168"/>
      <c r="L75" s="165"/>
      <c r="M75" s="165"/>
      <c r="N75" s="165" t="str">
        <f>IFERROR(__xludf.DUMMYFUNCTION("""COMPUTED_VALUE"""),"Retro Classics: Atari 2600")</f>
        <v>Retro Classics: Atari 2600</v>
      </c>
      <c r="O75" s="165"/>
      <c r="P75" s="165"/>
      <c r="Q75" s="165"/>
      <c r="R75" s="165"/>
      <c r="S75" s="165"/>
    </row>
    <row r="76">
      <c r="A76" s="165" t="str">
        <f>IFERROR(__xludf.DUMMYFUNCTION("""COMPUTED_VALUE"""),"Torin's Passage")</f>
        <v>Torin's Passage</v>
      </c>
      <c r="B76" s="165" t="str">
        <f>IFERROR(__xludf.DUMMYFUNCTION("""COMPUTED_VALUE"""),"Xbox / PC")</f>
        <v>Xbox / PC</v>
      </c>
      <c r="C76" s="165" t="str">
        <f>IFERROR(__xludf.DUMMYFUNCTION("""COMPUTED_VALUE"""),"Yes")</f>
        <v>Yes</v>
      </c>
      <c r="D76" s="165" t="str">
        <f>IFERROR(__xludf.DUMMYFUNCTION("""COMPUTED_VALUE"""),"Active")</f>
        <v>Active</v>
      </c>
      <c r="E76" s="166">
        <f>IFERROR(__xludf.DUMMYFUNCTION("""COMPUTED_VALUE"""),45798.0)</f>
        <v>45798</v>
      </c>
      <c r="F76" s="165"/>
      <c r="G76" s="167">
        <f>IFERROR(__xludf.DUMMYFUNCTION("""COMPUTED_VALUE"""),4.800000000000001)</f>
        <v>4.8</v>
      </c>
      <c r="H76" s="166">
        <f>IFERROR(__xludf.DUMMYFUNCTION("""COMPUTED_VALUE"""),35003.0)</f>
        <v>35003</v>
      </c>
      <c r="I76" s="167">
        <f>IFERROR(__xludf.DUMMYFUNCTION("""COMPUTED_VALUE"""),29.558333333333334)</f>
        <v>29.55833333</v>
      </c>
      <c r="J76" s="168"/>
      <c r="K76" s="168"/>
      <c r="L76" s="165"/>
      <c r="M76" s="165"/>
      <c r="N76" s="165" t="str">
        <f>IFERROR(__xludf.DUMMYFUNCTION("""COMPUTED_VALUE"""),"Retro Classics: DOS, Sierra Entertainment (defunct) publisher")</f>
        <v>Retro Classics: DOS, Sierra Entertainment (defunct) publisher</v>
      </c>
      <c r="O76" s="165"/>
      <c r="P76" s="165"/>
      <c r="Q76" s="165"/>
      <c r="R76" s="165"/>
      <c r="S76" s="165"/>
    </row>
    <row r="77">
      <c r="A77" s="165" t="str">
        <f>IFERROR(__xludf.DUMMYFUNCTION("""COMPUTED_VALUE"""),"Trick Shot")</f>
        <v>Trick Shot</v>
      </c>
      <c r="B77" s="165" t="str">
        <f>IFERROR(__xludf.DUMMYFUNCTION("""COMPUTED_VALUE"""),"Xbox / PC")</f>
        <v>Xbox / PC</v>
      </c>
      <c r="C77" s="165" t="str">
        <f>IFERROR(__xludf.DUMMYFUNCTION("""COMPUTED_VALUE"""),"Yes")</f>
        <v>Yes</v>
      </c>
      <c r="D77" s="165" t="str">
        <f>IFERROR(__xludf.DUMMYFUNCTION("""COMPUTED_VALUE"""),"Active")</f>
        <v>Active</v>
      </c>
      <c r="E77" s="166">
        <f>IFERROR(__xludf.DUMMYFUNCTION("""COMPUTED_VALUE"""),45798.0)</f>
        <v>45798</v>
      </c>
      <c r="F77" s="165"/>
      <c r="G77" s="167">
        <f>IFERROR(__xludf.DUMMYFUNCTION("""COMPUTED_VALUE"""),4.800000000000001)</f>
        <v>4.8</v>
      </c>
      <c r="H77" s="166">
        <f>IFERROR(__xludf.DUMMYFUNCTION("""COMPUTED_VALUE"""),29952.0)</f>
        <v>29952</v>
      </c>
      <c r="I77" s="167">
        <f>IFERROR(__xludf.DUMMYFUNCTION("""COMPUTED_VALUE"""),43.388888888888886)</f>
        <v>43.38888889</v>
      </c>
      <c r="J77" s="168"/>
      <c r="K77" s="168"/>
      <c r="L77" s="165"/>
      <c r="M77" s="165"/>
      <c r="N77" s="165" t="str">
        <f>IFERROR(__xludf.DUMMYFUNCTION("""COMPUTED_VALUE"""),"Retro Classics: Atari 2600")</f>
        <v>Retro Classics: Atari 2600</v>
      </c>
      <c r="O77" s="165"/>
      <c r="P77" s="165"/>
      <c r="Q77" s="165"/>
      <c r="R77" s="165"/>
      <c r="S77" s="165"/>
    </row>
    <row r="78">
      <c r="A78" s="165" t="str">
        <f>IFERROR(__xludf.DUMMYFUNCTION("""COMPUTED_VALUE"""),"Vault Assault")</f>
        <v>Vault Assault</v>
      </c>
      <c r="B78" s="165" t="str">
        <f>IFERROR(__xludf.DUMMYFUNCTION("""COMPUTED_VALUE"""),"Xbox / PC")</f>
        <v>Xbox / PC</v>
      </c>
      <c r="C78" s="165" t="str">
        <f>IFERROR(__xludf.DUMMYFUNCTION("""COMPUTED_VALUE"""),"Yes")</f>
        <v>Yes</v>
      </c>
      <c r="D78" s="165" t="str">
        <f>IFERROR(__xludf.DUMMYFUNCTION("""COMPUTED_VALUE"""),"Active")</f>
        <v>Active</v>
      </c>
      <c r="E78" s="166">
        <f>IFERROR(__xludf.DUMMYFUNCTION("""COMPUTED_VALUE"""),45798.0)</f>
        <v>45798</v>
      </c>
      <c r="F78" s="165"/>
      <c r="G78" s="167">
        <f>IFERROR(__xludf.DUMMYFUNCTION("""COMPUTED_VALUE"""),4.800000000000001)</f>
        <v>4.8</v>
      </c>
      <c r="H78" s="166">
        <f>IFERROR(__xludf.DUMMYFUNCTION("""COMPUTED_VALUE"""),37114.0)</f>
        <v>37114</v>
      </c>
      <c r="I78" s="167">
        <f>IFERROR(__xludf.DUMMYFUNCTION("""COMPUTED_VALUE"""),23.77777777777778)</f>
        <v>23.77777778</v>
      </c>
      <c r="J78" s="168"/>
      <c r="K78" s="168"/>
      <c r="L78" s="165"/>
      <c r="M78" s="165"/>
      <c r="N78" s="165" t="str">
        <f>IFERROR(__xludf.DUMMYFUNCTION("""COMPUTED_VALUE"""),"Retro Classics: Atari 2600")</f>
        <v>Retro Classics: Atari 2600</v>
      </c>
      <c r="O78" s="165"/>
      <c r="P78" s="165"/>
      <c r="Q78" s="165"/>
      <c r="R78" s="165"/>
      <c r="S78" s="165"/>
    </row>
    <row r="79">
      <c r="A79" s="165" t="str">
        <f>IFERROR(__xludf.DUMMYFUNCTION("""COMPUTED_VALUE"""),"Venetian Blinds")</f>
        <v>Venetian Blinds</v>
      </c>
      <c r="B79" s="165" t="str">
        <f>IFERROR(__xludf.DUMMYFUNCTION("""COMPUTED_VALUE"""),"Xbox / PC")</f>
        <v>Xbox / PC</v>
      </c>
      <c r="C79" s="165" t="str">
        <f>IFERROR(__xludf.DUMMYFUNCTION("""COMPUTED_VALUE"""),"Yes")</f>
        <v>Yes</v>
      </c>
      <c r="D79" s="165" t="str">
        <f>IFERROR(__xludf.DUMMYFUNCTION("""COMPUTED_VALUE"""),"Active")</f>
        <v>Active</v>
      </c>
      <c r="E79" s="166">
        <f>IFERROR(__xludf.DUMMYFUNCTION("""COMPUTED_VALUE"""),45798.0)</f>
        <v>45798</v>
      </c>
      <c r="F79" s="165"/>
      <c r="G79" s="167">
        <f>IFERROR(__xludf.DUMMYFUNCTION("""COMPUTED_VALUE"""),4.800000000000001)</f>
        <v>4.8</v>
      </c>
      <c r="H79" s="166">
        <f>IFERROR(__xludf.DUMMYFUNCTION("""COMPUTED_VALUE"""),29587.0)</f>
        <v>29587</v>
      </c>
      <c r="I79" s="167">
        <f>IFERROR(__xludf.DUMMYFUNCTION("""COMPUTED_VALUE"""),44.388888888888886)</f>
        <v>44.38888889</v>
      </c>
      <c r="J79" s="168"/>
      <c r="K79" s="168"/>
      <c r="L79" s="165"/>
      <c r="M79" s="165"/>
      <c r="N79" s="165" t="str">
        <f>IFERROR(__xludf.DUMMYFUNCTION("""COMPUTED_VALUE"""),"Retro Classics: Atari 2600")</f>
        <v>Retro Classics: Atari 2600</v>
      </c>
      <c r="O79" s="165"/>
      <c r="P79" s="165"/>
      <c r="Q79" s="165"/>
      <c r="R79" s="165"/>
      <c r="S79" s="165"/>
    </row>
    <row r="80">
      <c r="A80" s="165" t="str">
        <f>IFERROR(__xludf.DUMMYFUNCTION("""COMPUTED_VALUE"""),"Zork I: The Great Underground ")</f>
        <v>Zork I: The Great Underground </v>
      </c>
      <c r="B80" s="165" t="str">
        <f>IFERROR(__xludf.DUMMYFUNCTION("""COMPUTED_VALUE"""),"Xbox / PC")</f>
        <v>Xbox / PC</v>
      </c>
      <c r="C80" s="165" t="str">
        <f>IFERROR(__xludf.DUMMYFUNCTION("""COMPUTED_VALUE"""),"Yes")</f>
        <v>Yes</v>
      </c>
      <c r="D80" s="165" t="str">
        <f>IFERROR(__xludf.DUMMYFUNCTION("""COMPUTED_VALUE"""),"Active")</f>
        <v>Active</v>
      </c>
      <c r="E80" s="166">
        <f>IFERROR(__xludf.DUMMYFUNCTION("""COMPUTED_VALUE"""),45798.0)</f>
        <v>45798</v>
      </c>
      <c r="F80" s="165"/>
      <c r="G80" s="167">
        <f>IFERROR(__xludf.DUMMYFUNCTION("""COMPUTED_VALUE"""),4.800000000000001)</f>
        <v>4.8</v>
      </c>
      <c r="H80" s="166">
        <f>IFERROR(__xludf.DUMMYFUNCTION("""COMPUTED_VALUE"""),29221.0)</f>
        <v>29221</v>
      </c>
      <c r="I80" s="167">
        <f>IFERROR(__xludf.DUMMYFUNCTION("""COMPUTED_VALUE"""),45.388888888888886)</f>
        <v>45.38888889</v>
      </c>
      <c r="J80" s="168"/>
      <c r="K80" s="168"/>
      <c r="L80" s="165" t="str">
        <f>IFERROR(__xludf.DUMMYFUNCTION("""COMPUTED_VALUE"""),"Text Adventure")</f>
        <v>Text Adventure</v>
      </c>
      <c r="M80" s="165"/>
      <c r="N80" s="165" t="str">
        <f>IFERROR(__xludf.DUMMYFUNCTION("""COMPUTED_VALUE"""),"Retro Classics: DOS")</f>
        <v>Retro Classics: DOS</v>
      </c>
      <c r="O80" s="165"/>
      <c r="P80" s="165"/>
      <c r="Q80" s="165"/>
      <c r="R80" s="165"/>
      <c r="S80" s="165"/>
    </row>
    <row r="81">
      <c r="A81" s="165" t="str">
        <f>IFERROR(__xludf.DUMMYFUNCTION("""COMPUTED_VALUE"""),"Zork Zero: The Revenge of Megaboz")</f>
        <v>Zork Zero: The Revenge of Megaboz</v>
      </c>
      <c r="B81" s="165" t="str">
        <f>IFERROR(__xludf.DUMMYFUNCTION("""COMPUTED_VALUE"""),"Xbox / PC")</f>
        <v>Xbox / PC</v>
      </c>
      <c r="C81" s="165" t="str">
        <f>IFERROR(__xludf.DUMMYFUNCTION("""COMPUTED_VALUE"""),"Yes")</f>
        <v>Yes</v>
      </c>
      <c r="D81" s="165" t="str">
        <f>IFERROR(__xludf.DUMMYFUNCTION("""COMPUTED_VALUE"""),"Active")</f>
        <v>Active</v>
      </c>
      <c r="E81" s="166">
        <f>IFERROR(__xludf.DUMMYFUNCTION("""COMPUTED_VALUE"""),45798.0)</f>
        <v>45798</v>
      </c>
      <c r="F81" s="165"/>
      <c r="G81" s="167">
        <f>IFERROR(__xludf.DUMMYFUNCTION("""COMPUTED_VALUE"""),4.800000000000001)</f>
        <v>4.8</v>
      </c>
      <c r="H81" s="166">
        <f>IFERROR(__xludf.DUMMYFUNCTION("""COMPUTED_VALUE"""),32435.0)</f>
        <v>32435</v>
      </c>
      <c r="I81" s="167">
        <f>IFERROR(__xludf.DUMMYFUNCTION("""COMPUTED_VALUE"""),36.58888888888889)</f>
        <v>36.58888889</v>
      </c>
      <c r="J81" s="168"/>
      <c r="K81" s="168"/>
      <c r="L81" s="165" t="str">
        <f>IFERROR(__xludf.DUMMYFUNCTION("""COMPUTED_VALUE"""),"Text Adventure")</f>
        <v>Text Adventure</v>
      </c>
      <c r="M81" s="165"/>
      <c r="N81" s="165" t="str">
        <f>IFERROR(__xludf.DUMMYFUNCTION("""COMPUTED_VALUE"""),"Retro Classics: DOS")</f>
        <v>Retro Classics: DOS</v>
      </c>
      <c r="O81" s="165"/>
      <c r="P81" s="165"/>
      <c r="Q81" s="165"/>
      <c r="R81" s="165"/>
      <c r="S81" s="165"/>
    </row>
    <row r="82">
      <c r="A82" s="165"/>
      <c r="B82" s="165"/>
      <c r="C82" s="165"/>
      <c r="D82" s="165"/>
      <c r="E82" s="166"/>
      <c r="F82" s="165"/>
      <c r="G82" s="167"/>
      <c r="H82" s="166"/>
      <c r="I82" s="167"/>
      <c r="J82" s="168"/>
      <c r="K82" s="169"/>
      <c r="L82" s="165"/>
      <c r="M82" s="165"/>
      <c r="N82" s="165"/>
      <c r="O82" s="165"/>
      <c r="P82" s="165"/>
      <c r="Q82" s="165"/>
      <c r="R82" s="165"/>
      <c r="S82" s="165"/>
    </row>
    <row r="83">
      <c r="A83" s="165"/>
      <c r="B83" s="165"/>
      <c r="C83" s="165"/>
      <c r="D83" s="165"/>
      <c r="E83" s="166"/>
      <c r="F83" s="165"/>
      <c r="G83" s="167"/>
      <c r="H83" s="166"/>
      <c r="I83" s="167"/>
      <c r="J83" s="168"/>
      <c r="K83" s="169"/>
      <c r="L83" s="165"/>
      <c r="M83" s="165"/>
      <c r="N83" s="165"/>
      <c r="O83" s="165"/>
      <c r="P83" s="165"/>
      <c r="Q83" s="165"/>
      <c r="R83" s="165"/>
      <c r="S83" s="165"/>
    </row>
    <row r="84">
      <c r="A84" s="165"/>
      <c r="B84" s="165"/>
      <c r="C84" s="165"/>
      <c r="D84" s="165"/>
      <c r="E84" s="166"/>
      <c r="F84" s="165"/>
      <c r="G84" s="167"/>
      <c r="H84" s="166"/>
      <c r="I84" s="167"/>
      <c r="J84" s="168"/>
      <c r="K84" s="169"/>
      <c r="L84" s="165"/>
      <c r="M84" s="165"/>
      <c r="N84" s="165"/>
      <c r="O84" s="165"/>
      <c r="P84" s="165"/>
      <c r="Q84" s="165"/>
      <c r="R84" s="165"/>
      <c r="S84" s="165"/>
    </row>
    <row r="85">
      <c r="A85" s="165"/>
      <c r="B85" s="165"/>
      <c r="C85" s="165"/>
      <c r="D85" s="165"/>
      <c r="E85" s="166"/>
      <c r="F85" s="165"/>
      <c r="G85" s="167"/>
      <c r="H85" s="166"/>
      <c r="I85" s="167"/>
      <c r="J85" s="168"/>
      <c r="K85" s="169"/>
      <c r="L85" s="165"/>
      <c r="M85" s="165"/>
      <c r="N85" s="165"/>
      <c r="O85" s="165"/>
      <c r="P85" s="165"/>
      <c r="Q85" s="165"/>
      <c r="R85" s="165"/>
      <c r="S85" s="165"/>
    </row>
    <row r="86">
      <c r="A86" s="165"/>
      <c r="B86" s="165"/>
      <c r="C86" s="165"/>
      <c r="D86" s="165"/>
      <c r="E86" s="166"/>
      <c r="F86" s="165"/>
      <c r="G86" s="167"/>
      <c r="H86" s="166"/>
      <c r="I86" s="167"/>
      <c r="J86" s="168"/>
      <c r="K86" s="169"/>
      <c r="L86" s="165"/>
      <c r="M86" s="165"/>
      <c r="N86" s="165"/>
      <c r="O86" s="165"/>
      <c r="P86" s="165"/>
      <c r="Q86" s="165"/>
      <c r="R86" s="165"/>
      <c r="S86" s="165"/>
    </row>
    <row r="87">
      <c r="A87" s="165"/>
      <c r="B87" s="165"/>
      <c r="C87" s="165"/>
      <c r="D87" s="165"/>
      <c r="E87" s="166"/>
      <c r="F87" s="165"/>
      <c r="G87" s="167"/>
      <c r="H87" s="166"/>
      <c r="I87" s="167"/>
      <c r="J87" s="168"/>
      <c r="K87" s="169"/>
      <c r="L87" s="165"/>
      <c r="M87" s="165"/>
      <c r="N87" s="165"/>
      <c r="O87" s="165"/>
      <c r="P87" s="165"/>
      <c r="Q87" s="165"/>
      <c r="R87" s="165"/>
      <c r="S87" s="165"/>
    </row>
    <row r="88">
      <c r="A88" s="165"/>
      <c r="B88" s="165"/>
      <c r="C88" s="165"/>
      <c r="D88" s="165"/>
      <c r="E88" s="166"/>
      <c r="F88" s="165"/>
      <c r="G88" s="167"/>
      <c r="H88" s="166"/>
      <c r="I88" s="167"/>
      <c r="J88" s="168"/>
      <c r="K88" s="169"/>
      <c r="L88" s="165"/>
      <c r="M88" s="165"/>
      <c r="N88" s="165"/>
      <c r="O88" s="165"/>
      <c r="P88" s="165"/>
      <c r="Q88" s="165"/>
      <c r="R88" s="165"/>
      <c r="S88" s="165"/>
    </row>
    <row r="89">
      <c r="A89" s="165"/>
      <c r="B89" s="165"/>
      <c r="C89" s="165"/>
      <c r="D89" s="165"/>
      <c r="E89" s="166"/>
      <c r="F89" s="165"/>
      <c r="G89" s="167"/>
      <c r="H89" s="166"/>
      <c r="I89" s="167"/>
      <c r="J89" s="168"/>
      <c r="K89" s="169"/>
      <c r="L89" s="165"/>
      <c r="M89" s="165"/>
      <c r="N89" s="165"/>
      <c r="O89" s="165"/>
      <c r="P89" s="165"/>
      <c r="Q89" s="165"/>
      <c r="R89" s="165"/>
      <c r="S89" s="165"/>
    </row>
    <row r="90">
      <c r="A90" s="165"/>
      <c r="B90" s="165"/>
      <c r="C90" s="165"/>
      <c r="D90" s="165"/>
      <c r="E90" s="166"/>
      <c r="F90" s="165"/>
      <c r="G90" s="167"/>
      <c r="H90" s="166"/>
      <c r="I90" s="167"/>
      <c r="J90" s="168"/>
      <c r="K90" s="169"/>
      <c r="L90" s="165"/>
      <c r="M90" s="165"/>
      <c r="N90" s="165"/>
      <c r="O90" s="165"/>
      <c r="P90" s="165"/>
      <c r="Q90" s="165"/>
      <c r="R90" s="165"/>
      <c r="S90" s="165"/>
    </row>
    <row r="91">
      <c r="A91" s="165"/>
      <c r="B91" s="165"/>
      <c r="C91" s="165"/>
      <c r="D91" s="165"/>
      <c r="E91" s="166"/>
      <c r="F91" s="165"/>
      <c r="G91" s="167"/>
      <c r="H91" s="166"/>
      <c r="I91" s="167"/>
      <c r="J91" s="168"/>
      <c r="K91" s="169"/>
      <c r="L91" s="165"/>
      <c r="M91" s="165"/>
      <c r="N91" s="165"/>
      <c r="O91" s="165"/>
      <c r="P91" s="165"/>
      <c r="Q91" s="165"/>
      <c r="R91" s="165"/>
      <c r="S91" s="165"/>
    </row>
    <row r="92">
      <c r="A92" s="165"/>
      <c r="B92" s="165"/>
      <c r="C92" s="165"/>
      <c r="D92" s="165"/>
      <c r="E92" s="166"/>
      <c r="F92" s="165"/>
      <c r="G92" s="167"/>
      <c r="H92" s="166"/>
      <c r="I92" s="167"/>
      <c r="J92" s="168"/>
      <c r="K92" s="169"/>
      <c r="L92" s="165"/>
      <c r="M92" s="165"/>
      <c r="N92" s="165"/>
      <c r="O92" s="165"/>
      <c r="P92" s="165"/>
      <c r="Q92" s="165"/>
      <c r="R92" s="165"/>
      <c r="S92" s="165"/>
    </row>
    <row r="93">
      <c r="A93" s="165"/>
      <c r="B93" s="165"/>
      <c r="C93" s="165"/>
      <c r="D93" s="165"/>
      <c r="E93" s="166"/>
      <c r="F93" s="165"/>
      <c r="G93" s="167"/>
      <c r="H93" s="166"/>
      <c r="I93" s="167"/>
      <c r="J93" s="168"/>
      <c r="K93" s="169"/>
      <c r="L93" s="165"/>
      <c r="M93" s="165"/>
      <c r="N93" s="165"/>
      <c r="O93" s="165"/>
      <c r="P93" s="165"/>
      <c r="Q93" s="165"/>
      <c r="R93" s="165"/>
      <c r="S93" s="165"/>
    </row>
    <row r="94">
      <c r="A94" s="165"/>
      <c r="B94" s="165"/>
      <c r="C94" s="165"/>
      <c r="D94" s="165"/>
      <c r="E94" s="166"/>
      <c r="F94" s="165"/>
      <c r="G94" s="167"/>
      <c r="H94" s="166"/>
      <c r="I94" s="167"/>
      <c r="J94" s="168"/>
      <c r="K94" s="169"/>
      <c r="L94" s="165"/>
      <c r="M94" s="165"/>
      <c r="N94" s="165"/>
      <c r="O94" s="165"/>
      <c r="P94" s="165"/>
      <c r="Q94" s="165"/>
      <c r="R94" s="165"/>
      <c r="S94" s="165"/>
    </row>
    <row r="95">
      <c r="A95" s="165"/>
      <c r="B95" s="165"/>
      <c r="C95" s="165"/>
      <c r="D95" s="165"/>
      <c r="E95" s="166"/>
      <c r="F95" s="165"/>
      <c r="G95" s="167"/>
      <c r="H95" s="166"/>
      <c r="I95" s="167"/>
      <c r="J95" s="168"/>
      <c r="K95" s="169"/>
      <c r="L95" s="165"/>
      <c r="M95" s="165"/>
      <c r="N95" s="165"/>
      <c r="O95" s="165"/>
      <c r="P95" s="165"/>
      <c r="Q95" s="165"/>
      <c r="R95" s="165"/>
      <c r="S95" s="165"/>
    </row>
    <row r="96">
      <c r="A96" s="165"/>
      <c r="B96" s="165"/>
      <c r="C96" s="165"/>
      <c r="D96" s="165"/>
      <c r="E96" s="166"/>
      <c r="F96" s="165"/>
      <c r="G96" s="167"/>
      <c r="H96" s="166"/>
      <c r="I96" s="167"/>
      <c r="J96" s="168"/>
      <c r="K96" s="169"/>
      <c r="L96" s="165"/>
      <c r="M96" s="165"/>
      <c r="N96" s="165"/>
      <c r="O96" s="165"/>
      <c r="P96" s="165"/>
      <c r="Q96" s="165"/>
      <c r="R96" s="165"/>
      <c r="S96" s="165"/>
    </row>
    <row r="97">
      <c r="A97" s="165"/>
      <c r="B97" s="165"/>
      <c r="C97" s="165"/>
      <c r="D97" s="165"/>
      <c r="E97" s="166"/>
      <c r="F97" s="165"/>
      <c r="G97" s="167"/>
      <c r="H97" s="166"/>
      <c r="I97" s="167"/>
      <c r="J97" s="168"/>
      <c r="K97" s="169"/>
      <c r="L97" s="165"/>
      <c r="M97" s="165"/>
      <c r="N97" s="165"/>
      <c r="O97" s="165"/>
      <c r="P97" s="165"/>
      <c r="Q97" s="165"/>
      <c r="R97" s="165"/>
      <c r="S97" s="165"/>
    </row>
    <row r="98">
      <c r="A98" s="165"/>
      <c r="B98" s="165"/>
      <c r="C98" s="165"/>
      <c r="D98" s="165"/>
      <c r="E98" s="166"/>
      <c r="F98" s="165"/>
      <c r="G98" s="167"/>
      <c r="H98" s="166"/>
      <c r="I98" s="167"/>
      <c r="J98" s="168"/>
      <c r="K98" s="169"/>
      <c r="L98" s="165"/>
      <c r="M98" s="165"/>
      <c r="N98" s="165"/>
      <c r="O98" s="165"/>
      <c r="P98" s="165"/>
      <c r="Q98" s="165"/>
      <c r="R98" s="165"/>
      <c r="S98" s="165"/>
    </row>
    <row r="99">
      <c r="A99" s="165"/>
      <c r="B99" s="165"/>
      <c r="C99" s="165"/>
      <c r="D99" s="165"/>
      <c r="E99" s="166"/>
      <c r="F99" s="165"/>
      <c r="G99" s="167"/>
      <c r="H99" s="166"/>
      <c r="I99" s="167"/>
      <c r="J99" s="168"/>
      <c r="K99" s="169"/>
      <c r="L99" s="165"/>
      <c r="M99" s="165"/>
      <c r="N99" s="165"/>
      <c r="O99" s="165"/>
      <c r="P99" s="165"/>
      <c r="Q99" s="165"/>
      <c r="R99" s="165"/>
      <c r="S99" s="165"/>
    </row>
    <row r="100">
      <c r="A100" s="165"/>
      <c r="B100" s="165"/>
      <c r="C100" s="165"/>
      <c r="D100" s="165"/>
      <c r="E100" s="166"/>
      <c r="F100" s="165"/>
      <c r="G100" s="167"/>
      <c r="H100" s="166"/>
      <c r="I100" s="167"/>
      <c r="J100" s="168"/>
      <c r="K100" s="169"/>
      <c r="L100" s="165"/>
      <c r="M100" s="165"/>
      <c r="N100" s="165"/>
      <c r="O100" s="165"/>
      <c r="P100" s="165"/>
      <c r="Q100" s="165"/>
      <c r="R100" s="165"/>
      <c r="S100" s="165"/>
    </row>
    <row r="101">
      <c r="A101" s="165"/>
      <c r="B101" s="165"/>
      <c r="C101" s="165"/>
      <c r="D101" s="165"/>
      <c r="E101" s="166"/>
      <c r="F101" s="165"/>
      <c r="G101" s="167"/>
      <c r="H101" s="166"/>
      <c r="I101" s="167"/>
      <c r="J101" s="168"/>
      <c r="K101" s="169"/>
      <c r="L101" s="165"/>
      <c r="M101" s="165"/>
      <c r="N101" s="165"/>
      <c r="O101" s="165"/>
      <c r="P101" s="165"/>
      <c r="Q101" s="165"/>
      <c r="R101" s="165"/>
      <c r="S101" s="165"/>
    </row>
    <row r="102">
      <c r="A102" s="165"/>
      <c r="B102" s="165"/>
      <c r="C102" s="165"/>
      <c r="D102" s="165"/>
      <c r="E102" s="166"/>
      <c r="F102" s="165"/>
      <c r="G102" s="167"/>
      <c r="H102" s="166"/>
      <c r="I102" s="167"/>
      <c r="J102" s="168"/>
      <c r="K102" s="169"/>
      <c r="L102" s="165"/>
      <c r="M102" s="165"/>
      <c r="N102" s="165"/>
      <c r="O102" s="165"/>
      <c r="P102" s="165"/>
      <c r="Q102" s="165"/>
      <c r="R102" s="165"/>
      <c r="S102" s="165"/>
    </row>
    <row r="103">
      <c r="A103" s="165"/>
      <c r="B103" s="165"/>
      <c r="C103" s="165"/>
      <c r="D103" s="165"/>
      <c r="E103" s="166"/>
      <c r="F103" s="165"/>
      <c r="G103" s="167"/>
      <c r="H103" s="166"/>
      <c r="I103" s="167"/>
      <c r="J103" s="168"/>
      <c r="K103" s="169"/>
      <c r="L103" s="165"/>
      <c r="M103" s="165"/>
      <c r="N103" s="165"/>
      <c r="O103" s="165"/>
      <c r="P103" s="165"/>
      <c r="Q103" s="165"/>
      <c r="R103" s="165"/>
      <c r="S103" s="165"/>
    </row>
    <row r="104">
      <c r="A104" s="165"/>
      <c r="B104" s="165"/>
      <c r="C104" s="165"/>
      <c r="D104" s="165"/>
      <c r="E104" s="166"/>
      <c r="F104" s="165"/>
      <c r="G104" s="167"/>
      <c r="H104" s="166"/>
      <c r="I104" s="167"/>
      <c r="J104" s="168"/>
      <c r="K104" s="169"/>
      <c r="L104" s="165"/>
      <c r="M104" s="165"/>
      <c r="N104" s="165"/>
      <c r="O104" s="165"/>
      <c r="P104" s="165"/>
      <c r="Q104" s="165"/>
      <c r="R104" s="165"/>
      <c r="S104" s="165"/>
    </row>
    <row r="105">
      <c r="A105" s="165"/>
      <c r="B105" s="165"/>
      <c r="C105" s="165"/>
      <c r="D105" s="165"/>
      <c r="E105" s="166"/>
      <c r="F105" s="165"/>
      <c r="G105" s="167"/>
      <c r="H105" s="166"/>
      <c r="I105" s="167"/>
      <c r="J105" s="168"/>
      <c r="K105" s="169"/>
      <c r="L105" s="165"/>
      <c r="M105" s="165"/>
      <c r="N105" s="165"/>
      <c r="O105" s="165"/>
      <c r="P105" s="165"/>
      <c r="Q105" s="165"/>
      <c r="R105" s="165"/>
      <c r="S105" s="165"/>
    </row>
    <row r="106">
      <c r="A106" s="165"/>
      <c r="B106" s="165"/>
      <c r="C106" s="165"/>
      <c r="D106" s="165"/>
      <c r="E106" s="166"/>
      <c r="F106" s="165"/>
      <c r="G106" s="167"/>
      <c r="H106" s="166"/>
      <c r="I106" s="167"/>
      <c r="J106" s="168"/>
      <c r="K106" s="169"/>
      <c r="L106" s="165"/>
      <c r="M106" s="165"/>
      <c r="N106" s="165"/>
      <c r="O106" s="165"/>
      <c r="P106" s="165"/>
      <c r="Q106" s="165"/>
      <c r="R106" s="165"/>
      <c r="S106" s="165"/>
    </row>
    <row r="107">
      <c r="A107" s="165"/>
      <c r="B107" s="165"/>
      <c r="C107" s="165"/>
      <c r="D107" s="165"/>
      <c r="E107" s="166"/>
      <c r="F107" s="165"/>
      <c r="G107" s="167"/>
      <c r="H107" s="166"/>
      <c r="I107" s="167"/>
      <c r="J107" s="168"/>
      <c r="K107" s="169"/>
      <c r="L107" s="165"/>
      <c r="M107" s="165"/>
      <c r="N107" s="165"/>
      <c r="O107" s="165"/>
      <c r="P107" s="165"/>
      <c r="Q107" s="165"/>
      <c r="R107" s="165"/>
      <c r="S107" s="165"/>
    </row>
    <row r="108">
      <c r="A108" s="165"/>
      <c r="B108" s="165"/>
      <c r="C108" s="165"/>
      <c r="D108" s="165"/>
      <c r="E108" s="166"/>
      <c r="F108" s="165"/>
      <c r="G108" s="167"/>
      <c r="H108" s="166"/>
      <c r="I108" s="167"/>
      <c r="J108" s="168"/>
      <c r="K108" s="169"/>
      <c r="L108" s="165"/>
      <c r="M108" s="165"/>
      <c r="N108" s="165"/>
      <c r="O108" s="165"/>
      <c r="P108" s="165"/>
      <c r="Q108" s="165"/>
      <c r="R108" s="165"/>
      <c r="S108" s="165"/>
    </row>
    <row r="109">
      <c r="A109" s="165"/>
      <c r="B109" s="165"/>
      <c r="C109" s="165"/>
      <c r="D109" s="165"/>
      <c r="E109" s="166"/>
      <c r="F109" s="165"/>
      <c r="G109" s="167"/>
      <c r="H109" s="166"/>
      <c r="I109" s="167"/>
      <c r="J109" s="168"/>
      <c r="K109" s="169"/>
      <c r="L109" s="165"/>
      <c r="M109" s="165"/>
      <c r="N109" s="165"/>
      <c r="O109" s="165"/>
      <c r="P109" s="165"/>
      <c r="Q109" s="165"/>
      <c r="R109" s="165"/>
      <c r="S109" s="165"/>
    </row>
    <row r="110">
      <c r="A110" s="165"/>
      <c r="B110" s="165"/>
      <c r="C110" s="165"/>
      <c r="D110" s="165"/>
      <c r="E110" s="166"/>
      <c r="F110" s="165"/>
      <c r="G110" s="167"/>
      <c r="H110" s="166"/>
      <c r="I110" s="167"/>
      <c r="J110" s="168"/>
      <c r="K110" s="169"/>
      <c r="L110" s="165"/>
      <c r="M110" s="165"/>
      <c r="N110" s="165"/>
      <c r="O110" s="165"/>
      <c r="P110" s="165"/>
      <c r="Q110" s="165"/>
      <c r="R110" s="165"/>
      <c r="S110" s="165"/>
    </row>
    <row r="111">
      <c r="A111" s="165"/>
      <c r="B111" s="165"/>
      <c r="C111" s="165"/>
      <c r="D111" s="165"/>
      <c r="E111" s="166"/>
      <c r="F111" s="165"/>
      <c r="G111" s="167"/>
      <c r="H111" s="166"/>
      <c r="I111" s="167"/>
      <c r="J111" s="168"/>
      <c r="K111" s="169"/>
      <c r="L111" s="165"/>
      <c r="M111" s="165"/>
      <c r="N111" s="165"/>
      <c r="O111" s="165"/>
      <c r="P111" s="165"/>
      <c r="Q111" s="165"/>
      <c r="R111" s="165"/>
      <c r="S111" s="165"/>
    </row>
    <row r="112">
      <c r="A112" s="165"/>
      <c r="B112" s="165"/>
      <c r="C112" s="165"/>
      <c r="D112" s="165"/>
      <c r="E112" s="166"/>
      <c r="F112" s="165"/>
      <c r="G112" s="167"/>
      <c r="H112" s="166"/>
      <c r="I112" s="167"/>
      <c r="J112" s="168"/>
      <c r="K112" s="169"/>
      <c r="L112" s="165"/>
      <c r="M112" s="165"/>
      <c r="N112" s="165"/>
      <c r="O112" s="165"/>
      <c r="P112" s="165"/>
      <c r="Q112" s="165"/>
      <c r="R112" s="165"/>
      <c r="S112" s="165"/>
    </row>
    <row r="113">
      <c r="A113" s="165"/>
      <c r="B113" s="165"/>
      <c r="C113" s="165"/>
      <c r="D113" s="165"/>
      <c r="E113" s="166"/>
      <c r="F113" s="165"/>
      <c r="G113" s="167"/>
      <c r="H113" s="166"/>
      <c r="I113" s="167"/>
      <c r="J113" s="168"/>
      <c r="K113" s="169"/>
      <c r="L113" s="165"/>
      <c r="M113" s="165"/>
      <c r="N113" s="165"/>
      <c r="O113" s="165"/>
      <c r="P113" s="165"/>
      <c r="Q113" s="165"/>
      <c r="R113" s="165"/>
      <c r="S113" s="165"/>
    </row>
    <row r="114">
      <c r="A114" s="165"/>
      <c r="B114" s="165"/>
      <c r="C114" s="165"/>
      <c r="D114" s="165"/>
      <c r="E114" s="166"/>
      <c r="F114" s="165"/>
      <c r="G114" s="167"/>
      <c r="H114" s="166"/>
      <c r="I114" s="167"/>
      <c r="J114" s="168"/>
      <c r="K114" s="169"/>
      <c r="L114" s="165"/>
      <c r="M114" s="165"/>
      <c r="N114" s="165"/>
      <c r="O114" s="165"/>
      <c r="P114" s="165"/>
      <c r="Q114" s="165"/>
      <c r="R114" s="165"/>
      <c r="S114" s="165"/>
    </row>
    <row r="115">
      <c r="A115" s="165"/>
      <c r="B115" s="165"/>
      <c r="C115" s="165"/>
      <c r="D115" s="165"/>
      <c r="E115" s="166"/>
      <c r="F115" s="165"/>
      <c r="G115" s="167"/>
      <c r="H115" s="166"/>
      <c r="I115" s="167"/>
      <c r="J115" s="168"/>
      <c r="K115" s="169"/>
      <c r="L115" s="165"/>
      <c r="M115" s="165"/>
      <c r="N115" s="165"/>
      <c r="O115" s="165"/>
      <c r="P115" s="165"/>
      <c r="Q115" s="165"/>
      <c r="R115" s="165"/>
      <c r="S115" s="165"/>
    </row>
    <row r="116">
      <c r="A116" s="165"/>
      <c r="B116" s="165"/>
      <c r="C116" s="165"/>
      <c r="D116" s="165"/>
      <c r="E116" s="166"/>
      <c r="F116" s="165"/>
      <c r="G116" s="167"/>
      <c r="H116" s="166"/>
      <c r="I116" s="167"/>
      <c r="J116" s="168"/>
      <c r="K116" s="169"/>
      <c r="L116" s="165"/>
      <c r="M116" s="165"/>
      <c r="N116" s="165"/>
      <c r="O116" s="165"/>
      <c r="P116" s="165"/>
      <c r="Q116" s="165"/>
      <c r="R116" s="165"/>
      <c r="S116" s="165"/>
    </row>
    <row r="117">
      <c r="A117" s="165"/>
      <c r="B117" s="165"/>
      <c r="C117" s="165"/>
      <c r="D117" s="165"/>
      <c r="E117" s="166"/>
      <c r="F117" s="165"/>
      <c r="G117" s="167"/>
      <c r="H117" s="166"/>
      <c r="I117" s="167"/>
      <c r="J117" s="168"/>
      <c r="K117" s="169"/>
      <c r="L117" s="165"/>
      <c r="M117" s="165"/>
      <c r="N117" s="165"/>
      <c r="O117" s="165"/>
      <c r="P117" s="165"/>
      <c r="Q117" s="165"/>
      <c r="R117" s="165"/>
      <c r="S117" s="165"/>
    </row>
    <row r="118">
      <c r="A118" s="165"/>
      <c r="B118" s="165"/>
      <c r="C118" s="165"/>
      <c r="D118" s="165"/>
      <c r="E118" s="166"/>
      <c r="F118" s="165"/>
      <c r="G118" s="167"/>
      <c r="H118" s="166"/>
      <c r="I118" s="167"/>
      <c r="J118" s="168"/>
      <c r="K118" s="169"/>
      <c r="L118" s="165"/>
      <c r="M118" s="165"/>
      <c r="N118" s="165"/>
      <c r="O118" s="165"/>
      <c r="P118" s="165"/>
      <c r="Q118" s="165"/>
      <c r="R118" s="165"/>
      <c r="S118" s="165"/>
    </row>
    <row r="119">
      <c r="A119" s="165"/>
      <c r="B119" s="165"/>
      <c r="C119" s="165"/>
      <c r="D119" s="165"/>
      <c r="E119" s="166"/>
      <c r="F119" s="165"/>
      <c r="G119" s="167"/>
      <c r="H119" s="166"/>
      <c r="I119" s="167"/>
      <c r="J119" s="168"/>
      <c r="K119" s="169"/>
      <c r="L119" s="165"/>
      <c r="M119" s="165"/>
      <c r="N119" s="165"/>
      <c r="O119" s="165"/>
      <c r="P119" s="165"/>
      <c r="Q119" s="165"/>
      <c r="R119" s="165"/>
      <c r="S119" s="165"/>
    </row>
    <row r="120">
      <c r="A120" s="165"/>
      <c r="B120" s="165"/>
      <c r="C120" s="165"/>
      <c r="D120" s="165"/>
      <c r="E120" s="166"/>
      <c r="F120" s="165"/>
      <c r="G120" s="167"/>
      <c r="H120" s="166"/>
      <c r="I120" s="167"/>
      <c r="J120" s="168"/>
      <c r="K120" s="169"/>
      <c r="L120" s="165"/>
      <c r="M120" s="165"/>
      <c r="N120" s="165"/>
      <c r="O120" s="165"/>
      <c r="P120" s="165"/>
      <c r="Q120" s="165"/>
      <c r="R120" s="165"/>
      <c r="S120" s="165"/>
    </row>
    <row r="121">
      <c r="A121" s="165"/>
      <c r="B121" s="165"/>
      <c r="C121" s="165"/>
      <c r="D121" s="165"/>
      <c r="E121" s="166"/>
      <c r="F121" s="165"/>
      <c r="G121" s="167"/>
      <c r="H121" s="166"/>
      <c r="I121" s="167"/>
      <c r="J121" s="168"/>
      <c r="K121" s="169"/>
      <c r="L121" s="165"/>
      <c r="M121" s="165"/>
      <c r="N121" s="165"/>
      <c r="O121" s="165"/>
      <c r="P121" s="165"/>
      <c r="Q121" s="165"/>
      <c r="R121" s="165"/>
      <c r="S121" s="165"/>
    </row>
    <row r="122">
      <c r="A122" s="165"/>
      <c r="B122" s="165"/>
      <c r="C122" s="165"/>
      <c r="D122" s="165"/>
      <c r="E122" s="166"/>
      <c r="F122" s="165"/>
      <c r="G122" s="167"/>
      <c r="H122" s="166"/>
      <c r="I122" s="167"/>
      <c r="J122" s="168"/>
      <c r="K122" s="169"/>
      <c r="L122" s="165"/>
      <c r="M122" s="165"/>
      <c r="N122" s="165"/>
      <c r="O122" s="165"/>
      <c r="P122" s="165"/>
      <c r="Q122" s="165"/>
      <c r="R122" s="165"/>
      <c r="S122" s="165"/>
    </row>
    <row r="123">
      <c r="A123" s="165"/>
      <c r="B123" s="165"/>
      <c r="C123" s="165"/>
      <c r="D123" s="165"/>
      <c r="E123" s="166"/>
      <c r="F123" s="165"/>
      <c r="G123" s="167"/>
      <c r="H123" s="166"/>
      <c r="I123" s="167"/>
      <c r="J123" s="168"/>
      <c r="K123" s="169"/>
      <c r="L123" s="165"/>
      <c r="M123" s="165"/>
      <c r="N123" s="165"/>
      <c r="O123" s="165"/>
      <c r="P123" s="165"/>
      <c r="Q123" s="165"/>
      <c r="R123" s="165"/>
      <c r="S123" s="165"/>
    </row>
    <row r="124">
      <c r="A124" s="165"/>
      <c r="B124" s="165"/>
      <c r="C124" s="165"/>
      <c r="D124" s="165"/>
      <c r="E124" s="166"/>
      <c r="F124" s="165"/>
      <c r="G124" s="167"/>
      <c r="H124" s="166"/>
      <c r="I124" s="167"/>
      <c r="J124" s="168"/>
      <c r="K124" s="169"/>
      <c r="L124" s="165"/>
      <c r="M124" s="165"/>
      <c r="N124" s="165"/>
      <c r="O124" s="165"/>
      <c r="P124" s="165"/>
      <c r="Q124" s="165"/>
      <c r="R124" s="165"/>
      <c r="S124" s="165"/>
    </row>
    <row r="125">
      <c r="A125" s="165"/>
      <c r="B125" s="165"/>
      <c r="C125" s="165"/>
      <c r="D125" s="165"/>
      <c r="E125" s="166"/>
      <c r="F125" s="165"/>
      <c r="G125" s="167"/>
      <c r="H125" s="166"/>
      <c r="I125" s="167"/>
      <c r="J125" s="168"/>
      <c r="K125" s="169"/>
      <c r="L125" s="165"/>
      <c r="M125" s="165"/>
      <c r="N125" s="165"/>
      <c r="O125" s="165"/>
      <c r="P125" s="165"/>
      <c r="Q125" s="165"/>
      <c r="R125" s="165"/>
      <c r="S125" s="165"/>
    </row>
    <row r="126">
      <c r="A126" s="165"/>
      <c r="B126" s="165"/>
      <c r="C126" s="165"/>
      <c r="D126" s="165"/>
      <c r="E126" s="166"/>
      <c r="F126" s="165"/>
      <c r="G126" s="167"/>
      <c r="H126" s="166"/>
      <c r="I126" s="167"/>
      <c r="J126" s="168"/>
      <c r="K126" s="169"/>
      <c r="L126" s="165"/>
      <c r="M126" s="165"/>
      <c r="N126" s="165"/>
      <c r="O126" s="165"/>
      <c r="P126" s="165"/>
      <c r="Q126" s="165"/>
      <c r="R126" s="165"/>
      <c r="S126" s="165"/>
    </row>
    <row r="127">
      <c r="A127" s="165"/>
      <c r="B127" s="165"/>
      <c r="C127" s="165"/>
      <c r="D127" s="165"/>
      <c r="E127" s="166"/>
      <c r="F127" s="165"/>
      <c r="G127" s="167"/>
      <c r="H127" s="166"/>
      <c r="I127" s="167"/>
      <c r="J127" s="168"/>
      <c r="K127" s="169"/>
      <c r="L127" s="165"/>
      <c r="M127" s="165"/>
      <c r="N127" s="165"/>
      <c r="O127" s="165"/>
      <c r="P127" s="165"/>
      <c r="Q127" s="165"/>
      <c r="R127" s="165"/>
      <c r="S127" s="165"/>
    </row>
    <row r="128">
      <c r="A128" s="165"/>
      <c r="B128" s="165"/>
      <c r="C128" s="165"/>
      <c r="D128" s="165"/>
      <c r="E128" s="166"/>
      <c r="F128" s="165"/>
      <c r="G128" s="167"/>
      <c r="H128" s="166"/>
      <c r="I128" s="167"/>
      <c r="J128" s="168"/>
      <c r="K128" s="169"/>
      <c r="L128" s="165"/>
      <c r="M128" s="165"/>
      <c r="N128" s="165"/>
      <c r="O128" s="165"/>
      <c r="P128" s="165"/>
      <c r="Q128" s="165"/>
      <c r="R128" s="165"/>
      <c r="S128" s="165"/>
    </row>
    <row r="129">
      <c r="A129" s="165"/>
      <c r="B129" s="165"/>
      <c r="C129" s="165"/>
      <c r="D129" s="165"/>
      <c r="E129" s="166"/>
      <c r="F129" s="165"/>
      <c r="G129" s="167"/>
      <c r="H129" s="166"/>
      <c r="I129" s="167"/>
      <c r="J129" s="168"/>
      <c r="K129" s="169"/>
      <c r="L129" s="165"/>
      <c r="M129" s="165"/>
      <c r="N129" s="165"/>
      <c r="O129" s="165"/>
      <c r="P129" s="165"/>
      <c r="Q129" s="165"/>
      <c r="R129" s="165"/>
      <c r="S129" s="165"/>
    </row>
    <row r="130">
      <c r="A130" s="165"/>
      <c r="B130" s="165"/>
      <c r="C130" s="165"/>
      <c r="D130" s="165"/>
      <c r="E130" s="166"/>
      <c r="F130" s="165"/>
      <c r="G130" s="167"/>
      <c r="H130" s="166"/>
      <c r="I130" s="167"/>
      <c r="J130" s="168"/>
      <c r="K130" s="169"/>
      <c r="L130" s="165"/>
      <c r="M130" s="165"/>
      <c r="N130" s="165"/>
      <c r="O130" s="165"/>
      <c r="P130" s="165"/>
      <c r="Q130" s="165"/>
      <c r="R130" s="165"/>
      <c r="S130" s="165"/>
    </row>
    <row r="131">
      <c r="A131" s="165"/>
      <c r="B131" s="165"/>
      <c r="C131" s="165"/>
      <c r="D131" s="165"/>
      <c r="E131" s="166"/>
      <c r="F131" s="165"/>
      <c r="G131" s="167"/>
      <c r="H131" s="166"/>
      <c r="I131" s="167"/>
      <c r="J131" s="168"/>
      <c r="K131" s="169"/>
      <c r="L131" s="165"/>
      <c r="M131" s="165"/>
      <c r="N131" s="165"/>
      <c r="O131" s="165"/>
      <c r="P131" s="165"/>
      <c r="Q131" s="165"/>
      <c r="R131" s="165"/>
      <c r="S131" s="165"/>
    </row>
    <row r="132">
      <c r="A132" s="165"/>
      <c r="B132" s="165"/>
      <c r="C132" s="165"/>
      <c r="D132" s="165"/>
      <c r="E132" s="166"/>
      <c r="F132" s="165"/>
      <c r="G132" s="167"/>
      <c r="H132" s="166"/>
      <c r="I132" s="167"/>
      <c r="J132" s="168"/>
      <c r="K132" s="169"/>
      <c r="L132" s="165"/>
      <c r="M132" s="165"/>
      <c r="N132" s="165"/>
      <c r="O132" s="165"/>
      <c r="P132" s="165"/>
      <c r="Q132" s="165"/>
      <c r="R132" s="165"/>
      <c r="S132" s="165"/>
    </row>
    <row r="133">
      <c r="A133" s="165"/>
      <c r="B133" s="165"/>
      <c r="C133" s="165"/>
      <c r="D133" s="165"/>
      <c r="E133" s="166"/>
      <c r="F133" s="165"/>
      <c r="G133" s="167"/>
      <c r="H133" s="166"/>
      <c r="I133" s="167"/>
      <c r="J133" s="168"/>
      <c r="K133" s="169"/>
      <c r="L133" s="165"/>
      <c r="M133" s="165"/>
      <c r="N133" s="165"/>
      <c r="O133" s="165"/>
      <c r="P133" s="165"/>
      <c r="Q133" s="165"/>
      <c r="R133" s="165"/>
      <c r="S133" s="165"/>
    </row>
    <row r="134">
      <c r="A134" s="165"/>
      <c r="B134" s="165"/>
      <c r="C134" s="165"/>
      <c r="D134" s="165"/>
      <c r="E134" s="166"/>
      <c r="F134" s="165"/>
      <c r="G134" s="167"/>
      <c r="H134" s="166"/>
      <c r="I134" s="167"/>
      <c r="J134" s="168"/>
      <c r="K134" s="169"/>
      <c r="L134" s="165"/>
      <c r="M134" s="165"/>
      <c r="N134" s="165"/>
      <c r="O134" s="165"/>
      <c r="P134" s="165"/>
      <c r="Q134" s="165"/>
      <c r="R134" s="165"/>
      <c r="S134" s="165"/>
    </row>
    <row r="135">
      <c r="A135" s="165"/>
      <c r="B135" s="165"/>
      <c r="C135" s="165"/>
      <c r="D135" s="165"/>
      <c r="E135" s="166"/>
      <c r="F135" s="165"/>
      <c r="G135" s="167"/>
      <c r="H135" s="166"/>
      <c r="I135" s="167"/>
      <c r="J135" s="168"/>
      <c r="K135" s="169"/>
      <c r="L135" s="165"/>
      <c r="M135" s="165"/>
      <c r="N135" s="165"/>
      <c r="O135" s="165"/>
      <c r="P135" s="165"/>
      <c r="Q135" s="165"/>
      <c r="R135" s="165"/>
      <c r="S135" s="165"/>
    </row>
    <row r="136">
      <c r="A136" s="165"/>
      <c r="B136" s="165"/>
      <c r="C136" s="165"/>
      <c r="D136" s="165"/>
      <c r="E136" s="166"/>
      <c r="F136" s="165"/>
      <c r="G136" s="167"/>
      <c r="H136" s="166"/>
      <c r="I136" s="167"/>
      <c r="J136" s="168"/>
      <c r="K136" s="169"/>
      <c r="L136" s="165"/>
      <c r="M136" s="165"/>
      <c r="N136" s="165"/>
      <c r="O136" s="165"/>
      <c r="P136" s="165"/>
      <c r="Q136" s="165"/>
      <c r="R136" s="165"/>
      <c r="S136" s="165"/>
    </row>
    <row r="137">
      <c r="A137" s="165"/>
      <c r="B137" s="165"/>
      <c r="C137" s="165"/>
      <c r="D137" s="165"/>
      <c r="E137" s="166"/>
      <c r="F137" s="165"/>
      <c r="G137" s="167"/>
      <c r="H137" s="166"/>
      <c r="I137" s="167"/>
      <c r="J137" s="168"/>
      <c r="K137" s="169"/>
      <c r="L137" s="165"/>
      <c r="M137" s="165"/>
      <c r="N137" s="165"/>
      <c r="O137" s="165"/>
      <c r="P137" s="165"/>
      <c r="Q137" s="165"/>
      <c r="R137" s="165"/>
      <c r="S137" s="165"/>
    </row>
    <row r="138">
      <c r="A138" s="165"/>
      <c r="B138" s="165"/>
      <c r="C138" s="165"/>
      <c r="D138" s="165"/>
      <c r="E138" s="166"/>
      <c r="F138" s="165"/>
      <c r="G138" s="167"/>
      <c r="H138" s="166"/>
      <c r="I138" s="167"/>
      <c r="J138" s="168"/>
      <c r="K138" s="169"/>
      <c r="L138" s="165"/>
      <c r="M138" s="165"/>
      <c r="N138" s="165"/>
      <c r="O138" s="165"/>
      <c r="P138" s="165"/>
      <c r="Q138" s="165"/>
      <c r="R138" s="165"/>
      <c r="S138" s="165"/>
    </row>
    <row r="139">
      <c r="A139" s="165"/>
      <c r="B139" s="165"/>
      <c r="C139" s="165"/>
      <c r="D139" s="165"/>
      <c r="E139" s="166"/>
      <c r="F139" s="165"/>
      <c r="G139" s="167"/>
      <c r="H139" s="166"/>
      <c r="I139" s="167"/>
      <c r="J139" s="168"/>
      <c r="K139" s="169"/>
      <c r="L139" s="165"/>
      <c r="M139" s="165"/>
      <c r="N139" s="165"/>
      <c r="O139" s="165"/>
      <c r="P139" s="165"/>
      <c r="Q139" s="165"/>
      <c r="R139" s="165"/>
      <c r="S139" s="165"/>
    </row>
    <row r="140">
      <c r="A140" s="165"/>
      <c r="B140" s="165"/>
      <c r="C140" s="165"/>
      <c r="D140" s="165"/>
      <c r="E140" s="166"/>
      <c r="F140" s="165"/>
      <c r="G140" s="167"/>
      <c r="H140" s="166"/>
      <c r="I140" s="167"/>
      <c r="J140" s="168"/>
      <c r="K140" s="169"/>
      <c r="L140" s="165"/>
      <c r="M140" s="165"/>
      <c r="N140" s="165"/>
      <c r="O140" s="165"/>
      <c r="P140" s="165"/>
      <c r="Q140" s="165"/>
      <c r="R140" s="165"/>
      <c r="S140" s="165"/>
    </row>
    <row r="141">
      <c r="A141" s="165"/>
      <c r="B141" s="165"/>
      <c r="C141" s="165"/>
      <c r="D141" s="165"/>
      <c r="E141" s="166"/>
      <c r="F141" s="165"/>
      <c r="G141" s="167"/>
      <c r="H141" s="166"/>
      <c r="I141" s="167"/>
      <c r="J141" s="168"/>
      <c r="K141" s="169"/>
      <c r="L141" s="165"/>
      <c r="M141" s="165"/>
      <c r="N141" s="165"/>
      <c r="O141" s="165"/>
      <c r="P141" s="165"/>
      <c r="Q141" s="165"/>
      <c r="R141" s="165"/>
      <c r="S141" s="165"/>
    </row>
    <row r="142">
      <c r="A142" s="165"/>
      <c r="B142" s="165"/>
      <c r="C142" s="165"/>
      <c r="D142" s="165"/>
      <c r="E142" s="166"/>
      <c r="F142" s="165"/>
      <c r="G142" s="167"/>
      <c r="H142" s="166"/>
      <c r="I142" s="167"/>
      <c r="J142" s="168"/>
      <c r="K142" s="169"/>
      <c r="L142" s="165"/>
      <c r="M142" s="165"/>
      <c r="N142" s="165"/>
      <c r="O142" s="165"/>
      <c r="P142" s="165"/>
      <c r="Q142" s="165"/>
      <c r="R142" s="165"/>
      <c r="S142" s="165"/>
    </row>
    <row r="143">
      <c r="A143" s="165"/>
      <c r="B143" s="165"/>
      <c r="C143" s="165"/>
      <c r="D143" s="165"/>
      <c r="E143" s="166"/>
      <c r="F143" s="165"/>
      <c r="G143" s="167"/>
      <c r="H143" s="166"/>
      <c r="I143" s="167"/>
      <c r="J143" s="168"/>
      <c r="K143" s="169"/>
      <c r="L143" s="165"/>
      <c r="M143" s="165"/>
      <c r="N143" s="165"/>
      <c r="O143" s="165"/>
      <c r="P143" s="165"/>
      <c r="Q143" s="165"/>
      <c r="R143" s="165"/>
      <c r="S143" s="165"/>
    </row>
    <row r="144">
      <c r="A144" s="165"/>
      <c r="B144" s="165"/>
      <c r="C144" s="165"/>
      <c r="D144" s="165"/>
      <c r="E144" s="166"/>
      <c r="F144" s="165"/>
      <c r="G144" s="167"/>
      <c r="H144" s="166"/>
      <c r="I144" s="167"/>
      <c r="J144" s="168"/>
      <c r="K144" s="169"/>
      <c r="L144" s="165"/>
      <c r="M144" s="165"/>
      <c r="N144" s="165"/>
      <c r="O144" s="165"/>
      <c r="P144" s="165"/>
      <c r="Q144" s="165"/>
      <c r="R144" s="165"/>
      <c r="S144" s="165"/>
    </row>
    <row r="145">
      <c r="A145" s="165"/>
      <c r="B145" s="165"/>
      <c r="C145" s="165"/>
      <c r="D145" s="165"/>
      <c r="E145" s="166"/>
      <c r="F145" s="165"/>
      <c r="G145" s="167"/>
      <c r="H145" s="166"/>
      <c r="I145" s="167"/>
      <c r="J145" s="168"/>
      <c r="K145" s="169"/>
      <c r="L145" s="165"/>
      <c r="M145" s="165"/>
      <c r="N145" s="165"/>
      <c r="O145" s="165"/>
      <c r="P145" s="165"/>
      <c r="Q145" s="165"/>
      <c r="R145" s="165"/>
      <c r="S145" s="165"/>
    </row>
    <row r="146">
      <c r="A146" s="165"/>
      <c r="B146" s="165"/>
      <c r="C146" s="165"/>
      <c r="D146" s="165"/>
      <c r="E146" s="166"/>
      <c r="F146" s="165"/>
      <c r="G146" s="167"/>
      <c r="H146" s="166"/>
      <c r="I146" s="167"/>
      <c r="J146" s="168"/>
      <c r="K146" s="169"/>
      <c r="L146" s="165"/>
      <c r="M146" s="165"/>
      <c r="N146" s="165"/>
      <c r="O146" s="165"/>
      <c r="P146" s="165"/>
      <c r="Q146" s="165"/>
      <c r="R146" s="165"/>
      <c r="S146" s="165"/>
    </row>
    <row r="147">
      <c r="A147" s="165"/>
      <c r="B147" s="165"/>
      <c r="C147" s="165"/>
      <c r="D147" s="165"/>
      <c r="E147" s="166"/>
      <c r="F147" s="165"/>
      <c r="G147" s="167"/>
      <c r="H147" s="166"/>
      <c r="I147" s="167"/>
      <c r="J147" s="168"/>
      <c r="K147" s="169"/>
      <c r="L147" s="165"/>
      <c r="M147" s="165"/>
      <c r="N147" s="165"/>
      <c r="O147" s="165"/>
      <c r="P147" s="165"/>
      <c r="Q147" s="165"/>
      <c r="R147" s="165"/>
      <c r="S147" s="165"/>
    </row>
    <row r="148">
      <c r="A148" s="165"/>
      <c r="B148" s="165"/>
      <c r="C148" s="165"/>
      <c r="D148" s="165"/>
      <c r="E148" s="166"/>
      <c r="F148" s="165"/>
      <c r="G148" s="167"/>
      <c r="H148" s="166"/>
      <c r="I148" s="167"/>
      <c r="J148" s="168"/>
      <c r="K148" s="169"/>
      <c r="L148" s="165"/>
      <c r="M148" s="165"/>
      <c r="N148" s="165"/>
      <c r="O148" s="165"/>
      <c r="P148" s="165"/>
      <c r="Q148" s="165"/>
      <c r="R148" s="165"/>
      <c r="S148" s="165"/>
    </row>
    <row r="149">
      <c r="A149" s="165"/>
      <c r="B149" s="165"/>
      <c r="C149" s="165"/>
      <c r="D149" s="165"/>
      <c r="E149" s="166"/>
      <c r="F149" s="165"/>
      <c r="G149" s="167"/>
      <c r="H149" s="166"/>
      <c r="I149" s="167"/>
      <c r="J149" s="168"/>
      <c r="K149" s="169"/>
      <c r="L149" s="165"/>
      <c r="M149" s="165"/>
      <c r="N149" s="165"/>
      <c r="O149" s="165"/>
      <c r="P149" s="165"/>
      <c r="Q149" s="165"/>
      <c r="R149" s="165"/>
      <c r="S149" s="165"/>
    </row>
    <row r="150">
      <c r="A150" s="165"/>
      <c r="B150" s="165"/>
      <c r="C150" s="165"/>
      <c r="D150" s="165"/>
      <c r="E150" s="166"/>
      <c r="F150" s="165"/>
      <c r="G150" s="167"/>
      <c r="H150" s="166"/>
      <c r="I150" s="167"/>
      <c r="J150" s="168"/>
      <c r="K150" s="169"/>
      <c r="L150" s="165"/>
      <c r="M150" s="165"/>
      <c r="N150" s="165"/>
      <c r="O150" s="165"/>
      <c r="P150" s="165"/>
      <c r="Q150" s="165"/>
      <c r="R150" s="165"/>
      <c r="S150" s="165"/>
    </row>
    <row r="151">
      <c r="A151" s="165"/>
      <c r="B151" s="165"/>
      <c r="C151" s="165"/>
      <c r="D151" s="165"/>
      <c r="E151" s="166"/>
      <c r="F151" s="165"/>
      <c r="G151" s="167"/>
      <c r="H151" s="166"/>
      <c r="I151" s="167"/>
      <c r="J151" s="168"/>
      <c r="K151" s="169"/>
      <c r="L151" s="165"/>
      <c r="M151" s="165"/>
      <c r="N151" s="165"/>
      <c r="O151" s="165"/>
      <c r="P151" s="165"/>
      <c r="Q151" s="165"/>
      <c r="R151" s="165"/>
      <c r="S151" s="165"/>
    </row>
    <row r="152">
      <c r="A152" s="165"/>
      <c r="B152" s="165"/>
      <c r="C152" s="165"/>
      <c r="D152" s="165"/>
      <c r="E152" s="166"/>
      <c r="F152" s="165"/>
      <c r="G152" s="167"/>
      <c r="H152" s="166"/>
      <c r="I152" s="167"/>
      <c r="J152" s="168"/>
      <c r="K152" s="169"/>
      <c r="L152" s="165"/>
      <c r="M152" s="165"/>
      <c r="N152" s="165"/>
      <c r="O152" s="165"/>
      <c r="P152" s="165"/>
      <c r="Q152" s="165"/>
      <c r="R152" s="165"/>
      <c r="S152" s="165"/>
    </row>
    <row r="153">
      <c r="A153" s="165"/>
      <c r="B153" s="165"/>
      <c r="C153" s="165"/>
      <c r="D153" s="165"/>
      <c r="E153" s="166"/>
      <c r="F153" s="165"/>
      <c r="G153" s="167"/>
      <c r="H153" s="166"/>
      <c r="I153" s="167"/>
      <c r="J153" s="168"/>
      <c r="K153" s="169"/>
      <c r="L153" s="165"/>
      <c r="M153" s="165"/>
      <c r="N153" s="165"/>
      <c r="O153" s="165"/>
      <c r="P153" s="165"/>
      <c r="Q153" s="165"/>
      <c r="R153" s="165"/>
      <c r="S153" s="165"/>
    </row>
    <row r="154">
      <c r="A154" s="165"/>
      <c r="B154" s="165"/>
      <c r="C154" s="165"/>
      <c r="D154" s="165"/>
      <c r="E154" s="166"/>
      <c r="F154" s="165"/>
      <c r="G154" s="167"/>
      <c r="H154" s="166"/>
      <c r="I154" s="167"/>
      <c r="J154" s="168"/>
      <c r="K154" s="169"/>
      <c r="L154" s="165"/>
      <c r="M154" s="165"/>
      <c r="N154" s="165"/>
      <c r="O154" s="165"/>
      <c r="P154" s="165"/>
      <c r="Q154" s="165"/>
      <c r="R154" s="165"/>
      <c r="S154" s="165"/>
    </row>
    <row r="155">
      <c r="A155" s="165"/>
      <c r="B155" s="165"/>
      <c r="C155" s="165"/>
      <c r="D155" s="165"/>
      <c r="E155" s="166"/>
      <c r="F155" s="165"/>
      <c r="G155" s="167"/>
      <c r="H155" s="166"/>
      <c r="I155" s="167"/>
      <c r="J155" s="168"/>
      <c r="K155" s="169"/>
      <c r="L155" s="165"/>
      <c r="M155" s="165"/>
      <c r="N155" s="165"/>
      <c r="O155" s="165"/>
      <c r="P155" s="165"/>
      <c r="Q155" s="165"/>
      <c r="R155" s="165"/>
      <c r="S155" s="165"/>
    </row>
    <row r="156">
      <c r="A156" s="165"/>
      <c r="B156" s="165"/>
      <c r="C156" s="165"/>
      <c r="D156" s="165"/>
      <c r="E156" s="166"/>
      <c r="F156" s="165"/>
      <c r="G156" s="167"/>
      <c r="H156" s="166"/>
      <c r="I156" s="167"/>
      <c r="J156" s="168"/>
      <c r="K156" s="169"/>
      <c r="L156" s="165"/>
      <c r="M156" s="165"/>
      <c r="N156" s="165"/>
      <c r="O156" s="165"/>
      <c r="P156" s="165"/>
      <c r="Q156" s="165"/>
      <c r="R156" s="165"/>
      <c r="S156" s="165"/>
    </row>
    <row r="157">
      <c r="A157" s="165"/>
      <c r="B157" s="165"/>
      <c r="C157" s="165"/>
      <c r="D157" s="165"/>
      <c r="E157" s="166"/>
      <c r="F157" s="165"/>
      <c r="G157" s="167"/>
      <c r="H157" s="166"/>
      <c r="I157" s="167"/>
      <c r="J157" s="168"/>
      <c r="K157" s="169"/>
      <c r="L157" s="165"/>
      <c r="M157" s="165"/>
      <c r="N157" s="165"/>
      <c r="O157" s="165"/>
      <c r="P157" s="165"/>
      <c r="Q157" s="165"/>
      <c r="R157" s="165"/>
      <c r="S157" s="165"/>
    </row>
    <row r="158">
      <c r="A158" s="165"/>
      <c r="B158" s="165"/>
      <c r="C158" s="165"/>
      <c r="D158" s="165"/>
      <c r="E158" s="166"/>
      <c r="F158" s="165"/>
      <c r="G158" s="167"/>
      <c r="H158" s="166"/>
      <c r="I158" s="167"/>
      <c r="J158" s="168"/>
      <c r="K158" s="169"/>
      <c r="L158" s="165"/>
      <c r="M158" s="165"/>
      <c r="N158" s="165"/>
      <c r="O158" s="165"/>
      <c r="P158" s="165"/>
      <c r="Q158" s="165"/>
      <c r="R158" s="165"/>
      <c r="S158" s="165"/>
    </row>
    <row r="159">
      <c r="A159" s="165"/>
      <c r="B159" s="165"/>
      <c r="C159" s="165"/>
      <c r="D159" s="165"/>
      <c r="E159" s="166"/>
      <c r="F159" s="165"/>
      <c r="G159" s="167"/>
      <c r="H159" s="166"/>
      <c r="I159" s="167"/>
      <c r="J159" s="168"/>
      <c r="K159" s="169"/>
      <c r="L159" s="165"/>
      <c r="M159" s="165"/>
      <c r="N159" s="165"/>
      <c r="O159" s="165"/>
      <c r="P159" s="165"/>
      <c r="Q159" s="165"/>
      <c r="R159" s="165"/>
      <c r="S159" s="165"/>
    </row>
    <row r="160">
      <c r="A160" s="165"/>
      <c r="B160" s="165"/>
      <c r="C160" s="165"/>
      <c r="D160" s="165"/>
      <c r="E160" s="166"/>
      <c r="F160" s="165"/>
      <c r="G160" s="167"/>
      <c r="H160" s="166"/>
      <c r="I160" s="167"/>
      <c r="J160" s="168"/>
      <c r="K160" s="169"/>
      <c r="L160" s="165"/>
      <c r="M160" s="165"/>
      <c r="N160" s="165"/>
      <c r="O160" s="165"/>
      <c r="P160" s="165"/>
      <c r="Q160" s="165"/>
      <c r="R160" s="165"/>
      <c r="S160" s="165"/>
    </row>
    <row r="161">
      <c r="A161" s="165"/>
      <c r="B161" s="165"/>
      <c r="C161" s="165"/>
      <c r="D161" s="165"/>
      <c r="E161" s="166"/>
      <c r="F161" s="165"/>
      <c r="G161" s="167"/>
      <c r="H161" s="166"/>
      <c r="I161" s="167"/>
      <c r="J161" s="168"/>
      <c r="K161" s="169"/>
      <c r="L161" s="165"/>
      <c r="M161" s="165"/>
      <c r="N161" s="165"/>
      <c r="O161" s="165"/>
      <c r="P161" s="165"/>
      <c r="Q161" s="165"/>
      <c r="R161" s="165"/>
      <c r="S161" s="165"/>
    </row>
    <row r="162">
      <c r="A162" s="165"/>
      <c r="B162" s="165"/>
      <c r="C162" s="165"/>
      <c r="D162" s="165"/>
      <c r="E162" s="166"/>
      <c r="F162" s="165"/>
      <c r="G162" s="167"/>
      <c r="H162" s="166"/>
      <c r="I162" s="167"/>
      <c r="J162" s="168"/>
      <c r="K162" s="169"/>
      <c r="L162" s="165"/>
      <c r="M162" s="165"/>
      <c r="N162" s="165"/>
      <c r="O162" s="165"/>
      <c r="P162" s="165"/>
      <c r="Q162" s="165"/>
      <c r="R162" s="165"/>
      <c r="S162" s="165"/>
    </row>
    <row r="163">
      <c r="A163" s="165"/>
      <c r="B163" s="165"/>
      <c r="C163" s="165"/>
      <c r="D163" s="165"/>
      <c r="E163" s="166"/>
      <c r="F163" s="165"/>
      <c r="G163" s="167"/>
      <c r="H163" s="166"/>
      <c r="I163" s="167"/>
      <c r="J163" s="168"/>
      <c r="K163" s="169"/>
      <c r="L163" s="165"/>
      <c r="M163" s="165"/>
      <c r="N163" s="165"/>
      <c r="O163" s="165"/>
      <c r="P163" s="165"/>
      <c r="Q163" s="165"/>
      <c r="R163" s="165"/>
      <c r="S163" s="165"/>
    </row>
    <row r="164">
      <c r="A164" s="165"/>
      <c r="B164" s="165"/>
      <c r="C164" s="165"/>
      <c r="D164" s="165"/>
      <c r="E164" s="166"/>
      <c r="F164" s="165"/>
      <c r="G164" s="167"/>
      <c r="H164" s="166"/>
      <c r="I164" s="167"/>
      <c r="J164" s="168"/>
      <c r="K164" s="169"/>
      <c r="L164" s="165"/>
      <c r="M164" s="165"/>
      <c r="N164" s="165"/>
      <c r="O164" s="165"/>
      <c r="P164" s="165"/>
      <c r="Q164" s="165"/>
      <c r="R164" s="165"/>
      <c r="S164" s="165"/>
    </row>
    <row r="165">
      <c r="A165" s="165"/>
      <c r="B165" s="165"/>
      <c r="C165" s="165"/>
      <c r="D165" s="165"/>
      <c r="E165" s="166"/>
      <c r="F165" s="165"/>
      <c r="G165" s="167"/>
      <c r="H165" s="166"/>
      <c r="I165" s="167"/>
      <c r="J165" s="168"/>
      <c r="K165" s="169"/>
      <c r="L165" s="165"/>
      <c r="M165" s="165"/>
      <c r="N165" s="165"/>
      <c r="O165" s="165"/>
      <c r="P165" s="165"/>
      <c r="Q165" s="165"/>
      <c r="R165" s="165"/>
      <c r="S165" s="165"/>
    </row>
    <row r="166">
      <c r="A166" s="165"/>
      <c r="B166" s="165"/>
      <c r="C166" s="165"/>
      <c r="D166" s="165"/>
      <c r="E166" s="166"/>
      <c r="F166" s="165"/>
      <c r="G166" s="167"/>
      <c r="H166" s="166"/>
      <c r="I166" s="167"/>
      <c r="J166" s="168"/>
      <c r="K166" s="169"/>
      <c r="L166" s="165"/>
      <c r="M166" s="165"/>
      <c r="N166" s="165"/>
      <c r="O166" s="165"/>
      <c r="P166" s="165"/>
      <c r="Q166" s="165"/>
      <c r="R166" s="165"/>
      <c r="S166" s="165"/>
    </row>
    <row r="167">
      <c r="A167" s="165"/>
      <c r="B167" s="165"/>
      <c r="C167" s="165"/>
      <c r="D167" s="165"/>
      <c r="E167" s="166"/>
      <c r="F167" s="165"/>
      <c r="G167" s="167"/>
      <c r="H167" s="166"/>
      <c r="I167" s="167"/>
      <c r="J167" s="168"/>
      <c r="K167" s="169"/>
      <c r="L167" s="165"/>
      <c r="M167" s="165"/>
      <c r="N167" s="165"/>
      <c r="O167" s="165"/>
      <c r="P167" s="165"/>
      <c r="Q167" s="165"/>
      <c r="R167" s="165"/>
      <c r="S167" s="165"/>
    </row>
    <row r="168">
      <c r="A168" s="165"/>
      <c r="B168" s="165"/>
      <c r="C168" s="165"/>
      <c r="D168" s="165"/>
      <c r="E168" s="166"/>
      <c r="F168" s="165"/>
      <c r="G168" s="167"/>
      <c r="H168" s="166"/>
      <c r="I168" s="167"/>
      <c r="J168" s="168"/>
      <c r="K168" s="169"/>
      <c r="L168" s="165"/>
      <c r="M168" s="165"/>
      <c r="N168" s="165"/>
      <c r="O168" s="165"/>
      <c r="P168" s="165"/>
      <c r="Q168" s="165"/>
      <c r="R168" s="165"/>
      <c r="S168" s="165"/>
    </row>
    <row r="169">
      <c r="A169" s="165"/>
      <c r="B169" s="165"/>
      <c r="C169" s="165"/>
      <c r="D169" s="165"/>
      <c r="E169" s="166"/>
      <c r="F169" s="165"/>
      <c r="G169" s="167"/>
      <c r="H169" s="166"/>
      <c r="I169" s="167"/>
      <c r="J169" s="168"/>
      <c r="K169" s="169"/>
      <c r="L169" s="165"/>
      <c r="M169" s="165"/>
      <c r="N169" s="165"/>
      <c r="O169" s="165"/>
      <c r="P169" s="165"/>
      <c r="Q169" s="165"/>
      <c r="R169" s="165"/>
      <c r="S169" s="165"/>
    </row>
    <row r="170">
      <c r="A170" s="165"/>
      <c r="B170" s="165"/>
      <c r="C170" s="165"/>
      <c r="D170" s="165"/>
      <c r="E170" s="166"/>
      <c r="F170" s="165"/>
      <c r="G170" s="167"/>
      <c r="H170" s="166"/>
      <c r="I170" s="167"/>
      <c r="J170" s="168"/>
      <c r="K170" s="169"/>
      <c r="L170" s="165"/>
      <c r="M170" s="165"/>
      <c r="N170" s="165"/>
      <c r="O170" s="165"/>
      <c r="P170" s="165"/>
      <c r="Q170" s="165"/>
      <c r="R170" s="165"/>
      <c r="S170" s="165"/>
    </row>
    <row r="171">
      <c r="A171" s="165"/>
      <c r="B171" s="165"/>
      <c r="C171" s="165"/>
      <c r="D171" s="165"/>
      <c r="E171" s="166"/>
      <c r="F171" s="165"/>
      <c r="G171" s="167"/>
      <c r="H171" s="166"/>
      <c r="I171" s="167"/>
      <c r="J171" s="168"/>
      <c r="K171" s="169"/>
      <c r="L171" s="165"/>
      <c r="M171" s="165"/>
      <c r="N171" s="165"/>
      <c r="O171" s="165"/>
      <c r="P171" s="165"/>
      <c r="Q171" s="165"/>
      <c r="R171" s="165"/>
      <c r="S171" s="165"/>
    </row>
    <row r="172">
      <c r="A172" s="165"/>
      <c r="B172" s="165"/>
      <c r="C172" s="165"/>
      <c r="D172" s="165"/>
      <c r="E172" s="166"/>
      <c r="F172" s="165"/>
      <c r="G172" s="167"/>
      <c r="H172" s="166"/>
      <c r="I172" s="167"/>
      <c r="J172" s="168"/>
      <c r="K172" s="169"/>
      <c r="L172" s="165"/>
      <c r="M172" s="165"/>
      <c r="N172" s="165"/>
      <c r="O172" s="165"/>
      <c r="P172" s="165"/>
      <c r="Q172" s="165"/>
      <c r="R172" s="165"/>
      <c r="S172" s="165"/>
    </row>
    <row r="173">
      <c r="A173" s="165"/>
      <c r="B173" s="165"/>
      <c r="C173" s="165"/>
      <c r="D173" s="165"/>
      <c r="E173" s="166"/>
      <c r="F173" s="165"/>
      <c r="G173" s="167"/>
      <c r="H173" s="166"/>
      <c r="I173" s="167"/>
      <c r="J173" s="168"/>
      <c r="K173" s="169"/>
      <c r="L173" s="165"/>
      <c r="M173" s="165"/>
      <c r="N173" s="165"/>
      <c r="O173" s="165"/>
      <c r="P173" s="165"/>
      <c r="Q173" s="165"/>
      <c r="R173" s="165"/>
      <c r="S173" s="165"/>
    </row>
    <row r="174">
      <c r="A174" s="165"/>
      <c r="B174" s="165"/>
      <c r="C174" s="165"/>
      <c r="D174" s="165"/>
      <c r="E174" s="166"/>
      <c r="F174" s="165"/>
      <c r="G174" s="167"/>
      <c r="H174" s="166"/>
      <c r="I174" s="167"/>
      <c r="J174" s="168"/>
      <c r="K174" s="169"/>
      <c r="L174" s="165"/>
      <c r="M174" s="165"/>
      <c r="N174" s="165"/>
      <c r="O174" s="165"/>
      <c r="P174" s="165"/>
      <c r="Q174" s="165"/>
      <c r="R174" s="165"/>
      <c r="S174" s="165"/>
    </row>
    <row r="175">
      <c r="A175" s="165"/>
      <c r="B175" s="165"/>
      <c r="C175" s="165"/>
      <c r="D175" s="165"/>
      <c r="E175" s="166"/>
      <c r="F175" s="165"/>
      <c r="G175" s="167"/>
      <c r="H175" s="166"/>
      <c r="I175" s="167"/>
      <c r="J175" s="168"/>
      <c r="K175" s="169"/>
      <c r="L175" s="165"/>
      <c r="M175" s="165"/>
      <c r="N175" s="165"/>
      <c r="O175" s="165"/>
      <c r="P175" s="165"/>
      <c r="Q175" s="165"/>
      <c r="R175" s="165"/>
      <c r="S175" s="165"/>
    </row>
    <row r="176">
      <c r="A176" s="165"/>
      <c r="B176" s="165"/>
      <c r="C176" s="165"/>
      <c r="D176" s="165"/>
      <c r="E176" s="166"/>
      <c r="F176" s="165"/>
      <c r="G176" s="167"/>
      <c r="H176" s="166"/>
      <c r="I176" s="167"/>
      <c r="J176" s="168"/>
      <c r="K176" s="169"/>
      <c r="L176" s="165"/>
      <c r="M176" s="165"/>
      <c r="N176" s="165"/>
      <c r="O176" s="165"/>
      <c r="P176" s="165"/>
      <c r="Q176" s="165"/>
      <c r="R176" s="165"/>
      <c r="S176" s="165"/>
    </row>
    <row r="177">
      <c r="A177" s="165"/>
      <c r="B177" s="165"/>
      <c r="C177" s="165"/>
      <c r="D177" s="165"/>
      <c r="E177" s="166"/>
      <c r="F177" s="165"/>
      <c r="G177" s="167"/>
      <c r="H177" s="166"/>
      <c r="I177" s="167"/>
      <c r="J177" s="168"/>
      <c r="K177" s="169"/>
      <c r="L177" s="165"/>
      <c r="M177" s="165"/>
      <c r="N177" s="165"/>
      <c r="O177" s="165"/>
      <c r="P177" s="165"/>
      <c r="Q177" s="165"/>
      <c r="R177" s="165"/>
      <c r="S177" s="165"/>
    </row>
    <row r="178">
      <c r="A178" s="165"/>
      <c r="B178" s="165"/>
      <c r="C178" s="165"/>
      <c r="D178" s="165"/>
      <c r="E178" s="166"/>
      <c r="F178" s="165"/>
      <c r="G178" s="167"/>
      <c r="H178" s="166"/>
      <c r="I178" s="167"/>
      <c r="J178" s="168"/>
      <c r="K178" s="169"/>
      <c r="L178" s="165"/>
      <c r="M178" s="165"/>
      <c r="N178" s="165"/>
      <c r="O178" s="165"/>
      <c r="P178" s="165"/>
      <c r="Q178" s="165"/>
      <c r="R178" s="165"/>
      <c r="S178" s="165"/>
    </row>
    <row r="179">
      <c r="A179" s="165"/>
      <c r="B179" s="165"/>
      <c r="C179" s="165"/>
      <c r="D179" s="165"/>
      <c r="E179" s="166"/>
      <c r="F179" s="165"/>
      <c r="G179" s="167"/>
      <c r="H179" s="166"/>
      <c r="I179" s="167"/>
      <c r="J179" s="168"/>
      <c r="K179" s="169"/>
      <c r="L179" s="165"/>
      <c r="M179" s="165"/>
      <c r="N179" s="165"/>
      <c r="O179" s="165"/>
      <c r="P179" s="165"/>
      <c r="Q179" s="165"/>
      <c r="R179" s="165"/>
      <c r="S179" s="165"/>
    </row>
    <row r="180">
      <c r="A180" s="165"/>
      <c r="B180" s="165"/>
      <c r="C180" s="165"/>
      <c r="D180" s="165"/>
      <c r="E180" s="166"/>
      <c r="F180" s="165"/>
      <c r="G180" s="167"/>
      <c r="H180" s="166"/>
      <c r="I180" s="167"/>
      <c r="J180" s="168"/>
      <c r="K180" s="169"/>
      <c r="L180" s="165"/>
      <c r="M180" s="165"/>
      <c r="N180" s="165"/>
      <c r="O180" s="165"/>
      <c r="P180" s="165"/>
      <c r="Q180" s="165"/>
      <c r="R180" s="165"/>
      <c r="S180" s="165"/>
    </row>
    <row r="181">
      <c r="A181" s="165"/>
      <c r="B181" s="165"/>
      <c r="C181" s="165"/>
      <c r="D181" s="165"/>
      <c r="E181" s="166"/>
      <c r="F181" s="165"/>
      <c r="G181" s="167"/>
      <c r="H181" s="166"/>
      <c r="I181" s="167"/>
      <c r="J181" s="168"/>
      <c r="K181" s="169"/>
      <c r="L181" s="165"/>
      <c r="M181" s="165"/>
      <c r="N181" s="165"/>
      <c r="O181" s="165"/>
      <c r="P181" s="165"/>
      <c r="Q181" s="165"/>
      <c r="R181" s="165"/>
      <c r="S181" s="165"/>
    </row>
    <row r="182">
      <c r="A182" s="165"/>
      <c r="B182" s="165"/>
      <c r="C182" s="165"/>
      <c r="D182" s="165"/>
      <c r="E182" s="166"/>
      <c r="F182" s="165"/>
      <c r="G182" s="167"/>
      <c r="H182" s="166"/>
      <c r="I182" s="167"/>
      <c r="J182" s="168"/>
      <c r="K182" s="169"/>
      <c r="L182" s="165"/>
      <c r="M182" s="165"/>
      <c r="N182" s="165"/>
      <c r="O182" s="165"/>
      <c r="P182" s="165"/>
      <c r="Q182" s="165"/>
      <c r="R182" s="165"/>
      <c r="S182" s="165"/>
    </row>
    <row r="183">
      <c r="A183" s="165"/>
      <c r="B183" s="165"/>
      <c r="C183" s="165"/>
      <c r="D183" s="165"/>
      <c r="E183" s="166"/>
      <c r="F183" s="165"/>
      <c r="G183" s="167"/>
      <c r="H183" s="166"/>
      <c r="I183" s="167"/>
      <c r="J183" s="168"/>
      <c r="K183" s="169"/>
      <c r="L183" s="165"/>
      <c r="M183" s="165"/>
      <c r="N183" s="165"/>
      <c r="O183" s="165"/>
      <c r="P183" s="165"/>
      <c r="Q183" s="165"/>
      <c r="R183" s="165"/>
      <c r="S183" s="165"/>
    </row>
    <row r="184">
      <c r="A184" s="165"/>
      <c r="B184" s="165"/>
      <c r="C184" s="165"/>
      <c r="D184" s="165"/>
      <c r="E184" s="166"/>
      <c r="F184" s="165"/>
      <c r="G184" s="167"/>
      <c r="H184" s="166"/>
      <c r="I184" s="167"/>
      <c r="J184" s="168"/>
      <c r="K184" s="169"/>
      <c r="L184" s="165"/>
      <c r="M184" s="165"/>
      <c r="N184" s="165"/>
      <c r="O184" s="165"/>
      <c r="P184" s="165"/>
      <c r="Q184" s="165"/>
      <c r="R184" s="165"/>
      <c r="S184" s="165"/>
    </row>
    <row r="185">
      <c r="A185" s="165"/>
      <c r="B185" s="165"/>
      <c r="C185" s="165"/>
      <c r="D185" s="165"/>
      <c r="E185" s="166"/>
      <c r="F185" s="165"/>
      <c r="G185" s="167"/>
      <c r="H185" s="166"/>
      <c r="I185" s="167"/>
      <c r="J185" s="168"/>
      <c r="K185" s="169"/>
      <c r="L185" s="165"/>
      <c r="M185" s="165"/>
      <c r="N185" s="165"/>
      <c r="O185" s="165"/>
      <c r="P185" s="165"/>
      <c r="Q185" s="165"/>
      <c r="R185" s="165"/>
      <c r="S185" s="165"/>
    </row>
    <row r="186">
      <c r="A186" s="165"/>
      <c r="B186" s="165"/>
      <c r="C186" s="165"/>
      <c r="D186" s="165"/>
      <c r="E186" s="166"/>
      <c r="F186" s="165"/>
      <c r="G186" s="167"/>
      <c r="H186" s="166"/>
      <c r="I186" s="167"/>
      <c r="J186" s="168"/>
      <c r="K186" s="169"/>
      <c r="L186" s="165"/>
      <c r="M186" s="165"/>
      <c r="N186" s="165"/>
      <c r="O186" s="165"/>
      <c r="P186" s="165"/>
      <c r="Q186" s="165"/>
      <c r="R186" s="165"/>
      <c r="S186" s="165"/>
    </row>
    <row r="187">
      <c r="A187" s="165"/>
      <c r="B187" s="165"/>
      <c r="C187" s="165"/>
      <c r="D187" s="165"/>
      <c r="E187" s="166"/>
      <c r="F187" s="165"/>
      <c r="G187" s="167"/>
      <c r="H187" s="166"/>
      <c r="I187" s="167"/>
      <c r="J187" s="168"/>
      <c r="K187" s="169"/>
      <c r="L187" s="165"/>
      <c r="M187" s="165"/>
      <c r="N187" s="165"/>
      <c r="O187" s="165"/>
      <c r="P187" s="165"/>
      <c r="Q187" s="165"/>
      <c r="R187" s="165"/>
      <c r="S187" s="165"/>
    </row>
    <row r="188">
      <c r="A188" s="165"/>
      <c r="B188" s="165"/>
      <c r="C188" s="165"/>
      <c r="D188" s="165"/>
      <c r="E188" s="166"/>
      <c r="F188" s="165"/>
      <c r="G188" s="167"/>
      <c r="H188" s="166"/>
      <c r="I188" s="167"/>
      <c r="J188" s="168"/>
      <c r="K188" s="169"/>
      <c r="L188" s="165"/>
      <c r="M188" s="165"/>
      <c r="N188" s="165"/>
      <c r="O188" s="165"/>
      <c r="P188" s="165"/>
      <c r="Q188" s="165"/>
      <c r="R188" s="165"/>
      <c r="S188" s="165"/>
    </row>
    <row r="189">
      <c r="A189" s="165"/>
      <c r="B189" s="165"/>
      <c r="C189" s="165"/>
      <c r="D189" s="165"/>
      <c r="E189" s="166"/>
      <c r="F189" s="165"/>
      <c r="G189" s="167"/>
      <c r="H189" s="166"/>
      <c r="I189" s="167"/>
      <c r="J189" s="168"/>
      <c r="K189" s="169"/>
      <c r="L189" s="165"/>
      <c r="M189" s="165"/>
      <c r="N189" s="165"/>
      <c r="O189" s="165"/>
      <c r="P189" s="165"/>
      <c r="Q189" s="165"/>
      <c r="R189" s="165"/>
      <c r="S189" s="165"/>
    </row>
    <row r="190">
      <c r="A190" s="165"/>
      <c r="B190" s="165"/>
      <c r="C190" s="165"/>
      <c r="D190" s="165"/>
      <c r="E190" s="166"/>
      <c r="F190" s="165"/>
      <c r="G190" s="167"/>
      <c r="H190" s="166"/>
      <c r="I190" s="167"/>
      <c r="J190" s="168"/>
      <c r="K190" s="169"/>
      <c r="L190" s="165"/>
      <c r="M190" s="165"/>
      <c r="N190" s="165"/>
      <c r="O190" s="165"/>
      <c r="P190" s="165"/>
      <c r="Q190" s="165"/>
      <c r="R190" s="165"/>
      <c r="S190" s="165"/>
    </row>
    <row r="191">
      <c r="A191" s="165"/>
      <c r="B191" s="165"/>
      <c r="C191" s="165"/>
      <c r="D191" s="165"/>
      <c r="E191" s="166"/>
      <c r="F191" s="165"/>
      <c r="G191" s="167"/>
      <c r="H191" s="166"/>
      <c r="I191" s="167"/>
      <c r="J191" s="168"/>
      <c r="K191" s="169"/>
      <c r="L191" s="165"/>
      <c r="M191" s="165"/>
      <c r="N191" s="165"/>
      <c r="O191" s="165"/>
      <c r="P191" s="165"/>
      <c r="Q191" s="165"/>
      <c r="R191" s="165"/>
      <c r="S191" s="165"/>
    </row>
    <row r="192">
      <c r="A192" s="165"/>
      <c r="B192" s="165"/>
      <c r="C192" s="165"/>
      <c r="D192" s="165"/>
      <c r="E192" s="166"/>
      <c r="F192" s="165"/>
      <c r="G192" s="167"/>
      <c r="H192" s="166"/>
      <c r="I192" s="167"/>
      <c r="J192" s="168"/>
      <c r="K192" s="169"/>
      <c r="L192" s="165"/>
      <c r="M192" s="165"/>
      <c r="N192" s="165"/>
      <c r="O192" s="165"/>
      <c r="P192" s="165"/>
      <c r="Q192" s="165"/>
      <c r="R192" s="165"/>
      <c r="S192" s="165"/>
    </row>
    <row r="193">
      <c r="A193" s="165"/>
      <c r="B193" s="165"/>
      <c r="C193" s="165"/>
      <c r="D193" s="165"/>
      <c r="E193" s="166"/>
      <c r="F193" s="165"/>
      <c r="G193" s="167"/>
      <c r="H193" s="166"/>
      <c r="I193" s="167"/>
      <c r="J193" s="168"/>
      <c r="K193" s="169"/>
      <c r="L193" s="165"/>
      <c r="M193" s="165"/>
      <c r="N193" s="165"/>
      <c r="O193" s="165"/>
      <c r="P193" s="165"/>
      <c r="Q193" s="165"/>
      <c r="R193" s="165"/>
      <c r="S193" s="165"/>
    </row>
    <row r="194">
      <c r="A194" s="165"/>
      <c r="B194" s="165"/>
      <c r="C194" s="165"/>
      <c r="D194" s="165"/>
      <c r="E194" s="166"/>
      <c r="F194" s="165"/>
      <c r="G194" s="167"/>
      <c r="H194" s="166"/>
      <c r="I194" s="167"/>
      <c r="J194" s="168"/>
      <c r="K194" s="169"/>
      <c r="L194" s="165"/>
      <c r="M194" s="165"/>
      <c r="N194" s="165"/>
      <c r="O194" s="165"/>
      <c r="P194" s="165"/>
      <c r="Q194" s="165"/>
      <c r="R194" s="165"/>
      <c r="S194" s="165"/>
    </row>
    <row r="195">
      <c r="A195" s="165"/>
      <c r="B195" s="165"/>
      <c r="C195" s="165"/>
      <c r="D195" s="165"/>
      <c r="E195" s="166"/>
      <c r="F195" s="165"/>
      <c r="G195" s="167"/>
      <c r="H195" s="166"/>
      <c r="I195" s="167"/>
      <c r="J195" s="168"/>
      <c r="K195" s="169"/>
      <c r="L195" s="165"/>
      <c r="M195" s="165"/>
      <c r="N195" s="165"/>
      <c r="O195" s="165"/>
      <c r="P195" s="165"/>
      <c r="Q195" s="165"/>
      <c r="R195" s="165"/>
      <c r="S195" s="165"/>
    </row>
    <row r="196">
      <c r="A196" s="165"/>
      <c r="B196" s="165"/>
      <c r="C196" s="165"/>
      <c r="D196" s="165"/>
      <c r="E196" s="166"/>
      <c r="F196" s="165"/>
      <c r="G196" s="167"/>
      <c r="H196" s="166"/>
      <c r="I196" s="167"/>
      <c r="J196" s="168"/>
      <c r="K196" s="169"/>
      <c r="L196" s="165"/>
      <c r="M196" s="165"/>
      <c r="N196" s="165"/>
      <c r="O196" s="165"/>
      <c r="P196" s="165"/>
      <c r="Q196" s="165"/>
      <c r="R196" s="165"/>
      <c r="S196" s="165"/>
    </row>
    <row r="197">
      <c r="A197" s="165"/>
      <c r="B197" s="165"/>
      <c r="C197" s="165"/>
      <c r="D197" s="165"/>
      <c r="E197" s="166"/>
      <c r="F197" s="165"/>
      <c r="G197" s="167"/>
      <c r="H197" s="166"/>
      <c r="I197" s="167"/>
      <c r="J197" s="168"/>
      <c r="K197" s="169"/>
      <c r="L197" s="165"/>
      <c r="M197" s="165"/>
      <c r="N197" s="165"/>
      <c r="O197" s="165"/>
      <c r="P197" s="165"/>
      <c r="Q197" s="165"/>
      <c r="R197" s="165"/>
      <c r="S197" s="165"/>
    </row>
    <row r="198">
      <c r="A198" s="165"/>
      <c r="B198" s="165"/>
      <c r="C198" s="165"/>
      <c r="D198" s="165"/>
      <c r="E198" s="166"/>
      <c r="F198" s="165"/>
      <c r="G198" s="167"/>
      <c r="H198" s="166"/>
      <c r="I198" s="167"/>
      <c r="J198" s="168"/>
      <c r="K198" s="169"/>
      <c r="L198" s="165"/>
      <c r="M198" s="165"/>
      <c r="N198" s="165"/>
      <c r="O198" s="165"/>
      <c r="P198" s="165"/>
      <c r="Q198" s="165"/>
      <c r="R198" s="165"/>
      <c r="S198" s="165"/>
    </row>
    <row r="199">
      <c r="A199" s="165"/>
      <c r="B199" s="165"/>
      <c r="C199" s="165"/>
      <c r="D199" s="165"/>
      <c r="E199" s="166"/>
      <c r="F199" s="165"/>
      <c r="G199" s="167"/>
      <c r="H199" s="166"/>
      <c r="I199" s="167"/>
      <c r="J199" s="168"/>
      <c r="K199" s="169"/>
      <c r="L199" s="165"/>
      <c r="M199" s="165"/>
      <c r="N199" s="165"/>
      <c r="O199" s="165"/>
      <c r="P199" s="165"/>
      <c r="Q199" s="165"/>
      <c r="R199" s="165"/>
      <c r="S199" s="165"/>
    </row>
    <row r="200">
      <c r="A200" s="165"/>
      <c r="B200" s="165"/>
      <c r="C200" s="165"/>
      <c r="D200" s="165"/>
      <c r="E200" s="166"/>
      <c r="F200" s="165"/>
      <c r="G200" s="167"/>
      <c r="H200" s="166"/>
      <c r="I200" s="167"/>
      <c r="J200" s="168"/>
      <c r="K200" s="169"/>
      <c r="L200" s="165"/>
      <c r="M200" s="165"/>
      <c r="N200" s="165"/>
      <c r="O200" s="165"/>
      <c r="P200" s="165"/>
      <c r="Q200" s="165"/>
      <c r="R200" s="165"/>
      <c r="S200" s="165"/>
    </row>
    <row r="201">
      <c r="A201" s="165"/>
      <c r="B201" s="165"/>
      <c r="C201" s="165"/>
      <c r="D201" s="165"/>
      <c r="E201" s="166"/>
      <c r="F201" s="165"/>
      <c r="G201" s="167"/>
      <c r="H201" s="166"/>
      <c r="I201" s="167"/>
      <c r="J201" s="168"/>
      <c r="K201" s="169"/>
      <c r="L201" s="165"/>
      <c r="M201" s="165"/>
      <c r="N201" s="165"/>
      <c r="O201" s="165"/>
      <c r="P201" s="165"/>
      <c r="Q201" s="165"/>
      <c r="R201" s="165"/>
      <c r="S201" s="165"/>
    </row>
    <row r="202">
      <c r="A202" s="165"/>
      <c r="B202" s="165"/>
      <c r="C202" s="165"/>
      <c r="D202" s="165"/>
      <c r="E202" s="166"/>
      <c r="F202" s="165"/>
      <c r="G202" s="167"/>
      <c r="H202" s="166"/>
      <c r="I202" s="167"/>
      <c r="J202" s="168"/>
      <c r="K202" s="169"/>
      <c r="L202" s="165"/>
      <c r="M202" s="165"/>
      <c r="N202" s="165"/>
      <c r="O202" s="165"/>
      <c r="P202" s="165"/>
      <c r="Q202" s="165"/>
      <c r="R202" s="165"/>
      <c r="S202" s="165"/>
    </row>
    <row r="203">
      <c r="A203" s="165"/>
      <c r="B203" s="165"/>
      <c r="C203" s="165"/>
      <c r="D203" s="165"/>
      <c r="E203" s="166"/>
      <c r="F203" s="165"/>
      <c r="G203" s="167"/>
      <c r="H203" s="166"/>
      <c r="I203" s="167"/>
      <c r="J203" s="168"/>
      <c r="K203" s="169"/>
      <c r="L203" s="165"/>
      <c r="M203" s="165"/>
      <c r="N203" s="165"/>
      <c r="O203" s="165"/>
      <c r="P203" s="165"/>
      <c r="Q203" s="165"/>
      <c r="R203" s="165"/>
      <c r="S203" s="165"/>
    </row>
    <row r="204">
      <c r="A204" s="165"/>
      <c r="B204" s="165"/>
      <c r="C204" s="165"/>
      <c r="D204" s="165"/>
      <c r="E204" s="166"/>
      <c r="F204" s="165"/>
      <c r="G204" s="167"/>
      <c r="H204" s="166"/>
      <c r="I204" s="167"/>
      <c r="J204" s="168"/>
      <c r="K204" s="169"/>
      <c r="L204" s="165"/>
      <c r="M204" s="165"/>
      <c r="N204" s="165"/>
      <c r="O204" s="165"/>
      <c r="P204" s="165"/>
      <c r="Q204" s="165"/>
      <c r="R204" s="165"/>
      <c r="S204" s="165"/>
    </row>
    <row r="205">
      <c r="A205" s="165"/>
      <c r="B205" s="165"/>
      <c r="C205" s="165"/>
      <c r="D205" s="165"/>
      <c r="E205" s="166"/>
      <c r="F205" s="165"/>
      <c r="G205" s="167"/>
      <c r="H205" s="166"/>
      <c r="I205" s="167"/>
      <c r="J205" s="168"/>
      <c r="K205" s="169"/>
      <c r="L205" s="165"/>
      <c r="M205" s="165"/>
      <c r="N205" s="165"/>
      <c r="O205" s="165"/>
      <c r="P205" s="165"/>
      <c r="Q205" s="165"/>
      <c r="R205" s="165"/>
      <c r="S205" s="165"/>
    </row>
    <row r="206">
      <c r="A206" s="165"/>
      <c r="B206" s="165"/>
      <c r="C206" s="165"/>
      <c r="D206" s="165"/>
      <c r="E206" s="166"/>
      <c r="F206" s="165"/>
      <c r="G206" s="167"/>
      <c r="H206" s="166"/>
      <c r="I206" s="167"/>
      <c r="J206" s="168"/>
      <c r="K206" s="169"/>
      <c r="L206" s="165"/>
      <c r="M206" s="165"/>
      <c r="N206" s="165"/>
      <c r="O206" s="165"/>
      <c r="P206" s="165"/>
      <c r="Q206" s="165"/>
      <c r="R206" s="165"/>
      <c r="S206" s="165"/>
    </row>
    <row r="207">
      <c r="A207" s="165"/>
      <c r="B207" s="165"/>
      <c r="C207" s="165"/>
      <c r="D207" s="165"/>
      <c r="E207" s="166"/>
      <c r="F207" s="165"/>
      <c r="G207" s="167"/>
      <c r="H207" s="166"/>
      <c r="I207" s="167"/>
      <c r="J207" s="168"/>
      <c r="K207" s="169"/>
      <c r="L207" s="165"/>
      <c r="M207" s="165"/>
      <c r="N207" s="165"/>
      <c r="O207" s="165"/>
      <c r="P207" s="165"/>
      <c r="Q207" s="165"/>
      <c r="R207" s="165"/>
      <c r="S207" s="165"/>
    </row>
    <row r="208">
      <c r="A208" s="165"/>
      <c r="B208" s="165"/>
      <c r="C208" s="165"/>
      <c r="D208" s="165"/>
      <c r="E208" s="166"/>
      <c r="F208" s="165"/>
      <c r="G208" s="167"/>
      <c r="H208" s="166"/>
      <c r="I208" s="167"/>
      <c r="J208" s="168"/>
      <c r="K208" s="169"/>
      <c r="L208" s="165"/>
      <c r="M208" s="165"/>
      <c r="N208" s="165"/>
      <c r="O208" s="165"/>
      <c r="P208" s="165"/>
      <c r="Q208" s="165"/>
      <c r="R208" s="165"/>
      <c r="S208" s="165"/>
    </row>
    <row r="209">
      <c r="A209" s="165"/>
      <c r="B209" s="165"/>
      <c r="C209" s="165"/>
      <c r="D209" s="165"/>
      <c r="E209" s="166"/>
      <c r="F209" s="165"/>
      <c r="G209" s="167"/>
      <c r="H209" s="166"/>
      <c r="I209" s="167"/>
      <c r="J209" s="168"/>
      <c r="K209" s="169"/>
      <c r="L209" s="165"/>
      <c r="M209" s="165"/>
      <c r="N209" s="165"/>
      <c r="O209" s="165"/>
      <c r="P209" s="165"/>
      <c r="Q209" s="165"/>
      <c r="R209" s="165"/>
      <c r="S209" s="165"/>
    </row>
    <row r="210">
      <c r="A210" s="165"/>
      <c r="B210" s="165"/>
      <c r="C210" s="165"/>
      <c r="D210" s="165"/>
      <c r="E210" s="166"/>
      <c r="F210" s="165"/>
      <c r="G210" s="167"/>
      <c r="H210" s="166"/>
      <c r="I210" s="167"/>
      <c r="J210" s="168"/>
      <c r="K210" s="169"/>
      <c r="L210" s="165"/>
      <c r="M210" s="165"/>
      <c r="N210" s="165"/>
      <c r="O210" s="165"/>
      <c r="P210" s="165"/>
      <c r="Q210" s="165"/>
      <c r="R210" s="165"/>
      <c r="S210" s="165"/>
    </row>
    <row r="211">
      <c r="A211" s="165"/>
      <c r="B211" s="165"/>
      <c r="C211" s="165"/>
      <c r="D211" s="165"/>
      <c r="E211" s="166"/>
      <c r="F211" s="165"/>
      <c r="G211" s="167"/>
      <c r="H211" s="166"/>
      <c r="I211" s="167"/>
      <c r="J211" s="168"/>
      <c r="K211" s="169"/>
      <c r="L211" s="165"/>
      <c r="M211" s="165"/>
      <c r="N211" s="165"/>
      <c r="O211" s="165"/>
      <c r="P211" s="165"/>
      <c r="Q211" s="165"/>
      <c r="R211" s="165"/>
      <c r="S211" s="165"/>
    </row>
    <row r="212">
      <c r="A212" s="165"/>
      <c r="B212" s="165"/>
      <c r="C212" s="165"/>
      <c r="D212" s="165"/>
      <c r="E212" s="166"/>
      <c r="F212" s="165"/>
      <c r="G212" s="167"/>
      <c r="H212" s="166"/>
      <c r="I212" s="167"/>
      <c r="J212" s="168"/>
      <c r="K212" s="169"/>
      <c r="L212" s="165"/>
      <c r="M212" s="165"/>
      <c r="N212" s="165"/>
      <c r="O212" s="165"/>
      <c r="P212" s="165"/>
      <c r="Q212" s="165"/>
      <c r="R212" s="165"/>
      <c r="S212" s="165"/>
    </row>
    <row r="213">
      <c r="A213" s="165"/>
      <c r="B213" s="165"/>
      <c r="C213" s="165"/>
      <c r="D213" s="165"/>
      <c r="E213" s="166"/>
      <c r="F213" s="165"/>
      <c r="G213" s="167"/>
      <c r="H213" s="166"/>
      <c r="I213" s="167"/>
      <c r="J213" s="168"/>
      <c r="K213" s="169"/>
      <c r="L213" s="165"/>
      <c r="M213" s="165"/>
      <c r="N213" s="165"/>
      <c r="O213" s="165"/>
      <c r="P213" s="165"/>
      <c r="Q213" s="165"/>
      <c r="R213" s="165"/>
      <c r="S213" s="165"/>
    </row>
    <row r="214">
      <c r="A214" s="165"/>
      <c r="B214" s="165"/>
      <c r="C214" s="165"/>
      <c r="D214" s="165"/>
      <c r="E214" s="166"/>
      <c r="F214" s="165"/>
      <c r="G214" s="167"/>
      <c r="H214" s="166"/>
      <c r="I214" s="167"/>
      <c r="J214" s="168"/>
      <c r="K214" s="169"/>
      <c r="L214" s="165"/>
      <c r="M214" s="165"/>
      <c r="N214" s="165"/>
      <c r="O214" s="165"/>
      <c r="P214" s="165"/>
      <c r="Q214" s="165"/>
      <c r="R214" s="165"/>
      <c r="S214" s="165"/>
    </row>
    <row r="215">
      <c r="A215" s="165"/>
      <c r="B215" s="165"/>
      <c r="C215" s="165"/>
      <c r="D215" s="165"/>
      <c r="E215" s="166"/>
      <c r="F215" s="165"/>
      <c r="G215" s="167"/>
      <c r="H215" s="166"/>
      <c r="I215" s="167"/>
      <c r="J215" s="168"/>
      <c r="K215" s="169"/>
      <c r="L215" s="165"/>
      <c r="M215" s="165"/>
      <c r="N215" s="165"/>
      <c r="O215" s="165"/>
      <c r="P215" s="165"/>
      <c r="Q215" s="165"/>
      <c r="R215" s="165"/>
      <c r="S215" s="165"/>
    </row>
    <row r="216">
      <c r="A216" s="165"/>
      <c r="B216" s="165"/>
      <c r="C216" s="165"/>
      <c r="D216" s="165"/>
      <c r="E216" s="166"/>
      <c r="F216" s="165"/>
      <c r="G216" s="167"/>
      <c r="H216" s="166"/>
      <c r="I216" s="167"/>
      <c r="J216" s="168"/>
      <c r="K216" s="169"/>
      <c r="L216" s="165"/>
      <c r="M216" s="165"/>
      <c r="N216" s="165"/>
      <c r="O216" s="165"/>
      <c r="P216" s="165"/>
      <c r="Q216" s="165"/>
      <c r="R216" s="165"/>
      <c r="S216" s="165"/>
    </row>
    <row r="217">
      <c r="A217" s="165"/>
      <c r="B217" s="165"/>
      <c r="C217" s="165"/>
      <c r="D217" s="165"/>
      <c r="E217" s="166"/>
      <c r="F217" s="165"/>
      <c r="G217" s="167"/>
      <c r="H217" s="166"/>
      <c r="I217" s="167"/>
      <c r="J217" s="168"/>
      <c r="K217" s="169"/>
      <c r="L217" s="165"/>
      <c r="M217" s="165"/>
      <c r="N217" s="165"/>
      <c r="O217" s="165"/>
      <c r="P217" s="165"/>
      <c r="Q217" s="165"/>
      <c r="R217" s="165"/>
      <c r="S217" s="165"/>
    </row>
    <row r="218">
      <c r="A218" s="165"/>
      <c r="B218" s="165"/>
      <c r="C218" s="165"/>
      <c r="D218" s="165"/>
      <c r="E218" s="166"/>
      <c r="F218" s="165"/>
      <c r="G218" s="167"/>
      <c r="H218" s="166"/>
      <c r="I218" s="167"/>
      <c r="J218" s="168"/>
      <c r="K218" s="169"/>
      <c r="L218" s="165"/>
      <c r="M218" s="165"/>
      <c r="N218" s="165"/>
      <c r="O218" s="165"/>
      <c r="P218" s="165"/>
      <c r="Q218" s="165"/>
      <c r="R218" s="165"/>
      <c r="S218" s="165"/>
    </row>
    <row r="219">
      <c r="A219" s="165"/>
      <c r="B219" s="165"/>
      <c r="C219" s="165"/>
      <c r="D219" s="165"/>
      <c r="E219" s="166"/>
      <c r="F219" s="165"/>
      <c r="G219" s="167"/>
      <c r="H219" s="166"/>
      <c r="I219" s="167"/>
      <c r="J219" s="168"/>
      <c r="K219" s="169"/>
      <c r="L219" s="165"/>
      <c r="M219" s="165"/>
      <c r="N219" s="165"/>
      <c r="O219" s="165"/>
      <c r="P219" s="165"/>
      <c r="Q219" s="165"/>
      <c r="R219" s="165"/>
      <c r="S219" s="165"/>
    </row>
    <row r="220">
      <c r="A220" s="165"/>
      <c r="B220" s="165"/>
      <c r="C220" s="165"/>
      <c r="D220" s="165"/>
      <c r="E220" s="166"/>
      <c r="F220" s="165"/>
      <c r="G220" s="167"/>
      <c r="H220" s="166"/>
      <c r="I220" s="167"/>
      <c r="J220" s="168"/>
      <c r="K220" s="169"/>
      <c r="L220" s="165"/>
      <c r="M220" s="165"/>
      <c r="N220" s="165"/>
      <c r="O220" s="165"/>
      <c r="P220" s="165"/>
      <c r="Q220" s="165"/>
      <c r="R220" s="165"/>
      <c r="S220" s="165"/>
    </row>
    <row r="221">
      <c r="A221" s="165"/>
      <c r="B221" s="165"/>
      <c r="C221" s="165"/>
      <c r="D221" s="165"/>
      <c r="E221" s="166"/>
      <c r="F221" s="165"/>
      <c r="G221" s="167"/>
      <c r="H221" s="166"/>
      <c r="I221" s="167"/>
      <c r="J221" s="168"/>
      <c r="K221" s="169"/>
      <c r="L221" s="165"/>
      <c r="M221" s="165"/>
      <c r="N221" s="165"/>
      <c r="O221" s="165"/>
      <c r="P221" s="165"/>
      <c r="Q221" s="165"/>
      <c r="R221" s="165"/>
      <c r="S221" s="165"/>
    </row>
    <row r="222">
      <c r="A222" s="165"/>
      <c r="B222" s="165"/>
      <c r="C222" s="165"/>
      <c r="D222" s="165"/>
      <c r="E222" s="166"/>
      <c r="F222" s="165"/>
      <c r="G222" s="167"/>
      <c r="H222" s="166"/>
      <c r="I222" s="167"/>
      <c r="J222" s="168"/>
      <c r="K222" s="169"/>
      <c r="L222" s="165"/>
      <c r="M222" s="165"/>
      <c r="N222" s="165"/>
      <c r="O222" s="165"/>
      <c r="P222" s="165"/>
      <c r="Q222" s="165"/>
      <c r="R222" s="165"/>
      <c r="S222" s="165"/>
    </row>
    <row r="223">
      <c r="A223" s="165"/>
      <c r="B223" s="165"/>
      <c r="C223" s="165"/>
      <c r="D223" s="165"/>
      <c r="E223" s="166"/>
      <c r="F223" s="165"/>
      <c r="G223" s="167"/>
      <c r="H223" s="166"/>
      <c r="I223" s="167"/>
      <c r="J223" s="168"/>
      <c r="K223" s="169"/>
      <c r="L223" s="165"/>
      <c r="M223" s="165"/>
      <c r="N223" s="165"/>
      <c r="O223" s="165"/>
      <c r="P223" s="165"/>
      <c r="Q223" s="165"/>
      <c r="R223" s="165"/>
      <c r="S223" s="165"/>
    </row>
    <row r="224">
      <c r="A224" s="165"/>
      <c r="B224" s="165"/>
      <c r="C224" s="165"/>
      <c r="D224" s="165"/>
      <c r="E224" s="166"/>
      <c r="F224" s="165"/>
      <c r="G224" s="167"/>
      <c r="H224" s="166"/>
      <c r="I224" s="167"/>
      <c r="J224" s="168"/>
      <c r="K224" s="169"/>
      <c r="L224" s="165"/>
      <c r="M224" s="165"/>
      <c r="N224" s="165"/>
      <c r="O224" s="165"/>
      <c r="P224" s="165"/>
      <c r="Q224" s="165"/>
      <c r="R224" s="165"/>
      <c r="S224" s="165"/>
    </row>
    <row r="225">
      <c r="A225" s="165"/>
      <c r="B225" s="165"/>
      <c r="C225" s="165"/>
      <c r="D225" s="165"/>
      <c r="E225" s="166"/>
      <c r="F225" s="165"/>
      <c r="G225" s="167"/>
      <c r="H225" s="166"/>
      <c r="I225" s="167"/>
      <c r="J225" s="168"/>
      <c r="K225" s="169"/>
      <c r="L225" s="165"/>
      <c r="M225" s="165"/>
      <c r="N225" s="165"/>
      <c r="O225" s="165"/>
      <c r="P225" s="165"/>
      <c r="Q225" s="165"/>
      <c r="R225" s="165"/>
      <c r="S225" s="165"/>
    </row>
    <row r="226">
      <c r="A226" s="165"/>
      <c r="B226" s="165"/>
      <c r="C226" s="165"/>
      <c r="D226" s="165"/>
      <c r="E226" s="166"/>
      <c r="F226" s="165"/>
      <c r="G226" s="167"/>
      <c r="H226" s="166"/>
      <c r="I226" s="167"/>
      <c r="J226" s="168"/>
      <c r="K226" s="169"/>
      <c r="L226" s="165"/>
      <c r="M226" s="165"/>
      <c r="N226" s="165"/>
      <c r="O226" s="165"/>
      <c r="P226" s="165"/>
      <c r="Q226" s="165"/>
      <c r="R226" s="165"/>
      <c r="S226" s="165"/>
    </row>
    <row r="227">
      <c r="A227" s="165"/>
      <c r="B227" s="165"/>
      <c r="C227" s="165"/>
      <c r="D227" s="165"/>
      <c r="E227" s="166"/>
      <c r="F227" s="165"/>
      <c r="G227" s="167"/>
      <c r="H227" s="166"/>
      <c r="I227" s="167"/>
      <c r="J227" s="168"/>
      <c r="K227" s="169"/>
      <c r="L227" s="165"/>
      <c r="M227" s="165"/>
      <c r="N227" s="165"/>
      <c r="O227" s="165"/>
      <c r="P227" s="165"/>
      <c r="Q227" s="165"/>
      <c r="R227" s="165"/>
      <c r="S227" s="165"/>
    </row>
    <row r="228">
      <c r="A228" s="165"/>
      <c r="B228" s="165"/>
      <c r="C228" s="165"/>
      <c r="D228" s="165"/>
      <c r="E228" s="166"/>
      <c r="F228" s="165"/>
      <c r="G228" s="167"/>
      <c r="H228" s="166"/>
      <c r="I228" s="167"/>
      <c r="J228" s="168"/>
      <c r="K228" s="169"/>
      <c r="L228" s="165"/>
      <c r="M228" s="165"/>
      <c r="N228" s="165"/>
      <c r="O228" s="165"/>
      <c r="P228" s="165"/>
      <c r="Q228" s="165"/>
      <c r="R228" s="165"/>
      <c r="S228" s="165"/>
    </row>
    <row r="229">
      <c r="A229" s="165"/>
      <c r="B229" s="165"/>
      <c r="C229" s="165"/>
      <c r="D229" s="165"/>
      <c r="E229" s="166"/>
      <c r="F229" s="165"/>
      <c r="G229" s="167"/>
      <c r="H229" s="166"/>
      <c r="I229" s="167"/>
      <c r="J229" s="168"/>
      <c r="K229" s="169"/>
      <c r="L229" s="165"/>
      <c r="M229" s="165"/>
      <c r="N229" s="165"/>
      <c r="O229" s="165"/>
      <c r="P229" s="165"/>
      <c r="Q229" s="165"/>
      <c r="R229" s="165"/>
      <c r="S229" s="165"/>
    </row>
    <row r="230">
      <c r="A230" s="165"/>
      <c r="B230" s="165"/>
      <c r="C230" s="165"/>
      <c r="D230" s="165"/>
      <c r="E230" s="166"/>
      <c r="F230" s="165"/>
      <c r="G230" s="167"/>
      <c r="H230" s="166"/>
      <c r="I230" s="167"/>
      <c r="J230" s="168"/>
      <c r="K230" s="169"/>
      <c r="L230" s="165"/>
      <c r="M230" s="165"/>
      <c r="N230" s="165"/>
      <c r="O230" s="165"/>
      <c r="P230" s="165"/>
      <c r="Q230" s="165"/>
      <c r="R230" s="165"/>
      <c r="S230" s="165"/>
    </row>
    <row r="231">
      <c r="A231" s="165"/>
      <c r="B231" s="165"/>
      <c r="C231" s="165"/>
      <c r="D231" s="165"/>
      <c r="E231" s="166"/>
      <c r="F231" s="165"/>
      <c r="G231" s="167"/>
      <c r="H231" s="166"/>
      <c r="I231" s="167"/>
      <c r="J231" s="168"/>
      <c r="K231" s="169"/>
      <c r="L231" s="165"/>
      <c r="M231" s="165"/>
      <c r="N231" s="165"/>
      <c r="O231" s="165"/>
      <c r="P231" s="165"/>
      <c r="Q231" s="165"/>
      <c r="R231" s="165"/>
      <c r="S231" s="165"/>
    </row>
    <row r="232">
      <c r="A232" s="165"/>
      <c r="B232" s="165"/>
      <c r="C232" s="165"/>
      <c r="D232" s="165"/>
      <c r="E232" s="166"/>
      <c r="F232" s="165"/>
      <c r="G232" s="167"/>
      <c r="H232" s="166"/>
      <c r="I232" s="167"/>
      <c r="J232" s="168"/>
      <c r="K232" s="169"/>
      <c r="L232" s="165"/>
      <c r="M232" s="165"/>
      <c r="N232" s="165"/>
      <c r="O232" s="165"/>
      <c r="P232" s="165"/>
      <c r="Q232" s="165"/>
      <c r="R232" s="165"/>
      <c r="S232" s="165"/>
    </row>
    <row r="233">
      <c r="A233" s="165"/>
      <c r="B233" s="165"/>
      <c r="C233" s="165"/>
      <c r="D233" s="165"/>
      <c r="E233" s="166"/>
      <c r="F233" s="165"/>
      <c r="G233" s="167"/>
      <c r="H233" s="166"/>
      <c r="I233" s="167"/>
      <c r="J233" s="168"/>
      <c r="K233" s="169"/>
      <c r="L233" s="165"/>
      <c r="M233" s="165"/>
      <c r="N233" s="165"/>
      <c r="O233" s="165"/>
      <c r="P233" s="165"/>
      <c r="Q233" s="165"/>
      <c r="R233" s="165"/>
      <c r="S233" s="165"/>
    </row>
    <row r="234">
      <c r="A234" s="165"/>
      <c r="B234" s="165"/>
      <c r="C234" s="165"/>
      <c r="D234" s="165"/>
      <c r="E234" s="166"/>
      <c r="F234" s="165"/>
      <c r="G234" s="167"/>
      <c r="H234" s="166"/>
      <c r="I234" s="167"/>
      <c r="J234" s="168"/>
      <c r="K234" s="169"/>
      <c r="L234" s="165"/>
      <c r="M234" s="165"/>
      <c r="N234" s="165"/>
      <c r="O234" s="165"/>
      <c r="P234" s="165"/>
      <c r="Q234" s="165"/>
      <c r="R234" s="165"/>
      <c r="S234" s="165"/>
    </row>
    <row r="235">
      <c r="A235" s="165"/>
      <c r="B235" s="165"/>
      <c r="C235" s="165"/>
      <c r="D235" s="165"/>
      <c r="E235" s="166"/>
      <c r="F235" s="165"/>
      <c r="G235" s="167"/>
      <c r="H235" s="166"/>
      <c r="I235" s="167"/>
      <c r="J235" s="168"/>
      <c r="K235" s="169"/>
      <c r="L235" s="165"/>
      <c r="M235" s="165"/>
      <c r="N235" s="165"/>
      <c r="O235" s="165"/>
      <c r="P235" s="165"/>
      <c r="Q235" s="165"/>
      <c r="R235" s="165"/>
      <c r="S235" s="165"/>
    </row>
    <row r="236">
      <c r="A236" s="165"/>
      <c r="B236" s="165"/>
      <c r="C236" s="165"/>
      <c r="D236" s="165"/>
      <c r="E236" s="166"/>
      <c r="F236" s="165"/>
      <c r="G236" s="167"/>
      <c r="H236" s="166"/>
      <c r="I236" s="167"/>
      <c r="J236" s="168"/>
      <c r="K236" s="169"/>
      <c r="L236" s="165"/>
      <c r="M236" s="165"/>
      <c r="N236" s="165"/>
      <c r="O236" s="165"/>
      <c r="P236" s="165"/>
      <c r="Q236" s="165"/>
      <c r="R236" s="165"/>
      <c r="S236" s="165"/>
    </row>
    <row r="237">
      <c r="A237" s="165"/>
      <c r="B237" s="165"/>
      <c r="C237" s="165"/>
      <c r="D237" s="165"/>
      <c r="E237" s="166"/>
      <c r="F237" s="165"/>
      <c r="G237" s="167"/>
      <c r="H237" s="166"/>
      <c r="I237" s="167"/>
      <c r="J237" s="168"/>
      <c r="K237" s="169"/>
      <c r="L237" s="165"/>
      <c r="M237" s="165"/>
      <c r="N237" s="165"/>
      <c r="O237" s="165"/>
      <c r="P237" s="165"/>
      <c r="Q237" s="165"/>
      <c r="R237" s="165"/>
      <c r="S237" s="165"/>
    </row>
    <row r="238">
      <c r="A238" s="165"/>
      <c r="B238" s="165"/>
      <c r="C238" s="165"/>
      <c r="D238" s="165"/>
      <c r="E238" s="166"/>
      <c r="F238" s="165"/>
      <c r="G238" s="167"/>
      <c r="H238" s="166"/>
      <c r="I238" s="167"/>
      <c r="J238" s="168"/>
      <c r="K238" s="169"/>
      <c r="L238" s="165"/>
      <c r="M238" s="165"/>
      <c r="N238" s="165"/>
      <c r="O238" s="165"/>
      <c r="P238" s="165"/>
      <c r="Q238" s="165"/>
      <c r="R238" s="165"/>
      <c r="S238" s="165"/>
    </row>
    <row r="239">
      <c r="A239" s="165"/>
      <c r="B239" s="165"/>
      <c r="C239" s="165"/>
      <c r="D239" s="165"/>
      <c r="E239" s="166"/>
      <c r="F239" s="165"/>
      <c r="G239" s="167"/>
      <c r="H239" s="166"/>
      <c r="I239" s="167"/>
      <c r="J239" s="168"/>
      <c r="K239" s="169"/>
      <c r="L239" s="165"/>
      <c r="M239" s="165"/>
      <c r="N239" s="165"/>
      <c r="O239" s="165"/>
      <c r="P239" s="165"/>
      <c r="Q239" s="165"/>
      <c r="R239" s="165"/>
      <c r="S239" s="165"/>
    </row>
    <row r="240">
      <c r="A240" s="165"/>
      <c r="B240" s="165"/>
      <c r="C240" s="165"/>
      <c r="D240" s="165"/>
      <c r="E240" s="166"/>
      <c r="F240" s="165"/>
      <c r="G240" s="167"/>
      <c r="H240" s="166"/>
      <c r="I240" s="167"/>
      <c r="J240" s="168"/>
      <c r="K240" s="169"/>
      <c r="L240" s="165"/>
      <c r="M240" s="165"/>
      <c r="N240" s="165"/>
      <c r="O240" s="165"/>
      <c r="P240" s="165"/>
      <c r="Q240" s="165"/>
      <c r="R240" s="165"/>
      <c r="S240" s="165"/>
    </row>
    <row r="241">
      <c r="A241" s="165"/>
      <c r="B241" s="165"/>
      <c r="C241" s="165"/>
      <c r="D241" s="165"/>
      <c r="E241" s="166"/>
      <c r="F241" s="165"/>
      <c r="G241" s="167"/>
      <c r="H241" s="166"/>
      <c r="I241" s="167"/>
      <c r="J241" s="168"/>
      <c r="K241" s="169"/>
      <c r="L241" s="165"/>
      <c r="M241" s="165"/>
      <c r="N241" s="165"/>
      <c r="O241" s="165"/>
      <c r="P241" s="165"/>
      <c r="Q241" s="165"/>
      <c r="R241" s="165"/>
      <c r="S241" s="165"/>
    </row>
    <row r="242">
      <c r="A242" s="165"/>
      <c r="B242" s="165"/>
      <c r="C242" s="165"/>
      <c r="D242" s="165"/>
      <c r="E242" s="166"/>
      <c r="F242" s="165"/>
      <c r="G242" s="167"/>
      <c r="H242" s="166"/>
      <c r="I242" s="167"/>
      <c r="J242" s="168"/>
      <c r="K242" s="169"/>
      <c r="L242" s="165"/>
      <c r="M242" s="165"/>
      <c r="N242" s="165"/>
      <c r="O242" s="165"/>
      <c r="P242" s="165"/>
      <c r="Q242" s="165"/>
      <c r="R242" s="165"/>
      <c r="S242" s="165"/>
    </row>
    <row r="243">
      <c r="A243" s="165"/>
      <c r="B243" s="165"/>
      <c r="C243" s="165"/>
      <c r="D243" s="165"/>
      <c r="E243" s="166"/>
      <c r="F243" s="165"/>
      <c r="G243" s="167"/>
      <c r="H243" s="166"/>
      <c r="I243" s="167"/>
      <c r="J243" s="168"/>
      <c r="K243" s="169"/>
      <c r="L243" s="165"/>
      <c r="M243" s="165"/>
      <c r="N243" s="165"/>
      <c r="O243" s="165"/>
      <c r="P243" s="165"/>
      <c r="Q243" s="165"/>
      <c r="R243" s="165"/>
      <c r="S243" s="165"/>
    </row>
    <row r="244">
      <c r="A244" s="165"/>
      <c r="B244" s="165"/>
      <c r="C244" s="165"/>
      <c r="D244" s="165"/>
      <c r="E244" s="166"/>
      <c r="F244" s="165"/>
      <c r="G244" s="167"/>
      <c r="H244" s="166"/>
      <c r="I244" s="167"/>
      <c r="J244" s="168"/>
      <c r="K244" s="169"/>
      <c r="L244" s="165"/>
      <c r="M244" s="165"/>
      <c r="N244" s="165"/>
      <c r="O244" s="165"/>
      <c r="P244" s="165"/>
      <c r="Q244" s="165"/>
      <c r="R244" s="165"/>
      <c r="S244" s="165"/>
    </row>
    <row r="245">
      <c r="A245" s="165"/>
      <c r="B245" s="165"/>
      <c r="C245" s="165"/>
      <c r="D245" s="165"/>
      <c r="E245" s="166"/>
      <c r="F245" s="165"/>
      <c r="G245" s="167"/>
      <c r="H245" s="166"/>
      <c r="I245" s="167"/>
      <c r="J245" s="168"/>
      <c r="K245" s="169"/>
      <c r="L245" s="165"/>
      <c r="M245" s="165"/>
      <c r="N245" s="165"/>
      <c r="O245" s="165"/>
      <c r="P245" s="165"/>
      <c r="Q245" s="165"/>
      <c r="R245" s="165"/>
      <c r="S245" s="165"/>
    </row>
    <row r="246">
      <c r="A246" s="165"/>
      <c r="B246" s="165"/>
      <c r="C246" s="165"/>
      <c r="D246" s="165"/>
      <c r="E246" s="166"/>
      <c r="F246" s="165"/>
      <c r="G246" s="167"/>
      <c r="H246" s="166"/>
      <c r="I246" s="167"/>
      <c r="J246" s="168"/>
      <c r="K246" s="169"/>
      <c r="L246" s="165"/>
      <c r="M246" s="165"/>
      <c r="N246" s="165"/>
      <c r="O246" s="165"/>
      <c r="P246" s="165"/>
      <c r="Q246" s="165"/>
      <c r="R246" s="165"/>
      <c r="S246" s="165"/>
    </row>
    <row r="247">
      <c r="A247" s="165"/>
      <c r="B247" s="165"/>
      <c r="C247" s="165"/>
      <c r="D247" s="165"/>
      <c r="E247" s="166"/>
      <c r="F247" s="165"/>
      <c r="G247" s="167"/>
      <c r="H247" s="166"/>
      <c r="I247" s="167"/>
      <c r="J247" s="168"/>
      <c r="K247" s="169"/>
      <c r="L247" s="165"/>
      <c r="M247" s="165"/>
      <c r="N247" s="165"/>
      <c r="O247" s="165"/>
      <c r="P247" s="165"/>
      <c r="Q247" s="165"/>
      <c r="R247" s="165"/>
      <c r="S247" s="165"/>
    </row>
    <row r="248">
      <c r="A248" s="165"/>
      <c r="B248" s="165"/>
      <c r="C248" s="165"/>
      <c r="D248" s="165"/>
      <c r="E248" s="166"/>
      <c r="F248" s="165"/>
      <c r="G248" s="167"/>
      <c r="H248" s="166"/>
      <c r="I248" s="167"/>
      <c r="J248" s="168"/>
      <c r="K248" s="169"/>
      <c r="L248" s="165"/>
      <c r="M248" s="165"/>
      <c r="N248" s="165"/>
      <c r="O248" s="165"/>
      <c r="P248" s="165"/>
      <c r="Q248" s="165"/>
      <c r="R248" s="165"/>
      <c r="S248" s="165"/>
    </row>
    <row r="249">
      <c r="A249" s="165"/>
      <c r="B249" s="165"/>
      <c r="C249" s="165"/>
      <c r="D249" s="165"/>
      <c r="E249" s="166"/>
      <c r="F249" s="165"/>
      <c r="G249" s="167"/>
      <c r="H249" s="166"/>
      <c r="I249" s="167"/>
      <c r="J249" s="168"/>
      <c r="K249" s="169"/>
      <c r="L249" s="165"/>
      <c r="M249" s="165"/>
      <c r="N249" s="165"/>
      <c r="O249" s="165"/>
      <c r="P249" s="165"/>
      <c r="Q249" s="165"/>
      <c r="R249" s="165"/>
      <c r="S249" s="165"/>
    </row>
    <row r="250">
      <c r="A250" s="165"/>
      <c r="B250" s="165"/>
      <c r="C250" s="165"/>
      <c r="D250" s="165"/>
      <c r="E250" s="166"/>
      <c r="F250" s="165"/>
      <c r="G250" s="167"/>
      <c r="H250" s="166"/>
      <c r="I250" s="167"/>
      <c r="J250" s="168"/>
      <c r="K250" s="169"/>
      <c r="L250" s="165"/>
      <c r="M250" s="165"/>
      <c r="N250" s="165"/>
      <c r="O250" s="165"/>
      <c r="P250" s="165"/>
      <c r="Q250" s="165"/>
      <c r="R250" s="165"/>
      <c r="S250" s="165"/>
    </row>
    <row r="251">
      <c r="A251" s="165"/>
      <c r="B251" s="165"/>
      <c r="C251" s="165"/>
      <c r="D251" s="165"/>
      <c r="E251" s="166"/>
      <c r="F251" s="165"/>
      <c r="G251" s="167"/>
      <c r="H251" s="166"/>
      <c r="I251" s="167"/>
      <c r="J251" s="168"/>
      <c r="K251" s="169"/>
      <c r="L251" s="165"/>
      <c r="M251" s="165"/>
      <c r="N251" s="165"/>
      <c r="O251" s="165"/>
      <c r="P251" s="165"/>
      <c r="Q251" s="165"/>
      <c r="R251" s="165"/>
      <c r="S251" s="165"/>
    </row>
    <row r="252">
      <c r="A252" s="165"/>
      <c r="B252" s="165"/>
      <c r="C252" s="165"/>
      <c r="D252" s="165"/>
      <c r="E252" s="166"/>
      <c r="F252" s="165"/>
      <c r="G252" s="167"/>
      <c r="H252" s="166"/>
      <c r="I252" s="167"/>
      <c r="J252" s="168"/>
      <c r="K252" s="169"/>
      <c r="L252" s="165"/>
      <c r="M252" s="165"/>
      <c r="N252" s="165"/>
      <c r="O252" s="165"/>
      <c r="P252" s="165"/>
      <c r="Q252" s="165"/>
      <c r="R252" s="165"/>
      <c r="S252" s="165"/>
    </row>
    <row r="253">
      <c r="A253" s="165"/>
      <c r="B253" s="165"/>
      <c r="C253" s="165"/>
      <c r="D253" s="165"/>
      <c r="E253" s="166"/>
      <c r="F253" s="165"/>
      <c r="G253" s="167"/>
      <c r="H253" s="166"/>
      <c r="I253" s="167"/>
      <c r="J253" s="168"/>
      <c r="K253" s="169"/>
      <c r="L253" s="165"/>
      <c r="M253" s="165"/>
      <c r="N253" s="165"/>
      <c r="O253" s="165"/>
      <c r="P253" s="165"/>
      <c r="Q253" s="165"/>
      <c r="R253" s="165"/>
      <c r="S253" s="165"/>
    </row>
    <row r="254">
      <c r="A254" s="165"/>
      <c r="B254" s="165"/>
      <c r="C254" s="165"/>
      <c r="D254" s="165"/>
      <c r="E254" s="166"/>
      <c r="F254" s="165"/>
      <c r="G254" s="167"/>
      <c r="H254" s="166"/>
      <c r="I254" s="167"/>
      <c r="J254" s="168"/>
      <c r="K254" s="169"/>
      <c r="L254" s="165"/>
      <c r="M254" s="165"/>
      <c r="N254" s="165"/>
      <c r="O254" s="165"/>
      <c r="P254" s="165"/>
      <c r="Q254" s="165"/>
      <c r="R254" s="165"/>
      <c r="S254" s="165"/>
    </row>
    <row r="255">
      <c r="A255" s="165"/>
      <c r="B255" s="165"/>
      <c r="C255" s="165"/>
      <c r="D255" s="165"/>
      <c r="E255" s="166"/>
      <c r="F255" s="165"/>
      <c r="G255" s="167"/>
      <c r="H255" s="166"/>
      <c r="I255" s="167"/>
      <c r="J255" s="168"/>
      <c r="K255" s="169"/>
      <c r="L255" s="165"/>
      <c r="M255" s="165"/>
      <c r="N255" s="165"/>
      <c r="O255" s="165"/>
      <c r="P255" s="165"/>
      <c r="Q255" s="165"/>
      <c r="R255" s="165"/>
      <c r="S255" s="165"/>
    </row>
    <row r="256">
      <c r="A256" s="165"/>
      <c r="B256" s="165"/>
      <c r="C256" s="165"/>
      <c r="D256" s="165"/>
      <c r="E256" s="166"/>
      <c r="F256" s="165"/>
      <c r="G256" s="167"/>
      <c r="H256" s="166"/>
      <c r="I256" s="167"/>
      <c r="J256" s="168"/>
      <c r="K256" s="169"/>
      <c r="L256" s="165"/>
      <c r="M256" s="165"/>
      <c r="N256" s="165"/>
      <c r="O256" s="165"/>
      <c r="P256" s="165"/>
      <c r="Q256" s="165"/>
      <c r="R256" s="165"/>
      <c r="S256" s="165"/>
    </row>
    <row r="257">
      <c r="A257" s="165"/>
      <c r="B257" s="165"/>
      <c r="C257" s="165"/>
      <c r="D257" s="165"/>
      <c r="E257" s="166"/>
      <c r="F257" s="165"/>
      <c r="G257" s="167"/>
      <c r="H257" s="166"/>
      <c r="I257" s="167"/>
      <c r="J257" s="168"/>
      <c r="K257" s="169"/>
      <c r="L257" s="165"/>
      <c r="M257" s="165"/>
      <c r="N257" s="165"/>
      <c r="O257" s="165"/>
      <c r="P257" s="165"/>
      <c r="Q257" s="165"/>
      <c r="R257" s="165"/>
      <c r="S257" s="165"/>
    </row>
    <row r="258">
      <c r="A258" s="165"/>
      <c r="B258" s="165"/>
      <c r="C258" s="165"/>
      <c r="D258" s="165"/>
      <c r="E258" s="166"/>
      <c r="F258" s="165"/>
      <c r="G258" s="167"/>
      <c r="H258" s="166"/>
      <c r="I258" s="167"/>
      <c r="J258" s="168"/>
      <c r="K258" s="169"/>
      <c r="L258" s="165"/>
      <c r="M258" s="165"/>
      <c r="N258" s="165"/>
      <c r="O258" s="165"/>
      <c r="P258" s="165"/>
      <c r="Q258" s="165"/>
      <c r="R258" s="165"/>
      <c r="S258" s="165"/>
    </row>
    <row r="259">
      <c r="A259" s="165"/>
      <c r="B259" s="165"/>
      <c r="C259" s="165"/>
      <c r="D259" s="165"/>
      <c r="E259" s="166"/>
      <c r="F259" s="165"/>
      <c r="G259" s="167"/>
      <c r="H259" s="166"/>
      <c r="I259" s="167"/>
      <c r="J259" s="168"/>
      <c r="K259" s="169"/>
      <c r="L259" s="165"/>
      <c r="M259" s="165"/>
      <c r="N259" s="165"/>
      <c r="O259" s="165"/>
      <c r="P259" s="165"/>
      <c r="Q259" s="165"/>
      <c r="R259" s="165"/>
      <c r="S259" s="165"/>
    </row>
    <row r="260">
      <c r="A260" s="165"/>
      <c r="B260" s="165"/>
      <c r="C260" s="165"/>
      <c r="D260" s="165"/>
      <c r="E260" s="166"/>
      <c r="F260" s="165"/>
      <c r="G260" s="167"/>
      <c r="H260" s="166"/>
      <c r="I260" s="167"/>
      <c r="J260" s="168"/>
      <c r="K260" s="169"/>
      <c r="L260" s="165"/>
      <c r="M260" s="165"/>
      <c r="N260" s="165"/>
      <c r="O260" s="165"/>
      <c r="P260" s="165"/>
      <c r="Q260" s="165"/>
      <c r="R260" s="165"/>
      <c r="S260" s="165"/>
    </row>
    <row r="261">
      <c r="A261" s="165"/>
      <c r="B261" s="165"/>
      <c r="C261" s="165"/>
      <c r="D261" s="165"/>
      <c r="E261" s="166"/>
      <c r="F261" s="165"/>
      <c r="G261" s="167"/>
      <c r="H261" s="166"/>
      <c r="I261" s="167"/>
      <c r="J261" s="168"/>
      <c r="K261" s="169"/>
      <c r="L261" s="165"/>
      <c r="M261" s="165"/>
      <c r="N261" s="165"/>
      <c r="O261" s="165"/>
      <c r="P261" s="165"/>
      <c r="Q261" s="165"/>
      <c r="R261" s="165"/>
      <c r="S261" s="165"/>
    </row>
    <row r="262">
      <c r="A262" s="165"/>
      <c r="B262" s="165"/>
      <c r="C262" s="165"/>
      <c r="D262" s="165"/>
      <c r="E262" s="166"/>
      <c r="F262" s="165"/>
      <c r="G262" s="167"/>
      <c r="H262" s="166"/>
      <c r="I262" s="167"/>
      <c r="J262" s="168"/>
      <c r="K262" s="169"/>
      <c r="L262" s="165"/>
      <c r="M262" s="165"/>
      <c r="N262" s="165"/>
      <c r="O262" s="165"/>
      <c r="P262" s="165"/>
      <c r="Q262" s="165"/>
      <c r="R262" s="165"/>
      <c r="S262" s="165"/>
    </row>
    <row r="263">
      <c r="A263" s="165"/>
      <c r="B263" s="165"/>
      <c r="C263" s="165"/>
      <c r="D263" s="165"/>
      <c r="E263" s="166"/>
      <c r="F263" s="165"/>
      <c r="G263" s="167"/>
      <c r="H263" s="166"/>
      <c r="I263" s="167"/>
      <c r="J263" s="168"/>
      <c r="K263" s="169"/>
      <c r="L263" s="165"/>
      <c r="M263" s="165"/>
      <c r="N263" s="165"/>
      <c r="O263" s="165"/>
      <c r="P263" s="165"/>
      <c r="Q263" s="165"/>
      <c r="R263" s="165"/>
      <c r="S263" s="165"/>
    </row>
    <row r="264">
      <c r="A264" s="165"/>
      <c r="B264" s="165"/>
      <c r="C264" s="165"/>
      <c r="D264" s="165"/>
      <c r="E264" s="166"/>
      <c r="F264" s="165"/>
      <c r="G264" s="167"/>
      <c r="H264" s="166"/>
      <c r="I264" s="167"/>
      <c r="J264" s="168"/>
      <c r="K264" s="169"/>
      <c r="L264" s="165"/>
      <c r="M264" s="165"/>
      <c r="N264" s="165"/>
      <c r="O264" s="165"/>
      <c r="P264" s="165"/>
      <c r="Q264" s="165"/>
      <c r="R264" s="165"/>
      <c r="S264" s="165"/>
    </row>
    <row r="265">
      <c r="A265" s="165"/>
      <c r="B265" s="165"/>
      <c r="C265" s="165"/>
      <c r="D265" s="165"/>
      <c r="E265" s="166"/>
      <c r="F265" s="165"/>
      <c r="G265" s="167"/>
      <c r="H265" s="166"/>
      <c r="I265" s="167"/>
      <c r="J265" s="168"/>
      <c r="K265" s="169"/>
      <c r="L265" s="165"/>
      <c r="M265" s="165"/>
      <c r="N265" s="165"/>
      <c r="O265" s="165"/>
      <c r="P265" s="165"/>
      <c r="Q265" s="165"/>
      <c r="R265" s="165"/>
      <c r="S265" s="165"/>
    </row>
    <row r="266">
      <c r="A266" s="165"/>
      <c r="B266" s="165"/>
      <c r="C266" s="165"/>
      <c r="D266" s="165"/>
      <c r="E266" s="166"/>
      <c r="F266" s="165"/>
      <c r="G266" s="167"/>
      <c r="H266" s="166"/>
      <c r="I266" s="167"/>
      <c r="J266" s="168"/>
      <c r="K266" s="169"/>
      <c r="L266" s="165"/>
      <c r="M266" s="165"/>
      <c r="N266" s="165"/>
      <c r="O266" s="165"/>
      <c r="P266" s="165"/>
      <c r="Q266" s="165"/>
      <c r="R266" s="165"/>
      <c r="S266" s="165"/>
    </row>
    <row r="267">
      <c r="A267" s="165"/>
      <c r="B267" s="165"/>
      <c r="C267" s="165"/>
      <c r="D267" s="165"/>
      <c r="E267" s="166"/>
      <c r="F267" s="165"/>
      <c r="G267" s="167"/>
      <c r="H267" s="166"/>
      <c r="I267" s="167"/>
      <c r="J267" s="168"/>
      <c r="K267" s="169"/>
      <c r="L267" s="165"/>
      <c r="M267" s="165"/>
      <c r="N267" s="165"/>
      <c r="O267" s="165"/>
      <c r="P267" s="165"/>
      <c r="Q267" s="165"/>
      <c r="R267" s="165"/>
      <c r="S267" s="165"/>
    </row>
    <row r="268">
      <c r="A268" s="165"/>
      <c r="B268" s="165"/>
      <c r="C268" s="165"/>
      <c r="D268" s="165"/>
      <c r="E268" s="166"/>
      <c r="F268" s="165"/>
      <c r="G268" s="167"/>
      <c r="H268" s="166"/>
      <c r="I268" s="167"/>
      <c r="J268" s="168"/>
      <c r="K268" s="169"/>
      <c r="L268" s="165"/>
      <c r="M268" s="165"/>
      <c r="N268" s="165"/>
      <c r="O268" s="165"/>
      <c r="P268" s="165"/>
      <c r="Q268" s="165"/>
      <c r="R268" s="165"/>
      <c r="S268" s="165"/>
    </row>
    <row r="269">
      <c r="A269" s="165"/>
      <c r="B269" s="165"/>
      <c r="C269" s="165"/>
      <c r="D269" s="165"/>
      <c r="E269" s="166"/>
      <c r="F269" s="165"/>
      <c r="G269" s="167"/>
      <c r="H269" s="166"/>
      <c r="I269" s="167"/>
      <c r="J269" s="168"/>
      <c r="K269" s="169"/>
      <c r="L269" s="165"/>
      <c r="M269" s="165"/>
      <c r="N269" s="165"/>
      <c r="O269" s="165"/>
      <c r="P269" s="165"/>
      <c r="Q269" s="165"/>
      <c r="R269" s="165"/>
      <c r="S269" s="165"/>
    </row>
    <row r="270">
      <c r="A270" s="165"/>
      <c r="B270" s="165"/>
      <c r="C270" s="165"/>
      <c r="D270" s="165"/>
      <c r="E270" s="166"/>
      <c r="F270" s="165"/>
      <c r="G270" s="167"/>
      <c r="H270" s="166"/>
      <c r="I270" s="167"/>
      <c r="J270" s="168"/>
      <c r="K270" s="169"/>
      <c r="L270" s="165"/>
      <c r="M270" s="165"/>
      <c r="N270" s="165"/>
      <c r="O270" s="165"/>
      <c r="P270" s="165"/>
      <c r="Q270" s="165"/>
      <c r="R270" s="165"/>
      <c r="S270" s="165"/>
    </row>
    <row r="271">
      <c r="A271" s="165"/>
      <c r="B271" s="165"/>
      <c r="C271" s="165"/>
      <c r="D271" s="165"/>
      <c r="E271" s="166"/>
      <c r="F271" s="165"/>
      <c r="G271" s="167"/>
      <c r="H271" s="166"/>
      <c r="I271" s="167"/>
      <c r="J271" s="168"/>
      <c r="K271" s="169"/>
      <c r="L271" s="165"/>
      <c r="M271" s="165"/>
      <c r="N271" s="165"/>
      <c r="O271" s="165"/>
      <c r="P271" s="165"/>
      <c r="Q271" s="165"/>
      <c r="R271" s="165"/>
      <c r="S271" s="165"/>
    </row>
    <row r="272">
      <c r="A272" s="165"/>
      <c r="B272" s="165"/>
      <c r="C272" s="165"/>
      <c r="D272" s="165"/>
      <c r="E272" s="166"/>
      <c r="F272" s="165"/>
      <c r="G272" s="167"/>
      <c r="H272" s="166"/>
      <c r="I272" s="167"/>
      <c r="J272" s="168"/>
      <c r="K272" s="169"/>
      <c r="L272" s="165"/>
      <c r="M272" s="165"/>
      <c r="N272" s="165"/>
      <c r="O272" s="165"/>
      <c r="P272" s="165"/>
      <c r="Q272" s="165"/>
      <c r="R272" s="165"/>
      <c r="S272" s="165"/>
    </row>
    <row r="273">
      <c r="A273" s="165"/>
      <c r="B273" s="165"/>
      <c r="C273" s="165"/>
      <c r="D273" s="165"/>
      <c r="E273" s="166"/>
      <c r="F273" s="165"/>
      <c r="G273" s="167"/>
      <c r="H273" s="166"/>
      <c r="I273" s="167"/>
      <c r="J273" s="168"/>
      <c r="K273" s="169"/>
      <c r="L273" s="165"/>
      <c r="M273" s="165"/>
      <c r="N273" s="165"/>
      <c r="O273" s="165"/>
      <c r="P273" s="165"/>
      <c r="Q273" s="165"/>
      <c r="R273" s="165"/>
      <c r="S273" s="165"/>
    </row>
    <row r="274">
      <c r="A274" s="165"/>
      <c r="B274" s="165"/>
      <c r="C274" s="165"/>
      <c r="D274" s="165"/>
      <c r="E274" s="166"/>
      <c r="F274" s="165"/>
      <c r="G274" s="167"/>
      <c r="H274" s="166"/>
      <c r="I274" s="167"/>
      <c r="J274" s="168"/>
      <c r="K274" s="169"/>
      <c r="L274" s="165"/>
      <c r="M274" s="165"/>
      <c r="N274" s="165"/>
      <c r="O274" s="165"/>
      <c r="P274" s="165"/>
      <c r="Q274" s="165"/>
      <c r="R274" s="165"/>
      <c r="S274" s="165"/>
    </row>
    <row r="275">
      <c r="A275" s="165"/>
      <c r="B275" s="165"/>
      <c r="C275" s="165"/>
      <c r="D275" s="165"/>
      <c r="E275" s="166"/>
      <c r="F275" s="165"/>
      <c r="G275" s="167"/>
      <c r="H275" s="166"/>
      <c r="I275" s="167"/>
      <c r="J275" s="168"/>
      <c r="K275" s="169"/>
      <c r="L275" s="165"/>
      <c r="M275" s="165"/>
      <c r="N275" s="165"/>
      <c r="O275" s="165"/>
      <c r="P275" s="165"/>
      <c r="Q275" s="165"/>
      <c r="R275" s="165"/>
      <c r="S275" s="165"/>
    </row>
    <row r="276">
      <c r="A276" s="165"/>
      <c r="B276" s="165"/>
      <c r="C276" s="165"/>
      <c r="D276" s="165"/>
      <c r="E276" s="166"/>
      <c r="F276" s="165"/>
      <c r="G276" s="167"/>
      <c r="H276" s="166"/>
      <c r="I276" s="167"/>
      <c r="J276" s="168"/>
      <c r="K276" s="169"/>
      <c r="L276" s="165"/>
      <c r="M276" s="165"/>
      <c r="N276" s="165"/>
      <c r="O276" s="165"/>
      <c r="P276" s="165"/>
      <c r="Q276" s="165"/>
      <c r="R276" s="165"/>
      <c r="S276" s="165"/>
    </row>
    <row r="277">
      <c r="A277" s="165"/>
      <c r="B277" s="165"/>
      <c r="C277" s="165"/>
      <c r="D277" s="165"/>
      <c r="E277" s="166"/>
      <c r="F277" s="165"/>
      <c r="G277" s="167"/>
      <c r="H277" s="166"/>
      <c r="I277" s="167"/>
      <c r="J277" s="168"/>
      <c r="K277" s="169"/>
      <c r="L277" s="165"/>
      <c r="M277" s="165"/>
      <c r="N277" s="165"/>
      <c r="O277" s="165"/>
      <c r="P277" s="165"/>
      <c r="Q277" s="165"/>
      <c r="R277" s="165"/>
      <c r="S277" s="165"/>
    </row>
    <row r="278">
      <c r="A278" s="165"/>
      <c r="B278" s="165"/>
      <c r="C278" s="165"/>
      <c r="D278" s="165"/>
      <c r="E278" s="166"/>
      <c r="F278" s="165"/>
      <c r="G278" s="167"/>
      <c r="H278" s="166"/>
      <c r="I278" s="167"/>
      <c r="J278" s="168"/>
      <c r="K278" s="169"/>
      <c r="L278" s="165"/>
      <c r="M278" s="165"/>
      <c r="N278" s="165"/>
      <c r="O278" s="165"/>
      <c r="P278" s="165"/>
      <c r="Q278" s="165"/>
      <c r="R278" s="165"/>
      <c r="S278" s="165"/>
    </row>
    <row r="279">
      <c r="A279" s="165"/>
      <c r="B279" s="165"/>
      <c r="C279" s="165"/>
      <c r="D279" s="165"/>
      <c r="E279" s="166"/>
      <c r="F279" s="165"/>
      <c r="G279" s="167"/>
      <c r="H279" s="166"/>
      <c r="I279" s="167"/>
      <c r="J279" s="168"/>
      <c r="K279" s="169"/>
      <c r="L279" s="165"/>
      <c r="M279" s="165"/>
      <c r="N279" s="165"/>
      <c r="O279" s="165"/>
      <c r="P279" s="165"/>
      <c r="Q279" s="165"/>
      <c r="R279" s="165"/>
      <c r="S279" s="165"/>
    </row>
    <row r="280">
      <c r="A280" s="165"/>
      <c r="B280" s="165"/>
      <c r="C280" s="165"/>
      <c r="D280" s="165"/>
      <c r="E280" s="166"/>
      <c r="F280" s="165"/>
      <c r="G280" s="167"/>
      <c r="H280" s="166"/>
      <c r="I280" s="167"/>
      <c r="J280" s="168"/>
      <c r="K280" s="169"/>
      <c r="L280" s="165"/>
      <c r="M280" s="165"/>
      <c r="N280" s="165"/>
      <c r="O280" s="165"/>
      <c r="P280" s="165"/>
      <c r="Q280" s="165"/>
      <c r="R280" s="165"/>
      <c r="S280" s="165"/>
    </row>
    <row r="281">
      <c r="A281" s="165"/>
      <c r="B281" s="165"/>
      <c r="C281" s="165"/>
      <c r="D281" s="165"/>
      <c r="E281" s="166"/>
      <c r="F281" s="165"/>
      <c r="G281" s="167"/>
      <c r="H281" s="166"/>
      <c r="I281" s="167"/>
      <c r="J281" s="168"/>
      <c r="K281" s="169"/>
      <c r="L281" s="165"/>
      <c r="M281" s="165"/>
      <c r="N281" s="165"/>
      <c r="O281" s="165"/>
      <c r="P281" s="165"/>
      <c r="Q281" s="165"/>
      <c r="R281" s="165"/>
      <c r="S281" s="165"/>
    </row>
    <row r="282">
      <c r="A282" s="165"/>
      <c r="B282" s="165"/>
      <c r="C282" s="165"/>
      <c r="D282" s="165"/>
      <c r="E282" s="166"/>
      <c r="F282" s="165"/>
      <c r="G282" s="167"/>
      <c r="H282" s="166"/>
      <c r="I282" s="167"/>
      <c r="J282" s="168"/>
      <c r="K282" s="169"/>
      <c r="L282" s="165"/>
      <c r="M282" s="165"/>
      <c r="N282" s="165"/>
      <c r="O282" s="165"/>
      <c r="P282" s="165"/>
      <c r="Q282" s="165"/>
      <c r="R282" s="165"/>
      <c r="S282" s="165"/>
    </row>
    <row r="283">
      <c r="A283" s="165"/>
      <c r="B283" s="165"/>
      <c r="C283" s="165"/>
      <c r="D283" s="165"/>
      <c r="E283" s="166"/>
      <c r="F283" s="165"/>
      <c r="G283" s="167"/>
      <c r="H283" s="166"/>
      <c r="I283" s="167"/>
      <c r="J283" s="168"/>
      <c r="K283" s="169"/>
      <c r="L283" s="165"/>
      <c r="M283" s="165"/>
      <c r="N283" s="165"/>
      <c r="O283" s="165"/>
      <c r="P283" s="165"/>
      <c r="Q283" s="165"/>
      <c r="R283" s="165"/>
      <c r="S283" s="165"/>
    </row>
    <row r="284">
      <c r="A284" s="165"/>
      <c r="B284" s="165"/>
      <c r="C284" s="165"/>
      <c r="D284" s="165"/>
      <c r="E284" s="166"/>
      <c r="F284" s="165"/>
      <c r="G284" s="167"/>
      <c r="H284" s="166"/>
      <c r="I284" s="167"/>
      <c r="J284" s="168"/>
      <c r="K284" s="169"/>
      <c r="L284" s="165"/>
      <c r="M284" s="165"/>
      <c r="N284" s="165"/>
      <c r="O284" s="165"/>
      <c r="P284" s="165"/>
      <c r="Q284" s="165"/>
      <c r="R284" s="165"/>
      <c r="S284" s="165"/>
    </row>
    <row r="285">
      <c r="A285" s="165"/>
      <c r="B285" s="165"/>
      <c r="C285" s="165"/>
      <c r="D285" s="165"/>
      <c r="E285" s="166"/>
      <c r="F285" s="165"/>
      <c r="G285" s="167"/>
      <c r="H285" s="166"/>
      <c r="I285" s="167"/>
      <c r="J285" s="168"/>
      <c r="K285" s="169"/>
      <c r="L285" s="165"/>
      <c r="M285" s="165"/>
      <c r="N285" s="165"/>
      <c r="O285" s="165"/>
      <c r="P285" s="165"/>
      <c r="Q285" s="165"/>
      <c r="R285" s="165"/>
      <c r="S285" s="165"/>
    </row>
    <row r="286">
      <c r="A286" s="165"/>
      <c r="B286" s="165"/>
      <c r="C286" s="165"/>
      <c r="D286" s="165"/>
      <c r="E286" s="166"/>
      <c r="F286" s="165"/>
      <c r="G286" s="167"/>
      <c r="H286" s="166"/>
      <c r="I286" s="167"/>
      <c r="J286" s="168"/>
      <c r="K286" s="169"/>
      <c r="L286" s="165"/>
      <c r="M286" s="165"/>
      <c r="N286" s="165"/>
      <c r="O286" s="165"/>
      <c r="P286" s="165"/>
      <c r="Q286" s="165"/>
      <c r="R286" s="165"/>
      <c r="S286" s="165"/>
    </row>
    <row r="287">
      <c r="A287" s="165"/>
      <c r="B287" s="165"/>
      <c r="C287" s="165"/>
      <c r="D287" s="165"/>
      <c r="E287" s="166"/>
      <c r="F287" s="165"/>
      <c r="G287" s="167"/>
      <c r="H287" s="166"/>
      <c r="I287" s="167"/>
      <c r="J287" s="168"/>
      <c r="K287" s="169"/>
      <c r="L287" s="165"/>
      <c r="M287" s="165"/>
      <c r="N287" s="165"/>
      <c r="O287" s="165"/>
      <c r="P287" s="165"/>
      <c r="Q287" s="165"/>
      <c r="R287" s="165"/>
      <c r="S287" s="165"/>
    </row>
    <row r="288">
      <c r="A288" s="165"/>
      <c r="B288" s="165"/>
      <c r="C288" s="165"/>
      <c r="D288" s="165"/>
      <c r="E288" s="166"/>
      <c r="F288" s="165"/>
      <c r="G288" s="167"/>
      <c r="H288" s="166"/>
      <c r="I288" s="167"/>
      <c r="J288" s="168"/>
      <c r="K288" s="169"/>
      <c r="L288" s="165"/>
      <c r="M288" s="165"/>
      <c r="N288" s="165"/>
      <c r="O288" s="165"/>
      <c r="P288" s="165"/>
      <c r="Q288" s="165"/>
      <c r="R288" s="165"/>
      <c r="S288" s="165"/>
    </row>
    <row r="289">
      <c r="A289" s="165"/>
      <c r="B289" s="165"/>
      <c r="C289" s="165"/>
      <c r="D289" s="165"/>
      <c r="E289" s="166"/>
      <c r="F289" s="165"/>
      <c r="G289" s="167"/>
      <c r="H289" s="166"/>
      <c r="I289" s="167"/>
      <c r="J289" s="168"/>
      <c r="K289" s="169"/>
      <c r="L289" s="165"/>
      <c r="M289" s="165"/>
      <c r="N289" s="165"/>
      <c r="O289" s="165"/>
      <c r="P289" s="165"/>
      <c r="Q289" s="165"/>
      <c r="R289" s="165"/>
      <c r="S289" s="165"/>
    </row>
    <row r="290">
      <c r="A290" s="165"/>
      <c r="B290" s="165"/>
      <c r="C290" s="165"/>
      <c r="D290" s="165"/>
      <c r="E290" s="166"/>
      <c r="F290" s="165"/>
      <c r="G290" s="167"/>
      <c r="H290" s="166"/>
      <c r="I290" s="167"/>
      <c r="J290" s="168"/>
      <c r="K290" s="169"/>
      <c r="L290" s="165"/>
      <c r="M290" s="165"/>
      <c r="N290" s="165"/>
      <c r="O290" s="165"/>
      <c r="P290" s="165"/>
      <c r="Q290" s="165"/>
      <c r="R290" s="165"/>
      <c r="S290" s="165"/>
    </row>
    <row r="291">
      <c r="A291" s="165"/>
      <c r="B291" s="165"/>
      <c r="C291" s="165"/>
      <c r="D291" s="165"/>
      <c r="E291" s="166"/>
      <c r="F291" s="165"/>
      <c r="G291" s="167"/>
      <c r="H291" s="166"/>
      <c r="I291" s="167"/>
      <c r="J291" s="168"/>
      <c r="K291" s="169"/>
      <c r="L291" s="165"/>
      <c r="M291" s="165"/>
      <c r="N291" s="165"/>
      <c r="O291" s="165"/>
      <c r="P291" s="165"/>
      <c r="Q291" s="165"/>
      <c r="R291" s="165"/>
      <c r="S291" s="165"/>
    </row>
    <row r="292">
      <c r="A292" s="165"/>
      <c r="B292" s="165"/>
      <c r="C292" s="165"/>
      <c r="D292" s="165"/>
      <c r="E292" s="166"/>
      <c r="F292" s="165"/>
      <c r="G292" s="167"/>
      <c r="H292" s="166"/>
      <c r="I292" s="167"/>
      <c r="J292" s="168"/>
      <c r="K292" s="169"/>
      <c r="L292" s="165"/>
      <c r="M292" s="165"/>
      <c r="N292" s="165"/>
      <c r="O292" s="165"/>
      <c r="P292" s="165"/>
      <c r="Q292" s="165"/>
      <c r="R292" s="165"/>
      <c r="S292" s="165"/>
    </row>
    <row r="293">
      <c r="A293" s="165"/>
      <c r="B293" s="165"/>
      <c r="C293" s="165"/>
      <c r="D293" s="165"/>
      <c r="E293" s="166"/>
      <c r="F293" s="165"/>
      <c r="G293" s="167"/>
      <c r="H293" s="166"/>
      <c r="I293" s="167"/>
      <c r="J293" s="168"/>
      <c r="K293" s="169"/>
      <c r="L293" s="165"/>
      <c r="M293" s="165"/>
      <c r="N293" s="165"/>
      <c r="O293" s="165"/>
      <c r="P293" s="165"/>
      <c r="Q293" s="165"/>
      <c r="R293" s="165"/>
      <c r="S293" s="165"/>
    </row>
    <row r="294">
      <c r="A294" s="165"/>
      <c r="B294" s="165"/>
      <c r="C294" s="165"/>
      <c r="D294" s="165"/>
      <c r="E294" s="166"/>
      <c r="F294" s="165"/>
      <c r="G294" s="167"/>
      <c r="H294" s="166"/>
      <c r="I294" s="167"/>
      <c r="J294" s="168"/>
      <c r="K294" s="169"/>
      <c r="L294" s="165"/>
      <c r="M294" s="165"/>
      <c r="N294" s="165"/>
      <c r="O294" s="165"/>
      <c r="P294" s="165"/>
      <c r="Q294" s="165"/>
      <c r="R294" s="165"/>
      <c r="S294" s="165"/>
    </row>
    <row r="295">
      <c r="A295" s="165"/>
      <c r="B295" s="165"/>
      <c r="C295" s="165"/>
      <c r="D295" s="165"/>
      <c r="E295" s="166"/>
      <c r="F295" s="165"/>
      <c r="G295" s="167"/>
      <c r="H295" s="166"/>
      <c r="I295" s="167"/>
      <c r="J295" s="168"/>
      <c r="K295" s="169"/>
      <c r="L295" s="165"/>
      <c r="M295" s="165"/>
      <c r="N295" s="165"/>
      <c r="O295" s="165"/>
      <c r="P295" s="165"/>
      <c r="Q295" s="165"/>
      <c r="R295" s="165"/>
      <c r="S295" s="165"/>
    </row>
    <row r="296">
      <c r="A296" s="165"/>
      <c r="B296" s="165"/>
      <c r="C296" s="165"/>
      <c r="D296" s="165"/>
      <c r="E296" s="166"/>
      <c r="F296" s="165"/>
      <c r="G296" s="167"/>
      <c r="H296" s="166"/>
      <c r="I296" s="167"/>
      <c r="J296" s="168"/>
      <c r="K296" s="169"/>
      <c r="L296" s="165"/>
      <c r="M296" s="165"/>
      <c r="N296" s="165"/>
      <c r="O296" s="165"/>
      <c r="P296" s="165"/>
      <c r="Q296" s="165"/>
      <c r="R296" s="165"/>
      <c r="S296" s="165"/>
    </row>
    <row r="297">
      <c r="A297" s="165"/>
      <c r="B297" s="165"/>
      <c r="C297" s="165"/>
      <c r="D297" s="165"/>
      <c r="E297" s="166"/>
      <c r="F297" s="165"/>
      <c r="G297" s="167"/>
      <c r="H297" s="166"/>
      <c r="I297" s="167"/>
      <c r="J297" s="168"/>
      <c r="K297" s="169"/>
      <c r="L297" s="165"/>
      <c r="M297" s="165"/>
      <c r="N297" s="165"/>
      <c r="O297" s="165"/>
      <c r="P297" s="165"/>
      <c r="Q297" s="165"/>
      <c r="R297" s="165"/>
      <c r="S297" s="165"/>
    </row>
    <row r="298">
      <c r="A298" s="165"/>
      <c r="B298" s="165"/>
      <c r="C298" s="165"/>
      <c r="D298" s="165"/>
      <c r="E298" s="166"/>
      <c r="F298" s="165"/>
      <c r="G298" s="167"/>
      <c r="H298" s="166"/>
      <c r="I298" s="167"/>
      <c r="J298" s="168"/>
      <c r="K298" s="169"/>
      <c r="L298" s="165"/>
      <c r="M298" s="165"/>
      <c r="N298" s="165"/>
      <c r="O298" s="165"/>
      <c r="P298" s="165"/>
      <c r="Q298" s="165"/>
      <c r="R298" s="165"/>
      <c r="S298" s="165"/>
    </row>
    <row r="299">
      <c r="A299" s="165"/>
      <c r="B299" s="165"/>
      <c r="C299" s="165"/>
      <c r="D299" s="165"/>
      <c r="E299" s="166"/>
      <c r="F299" s="165"/>
      <c r="G299" s="167"/>
      <c r="H299" s="166"/>
      <c r="I299" s="167"/>
      <c r="J299" s="168"/>
      <c r="K299" s="169"/>
      <c r="L299" s="165"/>
      <c r="M299" s="165"/>
      <c r="N299" s="165"/>
      <c r="O299" s="165"/>
      <c r="P299" s="165"/>
      <c r="Q299" s="165"/>
      <c r="R299" s="165"/>
      <c r="S299" s="165"/>
    </row>
    <row r="300">
      <c r="A300" s="165"/>
      <c r="B300" s="165"/>
      <c r="C300" s="165"/>
      <c r="D300" s="165"/>
      <c r="E300" s="166"/>
      <c r="F300" s="165"/>
      <c r="G300" s="167"/>
      <c r="H300" s="166"/>
      <c r="I300" s="167"/>
      <c r="J300" s="168"/>
      <c r="K300" s="169"/>
      <c r="L300" s="165"/>
      <c r="M300" s="165"/>
      <c r="N300" s="165"/>
      <c r="O300" s="165"/>
      <c r="P300" s="165"/>
      <c r="Q300" s="165"/>
      <c r="R300" s="165"/>
      <c r="S300" s="165"/>
    </row>
    <row r="301">
      <c r="A301" s="165"/>
      <c r="B301" s="165"/>
      <c r="C301" s="165"/>
      <c r="D301" s="165"/>
      <c r="E301" s="166"/>
      <c r="F301" s="165"/>
      <c r="G301" s="167"/>
      <c r="H301" s="166"/>
      <c r="I301" s="167"/>
      <c r="J301" s="168"/>
      <c r="K301" s="169"/>
      <c r="L301" s="165"/>
      <c r="M301" s="165"/>
      <c r="N301" s="165"/>
      <c r="O301" s="165"/>
      <c r="P301" s="165"/>
      <c r="Q301" s="165"/>
      <c r="R301" s="165"/>
      <c r="S301" s="165"/>
    </row>
    <row r="302">
      <c r="A302" s="165"/>
      <c r="B302" s="165"/>
      <c r="C302" s="165"/>
      <c r="D302" s="165"/>
      <c r="E302" s="166"/>
      <c r="F302" s="165"/>
      <c r="G302" s="167"/>
      <c r="H302" s="166"/>
      <c r="I302" s="167"/>
      <c r="J302" s="168"/>
      <c r="K302" s="169"/>
      <c r="L302" s="165"/>
      <c r="M302" s="165"/>
      <c r="N302" s="165"/>
      <c r="O302" s="165"/>
      <c r="P302" s="165"/>
      <c r="Q302" s="165"/>
      <c r="R302" s="165"/>
      <c r="S302" s="165"/>
    </row>
    <row r="303">
      <c r="A303" s="165"/>
      <c r="B303" s="165"/>
      <c r="C303" s="165"/>
      <c r="D303" s="165"/>
      <c r="E303" s="166"/>
      <c r="F303" s="165"/>
      <c r="G303" s="167"/>
      <c r="H303" s="166"/>
      <c r="I303" s="167"/>
      <c r="J303" s="168"/>
      <c r="K303" s="169"/>
      <c r="L303" s="165"/>
      <c r="M303" s="165"/>
      <c r="N303" s="165"/>
      <c r="O303" s="165"/>
      <c r="P303" s="165"/>
      <c r="Q303" s="165"/>
      <c r="R303" s="165"/>
      <c r="S303" s="165"/>
    </row>
    <row r="304">
      <c r="A304" s="165"/>
      <c r="B304" s="165"/>
      <c r="C304" s="165"/>
      <c r="D304" s="165"/>
      <c r="E304" s="166"/>
      <c r="F304" s="165"/>
      <c r="G304" s="167"/>
      <c r="H304" s="166"/>
      <c r="I304" s="167"/>
      <c r="J304" s="168"/>
      <c r="K304" s="169"/>
      <c r="L304" s="165"/>
      <c r="M304" s="165"/>
      <c r="N304" s="165"/>
      <c r="O304" s="165"/>
      <c r="P304" s="165"/>
      <c r="Q304" s="165"/>
      <c r="R304" s="165"/>
      <c r="S304" s="165"/>
    </row>
    <row r="305">
      <c r="A305" s="165"/>
      <c r="B305" s="165"/>
      <c r="C305" s="165"/>
      <c r="D305" s="165"/>
      <c r="E305" s="166"/>
      <c r="F305" s="165"/>
      <c r="G305" s="167"/>
      <c r="H305" s="166"/>
      <c r="I305" s="167"/>
      <c r="J305" s="168"/>
      <c r="K305" s="169"/>
      <c r="L305" s="165"/>
      <c r="M305" s="165"/>
      <c r="N305" s="165"/>
      <c r="O305" s="165"/>
      <c r="P305" s="165"/>
      <c r="Q305" s="165"/>
      <c r="R305" s="165"/>
      <c r="S305" s="165"/>
    </row>
    <row r="306">
      <c r="A306" s="165"/>
      <c r="B306" s="165"/>
      <c r="C306" s="165"/>
      <c r="D306" s="165"/>
      <c r="E306" s="166"/>
      <c r="F306" s="165"/>
      <c r="G306" s="167"/>
      <c r="H306" s="166"/>
      <c r="I306" s="167"/>
      <c r="J306" s="168"/>
      <c r="K306" s="169"/>
      <c r="L306" s="165"/>
      <c r="M306" s="165"/>
      <c r="N306" s="165"/>
      <c r="O306" s="165"/>
      <c r="P306" s="165"/>
      <c r="Q306" s="165"/>
      <c r="R306" s="165"/>
      <c r="S306" s="165"/>
    </row>
    <row r="307">
      <c r="A307" s="165"/>
      <c r="B307" s="165"/>
      <c r="C307" s="165"/>
      <c r="D307" s="165"/>
      <c r="E307" s="166"/>
      <c r="F307" s="165"/>
      <c r="G307" s="167"/>
      <c r="H307" s="166"/>
      <c r="I307" s="167"/>
      <c r="J307" s="168"/>
      <c r="K307" s="169"/>
      <c r="L307" s="165"/>
      <c r="M307" s="165"/>
      <c r="N307" s="165"/>
      <c r="O307" s="165"/>
      <c r="P307" s="165"/>
      <c r="Q307" s="165"/>
      <c r="R307" s="165"/>
      <c r="S307" s="165"/>
    </row>
    <row r="308">
      <c r="A308" s="165"/>
      <c r="B308" s="165"/>
      <c r="C308" s="165"/>
      <c r="D308" s="165"/>
      <c r="E308" s="166"/>
      <c r="F308" s="165"/>
      <c r="G308" s="167"/>
      <c r="H308" s="166"/>
      <c r="I308" s="167"/>
      <c r="J308" s="168"/>
      <c r="K308" s="169"/>
      <c r="L308" s="165"/>
      <c r="M308" s="165"/>
      <c r="N308" s="165"/>
      <c r="O308" s="165"/>
      <c r="P308" s="165"/>
      <c r="Q308" s="165"/>
      <c r="R308" s="165"/>
      <c r="S308" s="165"/>
    </row>
    <row r="309">
      <c r="A309" s="165"/>
      <c r="B309" s="165"/>
      <c r="C309" s="165"/>
      <c r="D309" s="165"/>
      <c r="E309" s="166"/>
      <c r="F309" s="165"/>
      <c r="G309" s="167"/>
      <c r="H309" s="166"/>
      <c r="I309" s="167"/>
      <c r="J309" s="168"/>
      <c r="K309" s="169"/>
      <c r="L309" s="165"/>
      <c r="M309" s="165"/>
      <c r="N309" s="165"/>
      <c r="O309" s="165"/>
      <c r="P309" s="165"/>
      <c r="Q309" s="165"/>
      <c r="R309" s="165"/>
      <c r="S309" s="165"/>
    </row>
    <row r="310">
      <c r="A310" s="165"/>
      <c r="B310" s="165"/>
      <c r="C310" s="165"/>
      <c r="D310" s="165"/>
      <c r="E310" s="166"/>
      <c r="F310" s="165"/>
      <c r="G310" s="167"/>
      <c r="H310" s="166"/>
      <c r="I310" s="167"/>
      <c r="J310" s="168"/>
      <c r="K310" s="169"/>
      <c r="L310" s="165"/>
      <c r="M310" s="165"/>
      <c r="N310" s="165"/>
      <c r="O310" s="165"/>
      <c r="P310" s="165"/>
      <c r="Q310" s="165"/>
      <c r="R310" s="165"/>
      <c r="S310" s="165"/>
    </row>
    <row r="311">
      <c r="A311" s="165"/>
      <c r="B311" s="165"/>
      <c r="C311" s="165"/>
      <c r="D311" s="165"/>
      <c r="E311" s="166"/>
      <c r="F311" s="165"/>
      <c r="G311" s="167"/>
      <c r="H311" s="166"/>
      <c r="I311" s="167"/>
      <c r="J311" s="168"/>
      <c r="K311" s="169"/>
      <c r="L311" s="165"/>
      <c r="M311" s="165"/>
      <c r="N311" s="165"/>
      <c r="O311" s="165"/>
      <c r="P311" s="165"/>
      <c r="Q311" s="165"/>
      <c r="R311" s="165"/>
      <c r="S311" s="165"/>
    </row>
    <row r="312">
      <c r="A312" s="165"/>
      <c r="B312" s="165"/>
      <c r="C312" s="165"/>
      <c r="D312" s="165"/>
      <c r="E312" s="166"/>
      <c r="F312" s="165"/>
      <c r="G312" s="167"/>
      <c r="H312" s="166"/>
      <c r="I312" s="167"/>
      <c r="J312" s="168"/>
      <c r="K312" s="169"/>
      <c r="L312" s="165"/>
      <c r="M312" s="165"/>
      <c r="N312" s="165"/>
      <c r="O312" s="165"/>
      <c r="P312" s="165"/>
      <c r="Q312" s="165"/>
      <c r="R312" s="165"/>
      <c r="S312" s="165"/>
    </row>
    <row r="313">
      <c r="A313" s="165"/>
      <c r="B313" s="165"/>
      <c r="C313" s="165"/>
      <c r="D313" s="165"/>
      <c r="E313" s="166"/>
      <c r="F313" s="165"/>
      <c r="G313" s="167"/>
      <c r="H313" s="166"/>
      <c r="I313" s="167"/>
      <c r="J313" s="168"/>
      <c r="K313" s="169"/>
      <c r="L313" s="165"/>
      <c r="M313" s="165"/>
      <c r="N313" s="165"/>
      <c r="O313" s="165"/>
      <c r="P313" s="165"/>
      <c r="Q313" s="165"/>
      <c r="R313" s="165"/>
      <c r="S313" s="165"/>
    </row>
    <row r="314">
      <c r="A314" s="165"/>
      <c r="B314" s="165"/>
      <c r="C314" s="165"/>
      <c r="D314" s="165"/>
      <c r="E314" s="166"/>
      <c r="F314" s="165"/>
      <c r="G314" s="167"/>
      <c r="H314" s="166"/>
      <c r="I314" s="167"/>
      <c r="J314" s="168"/>
      <c r="K314" s="169"/>
      <c r="L314" s="165"/>
      <c r="M314" s="165"/>
      <c r="N314" s="165"/>
      <c r="O314" s="165"/>
      <c r="P314" s="165"/>
      <c r="Q314" s="165"/>
      <c r="R314" s="165"/>
      <c r="S314" s="165"/>
    </row>
    <row r="315">
      <c r="A315" s="165"/>
      <c r="B315" s="165"/>
      <c r="C315" s="165"/>
      <c r="D315" s="165"/>
      <c r="E315" s="166"/>
      <c r="F315" s="165"/>
      <c r="G315" s="167"/>
      <c r="H315" s="166"/>
      <c r="I315" s="167"/>
      <c r="J315" s="168"/>
      <c r="K315" s="169"/>
      <c r="L315" s="165"/>
      <c r="M315" s="165"/>
      <c r="N315" s="165"/>
      <c r="O315" s="165"/>
      <c r="P315" s="165"/>
      <c r="Q315" s="165"/>
      <c r="R315" s="165"/>
      <c r="S315" s="165"/>
    </row>
    <row r="316">
      <c r="A316" s="165"/>
      <c r="B316" s="165"/>
      <c r="C316" s="165"/>
      <c r="D316" s="165"/>
      <c r="E316" s="166"/>
      <c r="F316" s="165"/>
      <c r="G316" s="167"/>
      <c r="H316" s="166"/>
      <c r="I316" s="167"/>
      <c r="J316" s="168"/>
      <c r="K316" s="169"/>
      <c r="L316" s="165"/>
      <c r="M316" s="165"/>
      <c r="N316" s="165"/>
      <c r="O316" s="165"/>
      <c r="P316" s="165"/>
      <c r="Q316" s="165"/>
      <c r="R316" s="165"/>
      <c r="S316" s="165"/>
    </row>
    <row r="317">
      <c r="A317" s="165"/>
      <c r="B317" s="165"/>
      <c r="C317" s="165"/>
      <c r="D317" s="165"/>
      <c r="E317" s="166"/>
      <c r="F317" s="165"/>
      <c r="G317" s="167"/>
      <c r="H317" s="166"/>
      <c r="I317" s="167"/>
      <c r="J317" s="168"/>
      <c r="K317" s="169"/>
      <c r="L317" s="165"/>
      <c r="M317" s="165"/>
      <c r="N317" s="165"/>
      <c r="O317" s="165"/>
      <c r="P317" s="165"/>
      <c r="Q317" s="165"/>
      <c r="R317" s="165"/>
      <c r="S317" s="165"/>
    </row>
    <row r="318">
      <c r="A318" s="165"/>
      <c r="B318" s="165"/>
      <c r="C318" s="165"/>
      <c r="D318" s="165"/>
      <c r="E318" s="166"/>
      <c r="F318" s="165"/>
      <c r="G318" s="167"/>
      <c r="H318" s="166"/>
      <c r="I318" s="167"/>
      <c r="J318" s="168"/>
      <c r="K318" s="169"/>
      <c r="L318" s="165"/>
      <c r="M318" s="165"/>
      <c r="N318" s="165"/>
      <c r="O318" s="165"/>
      <c r="P318" s="165"/>
      <c r="Q318" s="165"/>
      <c r="R318" s="165"/>
      <c r="S318" s="165"/>
    </row>
    <row r="319">
      <c r="A319" s="165"/>
      <c r="B319" s="165"/>
      <c r="C319" s="165"/>
      <c r="D319" s="165"/>
      <c r="E319" s="166"/>
      <c r="F319" s="165"/>
      <c r="G319" s="167"/>
      <c r="H319" s="166"/>
      <c r="I319" s="167"/>
      <c r="J319" s="168"/>
      <c r="K319" s="169"/>
      <c r="L319" s="165"/>
      <c r="M319" s="165"/>
      <c r="N319" s="165"/>
      <c r="O319" s="165"/>
      <c r="P319" s="165"/>
      <c r="Q319" s="165"/>
      <c r="R319" s="165"/>
      <c r="S319" s="165"/>
    </row>
    <row r="320">
      <c r="A320" s="165"/>
      <c r="B320" s="165"/>
      <c r="C320" s="165"/>
      <c r="D320" s="165"/>
      <c r="E320" s="166"/>
      <c r="F320" s="165"/>
      <c r="G320" s="167"/>
      <c r="H320" s="166"/>
      <c r="I320" s="167"/>
      <c r="J320" s="168"/>
      <c r="K320" s="169"/>
      <c r="L320" s="165"/>
      <c r="M320" s="165"/>
      <c r="N320" s="165"/>
      <c r="O320" s="165"/>
      <c r="P320" s="165"/>
      <c r="Q320" s="165"/>
      <c r="R320" s="165"/>
      <c r="S320" s="165"/>
    </row>
    <row r="321">
      <c r="A321" s="165"/>
      <c r="B321" s="165"/>
      <c r="C321" s="165"/>
      <c r="D321" s="165"/>
      <c r="E321" s="166"/>
      <c r="F321" s="165"/>
      <c r="G321" s="167"/>
      <c r="H321" s="166"/>
      <c r="I321" s="167"/>
      <c r="J321" s="168"/>
      <c r="K321" s="169"/>
      <c r="L321" s="165"/>
      <c r="M321" s="165"/>
      <c r="N321" s="165"/>
      <c r="O321" s="165"/>
      <c r="P321" s="165"/>
      <c r="Q321" s="165"/>
      <c r="R321" s="165"/>
      <c r="S321" s="165"/>
    </row>
    <row r="322">
      <c r="A322" s="165"/>
      <c r="B322" s="165"/>
      <c r="C322" s="165"/>
      <c r="D322" s="165"/>
      <c r="E322" s="166"/>
      <c r="F322" s="165"/>
      <c r="G322" s="167"/>
      <c r="H322" s="166"/>
      <c r="I322" s="167"/>
      <c r="J322" s="168"/>
      <c r="K322" s="169"/>
      <c r="L322" s="165"/>
      <c r="M322" s="165"/>
      <c r="N322" s="165"/>
      <c r="O322" s="165"/>
      <c r="P322" s="165"/>
      <c r="Q322" s="165"/>
      <c r="R322" s="165"/>
      <c r="S322" s="165"/>
    </row>
    <row r="323">
      <c r="A323" s="165"/>
      <c r="B323" s="165"/>
      <c r="C323" s="165"/>
      <c r="D323" s="165"/>
      <c r="E323" s="166"/>
      <c r="F323" s="165"/>
      <c r="G323" s="167"/>
      <c r="H323" s="166"/>
      <c r="I323" s="167"/>
      <c r="J323" s="168"/>
      <c r="K323" s="169"/>
      <c r="L323" s="165"/>
      <c r="M323" s="165"/>
      <c r="N323" s="165"/>
      <c r="O323" s="165"/>
      <c r="P323" s="165"/>
      <c r="Q323" s="165"/>
      <c r="R323" s="165"/>
      <c r="S323" s="165"/>
    </row>
    <row r="324">
      <c r="A324" s="165"/>
      <c r="B324" s="165"/>
      <c r="C324" s="165"/>
      <c r="D324" s="165"/>
      <c r="E324" s="166"/>
      <c r="F324" s="165"/>
      <c r="G324" s="167"/>
      <c r="H324" s="166"/>
      <c r="I324" s="167"/>
      <c r="J324" s="168"/>
      <c r="K324" s="169"/>
      <c r="L324" s="165"/>
      <c r="M324" s="165"/>
      <c r="N324" s="165"/>
      <c r="O324" s="165"/>
      <c r="P324" s="165"/>
      <c r="Q324" s="165"/>
      <c r="R324" s="165"/>
      <c r="S324" s="165"/>
    </row>
    <row r="325">
      <c r="A325" s="165"/>
      <c r="B325" s="165"/>
      <c r="C325" s="165"/>
      <c r="D325" s="165"/>
      <c r="E325" s="166"/>
      <c r="F325" s="165"/>
      <c r="G325" s="167"/>
      <c r="H325" s="166"/>
      <c r="I325" s="167"/>
      <c r="J325" s="168"/>
      <c r="K325" s="169"/>
      <c r="L325" s="165"/>
      <c r="M325" s="165"/>
      <c r="N325" s="165"/>
      <c r="O325" s="165"/>
      <c r="P325" s="165"/>
      <c r="Q325" s="165"/>
      <c r="R325" s="165"/>
      <c r="S325" s="165"/>
    </row>
    <row r="326">
      <c r="A326" s="165"/>
      <c r="B326" s="165"/>
      <c r="C326" s="165"/>
      <c r="D326" s="165"/>
      <c r="E326" s="166"/>
      <c r="F326" s="165"/>
      <c r="G326" s="167"/>
      <c r="H326" s="166"/>
      <c r="I326" s="167"/>
      <c r="J326" s="168"/>
      <c r="K326" s="169"/>
      <c r="L326" s="165"/>
      <c r="M326" s="165"/>
      <c r="N326" s="165"/>
      <c r="O326" s="165"/>
      <c r="P326" s="165"/>
      <c r="Q326" s="165"/>
      <c r="R326" s="165"/>
      <c r="S326" s="165"/>
    </row>
    <row r="327">
      <c r="A327" s="165"/>
      <c r="B327" s="165"/>
      <c r="C327" s="165"/>
      <c r="D327" s="165"/>
      <c r="E327" s="166"/>
      <c r="F327" s="165"/>
      <c r="G327" s="167"/>
      <c r="H327" s="166"/>
      <c r="I327" s="167"/>
      <c r="J327" s="168"/>
      <c r="K327" s="169"/>
      <c r="L327" s="165"/>
      <c r="M327" s="165"/>
      <c r="N327" s="165"/>
      <c r="O327" s="165"/>
      <c r="P327" s="165"/>
      <c r="Q327" s="165"/>
      <c r="R327" s="165"/>
      <c r="S327" s="165"/>
    </row>
    <row r="328">
      <c r="A328" s="165"/>
      <c r="B328" s="165"/>
      <c r="C328" s="165"/>
      <c r="D328" s="165"/>
      <c r="E328" s="166"/>
      <c r="F328" s="165"/>
      <c r="G328" s="167"/>
      <c r="H328" s="166"/>
      <c r="I328" s="167"/>
      <c r="J328" s="168"/>
      <c r="K328" s="169"/>
      <c r="L328" s="165"/>
      <c r="M328" s="165"/>
      <c r="N328" s="165"/>
      <c r="O328" s="165"/>
      <c r="P328" s="165"/>
      <c r="Q328" s="165"/>
      <c r="R328" s="165"/>
      <c r="S328" s="165"/>
    </row>
    <row r="329">
      <c r="A329" s="165"/>
      <c r="B329" s="165"/>
      <c r="C329" s="165"/>
      <c r="D329" s="165"/>
      <c r="E329" s="166"/>
      <c r="F329" s="165"/>
      <c r="G329" s="167"/>
      <c r="H329" s="166"/>
      <c r="I329" s="167"/>
      <c r="J329" s="168"/>
      <c r="K329" s="169"/>
      <c r="L329" s="165"/>
      <c r="M329" s="165"/>
      <c r="N329" s="165"/>
      <c r="O329" s="165"/>
      <c r="P329" s="165"/>
      <c r="Q329" s="165"/>
      <c r="R329" s="165"/>
      <c r="S329" s="165"/>
    </row>
    <row r="330">
      <c r="A330" s="165"/>
      <c r="B330" s="165"/>
      <c r="C330" s="165"/>
      <c r="D330" s="165"/>
      <c r="E330" s="166"/>
      <c r="F330" s="165"/>
      <c r="G330" s="167"/>
      <c r="H330" s="166"/>
      <c r="I330" s="167"/>
      <c r="J330" s="168"/>
      <c r="K330" s="169"/>
      <c r="L330" s="165"/>
      <c r="M330" s="165"/>
      <c r="N330" s="165"/>
      <c r="O330" s="165"/>
      <c r="P330" s="165"/>
      <c r="Q330" s="165"/>
      <c r="R330" s="165"/>
      <c r="S330" s="165"/>
    </row>
    <row r="331">
      <c r="A331" s="165"/>
      <c r="B331" s="165"/>
      <c r="C331" s="165"/>
      <c r="D331" s="165"/>
      <c r="E331" s="166"/>
      <c r="F331" s="165"/>
      <c r="G331" s="167"/>
      <c r="H331" s="166"/>
      <c r="I331" s="167"/>
      <c r="J331" s="168"/>
      <c r="K331" s="169"/>
      <c r="L331" s="165"/>
      <c r="M331" s="165"/>
      <c r="N331" s="165"/>
      <c r="O331" s="165"/>
      <c r="P331" s="165"/>
      <c r="Q331" s="165"/>
      <c r="R331" s="165"/>
      <c r="S331" s="165"/>
    </row>
    <row r="332">
      <c r="A332" s="165"/>
      <c r="B332" s="165"/>
      <c r="C332" s="165"/>
      <c r="D332" s="165"/>
      <c r="E332" s="166"/>
      <c r="F332" s="165"/>
      <c r="G332" s="167"/>
      <c r="H332" s="166"/>
      <c r="I332" s="167"/>
      <c r="J332" s="168"/>
      <c r="K332" s="169"/>
      <c r="L332" s="165"/>
      <c r="M332" s="165"/>
      <c r="N332" s="165"/>
      <c r="O332" s="165"/>
      <c r="P332" s="165"/>
      <c r="Q332" s="165"/>
      <c r="R332" s="165"/>
      <c r="S332" s="165"/>
    </row>
    <row r="333">
      <c r="A333" s="165"/>
      <c r="B333" s="165"/>
      <c r="C333" s="165"/>
      <c r="D333" s="165"/>
      <c r="E333" s="166"/>
      <c r="F333" s="165"/>
      <c r="G333" s="167"/>
      <c r="H333" s="166"/>
      <c r="I333" s="167"/>
      <c r="J333" s="168"/>
      <c r="K333" s="169"/>
      <c r="L333" s="165"/>
      <c r="M333" s="165"/>
      <c r="N333" s="165"/>
      <c r="O333" s="165"/>
      <c r="P333" s="165"/>
      <c r="Q333" s="165"/>
      <c r="R333" s="165"/>
      <c r="S333" s="165"/>
    </row>
    <row r="334">
      <c r="A334" s="165"/>
      <c r="B334" s="165"/>
      <c r="C334" s="165"/>
      <c r="D334" s="165"/>
      <c r="E334" s="166"/>
      <c r="F334" s="165"/>
      <c r="G334" s="167"/>
      <c r="H334" s="166"/>
      <c r="I334" s="167"/>
      <c r="J334" s="168"/>
      <c r="K334" s="169"/>
      <c r="L334" s="165"/>
      <c r="M334" s="165"/>
      <c r="N334" s="165"/>
      <c r="O334" s="165"/>
      <c r="P334" s="165"/>
      <c r="Q334" s="165"/>
      <c r="R334" s="165"/>
      <c r="S334" s="165"/>
    </row>
    <row r="335">
      <c r="A335" s="165"/>
      <c r="B335" s="165"/>
      <c r="C335" s="165"/>
      <c r="D335" s="165"/>
      <c r="E335" s="166"/>
      <c r="F335" s="165"/>
      <c r="G335" s="167"/>
      <c r="H335" s="166"/>
      <c r="I335" s="167"/>
      <c r="J335" s="168"/>
      <c r="K335" s="169"/>
      <c r="L335" s="165"/>
      <c r="M335" s="165"/>
      <c r="N335" s="165"/>
      <c r="O335" s="165"/>
      <c r="P335" s="165"/>
      <c r="Q335" s="165"/>
      <c r="R335" s="165"/>
      <c r="S335" s="165"/>
    </row>
    <row r="336">
      <c r="A336" s="165"/>
      <c r="B336" s="165"/>
      <c r="C336" s="165"/>
      <c r="D336" s="165"/>
      <c r="E336" s="166"/>
      <c r="F336" s="165"/>
      <c r="G336" s="167"/>
      <c r="H336" s="166"/>
      <c r="I336" s="167"/>
      <c r="J336" s="168"/>
      <c r="K336" s="169"/>
      <c r="L336" s="165"/>
      <c r="M336" s="165"/>
      <c r="N336" s="165"/>
      <c r="O336" s="165"/>
      <c r="P336" s="165"/>
      <c r="Q336" s="165"/>
      <c r="R336" s="165"/>
      <c r="S336" s="165"/>
    </row>
    <row r="337">
      <c r="A337" s="165"/>
      <c r="B337" s="165"/>
      <c r="C337" s="165"/>
      <c r="D337" s="165"/>
      <c r="E337" s="166"/>
      <c r="F337" s="165"/>
      <c r="G337" s="167"/>
      <c r="H337" s="166"/>
      <c r="I337" s="167"/>
      <c r="J337" s="168"/>
      <c r="K337" s="169"/>
      <c r="L337" s="165"/>
      <c r="M337" s="165"/>
      <c r="N337" s="165"/>
      <c r="O337" s="165"/>
      <c r="P337" s="165"/>
      <c r="Q337" s="165"/>
      <c r="R337" s="165"/>
      <c r="S337" s="165"/>
    </row>
    <row r="338">
      <c r="A338" s="165"/>
      <c r="B338" s="165"/>
      <c r="C338" s="165"/>
      <c r="D338" s="165"/>
      <c r="E338" s="166"/>
      <c r="F338" s="165"/>
      <c r="G338" s="167"/>
      <c r="H338" s="166"/>
      <c r="I338" s="167"/>
      <c r="J338" s="168"/>
      <c r="K338" s="169"/>
      <c r="L338" s="165"/>
      <c r="M338" s="165"/>
      <c r="N338" s="165"/>
      <c r="O338" s="165"/>
      <c r="P338" s="165"/>
      <c r="Q338" s="165"/>
      <c r="R338" s="165"/>
      <c r="S338" s="165"/>
    </row>
    <row r="339">
      <c r="A339" s="165"/>
      <c r="B339" s="165"/>
      <c r="C339" s="165"/>
      <c r="D339" s="165"/>
      <c r="E339" s="166"/>
      <c r="F339" s="165"/>
      <c r="G339" s="167"/>
      <c r="H339" s="166"/>
      <c r="I339" s="167"/>
      <c r="J339" s="168"/>
      <c r="K339" s="169"/>
      <c r="L339" s="165"/>
      <c r="M339" s="165"/>
      <c r="N339" s="165"/>
      <c r="O339" s="165"/>
      <c r="P339" s="165"/>
      <c r="Q339" s="165"/>
      <c r="R339" s="165"/>
      <c r="S339" s="165"/>
    </row>
    <row r="340">
      <c r="A340" s="165"/>
      <c r="B340" s="165"/>
      <c r="C340" s="165"/>
      <c r="D340" s="165"/>
      <c r="E340" s="166"/>
      <c r="F340" s="165"/>
      <c r="G340" s="167"/>
      <c r="H340" s="166"/>
      <c r="I340" s="167"/>
      <c r="J340" s="168"/>
      <c r="K340" s="169"/>
      <c r="L340" s="165"/>
      <c r="M340" s="165"/>
      <c r="N340" s="165"/>
      <c r="O340" s="165"/>
      <c r="P340" s="165"/>
      <c r="Q340" s="165"/>
      <c r="R340" s="165"/>
      <c r="S340" s="165"/>
    </row>
    <row r="341">
      <c r="A341" s="165"/>
      <c r="B341" s="165"/>
      <c r="C341" s="165"/>
      <c r="D341" s="165"/>
      <c r="E341" s="166"/>
      <c r="F341" s="165"/>
      <c r="G341" s="167"/>
      <c r="H341" s="166"/>
      <c r="I341" s="167"/>
      <c r="J341" s="168"/>
      <c r="K341" s="169"/>
      <c r="L341" s="165"/>
      <c r="M341" s="165"/>
      <c r="N341" s="165"/>
      <c r="O341" s="165"/>
      <c r="P341" s="165"/>
      <c r="Q341" s="165"/>
      <c r="R341" s="165"/>
      <c r="S341" s="165"/>
    </row>
    <row r="342">
      <c r="A342" s="165"/>
      <c r="B342" s="165"/>
      <c r="C342" s="165"/>
      <c r="D342" s="165"/>
      <c r="E342" s="166"/>
      <c r="F342" s="165"/>
      <c r="G342" s="167"/>
      <c r="H342" s="166"/>
      <c r="I342" s="167"/>
      <c r="J342" s="168"/>
      <c r="K342" s="169"/>
      <c r="L342" s="165"/>
      <c r="M342" s="165"/>
      <c r="N342" s="165"/>
      <c r="O342" s="165"/>
      <c r="P342" s="165"/>
      <c r="Q342" s="165"/>
      <c r="R342" s="165"/>
      <c r="S342" s="165"/>
    </row>
    <row r="343">
      <c r="A343" s="165"/>
      <c r="B343" s="165"/>
      <c r="C343" s="165"/>
      <c r="D343" s="165"/>
      <c r="E343" s="166"/>
      <c r="F343" s="165"/>
      <c r="G343" s="167"/>
      <c r="H343" s="166"/>
      <c r="I343" s="167"/>
      <c r="J343" s="168"/>
      <c r="K343" s="169"/>
      <c r="L343" s="165"/>
      <c r="M343" s="165"/>
      <c r="N343" s="165"/>
      <c r="O343" s="165"/>
      <c r="P343" s="165"/>
      <c r="Q343" s="165"/>
      <c r="R343" s="165"/>
      <c r="S343" s="165"/>
    </row>
    <row r="344">
      <c r="A344" s="165"/>
      <c r="B344" s="165"/>
      <c r="C344" s="165"/>
      <c r="D344" s="165"/>
      <c r="E344" s="166"/>
      <c r="F344" s="165"/>
      <c r="G344" s="167"/>
      <c r="H344" s="166"/>
      <c r="I344" s="167"/>
      <c r="J344" s="168"/>
      <c r="K344" s="169"/>
      <c r="L344" s="165"/>
      <c r="M344" s="165"/>
      <c r="N344" s="165"/>
      <c r="O344" s="165"/>
      <c r="P344" s="165"/>
      <c r="Q344" s="165"/>
      <c r="R344" s="165"/>
      <c r="S344" s="165"/>
    </row>
    <row r="345">
      <c r="A345" s="165"/>
      <c r="B345" s="165"/>
      <c r="C345" s="165"/>
      <c r="D345" s="165"/>
      <c r="E345" s="166"/>
      <c r="F345" s="165"/>
      <c r="G345" s="167"/>
      <c r="H345" s="166"/>
      <c r="I345" s="167"/>
      <c r="J345" s="168"/>
      <c r="K345" s="169"/>
      <c r="L345" s="165"/>
      <c r="M345" s="165"/>
      <c r="N345" s="165"/>
      <c r="O345" s="165"/>
      <c r="P345" s="165"/>
      <c r="Q345" s="165"/>
      <c r="R345" s="165"/>
      <c r="S345" s="165"/>
    </row>
    <row r="346">
      <c r="A346" s="165"/>
      <c r="B346" s="165"/>
      <c r="C346" s="165"/>
      <c r="D346" s="165"/>
      <c r="E346" s="166"/>
      <c r="F346" s="165"/>
      <c r="G346" s="167"/>
      <c r="H346" s="166"/>
      <c r="I346" s="167"/>
      <c r="J346" s="168"/>
      <c r="K346" s="169"/>
      <c r="L346" s="165"/>
      <c r="M346" s="165"/>
      <c r="N346" s="165"/>
      <c r="O346" s="165"/>
      <c r="P346" s="165"/>
      <c r="Q346" s="165"/>
      <c r="R346" s="165"/>
      <c r="S346" s="165"/>
    </row>
    <row r="347">
      <c r="A347" s="165"/>
      <c r="B347" s="165"/>
      <c r="C347" s="165"/>
      <c r="D347" s="165"/>
      <c r="E347" s="166"/>
      <c r="F347" s="165"/>
      <c r="G347" s="167"/>
      <c r="H347" s="166"/>
      <c r="I347" s="167"/>
      <c r="J347" s="168"/>
      <c r="K347" s="169"/>
      <c r="L347" s="165"/>
      <c r="M347" s="165"/>
      <c r="N347" s="165"/>
      <c r="O347" s="165"/>
      <c r="P347" s="165"/>
      <c r="Q347" s="165"/>
      <c r="R347" s="165"/>
      <c r="S347" s="165"/>
    </row>
    <row r="348">
      <c r="A348" s="165"/>
      <c r="B348" s="165"/>
      <c r="C348" s="165"/>
      <c r="D348" s="165"/>
      <c r="E348" s="166"/>
      <c r="F348" s="165"/>
      <c r="G348" s="167"/>
      <c r="H348" s="166"/>
      <c r="I348" s="167"/>
      <c r="J348" s="168"/>
      <c r="K348" s="169"/>
      <c r="L348" s="165"/>
      <c r="M348" s="165"/>
      <c r="N348" s="165"/>
      <c r="O348" s="165"/>
      <c r="P348" s="165"/>
      <c r="Q348" s="165"/>
      <c r="R348" s="165"/>
      <c r="S348" s="165"/>
    </row>
    <row r="349">
      <c r="A349" s="165"/>
      <c r="B349" s="165"/>
      <c r="C349" s="165"/>
      <c r="D349" s="165"/>
      <c r="E349" s="166"/>
      <c r="F349" s="165"/>
      <c r="G349" s="167"/>
      <c r="H349" s="166"/>
      <c r="I349" s="167"/>
      <c r="J349" s="168"/>
      <c r="K349" s="169"/>
      <c r="L349" s="165"/>
      <c r="M349" s="165"/>
      <c r="N349" s="165"/>
      <c r="O349" s="165"/>
      <c r="P349" s="165"/>
      <c r="Q349" s="165"/>
      <c r="R349" s="165"/>
      <c r="S349" s="165"/>
    </row>
    <row r="350">
      <c r="A350" s="165"/>
      <c r="B350" s="165"/>
      <c r="C350" s="165"/>
      <c r="D350" s="165"/>
      <c r="E350" s="166"/>
      <c r="F350" s="165"/>
      <c r="G350" s="167"/>
      <c r="H350" s="166"/>
      <c r="I350" s="167"/>
      <c r="J350" s="168"/>
      <c r="K350" s="169"/>
      <c r="L350" s="165"/>
      <c r="M350" s="165"/>
      <c r="N350" s="165"/>
      <c r="O350" s="165"/>
      <c r="P350" s="165"/>
      <c r="Q350" s="165"/>
      <c r="R350" s="165"/>
      <c r="S350" s="165"/>
    </row>
    <row r="351">
      <c r="A351" s="165"/>
      <c r="B351" s="165"/>
      <c r="C351" s="165"/>
      <c r="D351" s="165"/>
      <c r="E351" s="166"/>
      <c r="F351" s="165"/>
      <c r="G351" s="167"/>
      <c r="H351" s="166"/>
      <c r="I351" s="167"/>
      <c r="J351" s="168"/>
      <c r="K351" s="169"/>
      <c r="L351" s="165"/>
      <c r="M351" s="165"/>
      <c r="N351" s="165"/>
      <c r="O351" s="165"/>
      <c r="P351" s="165"/>
      <c r="Q351" s="165"/>
      <c r="R351" s="165"/>
      <c r="S351" s="165"/>
    </row>
    <row r="352">
      <c r="A352" s="165"/>
      <c r="B352" s="165"/>
      <c r="C352" s="165"/>
      <c r="D352" s="165"/>
      <c r="E352" s="166"/>
      <c r="F352" s="165"/>
      <c r="G352" s="167"/>
      <c r="H352" s="166"/>
      <c r="I352" s="167"/>
      <c r="J352" s="168"/>
      <c r="K352" s="169"/>
      <c r="L352" s="165"/>
      <c r="M352" s="165"/>
      <c r="N352" s="165"/>
      <c r="O352" s="165"/>
      <c r="P352" s="165"/>
      <c r="Q352" s="165"/>
      <c r="R352" s="165"/>
      <c r="S352" s="165"/>
    </row>
    <row r="353">
      <c r="A353" s="165"/>
      <c r="B353" s="165"/>
      <c r="C353" s="165"/>
      <c r="D353" s="165"/>
      <c r="E353" s="166"/>
      <c r="F353" s="165"/>
      <c r="G353" s="167"/>
      <c r="H353" s="166"/>
      <c r="I353" s="167"/>
      <c r="J353" s="168"/>
      <c r="K353" s="169"/>
      <c r="L353" s="165"/>
      <c r="M353" s="165"/>
      <c r="N353" s="165"/>
      <c r="O353" s="165"/>
      <c r="P353" s="165"/>
      <c r="Q353" s="165"/>
      <c r="R353" s="165"/>
      <c r="S353" s="165"/>
    </row>
    <row r="354">
      <c r="A354" s="165"/>
      <c r="B354" s="165"/>
      <c r="C354" s="165"/>
      <c r="D354" s="165"/>
      <c r="E354" s="166"/>
      <c r="F354" s="165"/>
      <c r="G354" s="167"/>
      <c r="H354" s="166"/>
      <c r="I354" s="167"/>
      <c r="J354" s="168"/>
      <c r="K354" s="169"/>
      <c r="L354" s="165"/>
      <c r="M354" s="165"/>
      <c r="N354" s="165"/>
      <c r="O354" s="165"/>
      <c r="P354" s="165"/>
      <c r="Q354" s="165"/>
      <c r="R354" s="165"/>
      <c r="S354" s="165"/>
    </row>
    <row r="355">
      <c r="A355" s="165"/>
      <c r="B355" s="165"/>
      <c r="C355" s="165"/>
      <c r="D355" s="165"/>
      <c r="E355" s="166"/>
      <c r="F355" s="165"/>
      <c r="G355" s="167"/>
      <c r="H355" s="166"/>
      <c r="I355" s="167"/>
      <c r="J355" s="168"/>
      <c r="K355" s="169"/>
      <c r="L355" s="165"/>
      <c r="M355" s="165"/>
      <c r="N355" s="165"/>
      <c r="O355" s="165"/>
      <c r="P355" s="165"/>
      <c r="Q355" s="165"/>
      <c r="R355" s="165"/>
      <c r="S355" s="165"/>
    </row>
    <row r="356">
      <c r="A356" s="165"/>
      <c r="B356" s="165"/>
      <c r="C356" s="165"/>
      <c r="D356" s="165"/>
      <c r="E356" s="166"/>
      <c r="F356" s="165"/>
      <c r="G356" s="167"/>
      <c r="H356" s="166"/>
      <c r="I356" s="167"/>
      <c r="J356" s="168"/>
      <c r="K356" s="169"/>
      <c r="L356" s="165"/>
      <c r="M356" s="165"/>
      <c r="N356" s="165"/>
      <c r="O356" s="165"/>
      <c r="P356" s="165"/>
      <c r="Q356" s="165"/>
      <c r="R356" s="165"/>
      <c r="S356" s="165"/>
    </row>
    <row r="357">
      <c r="A357" s="165"/>
      <c r="B357" s="165"/>
      <c r="C357" s="165"/>
      <c r="D357" s="165"/>
      <c r="E357" s="166"/>
      <c r="F357" s="165"/>
      <c r="G357" s="167"/>
      <c r="H357" s="166"/>
      <c r="I357" s="167"/>
      <c r="J357" s="168"/>
      <c r="K357" s="169"/>
      <c r="L357" s="165"/>
      <c r="M357" s="165"/>
      <c r="N357" s="165"/>
      <c r="O357" s="165"/>
      <c r="P357" s="165"/>
      <c r="Q357" s="165"/>
      <c r="R357" s="165"/>
      <c r="S357" s="165"/>
    </row>
    <row r="358">
      <c r="A358" s="165"/>
      <c r="B358" s="165"/>
      <c r="C358" s="165"/>
      <c r="D358" s="165"/>
      <c r="E358" s="166"/>
      <c r="F358" s="165"/>
      <c r="G358" s="167"/>
      <c r="H358" s="166"/>
      <c r="I358" s="167"/>
      <c r="J358" s="168"/>
      <c r="K358" s="169"/>
      <c r="L358" s="165"/>
      <c r="M358" s="165"/>
      <c r="N358" s="165"/>
      <c r="O358" s="165"/>
      <c r="P358" s="165"/>
      <c r="Q358" s="165"/>
      <c r="R358" s="165"/>
      <c r="S358" s="165"/>
    </row>
    <row r="359">
      <c r="A359" s="165"/>
      <c r="B359" s="165"/>
      <c r="C359" s="165"/>
      <c r="D359" s="165"/>
      <c r="E359" s="166"/>
      <c r="F359" s="165"/>
      <c r="G359" s="167"/>
      <c r="H359" s="166"/>
      <c r="I359" s="167"/>
      <c r="J359" s="168"/>
      <c r="K359" s="169"/>
      <c r="L359" s="165"/>
      <c r="M359" s="165"/>
      <c r="N359" s="165"/>
      <c r="O359" s="165"/>
      <c r="P359" s="165"/>
      <c r="Q359" s="165"/>
      <c r="R359" s="165"/>
      <c r="S359" s="165"/>
    </row>
    <row r="360">
      <c r="A360" s="165"/>
      <c r="B360" s="165"/>
      <c r="C360" s="165"/>
      <c r="D360" s="165"/>
      <c r="E360" s="166"/>
      <c r="F360" s="165"/>
      <c r="G360" s="167"/>
      <c r="H360" s="166"/>
      <c r="I360" s="167"/>
      <c r="J360" s="168"/>
      <c r="K360" s="169"/>
      <c r="L360" s="165"/>
      <c r="M360" s="165"/>
      <c r="N360" s="165"/>
      <c r="O360" s="165"/>
      <c r="P360" s="165"/>
      <c r="Q360" s="165"/>
      <c r="R360" s="165"/>
      <c r="S360" s="165"/>
    </row>
    <row r="361">
      <c r="A361" s="165"/>
      <c r="B361" s="165"/>
      <c r="C361" s="165"/>
      <c r="D361" s="165"/>
      <c r="E361" s="166"/>
      <c r="F361" s="165"/>
      <c r="G361" s="167"/>
      <c r="H361" s="166"/>
      <c r="I361" s="167"/>
      <c r="J361" s="168"/>
      <c r="K361" s="169"/>
      <c r="L361" s="165"/>
      <c r="M361" s="165"/>
      <c r="N361" s="165"/>
      <c r="O361" s="165"/>
      <c r="P361" s="165"/>
      <c r="Q361" s="165"/>
      <c r="R361" s="165"/>
      <c r="S361" s="165"/>
    </row>
    <row r="362">
      <c r="A362" s="165"/>
      <c r="B362" s="165"/>
      <c r="C362" s="165"/>
      <c r="D362" s="165"/>
      <c r="E362" s="166"/>
      <c r="F362" s="165"/>
      <c r="G362" s="167"/>
      <c r="H362" s="166"/>
      <c r="I362" s="167"/>
      <c r="J362" s="168"/>
      <c r="K362" s="169"/>
      <c r="L362" s="165"/>
      <c r="M362" s="165"/>
      <c r="N362" s="165"/>
      <c r="O362" s="165"/>
      <c r="P362" s="165"/>
      <c r="Q362" s="165"/>
      <c r="R362" s="165"/>
      <c r="S362" s="165"/>
    </row>
    <row r="363">
      <c r="A363" s="165"/>
      <c r="B363" s="165"/>
      <c r="C363" s="165"/>
      <c r="D363" s="165"/>
      <c r="E363" s="166"/>
      <c r="F363" s="165"/>
      <c r="G363" s="167"/>
      <c r="H363" s="166"/>
      <c r="I363" s="167"/>
      <c r="J363" s="168"/>
      <c r="K363" s="169"/>
      <c r="L363" s="165"/>
      <c r="M363" s="165"/>
      <c r="N363" s="165"/>
      <c r="O363" s="165"/>
      <c r="P363" s="165"/>
      <c r="Q363" s="165"/>
      <c r="R363" s="165"/>
      <c r="S363" s="165"/>
    </row>
    <row r="364">
      <c r="A364" s="165"/>
      <c r="B364" s="165"/>
      <c r="C364" s="165"/>
      <c r="D364" s="165"/>
      <c r="E364" s="166"/>
      <c r="F364" s="165"/>
      <c r="G364" s="167"/>
      <c r="H364" s="166"/>
      <c r="I364" s="167"/>
      <c r="J364" s="168"/>
      <c r="K364" s="169"/>
      <c r="L364" s="165"/>
      <c r="M364" s="165"/>
      <c r="N364" s="165"/>
      <c r="O364" s="165"/>
      <c r="P364" s="165"/>
      <c r="Q364" s="165"/>
      <c r="R364" s="165"/>
      <c r="S364" s="165"/>
    </row>
    <row r="365">
      <c r="A365" s="165"/>
      <c r="B365" s="165"/>
      <c r="C365" s="165"/>
      <c r="D365" s="165"/>
      <c r="E365" s="166"/>
      <c r="F365" s="165"/>
      <c r="G365" s="167"/>
      <c r="H365" s="166"/>
      <c r="I365" s="167"/>
      <c r="J365" s="168"/>
      <c r="K365" s="169"/>
      <c r="L365" s="165"/>
      <c r="M365" s="165"/>
      <c r="N365" s="165"/>
      <c r="O365" s="165"/>
      <c r="P365" s="165"/>
      <c r="Q365" s="165"/>
      <c r="R365" s="165"/>
      <c r="S365" s="165"/>
    </row>
    <row r="366">
      <c r="A366" s="165"/>
      <c r="B366" s="165"/>
      <c r="C366" s="165"/>
      <c r="D366" s="165"/>
      <c r="E366" s="166"/>
      <c r="F366" s="165"/>
      <c r="G366" s="167"/>
      <c r="H366" s="166"/>
      <c r="I366" s="167"/>
      <c r="J366" s="168"/>
      <c r="K366" s="169"/>
      <c r="L366" s="165"/>
      <c r="M366" s="165"/>
      <c r="N366" s="165"/>
      <c r="O366" s="165"/>
      <c r="P366" s="165"/>
      <c r="Q366" s="165"/>
      <c r="R366" s="165"/>
      <c r="S366" s="165"/>
    </row>
    <row r="367">
      <c r="A367" s="165"/>
      <c r="B367" s="165"/>
      <c r="C367" s="165"/>
      <c r="D367" s="165"/>
      <c r="E367" s="166"/>
      <c r="F367" s="165"/>
      <c r="G367" s="167"/>
      <c r="H367" s="166"/>
      <c r="I367" s="167"/>
      <c r="J367" s="168"/>
      <c r="K367" s="169"/>
      <c r="L367" s="165"/>
      <c r="M367" s="165"/>
      <c r="N367" s="165"/>
      <c r="O367" s="165"/>
      <c r="P367" s="165"/>
      <c r="Q367" s="165"/>
      <c r="R367" s="165"/>
      <c r="S367" s="165"/>
    </row>
    <row r="368">
      <c r="A368" s="165"/>
      <c r="B368" s="165"/>
      <c r="C368" s="165"/>
      <c r="D368" s="165"/>
      <c r="E368" s="166"/>
      <c r="F368" s="165"/>
      <c r="G368" s="167"/>
      <c r="H368" s="166"/>
      <c r="I368" s="167"/>
      <c r="J368" s="168"/>
      <c r="K368" s="169"/>
      <c r="L368" s="165"/>
      <c r="M368" s="165"/>
      <c r="N368" s="165"/>
      <c r="O368" s="165"/>
      <c r="P368" s="165"/>
      <c r="Q368" s="165"/>
      <c r="R368" s="165"/>
      <c r="S368" s="165"/>
    </row>
    <row r="369">
      <c r="A369" s="165"/>
      <c r="B369" s="165"/>
      <c r="C369" s="165"/>
      <c r="D369" s="165"/>
      <c r="E369" s="166"/>
      <c r="F369" s="165"/>
      <c r="G369" s="167"/>
      <c r="H369" s="166"/>
      <c r="I369" s="167"/>
      <c r="J369" s="168"/>
      <c r="K369" s="169"/>
      <c r="L369" s="165"/>
      <c r="M369" s="165"/>
      <c r="N369" s="165"/>
      <c r="O369" s="165"/>
      <c r="P369" s="165"/>
      <c r="Q369" s="165"/>
      <c r="R369" s="165"/>
      <c r="S369" s="165"/>
    </row>
    <row r="370">
      <c r="A370" s="165"/>
      <c r="B370" s="165"/>
      <c r="C370" s="165"/>
      <c r="D370" s="165"/>
      <c r="E370" s="166"/>
      <c r="F370" s="165"/>
      <c r="G370" s="167"/>
      <c r="H370" s="166"/>
      <c r="I370" s="167"/>
      <c r="J370" s="168"/>
      <c r="K370" s="169"/>
      <c r="L370" s="165"/>
      <c r="M370" s="165"/>
      <c r="N370" s="165"/>
      <c r="O370" s="165"/>
      <c r="P370" s="165"/>
      <c r="Q370" s="165"/>
      <c r="R370" s="165"/>
      <c r="S370" s="165"/>
    </row>
    <row r="371">
      <c r="A371" s="165"/>
      <c r="B371" s="165"/>
      <c r="C371" s="165"/>
      <c r="D371" s="165"/>
      <c r="E371" s="166"/>
      <c r="F371" s="165"/>
      <c r="G371" s="167"/>
      <c r="H371" s="166"/>
      <c r="I371" s="167"/>
      <c r="J371" s="168"/>
      <c r="K371" s="169"/>
      <c r="L371" s="165"/>
      <c r="M371" s="165"/>
      <c r="N371" s="165"/>
      <c r="O371" s="165"/>
      <c r="P371" s="165"/>
      <c r="Q371" s="165"/>
      <c r="R371" s="165"/>
      <c r="S371" s="165"/>
    </row>
    <row r="372">
      <c r="A372" s="165"/>
      <c r="B372" s="165"/>
      <c r="C372" s="165"/>
      <c r="D372" s="165"/>
      <c r="E372" s="166"/>
      <c r="F372" s="165"/>
      <c r="G372" s="167"/>
      <c r="H372" s="166"/>
      <c r="I372" s="167"/>
      <c r="J372" s="168"/>
      <c r="K372" s="169"/>
      <c r="L372" s="165"/>
      <c r="M372" s="165"/>
      <c r="N372" s="165"/>
      <c r="O372" s="165"/>
      <c r="P372" s="165"/>
      <c r="Q372" s="165"/>
      <c r="R372" s="165"/>
      <c r="S372" s="165"/>
    </row>
    <row r="373">
      <c r="A373" s="165"/>
      <c r="B373" s="165"/>
      <c r="C373" s="165"/>
      <c r="D373" s="165"/>
      <c r="E373" s="166"/>
      <c r="F373" s="165"/>
      <c r="G373" s="167"/>
      <c r="H373" s="166"/>
      <c r="I373" s="167"/>
      <c r="J373" s="168"/>
      <c r="K373" s="169"/>
      <c r="L373" s="165"/>
      <c r="M373" s="165"/>
      <c r="N373" s="165"/>
      <c r="O373" s="165"/>
      <c r="P373" s="165"/>
      <c r="Q373" s="165"/>
      <c r="R373" s="165"/>
      <c r="S373" s="165"/>
    </row>
    <row r="374">
      <c r="A374" s="165"/>
      <c r="B374" s="165"/>
      <c r="C374" s="165"/>
      <c r="D374" s="165"/>
      <c r="E374" s="166"/>
      <c r="F374" s="165"/>
      <c r="G374" s="167"/>
      <c r="H374" s="166"/>
      <c r="I374" s="167"/>
      <c r="J374" s="168"/>
      <c r="K374" s="169"/>
      <c r="L374" s="165"/>
      <c r="M374" s="165"/>
      <c r="N374" s="165"/>
      <c r="O374" s="165"/>
      <c r="P374" s="165"/>
      <c r="Q374" s="165"/>
      <c r="R374" s="165"/>
      <c r="S374" s="165"/>
    </row>
    <row r="375">
      <c r="A375" s="165"/>
      <c r="B375" s="165"/>
      <c r="C375" s="165"/>
      <c r="D375" s="165"/>
      <c r="E375" s="166"/>
      <c r="F375" s="165"/>
      <c r="G375" s="167"/>
      <c r="H375" s="166"/>
      <c r="I375" s="167"/>
      <c r="J375" s="168"/>
      <c r="K375" s="169"/>
      <c r="L375" s="165"/>
      <c r="M375" s="165"/>
      <c r="N375" s="165"/>
      <c r="O375" s="165"/>
      <c r="P375" s="165"/>
      <c r="Q375" s="165"/>
      <c r="R375" s="165"/>
      <c r="S375" s="165"/>
    </row>
    <row r="376">
      <c r="A376" s="165"/>
      <c r="B376" s="165"/>
      <c r="C376" s="165"/>
      <c r="D376" s="165"/>
      <c r="E376" s="166"/>
      <c r="F376" s="165"/>
      <c r="G376" s="167"/>
      <c r="H376" s="166"/>
      <c r="I376" s="167"/>
      <c r="J376" s="168"/>
      <c r="K376" s="169"/>
      <c r="L376" s="165"/>
      <c r="M376" s="165"/>
      <c r="N376" s="165"/>
      <c r="O376" s="165"/>
      <c r="P376" s="165"/>
      <c r="Q376" s="165"/>
      <c r="R376" s="165"/>
      <c r="S376" s="165"/>
    </row>
    <row r="377">
      <c r="A377" s="165"/>
      <c r="B377" s="165"/>
      <c r="C377" s="165"/>
      <c r="D377" s="165"/>
      <c r="E377" s="166"/>
      <c r="F377" s="165"/>
      <c r="G377" s="167"/>
      <c r="H377" s="166"/>
      <c r="I377" s="167"/>
      <c r="J377" s="168"/>
      <c r="K377" s="169"/>
      <c r="L377" s="165"/>
      <c r="M377" s="165"/>
      <c r="N377" s="165"/>
      <c r="O377" s="165"/>
      <c r="P377" s="165"/>
      <c r="Q377" s="165"/>
      <c r="R377" s="165"/>
      <c r="S377" s="165"/>
    </row>
    <row r="378">
      <c r="A378" s="165"/>
      <c r="B378" s="165"/>
      <c r="C378" s="165"/>
      <c r="D378" s="165"/>
      <c r="E378" s="166"/>
      <c r="F378" s="165"/>
      <c r="G378" s="167"/>
      <c r="H378" s="166"/>
      <c r="I378" s="167"/>
      <c r="J378" s="168"/>
      <c r="K378" s="169"/>
      <c r="L378" s="165"/>
      <c r="M378" s="165"/>
      <c r="N378" s="165"/>
      <c r="O378" s="165"/>
      <c r="P378" s="165"/>
      <c r="Q378" s="165"/>
      <c r="R378" s="165"/>
      <c r="S378" s="165"/>
    </row>
    <row r="379">
      <c r="A379" s="165"/>
      <c r="B379" s="165"/>
      <c r="C379" s="165"/>
      <c r="D379" s="165"/>
      <c r="E379" s="166"/>
      <c r="F379" s="165"/>
      <c r="G379" s="167"/>
      <c r="H379" s="166"/>
      <c r="I379" s="167"/>
      <c r="J379" s="168"/>
      <c r="K379" s="169"/>
      <c r="L379" s="165"/>
      <c r="M379" s="165"/>
      <c r="N379" s="165"/>
      <c r="O379" s="165"/>
      <c r="P379" s="165"/>
      <c r="Q379" s="165"/>
      <c r="R379" s="165"/>
      <c r="S379" s="165"/>
    </row>
    <row r="380">
      <c r="A380" s="165"/>
      <c r="B380" s="165"/>
      <c r="C380" s="165"/>
      <c r="D380" s="165"/>
      <c r="E380" s="166"/>
      <c r="F380" s="165"/>
      <c r="G380" s="167"/>
      <c r="H380" s="166"/>
      <c r="I380" s="167"/>
      <c r="J380" s="168"/>
      <c r="K380" s="169"/>
      <c r="L380" s="165"/>
      <c r="M380" s="165"/>
      <c r="N380" s="165"/>
      <c r="O380" s="165"/>
      <c r="P380" s="165"/>
      <c r="Q380" s="165"/>
      <c r="R380" s="165"/>
      <c r="S380" s="165"/>
    </row>
    <row r="381">
      <c r="A381" s="165"/>
      <c r="B381" s="165"/>
      <c r="C381" s="165"/>
      <c r="D381" s="165"/>
      <c r="E381" s="166"/>
      <c r="F381" s="165"/>
      <c r="G381" s="167"/>
      <c r="H381" s="166"/>
      <c r="I381" s="167"/>
      <c r="J381" s="168"/>
      <c r="K381" s="169"/>
      <c r="L381" s="165"/>
      <c r="M381" s="165"/>
      <c r="N381" s="165"/>
      <c r="O381" s="165"/>
      <c r="P381" s="165"/>
      <c r="Q381" s="165"/>
      <c r="R381" s="165"/>
      <c r="S381" s="165"/>
    </row>
    <row r="382">
      <c r="A382" s="165"/>
      <c r="B382" s="165"/>
      <c r="C382" s="165"/>
      <c r="D382" s="165"/>
      <c r="E382" s="166"/>
      <c r="F382" s="165"/>
      <c r="G382" s="167"/>
      <c r="H382" s="166"/>
      <c r="I382" s="167"/>
      <c r="J382" s="168"/>
      <c r="K382" s="169"/>
      <c r="L382" s="165"/>
      <c r="M382" s="165"/>
      <c r="N382" s="165"/>
      <c r="O382" s="165"/>
      <c r="P382" s="165"/>
      <c r="Q382" s="165"/>
      <c r="R382" s="165"/>
      <c r="S382" s="165"/>
    </row>
    <row r="383">
      <c r="A383" s="165"/>
      <c r="B383" s="165"/>
      <c r="C383" s="165"/>
      <c r="D383" s="165"/>
      <c r="E383" s="166"/>
      <c r="F383" s="165"/>
      <c r="G383" s="167"/>
      <c r="H383" s="166"/>
      <c r="I383" s="167"/>
      <c r="J383" s="168"/>
      <c r="K383" s="169"/>
      <c r="L383" s="165"/>
      <c r="M383" s="165"/>
      <c r="N383" s="165"/>
      <c r="O383" s="165"/>
      <c r="P383" s="165"/>
      <c r="Q383" s="165"/>
      <c r="R383" s="165"/>
      <c r="S383" s="165"/>
    </row>
    <row r="384">
      <c r="A384" s="165"/>
      <c r="B384" s="165"/>
      <c r="C384" s="165"/>
      <c r="D384" s="165"/>
      <c r="E384" s="166"/>
      <c r="F384" s="165"/>
      <c r="G384" s="167"/>
      <c r="H384" s="166"/>
      <c r="I384" s="167"/>
      <c r="J384" s="168"/>
      <c r="K384" s="169"/>
      <c r="L384" s="165"/>
      <c r="M384" s="165"/>
      <c r="N384" s="165"/>
      <c r="O384" s="165"/>
      <c r="P384" s="165"/>
      <c r="Q384" s="165"/>
      <c r="R384" s="165"/>
      <c r="S384" s="165"/>
    </row>
    <row r="385">
      <c r="A385" s="165"/>
      <c r="B385" s="165"/>
      <c r="C385" s="165"/>
      <c r="D385" s="165"/>
      <c r="E385" s="166"/>
      <c r="F385" s="165"/>
      <c r="G385" s="167"/>
      <c r="H385" s="166"/>
      <c r="I385" s="167"/>
      <c r="J385" s="168"/>
      <c r="K385" s="169"/>
      <c r="L385" s="165"/>
      <c r="M385" s="165"/>
      <c r="N385" s="165"/>
      <c r="O385" s="165"/>
      <c r="P385" s="165"/>
      <c r="Q385" s="165"/>
      <c r="R385" s="165"/>
      <c r="S385" s="165"/>
    </row>
    <row r="386">
      <c r="A386" s="165"/>
      <c r="B386" s="165"/>
      <c r="C386" s="165"/>
      <c r="D386" s="165"/>
      <c r="E386" s="166"/>
      <c r="F386" s="165"/>
      <c r="G386" s="167"/>
      <c r="H386" s="166"/>
      <c r="I386" s="167"/>
      <c r="J386" s="168"/>
      <c r="K386" s="169"/>
      <c r="L386" s="165"/>
      <c r="M386" s="165"/>
      <c r="N386" s="165"/>
      <c r="O386" s="165"/>
      <c r="P386" s="165"/>
      <c r="Q386" s="165"/>
      <c r="R386" s="165"/>
      <c r="S386" s="165"/>
    </row>
    <row r="387">
      <c r="A387" s="165"/>
      <c r="B387" s="165"/>
      <c r="C387" s="165"/>
      <c r="D387" s="165"/>
      <c r="E387" s="166"/>
      <c r="F387" s="165"/>
      <c r="G387" s="167"/>
      <c r="H387" s="166"/>
      <c r="I387" s="167"/>
      <c r="J387" s="168"/>
      <c r="K387" s="169"/>
      <c r="L387" s="165"/>
      <c r="M387" s="165"/>
      <c r="N387" s="165"/>
      <c r="O387" s="165"/>
      <c r="P387" s="165"/>
      <c r="Q387" s="165"/>
      <c r="R387" s="165"/>
      <c r="S387" s="165"/>
    </row>
    <row r="388">
      <c r="A388" s="165"/>
      <c r="B388" s="165"/>
      <c r="C388" s="165"/>
      <c r="D388" s="165"/>
      <c r="E388" s="166"/>
      <c r="F388" s="165"/>
      <c r="G388" s="167"/>
      <c r="H388" s="166"/>
      <c r="I388" s="167"/>
      <c r="J388" s="168"/>
      <c r="K388" s="169"/>
      <c r="L388" s="165"/>
      <c r="M388" s="165"/>
      <c r="N388" s="165"/>
      <c r="O388" s="165"/>
      <c r="P388" s="165"/>
      <c r="Q388" s="165"/>
      <c r="R388" s="165"/>
      <c r="S388" s="165"/>
    </row>
    <row r="389">
      <c r="A389" s="165"/>
      <c r="B389" s="165"/>
      <c r="C389" s="165"/>
      <c r="D389" s="165"/>
      <c r="E389" s="166"/>
      <c r="F389" s="165"/>
      <c r="G389" s="167"/>
      <c r="H389" s="166"/>
      <c r="I389" s="167"/>
      <c r="J389" s="168"/>
      <c r="K389" s="169"/>
      <c r="L389" s="165"/>
      <c r="M389" s="165"/>
      <c r="N389" s="165"/>
      <c r="O389" s="165"/>
      <c r="P389" s="165"/>
      <c r="Q389" s="165"/>
      <c r="R389" s="165"/>
      <c r="S389" s="165"/>
    </row>
    <row r="390">
      <c r="A390" s="165"/>
      <c r="B390" s="165"/>
      <c r="C390" s="165"/>
      <c r="D390" s="165"/>
      <c r="E390" s="166"/>
      <c r="F390" s="165"/>
      <c r="G390" s="167"/>
      <c r="H390" s="166"/>
      <c r="I390" s="167"/>
      <c r="J390" s="168"/>
      <c r="K390" s="169"/>
      <c r="L390" s="165"/>
      <c r="M390" s="165"/>
      <c r="N390" s="165"/>
      <c r="O390" s="165"/>
      <c r="P390" s="165"/>
      <c r="Q390" s="165"/>
      <c r="R390" s="165"/>
      <c r="S390" s="165"/>
    </row>
    <row r="391">
      <c r="A391" s="165"/>
      <c r="B391" s="165"/>
      <c r="C391" s="165"/>
      <c r="D391" s="165"/>
      <c r="E391" s="166"/>
      <c r="F391" s="165"/>
      <c r="G391" s="167"/>
      <c r="H391" s="166"/>
      <c r="I391" s="167"/>
      <c r="J391" s="168"/>
      <c r="K391" s="169"/>
      <c r="L391" s="165"/>
      <c r="M391" s="165"/>
      <c r="N391" s="165"/>
      <c r="O391" s="165"/>
      <c r="P391" s="165"/>
      <c r="Q391" s="165"/>
      <c r="R391" s="165"/>
      <c r="S391" s="165"/>
    </row>
    <row r="392">
      <c r="A392" s="165"/>
      <c r="B392" s="165"/>
      <c r="C392" s="165"/>
      <c r="D392" s="165"/>
      <c r="E392" s="166"/>
      <c r="F392" s="165"/>
      <c r="G392" s="167"/>
      <c r="H392" s="166"/>
      <c r="I392" s="167"/>
      <c r="J392" s="168"/>
      <c r="K392" s="169"/>
      <c r="L392" s="165"/>
      <c r="M392" s="165"/>
      <c r="N392" s="165"/>
      <c r="O392" s="165"/>
      <c r="P392" s="165"/>
      <c r="Q392" s="165"/>
      <c r="R392" s="165"/>
      <c r="S392" s="165"/>
    </row>
    <row r="393">
      <c r="A393" s="165"/>
      <c r="B393" s="165"/>
      <c r="C393" s="165"/>
      <c r="D393" s="165"/>
      <c r="E393" s="166"/>
      <c r="F393" s="165"/>
      <c r="G393" s="167"/>
      <c r="H393" s="166"/>
      <c r="I393" s="167"/>
      <c r="J393" s="168"/>
      <c r="K393" s="169"/>
      <c r="L393" s="165"/>
      <c r="M393" s="165"/>
      <c r="N393" s="165"/>
      <c r="O393" s="165"/>
      <c r="P393" s="165"/>
      <c r="Q393" s="165"/>
      <c r="R393" s="165"/>
      <c r="S393" s="165"/>
    </row>
    <row r="394">
      <c r="A394" s="165"/>
      <c r="B394" s="165"/>
      <c r="C394" s="165"/>
      <c r="D394" s="165"/>
      <c r="E394" s="166"/>
      <c r="F394" s="165"/>
      <c r="G394" s="167"/>
      <c r="H394" s="166"/>
      <c r="I394" s="167"/>
      <c r="J394" s="168"/>
      <c r="K394" s="169"/>
      <c r="L394" s="165"/>
      <c r="M394" s="165"/>
      <c r="N394" s="165"/>
      <c r="O394" s="165"/>
      <c r="P394" s="165"/>
      <c r="Q394" s="165"/>
      <c r="R394" s="165"/>
      <c r="S394" s="165"/>
    </row>
    <row r="395">
      <c r="A395" s="165"/>
      <c r="B395" s="165"/>
      <c r="C395" s="165"/>
      <c r="D395" s="165"/>
      <c r="E395" s="166"/>
      <c r="F395" s="165"/>
      <c r="G395" s="167"/>
      <c r="H395" s="166"/>
      <c r="I395" s="167"/>
      <c r="J395" s="168"/>
      <c r="K395" s="169"/>
      <c r="L395" s="165"/>
      <c r="M395" s="165"/>
      <c r="N395" s="165"/>
      <c r="O395" s="165"/>
      <c r="P395" s="165"/>
      <c r="Q395" s="165"/>
      <c r="R395" s="165"/>
      <c r="S395" s="165"/>
    </row>
    <row r="396">
      <c r="A396" s="165"/>
      <c r="B396" s="165"/>
      <c r="C396" s="165"/>
      <c r="D396" s="165"/>
      <c r="E396" s="166"/>
      <c r="F396" s="165"/>
      <c r="G396" s="167"/>
      <c r="H396" s="166"/>
      <c r="I396" s="167"/>
      <c r="J396" s="168"/>
      <c r="K396" s="169"/>
      <c r="L396" s="165"/>
      <c r="M396" s="165"/>
      <c r="N396" s="165"/>
      <c r="O396" s="165"/>
      <c r="P396" s="165"/>
      <c r="Q396" s="165"/>
      <c r="R396" s="165"/>
      <c r="S396" s="165"/>
    </row>
    <row r="397">
      <c r="A397" s="165"/>
      <c r="B397" s="165"/>
      <c r="C397" s="165"/>
      <c r="D397" s="165"/>
      <c r="E397" s="166"/>
      <c r="F397" s="165"/>
      <c r="G397" s="167"/>
      <c r="H397" s="166"/>
      <c r="I397" s="167"/>
      <c r="J397" s="168"/>
      <c r="K397" s="169"/>
      <c r="L397" s="165"/>
      <c r="M397" s="165"/>
      <c r="N397" s="165"/>
      <c r="O397" s="165"/>
      <c r="P397" s="165"/>
      <c r="Q397" s="165"/>
      <c r="R397" s="165"/>
      <c r="S397" s="165"/>
    </row>
    <row r="398">
      <c r="A398" s="165"/>
      <c r="B398" s="165"/>
      <c r="C398" s="165"/>
      <c r="D398" s="165"/>
      <c r="E398" s="166"/>
      <c r="F398" s="165"/>
      <c r="G398" s="167"/>
      <c r="H398" s="166"/>
      <c r="I398" s="167"/>
      <c r="J398" s="168"/>
      <c r="K398" s="169"/>
      <c r="L398" s="165"/>
      <c r="M398" s="165"/>
      <c r="N398" s="165"/>
      <c r="O398" s="165"/>
      <c r="P398" s="165"/>
      <c r="Q398" s="165"/>
      <c r="R398" s="165"/>
      <c r="S398" s="165"/>
    </row>
    <row r="399">
      <c r="A399" s="165"/>
      <c r="B399" s="165"/>
      <c r="C399" s="165"/>
      <c r="D399" s="165"/>
      <c r="E399" s="166"/>
      <c r="F399" s="165"/>
      <c r="G399" s="167"/>
      <c r="H399" s="166"/>
      <c r="I399" s="167"/>
      <c r="J399" s="168"/>
      <c r="K399" s="169"/>
      <c r="L399" s="165"/>
      <c r="M399" s="165"/>
      <c r="N399" s="165"/>
      <c r="O399" s="165"/>
      <c r="P399" s="165"/>
      <c r="Q399" s="165"/>
      <c r="R399" s="165"/>
      <c r="S399" s="165"/>
    </row>
    <row r="400">
      <c r="A400" s="165"/>
      <c r="B400" s="165"/>
      <c r="C400" s="165"/>
      <c r="D400" s="165"/>
      <c r="E400" s="166"/>
      <c r="F400" s="165"/>
      <c r="G400" s="167"/>
      <c r="H400" s="166"/>
      <c r="I400" s="167"/>
      <c r="J400" s="168"/>
      <c r="K400" s="169"/>
      <c r="L400" s="165"/>
      <c r="M400" s="165"/>
      <c r="N400" s="165"/>
      <c r="O400" s="165"/>
      <c r="P400" s="165"/>
      <c r="Q400" s="165"/>
      <c r="R400" s="165"/>
      <c r="S400" s="165"/>
    </row>
    <row r="401">
      <c r="A401" s="165"/>
      <c r="B401" s="165"/>
      <c r="C401" s="165"/>
      <c r="D401" s="165"/>
      <c r="E401" s="166"/>
      <c r="F401" s="165"/>
      <c r="G401" s="167"/>
      <c r="H401" s="166"/>
      <c r="I401" s="167"/>
      <c r="J401" s="168"/>
      <c r="K401" s="169"/>
      <c r="L401" s="165"/>
      <c r="M401" s="165"/>
      <c r="N401" s="165"/>
      <c r="O401" s="165"/>
      <c r="P401" s="165"/>
      <c r="Q401" s="165"/>
      <c r="R401" s="165"/>
      <c r="S401" s="165"/>
    </row>
    <row r="402">
      <c r="A402" s="165"/>
      <c r="B402" s="165"/>
      <c r="C402" s="165"/>
      <c r="D402" s="165"/>
      <c r="E402" s="166"/>
      <c r="F402" s="165"/>
      <c r="G402" s="167"/>
      <c r="H402" s="166"/>
      <c r="I402" s="167"/>
      <c r="J402" s="168"/>
      <c r="K402" s="169"/>
      <c r="L402" s="165"/>
      <c r="M402" s="165"/>
      <c r="N402" s="165"/>
      <c r="O402" s="165"/>
      <c r="P402" s="165"/>
      <c r="Q402" s="165"/>
      <c r="R402" s="165"/>
      <c r="S402" s="165"/>
    </row>
    <row r="403">
      <c r="A403" s="165"/>
      <c r="B403" s="165"/>
      <c r="C403" s="165"/>
      <c r="D403" s="165"/>
      <c r="E403" s="166"/>
      <c r="F403" s="165"/>
      <c r="G403" s="167"/>
      <c r="H403" s="166"/>
      <c r="I403" s="167"/>
      <c r="J403" s="168"/>
      <c r="K403" s="169"/>
      <c r="L403" s="165"/>
      <c r="M403" s="165"/>
      <c r="N403" s="165"/>
      <c r="O403" s="165"/>
      <c r="P403" s="165"/>
      <c r="Q403" s="165"/>
      <c r="R403" s="165"/>
      <c r="S403" s="165"/>
    </row>
    <row r="404">
      <c r="A404" s="165"/>
      <c r="B404" s="165"/>
      <c r="C404" s="165"/>
      <c r="D404" s="165"/>
      <c r="E404" s="166"/>
      <c r="F404" s="165"/>
      <c r="G404" s="167"/>
      <c r="H404" s="166"/>
      <c r="I404" s="167"/>
      <c r="J404" s="168"/>
      <c r="K404" s="169"/>
      <c r="L404" s="165"/>
      <c r="M404" s="165"/>
      <c r="N404" s="165"/>
      <c r="O404" s="165"/>
      <c r="P404" s="165"/>
      <c r="Q404" s="165"/>
      <c r="R404" s="165"/>
      <c r="S404" s="165"/>
    </row>
    <row r="405">
      <c r="A405" s="165"/>
      <c r="B405" s="165"/>
      <c r="C405" s="165"/>
      <c r="D405" s="165"/>
      <c r="E405" s="166"/>
      <c r="F405" s="165"/>
      <c r="G405" s="167"/>
      <c r="H405" s="166"/>
      <c r="I405" s="167"/>
      <c r="J405" s="168"/>
      <c r="K405" s="169"/>
      <c r="L405" s="165"/>
      <c r="M405" s="165"/>
      <c r="N405" s="165"/>
      <c r="O405" s="165"/>
      <c r="P405" s="165"/>
      <c r="Q405" s="165"/>
      <c r="R405" s="165"/>
      <c r="S405" s="165"/>
    </row>
    <row r="406">
      <c r="A406" s="165"/>
      <c r="B406" s="165"/>
      <c r="C406" s="165"/>
      <c r="D406" s="165"/>
      <c r="E406" s="166"/>
      <c r="F406" s="165"/>
      <c r="G406" s="167"/>
      <c r="H406" s="166"/>
      <c r="I406" s="167"/>
      <c r="J406" s="168"/>
      <c r="K406" s="169"/>
      <c r="L406" s="165"/>
      <c r="M406" s="165"/>
      <c r="N406" s="165"/>
      <c r="O406" s="165"/>
      <c r="P406" s="165"/>
      <c r="Q406" s="165"/>
      <c r="R406" s="165"/>
      <c r="S406" s="165"/>
    </row>
    <row r="407">
      <c r="A407" s="165"/>
      <c r="B407" s="165"/>
      <c r="C407" s="165"/>
      <c r="D407" s="165"/>
      <c r="E407" s="166"/>
      <c r="F407" s="165"/>
      <c r="G407" s="167"/>
      <c r="H407" s="166"/>
      <c r="I407" s="167"/>
      <c r="J407" s="168"/>
      <c r="K407" s="169"/>
      <c r="L407" s="165"/>
      <c r="M407" s="165"/>
      <c r="N407" s="165"/>
      <c r="O407" s="165"/>
      <c r="P407" s="165"/>
      <c r="Q407" s="165"/>
      <c r="R407" s="165"/>
      <c r="S407" s="165"/>
    </row>
    <row r="408">
      <c r="A408" s="165"/>
      <c r="B408" s="165"/>
      <c r="C408" s="165"/>
      <c r="D408" s="165"/>
      <c r="E408" s="166"/>
      <c r="F408" s="165"/>
      <c r="G408" s="167"/>
      <c r="H408" s="166"/>
      <c r="I408" s="167"/>
      <c r="J408" s="168"/>
      <c r="K408" s="169"/>
      <c r="L408" s="165"/>
      <c r="M408" s="165"/>
      <c r="N408" s="165"/>
      <c r="O408" s="165"/>
      <c r="P408" s="165"/>
      <c r="Q408" s="165"/>
      <c r="R408" s="165"/>
      <c r="S408" s="165"/>
    </row>
    <row r="409">
      <c r="A409" s="165"/>
      <c r="B409" s="165"/>
      <c r="C409" s="165"/>
      <c r="D409" s="165"/>
      <c r="E409" s="166"/>
      <c r="F409" s="165"/>
      <c r="G409" s="167"/>
      <c r="H409" s="166"/>
      <c r="I409" s="167"/>
      <c r="J409" s="168"/>
      <c r="K409" s="169"/>
      <c r="L409" s="165"/>
      <c r="M409" s="165"/>
      <c r="N409" s="165"/>
      <c r="O409" s="165"/>
      <c r="P409" s="165"/>
      <c r="Q409" s="165"/>
      <c r="R409" s="165"/>
      <c r="S409" s="165"/>
    </row>
    <row r="410">
      <c r="A410" s="165"/>
      <c r="B410" s="165"/>
      <c r="C410" s="165"/>
      <c r="D410" s="165"/>
      <c r="E410" s="166"/>
      <c r="F410" s="165"/>
      <c r="G410" s="167"/>
      <c r="H410" s="166"/>
      <c r="I410" s="167"/>
      <c r="J410" s="168"/>
      <c r="K410" s="169"/>
      <c r="L410" s="165"/>
      <c r="M410" s="165"/>
      <c r="N410" s="165"/>
      <c r="O410" s="165"/>
      <c r="P410" s="165"/>
      <c r="Q410" s="165"/>
      <c r="R410" s="165"/>
      <c r="S410" s="165"/>
    </row>
    <row r="411">
      <c r="A411" s="165"/>
      <c r="B411" s="165"/>
      <c r="C411" s="165"/>
      <c r="D411" s="165"/>
      <c r="E411" s="166"/>
      <c r="F411" s="165"/>
      <c r="G411" s="167"/>
      <c r="H411" s="166"/>
      <c r="I411" s="167"/>
      <c r="J411" s="168"/>
      <c r="K411" s="169"/>
      <c r="L411" s="165"/>
      <c r="M411" s="165"/>
      <c r="N411" s="165"/>
      <c r="O411" s="165"/>
      <c r="P411" s="165"/>
      <c r="Q411" s="165"/>
      <c r="R411" s="165"/>
      <c r="S411" s="165"/>
    </row>
    <row r="412">
      <c r="A412" s="165"/>
      <c r="B412" s="165"/>
      <c r="C412" s="165"/>
      <c r="D412" s="165"/>
      <c r="E412" s="166"/>
      <c r="F412" s="165"/>
      <c r="G412" s="167"/>
      <c r="H412" s="166"/>
      <c r="I412" s="167"/>
      <c r="J412" s="168"/>
      <c r="K412" s="169"/>
      <c r="L412" s="165"/>
      <c r="M412" s="165"/>
      <c r="N412" s="165"/>
      <c r="O412" s="165"/>
      <c r="P412" s="165"/>
      <c r="Q412" s="165"/>
      <c r="R412" s="165"/>
      <c r="S412" s="165"/>
    </row>
    <row r="413">
      <c r="A413" s="165"/>
      <c r="B413" s="165"/>
      <c r="C413" s="165"/>
      <c r="D413" s="165"/>
      <c r="E413" s="166"/>
      <c r="F413" s="165"/>
      <c r="G413" s="167"/>
      <c r="H413" s="166"/>
      <c r="I413" s="167"/>
      <c r="J413" s="168"/>
      <c r="K413" s="169"/>
      <c r="L413" s="165"/>
      <c r="M413" s="165"/>
      <c r="N413" s="165"/>
      <c r="O413" s="165"/>
      <c r="P413" s="165"/>
      <c r="Q413" s="165"/>
      <c r="R413" s="165"/>
      <c r="S413" s="165"/>
    </row>
    <row r="414">
      <c r="A414" s="165"/>
      <c r="B414" s="165"/>
      <c r="C414" s="165"/>
      <c r="D414" s="165"/>
      <c r="E414" s="166"/>
      <c r="F414" s="165"/>
      <c r="G414" s="167"/>
      <c r="H414" s="166"/>
      <c r="I414" s="167"/>
      <c r="J414" s="168"/>
      <c r="K414" s="169"/>
      <c r="L414" s="165"/>
      <c r="M414" s="165"/>
      <c r="N414" s="165"/>
      <c r="O414" s="165"/>
      <c r="P414" s="165"/>
      <c r="Q414" s="165"/>
      <c r="R414" s="165"/>
      <c r="S414" s="165"/>
    </row>
    <row r="415">
      <c r="A415" s="165"/>
      <c r="B415" s="165"/>
      <c r="C415" s="165"/>
      <c r="D415" s="165"/>
      <c r="E415" s="166"/>
      <c r="F415" s="165"/>
      <c r="G415" s="167"/>
      <c r="H415" s="166"/>
      <c r="I415" s="167"/>
      <c r="J415" s="168"/>
      <c r="K415" s="169"/>
      <c r="L415" s="165"/>
      <c r="M415" s="165"/>
      <c r="N415" s="165"/>
      <c r="O415" s="165"/>
      <c r="P415" s="165"/>
      <c r="Q415" s="165"/>
      <c r="R415" s="165"/>
      <c r="S415" s="165"/>
    </row>
    <row r="416">
      <c r="A416" s="165"/>
      <c r="B416" s="165"/>
      <c r="C416" s="165"/>
      <c r="D416" s="165"/>
      <c r="E416" s="166"/>
      <c r="F416" s="165"/>
      <c r="G416" s="167"/>
      <c r="H416" s="166"/>
      <c r="I416" s="167"/>
      <c r="J416" s="168"/>
      <c r="K416" s="169"/>
      <c r="L416" s="165"/>
      <c r="M416" s="165"/>
      <c r="N416" s="165"/>
      <c r="O416" s="165"/>
      <c r="P416" s="165"/>
      <c r="Q416" s="165"/>
      <c r="R416" s="165"/>
      <c r="S416" s="165"/>
    </row>
    <row r="417">
      <c r="A417" s="165"/>
      <c r="B417" s="165"/>
      <c r="C417" s="165"/>
      <c r="D417" s="165"/>
      <c r="E417" s="166"/>
      <c r="F417" s="165"/>
      <c r="G417" s="167"/>
      <c r="H417" s="166"/>
      <c r="I417" s="167"/>
      <c r="J417" s="168"/>
      <c r="K417" s="169"/>
      <c r="L417" s="165"/>
      <c r="M417" s="165"/>
      <c r="N417" s="165"/>
      <c r="O417" s="165"/>
      <c r="P417" s="165"/>
      <c r="Q417" s="165"/>
      <c r="R417" s="165"/>
      <c r="S417" s="165"/>
    </row>
    <row r="418">
      <c r="A418" s="165"/>
      <c r="B418" s="165"/>
      <c r="C418" s="165"/>
      <c r="D418" s="165"/>
      <c r="E418" s="166"/>
      <c r="F418" s="165"/>
      <c r="G418" s="167"/>
      <c r="H418" s="166"/>
      <c r="I418" s="167"/>
      <c r="J418" s="168"/>
      <c r="K418" s="169"/>
      <c r="L418" s="165"/>
      <c r="M418" s="165"/>
      <c r="N418" s="165"/>
      <c r="O418" s="165"/>
      <c r="P418" s="165"/>
      <c r="Q418" s="165"/>
      <c r="R418" s="165"/>
      <c r="S418" s="165"/>
    </row>
    <row r="419">
      <c r="A419" s="165"/>
      <c r="B419" s="165"/>
      <c r="C419" s="165"/>
      <c r="D419" s="165"/>
      <c r="E419" s="166"/>
      <c r="F419" s="165"/>
      <c r="G419" s="167"/>
      <c r="H419" s="166"/>
      <c r="I419" s="167"/>
      <c r="J419" s="168"/>
      <c r="K419" s="169"/>
      <c r="L419" s="165"/>
      <c r="M419" s="165"/>
      <c r="N419" s="165"/>
      <c r="O419" s="165"/>
      <c r="P419" s="165"/>
      <c r="Q419" s="165"/>
      <c r="R419" s="165"/>
      <c r="S419" s="165"/>
    </row>
    <row r="420">
      <c r="A420" s="165"/>
      <c r="B420" s="165"/>
      <c r="C420" s="165"/>
      <c r="D420" s="165"/>
      <c r="E420" s="166"/>
      <c r="F420" s="165"/>
      <c r="G420" s="167"/>
      <c r="H420" s="166"/>
      <c r="I420" s="167"/>
      <c r="J420" s="168"/>
      <c r="K420" s="169"/>
      <c r="L420" s="165"/>
      <c r="M420" s="165"/>
      <c r="N420" s="165"/>
      <c r="O420" s="165"/>
      <c r="P420" s="165"/>
      <c r="Q420" s="165"/>
      <c r="R420" s="165"/>
      <c r="S420" s="165"/>
    </row>
    <row r="421">
      <c r="A421" s="165"/>
      <c r="B421" s="165"/>
      <c r="C421" s="165"/>
      <c r="D421" s="165"/>
      <c r="E421" s="166"/>
      <c r="F421" s="165"/>
      <c r="G421" s="167"/>
      <c r="H421" s="166"/>
      <c r="I421" s="167"/>
      <c r="J421" s="168"/>
      <c r="K421" s="169"/>
      <c r="L421" s="165"/>
      <c r="M421" s="165"/>
      <c r="N421" s="165"/>
      <c r="O421" s="165"/>
      <c r="P421" s="165"/>
      <c r="Q421" s="165"/>
      <c r="R421" s="165"/>
      <c r="S421" s="165"/>
    </row>
    <row r="422">
      <c r="A422" s="165"/>
      <c r="B422" s="165"/>
      <c r="C422" s="165"/>
      <c r="D422" s="165"/>
      <c r="E422" s="166"/>
      <c r="F422" s="165"/>
      <c r="G422" s="167"/>
      <c r="H422" s="166"/>
      <c r="I422" s="167"/>
      <c r="J422" s="168"/>
      <c r="K422" s="169"/>
      <c r="L422" s="165"/>
      <c r="M422" s="165"/>
      <c r="N422" s="165"/>
      <c r="O422" s="165"/>
      <c r="P422" s="165"/>
      <c r="Q422" s="165"/>
      <c r="R422" s="165"/>
      <c r="S422" s="165"/>
    </row>
    <row r="423">
      <c r="A423" s="165"/>
      <c r="B423" s="165"/>
      <c r="C423" s="165"/>
      <c r="D423" s="165"/>
      <c r="E423" s="166"/>
      <c r="F423" s="165"/>
      <c r="G423" s="167"/>
      <c r="H423" s="166"/>
      <c r="I423" s="167"/>
      <c r="J423" s="168"/>
      <c r="K423" s="169"/>
      <c r="L423" s="165"/>
      <c r="M423" s="165"/>
      <c r="N423" s="165"/>
      <c r="O423" s="165"/>
      <c r="P423" s="165"/>
      <c r="Q423" s="165"/>
      <c r="R423" s="165"/>
      <c r="S423" s="165"/>
    </row>
    <row r="424">
      <c r="A424" s="165"/>
      <c r="B424" s="165"/>
      <c r="C424" s="165"/>
      <c r="D424" s="165"/>
      <c r="E424" s="166"/>
      <c r="F424" s="165"/>
      <c r="G424" s="167"/>
      <c r="H424" s="166"/>
      <c r="I424" s="167"/>
      <c r="J424" s="168"/>
      <c r="K424" s="169"/>
      <c r="L424" s="165"/>
      <c r="M424" s="165"/>
      <c r="N424" s="165"/>
      <c r="O424" s="165"/>
      <c r="P424" s="165"/>
      <c r="Q424" s="165"/>
      <c r="R424" s="165"/>
      <c r="S424" s="165"/>
    </row>
    <row r="425">
      <c r="A425" s="165"/>
      <c r="B425" s="165"/>
      <c r="C425" s="165"/>
      <c r="D425" s="165"/>
      <c r="E425" s="166"/>
      <c r="F425" s="165"/>
      <c r="G425" s="167"/>
      <c r="H425" s="166"/>
      <c r="I425" s="167"/>
      <c r="J425" s="168"/>
      <c r="K425" s="169"/>
      <c r="L425" s="165"/>
      <c r="M425" s="165"/>
      <c r="N425" s="165"/>
      <c r="O425" s="165"/>
      <c r="P425" s="165"/>
      <c r="Q425" s="165"/>
      <c r="R425" s="165"/>
      <c r="S425" s="165"/>
    </row>
    <row r="426">
      <c r="A426" s="165"/>
      <c r="B426" s="165"/>
      <c r="C426" s="165"/>
      <c r="D426" s="165"/>
      <c r="E426" s="166"/>
      <c r="F426" s="165"/>
      <c r="G426" s="167"/>
      <c r="H426" s="166"/>
      <c r="I426" s="167"/>
      <c r="J426" s="168"/>
      <c r="K426" s="169"/>
      <c r="L426" s="165"/>
      <c r="M426" s="165"/>
      <c r="N426" s="165"/>
      <c r="O426" s="165"/>
      <c r="P426" s="165"/>
      <c r="Q426" s="165"/>
      <c r="R426" s="165"/>
      <c r="S426" s="165"/>
    </row>
    <row r="427">
      <c r="A427" s="165"/>
      <c r="B427" s="165"/>
      <c r="C427" s="165"/>
      <c r="D427" s="165"/>
      <c r="E427" s="166"/>
      <c r="F427" s="165"/>
      <c r="G427" s="167"/>
      <c r="H427" s="166"/>
      <c r="I427" s="167"/>
      <c r="J427" s="168"/>
      <c r="K427" s="169"/>
      <c r="L427" s="165"/>
      <c r="M427" s="165"/>
      <c r="N427" s="165"/>
      <c r="O427" s="165"/>
      <c r="P427" s="165"/>
      <c r="Q427" s="165"/>
      <c r="R427" s="165"/>
      <c r="S427" s="165"/>
    </row>
    <row r="428">
      <c r="A428" s="165"/>
      <c r="B428" s="165"/>
      <c r="C428" s="165"/>
      <c r="D428" s="165"/>
      <c r="E428" s="166"/>
      <c r="F428" s="165"/>
      <c r="G428" s="167"/>
      <c r="H428" s="166"/>
      <c r="I428" s="167"/>
      <c r="J428" s="168"/>
      <c r="K428" s="169"/>
      <c r="L428" s="165"/>
      <c r="M428" s="165"/>
      <c r="N428" s="165"/>
      <c r="O428" s="165"/>
      <c r="P428" s="165"/>
      <c r="Q428" s="165"/>
      <c r="R428" s="165"/>
      <c r="S428" s="165"/>
    </row>
    <row r="429">
      <c r="A429" s="165"/>
      <c r="B429" s="165"/>
      <c r="C429" s="165"/>
      <c r="D429" s="165"/>
      <c r="E429" s="166"/>
      <c r="F429" s="165"/>
      <c r="G429" s="167"/>
      <c r="H429" s="166"/>
      <c r="I429" s="167"/>
      <c r="J429" s="168"/>
      <c r="K429" s="169"/>
      <c r="L429" s="165"/>
      <c r="M429" s="165"/>
      <c r="N429" s="165"/>
      <c r="O429" s="165"/>
      <c r="P429" s="165"/>
      <c r="Q429" s="165"/>
      <c r="R429" s="165"/>
      <c r="S429" s="165"/>
    </row>
    <row r="430">
      <c r="A430" s="165"/>
      <c r="B430" s="165"/>
      <c r="C430" s="165"/>
      <c r="D430" s="165"/>
      <c r="E430" s="166"/>
      <c r="F430" s="165"/>
      <c r="G430" s="167"/>
      <c r="H430" s="166"/>
      <c r="I430" s="167"/>
      <c r="J430" s="168"/>
      <c r="K430" s="169"/>
      <c r="L430" s="165"/>
      <c r="M430" s="165"/>
      <c r="N430" s="165"/>
      <c r="O430" s="165"/>
      <c r="P430" s="165"/>
      <c r="Q430" s="165"/>
      <c r="R430" s="165"/>
      <c r="S430" s="165"/>
    </row>
    <row r="431">
      <c r="A431" s="165"/>
      <c r="B431" s="165"/>
      <c r="C431" s="165"/>
      <c r="D431" s="165"/>
      <c r="E431" s="166"/>
      <c r="F431" s="165"/>
      <c r="G431" s="167"/>
      <c r="H431" s="166"/>
      <c r="I431" s="167"/>
      <c r="J431" s="168"/>
      <c r="K431" s="169"/>
      <c r="L431" s="165"/>
      <c r="M431" s="165"/>
      <c r="N431" s="165"/>
      <c r="O431" s="165"/>
      <c r="P431" s="165"/>
      <c r="Q431" s="165"/>
      <c r="R431" s="165"/>
      <c r="S431" s="165"/>
    </row>
    <row r="432">
      <c r="A432" s="165"/>
      <c r="B432" s="165"/>
      <c r="C432" s="165"/>
      <c r="D432" s="165"/>
      <c r="E432" s="166"/>
      <c r="F432" s="165"/>
      <c r="G432" s="167"/>
      <c r="H432" s="166"/>
      <c r="I432" s="167"/>
      <c r="J432" s="168"/>
      <c r="K432" s="169"/>
      <c r="L432" s="165"/>
      <c r="M432" s="165"/>
      <c r="N432" s="165"/>
      <c r="O432" s="165"/>
      <c r="P432" s="165"/>
      <c r="Q432" s="165"/>
      <c r="R432" s="165"/>
      <c r="S432" s="165"/>
    </row>
    <row r="433">
      <c r="A433" s="165"/>
      <c r="B433" s="165"/>
      <c r="C433" s="165"/>
      <c r="D433" s="165"/>
      <c r="E433" s="166"/>
      <c r="F433" s="165"/>
      <c r="G433" s="167"/>
      <c r="H433" s="166"/>
      <c r="I433" s="167"/>
      <c r="J433" s="168"/>
      <c r="K433" s="169"/>
      <c r="L433" s="165"/>
      <c r="M433" s="165"/>
      <c r="N433" s="165"/>
      <c r="O433" s="165"/>
      <c r="P433" s="165"/>
      <c r="Q433" s="165"/>
      <c r="R433" s="165"/>
      <c r="S433" s="165"/>
    </row>
    <row r="434">
      <c r="A434" s="165"/>
      <c r="B434" s="165"/>
      <c r="C434" s="165"/>
      <c r="D434" s="165"/>
      <c r="E434" s="166"/>
      <c r="F434" s="165"/>
      <c r="G434" s="167"/>
      <c r="H434" s="166"/>
      <c r="I434" s="167"/>
      <c r="J434" s="168"/>
      <c r="K434" s="169"/>
      <c r="L434" s="165"/>
      <c r="M434" s="165"/>
      <c r="N434" s="165"/>
      <c r="O434" s="165"/>
      <c r="P434" s="165"/>
      <c r="Q434" s="165"/>
      <c r="R434" s="165"/>
      <c r="S434" s="165"/>
    </row>
    <row r="435">
      <c r="A435" s="165"/>
      <c r="B435" s="165"/>
      <c r="C435" s="165"/>
      <c r="D435" s="165"/>
      <c r="E435" s="166"/>
      <c r="F435" s="165"/>
      <c r="G435" s="167"/>
      <c r="H435" s="166"/>
      <c r="I435" s="167"/>
      <c r="J435" s="168"/>
      <c r="K435" s="169"/>
      <c r="L435" s="165"/>
      <c r="M435" s="165"/>
      <c r="N435" s="165"/>
      <c r="O435" s="165"/>
      <c r="P435" s="165"/>
      <c r="Q435" s="165"/>
      <c r="R435" s="165"/>
      <c r="S435" s="165"/>
    </row>
    <row r="436">
      <c r="A436" s="165"/>
      <c r="B436" s="165"/>
      <c r="C436" s="165"/>
      <c r="D436" s="165"/>
      <c r="E436" s="166"/>
      <c r="F436" s="165"/>
      <c r="G436" s="167"/>
      <c r="H436" s="166"/>
      <c r="I436" s="167"/>
      <c r="J436" s="168"/>
      <c r="K436" s="169"/>
      <c r="L436" s="165"/>
      <c r="M436" s="165"/>
      <c r="N436" s="165"/>
      <c r="O436" s="165"/>
      <c r="P436" s="165"/>
      <c r="Q436" s="165"/>
      <c r="R436" s="165"/>
      <c r="S436" s="165"/>
    </row>
    <row r="437">
      <c r="A437" s="165"/>
      <c r="B437" s="165"/>
      <c r="C437" s="165"/>
      <c r="D437" s="165"/>
      <c r="E437" s="166"/>
      <c r="F437" s="165"/>
      <c r="G437" s="167"/>
      <c r="H437" s="166"/>
      <c r="I437" s="167"/>
      <c r="J437" s="168"/>
      <c r="K437" s="169"/>
      <c r="L437" s="165"/>
      <c r="M437" s="165"/>
      <c r="N437" s="165"/>
      <c r="O437" s="165"/>
      <c r="P437" s="165"/>
      <c r="Q437" s="165"/>
      <c r="R437" s="165"/>
      <c r="S437" s="165"/>
    </row>
    <row r="438">
      <c r="A438" s="165"/>
      <c r="B438" s="165"/>
      <c r="C438" s="165"/>
      <c r="D438" s="165"/>
      <c r="E438" s="166"/>
      <c r="F438" s="165"/>
      <c r="G438" s="167"/>
      <c r="H438" s="166"/>
      <c r="I438" s="167"/>
      <c r="J438" s="168"/>
      <c r="K438" s="169"/>
      <c r="L438" s="165"/>
      <c r="M438" s="165"/>
      <c r="N438" s="165"/>
      <c r="O438" s="165"/>
      <c r="P438" s="165"/>
      <c r="Q438" s="165"/>
      <c r="R438" s="165"/>
      <c r="S438" s="165"/>
    </row>
    <row r="439">
      <c r="A439" s="165"/>
      <c r="B439" s="165"/>
      <c r="C439" s="165"/>
      <c r="D439" s="165"/>
      <c r="E439" s="166"/>
      <c r="F439" s="165"/>
      <c r="G439" s="167"/>
      <c r="H439" s="166"/>
      <c r="I439" s="167"/>
      <c r="J439" s="168"/>
      <c r="K439" s="169"/>
      <c r="L439" s="165"/>
      <c r="M439" s="165"/>
      <c r="N439" s="165"/>
      <c r="O439" s="165"/>
      <c r="P439" s="165"/>
      <c r="Q439" s="165"/>
      <c r="R439" s="165"/>
      <c r="S439" s="165"/>
    </row>
    <row r="440">
      <c r="A440" s="165"/>
      <c r="B440" s="165"/>
      <c r="C440" s="165"/>
      <c r="D440" s="165"/>
      <c r="E440" s="166"/>
      <c r="F440" s="165"/>
      <c r="G440" s="167"/>
      <c r="H440" s="166"/>
      <c r="I440" s="167"/>
      <c r="J440" s="168"/>
      <c r="K440" s="169"/>
      <c r="L440" s="165"/>
      <c r="M440" s="165"/>
      <c r="N440" s="165"/>
      <c r="O440" s="165"/>
      <c r="P440" s="165"/>
      <c r="Q440" s="165"/>
      <c r="R440" s="165"/>
      <c r="S440" s="165"/>
    </row>
    <row r="441">
      <c r="A441" s="165"/>
      <c r="B441" s="165"/>
      <c r="C441" s="165"/>
      <c r="D441" s="165"/>
      <c r="E441" s="166"/>
      <c r="F441" s="165"/>
      <c r="G441" s="167"/>
      <c r="H441" s="166"/>
      <c r="I441" s="167"/>
      <c r="J441" s="168"/>
      <c r="K441" s="169"/>
      <c r="L441" s="165"/>
      <c r="M441" s="165"/>
      <c r="N441" s="165"/>
      <c r="O441" s="165"/>
      <c r="P441" s="165"/>
      <c r="Q441" s="165"/>
      <c r="R441" s="165"/>
      <c r="S441" s="165"/>
    </row>
    <row r="442">
      <c r="A442" s="165"/>
      <c r="B442" s="165"/>
      <c r="C442" s="165"/>
      <c r="D442" s="165"/>
      <c r="E442" s="166"/>
      <c r="F442" s="165"/>
      <c r="G442" s="167"/>
      <c r="H442" s="166"/>
      <c r="I442" s="167"/>
      <c r="J442" s="168"/>
      <c r="K442" s="169"/>
      <c r="L442" s="165"/>
      <c r="M442" s="165"/>
      <c r="N442" s="165"/>
      <c r="O442" s="165"/>
      <c r="P442" s="165"/>
      <c r="Q442" s="165"/>
      <c r="R442" s="165"/>
      <c r="S442" s="165"/>
    </row>
    <row r="443">
      <c r="A443" s="165"/>
      <c r="B443" s="165"/>
      <c r="C443" s="165"/>
      <c r="D443" s="165"/>
      <c r="E443" s="166"/>
      <c r="F443" s="165"/>
      <c r="G443" s="167"/>
      <c r="H443" s="166"/>
      <c r="I443" s="167"/>
      <c r="J443" s="168"/>
      <c r="K443" s="169"/>
      <c r="L443" s="165"/>
      <c r="M443" s="165"/>
      <c r="N443" s="165"/>
      <c r="O443" s="165"/>
      <c r="P443" s="165"/>
      <c r="Q443" s="165"/>
      <c r="R443" s="165"/>
      <c r="S443" s="165"/>
    </row>
    <row r="444">
      <c r="A444" s="165"/>
      <c r="B444" s="165"/>
      <c r="C444" s="165"/>
      <c r="D444" s="165"/>
      <c r="E444" s="166"/>
      <c r="F444" s="165"/>
      <c r="G444" s="167"/>
      <c r="H444" s="166"/>
      <c r="I444" s="167"/>
      <c r="J444" s="168"/>
      <c r="K444" s="169"/>
      <c r="L444" s="165"/>
      <c r="M444" s="165"/>
      <c r="N444" s="165"/>
      <c r="O444" s="165"/>
      <c r="P444" s="165"/>
      <c r="Q444" s="165"/>
      <c r="R444" s="165"/>
      <c r="S444" s="165"/>
    </row>
    <row r="445">
      <c r="A445" s="165"/>
      <c r="B445" s="165"/>
      <c r="C445" s="165"/>
      <c r="D445" s="165"/>
      <c r="E445" s="166"/>
      <c r="F445" s="165"/>
      <c r="G445" s="167"/>
      <c r="H445" s="166"/>
      <c r="I445" s="167"/>
      <c r="J445" s="168"/>
      <c r="K445" s="169"/>
      <c r="L445" s="165"/>
      <c r="M445" s="165"/>
      <c r="N445" s="165"/>
      <c r="O445" s="165"/>
      <c r="P445" s="165"/>
      <c r="Q445" s="165"/>
      <c r="R445" s="165"/>
      <c r="S445" s="165"/>
    </row>
    <row r="446">
      <c r="A446" s="165"/>
      <c r="B446" s="165"/>
      <c r="C446" s="165"/>
      <c r="D446" s="165"/>
      <c r="E446" s="166"/>
      <c r="F446" s="165"/>
      <c r="G446" s="167"/>
      <c r="H446" s="166"/>
      <c r="I446" s="167"/>
      <c r="J446" s="168"/>
      <c r="K446" s="169"/>
      <c r="L446" s="165"/>
      <c r="M446" s="165"/>
      <c r="N446" s="165"/>
      <c r="O446" s="165"/>
      <c r="P446" s="165"/>
      <c r="Q446" s="165"/>
      <c r="R446" s="165"/>
      <c r="S446" s="165"/>
    </row>
    <row r="447">
      <c r="A447" s="165"/>
      <c r="B447" s="165"/>
      <c r="C447" s="165"/>
      <c r="D447" s="165"/>
      <c r="E447" s="166"/>
      <c r="F447" s="165"/>
      <c r="G447" s="167"/>
      <c r="H447" s="166"/>
      <c r="I447" s="167"/>
      <c r="J447" s="168"/>
      <c r="K447" s="169"/>
      <c r="L447" s="165"/>
      <c r="M447" s="165"/>
      <c r="N447" s="165"/>
      <c r="O447" s="165"/>
      <c r="P447" s="165"/>
      <c r="Q447" s="165"/>
      <c r="R447" s="165"/>
      <c r="S447" s="165"/>
    </row>
    <row r="448">
      <c r="A448" s="165"/>
      <c r="B448" s="165"/>
      <c r="C448" s="165"/>
      <c r="D448" s="165"/>
      <c r="E448" s="166"/>
      <c r="F448" s="165"/>
      <c r="G448" s="167"/>
      <c r="H448" s="166"/>
      <c r="I448" s="167"/>
      <c r="J448" s="168"/>
      <c r="K448" s="169"/>
      <c r="L448" s="165"/>
      <c r="M448" s="165"/>
      <c r="N448" s="165"/>
      <c r="O448" s="165"/>
      <c r="P448" s="165"/>
      <c r="Q448" s="165"/>
      <c r="R448" s="165"/>
      <c r="S448" s="165"/>
    </row>
    <row r="449">
      <c r="A449" s="165"/>
      <c r="B449" s="165"/>
      <c r="C449" s="165"/>
      <c r="D449" s="165"/>
      <c r="E449" s="166"/>
      <c r="F449" s="165"/>
      <c r="G449" s="167"/>
      <c r="H449" s="166"/>
      <c r="I449" s="167"/>
      <c r="J449" s="168"/>
      <c r="K449" s="169"/>
      <c r="L449" s="165"/>
      <c r="M449" s="165"/>
      <c r="N449" s="165"/>
      <c r="O449" s="165"/>
      <c r="P449" s="165"/>
      <c r="Q449" s="165"/>
      <c r="R449" s="165"/>
      <c r="S449" s="165"/>
    </row>
    <row r="450">
      <c r="A450" s="165"/>
      <c r="B450" s="165"/>
      <c r="C450" s="165"/>
      <c r="D450" s="165"/>
      <c r="E450" s="166"/>
      <c r="F450" s="165"/>
      <c r="G450" s="167"/>
      <c r="H450" s="166"/>
      <c r="I450" s="167"/>
      <c r="J450" s="168"/>
      <c r="K450" s="169"/>
      <c r="L450" s="165"/>
      <c r="M450" s="165"/>
      <c r="N450" s="165"/>
      <c r="O450" s="165"/>
      <c r="P450" s="165"/>
      <c r="Q450" s="165"/>
      <c r="R450" s="165"/>
      <c r="S450" s="165"/>
    </row>
    <row r="451">
      <c r="A451" s="165"/>
      <c r="B451" s="165"/>
      <c r="C451" s="165"/>
      <c r="D451" s="165"/>
      <c r="E451" s="166"/>
      <c r="F451" s="165"/>
      <c r="G451" s="167"/>
      <c r="H451" s="166"/>
      <c r="I451" s="167"/>
      <c r="J451" s="168"/>
      <c r="K451" s="169"/>
      <c r="L451" s="165"/>
      <c r="M451" s="165"/>
      <c r="N451" s="165"/>
      <c r="O451" s="165"/>
      <c r="P451" s="165"/>
      <c r="Q451" s="165"/>
      <c r="R451" s="165"/>
      <c r="S451" s="165"/>
    </row>
    <row r="452">
      <c r="A452" s="165"/>
      <c r="B452" s="165"/>
      <c r="C452" s="165"/>
      <c r="D452" s="165"/>
      <c r="E452" s="166"/>
      <c r="F452" s="165"/>
      <c r="G452" s="167"/>
      <c r="H452" s="166"/>
      <c r="I452" s="167"/>
      <c r="J452" s="168"/>
      <c r="K452" s="169"/>
      <c r="L452" s="165"/>
      <c r="M452" s="165"/>
      <c r="N452" s="165"/>
      <c r="O452" s="165"/>
      <c r="P452" s="165"/>
      <c r="Q452" s="165"/>
      <c r="R452" s="165"/>
      <c r="S452" s="165"/>
    </row>
    <row r="453">
      <c r="A453" s="165"/>
      <c r="B453" s="165"/>
      <c r="C453" s="165"/>
      <c r="D453" s="165"/>
      <c r="E453" s="166"/>
      <c r="F453" s="165"/>
      <c r="G453" s="167"/>
      <c r="H453" s="166"/>
      <c r="I453" s="167"/>
      <c r="J453" s="168"/>
      <c r="K453" s="169"/>
      <c r="L453" s="165"/>
      <c r="M453" s="165"/>
      <c r="N453" s="165"/>
      <c r="O453" s="165"/>
      <c r="P453" s="165"/>
      <c r="Q453" s="165"/>
      <c r="R453" s="165"/>
      <c r="S453" s="165"/>
    </row>
    <row r="454">
      <c r="A454" s="165"/>
      <c r="B454" s="165"/>
      <c r="C454" s="165"/>
      <c r="D454" s="165"/>
      <c r="E454" s="166"/>
      <c r="F454" s="165"/>
      <c r="G454" s="167"/>
      <c r="H454" s="166"/>
      <c r="I454" s="167"/>
      <c r="J454" s="168"/>
      <c r="K454" s="169"/>
      <c r="L454" s="165"/>
      <c r="M454" s="165"/>
      <c r="N454" s="165"/>
      <c r="O454" s="165"/>
      <c r="P454" s="165"/>
      <c r="Q454" s="165"/>
      <c r="R454" s="165"/>
      <c r="S454" s="165"/>
    </row>
    <row r="455">
      <c r="A455" s="165"/>
      <c r="B455" s="165"/>
      <c r="C455" s="165"/>
      <c r="D455" s="165"/>
      <c r="E455" s="166"/>
      <c r="F455" s="165"/>
      <c r="G455" s="167"/>
      <c r="H455" s="166"/>
      <c r="I455" s="167"/>
      <c r="J455" s="168"/>
      <c r="K455" s="169"/>
      <c r="L455" s="165"/>
      <c r="M455" s="165"/>
      <c r="N455" s="165"/>
      <c r="O455" s="165"/>
      <c r="P455" s="165"/>
      <c r="Q455" s="165"/>
      <c r="R455" s="165"/>
      <c r="S455" s="165"/>
    </row>
    <row r="456">
      <c r="A456" s="165"/>
      <c r="B456" s="165"/>
      <c r="C456" s="165"/>
      <c r="D456" s="165"/>
      <c r="E456" s="166"/>
      <c r="F456" s="165"/>
      <c r="G456" s="167"/>
      <c r="H456" s="166"/>
      <c r="I456" s="167"/>
      <c r="J456" s="168"/>
      <c r="K456" s="169"/>
      <c r="L456" s="165"/>
      <c r="M456" s="165"/>
      <c r="N456" s="165"/>
      <c r="O456" s="165"/>
      <c r="P456" s="165"/>
      <c r="Q456" s="165"/>
      <c r="R456" s="165"/>
      <c r="S456" s="165"/>
    </row>
    <row r="457">
      <c r="A457" s="165"/>
      <c r="B457" s="165"/>
      <c r="C457" s="165"/>
      <c r="D457" s="165"/>
      <c r="E457" s="166"/>
      <c r="F457" s="165"/>
      <c r="G457" s="167"/>
      <c r="H457" s="166"/>
      <c r="I457" s="167"/>
      <c r="J457" s="168"/>
      <c r="K457" s="169"/>
      <c r="L457" s="165"/>
      <c r="M457" s="165"/>
      <c r="N457" s="165"/>
      <c r="O457" s="165"/>
      <c r="P457" s="165"/>
      <c r="Q457" s="165"/>
      <c r="R457" s="165"/>
      <c r="S457" s="165"/>
    </row>
    <row r="458">
      <c r="A458" s="165"/>
      <c r="B458" s="165"/>
      <c r="C458" s="165"/>
      <c r="D458" s="165"/>
      <c r="E458" s="166"/>
      <c r="F458" s="165"/>
      <c r="G458" s="167"/>
      <c r="H458" s="166"/>
      <c r="I458" s="167"/>
      <c r="J458" s="168"/>
      <c r="K458" s="169"/>
      <c r="L458" s="165"/>
      <c r="M458" s="165"/>
      <c r="N458" s="165"/>
      <c r="O458" s="165"/>
      <c r="P458" s="165"/>
      <c r="Q458" s="165"/>
      <c r="R458" s="165"/>
      <c r="S458" s="165"/>
    </row>
    <row r="459">
      <c r="A459" s="165"/>
      <c r="B459" s="165"/>
      <c r="C459" s="165"/>
      <c r="D459" s="165"/>
      <c r="E459" s="166"/>
      <c r="F459" s="165"/>
      <c r="G459" s="167"/>
      <c r="H459" s="166"/>
      <c r="I459" s="167"/>
      <c r="J459" s="168"/>
      <c r="K459" s="169"/>
      <c r="L459" s="165"/>
      <c r="M459" s="165"/>
      <c r="N459" s="165"/>
      <c r="O459" s="165"/>
      <c r="P459" s="165"/>
      <c r="Q459" s="165"/>
      <c r="R459" s="165"/>
      <c r="S459" s="165"/>
    </row>
    <row r="460">
      <c r="A460" s="165"/>
      <c r="B460" s="165"/>
      <c r="C460" s="165"/>
      <c r="D460" s="165"/>
      <c r="E460" s="166"/>
      <c r="F460" s="165"/>
      <c r="G460" s="167"/>
      <c r="H460" s="166"/>
      <c r="I460" s="167"/>
      <c r="J460" s="168"/>
      <c r="K460" s="169"/>
      <c r="L460" s="165"/>
      <c r="M460" s="165"/>
      <c r="N460" s="165"/>
      <c r="O460" s="165"/>
      <c r="P460" s="165"/>
      <c r="Q460" s="165"/>
      <c r="R460" s="165"/>
      <c r="S460" s="165"/>
    </row>
    <row r="461">
      <c r="A461" s="165"/>
      <c r="B461" s="165"/>
      <c r="C461" s="165"/>
      <c r="D461" s="165"/>
      <c r="E461" s="166"/>
      <c r="F461" s="165"/>
      <c r="G461" s="167"/>
      <c r="H461" s="166"/>
      <c r="I461" s="167"/>
      <c r="J461" s="168"/>
      <c r="K461" s="169"/>
      <c r="L461" s="165"/>
      <c r="M461" s="165"/>
      <c r="N461" s="165"/>
      <c r="O461" s="165"/>
      <c r="P461" s="165"/>
      <c r="Q461" s="165"/>
      <c r="R461" s="165"/>
      <c r="S461" s="165"/>
    </row>
    <row r="462">
      <c r="A462" s="165"/>
      <c r="B462" s="165"/>
      <c r="C462" s="165"/>
      <c r="D462" s="165"/>
      <c r="E462" s="166"/>
      <c r="F462" s="165"/>
      <c r="G462" s="167"/>
      <c r="H462" s="166"/>
      <c r="I462" s="167"/>
      <c r="J462" s="168"/>
      <c r="K462" s="169"/>
      <c r="L462" s="165"/>
      <c r="M462" s="165"/>
      <c r="N462" s="165"/>
      <c r="O462" s="165"/>
      <c r="P462" s="165"/>
      <c r="Q462" s="165"/>
      <c r="R462" s="165"/>
      <c r="S462" s="165"/>
    </row>
    <row r="463">
      <c r="A463" s="165"/>
      <c r="B463" s="165"/>
      <c r="C463" s="165"/>
      <c r="D463" s="165"/>
      <c r="E463" s="166"/>
      <c r="F463" s="165"/>
      <c r="G463" s="167"/>
      <c r="H463" s="166"/>
      <c r="I463" s="167"/>
      <c r="J463" s="168"/>
      <c r="K463" s="169"/>
      <c r="L463" s="165"/>
      <c r="M463" s="165"/>
      <c r="N463" s="165"/>
      <c r="O463" s="165"/>
      <c r="P463" s="165"/>
      <c r="Q463" s="165"/>
      <c r="R463" s="165"/>
      <c r="S463" s="165"/>
    </row>
    <row r="464">
      <c r="A464" s="165"/>
      <c r="B464" s="165"/>
      <c r="C464" s="165"/>
      <c r="D464" s="165"/>
      <c r="E464" s="166"/>
      <c r="F464" s="165"/>
      <c r="G464" s="167"/>
      <c r="H464" s="166"/>
      <c r="I464" s="167"/>
      <c r="J464" s="168"/>
      <c r="K464" s="169"/>
      <c r="L464" s="165"/>
      <c r="M464" s="165"/>
      <c r="N464" s="165"/>
      <c r="O464" s="165"/>
      <c r="P464" s="165"/>
      <c r="Q464" s="165"/>
      <c r="R464" s="165"/>
      <c r="S464" s="165"/>
    </row>
    <row r="465">
      <c r="A465" s="165"/>
      <c r="B465" s="165"/>
      <c r="C465" s="165"/>
      <c r="D465" s="165"/>
      <c r="E465" s="166"/>
      <c r="F465" s="165"/>
      <c r="G465" s="167"/>
      <c r="H465" s="166"/>
      <c r="I465" s="167"/>
      <c r="J465" s="168"/>
      <c r="K465" s="169"/>
      <c r="L465" s="165"/>
      <c r="M465" s="165"/>
      <c r="N465" s="165"/>
      <c r="O465" s="165"/>
      <c r="P465" s="165"/>
      <c r="Q465" s="165"/>
      <c r="R465" s="165"/>
      <c r="S465" s="165"/>
    </row>
    <row r="466">
      <c r="A466" s="165"/>
      <c r="B466" s="165"/>
      <c r="C466" s="165"/>
      <c r="D466" s="165"/>
      <c r="E466" s="166"/>
      <c r="F466" s="165"/>
      <c r="G466" s="167"/>
      <c r="H466" s="166"/>
      <c r="I466" s="167"/>
      <c r="J466" s="168"/>
      <c r="K466" s="169"/>
      <c r="L466" s="165"/>
      <c r="M466" s="165"/>
      <c r="N466" s="165"/>
      <c r="O466" s="165"/>
      <c r="P466" s="165"/>
      <c r="Q466" s="165"/>
      <c r="R466" s="165"/>
      <c r="S466" s="165"/>
    </row>
    <row r="467">
      <c r="A467" s="165"/>
      <c r="B467" s="165"/>
      <c r="C467" s="165"/>
      <c r="D467" s="165"/>
      <c r="E467" s="166"/>
      <c r="F467" s="165"/>
      <c r="G467" s="167"/>
      <c r="H467" s="166"/>
      <c r="I467" s="167"/>
      <c r="J467" s="168"/>
      <c r="K467" s="169"/>
      <c r="L467" s="165"/>
      <c r="M467" s="165"/>
      <c r="N467" s="165"/>
      <c r="O467" s="165"/>
      <c r="P467" s="165"/>
      <c r="Q467" s="165"/>
      <c r="R467" s="165"/>
      <c r="S467" s="165"/>
    </row>
    <row r="468">
      <c r="A468" s="165"/>
      <c r="B468" s="165"/>
      <c r="C468" s="165"/>
      <c r="D468" s="165"/>
      <c r="E468" s="166"/>
      <c r="F468" s="165"/>
      <c r="G468" s="167"/>
      <c r="H468" s="166"/>
      <c r="I468" s="167"/>
      <c r="J468" s="168"/>
      <c r="K468" s="169"/>
      <c r="L468" s="165"/>
      <c r="M468" s="165"/>
      <c r="N468" s="165"/>
      <c r="O468" s="165"/>
      <c r="P468" s="165"/>
      <c r="Q468" s="165"/>
      <c r="R468" s="165"/>
      <c r="S468" s="165"/>
    </row>
    <row r="469">
      <c r="A469" s="165"/>
      <c r="B469" s="165"/>
      <c r="C469" s="165"/>
      <c r="D469" s="165"/>
      <c r="E469" s="166"/>
      <c r="F469" s="165"/>
      <c r="G469" s="167"/>
      <c r="H469" s="166"/>
      <c r="I469" s="167"/>
      <c r="J469" s="168"/>
      <c r="K469" s="169"/>
      <c r="L469" s="165"/>
      <c r="M469" s="165"/>
      <c r="N469" s="165"/>
      <c r="O469" s="165"/>
      <c r="P469" s="165"/>
      <c r="Q469" s="165"/>
      <c r="R469" s="165"/>
      <c r="S469" s="165"/>
    </row>
    <row r="470">
      <c r="A470" s="165"/>
      <c r="B470" s="165"/>
      <c r="C470" s="165"/>
      <c r="D470" s="165"/>
      <c r="E470" s="166"/>
      <c r="F470" s="165"/>
      <c r="G470" s="167"/>
      <c r="H470" s="166"/>
      <c r="I470" s="167"/>
      <c r="J470" s="168"/>
      <c r="K470" s="169"/>
      <c r="L470" s="165"/>
      <c r="M470" s="165"/>
      <c r="N470" s="165"/>
      <c r="O470" s="165"/>
      <c r="P470" s="165"/>
      <c r="Q470" s="165"/>
      <c r="R470" s="165"/>
      <c r="S470" s="165"/>
    </row>
    <row r="471">
      <c r="A471" s="165"/>
      <c r="B471" s="165"/>
      <c r="C471" s="165"/>
      <c r="D471" s="165"/>
      <c r="E471" s="166"/>
      <c r="F471" s="165"/>
      <c r="G471" s="167"/>
      <c r="H471" s="166"/>
      <c r="I471" s="167"/>
      <c r="J471" s="168"/>
      <c r="K471" s="169"/>
      <c r="L471" s="165"/>
      <c r="M471" s="165"/>
      <c r="N471" s="165"/>
      <c r="O471" s="165"/>
      <c r="P471" s="165"/>
      <c r="Q471" s="165"/>
      <c r="R471" s="165"/>
      <c r="S471" s="165"/>
    </row>
    <row r="472">
      <c r="A472" s="165"/>
      <c r="B472" s="165"/>
      <c r="C472" s="165"/>
      <c r="D472" s="165"/>
      <c r="E472" s="166"/>
      <c r="F472" s="165"/>
      <c r="G472" s="167"/>
      <c r="H472" s="166"/>
      <c r="I472" s="167"/>
      <c r="J472" s="168"/>
      <c r="K472" s="169"/>
      <c r="L472" s="165"/>
      <c r="M472" s="165"/>
      <c r="N472" s="165"/>
      <c r="O472" s="165"/>
      <c r="P472" s="165"/>
      <c r="Q472" s="165"/>
      <c r="R472" s="165"/>
      <c r="S472" s="165"/>
    </row>
    <row r="473">
      <c r="A473" s="165"/>
      <c r="B473" s="165"/>
      <c r="C473" s="165"/>
      <c r="D473" s="165"/>
      <c r="E473" s="166"/>
      <c r="F473" s="165"/>
      <c r="G473" s="167"/>
      <c r="H473" s="166"/>
      <c r="I473" s="167"/>
      <c r="J473" s="168"/>
      <c r="K473" s="169"/>
      <c r="L473" s="165"/>
      <c r="M473" s="165"/>
      <c r="N473" s="165"/>
      <c r="O473" s="165"/>
      <c r="P473" s="165"/>
      <c r="Q473" s="165"/>
      <c r="R473" s="165"/>
      <c r="S473" s="165"/>
    </row>
    <row r="474">
      <c r="A474" s="165"/>
      <c r="B474" s="165"/>
      <c r="C474" s="165"/>
      <c r="D474" s="165"/>
      <c r="E474" s="166"/>
      <c r="F474" s="165"/>
      <c r="G474" s="167"/>
      <c r="H474" s="166"/>
      <c r="I474" s="167"/>
      <c r="J474" s="168"/>
      <c r="K474" s="169"/>
      <c r="L474" s="165"/>
      <c r="M474" s="165"/>
      <c r="N474" s="165"/>
      <c r="O474" s="165"/>
      <c r="P474" s="165"/>
      <c r="Q474" s="165"/>
      <c r="R474" s="165"/>
      <c r="S474" s="165"/>
    </row>
    <row r="475">
      <c r="A475" s="165"/>
      <c r="B475" s="165"/>
      <c r="C475" s="165"/>
      <c r="D475" s="165"/>
      <c r="E475" s="166"/>
      <c r="F475" s="165"/>
      <c r="G475" s="167"/>
      <c r="H475" s="166"/>
      <c r="I475" s="167"/>
      <c r="J475" s="168"/>
      <c r="K475" s="169"/>
      <c r="L475" s="165"/>
      <c r="M475" s="165"/>
      <c r="N475" s="165"/>
      <c r="O475" s="165"/>
      <c r="P475" s="165"/>
      <c r="Q475" s="165"/>
      <c r="R475" s="165"/>
      <c r="S475" s="165"/>
    </row>
    <row r="476">
      <c r="A476" s="165"/>
      <c r="B476" s="165"/>
      <c r="C476" s="165"/>
      <c r="D476" s="165"/>
      <c r="E476" s="166"/>
      <c r="F476" s="165"/>
      <c r="G476" s="167"/>
      <c r="H476" s="166"/>
      <c r="I476" s="167"/>
      <c r="J476" s="168"/>
      <c r="K476" s="169"/>
      <c r="L476" s="165"/>
      <c r="M476" s="165"/>
      <c r="N476" s="165"/>
      <c r="O476" s="165"/>
      <c r="P476" s="165"/>
      <c r="Q476" s="165"/>
      <c r="R476" s="165"/>
      <c r="S476" s="165"/>
    </row>
    <row r="477">
      <c r="A477" s="165"/>
      <c r="B477" s="165"/>
      <c r="C477" s="165"/>
      <c r="D477" s="165"/>
      <c r="E477" s="166"/>
      <c r="F477" s="165"/>
      <c r="G477" s="167"/>
      <c r="H477" s="166"/>
      <c r="I477" s="167"/>
      <c r="J477" s="168"/>
      <c r="K477" s="169"/>
      <c r="L477" s="165"/>
      <c r="M477" s="165"/>
      <c r="N477" s="165"/>
      <c r="O477" s="165"/>
      <c r="P477" s="165"/>
      <c r="Q477" s="165"/>
      <c r="R477" s="165"/>
      <c r="S477" s="165"/>
    </row>
    <row r="478">
      <c r="A478" s="165"/>
      <c r="B478" s="165"/>
      <c r="C478" s="165"/>
      <c r="D478" s="165"/>
      <c r="E478" s="166"/>
      <c r="F478" s="165"/>
      <c r="G478" s="167"/>
      <c r="H478" s="166"/>
      <c r="I478" s="167"/>
      <c r="J478" s="168"/>
      <c r="K478" s="169"/>
      <c r="L478" s="165"/>
      <c r="M478" s="165"/>
      <c r="N478" s="165"/>
      <c r="O478" s="165"/>
      <c r="P478" s="165"/>
      <c r="Q478" s="165"/>
      <c r="R478" s="165"/>
      <c r="S478" s="165"/>
    </row>
    <row r="479">
      <c r="A479" s="165"/>
      <c r="B479" s="165"/>
      <c r="C479" s="165"/>
      <c r="D479" s="165"/>
      <c r="E479" s="166"/>
      <c r="F479" s="165"/>
      <c r="G479" s="167"/>
      <c r="H479" s="166"/>
      <c r="I479" s="167"/>
      <c r="J479" s="168"/>
      <c r="K479" s="169"/>
      <c r="L479" s="165"/>
      <c r="M479" s="165"/>
      <c r="N479" s="165"/>
      <c r="O479" s="165"/>
      <c r="P479" s="165"/>
      <c r="Q479" s="165"/>
      <c r="R479" s="165"/>
      <c r="S479" s="165"/>
    </row>
    <row r="480">
      <c r="A480" s="165"/>
      <c r="B480" s="165"/>
      <c r="C480" s="165"/>
      <c r="D480" s="165"/>
      <c r="E480" s="166"/>
      <c r="F480" s="165"/>
      <c r="G480" s="167"/>
      <c r="H480" s="166"/>
      <c r="I480" s="167"/>
      <c r="J480" s="168"/>
      <c r="K480" s="169"/>
      <c r="L480" s="165"/>
      <c r="M480" s="165"/>
      <c r="N480" s="165"/>
      <c r="O480" s="165"/>
      <c r="P480" s="165"/>
      <c r="Q480" s="165"/>
      <c r="R480" s="165"/>
      <c r="S480" s="165"/>
    </row>
    <row r="481">
      <c r="A481" s="165"/>
      <c r="B481" s="165"/>
      <c r="C481" s="165"/>
      <c r="D481" s="165"/>
      <c r="E481" s="166"/>
      <c r="F481" s="165"/>
      <c r="G481" s="167"/>
      <c r="H481" s="166"/>
      <c r="I481" s="167"/>
      <c r="J481" s="168"/>
      <c r="K481" s="169"/>
      <c r="L481" s="165"/>
      <c r="M481" s="165"/>
      <c r="N481" s="165"/>
      <c r="O481" s="165"/>
      <c r="P481" s="165"/>
      <c r="Q481" s="165"/>
      <c r="R481" s="165"/>
      <c r="S481" s="165"/>
    </row>
    <row r="482">
      <c r="A482" s="165"/>
      <c r="B482" s="165"/>
      <c r="C482" s="165"/>
      <c r="D482" s="165"/>
      <c r="E482" s="166"/>
      <c r="F482" s="165"/>
      <c r="G482" s="167"/>
      <c r="H482" s="166"/>
      <c r="I482" s="167"/>
      <c r="J482" s="168"/>
      <c r="K482" s="169"/>
      <c r="L482" s="165"/>
      <c r="M482" s="165"/>
      <c r="N482" s="165"/>
      <c r="O482" s="165"/>
      <c r="P482" s="165"/>
      <c r="Q482" s="165"/>
      <c r="R482" s="165"/>
      <c r="S482" s="165"/>
    </row>
    <row r="483">
      <c r="A483" s="165"/>
      <c r="B483" s="165"/>
      <c r="C483" s="165"/>
      <c r="D483" s="165"/>
      <c r="E483" s="166"/>
      <c r="F483" s="165"/>
      <c r="G483" s="167"/>
      <c r="H483" s="166"/>
      <c r="I483" s="167"/>
      <c r="J483" s="168"/>
      <c r="K483" s="169"/>
      <c r="L483" s="165"/>
      <c r="M483" s="165"/>
      <c r="N483" s="165"/>
      <c r="O483" s="165"/>
      <c r="P483" s="165"/>
      <c r="Q483" s="165"/>
      <c r="R483" s="165"/>
      <c r="S483" s="165"/>
    </row>
    <row r="484">
      <c r="A484" s="165"/>
      <c r="B484" s="165"/>
      <c r="C484" s="165"/>
      <c r="D484" s="165"/>
      <c r="E484" s="166"/>
      <c r="F484" s="165"/>
      <c r="G484" s="167"/>
      <c r="H484" s="166"/>
      <c r="I484" s="167"/>
      <c r="J484" s="168"/>
      <c r="K484" s="169"/>
      <c r="L484" s="165"/>
      <c r="M484" s="165"/>
      <c r="N484" s="165"/>
      <c r="O484" s="165"/>
      <c r="P484" s="165"/>
      <c r="Q484" s="165"/>
      <c r="R484" s="165"/>
      <c r="S484" s="165"/>
    </row>
    <row r="485">
      <c r="A485" s="165"/>
      <c r="B485" s="165"/>
      <c r="C485" s="165"/>
      <c r="D485" s="165"/>
      <c r="E485" s="166"/>
      <c r="F485" s="165"/>
      <c r="G485" s="167"/>
      <c r="H485" s="166"/>
      <c r="I485" s="167"/>
      <c r="J485" s="168"/>
      <c r="K485" s="169"/>
      <c r="L485" s="165"/>
      <c r="M485" s="165"/>
      <c r="N485" s="165"/>
      <c r="O485" s="165"/>
      <c r="P485" s="165"/>
      <c r="Q485" s="165"/>
      <c r="R485" s="165"/>
      <c r="S485" s="165"/>
    </row>
    <row r="486">
      <c r="A486" s="165"/>
      <c r="B486" s="165"/>
      <c r="C486" s="165"/>
      <c r="D486" s="165"/>
      <c r="E486" s="166"/>
      <c r="F486" s="165"/>
      <c r="G486" s="167"/>
      <c r="H486" s="166"/>
      <c r="I486" s="167"/>
      <c r="J486" s="168"/>
      <c r="K486" s="169"/>
      <c r="L486" s="165"/>
      <c r="M486" s="165"/>
      <c r="N486" s="165"/>
      <c r="O486" s="165"/>
      <c r="P486" s="165"/>
      <c r="Q486" s="165"/>
      <c r="R486" s="165"/>
      <c r="S486" s="165"/>
    </row>
    <row r="487">
      <c r="A487" s="165"/>
      <c r="B487" s="165"/>
      <c r="C487" s="165"/>
      <c r="D487" s="165"/>
      <c r="E487" s="166"/>
      <c r="F487" s="165"/>
      <c r="G487" s="167"/>
      <c r="H487" s="166"/>
      <c r="I487" s="167"/>
      <c r="J487" s="168"/>
      <c r="K487" s="169"/>
      <c r="L487" s="165"/>
      <c r="M487" s="165"/>
      <c r="N487" s="165"/>
      <c r="O487" s="165"/>
      <c r="P487" s="165"/>
      <c r="Q487" s="165"/>
      <c r="R487" s="165"/>
      <c r="S487" s="165"/>
    </row>
    <row r="488">
      <c r="A488" s="165"/>
      <c r="B488" s="165"/>
      <c r="C488" s="165"/>
      <c r="D488" s="165"/>
      <c r="E488" s="166"/>
      <c r="F488" s="165"/>
      <c r="G488" s="167"/>
      <c r="H488" s="166"/>
      <c r="I488" s="167"/>
      <c r="J488" s="168"/>
      <c r="K488" s="169"/>
      <c r="L488" s="165"/>
      <c r="M488" s="165"/>
      <c r="N488" s="165"/>
      <c r="O488" s="165"/>
      <c r="P488" s="165"/>
      <c r="Q488" s="165"/>
      <c r="R488" s="165"/>
      <c r="S488" s="165"/>
    </row>
    <row r="489">
      <c r="A489" s="165"/>
      <c r="B489" s="165"/>
      <c r="C489" s="165"/>
      <c r="D489" s="165"/>
      <c r="E489" s="166"/>
      <c r="F489" s="165"/>
      <c r="G489" s="167"/>
      <c r="H489" s="166"/>
      <c r="I489" s="167"/>
      <c r="J489" s="168"/>
      <c r="K489" s="169"/>
      <c r="L489" s="165"/>
      <c r="M489" s="165"/>
      <c r="N489" s="165"/>
      <c r="O489" s="165"/>
      <c r="P489" s="165"/>
      <c r="Q489" s="165"/>
      <c r="R489" s="165"/>
      <c r="S489" s="165"/>
    </row>
    <row r="490">
      <c r="A490" s="165"/>
      <c r="B490" s="165"/>
      <c r="C490" s="165"/>
      <c r="D490" s="165"/>
      <c r="E490" s="166"/>
      <c r="F490" s="165"/>
      <c r="G490" s="167"/>
      <c r="H490" s="166"/>
      <c r="I490" s="167"/>
      <c r="J490" s="168"/>
      <c r="K490" s="169"/>
      <c r="L490" s="165"/>
      <c r="M490" s="165"/>
      <c r="N490" s="165"/>
      <c r="O490" s="165"/>
      <c r="P490" s="165"/>
      <c r="Q490" s="165"/>
      <c r="R490" s="165"/>
      <c r="S490" s="165"/>
    </row>
    <row r="491">
      <c r="A491" s="165"/>
      <c r="B491" s="165"/>
      <c r="C491" s="165"/>
      <c r="D491" s="165"/>
      <c r="E491" s="166"/>
      <c r="F491" s="165"/>
      <c r="G491" s="167"/>
      <c r="H491" s="166"/>
      <c r="I491" s="167"/>
      <c r="J491" s="168"/>
      <c r="K491" s="169"/>
      <c r="L491" s="165"/>
      <c r="M491" s="165"/>
      <c r="N491" s="165"/>
      <c r="O491" s="165"/>
      <c r="P491" s="165"/>
      <c r="Q491" s="165"/>
      <c r="R491" s="165"/>
      <c r="S491" s="165"/>
    </row>
    <row r="492">
      <c r="A492" s="165"/>
      <c r="B492" s="165"/>
      <c r="C492" s="165"/>
      <c r="D492" s="165"/>
      <c r="E492" s="166"/>
      <c r="F492" s="165"/>
      <c r="G492" s="167"/>
      <c r="H492" s="166"/>
      <c r="I492" s="167"/>
      <c r="J492" s="168"/>
      <c r="K492" s="169"/>
      <c r="L492" s="165"/>
      <c r="M492" s="165"/>
      <c r="N492" s="165"/>
      <c r="O492" s="165"/>
      <c r="P492" s="165"/>
      <c r="Q492" s="165"/>
      <c r="R492" s="165"/>
      <c r="S492" s="165"/>
    </row>
    <row r="493">
      <c r="A493" s="165"/>
      <c r="B493" s="165"/>
      <c r="C493" s="165"/>
      <c r="D493" s="165"/>
      <c r="E493" s="166"/>
      <c r="F493" s="165"/>
      <c r="G493" s="167"/>
      <c r="H493" s="166"/>
      <c r="I493" s="167"/>
      <c r="J493" s="168"/>
      <c r="K493" s="169"/>
      <c r="L493" s="165"/>
      <c r="M493" s="165"/>
      <c r="N493" s="165"/>
      <c r="O493" s="165"/>
      <c r="P493" s="165"/>
      <c r="Q493" s="165"/>
      <c r="R493" s="165"/>
      <c r="S493" s="165"/>
    </row>
    <row r="494">
      <c r="A494" s="165"/>
      <c r="B494" s="165"/>
      <c r="C494" s="165"/>
      <c r="D494" s="165"/>
      <c r="E494" s="166"/>
      <c r="F494" s="165"/>
      <c r="G494" s="167"/>
      <c r="H494" s="166"/>
      <c r="I494" s="167"/>
      <c r="J494" s="168"/>
      <c r="K494" s="169"/>
      <c r="L494" s="165"/>
      <c r="M494" s="165"/>
      <c r="N494" s="165"/>
      <c r="O494" s="165"/>
      <c r="P494" s="165"/>
      <c r="Q494" s="165"/>
      <c r="R494" s="165"/>
      <c r="S494" s="165"/>
    </row>
    <row r="495">
      <c r="A495" s="165"/>
      <c r="B495" s="165"/>
      <c r="C495" s="165"/>
      <c r="D495" s="165"/>
      <c r="E495" s="166"/>
      <c r="F495" s="165"/>
      <c r="G495" s="167"/>
      <c r="H495" s="166"/>
      <c r="I495" s="167"/>
      <c r="J495" s="168"/>
      <c r="K495" s="169"/>
      <c r="L495" s="165"/>
      <c r="M495" s="165"/>
      <c r="N495" s="165"/>
      <c r="O495" s="165"/>
      <c r="P495" s="165"/>
      <c r="Q495" s="165"/>
      <c r="R495" s="165"/>
      <c r="S495" s="165"/>
    </row>
    <row r="496">
      <c r="A496" s="165"/>
      <c r="B496" s="165"/>
      <c r="C496" s="165"/>
      <c r="D496" s="165"/>
      <c r="E496" s="166"/>
      <c r="F496" s="165"/>
      <c r="G496" s="167"/>
      <c r="H496" s="166"/>
      <c r="I496" s="167"/>
      <c r="J496" s="168"/>
      <c r="K496" s="169"/>
      <c r="L496" s="165"/>
      <c r="M496" s="165"/>
      <c r="N496" s="165"/>
      <c r="O496" s="165"/>
      <c r="P496" s="165"/>
      <c r="Q496" s="165"/>
      <c r="R496" s="165"/>
      <c r="S496" s="165"/>
    </row>
    <row r="497">
      <c r="A497" s="165"/>
      <c r="B497" s="165"/>
      <c r="C497" s="165"/>
      <c r="D497" s="165"/>
      <c r="E497" s="166"/>
      <c r="F497" s="165"/>
      <c r="G497" s="167"/>
      <c r="H497" s="166"/>
      <c r="I497" s="167"/>
      <c r="J497" s="168"/>
      <c r="K497" s="169"/>
      <c r="L497" s="165"/>
      <c r="M497" s="165"/>
      <c r="N497" s="165"/>
      <c r="O497" s="165"/>
      <c r="P497" s="165"/>
      <c r="Q497" s="165"/>
      <c r="R497" s="165"/>
      <c r="S497" s="165"/>
    </row>
    <row r="498">
      <c r="A498" s="165"/>
      <c r="B498" s="165"/>
      <c r="C498" s="165"/>
      <c r="D498" s="165"/>
      <c r="E498" s="166"/>
      <c r="F498" s="165"/>
      <c r="G498" s="167"/>
      <c r="H498" s="166"/>
      <c r="I498" s="167"/>
      <c r="J498" s="168"/>
      <c r="K498" s="169"/>
      <c r="L498" s="165"/>
      <c r="M498" s="165"/>
      <c r="N498" s="165"/>
      <c r="O498" s="165"/>
      <c r="P498" s="165"/>
      <c r="Q498" s="165"/>
      <c r="R498" s="165"/>
      <c r="S498" s="165"/>
    </row>
    <row r="499">
      <c r="A499" s="165"/>
      <c r="B499" s="165"/>
      <c r="C499" s="165"/>
      <c r="D499" s="165"/>
      <c r="E499" s="166"/>
      <c r="F499" s="165"/>
      <c r="G499" s="167"/>
      <c r="H499" s="166"/>
      <c r="I499" s="167"/>
      <c r="J499" s="168"/>
      <c r="K499" s="169"/>
      <c r="L499" s="165"/>
      <c r="M499" s="165"/>
      <c r="N499" s="165"/>
      <c r="O499" s="165"/>
      <c r="P499" s="165"/>
      <c r="Q499" s="165"/>
      <c r="R499" s="165"/>
      <c r="S499" s="165"/>
    </row>
    <row r="500">
      <c r="A500" s="165"/>
      <c r="B500" s="165"/>
      <c r="C500" s="165"/>
      <c r="D500" s="165"/>
      <c r="E500" s="166"/>
      <c r="F500" s="165"/>
      <c r="G500" s="167"/>
      <c r="H500" s="166"/>
      <c r="I500" s="167"/>
      <c r="J500" s="168"/>
      <c r="K500" s="169"/>
      <c r="L500" s="165"/>
      <c r="M500" s="165"/>
      <c r="N500" s="165"/>
      <c r="O500" s="165"/>
      <c r="P500" s="165"/>
      <c r="Q500" s="165"/>
      <c r="R500" s="165"/>
      <c r="S500" s="165"/>
    </row>
    <row r="501">
      <c r="A501" s="165"/>
      <c r="B501" s="165"/>
      <c r="C501" s="165"/>
      <c r="D501" s="165"/>
      <c r="E501" s="166"/>
      <c r="F501" s="165"/>
      <c r="G501" s="167"/>
      <c r="H501" s="166"/>
      <c r="I501" s="167"/>
      <c r="J501" s="168"/>
      <c r="K501" s="169"/>
      <c r="L501" s="165"/>
      <c r="M501" s="165"/>
      <c r="N501" s="165"/>
      <c r="O501" s="165"/>
      <c r="P501" s="165"/>
      <c r="Q501" s="165"/>
      <c r="R501" s="165"/>
      <c r="S501" s="165"/>
    </row>
    <row r="502">
      <c r="A502" s="165"/>
      <c r="B502" s="165"/>
      <c r="C502" s="165"/>
      <c r="D502" s="165"/>
      <c r="E502" s="166"/>
      <c r="F502" s="165"/>
      <c r="G502" s="167"/>
      <c r="H502" s="166"/>
      <c r="I502" s="167"/>
      <c r="J502" s="168"/>
      <c r="K502" s="169"/>
      <c r="L502" s="165"/>
      <c r="M502" s="165"/>
      <c r="N502" s="165"/>
      <c r="O502" s="165"/>
      <c r="P502" s="165"/>
      <c r="Q502" s="165"/>
      <c r="R502" s="165"/>
      <c r="S502" s="165"/>
    </row>
    <row r="503">
      <c r="A503" s="165"/>
      <c r="B503" s="165"/>
      <c r="C503" s="165"/>
      <c r="D503" s="165"/>
      <c r="E503" s="166"/>
      <c r="F503" s="165"/>
      <c r="G503" s="167"/>
      <c r="H503" s="166"/>
      <c r="I503" s="167"/>
      <c r="J503" s="168"/>
      <c r="K503" s="169"/>
      <c r="L503" s="165"/>
      <c r="M503" s="165"/>
      <c r="N503" s="165"/>
      <c r="O503" s="165"/>
      <c r="P503" s="165"/>
      <c r="Q503" s="165"/>
      <c r="R503" s="165"/>
      <c r="S503" s="165"/>
    </row>
    <row r="504">
      <c r="A504" s="165"/>
      <c r="B504" s="165"/>
      <c r="C504" s="165"/>
      <c r="D504" s="165"/>
      <c r="E504" s="166"/>
      <c r="F504" s="165"/>
      <c r="G504" s="167"/>
      <c r="H504" s="166"/>
      <c r="I504" s="167"/>
      <c r="J504" s="168"/>
      <c r="K504" s="169"/>
      <c r="L504" s="165"/>
      <c r="M504" s="165"/>
      <c r="N504" s="165"/>
      <c r="O504" s="165"/>
      <c r="P504" s="165"/>
      <c r="Q504" s="165"/>
      <c r="R504" s="165"/>
      <c r="S504" s="165"/>
    </row>
    <row r="505">
      <c r="A505" s="165"/>
      <c r="B505" s="165"/>
      <c r="C505" s="165"/>
      <c r="D505" s="165"/>
      <c r="E505" s="166"/>
      <c r="F505" s="165"/>
      <c r="G505" s="167"/>
      <c r="H505" s="166"/>
      <c r="I505" s="167"/>
      <c r="J505" s="168"/>
      <c r="K505" s="169"/>
      <c r="L505" s="165"/>
      <c r="M505" s="165"/>
      <c r="N505" s="165"/>
      <c r="O505" s="165"/>
      <c r="P505" s="165"/>
      <c r="Q505" s="165"/>
      <c r="R505" s="165"/>
      <c r="S505" s="165"/>
    </row>
    <row r="506">
      <c r="A506" s="165"/>
      <c r="B506" s="165"/>
      <c r="C506" s="165"/>
      <c r="D506" s="165"/>
      <c r="E506" s="166"/>
      <c r="F506" s="165"/>
      <c r="G506" s="167"/>
      <c r="H506" s="166"/>
      <c r="I506" s="167"/>
      <c r="J506" s="168"/>
      <c r="K506" s="169"/>
      <c r="L506" s="165"/>
      <c r="M506" s="165"/>
      <c r="N506" s="165"/>
      <c r="O506" s="165"/>
      <c r="P506" s="165"/>
      <c r="Q506" s="165"/>
      <c r="R506" s="165"/>
      <c r="S506" s="165"/>
    </row>
  </sheetData>
  <conditionalFormatting sqref="E3:E39 I3:I39">
    <cfRule type="expression" dxfId="0" priority="1">
      <formula>AND($E3&lt;&gt;"",(($E3-$H3)/365*12)&lt;1)</formula>
    </cfRule>
  </conditionalFormatting>
  <conditionalFormatting sqref="J3:J39">
    <cfRule type="cellIs" dxfId="2" priority="2" operator="between">
      <formula>75</formula>
      <formula>90</formula>
    </cfRule>
  </conditionalFormatting>
  <conditionalFormatting sqref="J3:J39">
    <cfRule type="cellIs" dxfId="1" priority="3" operator="between">
      <formula>50</formula>
      <formula>75</formula>
    </cfRule>
  </conditionalFormatting>
  <conditionalFormatting sqref="J3:J39">
    <cfRule type="cellIs" dxfId="4" priority="4" operator="between">
      <formula>1</formula>
      <formula>50</formula>
    </cfRule>
  </conditionalFormatting>
  <conditionalFormatting sqref="I3:I39">
    <cfRule type="colorScale" priority="5">
      <colorScale>
        <cfvo type="min"/>
        <cfvo type="percentile" val="50"/>
        <cfvo type="max"/>
        <color rgb="FFB6D7A8"/>
        <color rgb="FFFFE599"/>
        <color rgb="FFEA9999"/>
      </colorScale>
    </cfRule>
  </conditionalFormatting>
  <conditionalFormatting sqref="J3:J39">
    <cfRule type="cellIs" dxfId="9" priority="6" operator="between">
      <formula>90</formula>
      <formula>100</formula>
    </cfRule>
  </conditionalFormatting>
  <conditionalFormatting sqref="G3:G39">
    <cfRule type="expression" dxfId="10" priority="7">
      <formula>MATCH(A3,INDIRECT("'Xbox Game Studios'!A:A"),0)</formula>
    </cfRule>
  </conditionalFormatting>
  <conditionalFormatting sqref="G3:G39">
    <cfRule type="expression" dxfId="10" priority="8">
      <formula>MATCH(A3,INDIRECT("'EA Play'!A:A"),0)</formula>
    </cfRule>
  </conditionalFormatting>
  <conditionalFormatting sqref="G3:G39">
    <cfRule type="expression" dxfId="5" priority="9">
      <formula>AND(D3="Active",OR(AND(G3&gt;10.5,G3&lt;13),AND(G3&gt;22.5,G3&lt;25),AND(G3&gt;34.5,G3&lt;37),AND(G3&gt;46.5,G3&lt;49),AND(G3&gt;58.5,G3&lt;61)),)</formula>
    </cfRule>
  </conditionalFormatting>
  <conditionalFormatting sqref="B1">
    <cfRule type="cellIs" dxfId="0" priority="10" operator="equal">
      <formula>"Xbox"</formula>
    </cfRule>
  </conditionalFormatting>
  <conditionalFormatting sqref="J2:K39 L2 O2">
    <cfRule type="containsBlanks" dxfId="11" priority="11">
      <formula>LEN(TRIM(J2))=0</formula>
    </cfRule>
  </conditionalFormatting>
  <conditionalFormatting sqref="O2">
    <cfRule type="containsText" dxfId="11" priority="12" operator="containsText" text="RP">
      <formula>NOT(ISERROR(SEARCH(("RP"),(O2))))</formula>
    </cfRule>
  </conditionalFormatting>
  <conditionalFormatting sqref="O2">
    <cfRule type="containsText" dxfId="12" priority="13" operator="containsText" text="NR">
      <formula>NOT(ISERROR(SEARCH(("NR"),(O2))))</formula>
    </cfRule>
  </conditionalFormatting>
  <conditionalFormatting sqref="A1:A2 D1:D39">
    <cfRule type="expression" dxfId="3" priority="14">
      <formula>$D1="Coming Soon"</formula>
    </cfRule>
  </conditionalFormatting>
  <conditionalFormatting sqref="A1:A2 D1:D39">
    <cfRule type="expression" dxfId="4" priority="15">
      <formula>$D1="Removed"</formula>
    </cfRule>
  </conditionalFormatting>
  <conditionalFormatting sqref="A1:A2 D1:D39">
    <cfRule type="expression" dxfId="5" priority="16">
      <formula>$D1="Leaving Soon"</formula>
    </cfRule>
  </conditionalFormatting>
  <conditionalFormatting sqref="J1:J506">
    <cfRule type="cellIs" dxfId="2" priority="17" operator="between">
      <formula>75</formula>
      <formula>100</formula>
    </cfRule>
  </conditionalFormatting>
  <conditionalFormatting sqref="J1:J506">
    <cfRule type="cellIs" dxfId="1" priority="18" operator="between">
      <formula>50</formula>
      <formula>74</formula>
    </cfRule>
  </conditionalFormatting>
  <conditionalFormatting sqref="J1:J506">
    <cfRule type="cellIs" dxfId="4" priority="19" operator="between">
      <formula>1</formula>
      <formula>49</formula>
    </cfRule>
  </conditionalFormatting>
  <conditionalFormatting sqref="A1:A2 C1:C2">
    <cfRule type="expression" dxfId="4" priority="20">
      <formula>$C1="Removed"</formula>
    </cfRule>
  </conditionalFormatting>
  <conditionalFormatting sqref="A1:A2">
    <cfRule type="expression" dxfId="1" priority="21">
      <formula>MATCH(A1,INDIRECT("'Xbox Game Studios'!A:A"),0)</formula>
    </cfRule>
  </conditionalFormatting>
  <conditionalFormatting sqref="A1:A2 C1:C2">
    <cfRule type="expression" dxfId="5" priority="22">
      <formula>$C1="Leaving Soon"</formula>
    </cfRule>
  </conditionalFormatting>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0"/>
    <col customWidth="1" min="2" max="2" width="8.5"/>
    <col customWidth="1" min="3" max="3" width="9.88"/>
    <col customWidth="1" min="4" max="4" width="6.13"/>
    <col customWidth="1" min="5" max="5" width="8.38"/>
    <col customWidth="1" min="6" max="6" width="8.5"/>
    <col customWidth="1" min="7" max="7" width="6.88"/>
    <col customWidth="1" min="8" max="8" width="13.88"/>
    <col customWidth="1" min="9" max="9" width="4.25"/>
    <col customWidth="1" min="10" max="10" width="8.75"/>
    <col customWidth="1" min="11" max="11" width="10.13"/>
    <col customWidth="1" min="12" max="12" width="16.13"/>
    <col customWidth="1" min="13" max="13" width="13.75"/>
    <col customWidth="1" min="14" max="14" width="23.25"/>
    <col customWidth="1" min="15" max="15" width="5.63"/>
    <col customWidth="1" min="16" max="16" width="13.38"/>
    <col customWidth="1" min="17" max="17" width="15.25"/>
    <col customWidth="1" min="18" max="18" width="14.38"/>
    <col customWidth="1" min="19" max="19" width="8.13"/>
    <col customWidth="1" min="20" max="20" width="10.25"/>
  </cols>
  <sheetData>
    <row r="1">
      <c r="A1" s="1" t="s">
        <v>0</v>
      </c>
      <c r="B1" s="2">
        <f>COUNTIF(D2:D2165,"Active")+COUNTIF(D2:D2165,"Leaving Soon")</f>
        <v>395</v>
      </c>
      <c r="C1" s="214" t="s">
        <v>2958</v>
      </c>
      <c r="D1" s="1"/>
      <c r="E1" s="1"/>
      <c r="F1" s="2"/>
      <c r="G1" s="1"/>
      <c r="H1" s="3"/>
      <c r="I1" s="1"/>
      <c r="J1" s="1"/>
      <c r="K1" s="1"/>
      <c r="L1" s="1"/>
      <c r="M1" s="4"/>
      <c r="N1" s="5"/>
      <c r="O1" s="4"/>
      <c r="P1" s="5"/>
      <c r="Q1" s="4"/>
      <c r="R1" s="1"/>
      <c r="S1" s="1"/>
      <c r="T1" s="1"/>
    </row>
    <row r="2">
      <c r="A2" s="151" t="s">
        <v>8</v>
      </c>
      <c r="B2" s="152" t="s">
        <v>9</v>
      </c>
      <c r="C2" s="153" t="s">
        <v>10</v>
      </c>
      <c r="D2" s="152" t="s">
        <v>11</v>
      </c>
      <c r="E2" s="152" t="s">
        <v>12</v>
      </c>
      <c r="F2" s="153" t="s">
        <v>13</v>
      </c>
      <c r="G2" s="154" t="s">
        <v>14</v>
      </c>
      <c r="H2" s="155" t="s">
        <v>15</v>
      </c>
      <c r="I2" s="155" t="s">
        <v>16</v>
      </c>
      <c r="J2" s="155" t="s">
        <v>17</v>
      </c>
      <c r="K2" s="155" t="s">
        <v>18</v>
      </c>
      <c r="L2" s="155" t="s">
        <v>19</v>
      </c>
      <c r="M2" s="155" t="s">
        <v>20</v>
      </c>
      <c r="N2" s="153" t="s">
        <v>21</v>
      </c>
      <c r="O2" s="215" t="s">
        <v>22</v>
      </c>
      <c r="P2" s="156" t="s">
        <v>23</v>
      </c>
      <c r="Q2" s="156" t="s">
        <v>24</v>
      </c>
      <c r="R2" s="153" t="s">
        <v>11</v>
      </c>
      <c r="S2" s="152" t="s">
        <v>12</v>
      </c>
      <c r="T2" s="155" t="s">
        <v>25</v>
      </c>
    </row>
    <row r="3">
      <c r="A3" s="158" t="str">
        <f>IFERROR(__xludf.DUMMYFUNCTION("SORT(FILTER('Master List'!A256:T2165, NOT(REGEXMATCH('Master List'!R256:R2165, ""Removed"")), NOT(ISBLANK('Master List'!S256:S2165))),19,0)"),"Ara: History Untold")</f>
        <v>Ara: History Untold</v>
      </c>
      <c r="B3" s="158" t="str">
        <f>IFERROR(__xludf.DUMMYFUNCTION("""COMPUTED_VALUE"""),"PC")</f>
        <v>PC</v>
      </c>
      <c r="C3" s="158"/>
      <c r="D3" s="159" t="str">
        <f>IFERROR(__xludf.DUMMYFUNCTION("""COMPUTED_VALUE"""),"Active")</f>
        <v>Active</v>
      </c>
      <c r="E3" s="160">
        <f>IFERROR(__xludf.DUMMYFUNCTION("""COMPUTED_VALUE"""),45559.0)</f>
        <v>45559</v>
      </c>
      <c r="F3" s="161"/>
      <c r="G3" s="162">
        <f>IFERROR(__xludf.DUMMYFUNCTION("""COMPUTED_VALUE"""),12.7)</f>
        <v>12.7</v>
      </c>
      <c r="H3" s="163">
        <f>IFERROR(__xludf.DUMMYFUNCTION("""COMPUTED_VALUE"""),45559.0)</f>
        <v>45559</v>
      </c>
      <c r="I3" s="162">
        <f>IFERROR(__xludf.DUMMYFUNCTION("""COMPUTED_VALUE"""),0.0)</f>
        <v>0</v>
      </c>
      <c r="J3" s="164">
        <f>IFERROR(__xludf.DUMMYFUNCTION("""COMPUTED_VALUE"""),76.0)</f>
        <v>76</v>
      </c>
      <c r="K3" s="164">
        <f>IFERROR(__xludf.DUMMYFUNCTION("""COMPUTED_VALUE"""),13.0)</f>
        <v>13</v>
      </c>
      <c r="L3" s="158" t="str">
        <f>IFERROR(__xludf.DUMMYFUNCTION("""COMPUTED_VALUE"""),"Strategy")</f>
        <v>Strategy</v>
      </c>
      <c r="M3" s="158"/>
      <c r="N3" s="158"/>
      <c r="O3" s="158"/>
      <c r="P3" s="158"/>
      <c r="Q3" s="158"/>
      <c r="R3" s="159" t="str">
        <f>IFERROR(__xludf.DUMMYFUNCTION("""COMPUTED_VALUE"""),"Active")</f>
        <v>Active</v>
      </c>
      <c r="S3" s="160">
        <f>IFERROR(__xludf.DUMMYFUNCTION("""COMPUTED_VALUE"""),45931.0)</f>
        <v>45931</v>
      </c>
      <c r="T3" s="162">
        <f>IFERROR(__xludf.DUMMYFUNCTION("""COMPUTED_VALUE"""),12.233333333333333)</f>
        <v>12.23333333</v>
      </c>
    </row>
    <row r="4">
      <c r="A4" s="175" t="str">
        <f>IFERROR(__xludf.DUMMYFUNCTION("""COMPUTED_VALUE"""),"Age of Mythology: Retold")</f>
        <v>Age of Mythology: Retold</v>
      </c>
      <c r="B4" s="158" t="str">
        <f>IFERROR(__xludf.DUMMYFUNCTION("""COMPUTED_VALUE"""),"Xbox / PC")</f>
        <v>Xbox / PC</v>
      </c>
      <c r="C4" s="158" t="str">
        <f>IFERROR(__xludf.DUMMYFUNCTION("""COMPUTED_VALUE"""),"Yes")</f>
        <v>Yes</v>
      </c>
      <c r="D4" s="159" t="str">
        <f>IFERROR(__xludf.DUMMYFUNCTION("""COMPUTED_VALUE"""),"Active")</f>
        <v>Active</v>
      </c>
      <c r="E4" s="160">
        <f>IFERROR(__xludf.DUMMYFUNCTION("""COMPUTED_VALUE"""),45539.0)</f>
        <v>45539</v>
      </c>
      <c r="F4" s="161"/>
      <c r="G4" s="162">
        <f>IFERROR(__xludf.DUMMYFUNCTION("""COMPUTED_VALUE"""),13.366666666666667)</f>
        <v>13.36666667</v>
      </c>
      <c r="H4" s="163">
        <f>IFERROR(__xludf.DUMMYFUNCTION("""COMPUTED_VALUE"""),45539.0)</f>
        <v>45539</v>
      </c>
      <c r="I4" s="162">
        <f>IFERROR(__xludf.DUMMYFUNCTION("""COMPUTED_VALUE"""),0.0)</f>
        <v>0</v>
      </c>
      <c r="J4" s="164">
        <f>IFERROR(__xludf.DUMMYFUNCTION("""COMPUTED_VALUE"""),84.0)</f>
        <v>84</v>
      </c>
      <c r="K4" s="164">
        <f>IFERROR(__xludf.DUMMYFUNCTION("""COMPUTED_VALUE"""),21.0)</f>
        <v>21</v>
      </c>
      <c r="L4" s="158" t="str">
        <f>IFERROR(__xludf.DUMMYFUNCTION("""COMPUTED_VALUE"""),"Strategy")</f>
        <v>Strategy</v>
      </c>
      <c r="M4" s="158" t="str">
        <f>IFERROR(__xludf.DUMMYFUNCTION("""COMPUTED_VALUE"""),"Exclusive")</f>
        <v>Exclusive</v>
      </c>
      <c r="N4" s="158"/>
      <c r="O4" s="158"/>
      <c r="P4" s="158"/>
      <c r="Q4" s="158"/>
      <c r="R4" s="159" t="str">
        <f>IFERROR(__xludf.DUMMYFUNCTION("""COMPUTED_VALUE"""),"Active")</f>
        <v>Active</v>
      </c>
      <c r="S4" s="160">
        <f>IFERROR(__xludf.DUMMYFUNCTION("""COMPUTED_VALUE"""),45931.0)</f>
        <v>45931</v>
      </c>
      <c r="T4" s="162">
        <f>IFERROR(__xludf.DUMMYFUNCTION("""COMPUTED_VALUE"""),12.899999999999999)</f>
        <v>12.9</v>
      </c>
    </row>
    <row r="5">
      <c r="A5" s="158" t="str">
        <f>IFERROR(__xludf.DUMMYFUNCTION("""COMPUTED_VALUE"""),"Senua's Saga: Hellblade II")</f>
        <v>Senua's Saga: Hellblade II</v>
      </c>
      <c r="B5" s="158" t="str">
        <f>IFERROR(__xludf.DUMMYFUNCTION("""COMPUTED_VALUE"""),"Xbox / PC")</f>
        <v>Xbox / PC</v>
      </c>
      <c r="C5" s="158" t="str">
        <f>IFERROR(__xludf.DUMMYFUNCTION("""COMPUTED_VALUE"""),"Yes")</f>
        <v>Yes</v>
      </c>
      <c r="D5" s="159" t="str">
        <f>IFERROR(__xludf.DUMMYFUNCTION("""COMPUTED_VALUE"""),"Active")</f>
        <v>Active</v>
      </c>
      <c r="E5" s="160">
        <f>IFERROR(__xludf.DUMMYFUNCTION("""COMPUTED_VALUE"""),45433.0)</f>
        <v>45433</v>
      </c>
      <c r="F5" s="161"/>
      <c r="G5" s="162">
        <f>IFERROR(__xludf.DUMMYFUNCTION("""COMPUTED_VALUE"""),16.799999999999997)</f>
        <v>16.8</v>
      </c>
      <c r="H5" s="163">
        <f>IFERROR(__xludf.DUMMYFUNCTION("""COMPUTED_VALUE"""),45433.0)</f>
        <v>45433</v>
      </c>
      <c r="I5" s="162">
        <f>IFERROR(__xludf.DUMMYFUNCTION("""COMPUTED_VALUE"""),0.0)</f>
        <v>0</v>
      </c>
      <c r="J5" s="164">
        <f>IFERROR(__xludf.DUMMYFUNCTION("""COMPUTED_VALUE"""),80.0)</f>
        <v>80</v>
      </c>
      <c r="K5" s="164">
        <f>IFERROR(__xludf.DUMMYFUNCTION("""COMPUTED_VALUE"""),7.0)</f>
        <v>7</v>
      </c>
      <c r="L5" s="158" t="str">
        <f>IFERROR(__xludf.DUMMYFUNCTION("""COMPUTED_VALUE"""),"Action / Action-Adventure")</f>
        <v>Action / Action-Adventure</v>
      </c>
      <c r="M5" s="158" t="str">
        <f>IFERROR(__xludf.DUMMYFUNCTION("""COMPUTED_VALUE"""),"Exclusive")</f>
        <v>Exclusive</v>
      </c>
      <c r="N5" s="158"/>
      <c r="O5" s="158" t="str">
        <f>IFERROR(__xludf.DUMMYFUNCTION("""COMPUTED_VALUE"""),"M")</f>
        <v>M</v>
      </c>
      <c r="P5" s="158" t="str">
        <f>IFERROR(__xludf.DUMMYFUNCTION("""COMPUTED_VALUE"""),"Blood and Gore, Intense Violence, Strong Language")</f>
        <v>Blood and Gore, Intense Violence, Strong Language</v>
      </c>
      <c r="Q5" s="158"/>
      <c r="R5" s="159" t="str">
        <f>IFERROR(__xludf.DUMMYFUNCTION("""COMPUTED_VALUE"""),"Active")</f>
        <v>Active</v>
      </c>
      <c r="S5" s="160">
        <f>IFERROR(__xludf.DUMMYFUNCTION("""COMPUTED_VALUE"""),45931.0)</f>
        <v>45931</v>
      </c>
      <c r="T5" s="162">
        <f>IFERROR(__xludf.DUMMYFUNCTION("""COMPUTED_VALUE"""),16.333333333333336)</f>
        <v>16.33333333</v>
      </c>
    </row>
    <row r="6">
      <c r="A6" s="158" t="str">
        <f>IFERROR(__xludf.DUMMYFUNCTION("""COMPUTED_VALUE"""),"Manor Lords (Game Preview)")</f>
        <v>Manor Lords (Game Preview)</v>
      </c>
      <c r="B6" s="158" t="str">
        <f>IFERROR(__xludf.DUMMYFUNCTION("""COMPUTED_VALUE"""),"PC")</f>
        <v>PC</v>
      </c>
      <c r="C6" s="158"/>
      <c r="D6" s="159" t="str">
        <f>IFERROR(__xludf.DUMMYFUNCTION("""COMPUTED_VALUE"""),"Active")</f>
        <v>Active</v>
      </c>
      <c r="E6" s="160">
        <f>IFERROR(__xludf.DUMMYFUNCTION("""COMPUTED_VALUE"""),45408.0)</f>
        <v>45408</v>
      </c>
      <c r="F6" s="161"/>
      <c r="G6" s="162">
        <f>IFERROR(__xludf.DUMMYFUNCTION("""COMPUTED_VALUE"""),17.633333333333333)</f>
        <v>17.63333333</v>
      </c>
      <c r="H6" s="163">
        <f>IFERROR(__xludf.DUMMYFUNCTION("""COMPUTED_VALUE"""),45408.0)</f>
        <v>45408</v>
      </c>
      <c r="I6" s="162">
        <f>IFERROR(__xludf.DUMMYFUNCTION("""COMPUTED_VALUE"""),0.0)</f>
        <v>0</v>
      </c>
      <c r="J6" s="164"/>
      <c r="K6" s="164">
        <f>IFERROR(__xludf.DUMMYFUNCTION("""COMPUTED_VALUE"""),7.0)</f>
        <v>7</v>
      </c>
      <c r="L6" s="158" t="str">
        <f>IFERROR(__xludf.DUMMYFUNCTION("""COMPUTED_VALUE"""),"Strategy")</f>
        <v>Strategy</v>
      </c>
      <c r="M6" s="158"/>
      <c r="N6" s="158"/>
      <c r="O6" s="158" t="str">
        <f>IFERROR(__xludf.DUMMYFUNCTION("""COMPUTED_VALUE"""),"RP")</f>
        <v>RP</v>
      </c>
      <c r="P6" s="158"/>
      <c r="Q6" s="158"/>
      <c r="R6" s="159" t="str">
        <f>IFERROR(__xludf.DUMMYFUNCTION("""COMPUTED_VALUE"""),"Active")</f>
        <v>Active</v>
      </c>
      <c r="S6" s="160">
        <f>IFERROR(__xludf.DUMMYFUNCTION("""COMPUTED_VALUE"""),45931.0)</f>
        <v>45931</v>
      </c>
      <c r="T6" s="162">
        <f>IFERROR(__xludf.DUMMYFUNCTION("""COMPUTED_VALUE"""),17.166666666666668)</f>
        <v>17.16666667</v>
      </c>
    </row>
    <row r="7">
      <c r="A7" s="158" t="str">
        <f>IFERROR(__xludf.DUMMYFUNCTION("""COMPUTED_VALUE"""),"Diablo IV")</f>
        <v>Diablo IV</v>
      </c>
      <c r="B7" s="158" t="str">
        <f>IFERROR(__xludf.DUMMYFUNCTION("""COMPUTED_VALUE"""),"Xbox / PC")</f>
        <v>Xbox / PC</v>
      </c>
      <c r="C7" s="158"/>
      <c r="D7" s="159" t="str">
        <f>IFERROR(__xludf.DUMMYFUNCTION("""COMPUTED_VALUE"""),"Active")</f>
        <v>Active</v>
      </c>
      <c r="E7" s="160">
        <f>IFERROR(__xludf.DUMMYFUNCTION("""COMPUTED_VALUE"""),45379.0)</f>
        <v>45379</v>
      </c>
      <c r="F7" s="161"/>
      <c r="G7" s="162">
        <f>IFERROR(__xludf.DUMMYFUNCTION("""COMPUTED_VALUE"""),18.566666666666666)</f>
        <v>18.56666667</v>
      </c>
      <c r="H7" s="163">
        <f>IFERROR(__xludf.DUMMYFUNCTION("""COMPUTED_VALUE"""),45078.0)</f>
        <v>45078</v>
      </c>
      <c r="I7" s="162">
        <f>IFERROR(__xludf.DUMMYFUNCTION("""COMPUTED_VALUE"""),0.825)</f>
        <v>0.825</v>
      </c>
      <c r="J7" s="164">
        <f>IFERROR(__xludf.DUMMYFUNCTION("""COMPUTED_VALUE"""),86.0)</f>
        <v>86</v>
      </c>
      <c r="K7" s="164">
        <f>IFERROR(__xludf.DUMMYFUNCTION("""COMPUTED_VALUE"""),27.0)</f>
        <v>27</v>
      </c>
      <c r="L7" s="158" t="str">
        <f>IFERROR(__xludf.DUMMYFUNCTION("""COMPUTED_VALUE"""),"RPG")</f>
        <v>RPG</v>
      </c>
      <c r="M7" s="158"/>
      <c r="N7" s="158"/>
      <c r="O7" s="158" t="str">
        <f>IFERROR(__xludf.DUMMYFUNCTION("""COMPUTED_VALUE"""),"M")</f>
        <v>M</v>
      </c>
      <c r="P7" s="158" t="str">
        <f>IFERROR(__xludf.DUMMYFUNCTION("""COMPUTED_VALUE"""),"Blood and Gore, Intense Violence, Language")</f>
        <v>Blood and Gore, Intense Violence, Language</v>
      </c>
      <c r="Q7" s="158"/>
      <c r="R7" s="159" t="str">
        <f>IFERROR(__xludf.DUMMYFUNCTION("""COMPUTED_VALUE"""),"Active")</f>
        <v>Active</v>
      </c>
      <c r="S7" s="160">
        <f>IFERROR(__xludf.DUMMYFUNCTION("""COMPUTED_VALUE"""),45931.0)</f>
        <v>45931</v>
      </c>
      <c r="T7" s="162">
        <f>IFERROR(__xludf.DUMMYFUNCTION("""COMPUTED_VALUE"""),18.1)</f>
        <v>18.1</v>
      </c>
    </row>
    <row r="8">
      <c r="A8" s="158" t="str">
        <f>IFERROR(__xludf.DUMMYFUNCTION("""COMPUTED_VALUE"""),"Terra Invicta (Game Preview)")</f>
        <v>Terra Invicta (Game Preview)</v>
      </c>
      <c r="B8" s="158" t="str">
        <f>IFERROR(__xludf.DUMMYFUNCTION("""COMPUTED_VALUE"""),"PC")</f>
        <v>PC</v>
      </c>
      <c r="C8" s="158"/>
      <c r="D8" s="159" t="str">
        <f>IFERROR(__xludf.DUMMYFUNCTION("""COMPUTED_VALUE"""),"Active")</f>
        <v>Active</v>
      </c>
      <c r="E8" s="160">
        <f>IFERROR(__xludf.DUMMYFUNCTION("""COMPUTED_VALUE"""),45377.0)</f>
        <v>45377</v>
      </c>
      <c r="F8" s="161"/>
      <c r="G8" s="162">
        <f>IFERROR(__xludf.DUMMYFUNCTION("""COMPUTED_VALUE"""),18.633333333333333)</f>
        <v>18.63333333</v>
      </c>
      <c r="H8" s="163">
        <f>IFERROR(__xludf.DUMMYFUNCTION("""COMPUTED_VALUE"""),45260.0)</f>
        <v>45260</v>
      </c>
      <c r="I8" s="162">
        <f>IFERROR(__xludf.DUMMYFUNCTION("""COMPUTED_VALUE"""),0.32222222222222224)</f>
        <v>0.3222222222</v>
      </c>
      <c r="J8" s="164"/>
      <c r="K8" s="164">
        <f>IFERROR(__xludf.DUMMYFUNCTION("""COMPUTED_VALUE"""),60.0)</f>
        <v>60</v>
      </c>
      <c r="L8" s="158" t="str">
        <f>IFERROR(__xludf.DUMMYFUNCTION("""COMPUTED_VALUE"""),"Strategy")</f>
        <v>Strategy</v>
      </c>
      <c r="M8" s="158"/>
      <c r="N8" s="158"/>
      <c r="O8" s="158" t="str">
        <f>IFERROR(__xludf.DUMMYFUNCTION("""COMPUTED_VALUE"""),"RP")</f>
        <v>RP</v>
      </c>
      <c r="P8" s="158"/>
      <c r="Q8" s="158"/>
      <c r="R8" s="159" t="str">
        <f>IFERROR(__xludf.DUMMYFUNCTION("""COMPUTED_VALUE"""),"Active")</f>
        <v>Active</v>
      </c>
      <c r="S8" s="160">
        <f>IFERROR(__xludf.DUMMYFUNCTION("""COMPUTED_VALUE"""),45931.0)</f>
        <v>45931</v>
      </c>
      <c r="T8" s="162">
        <f>IFERROR(__xludf.DUMMYFUNCTION("""COMPUTED_VALUE"""),18.166666666666664)</f>
        <v>18.16666667</v>
      </c>
    </row>
    <row r="9">
      <c r="A9" s="158" t="str">
        <f>IFERROR(__xludf.DUMMYFUNCTION("""COMPUTED_VALUE"""),"Against the Storm")</f>
        <v>Against the Storm</v>
      </c>
      <c r="B9" s="158" t="str">
        <f>IFERROR(__xludf.DUMMYFUNCTION("""COMPUTED_VALUE"""),"Xbox / PC")</f>
        <v>Xbox / PC</v>
      </c>
      <c r="C9" s="158"/>
      <c r="D9" s="159" t="str">
        <f>IFERROR(__xludf.DUMMYFUNCTION("""COMPUTED_VALUE"""),"Active")</f>
        <v>Active</v>
      </c>
      <c r="E9" s="160">
        <f>IFERROR(__xludf.DUMMYFUNCTION("""COMPUTED_VALUE"""),45268.0)</f>
        <v>45268</v>
      </c>
      <c r="F9" s="161"/>
      <c r="G9" s="162">
        <f>IFERROR(__xludf.DUMMYFUNCTION("""COMPUTED_VALUE"""),22.233333333333334)</f>
        <v>22.23333333</v>
      </c>
      <c r="H9" s="163">
        <f>IFERROR(__xludf.DUMMYFUNCTION("""COMPUTED_VALUE"""),44487.0)</f>
        <v>44487</v>
      </c>
      <c r="I9" s="162">
        <f>IFERROR(__xludf.DUMMYFUNCTION("""COMPUTED_VALUE"""),2.138888888888889)</f>
        <v>2.138888889</v>
      </c>
      <c r="J9" s="164">
        <f>IFERROR(__xludf.DUMMYFUNCTION("""COMPUTED_VALUE"""),90.0)</f>
        <v>90</v>
      </c>
      <c r="K9" s="164">
        <f>IFERROR(__xludf.DUMMYFUNCTION("""COMPUTED_VALUE"""),93.0)</f>
        <v>93</v>
      </c>
      <c r="L9" s="158" t="str">
        <f>IFERROR(__xludf.DUMMYFUNCTION("""COMPUTED_VALUE"""),"Strategy")</f>
        <v>Strategy</v>
      </c>
      <c r="M9" s="158"/>
      <c r="N9" s="158" t="str">
        <f>IFERROR(__xludf.DUMMYFUNCTION("""COMPUTED_VALUE"""),"Joins console 6/26/25")</f>
        <v>Joins console 6/26/25</v>
      </c>
      <c r="O9" s="158"/>
      <c r="P9" s="158"/>
      <c r="Q9" s="158"/>
      <c r="R9" s="159" t="str">
        <f>IFERROR(__xludf.DUMMYFUNCTION("""COMPUTED_VALUE"""),"Active")</f>
        <v>Active</v>
      </c>
      <c r="S9" s="160">
        <f>IFERROR(__xludf.DUMMYFUNCTION("""COMPUTED_VALUE"""),45931.0)</f>
        <v>45931</v>
      </c>
      <c r="T9" s="162">
        <f>IFERROR(__xludf.DUMMYFUNCTION("""COMPUTED_VALUE"""),21.766666666666666)</f>
        <v>21.76666667</v>
      </c>
    </row>
    <row r="10">
      <c r="A10" s="158" t="str">
        <f>IFERROR(__xludf.DUMMYFUNCTION("""COMPUTED_VALUE"""),"Cities: Skylines II")</f>
        <v>Cities: Skylines II</v>
      </c>
      <c r="B10" s="158" t="str">
        <f>IFERROR(__xludf.DUMMYFUNCTION("""COMPUTED_VALUE"""),"PC")</f>
        <v>PC</v>
      </c>
      <c r="C10" s="158"/>
      <c r="D10" s="159" t="str">
        <f>IFERROR(__xludf.DUMMYFUNCTION("""COMPUTED_VALUE"""),"Active")</f>
        <v>Active</v>
      </c>
      <c r="E10" s="160">
        <f>IFERROR(__xludf.DUMMYFUNCTION("""COMPUTED_VALUE"""),45223.0)</f>
        <v>45223</v>
      </c>
      <c r="F10" s="161"/>
      <c r="G10" s="162">
        <f>IFERROR(__xludf.DUMMYFUNCTION("""COMPUTED_VALUE"""),23.700000000000003)</f>
        <v>23.7</v>
      </c>
      <c r="H10" s="163">
        <f>IFERROR(__xludf.DUMMYFUNCTION("""COMPUTED_VALUE"""),45223.0)</f>
        <v>45223</v>
      </c>
      <c r="I10" s="162">
        <f>IFERROR(__xludf.DUMMYFUNCTION("""COMPUTED_VALUE"""),0.0)</f>
        <v>0</v>
      </c>
      <c r="J10" s="164">
        <f>IFERROR(__xludf.DUMMYFUNCTION("""COMPUTED_VALUE"""),75.0)</f>
        <v>75</v>
      </c>
      <c r="K10" s="164">
        <f>IFERROR(__xludf.DUMMYFUNCTION("""COMPUTED_VALUE"""),25.0)</f>
        <v>25</v>
      </c>
      <c r="L10" s="158" t="str">
        <f>IFERROR(__xludf.DUMMYFUNCTION("""COMPUTED_VALUE"""),"Simulation")</f>
        <v>Simulation</v>
      </c>
      <c r="M10" s="158"/>
      <c r="N10" s="158"/>
      <c r="O10" s="158" t="str">
        <f>IFERROR(__xludf.DUMMYFUNCTION("""COMPUTED_VALUE"""),"RP")</f>
        <v>RP</v>
      </c>
      <c r="P10" s="158"/>
      <c r="Q10" s="158"/>
      <c r="R10" s="159" t="str">
        <f>IFERROR(__xludf.DUMMYFUNCTION("""COMPUTED_VALUE"""),"Active")</f>
        <v>Active</v>
      </c>
      <c r="S10" s="160">
        <f>IFERROR(__xludf.DUMMYFUNCTION("""COMPUTED_VALUE"""),45931.0)</f>
        <v>45931</v>
      </c>
      <c r="T10" s="162">
        <f>IFERROR(__xludf.DUMMYFUNCTION("""COMPUTED_VALUE"""),23.233333333333334)</f>
        <v>23.23333333</v>
      </c>
    </row>
    <row r="11">
      <c r="A11" s="158" t="str">
        <f>IFERROR(__xludf.DUMMYFUNCTION("""COMPUTED_VALUE"""),"An Elder Scrolls Legend: Battlespire")</f>
        <v>An Elder Scrolls Legend: Battlespire</v>
      </c>
      <c r="B11" s="158" t="str">
        <f>IFERROR(__xludf.DUMMYFUNCTION("""COMPUTED_VALUE"""),"PC")</f>
        <v>PC</v>
      </c>
      <c r="C11" s="158"/>
      <c r="D11" s="159" t="str">
        <f>IFERROR(__xludf.DUMMYFUNCTION("""COMPUTED_VALUE"""),"Active")</f>
        <v>Active</v>
      </c>
      <c r="E11" s="160">
        <f>IFERROR(__xludf.DUMMYFUNCTION("""COMPUTED_VALUE"""),44791.0)</f>
        <v>44791</v>
      </c>
      <c r="F11" s="161"/>
      <c r="G11" s="162">
        <f>IFERROR(__xludf.DUMMYFUNCTION("""COMPUTED_VALUE"""),37.9)</f>
        <v>37.9</v>
      </c>
      <c r="H11" s="163">
        <f>IFERROR(__xludf.DUMMYFUNCTION("""COMPUTED_VALUE"""),35764.0)</f>
        <v>35764</v>
      </c>
      <c r="I11" s="162">
        <f>IFERROR(__xludf.DUMMYFUNCTION("""COMPUTED_VALUE"""),24.716666666666665)</f>
        <v>24.71666667</v>
      </c>
      <c r="J11" s="164">
        <f>IFERROR(__xludf.DUMMYFUNCTION("""COMPUTED_VALUE"""),56.0)</f>
        <v>56</v>
      </c>
      <c r="K11" s="164">
        <f>IFERROR(__xludf.DUMMYFUNCTION("""COMPUTED_VALUE"""),15.5)</f>
        <v>15.5</v>
      </c>
      <c r="L11" s="158" t="str">
        <f>IFERROR(__xludf.DUMMYFUNCTION("""COMPUTED_VALUE"""),"Action / RPG")</f>
        <v>Action / RPG</v>
      </c>
      <c r="M11" s="158"/>
      <c r="N11" s="158"/>
      <c r="O11" s="158" t="str">
        <f>IFERROR(__xludf.DUMMYFUNCTION("""COMPUTED_VALUE"""),"M")</f>
        <v>M</v>
      </c>
      <c r="P11" s="158" t="str">
        <f>IFERROR(__xludf.DUMMYFUNCTION("""COMPUTED_VALUE"""),"Animated Blood and Gore, Mature Sexual Themes")</f>
        <v>Animated Blood and Gore, Mature Sexual Themes</v>
      </c>
      <c r="Q11" s="158"/>
      <c r="R11" s="159" t="str">
        <f>IFERROR(__xludf.DUMMYFUNCTION("""COMPUTED_VALUE"""),"Active")</f>
        <v>Active</v>
      </c>
      <c r="S11" s="160">
        <f>IFERROR(__xludf.DUMMYFUNCTION("""COMPUTED_VALUE"""),45931.0)</f>
        <v>45931</v>
      </c>
      <c r="T11" s="162">
        <f>IFERROR(__xludf.DUMMYFUNCTION("""COMPUTED_VALUE"""),37.43333333333334)</f>
        <v>37.43333333</v>
      </c>
    </row>
    <row r="12">
      <c r="A12" s="158" t="str">
        <f>IFERROR(__xludf.DUMMYFUNCTION("""COMPUTED_VALUE"""),"The Elder Scrolls Adventures: Redguard")</f>
        <v>The Elder Scrolls Adventures: Redguard</v>
      </c>
      <c r="B12" s="158" t="str">
        <f>IFERROR(__xludf.DUMMYFUNCTION("""COMPUTED_VALUE"""),"PC")</f>
        <v>PC</v>
      </c>
      <c r="C12" s="158"/>
      <c r="D12" s="159" t="str">
        <f>IFERROR(__xludf.DUMMYFUNCTION("""COMPUTED_VALUE"""),"Active")</f>
        <v>Active</v>
      </c>
      <c r="E12" s="160">
        <f>IFERROR(__xludf.DUMMYFUNCTION("""COMPUTED_VALUE"""),44791.0)</f>
        <v>44791</v>
      </c>
      <c r="F12" s="161"/>
      <c r="G12" s="162">
        <f>IFERROR(__xludf.DUMMYFUNCTION("""COMPUTED_VALUE"""),37.9)</f>
        <v>37.9</v>
      </c>
      <c r="H12" s="163">
        <f>IFERROR(__xludf.DUMMYFUNCTION("""COMPUTED_VALUE"""),36099.0)</f>
        <v>36099</v>
      </c>
      <c r="I12" s="162">
        <f>IFERROR(__xludf.DUMMYFUNCTION("""COMPUTED_VALUE"""),23.8)</f>
        <v>23.8</v>
      </c>
      <c r="J12" s="164">
        <f>IFERROR(__xludf.DUMMYFUNCTION("""COMPUTED_VALUE"""),73.0)</f>
        <v>73</v>
      </c>
      <c r="K12" s="164">
        <f>IFERROR(__xludf.DUMMYFUNCTION("""COMPUTED_VALUE"""),17.0)</f>
        <v>17</v>
      </c>
      <c r="L12" s="158" t="str">
        <f>IFERROR(__xludf.DUMMYFUNCTION("""COMPUTED_VALUE"""),"Action-Adventure")</f>
        <v>Action-Adventure</v>
      </c>
      <c r="M12" s="158"/>
      <c r="N12" s="158"/>
      <c r="O12" s="158" t="str">
        <f>IFERROR(__xludf.DUMMYFUNCTION("""COMPUTED_VALUE"""),"T")</f>
        <v>T</v>
      </c>
      <c r="P12" s="158" t="str">
        <f>IFERROR(__xludf.DUMMYFUNCTION("""COMPUTED_VALUE"""),"Violence, Use of Alcohol And Tobacco")</f>
        <v>Violence, Use of Alcohol And Tobacco</v>
      </c>
      <c r="Q12" s="158"/>
      <c r="R12" s="159" t="str">
        <f>IFERROR(__xludf.DUMMYFUNCTION("""COMPUTED_VALUE"""),"Active")</f>
        <v>Active</v>
      </c>
      <c r="S12" s="160">
        <f>IFERROR(__xludf.DUMMYFUNCTION("""COMPUTED_VALUE"""),45931.0)</f>
        <v>45931</v>
      </c>
      <c r="T12" s="162">
        <f>IFERROR(__xludf.DUMMYFUNCTION("""COMPUTED_VALUE"""),37.43333333333334)</f>
        <v>37.43333333</v>
      </c>
    </row>
    <row r="13">
      <c r="A13" s="158" t="str">
        <f>IFERROR(__xludf.DUMMYFUNCTION("""COMPUTED_VALUE"""),"Return to Castle Wolfenstein")</f>
        <v>Return to Castle Wolfenstein</v>
      </c>
      <c r="B13" s="158" t="str">
        <f>IFERROR(__xludf.DUMMYFUNCTION("""COMPUTED_VALUE"""),"PC")</f>
        <v>PC</v>
      </c>
      <c r="C13" s="158"/>
      <c r="D13" s="159" t="str">
        <f>IFERROR(__xludf.DUMMYFUNCTION("""COMPUTED_VALUE"""),"Active")</f>
        <v>Active</v>
      </c>
      <c r="E13" s="160">
        <f>IFERROR(__xludf.DUMMYFUNCTION("""COMPUTED_VALUE"""),44791.0)</f>
        <v>44791</v>
      </c>
      <c r="F13" s="161"/>
      <c r="G13" s="162">
        <f>IFERROR(__xludf.DUMMYFUNCTION("""COMPUTED_VALUE"""),37.9)</f>
        <v>37.9</v>
      </c>
      <c r="H13" s="163">
        <f>IFERROR(__xludf.DUMMYFUNCTION("""COMPUTED_VALUE"""),37214.0)</f>
        <v>37214</v>
      </c>
      <c r="I13" s="162">
        <f>IFERROR(__xludf.DUMMYFUNCTION("""COMPUTED_VALUE"""),20.747222222222224)</f>
        <v>20.74722222</v>
      </c>
      <c r="J13" s="164">
        <f>IFERROR(__xludf.DUMMYFUNCTION("""COMPUTED_VALUE"""),88.0)</f>
        <v>88</v>
      </c>
      <c r="K13" s="164">
        <f>IFERROR(__xludf.DUMMYFUNCTION("""COMPUTED_VALUE"""),8.0)</f>
        <v>8</v>
      </c>
      <c r="L13" s="158" t="str">
        <f>IFERROR(__xludf.DUMMYFUNCTION("""COMPUTED_VALUE"""),"First-Person Shooter")</f>
        <v>First-Person Shooter</v>
      </c>
      <c r="M13" s="158"/>
      <c r="N13" s="158"/>
      <c r="O13" s="158" t="str">
        <f>IFERROR(__xludf.DUMMYFUNCTION("""COMPUTED_VALUE"""),"M")</f>
        <v>M</v>
      </c>
      <c r="P13" s="158" t="str">
        <f>IFERROR(__xludf.DUMMYFUNCTION("""COMPUTED_VALUE"""),"Blood and Gore, Violence")</f>
        <v>Blood and Gore, Violence</v>
      </c>
      <c r="Q13" s="158"/>
      <c r="R13" s="159" t="str">
        <f>IFERROR(__xludf.DUMMYFUNCTION("""COMPUTED_VALUE"""),"Active")</f>
        <v>Active</v>
      </c>
      <c r="S13" s="160">
        <f>IFERROR(__xludf.DUMMYFUNCTION("""COMPUTED_VALUE"""),45931.0)</f>
        <v>45931</v>
      </c>
      <c r="T13" s="162">
        <f>IFERROR(__xludf.DUMMYFUNCTION("""COMPUTED_VALUE"""),37.43333333333334)</f>
        <v>37.43333333</v>
      </c>
    </row>
    <row r="14">
      <c r="A14" s="158" t="str">
        <f>IFERROR(__xludf.DUMMYFUNCTION("""COMPUTED_VALUE"""),"Quake 4")</f>
        <v>Quake 4</v>
      </c>
      <c r="B14" s="158" t="str">
        <f>IFERROR(__xludf.DUMMYFUNCTION("""COMPUTED_VALUE"""),"PC")</f>
        <v>PC</v>
      </c>
      <c r="C14" s="158"/>
      <c r="D14" s="159" t="str">
        <f>IFERROR(__xludf.DUMMYFUNCTION("""COMPUTED_VALUE"""),"Active")</f>
        <v>Active</v>
      </c>
      <c r="E14" s="160">
        <f>IFERROR(__xludf.DUMMYFUNCTION("""COMPUTED_VALUE"""),44791.0)</f>
        <v>44791</v>
      </c>
      <c r="F14" s="161"/>
      <c r="G14" s="162">
        <f>IFERROR(__xludf.DUMMYFUNCTION("""COMPUTED_VALUE"""),37.9)</f>
        <v>37.9</v>
      </c>
      <c r="H14" s="163">
        <f>IFERROR(__xludf.DUMMYFUNCTION("""COMPUTED_VALUE"""),38643.0)</f>
        <v>38643</v>
      </c>
      <c r="I14" s="162">
        <f>IFERROR(__xludf.DUMMYFUNCTION("""COMPUTED_VALUE"""),16.833333333333332)</f>
        <v>16.83333333</v>
      </c>
      <c r="J14" s="164">
        <f>IFERROR(__xludf.DUMMYFUNCTION("""COMPUTED_VALUE"""),81.0)</f>
        <v>81</v>
      </c>
      <c r="K14" s="164">
        <f>IFERROR(__xludf.DUMMYFUNCTION("""COMPUTED_VALUE"""),8.0)</f>
        <v>8</v>
      </c>
      <c r="L14" s="158" t="str">
        <f>IFERROR(__xludf.DUMMYFUNCTION("""COMPUTED_VALUE"""),"First-Person Shooter")</f>
        <v>First-Person Shooter</v>
      </c>
      <c r="M14" s="158"/>
      <c r="N14" s="158"/>
      <c r="O14" s="158" t="str">
        <f>IFERROR(__xludf.DUMMYFUNCTION("""COMPUTED_VALUE"""),"M")</f>
        <v>M</v>
      </c>
      <c r="P14" s="158" t="str">
        <f>IFERROR(__xludf.DUMMYFUNCTION("""COMPUTED_VALUE"""),"Blood and Gore, Intense Violence, Strong Language")</f>
        <v>Blood and Gore, Intense Violence, Strong Language</v>
      </c>
      <c r="Q14" s="158"/>
      <c r="R14" s="159" t="str">
        <f>IFERROR(__xludf.DUMMYFUNCTION("""COMPUTED_VALUE"""),"Active")</f>
        <v>Active</v>
      </c>
      <c r="S14" s="160">
        <f>IFERROR(__xludf.DUMMYFUNCTION("""COMPUTED_VALUE"""),45931.0)</f>
        <v>45931</v>
      </c>
      <c r="T14" s="162">
        <f>IFERROR(__xludf.DUMMYFUNCTION("""COMPUTED_VALUE"""),37.43333333333334)</f>
        <v>37.43333333</v>
      </c>
    </row>
    <row r="15">
      <c r="A15" s="158" t="str">
        <f>IFERROR(__xludf.DUMMYFUNCTION("""COMPUTED_VALUE"""),"Wolfenstein 3D")</f>
        <v>Wolfenstein 3D</v>
      </c>
      <c r="B15" s="158" t="str">
        <f>IFERROR(__xludf.DUMMYFUNCTION("""COMPUTED_VALUE"""),"PC")</f>
        <v>PC</v>
      </c>
      <c r="C15" s="158"/>
      <c r="D15" s="159" t="str">
        <f>IFERROR(__xludf.DUMMYFUNCTION("""COMPUTED_VALUE"""),"Active")</f>
        <v>Active</v>
      </c>
      <c r="E15" s="160">
        <f>IFERROR(__xludf.DUMMYFUNCTION("""COMPUTED_VALUE"""),44791.0)</f>
        <v>44791</v>
      </c>
      <c r="F15" s="161"/>
      <c r="G15" s="162">
        <f>IFERROR(__xludf.DUMMYFUNCTION("""COMPUTED_VALUE"""),37.9)</f>
        <v>37.9</v>
      </c>
      <c r="H15" s="163">
        <f>IFERROR(__xludf.DUMMYFUNCTION("""COMPUTED_VALUE"""),33729.0)</f>
        <v>33729</v>
      </c>
      <c r="I15" s="162">
        <f>IFERROR(__xludf.DUMMYFUNCTION("""COMPUTED_VALUE"""),30.28611111111111)</f>
        <v>30.28611111</v>
      </c>
      <c r="J15" s="164">
        <f>IFERROR(__xludf.DUMMYFUNCTION("""COMPUTED_VALUE"""),85.0)</f>
        <v>85</v>
      </c>
      <c r="K15" s="164">
        <f>IFERROR(__xludf.DUMMYFUNCTION("""COMPUTED_VALUE"""),6.5)</f>
        <v>6.5</v>
      </c>
      <c r="L15" s="158" t="str">
        <f>IFERROR(__xludf.DUMMYFUNCTION("""COMPUTED_VALUE"""),"Action / First-Person Shooter")</f>
        <v>Action / First-Person Shooter</v>
      </c>
      <c r="M15" s="158"/>
      <c r="N15" s="158"/>
      <c r="O15" s="158" t="str">
        <f>IFERROR(__xludf.DUMMYFUNCTION("""COMPUTED_VALUE"""),"M")</f>
        <v>M</v>
      </c>
      <c r="P15" s="158" t="str">
        <f>IFERROR(__xludf.DUMMYFUNCTION("""COMPUTED_VALUE"""),"Blood and Gore, Violence")</f>
        <v>Blood and Gore, Violence</v>
      </c>
      <c r="Q15" s="158"/>
      <c r="R15" s="159" t="str">
        <f>IFERROR(__xludf.DUMMYFUNCTION("""COMPUTED_VALUE"""),"Active")</f>
        <v>Active</v>
      </c>
      <c r="S15" s="160">
        <f>IFERROR(__xludf.DUMMYFUNCTION("""COMPUTED_VALUE"""),45931.0)</f>
        <v>45931</v>
      </c>
      <c r="T15" s="162">
        <f>IFERROR(__xludf.DUMMYFUNCTION("""COMPUTED_VALUE"""),37.43333333333334)</f>
        <v>37.43333333</v>
      </c>
    </row>
    <row r="16">
      <c r="A16" s="158" t="str">
        <f>IFERROR(__xludf.DUMMYFUNCTION("""COMPUTED_VALUE"""),"Quake III: Arena")</f>
        <v>Quake III: Arena</v>
      </c>
      <c r="B16" s="158" t="str">
        <f>IFERROR(__xludf.DUMMYFUNCTION("""COMPUTED_VALUE"""),"PC")</f>
        <v>PC</v>
      </c>
      <c r="C16" s="158"/>
      <c r="D16" s="159" t="str">
        <f>IFERROR(__xludf.DUMMYFUNCTION("""COMPUTED_VALUE"""),"Active")</f>
        <v>Active</v>
      </c>
      <c r="E16" s="160">
        <f>IFERROR(__xludf.DUMMYFUNCTION("""COMPUTED_VALUE"""),44427.0)</f>
        <v>44427</v>
      </c>
      <c r="F16" s="161"/>
      <c r="G16" s="162">
        <f>IFERROR(__xludf.DUMMYFUNCTION("""COMPUTED_VALUE"""),49.866666666666674)</f>
        <v>49.86666667</v>
      </c>
      <c r="H16" s="163">
        <f>IFERROR(__xludf.DUMMYFUNCTION("""COMPUTED_VALUE"""),36496.0)</f>
        <v>36496</v>
      </c>
      <c r="I16" s="162">
        <f>IFERROR(__xludf.DUMMYFUNCTION("""COMPUTED_VALUE"""),21.71388888888889)</f>
        <v>21.71388889</v>
      </c>
      <c r="J16" s="164">
        <f>IFERROR(__xludf.DUMMYFUNCTION("""COMPUTED_VALUE"""),90.0)</f>
        <v>90</v>
      </c>
      <c r="K16" s="164">
        <f>IFERROR(__xludf.DUMMYFUNCTION("""COMPUTED_VALUE"""),5.5)</f>
        <v>5.5</v>
      </c>
      <c r="L16" s="158" t="str">
        <f>IFERROR(__xludf.DUMMYFUNCTION("""COMPUTED_VALUE"""),"First-Person Shooter")</f>
        <v>First-Person Shooter</v>
      </c>
      <c r="M16" s="158"/>
      <c r="N16" s="158"/>
      <c r="O16" s="158" t="str">
        <f>IFERROR(__xludf.DUMMYFUNCTION("""COMPUTED_VALUE"""),"M")</f>
        <v>M</v>
      </c>
      <c r="P16" s="158" t="str">
        <f>IFERROR(__xludf.DUMMYFUNCTION("""COMPUTED_VALUE"""),"Blood and Gore, Language, Violence")</f>
        <v>Blood and Gore, Language, Violence</v>
      </c>
      <c r="Q16" s="158"/>
      <c r="R16" s="159" t="str">
        <f>IFERROR(__xludf.DUMMYFUNCTION("""COMPUTED_VALUE"""),"Active")</f>
        <v>Active</v>
      </c>
      <c r="S16" s="160">
        <f>IFERROR(__xludf.DUMMYFUNCTION("""COMPUTED_VALUE"""),45931.0)</f>
        <v>45931</v>
      </c>
      <c r="T16" s="162">
        <f>IFERROR(__xludf.DUMMYFUNCTION("""COMPUTED_VALUE"""),49.39999999999999)</f>
        <v>49.4</v>
      </c>
    </row>
    <row r="17">
      <c r="A17" s="158" t="str">
        <f>IFERROR(__xludf.DUMMYFUNCTION("""COMPUTED_VALUE"""),"Arx Fatalis")</f>
        <v>Arx Fatalis</v>
      </c>
      <c r="B17" s="158" t="str">
        <f>IFERROR(__xludf.DUMMYFUNCTION("""COMPUTED_VALUE"""),"PC")</f>
        <v>PC</v>
      </c>
      <c r="C17" s="158"/>
      <c r="D17" s="159" t="str">
        <f>IFERROR(__xludf.DUMMYFUNCTION("""COMPUTED_VALUE"""),"Active")</f>
        <v>Active</v>
      </c>
      <c r="E17" s="160">
        <f>IFERROR(__xludf.DUMMYFUNCTION("""COMPUTED_VALUE"""),44360.0)</f>
        <v>44360</v>
      </c>
      <c r="F17" s="161"/>
      <c r="G17" s="162">
        <f>IFERROR(__xludf.DUMMYFUNCTION("""COMPUTED_VALUE"""),52.06666666666666)</f>
        <v>52.06666667</v>
      </c>
      <c r="H17" s="163">
        <f>IFERROR(__xludf.DUMMYFUNCTION("""COMPUTED_VALUE"""),37571.0)</f>
        <v>37571</v>
      </c>
      <c r="I17" s="162">
        <f>IFERROR(__xludf.DUMMYFUNCTION("""COMPUTED_VALUE"""),18.58888888888889)</f>
        <v>18.58888889</v>
      </c>
      <c r="J17" s="164">
        <f>IFERROR(__xludf.DUMMYFUNCTION("""COMPUTED_VALUE"""),77.0)</f>
        <v>77</v>
      </c>
      <c r="K17" s="164">
        <f>IFERROR(__xludf.DUMMYFUNCTION("""COMPUTED_VALUE"""),20.0)</f>
        <v>20</v>
      </c>
      <c r="L17" s="158" t="str">
        <f>IFERROR(__xludf.DUMMYFUNCTION("""COMPUTED_VALUE"""),"Action / Adventure / RPG")</f>
        <v>Action / Adventure / RPG</v>
      </c>
      <c r="M17" s="158"/>
      <c r="N17" s="158" t="str">
        <f>IFERROR(__xludf.DUMMYFUNCTION("""COMPUTED_VALUE"""),"Official PC Mod Support")</f>
        <v>Official PC Mod Support</v>
      </c>
      <c r="O17" s="158" t="str">
        <f>IFERROR(__xludf.DUMMYFUNCTION("""COMPUTED_VALUE"""),"M")</f>
        <v>M</v>
      </c>
      <c r="P17" s="158" t="str">
        <f>IFERROR(__xludf.DUMMYFUNCTION("""COMPUTED_VALUE"""),"Violence, Blood, Simulated Gambling")</f>
        <v>Violence, Blood, Simulated Gambling</v>
      </c>
      <c r="Q17" s="158"/>
      <c r="R17" s="159" t="str">
        <f>IFERROR(__xludf.DUMMYFUNCTION("""COMPUTED_VALUE"""),"Active")</f>
        <v>Active</v>
      </c>
      <c r="S17" s="160">
        <f>IFERROR(__xludf.DUMMYFUNCTION("""COMPUTED_VALUE"""),45931.0)</f>
        <v>45931</v>
      </c>
      <c r="T17" s="162">
        <f>IFERROR(__xludf.DUMMYFUNCTION("""COMPUTED_VALUE"""),51.599999999999994)</f>
        <v>51.6</v>
      </c>
    </row>
    <row r="18">
      <c r="A18" s="158" t="str">
        <f>IFERROR(__xludf.DUMMYFUNCTION("""COMPUTED_VALUE"""),"Fallout")</f>
        <v>Fallout</v>
      </c>
      <c r="B18" s="158" t="str">
        <f>IFERROR(__xludf.DUMMYFUNCTION("""COMPUTED_VALUE"""),"PC")</f>
        <v>PC</v>
      </c>
      <c r="C18" s="158"/>
      <c r="D18" s="159" t="str">
        <f>IFERROR(__xludf.DUMMYFUNCTION("""COMPUTED_VALUE"""),"Active")</f>
        <v>Active</v>
      </c>
      <c r="E18" s="160">
        <f>IFERROR(__xludf.DUMMYFUNCTION("""COMPUTED_VALUE"""),44360.0)</f>
        <v>44360</v>
      </c>
      <c r="F18" s="161"/>
      <c r="G18" s="162">
        <f>IFERROR(__xludf.DUMMYFUNCTION("""COMPUTED_VALUE"""),52.06666666666666)</f>
        <v>52.06666667</v>
      </c>
      <c r="H18" s="163">
        <f>IFERROR(__xludf.DUMMYFUNCTION("""COMPUTED_VALUE"""),35703.0)</f>
        <v>35703</v>
      </c>
      <c r="I18" s="162">
        <f>IFERROR(__xludf.DUMMYFUNCTION("""COMPUTED_VALUE"""),23.70277777777778)</f>
        <v>23.70277778</v>
      </c>
      <c r="J18" s="164">
        <f>IFERROR(__xludf.DUMMYFUNCTION("""COMPUTED_VALUE"""),89.0)</f>
        <v>89</v>
      </c>
      <c r="K18" s="164">
        <f>IFERROR(__xludf.DUMMYFUNCTION("""COMPUTED_VALUE"""),16.0)</f>
        <v>16</v>
      </c>
      <c r="L18" s="158" t="str">
        <f>IFERROR(__xludf.DUMMYFUNCTION("""COMPUTED_VALUE"""),"RPG")</f>
        <v>RPG</v>
      </c>
      <c r="M18" s="158"/>
      <c r="N18" s="158" t="str">
        <f>IFERROR(__xludf.DUMMYFUNCTION("""COMPUTED_VALUE"""),"Official PC Mod Support")</f>
        <v>Official PC Mod Support</v>
      </c>
      <c r="O18" s="158" t="str">
        <f>IFERROR(__xludf.DUMMYFUNCTION("""COMPUTED_VALUE"""),"M")</f>
        <v>M</v>
      </c>
      <c r="P18" s="158" t="str">
        <f>IFERROR(__xludf.DUMMYFUNCTION("""COMPUTED_VALUE"""),"Blood and Gore, Strong Language, Suggestive Themes, Violence")</f>
        <v>Blood and Gore, Strong Language, Suggestive Themes, Violence</v>
      </c>
      <c r="Q18" s="158"/>
      <c r="R18" s="159" t="str">
        <f>IFERROR(__xludf.DUMMYFUNCTION("""COMPUTED_VALUE"""),"Active")</f>
        <v>Active</v>
      </c>
      <c r="S18" s="160">
        <f>IFERROR(__xludf.DUMMYFUNCTION("""COMPUTED_VALUE"""),45931.0)</f>
        <v>45931</v>
      </c>
      <c r="T18" s="162">
        <f>IFERROR(__xludf.DUMMYFUNCTION("""COMPUTED_VALUE"""),51.599999999999994)</f>
        <v>51.6</v>
      </c>
    </row>
    <row r="19">
      <c r="A19" s="158" t="str">
        <f>IFERROR(__xludf.DUMMYFUNCTION("""COMPUTED_VALUE"""),"Fallout 2")</f>
        <v>Fallout 2</v>
      </c>
      <c r="B19" s="158" t="str">
        <f>IFERROR(__xludf.DUMMYFUNCTION("""COMPUTED_VALUE"""),"PC")</f>
        <v>PC</v>
      </c>
      <c r="C19" s="158"/>
      <c r="D19" s="159" t="str">
        <f>IFERROR(__xludf.DUMMYFUNCTION("""COMPUTED_VALUE"""),"Active")</f>
        <v>Active</v>
      </c>
      <c r="E19" s="160">
        <f>IFERROR(__xludf.DUMMYFUNCTION("""COMPUTED_VALUE"""),44360.0)</f>
        <v>44360</v>
      </c>
      <c r="F19" s="161"/>
      <c r="G19" s="162">
        <f>IFERROR(__xludf.DUMMYFUNCTION("""COMPUTED_VALUE"""),52.06666666666666)</f>
        <v>52.06666667</v>
      </c>
      <c r="H19" s="163">
        <f>IFERROR(__xludf.DUMMYFUNCTION("""COMPUTED_VALUE"""),36068.0)</f>
        <v>36068</v>
      </c>
      <c r="I19" s="162">
        <f>IFERROR(__xludf.DUMMYFUNCTION("""COMPUTED_VALUE"""),22.70277777777778)</f>
        <v>22.70277778</v>
      </c>
      <c r="J19" s="164">
        <f>IFERROR(__xludf.DUMMYFUNCTION("""COMPUTED_VALUE"""),86.0)</f>
        <v>86</v>
      </c>
      <c r="K19" s="164">
        <f>IFERROR(__xludf.DUMMYFUNCTION("""COMPUTED_VALUE"""),30.5)</f>
        <v>30.5</v>
      </c>
      <c r="L19" s="158" t="str">
        <f>IFERROR(__xludf.DUMMYFUNCTION("""COMPUTED_VALUE"""),"RPG")</f>
        <v>RPG</v>
      </c>
      <c r="M19" s="158"/>
      <c r="N19" s="158" t="str">
        <f>IFERROR(__xludf.DUMMYFUNCTION("""COMPUTED_VALUE"""),"Official PC Mod Support")</f>
        <v>Official PC Mod Support</v>
      </c>
      <c r="O19" s="158" t="str">
        <f>IFERROR(__xludf.DUMMYFUNCTION("""COMPUTED_VALUE"""),"M")</f>
        <v>M</v>
      </c>
      <c r="P19" s="158" t="str">
        <f>IFERROR(__xludf.DUMMYFUNCTION("""COMPUTED_VALUE"""),"Blood and Gore, Sexual Content, Strong Language, Violence")</f>
        <v>Blood and Gore, Sexual Content, Strong Language, Violence</v>
      </c>
      <c r="Q19" s="158"/>
      <c r="R19" s="159" t="str">
        <f>IFERROR(__xludf.DUMMYFUNCTION("""COMPUTED_VALUE"""),"Active")</f>
        <v>Active</v>
      </c>
      <c r="S19" s="160">
        <f>IFERROR(__xludf.DUMMYFUNCTION("""COMPUTED_VALUE"""),45931.0)</f>
        <v>45931</v>
      </c>
      <c r="T19" s="162">
        <f>IFERROR(__xludf.DUMMYFUNCTION("""COMPUTED_VALUE"""),51.599999999999994)</f>
        <v>51.6</v>
      </c>
    </row>
    <row r="20">
      <c r="A20" s="158" t="str">
        <f>IFERROR(__xludf.DUMMYFUNCTION("""COMPUTED_VALUE"""),"Fallout Tactics: Brotherhood of Steel")</f>
        <v>Fallout Tactics: Brotherhood of Steel</v>
      </c>
      <c r="B20" s="158" t="str">
        <f>IFERROR(__xludf.DUMMYFUNCTION("""COMPUTED_VALUE"""),"PC")</f>
        <v>PC</v>
      </c>
      <c r="C20" s="158"/>
      <c r="D20" s="159" t="str">
        <f>IFERROR(__xludf.DUMMYFUNCTION("""COMPUTED_VALUE"""),"Active")</f>
        <v>Active</v>
      </c>
      <c r="E20" s="160">
        <f>IFERROR(__xludf.DUMMYFUNCTION("""COMPUTED_VALUE"""),44360.0)</f>
        <v>44360</v>
      </c>
      <c r="F20" s="161"/>
      <c r="G20" s="162">
        <f>IFERROR(__xludf.DUMMYFUNCTION("""COMPUTED_VALUE"""),52.06666666666666)</f>
        <v>52.06666667</v>
      </c>
      <c r="H20" s="163">
        <f>IFERROR(__xludf.DUMMYFUNCTION("""COMPUTED_VALUE"""),36964.0)</f>
        <v>36964</v>
      </c>
      <c r="I20" s="162">
        <f>IFERROR(__xludf.DUMMYFUNCTION("""COMPUTED_VALUE"""),20.247222222222224)</f>
        <v>20.24722222</v>
      </c>
      <c r="J20" s="164">
        <f>IFERROR(__xludf.DUMMYFUNCTION("""COMPUTED_VALUE"""),82.0)</f>
        <v>82</v>
      </c>
      <c r="K20" s="164">
        <f>IFERROR(__xludf.DUMMYFUNCTION("""COMPUTED_VALUE"""),31.0)</f>
        <v>31</v>
      </c>
      <c r="L20" s="158" t="str">
        <f>IFERROR(__xludf.DUMMYFUNCTION("""COMPUTED_VALUE"""),"Action / Strategy / RPG")</f>
        <v>Action / Strategy / RPG</v>
      </c>
      <c r="M20" s="158"/>
      <c r="N20" s="158" t="str">
        <f>IFERROR(__xludf.DUMMYFUNCTION("""COMPUTED_VALUE"""),"Official PC Mod Support")</f>
        <v>Official PC Mod Support</v>
      </c>
      <c r="O20" s="158" t="str">
        <f>IFERROR(__xludf.DUMMYFUNCTION("""COMPUTED_VALUE"""),"M")</f>
        <v>M</v>
      </c>
      <c r="P20" s="158" t="str">
        <f>IFERROR(__xludf.DUMMYFUNCTION("""COMPUTED_VALUE"""),"Violence, Blood, Strong Language")</f>
        <v>Violence, Blood, Strong Language</v>
      </c>
      <c r="Q20" s="158"/>
      <c r="R20" s="159" t="str">
        <f>IFERROR(__xludf.DUMMYFUNCTION("""COMPUTED_VALUE"""),"Active")</f>
        <v>Active</v>
      </c>
      <c r="S20" s="160">
        <f>IFERROR(__xludf.DUMMYFUNCTION("""COMPUTED_VALUE"""),45931.0)</f>
        <v>45931</v>
      </c>
      <c r="T20" s="162">
        <f>IFERROR(__xludf.DUMMYFUNCTION("""COMPUTED_VALUE"""),51.599999999999994)</f>
        <v>51.6</v>
      </c>
    </row>
    <row r="21">
      <c r="A21" s="158" t="str">
        <f>IFERROR(__xludf.DUMMYFUNCTION("""COMPUTED_VALUE"""),"Age of Empires III: Definitive Edition")</f>
        <v>Age of Empires III: Definitive Edition</v>
      </c>
      <c r="B21" s="158" t="str">
        <f>IFERROR(__xludf.DUMMYFUNCTION("""COMPUTED_VALUE"""),"PC")</f>
        <v>PC</v>
      </c>
      <c r="C21" s="158"/>
      <c r="D21" s="159" t="str">
        <f>IFERROR(__xludf.DUMMYFUNCTION("""COMPUTED_VALUE"""),"Active")</f>
        <v>Active</v>
      </c>
      <c r="E21" s="160">
        <f>IFERROR(__xludf.DUMMYFUNCTION("""COMPUTED_VALUE"""),44119.0)</f>
        <v>44119</v>
      </c>
      <c r="F21" s="161"/>
      <c r="G21" s="162">
        <f>IFERROR(__xludf.DUMMYFUNCTION("""COMPUTED_VALUE"""),60.0)</f>
        <v>60</v>
      </c>
      <c r="H21" s="163">
        <f>IFERROR(__xludf.DUMMYFUNCTION("""COMPUTED_VALUE"""),44119.0)</f>
        <v>44119</v>
      </c>
      <c r="I21" s="162">
        <f>IFERROR(__xludf.DUMMYFUNCTION("""COMPUTED_VALUE"""),0.0)</f>
        <v>0</v>
      </c>
      <c r="J21" s="164">
        <f>IFERROR(__xludf.DUMMYFUNCTION("""COMPUTED_VALUE"""),76.0)</f>
        <v>76</v>
      </c>
      <c r="K21" s="164">
        <f>IFERROR(__xludf.DUMMYFUNCTION("""COMPUTED_VALUE"""),10.5)</f>
        <v>10.5</v>
      </c>
      <c r="L21" s="158" t="str">
        <f>IFERROR(__xludf.DUMMYFUNCTION("""COMPUTED_VALUE"""),"Strategy / Real-Time Strategy")</f>
        <v>Strategy / Real-Time Strategy</v>
      </c>
      <c r="M21" s="158"/>
      <c r="N21" s="158"/>
      <c r="O21" s="158" t="str">
        <f>IFERROR(__xludf.DUMMYFUNCTION("""COMPUTED_VALUE"""),"T")</f>
        <v>T</v>
      </c>
      <c r="P21" s="158" t="str">
        <f>IFERROR(__xludf.DUMMYFUNCTION("""COMPUTED_VALUE"""),"Mild Blood, Violence")</f>
        <v>Mild Blood, Violence</v>
      </c>
      <c r="Q21" s="158"/>
      <c r="R21" s="159" t="str">
        <f>IFERROR(__xludf.DUMMYFUNCTION("""COMPUTED_VALUE"""),"Active")</f>
        <v>Active</v>
      </c>
      <c r="S21" s="160">
        <f>IFERROR(__xludf.DUMMYFUNCTION("""COMPUTED_VALUE"""),45931.0)</f>
        <v>45931</v>
      </c>
      <c r="T21" s="162">
        <f>IFERROR(__xludf.DUMMYFUNCTION("""COMPUTED_VALUE"""),59.53333333333333)</f>
        <v>59.53333333</v>
      </c>
    </row>
    <row r="22">
      <c r="A22" s="158" t="str">
        <f>IFERROR(__xludf.DUMMYFUNCTION("""COMPUTED_VALUE"""),"BattleTech")</f>
        <v>BattleTech</v>
      </c>
      <c r="B22" s="158" t="str">
        <f>IFERROR(__xludf.DUMMYFUNCTION("""COMPUTED_VALUE"""),"PC")</f>
        <v>PC</v>
      </c>
      <c r="C22" s="158"/>
      <c r="D22" s="159" t="str">
        <f>IFERROR(__xludf.DUMMYFUNCTION("""COMPUTED_VALUE"""),"Active")</f>
        <v>Active</v>
      </c>
      <c r="E22" s="160">
        <f>IFERROR(__xludf.DUMMYFUNCTION("""COMPUTED_VALUE"""),43993.0)</f>
        <v>43993</v>
      </c>
      <c r="F22" s="161"/>
      <c r="G22" s="162">
        <f>IFERROR(__xludf.DUMMYFUNCTION("""COMPUTED_VALUE"""),64.13333333333333)</f>
        <v>64.13333333</v>
      </c>
      <c r="H22" s="163">
        <f>IFERROR(__xludf.DUMMYFUNCTION("""COMPUTED_VALUE"""),43214.0)</f>
        <v>43214</v>
      </c>
      <c r="I22" s="162">
        <f>IFERROR(__xludf.DUMMYFUNCTION("""COMPUTED_VALUE"""),2.1305555555555555)</f>
        <v>2.130555556</v>
      </c>
      <c r="J22" s="164">
        <f>IFERROR(__xludf.DUMMYFUNCTION("""COMPUTED_VALUE"""),78.0)</f>
        <v>78</v>
      </c>
      <c r="K22" s="164">
        <f>IFERROR(__xludf.DUMMYFUNCTION("""COMPUTED_VALUE"""),54.0)</f>
        <v>54</v>
      </c>
      <c r="L22" s="158" t="str">
        <f>IFERROR(__xludf.DUMMYFUNCTION("""COMPUTED_VALUE"""),"Strategy / RPG")</f>
        <v>Strategy / RPG</v>
      </c>
      <c r="M22" s="158"/>
      <c r="N22" s="158"/>
      <c r="O22" s="158" t="str">
        <f>IFERROR(__xludf.DUMMYFUNCTION("""COMPUTED_VALUE"""),"T")</f>
        <v>T</v>
      </c>
      <c r="P22" s="158" t="str">
        <f>IFERROR(__xludf.DUMMYFUNCTION("""COMPUTED_VALUE"""),"Violence, Use of Alcohol And Tobacco, Language")</f>
        <v>Violence, Use of Alcohol And Tobacco, Language</v>
      </c>
      <c r="Q22" s="158"/>
      <c r="R22" s="159" t="str">
        <f>IFERROR(__xludf.DUMMYFUNCTION("""COMPUTED_VALUE"""),"Active")</f>
        <v>Active</v>
      </c>
      <c r="S22" s="160">
        <f>IFERROR(__xludf.DUMMYFUNCTION("""COMPUTED_VALUE"""),45931.0)</f>
        <v>45931</v>
      </c>
      <c r="T22" s="162">
        <f>IFERROR(__xludf.DUMMYFUNCTION("""COMPUTED_VALUE"""),63.666666666666664)</f>
        <v>63.66666667</v>
      </c>
    </row>
    <row r="23">
      <c r="A23" s="158" t="str">
        <f>IFERROR(__xludf.DUMMYFUNCTION("""COMPUTED_VALUE"""),"Age of Empires: Definitive Edition")</f>
        <v>Age of Empires: Definitive Edition</v>
      </c>
      <c r="B23" s="158" t="str">
        <f>IFERROR(__xludf.DUMMYFUNCTION("""COMPUTED_VALUE"""),"PC")</f>
        <v>PC</v>
      </c>
      <c r="C23" s="158"/>
      <c r="D23" s="159" t="str">
        <f>IFERROR(__xludf.DUMMYFUNCTION("""COMPUTED_VALUE"""),"Active")</f>
        <v>Active</v>
      </c>
      <c r="E23" s="160">
        <f>IFERROR(__xludf.DUMMYFUNCTION("""COMPUTED_VALUE"""),43696.0)</f>
        <v>43696</v>
      </c>
      <c r="F23" s="161"/>
      <c r="G23" s="162">
        <f>IFERROR(__xludf.DUMMYFUNCTION("""COMPUTED_VALUE"""),73.86666666666667)</f>
        <v>73.86666667</v>
      </c>
      <c r="H23" s="163">
        <f>IFERROR(__xludf.DUMMYFUNCTION("""COMPUTED_VALUE"""),43150.0)</f>
        <v>43150</v>
      </c>
      <c r="I23" s="162">
        <f>IFERROR(__xludf.DUMMYFUNCTION("""COMPUTED_VALUE"""),1.5)</f>
        <v>1.5</v>
      </c>
      <c r="J23" s="164">
        <f>IFERROR(__xludf.DUMMYFUNCTION("""COMPUTED_VALUE"""),83.0)</f>
        <v>83</v>
      </c>
      <c r="K23" s="164">
        <f>IFERROR(__xludf.DUMMYFUNCTION("""COMPUTED_VALUE"""),39.5)</f>
        <v>39.5</v>
      </c>
      <c r="L23" s="158" t="str">
        <f>IFERROR(__xludf.DUMMYFUNCTION("""COMPUTED_VALUE"""),"Strategy")</f>
        <v>Strategy</v>
      </c>
      <c r="M23" s="158"/>
      <c r="N23" s="158"/>
      <c r="O23" s="158" t="str">
        <f>IFERROR(__xludf.DUMMYFUNCTION("""COMPUTED_VALUE"""),"T")</f>
        <v>T</v>
      </c>
      <c r="P23" s="158" t="str">
        <f>IFERROR(__xludf.DUMMYFUNCTION("""COMPUTED_VALUE"""),"Blood, Mild Violence")</f>
        <v>Blood, Mild Violence</v>
      </c>
      <c r="Q23" s="158"/>
      <c r="R23" s="159" t="str">
        <f>IFERROR(__xludf.DUMMYFUNCTION("""COMPUTED_VALUE"""),"Active")</f>
        <v>Active</v>
      </c>
      <c r="S23" s="160">
        <f>IFERROR(__xludf.DUMMYFUNCTION("""COMPUTED_VALUE"""),45931.0)</f>
        <v>45931</v>
      </c>
      <c r="T23" s="162">
        <f>IFERROR(__xludf.DUMMYFUNCTION("""COMPUTED_VALUE"""),73.39999999999999)</f>
        <v>73.4</v>
      </c>
    </row>
    <row r="24">
      <c r="A24" s="158" t="str">
        <f>IFERROR(__xludf.DUMMYFUNCTION("""COMPUTED_VALUE"""),"Halo: Spartan Strike")</f>
        <v>Halo: Spartan Strike</v>
      </c>
      <c r="B24" s="158" t="str">
        <f>IFERROR(__xludf.DUMMYFUNCTION("""COMPUTED_VALUE"""),"PC")</f>
        <v>PC</v>
      </c>
      <c r="C24" s="158"/>
      <c r="D24" s="159" t="str">
        <f>IFERROR(__xludf.DUMMYFUNCTION("""COMPUTED_VALUE"""),"Active")</f>
        <v>Active</v>
      </c>
      <c r="E24" s="160">
        <f>IFERROR(__xludf.DUMMYFUNCTION("""COMPUTED_VALUE"""),43625.0)</f>
        <v>43625</v>
      </c>
      <c r="F24" s="161"/>
      <c r="G24" s="162">
        <f>IFERROR(__xludf.DUMMYFUNCTION("""COMPUTED_VALUE"""),76.19999999999999)</f>
        <v>76.2</v>
      </c>
      <c r="H24" s="163">
        <f>IFERROR(__xludf.DUMMYFUNCTION("""COMPUTED_VALUE"""),42110.0)</f>
        <v>42110</v>
      </c>
      <c r="I24" s="162">
        <f>IFERROR(__xludf.DUMMYFUNCTION("""COMPUTED_VALUE"""),4.147222222222222)</f>
        <v>4.147222222</v>
      </c>
      <c r="J24" s="164">
        <f>IFERROR(__xludf.DUMMYFUNCTION("""COMPUTED_VALUE"""),66.0)</f>
        <v>66</v>
      </c>
      <c r="K24" s="164">
        <f>IFERROR(__xludf.DUMMYFUNCTION("""COMPUTED_VALUE"""),5.5)</f>
        <v>5.5</v>
      </c>
      <c r="L24" s="158" t="str">
        <f>IFERROR(__xludf.DUMMYFUNCTION("""COMPUTED_VALUE"""),"Action / Dual-Joystick Shooter")</f>
        <v>Action / Dual-Joystick Shooter</v>
      </c>
      <c r="M24" s="158"/>
      <c r="N24" s="158"/>
      <c r="O24" s="158" t="str">
        <f>IFERROR(__xludf.DUMMYFUNCTION("""COMPUTED_VALUE"""),"E10+")</f>
        <v>E10+</v>
      </c>
      <c r="P24" s="158" t="str">
        <f>IFERROR(__xludf.DUMMYFUNCTION("""COMPUTED_VALUE"""),"Fantasy Violence, Mild Blood")</f>
        <v>Fantasy Violence, Mild Blood</v>
      </c>
      <c r="Q24" s="158"/>
      <c r="R24" s="159" t="str">
        <f>IFERROR(__xludf.DUMMYFUNCTION("""COMPUTED_VALUE"""),"Active")</f>
        <v>Active</v>
      </c>
      <c r="S24" s="160">
        <f>IFERROR(__xludf.DUMMYFUNCTION("""COMPUTED_VALUE"""),45931.0)</f>
        <v>45931</v>
      </c>
      <c r="T24" s="162">
        <f>IFERROR(__xludf.DUMMYFUNCTION("""COMPUTED_VALUE"""),75.73333333333333)</f>
        <v>75.73333333</v>
      </c>
    </row>
    <row r="25">
      <c r="A25" s="158" t="str">
        <f>IFERROR(__xludf.DUMMYFUNCTION("""COMPUTED_VALUE"""),"Rise of Nations: Extended Edition")</f>
        <v>Rise of Nations: Extended Edition</v>
      </c>
      <c r="B25" s="158" t="str">
        <f>IFERROR(__xludf.DUMMYFUNCTION("""COMPUTED_VALUE"""),"PC")</f>
        <v>PC</v>
      </c>
      <c r="C25" s="158"/>
      <c r="D25" s="159" t="str">
        <f>IFERROR(__xludf.DUMMYFUNCTION("""COMPUTED_VALUE"""),"Active")</f>
        <v>Active</v>
      </c>
      <c r="E25" s="160">
        <f>IFERROR(__xludf.DUMMYFUNCTION("""COMPUTED_VALUE"""),43625.0)</f>
        <v>43625</v>
      </c>
      <c r="F25" s="161"/>
      <c r="G25" s="162">
        <f>IFERROR(__xludf.DUMMYFUNCTION("""COMPUTED_VALUE"""),76.19999999999999)</f>
        <v>76.2</v>
      </c>
      <c r="H25" s="163">
        <f>IFERROR(__xludf.DUMMYFUNCTION("""COMPUTED_VALUE"""),37761.0)</f>
        <v>37761</v>
      </c>
      <c r="I25" s="162">
        <f>IFERROR(__xludf.DUMMYFUNCTION("""COMPUTED_VALUE"""),16.052777777777777)</f>
        <v>16.05277778</v>
      </c>
      <c r="J25" s="164">
        <f>IFERROR(__xludf.DUMMYFUNCTION("""COMPUTED_VALUE"""),89.0)</f>
        <v>89</v>
      </c>
      <c r="K25" s="164">
        <f>IFERROR(__xludf.DUMMYFUNCTION("""COMPUTED_VALUE"""),18.0)</f>
        <v>18</v>
      </c>
      <c r="L25" s="158" t="str">
        <f>IFERROR(__xludf.DUMMYFUNCTION("""COMPUTED_VALUE"""),"Strategy / Real-Time Strategy / Trivia/Board Game")</f>
        <v>Strategy / Real-Time Strategy / Trivia/Board Game</v>
      </c>
      <c r="M25" s="158"/>
      <c r="N25" s="158"/>
      <c r="O25" s="158" t="str">
        <f>IFERROR(__xludf.DUMMYFUNCTION("""COMPUTED_VALUE"""),"T")</f>
        <v>T</v>
      </c>
      <c r="P25" s="158" t="str">
        <f>IFERROR(__xludf.DUMMYFUNCTION("""COMPUTED_VALUE"""),"Blood and Gore, Violence")</f>
        <v>Blood and Gore, Violence</v>
      </c>
      <c r="Q25" s="158"/>
      <c r="R25" s="159" t="str">
        <f>IFERROR(__xludf.DUMMYFUNCTION("""COMPUTED_VALUE"""),"Active")</f>
        <v>Active</v>
      </c>
      <c r="S25" s="160">
        <f>IFERROR(__xludf.DUMMYFUNCTION("""COMPUTED_VALUE"""),45931.0)</f>
        <v>45931</v>
      </c>
      <c r="T25" s="162">
        <f>IFERROR(__xludf.DUMMYFUNCTION("""COMPUTED_VALUE"""),75.73333333333333)</f>
        <v>75.73333333</v>
      </c>
    </row>
    <row r="26">
      <c r="A26" s="158" t="str">
        <f>IFERROR(__xludf.DUMMYFUNCTION("""COMPUTED_VALUE"""),"For The King II")</f>
        <v>For The King II</v>
      </c>
      <c r="B26" s="158" t="str">
        <f>IFERROR(__xludf.DUMMYFUNCTION("""COMPUTED_VALUE"""),"Xbox / PC")</f>
        <v>Xbox / PC</v>
      </c>
      <c r="C26" s="158" t="str">
        <f>IFERROR(__xludf.DUMMYFUNCTION("""COMPUTED_VALUE"""),"Yes")</f>
        <v>Yes</v>
      </c>
      <c r="D26" s="159" t="str">
        <f>IFERROR(__xludf.DUMMYFUNCTION("""COMPUTED_VALUE"""),"Active")</f>
        <v>Active</v>
      </c>
      <c r="E26" s="160">
        <f>IFERROR(__xludf.DUMMYFUNCTION("""COMPUTED_VALUE"""),45638.0)</f>
        <v>45638</v>
      </c>
      <c r="F26" s="161"/>
      <c r="G26" s="162">
        <f>IFERROR(__xludf.DUMMYFUNCTION("""COMPUTED_VALUE"""),10.1)</f>
        <v>10.1</v>
      </c>
      <c r="H26" s="163">
        <f>IFERROR(__xludf.DUMMYFUNCTION("""COMPUTED_VALUE"""),45232.0)</f>
        <v>45232</v>
      </c>
      <c r="I26" s="162">
        <f>IFERROR(__xludf.DUMMYFUNCTION("""COMPUTED_VALUE"""),1.1111111111111112)</f>
        <v>1.111111111</v>
      </c>
      <c r="J26" s="164">
        <f>IFERROR(__xludf.DUMMYFUNCTION("""COMPUTED_VALUE"""),76.0)</f>
        <v>76</v>
      </c>
      <c r="K26" s="164">
        <f>IFERROR(__xludf.DUMMYFUNCTION("""COMPUTED_VALUE"""),15.0)</f>
        <v>15</v>
      </c>
      <c r="L26" s="158" t="str">
        <f>IFERROR(__xludf.DUMMYFUNCTION("""COMPUTED_VALUE"""),"Roguelike")</f>
        <v>Roguelike</v>
      </c>
      <c r="M26" s="158"/>
      <c r="N26" s="158"/>
      <c r="O26" s="158"/>
      <c r="P26" s="158"/>
      <c r="Q26" s="158"/>
      <c r="R26" s="159" t="str">
        <f>IFERROR(__xludf.DUMMYFUNCTION("""COMPUTED_VALUE"""),"Active")</f>
        <v>Active</v>
      </c>
      <c r="S26" s="160">
        <f>IFERROR(__xludf.DUMMYFUNCTION("""COMPUTED_VALUE"""),45917.0)</f>
        <v>45917</v>
      </c>
      <c r="T26" s="162">
        <f>IFERROR(__xludf.DUMMYFUNCTION("""COMPUTED_VALUE"""),9.166666666666666)</f>
        <v>9.166666667</v>
      </c>
    </row>
    <row r="27">
      <c r="A27" s="158" t="str">
        <f>IFERROR(__xludf.DUMMYFUNCTION("""COMPUTED_VALUE"""),"Overthrown (Game Preview)")</f>
        <v>Overthrown (Game Preview)</v>
      </c>
      <c r="B27" s="158" t="str">
        <f>IFERROR(__xludf.DUMMYFUNCTION("""COMPUTED_VALUE"""),"Xbox / PC")</f>
        <v>Xbox / PC</v>
      </c>
      <c r="C27" s="158" t="str">
        <f>IFERROR(__xludf.DUMMYFUNCTION("""COMPUTED_VALUE"""),"Yes")</f>
        <v>Yes</v>
      </c>
      <c r="D27" s="159" t="str">
        <f>IFERROR(__xludf.DUMMYFUNCTION("""COMPUTED_VALUE"""),"Active")</f>
        <v>Active</v>
      </c>
      <c r="E27" s="160">
        <f>IFERROR(__xludf.DUMMYFUNCTION("""COMPUTED_VALUE"""),45631.0)</f>
        <v>45631</v>
      </c>
      <c r="F27" s="161"/>
      <c r="G27" s="162">
        <f>IFERROR(__xludf.DUMMYFUNCTION("""COMPUTED_VALUE"""),10.333333333333334)</f>
        <v>10.33333333</v>
      </c>
      <c r="H27" s="163">
        <f>IFERROR(__xludf.DUMMYFUNCTION("""COMPUTED_VALUE"""),45631.0)</f>
        <v>45631</v>
      </c>
      <c r="I27" s="162">
        <f>IFERROR(__xludf.DUMMYFUNCTION("""COMPUTED_VALUE"""),0.0)</f>
        <v>0</v>
      </c>
      <c r="J27" s="164"/>
      <c r="K27" s="164"/>
      <c r="L27" s="158" t="str">
        <f>IFERROR(__xludf.DUMMYFUNCTION("""COMPUTED_VALUE"""),"Sandbox")</f>
        <v>Sandbox</v>
      </c>
      <c r="M27" s="158" t="str">
        <f>IFERROR(__xludf.DUMMYFUNCTION("""COMPUTED_VALUE"""),"Exclusive")</f>
        <v>Exclusive</v>
      </c>
      <c r="N27" s="158"/>
      <c r="O27" s="158"/>
      <c r="P27" s="158"/>
      <c r="Q27" s="158"/>
      <c r="R27" s="159" t="str">
        <f>IFERROR(__xludf.DUMMYFUNCTION("""COMPUTED_VALUE"""),"Active")</f>
        <v>Active</v>
      </c>
      <c r="S27" s="160">
        <f>IFERROR(__xludf.DUMMYFUNCTION("""COMPUTED_VALUE"""),45917.0)</f>
        <v>45917</v>
      </c>
      <c r="T27" s="162">
        <f>IFERROR(__xludf.DUMMYFUNCTION("""COMPUTED_VALUE"""),9.4)</f>
        <v>9.4</v>
      </c>
    </row>
    <row r="28">
      <c r="A28" s="158" t="str">
        <f>IFERROR(__xludf.DUMMYFUNCTION("""COMPUTED_VALUE"""),"Nine Sols")</f>
        <v>Nine Sols</v>
      </c>
      <c r="B28" s="158" t="str">
        <f>IFERROR(__xludf.DUMMYFUNCTION("""COMPUTED_VALUE"""),"Xbox / PC")</f>
        <v>Xbox / PC</v>
      </c>
      <c r="C28" s="158" t="str">
        <f>IFERROR(__xludf.DUMMYFUNCTION("""COMPUTED_VALUE"""),"Yes")</f>
        <v>Yes</v>
      </c>
      <c r="D28" s="159" t="str">
        <f>IFERROR(__xludf.DUMMYFUNCTION("""COMPUTED_VALUE"""),"Active")</f>
        <v>Active</v>
      </c>
      <c r="E28" s="160">
        <f>IFERROR(__xludf.DUMMYFUNCTION("""COMPUTED_VALUE"""),45622.0)</f>
        <v>45622</v>
      </c>
      <c r="F28" s="161"/>
      <c r="G28" s="162">
        <f>IFERROR(__xludf.DUMMYFUNCTION("""COMPUTED_VALUE"""),10.633333333333333)</f>
        <v>10.63333333</v>
      </c>
      <c r="H28" s="163">
        <f>IFERROR(__xludf.DUMMYFUNCTION("""COMPUTED_VALUE"""),45440.0)</f>
        <v>45440</v>
      </c>
      <c r="I28" s="162">
        <f>IFERROR(__xludf.DUMMYFUNCTION("""COMPUTED_VALUE"""),0.49444444444444446)</f>
        <v>0.4944444444</v>
      </c>
      <c r="J28" s="164">
        <f>IFERROR(__xludf.DUMMYFUNCTION("""COMPUTED_VALUE"""),83.0)</f>
        <v>83</v>
      </c>
      <c r="K28" s="164">
        <f>IFERROR(__xludf.DUMMYFUNCTION("""COMPUTED_VALUE"""),21.0)</f>
        <v>21</v>
      </c>
      <c r="L28" s="158" t="str">
        <f>IFERROR(__xludf.DUMMYFUNCTION("""COMPUTED_VALUE"""),"Platformer")</f>
        <v>Platformer</v>
      </c>
      <c r="M28" s="158" t="str">
        <f>IFERROR(__xludf.DUMMYFUNCTION("""COMPUTED_VALUE"""),"Exclusive")</f>
        <v>Exclusive</v>
      </c>
      <c r="N28" s="158" t="str">
        <f>IFERROR(__xludf.DUMMYFUNCTION("""COMPUTED_VALUE"""),"Joins GP in time for day one on console")</f>
        <v>Joins GP in time for day one on console</v>
      </c>
      <c r="O28" s="158"/>
      <c r="P28" s="158"/>
      <c r="Q28" s="158"/>
      <c r="R28" s="159" t="str">
        <f>IFERROR(__xludf.DUMMYFUNCTION("""COMPUTED_VALUE"""),"Active")</f>
        <v>Active</v>
      </c>
      <c r="S28" s="160">
        <f>IFERROR(__xludf.DUMMYFUNCTION("""COMPUTED_VALUE"""),45903.0)</f>
        <v>45903</v>
      </c>
      <c r="T28" s="162">
        <f>IFERROR(__xludf.DUMMYFUNCTION("""COMPUTED_VALUE"""),9.233333333333334)</f>
        <v>9.233333333</v>
      </c>
    </row>
    <row r="29">
      <c r="A29" s="158" t="str">
        <f>IFERROR(__xludf.DUMMYFUNCTION("""COMPUTED_VALUE"""),"Goat Simulator: Remastered")</f>
        <v>Goat Simulator: Remastered</v>
      </c>
      <c r="B29" s="158" t="str">
        <f>IFERROR(__xludf.DUMMYFUNCTION("""COMPUTED_VALUE"""),"Xbox / PC")</f>
        <v>Xbox / PC</v>
      </c>
      <c r="C29" s="158" t="str">
        <f>IFERROR(__xludf.DUMMYFUNCTION("""COMPUTED_VALUE"""),"Yes")</f>
        <v>Yes</v>
      </c>
      <c r="D29" s="159" t="str">
        <f>IFERROR(__xludf.DUMMYFUNCTION("""COMPUTED_VALUE"""),"Active")</f>
        <v>Active</v>
      </c>
      <c r="E29" s="160">
        <f>IFERROR(__xludf.DUMMYFUNCTION("""COMPUTED_VALUE"""),45603.0)</f>
        <v>45603</v>
      </c>
      <c r="F29" s="161"/>
      <c r="G29" s="162">
        <f>IFERROR(__xludf.DUMMYFUNCTION("""COMPUTED_VALUE"""),11.266666666666666)</f>
        <v>11.26666667</v>
      </c>
      <c r="H29" s="163">
        <f>IFERROR(__xludf.DUMMYFUNCTION("""COMPUTED_VALUE"""),45603.0)</f>
        <v>45603</v>
      </c>
      <c r="I29" s="162">
        <f>IFERROR(__xludf.DUMMYFUNCTION("""COMPUTED_VALUE"""),0.0)</f>
        <v>0</v>
      </c>
      <c r="J29" s="164">
        <f>IFERROR(__xludf.DUMMYFUNCTION("""COMPUTED_VALUE"""),65.0)</f>
        <v>65</v>
      </c>
      <c r="K29" s="164">
        <f>IFERROR(__xludf.DUMMYFUNCTION("""COMPUTED_VALUE"""),3.0)</f>
        <v>3</v>
      </c>
      <c r="L29" s="158" t="str">
        <f>IFERROR(__xludf.DUMMYFUNCTION("""COMPUTED_VALUE"""),"Action-Adventure")</f>
        <v>Action-Adventure</v>
      </c>
      <c r="M29" s="158" t="str">
        <f>IFERROR(__xludf.DUMMYFUNCTION("""COMPUTED_VALUE"""),"Exclusive")</f>
        <v>Exclusive</v>
      </c>
      <c r="N29" s="158"/>
      <c r="O29" s="158"/>
      <c r="P29" s="158"/>
      <c r="Q29" s="158"/>
      <c r="R29" s="159" t="str">
        <f>IFERROR(__xludf.DUMMYFUNCTION("""COMPUTED_VALUE"""),"Active")</f>
        <v>Active</v>
      </c>
      <c r="S29" s="160">
        <f>IFERROR(__xludf.DUMMYFUNCTION("""COMPUTED_VALUE"""),45889.0)</f>
        <v>45889</v>
      </c>
      <c r="T29" s="162">
        <f>IFERROR(__xludf.DUMMYFUNCTION("""COMPUTED_VALUE"""),9.433333333333334)</f>
        <v>9.433333333</v>
      </c>
    </row>
    <row r="30">
      <c r="A30" s="158" t="str">
        <f>IFERROR(__xludf.DUMMYFUNCTION("""COMPUTED_VALUE"""),"Mechwarrior 5: Clans")</f>
        <v>Mechwarrior 5: Clans</v>
      </c>
      <c r="B30" s="158" t="str">
        <f>IFERROR(__xludf.DUMMYFUNCTION("""COMPUTED_VALUE"""),"Xbox / PC")</f>
        <v>Xbox / PC</v>
      </c>
      <c r="C30" s="158" t="str">
        <f>IFERROR(__xludf.DUMMYFUNCTION("""COMPUTED_VALUE"""),"Yes")</f>
        <v>Yes</v>
      </c>
      <c r="D30" s="159" t="str">
        <f>IFERROR(__xludf.DUMMYFUNCTION("""COMPUTED_VALUE"""),"Active")</f>
        <v>Active</v>
      </c>
      <c r="E30" s="160">
        <f>IFERROR(__xludf.DUMMYFUNCTION("""COMPUTED_VALUE"""),45582.0)</f>
        <v>45582</v>
      </c>
      <c r="F30" s="161"/>
      <c r="G30" s="162">
        <f>IFERROR(__xludf.DUMMYFUNCTION("""COMPUTED_VALUE"""),11.933333333333334)</f>
        <v>11.93333333</v>
      </c>
      <c r="H30" s="163">
        <f>IFERROR(__xludf.DUMMYFUNCTION("""COMPUTED_VALUE"""),45582.0)</f>
        <v>45582</v>
      </c>
      <c r="I30" s="162">
        <f>IFERROR(__xludf.DUMMYFUNCTION("""COMPUTED_VALUE"""),0.0)</f>
        <v>0</v>
      </c>
      <c r="J30" s="164">
        <f>IFERROR(__xludf.DUMMYFUNCTION("""COMPUTED_VALUE"""),79.0)</f>
        <v>79</v>
      </c>
      <c r="K30" s="164">
        <f>IFERROR(__xludf.DUMMYFUNCTION("""COMPUTED_VALUE"""),23.0)</f>
        <v>23</v>
      </c>
      <c r="L30" s="158" t="str">
        <f>IFERROR(__xludf.DUMMYFUNCTION("""COMPUTED_VALUE"""),"Simulation")</f>
        <v>Simulation</v>
      </c>
      <c r="M30" s="158" t="str">
        <f>IFERROR(__xludf.DUMMYFUNCTION("""COMPUTED_VALUE"""),"Exclusive")</f>
        <v>Exclusive</v>
      </c>
      <c r="N30" s="158"/>
      <c r="O30" s="158"/>
      <c r="P30" s="158"/>
      <c r="Q30" s="158"/>
      <c r="R30" s="159" t="str">
        <f>IFERROR(__xludf.DUMMYFUNCTION("""COMPUTED_VALUE"""),"Active")</f>
        <v>Active</v>
      </c>
      <c r="S30" s="160">
        <f>IFERROR(__xludf.DUMMYFUNCTION("""COMPUTED_VALUE"""),45875.0)</f>
        <v>45875</v>
      </c>
      <c r="T30" s="162">
        <f>IFERROR(__xludf.DUMMYFUNCTION("""COMPUTED_VALUE"""),9.633333333333333)</f>
        <v>9.633333333</v>
      </c>
    </row>
    <row r="31">
      <c r="A31" s="158" t="str">
        <f>IFERROR(__xludf.DUMMYFUNCTION("""COMPUTED_VALUE"""),"Legend of Mana (2021)")</f>
        <v>Legend of Mana (2021)</v>
      </c>
      <c r="B31" s="158" t="str">
        <f>IFERROR(__xludf.DUMMYFUNCTION("""COMPUTED_VALUE"""),"Xbox / PC")</f>
        <v>Xbox / PC</v>
      </c>
      <c r="C31" s="158" t="str">
        <f>IFERROR(__xludf.DUMMYFUNCTION("""COMPUTED_VALUE"""),"Yes")</f>
        <v>Yes</v>
      </c>
      <c r="D31" s="159" t="str">
        <f>IFERROR(__xludf.DUMMYFUNCTION("""COMPUTED_VALUE"""),"Active")</f>
        <v>Active</v>
      </c>
      <c r="E31" s="160">
        <f>IFERROR(__xludf.DUMMYFUNCTION("""COMPUTED_VALUE"""),45561.0)</f>
        <v>45561</v>
      </c>
      <c r="F31" s="161"/>
      <c r="G31" s="162">
        <f>IFERROR(__xludf.DUMMYFUNCTION("""COMPUTED_VALUE"""),12.633333333333333)</f>
        <v>12.63333333</v>
      </c>
      <c r="H31" s="163">
        <f>IFERROR(__xludf.DUMMYFUNCTION("""COMPUTED_VALUE"""),44371.0)</f>
        <v>44371</v>
      </c>
      <c r="I31" s="162">
        <f>IFERROR(__xludf.DUMMYFUNCTION("""COMPUTED_VALUE"""),3.2555555555555555)</f>
        <v>3.255555556</v>
      </c>
      <c r="J31" s="164">
        <f>IFERROR(__xludf.DUMMYFUNCTION("""COMPUTED_VALUE"""),72.0)</f>
        <v>72</v>
      </c>
      <c r="K31" s="164">
        <f>IFERROR(__xludf.DUMMYFUNCTION("""COMPUTED_VALUE"""),18.0)</f>
        <v>18</v>
      </c>
      <c r="L31" s="158" t="str">
        <f>IFERROR(__xludf.DUMMYFUNCTION("""COMPUTED_VALUE"""),"RPG")</f>
        <v>RPG</v>
      </c>
      <c r="M31" s="158"/>
      <c r="N31" s="158"/>
      <c r="O31" s="158"/>
      <c r="P31" s="158"/>
      <c r="Q31" s="158"/>
      <c r="R31" s="159" t="str">
        <f>IFERROR(__xludf.DUMMYFUNCTION("""COMPUTED_VALUE"""),"Active")</f>
        <v>Active</v>
      </c>
      <c r="S31" s="160">
        <f>IFERROR(__xludf.DUMMYFUNCTION("""COMPUTED_VALUE"""),45840.0)</f>
        <v>45840</v>
      </c>
      <c r="T31" s="162">
        <f>IFERROR(__xludf.DUMMYFUNCTION("""COMPUTED_VALUE"""),9.200000000000001)</f>
        <v>9.2</v>
      </c>
    </row>
    <row r="32">
      <c r="A32" s="158" t="str">
        <f>IFERROR(__xludf.DUMMYFUNCTION("""COMPUTED_VALUE"""),"Trials of Mana (2020)")</f>
        <v>Trials of Mana (2020)</v>
      </c>
      <c r="B32" s="158" t="str">
        <f>IFERROR(__xludf.DUMMYFUNCTION("""COMPUTED_VALUE"""),"Xbox / PC")</f>
        <v>Xbox / PC</v>
      </c>
      <c r="C32" s="158" t="str">
        <f>IFERROR(__xludf.DUMMYFUNCTION("""COMPUTED_VALUE"""),"Yes")</f>
        <v>Yes</v>
      </c>
      <c r="D32" s="159" t="str">
        <f>IFERROR(__xludf.DUMMYFUNCTION("""COMPUTED_VALUE"""),"Active")</f>
        <v>Active</v>
      </c>
      <c r="E32" s="160">
        <f>IFERROR(__xludf.DUMMYFUNCTION("""COMPUTED_VALUE"""),45561.0)</f>
        <v>45561</v>
      </c>
      <c r="F32" s="161"/>
      <c r="G32" s="162">
        <f>IFERROR(__xludf.DUMMYFUNCTION("""COMPUTED_VALUE"""),12.633333333333333)</f>
        <v>12.63333333</v>
      </c>
      <c r="H32" s="163">
        <f>IFERROR(__xludf.DUMMYFUNCTION("""COMPUTED_VALUE"""),43945.0)</f>
        <v>43945</v>
      </c>
      <c r="I32" s="162">
        <f>IFERROR(__xludf.DUMMYFUNCTION("""COMPUTED_VALUE"""),4.4222222222222225)</f>
        <v>4.422222222</v>
      </c>
      <c r="J32" s="164">
        <f>IFERROR(__xludf.DUMMYFUNCTION("""COMPUTED_VALUE"""),76.0)</f>
        <v>76</v>
      </c>
      <c r="K32" s="164">
        <f>IFERROR(__xludf.DUMMYFUNCTION("""COMPUTED_VALUE"""),21.0)</f>
        <v>21</v>
      </c>
      <c r="L32" s="158" t="str">
        <f>IFERROR(__xludf.DUMMYFUNCTION("""COMPUTED_VALUE"""),"RPG")</f>
        <v>RPG</v>
      </c>
      <c r="M32" s="158"/>
      <c r="N32" s="158"/>
      <c r="O32" s="158"/>
      <c r="P32" s="158"/>
      <c r="Q32" s="158"/>
      <c r="R32" s="159" t="str">
        <f>IFERROR(__xludf.DUMMYFUNCTION("""COMPUTED_VALUE"""),"Active")</f>
        <v>Active</v>
      </c>
      <c r="S32" s="160">
        <f>IFERROR(__xludf.DUMMYFUNCTION("""COMPUTED_VALUE"""),45840.0)</f>
        <v>45840</v>
      </c>
      <c r="T32" s="162">
        <f>IFERROR(__xludf.DUMMYFUNCTION("""COMPUTED_VALUE"""),9.200000000000001)</f>
        <v>9.2</v>
      </c>
    </row>
    <row r="33">
      <c r="A33" s="158" t="str">
        <f>IFERROR(__xludf.DUMMYFUNCTION("""COMPUTED_VALUE"""),"Wildfrost")</f>
        <v>Wildfrost</v>
      </c>
      <c r="B33" s="158" t="str">
        <f>IFERROR(__xludf.DUMMYFUNCTION("""COMPUTED_VALUE"""),"Xbox / PC")</f>
        <v>Xbox / PC</v>
      </c>
      <c r="C33" s="158" t="str">
        <f>IFERROR(__xludf.DUMMYFUNCTION("""COMPUTED_VALUE"""),"Yes")</f>
        <v>Yes</v>
      </c>
      <c r="D33" s="159" t="str">
        <f>IFERROR(__xludf.DUMMYFUNCTION("""COMPUTED_VALUE"""),"Active")</f>
        <v>Active</v>
      </c>
      <c r="E33" s="160">
        <f>IFERROR(__xludf.DUMMYFUNCTION("""COMPUTED_VALUE"""),45636.0)</f>
        <v>45636</v>
      </c>
      <c r="F33" s="161"/>
      <c r="G33" s="162">
        <f>IFERROR(__xludf.DUMMYFUNCTION("""COMPUTED_VALUE"""),10.166666666666666)</f>
        <v>10.16666667</v>
      </c>
      <c r="H33" s="163">
        <f>IFERROR(__xludf.DUMMYFUNCTION("""COMPUTED_VALUE"""),45028.0)</f>
        <v>45028</v>
      </c>
      <c r="I33" s="162">
        <f>IFERROR(__xludf.DUMMYFUNCTION("""COMPUTED_VALUE"""),1.6611111111111112)</f>
        <v>1.661111111</v>
      </c>
      <c r="J33" s="164">
        <f>IFERROR(__xludf.DUMMYFUNCTION("""COMPUTED_VALUE"""),80.0)</f>
        <v>80</v>
      </c>
      <c r="K33" s="164">
        <f>IFERROR(__xludf.DUMMYFUNCTION("""COMPUTED_VALUE"""),13.0)</f>
        <v>13</v>
      </c>
      <c r="L33" s="158" t="str">
        <f>IFERROR(__xludf.DUMMYFUNCTION("""COMPUTED_VALUE"""),"Card Battle")</f>
        <v>Card Battle</v>
      </c>
      <c r="M33" s="158"/>
      <c r="N33" s="158"/>
      <c r="O33" s="158"/>
      <c r="P33" s="158"/>
      <c r="Q33" s="158"/>
      <c r="R33" s="159" t="str">
        <f>IFERROR(__xludf.DUMMYFUNCTION("""COMPUTED_VALUE"""),"Active")</f>
        <v>Active</v>
      </c>
      <c r="S33" s="160">
        <f>IFERROR(__xludf.DUMMYFUNCTION("""COMPUTED_VALUE"""),45826.0)</f>
        <v>45826</v>
      </c>
      <c r="T33" s="162">
        <f>IFERROR(__xludf.DUMMYFUNCTION("""COMPUTED_VALUE"""),6.2666666666666675)</f>
        <v>6.266666667</v>
      </c>
    </row>
    <row r="34">
      <c r="A34" s="158" t="str">
        <f>IFERROR(__xludf.DUMMYFUNCTION("""COMPUTED_VALUE"""),"Star Trucker")</f>
        <v>Star Trucker</v>
      </c>
      <c r="B34" s="158" t="str">
        <f>IFERROR(__xludf.DUMMYFUNCTION("""COMPUTED_VALUE"""),"Xbox / PC")</f>
        <v>Xbox / PC</v>
      </c>
      <c r="C34" s="158" t="str">
        <f>IFERROR(__xludf.DUMMYFUNCTION("""COMPUTED_VALUE"""),"Yes")</f>
        <v>Yes</v>
      </c>
      <c r="D34" s="159" t="str">
        <f>IFERROR(__xludf.DUMMYFUNCTION("""COMPUTED_VALUE"""),"Active")</f>
        <v>Active</v>
      </c>
      <c r="E34" s="160">
        <f>IFERROR(__xludf.DUMMYFUNCTION("""COMPUTED_VALUE"""),45538.0)</f>
        <v>45538</v>
      </c>
      <c r="F34" s="161"/>
      <c r="G34" s="162">
        <f>IFERROR(__xludf.DUMMYFUNCTION("""COMPUTED_VALUE"""),13.4)</f>
        <v>13.4</v>
      </c>
      <c r="H34" s="163">
        <f>IFERROR(__xludf.DUMMYFUNCTION("""COMPUTED_VALUE"""),45538.0)</f>
        <v>45538</v>
      </c>
      <c r="I34" s="162">
        <f>IFERROR(__xludf.DUMMYFUNCTION("""COMPUTED_VALUE"""),0.0)</f>
        <v>0</v>
      </c>
      <c r="J34" s="164">
        <f>IFERROR(__xludf.DUMMYFUNCTION("""COMPUTED_VALUE"""),74.0)</f>
        <v>74</v>
      </c>
      <c r="K34" s="164">
        <f>IFERROR(__xludf.DUMMYFUNCTION("""COMPUTED_VALUE"""),25.0)</f>
        <v>25</v>
      </c>
      <c r="L34" s="158" t="str">
        <f>IFERROR(__xludf.DUMMYFUNCTION("""COMPUTED_VALUE"""),"Simulation")</f>
        <v>Simulation</v>
      </c>
      <c r="M34" s="158"/>
      <c r="N34" s="158"/>
      <c r="O34" s="158"/>
      <c r="P34" s="158"/>
      <c r="Q34" s="158"/>
      <c r="R34" s="159" t="str">
        <f>IFERROR(__xludf.DUMMYFUNCTION("""COMPUTED_VALUE"""),"Active")</f>
        <v>Active</v>
      </c>
      <c r="S34" s="160">
        <f>IFERROR(__xludf.DUMMYFUNCTION("""COMPUTED_VALUE"""),45826.0)</f>
        <v>45826</v>
      </c>
      <c r="T34" s="162">
        <f>IFERROR(__xludf.DUMMYFUNCTION("""COMPUTED_VALUE"""),9.5)</f>
        <v>9.5</v>
      </c>
    </row>
    <row r="35">
      <c r="A35" s="158" t="str">
        <f>IFERROR(__xludf.DUMMYFUNCTION("""COMPUTED_VALUE"""),"S.T.A.L.K.E.R. 2: Heart of Chornobyl")</f>
        <v>S.T.A.L.K.E.R. 2: Heart of Chornobyl</v>
      </c>
      <c r="B35" s="158" t="str">
        <f>IFERROR(__xludf.DUMMYFUNCTION("""COMPUTED_VALUE"""),"Xbox / PC")</f>
        <v>Xbox / PC</v>
      </c>
      <c r="C35" s="158" t="str">
        <f>IFERROR(__xludf.DUMMYFUNCTION("""COMPUTED_VALUE"""),"Yes")</f>
        <v>Yes</v>
      </c>
      <c r="D35" s="159" t="str">
        <f>IFERROR(__xludf.DUMMYFUNCTION("""COMPUTED_VALUE"""),"Active")</f>
        <v>Active</v>
      </c>
      <c r="E35" s="160">
        <f>IFERROR(__xludf.DUMMYFUNCTION("""COMPUTED_VALUE"""),45616.0)</f>
        <v>45616</v>
      </c>
      <c r="F35" s="161"/>
      <c r="G35" s="162">
        <f>IFERROR(__xludf.DUMMYFUNCTION("""COMPUTED_VALUE"""),10.833333333333334)</f>
        <v>10.83333333</v>
      </c>
      <c r="H35" s="163">
        <f>IFERROR(__xludf.DUMMYFUNCTION("""COMPUTED_VALUE"""),45616.0)</f>
        <v>45616</v>
      </c>
      <c r="I35" s="162">
        <f>IFERROR(__xludf.DUMMYFUNCTION("""COMPUTED_VALUE"""),0.0)</f>
        <v>0</v>
      </c>
      <c r="J35" s="164">
        <f>IFERROR(__xludf.DUMMYFUNCTION("""COMPUTED_VALUE"""),73.0)</f>
        <v>73</v>
      </c>
      <c r="K35" s="164">
        <f>IFERROR(__xludf.DUMMYFUNCTION("""COMPUTED_VALUE"""),31.0)</f>
        <v>31</v>
      </c>
      <c r="L35" s="158" t="str">
        <f>IFERROR(__xludf.DUMMYFUNCTION("""COMPUTED_VALUE"""),"Action-Adventure")</f>
        <v>Action-Adventure</v>
      </c>
      <c r="M35" s="158" t="str">
        <f>IFERROR(__xludf.DUMMYFUNCTION("""COMPUTED_VALUE"""),"Exclusive")</f>
        <v>Exclusive</v>
      </c>
      <c r="N35" s="158"/>
      <c r="O35" s="158"/>
      <c r="P35" s="158"/>
      <c r="Q35" s="158"/>
      <c r="R35" s="159" t="str">
        <f>IFERROR(__xludf.DUMMYFUNCTION("""COMPUTED_VALUE"""),"Active")</f>
        <v>Active</v>
      </c>
      <c r="S35" s="160">
        <f>IFERROR(__xludf.DUMMYFUNCTION("""COMPUTED_VALUE"""),45799.0)</f>
        <v>45799</v>
      </c>
      <c r="T35" s="162">
        <f>IFERROR(__xludf.DUMMYFUNCTION("""COMPUTED_VALUE"""),6.066666666666666)</f>
        <v>6.066666667</v>
      </c>
    </row>
    <row r="36">
      <c r="A36" s="158" t="str">
        <f>IFERROR(__xludf.DUMMYFUNCTION("""COMPUTED_VALUE"""),"Creatures of Ava")</f>
        <v>Creatures of Ava</v>
      </c>
      <c r="B36" s="158" t="str">
        <f>IFERROR(__xludf.DUMMYFUNCTION("""COMPUTED_VALUE"""),"Xbox / PC")</f>
        <v>Xbox / PC</v>
      </c>
      <c r="C36" s="158" t="str">
        <f>IFERROR(__xludf.DUMMYFUNCTION("""COMPUTED_VALUE"""),"Yes")</f>
        <v>Yes</v>
      </c>
      <c r="D36" s="159" t="str">
        <f>IFERROR(__xludf.DUMMYFUNCTION("""COMPUTED_VALUE"""),"Active")</f>
        <v>Active</v>
      </c>
      <c r="E36" s="160">
        <f>IFERROR(__xludf.DUMMYFUNCTION("""COMPUTED_VALUE"""),45511.0)</f>
        <v>45511</v>
      </c>
      <c r="F36" s="161"/>
      <c r="G36" s="162">
        <f>IFERROR(__xludf.DUMMYFUNCTION("""COMPUTED_VALUE"""),14.266666666666666)</f>
        <v>14.26666667</v>
      </c>
      <c r="H36" s="163">
        <f>IFERROR(__xludf.DUMMYFUNCTION("""COMPUTED_VALUE"""),45511.0)</f>
        <v>45511</v>
      </c>
      <c r="I36" s="162">
        <f>IFERROR(__xludf.DUMMYFUNCTION("""COMPUTED_VALUE"""),0.0)</f>
        <v>0</v>
      </c>
      <c r="J36" s="164">
        <f>IFERROR(__xludf.DUMMYFUNCTION("""COMPUTED_VALUE"""),75.0)</f>
        <v>75</v>
      </c>
      <c r="K36" s="164">
        <f>IFERROR(__xludf.DUMMYFUNCTION("""COMPUTED_VALUE"""),9.0)</f>
        <v>9</v>
      </c>
      <c r="L36" s="158" t="str">
        <f>IFERROR(__xludf.DUMMYFUNCTION("""COMPUTED_VALUE"""),"Action-Adventure")</f>
        <v>Action-Adventure</v>
      </c>
      <c r="M36" s="158" t="str">
        <f>IFERROR(__xludf.DUMMYFUNCTION("""COMPUTED_VALUE"""),"Exclusive")</f>
        <v>Exclusive</v>
      </c>
      <c r="N36" s="158"/>
      <c r="O36" s="158"/>
      <c r="P36" s="158"/>
      <c r="Q36" s="158"/>
      <c r="R36" s="159" t="str">
        <f>IFERROR(__xludf.DUMMYFUNCTION("""COMPUTED_VALUE"""),"Active")</f>
        <v>Active</v>
      </c>
      <c r="S36" s="160">
        <f>IFERROR(__xludf.DUMMYFUNCTION("""COMPUTED_VALUE"""),45799.0)</f>
        <v>45799</v>
      </c>
      <c r="T36" s="162">
        <f>IFERROR(__xludf.DUMMYFUNCTION("""COMPUTED_VALUE"""),9.5)</f>
        <v>9.5</v>
      </c>
    </row>
    <row r="37">
      <c r="A37" s="158" t="str">
        <f>IFERROR(__xludf.DUMMYFUNCTION("""COMPUTED_VALUE"""),"Metal Slug: Tactics")</f>
        <v>Metal Slug: Tactics</v>
      </c>
      <c r="B37" s="158" t="str">
        <f>IFERROR(__xludf.DUMMYFUNCTION("""COMPUTED_VALUE"""),"Xbox / PC")</f>
        <v>Xbox / PC</v>
      </c>
      <c r="C37" s="158" t="str">
        <f>IFERROR(__xludf.DUMMYFUNCTION("""COMPUTED_VALUE"""),"Yes")</f>
        <v>Yes</v>
      </c>
      <c r="D37" s="159" t="str">
        <f>IFERROR(__xludf.DUMMYFUNCTION("""COMPUTED_VALUE"""),"Active")</f>
        <v>Active</v>
      </c>
      <c r="E37" s="160">
        <f>IFERROR(__xludf.DUMMYFUNCTION("""COMPUTED_VALUE"""),45601.0)</f>
        <v>45601</v>
      </c>
      <c r="F37" s="161"/>
      <c r="G37" s="162">
        <f>IFERROR(__xludf.DUMMYFUNCTION("""COMPUTED_VALUE"""),11.333333333333332)</f>
        <v>11.33333333</v>
      </c>
      <c r="H37" s="163">
        <f>IFERROR(__xludf.DUMMYFUNCTION("""COMPUTED_VALUE"""),45601.0)</f>
        <v>45601</v>
      </c>
      <c r="I37" s="162">
        <f>IFERROR(__xludf.DUMMYFUNCTION("""COMPUTED_VALUE"""),0.0)</f>
        <v>0</v>
      </c>
      <c r="J37" s="164">
        <f>IFERROR(__xludf.DUMMYFUNCTION("""COMPUTED_VALUE"""),79.0)</f>
        <v>79</v>
      </c>
      <c r="K37" s="164">
        <f>IFERROR(__xludf.DUMMYFUNCTION("""COMPUTED_VALUE"""),8.0)</f>
        <v>8</v>
      </c>
      <c r="L37" s="158" t="str">
        <f>IFERROR(__xludf.DUMMYFUNCTION("""COMPUTED_VALUE"""),"Strategy")</f>
        <v>Strategy</v>
      </c>
      <c r="M37" s="158"/>
      <c r="N37" s="158"/>
      <c r="O37" s="158"/>
      <c r="P37" s="158"/>
      <c r="Q37" s="158"/>
      <c r="R37" s="159" t="str">
        <f>IFERROR(__xludf.DUMMYFUNCTION("""COMPUTED_VALUE"""),"Active")</f>
        <v>Active</v>
      </c>
      <c r="S37" s="160">
        <f>IFERROR(__xludf.DUMMYFUNCTION("""COMPUTED_VALUE"""),45784.0)</f>
        <v>45784</v>
      </c>
      <c r="T37" s="162">
        <f>IFERROR(__xludf.DUMMYFUNCTION("""COMPUTED_VALUE"""),6.066666666666666)</f>
        <v>6.066666667</v>
      </c>
    </row>
    <row r="38">
      <c r="A38" s="158" t="str">
        <f>IFERROR(__xludf.DUMMYFUNCTION("""COMPUTED_VALUE"""),"Dungeons Of Hinterberg")</f>
        <v>Dungeons Of Hinterberg</v>
      </c>
      <c r="B38" s="158" t="str">
        <f>IFERROR(__xludf.DUMMYFUNCTION("""COMPUTED_VALUE"""),"Xbox / PC")</f>
        <v>Xbox / PC</v>
      </c>
      <c r="C38" s="158" t="str">
        <f>IFERROR(__xludf.DUMMYFUNCTION("""COMPUTED_VALUE"""),"Yes")</f>
        <v>Yes</v>
      </c>
      <c r="D38" s="159" t="str">
        <f>IFERROR(__xludf.DUMMYFUNCTION("""COMPUTED_VALUE"""),"Active")</f>
        <v>Active</v>
      </c>
      <c r="E38" s="160">
        <f>IFERROR(__xludf.DUMMYFUNCTION("""COMPUTED_VALUE"""),45491.0)</f>
        <v>45491</v>
      </c>
      <c r="F38" s="161"/>
      <c r="G38" s="162">
        <f>IFERROR(__xludf.DUMMYFUNCTION("""COMPUTED_VALUE"""),14.9)</f>
        <v>14.9</v>
      </c>
      <c r="H38" s="163">
        <f>IFERROR(__xludf.DUMMYFUNCTION("""COMPUTED_VALUE"""),45491.0)</f>
        <v>45491</v>
      </c>
      <c r="I38" s="162">
        <f>IFERROR(__xludf.DUMMYFUNCTION("""COMPUTED_VALUE"""),0.0)</f>
        <v>0</v>
      </c>
      <c r="J38" s="164">
        <f>IFERROR(__xludf.DUMMYFUNCTION("""COMPUTED_VALUE"""),82.0)</f>
        <v>82</v>
      </c>
      <c r="K38" s="164">
        <f>IFERROR(__xludf.DUMMYFUNCTION("""COMPUTED_VALUE"""),13.0)</f>
        <v>13</v>
      </c>
      <c r="L38" s="158" t="str">
        <f>IFERROR(__xludf.DUMMYFUNCTION("""COMPUTED_VALUE"""),"Action-Adventure")</f>
        <v>Action-Adventure</v>
      </c>
      <c r="M38" s="158" t="str">
        <f>IFERROR(__xludf.DUMMYFUNCTION("""COMPUTED_VALUE"""),"Exclusive")</f>
        <v>Exclusive</v>
      </c>
      <c r="N38" s="158" t="str">
        <f>IFERROR(__xludf.DUMMYFUNCTION("""COMPUTED_VALUE"""),"Joins xbox one 12/4/24 (series exclusive before)")</f>
        <v>Joins xbox one 12/4/24 (series exclusive before)</v>
      </c>
      <c r="O38" s="158"/>
      <c r="P38" s="158"/>
      <c r="Q38" s="158"/>
      <c r="R38" s="159" t="str">
        <f>IFERROR(__xludf.DUMMYFUNCTION("""COMPUTED_VALUE"""),"Active")</f>
        <v>Active</v>
      </c>
      <c r="S38" s="160">
        <f>IFERROR(__xludf.DUMMYFUNCTION("""COMPUTED_VALUE"""),45784.0)</f>
        <v>45784</v>
      </c>
      <c r="T38" s="162">
        <f>IFERROR(__xludf.DUMMYFUNCTION("""COMPUTED_VALUE"""),9.633333333333333)</f>
        <v>9.633333333</v>
      </c>
    </row>
    <row r="39">
      <c r="A39" s="158" t="str">
        <f>IFERROR(__xludf.DUMMYFUNCTION("""COMPUTED_VALUE"""),"Flintlock: The Siege of Dawn")</f>
        <v>Flintlock: The Siege of Dawn</v>
      </c>
      <c r="B39" s="158" t="str">
        <f>IFERROR(__xludf.DUMMYFUNCTION("""COMPUTED_VALUE"""),"Xbox / PC")</f>
        <v>Xbox / PC</v>
      </c>
      <c r="C39" s="158" t="str">
        <f>IFERROR(__xludf.DUMMYFUNCTION("""COMPUTED_VALUE"""),"Yes")</f>
        <v>Yes</v>
      </c>
      <c r="D39" s="159" t="str">
        <f>IFERROR(__xludf.DUMMYFUNCTION("""COMPUTED_VALUE"""),"Active")</f>
        <v>Active</v>
      </c>
      <c r="E39" s="160">
        <f>IFERROR(__xludf.DUMMYFUNCTION("""COMPUTED_VALUE"""),45491.0)</f>
        <v>45491</v>
      </c>
      <c r="F39" s="161"/>
      <c r="G39" s="162">
        <f>IFERROR(__xludf.DUMMYFUNCTION("""COMPUTED_VALUE"""),14.9)</f>
        <v>14.9</v>
      </c>
      <c r="H39" s="163">
        <f>IFERROR(__xludf.DUMMYFUNCTION("""COMPUTED_VALUE"""),45491.0)</f>
        <v>45491</v>
      </c>
      <c r="I39" s="162">
        <f>IFERROR(__xludf.DUMMYFUNCTION("""COMPUTED_VALUE"""),0.0)</f>
        <v>0</v>
      </c>
      <c r="J39" s="164">
        <f>IFERROR(__xludf.DUMMYFUNCTION("""COMPUTED_VALUE"""),71.0)</f>
        <v>71</v>
      </c>
      <c r="K39" s="164">
        <f>IFERROR(__xludf.DUMMYFUNCTION("""COMPUTED_VALUE"""),9.0)</f>
        <v>9</v>
      </c>
      <c r="L39" s="158" t="str">
        <f>IFERROR(__xludf.DUMMYFUNCTION("""COMPUTED_VALUE"""),"Action-Adventure")</f>
        <v>Action-Adventure</v>
      </c>
      <c r="M39" s="158" t="str">
        <f>IFERROR(__xludf.DUMMYFUNCTION("""COMPUTED_VALUE"""),"Exclusive")</f>
        <v>Exclusive</v>
      </c>
      <c r="N39" s="158"/>
      <c r="O39" s="158"/>
      <c r="P39" s="158"/>
      <c r="Q39" s="158"/>
      <c r="R39" s="159" t="str">
        <f>IFERROR(__xludf.DUMMYFUNCTION("""COMPUTED_VALUE"""),"Active")</f>
        <v>Active</v>
      </c>
      <c r="S39" s="160">
        <f>IFERROR(__xludf.DUMMYFUNCTION("""COMPUTED_VALUE"""),45784.0)</f>
        <v>45784</v>
      </c>
      <c r="T39" s="162">
        <f>IFERROR(__xludf.DUMMYFUNCTION("""COMPUTED_VALUE"""),9.633333333333333)</f>
        <v>9.633333333</v>
      </c>
    </row>
    <row r="40">
      <c r="A40" s="158" t="str">
        <f>IFERROR(__xludf.DUMMYFUNCTION("""COMPUTED_VALUE"""),"Neon White")</f>
        <v>Neon White</v>
      </c>
      <c r="B40" s="158" t="str">
        <f>IFERROR(__xludf.DUMMYFUNCTION("""COMPUTED_VALUE"""),"Xbox / PC")</f>
        <v>Xbox / PC</v>
      </c>
      <c r="C40" s="158" t="str">
        <f>IFERROR(__xludf.DUMMYFUNCTION("""COMPUTED_VALUE"""),"Yes")</f>
        <v>Yes</v>
      </c>
      <c r="D40" s="159" t="str">
        <f>IFERROR(__xludf.DUMMYFUNCTION("""COMPUTED_VALUE"""),"Active")</f>
        <v>Active</v>
      </c>
      <c r="E40" s="160">
        <f>IFERROR(__xludf.DUMMYFUNCTION("""COMPUTED_VALUE"""),45484.0)</f>
        <v>45484</v>
      </c>
      <c r="F40" s="161"/>
      <c r="G40" s="162">
        <f>IFERROR(__xludf.DUMMYFUNCTION("""COMPUTED_VALUE"""),15.133333333333333)</f>
        <v>15.13333333</v>
      </c>
      <c r="H40" s="163">
        <f>IFERROR(__xludf.DUMMYFUNCTION("""COMPUTED_VALUE"""),44728.0)</f>
        <v>44728</v>
      </c>
      <c r="I40" s="162">
        <f>IFERROR(__xludf.DUMMYFUNCTION("""COMPUTED_VALUE"""),2.0694444444444446)</f>
        <v>2.069444444</v>
      </c>
      <c r="J40" s="164">
        <f>IFERROR(__xludf.DUMMYFUNCTION("""COMPUTED_VALUE"""),89.0)</f>
        <v>89</v>
      </c>
      <c r="K40" s="164">
        <f>IFERROR(__xludf.DUMMYFUNCTION("""COMPUTED_VALUE"""),11.0)</f>
        <v>11</v>
      </c>
      <c r="L40" s="158" t="str">
        <f>IFERROR(__xludf.DUMMYFUNCTION("""COMPUTED_VALUE"""),"First-Person Shooter")</f>
        <v>First-Person Shooter</v>
      </c>
      <c r="M40" s="158"/>
      <c r="N40" s="158"/>
      <c r="O40" s="158" t="str">
        <f>IFERROR(__xludf.DUMMYFUNCTION("""COMPUTED_VALUE"""),"T")</f>
        <v>T</v>
      </c>
      <c r="P40" s="158" t="str">
        <f>IFERROR(__xludf.DUMMYFUNCTION("""COMPUTED_VALUE"""),"Fantasy Violence, Language, Mild Blood, Mild Suggestive Themes, Use of Tobacco")</f>
        <v>Fantasy Violence, Language, Mild Blood, Mild Suggestive Themes, Use of Tobacco</v>
      </c>
      <c r="Q40" s="158"/>
      <c r="R40" s="159" t="str">
        <f>IFERROR(__xludf.DUMMYFUNCTION("""COMPUTED_VALUE"""),"Active")</f>
        <v>Active</v>
      </c>
      <c r="S40" s="160">
        <f>IFERROR(__xludf.DUMMYFUNCTION("""COMPUTED_VALUE"""),45763.0)</f>
        <v>45763</v>
      </c>
      <c r="T40" s="162">
        <f>IFERROR(__xludf.DUMMYFUNCTION("""COMPUTED_VALUE"""),9.166666666666666)</f>
        <v>9.166666667</v>
      </c>
    </row>
    <row r="41">
      <c r="A41" s="158" t="str">
        <f>IFERROR(__xludf.DUMMYFUNCTION("""COMPUTED_VALUE"""),"Still Wakes the Deep")</f>
        <v>Still Wakes the Deep</v>
      </c>
      <c r="B41" s="158" t="str">
        <f>IFERROR(__xludf.DUMMYFUNCTION("""COMPUTED_VALUE"""),"Xbox / PC")</f>
        <v>Xbox / PC</v>
      </c>
      <c r="C41" s="158" t="str">
        <f>IFERROR(__xludf.DUMMYFUNCTION("""COMPUTED_VALUE"""),"Yes")</f>
        <v>Yes</v>
      </c>
      <c r="D41" s="159" t="str">
        <f>IFERROR(__xludf.DUMMYFUNCTION("""COMPUTED_VALUE"""),"Active")</f>
        <v>Active</v>
      </c>
      <c r="E41" s="160">
        <f>IFERROR(__xludf.DUMMYFUNCTION("""COMPUTED_VALUE"""),45461.0)</f>
        <v>45461</v>
      </c>
      <c r="F41" s="161"/>
      <c r="G41" s="162">
        <f>IFERROR(__xludf.DUMMYFUNCTION("""COMPUTED_VALUE"""),15.899999999999999)</f>
        <v>15.9</v>
      </c>
      <c r="H41" s="163">
        <f>IFERROR(__xludf.DUMMYFUNCTION("""COMPUTED_VALUE"""),45461.0)</f>
        <v>45461</v>
      </c>
      <c r="I41" s="162">
        <f>IFERROR(__xludf.DUMMYFUNCTION("""COMPUTED_VALUE"""),0.0)</f>
        <v>0</v>
      </c>
      <c r="J41" s="164">
        <f>IFERROR(__xludf.DUMMYFUNCTION("""COMPUTED_VALUE"""),74.0)</f>
        <v>74</v>
      </c>
      <c r="K41" s="164">
        <f>IFERROR(__xludf.DUMMYFUNCTION("""COMPUTED_VALUE"""),5.0)</f>
        <v>5</v>
      </c>
      <c r="L41" s="158" t="str">
        <f>IFERROR(__xludf.DUMMYFUNCTION("""COMPUTED_VALUE"""),"Survival")</f>
        <v>Survival</v>
      </c>
      <c r="M41" s="158" t="str">
        <f>IFERROR(__xludf.DUMMYFUNCTION("""COMPUTED_VALUE"""),"Exclusive")</f>
        <v>Exclusive</v>
      </c>
      <c r="N41" s="158"/>
      <c r="O41" s="158" t="str">
        <f>IFERROR(__xludf.DUMMYFUNCTION("""COMPUTED_VALUE"""),"M")</f>
        <v>M</v>
      </c>
      <c r="P41" s="158" t="str">
        <f>IFERROR(__xludf.DUMMYFUNCTION("""COMPUTED_VALUE"""),"Blood and Gore, Strong Language, Violence")</f>
        <v>Blood and Gore, Strong Language, Violence</v>
      </c>
      <c r="Q41" s="158"/>
      <c r="R41" s="159" t="str">
        <f>IFERROR(__xludf.DUMMYFUNCTION("""COMPUTED_VALUE"""),"Active")</f>
        <v>Active</v>
      </c>
      <c r="S41" s="160">
        <f>IFERROR(__xludf.DUMMYFUNCTION("""COMPUTED_VALUE"""),45750.0)</f>
        <v>45750</v>
      </c>
      <c r="T41" s="162">
        <f>IFERROR(__xludf.DUMMYFUNCTION("""COMPUTED_VALUE"""),9.5)</f>
        <v>9.5</v>
      </c>
    </row>
    <row r="42">
      <c r="A42" s="158" t="str">
        <f>IFERROR(__xludf.DUMMYFUNCTION("""COMPUTED_VALUE"""),"Train Sim World 5")</f>
        <v>Train Sim World 5</v>
      </c>
      <c r="B42" s="158" t="str">
        <f>IFERROR(__xludf.DUMMYFUNCTION("""COMPUTED_VALUE"""),"Xbox / PC")</f>
        <v>Xbox / PC</v>
      </c>
      <c r="C42" s="158" t="str">
        <f>IFERROR(__xludf.DUMMYFUNCTION("""COMPUTED_VALUE"""),"Yes")</f>
        <v>Yes</v>
      </c>
      <c r="D42" s="159" t="str">
        <f>IFERROR(__xludf.DUMMYFUNCTION("""COMPUTED_VALUE"""),"Active")</f>
        <v>Active</v>
      </c>
      <c r="E42" s="160">
        <f>IFERROR(__xludf.DUMMYFUNCTION("""COMPUTED_VALUE"""),45552.0)</f>
        <v>45552</v>
      </c>
      <c r="F42" s="161"/>
      <c r="G42" s="162">
        <f>IFERROR(__xludf.DUMMYFUNCTION("""COMPUTED_VALUE"""),12.933333333333334)</f>
        <v>12.93333333</v>
      </c>
      <c r="H42" s="163">
        <f>IFERROR(__xludf.DUMMYFUNCTION("""COMPUTED_VALUE"""),45195.0)</f>
        <v>45195</v>
      </c>
      <c r="I42" s="216">
        <f>IFERROR(__xludf.DUMMYFUNCTION("""COMPUTED_VALUE"""),0.975)</f>
        <v>0.975</v>
      </c>
      <c r="J42" s="164">
        <f>IFERROR(__xludf.DUMMYFUNCTION("""COMPUTED_VALUE"""),77.0)</f>
        <v>77</v>
      </c>
      <c r="K42" s="164"/>
      <c r="L42" s="158" t="str">
        <f>IFERROR(__xludf.DUMMYFUNCTION("""COMPUTED_VALUE"""),"Simulation")</f>
        <v>Simulation</v>
      </c>
      <c r="M42" s="158"/>
      <c r="N42" s="158"/>
      <c r="O42" s="158"/>
      <c r="P42" s="158"/>
      <c r="Q42" s="158"/>
      <c r="R42" s="159" t="str">
        <f>IFERROR(__xludf.DUMMYFUNCTION("""COMPUTED_VALUE"""),"Active")</f>
        <v>Active</v>
      </c>
      <c r="S42" s="160">
        <f>IFERROR(__xludf.DUMMYFUNCTION("""COMPUTED_VALUE"""),45735.0)</f>
        <v>45735</v>
      </c>
      <c r="T42" s="162">
        <f>IFERROR(__xludf.DUMMYFUNCTION("""COMPUTED_VALUE"""),6.066666666666666)</f>
        <v>6.066666667</v>
      </c>
    </row>
    <row r="43">
      <c r="A43" s="158" t="str">
        <f>IFERROR(__xludf.DUMMYFUNCTION("""COMPUTED_VALUE"""),"Octopath Traveler II")</f>
        <v>Octopath Traveler II</v>
      </c>
      <c r="B43" s="158" t="str">
        <f>IFERROR(__xludf.DUMMYFUNCTION("""COMPUTED_VALUE"""),"Xbox / PC")</f>
        <v>Xbox / PC</v>
      </c>
      <c r="C43" s="158" t="str">
        <f>IFERROR(__xludf.DUMMYFUNCTION("""COMPUTED_VALUE"""),"Yes")</f>
        <v>Yes</v>
      </c>
      <c r="D43" s="159" t="str">
        <f>IFERROR(__xludf.DUMMYFUNCTION("""COMPUTED_VALUE"""),"Active")</f>
        <v>Active</v>
      </c>
      <c r="E43" s="160">
        <f>IFERROR(__xludf.DUMMYFUNCTION("""COMPUTED_VALUE"""),45449.0)</f>
        <v>45449</v>
      </c>
      <c r="F43" s="161"/>
      <c r="G43" s="162">
        <f>IFERROR(__xludf.DUMMYFUNCTION("""COMPUTED_VALUE"""),16.3)</f>
        <v>16.3</v>
      </c>
      <c r="H43" s="163">
        <f>IFERROR(__xludf.DUMMYFUNCTION("""COMPUTED_VALUE"""),44981.0)</f>
        <v>44981</v>
      </c>
      <c r="I43" s="162">
        <f>IFERROR(__xludf.DUMMYFUNCTION("""COMPUTED_VALUE"""),1.2833333333333334)</f>
        <v>1.283333333</v>
      </c>
      <c r="J43" s="164">
        <f>IFERROR(__xludf.DUMMYFUNCTION("""COMPUTED_VALUE"""),85.0)</f>
        <v>85</v>
      </c>
      <c r="K43" s="164">
        <f>IFERROR(__xludf.DUMMYFUNCTION("""COMPUTED_VALUE"""),61.0)</f>
        <v>61</v>
      </c>
      <c r="L43" s="158" t="str">
        <f>IFERROR(__xludf.DUMMYFUNCTION("""COMPUTED_VALUE"""),"RPG")</f>
        <v>RPG</v>
      </c>
      <c r="M43" s="158" t="str">
        <f>IFERROR(__xludf.DUMMYFUNCTION("""COMPUTED_VALUE"""),"Exclusive")</f>
        <v>Exclusive</v>
      </c>
      <c r="N43" s="158"/>
      <c r="O43" s="158" t="str">
        <f>IFERROR(__xludf.DUMMYFUNCTION("""COMPUTED_VALUE"""),"T")</f>
        <v>T</v>
      </c>
      <c r="P43" s="158" t="str">
        <f>IFERROR(__xludf.DUMMYFUNCTION("""COMPUTED_VALUE"""),"Fantasy Violence, Mild Blood, Mild Language, Suggestive Themes, Use of Alcohol and Tobacco")</f>
        <v>Fantasy Violence, Mild Blood, Mild Language, Suggestive Themes, Use of Alcohol and Tobacco</v>
      </c>
      <c r="Q43" s="158"/>
      <c r="R43" s="159" t="str">
        <f>IFERROR(__xludf.DUMMYFUNCTION("""COMPUTED_VALUE"""),"Active")</f>
        <v>Active</v>
      </c>
      <c r="S43" s="160">
        <f>IFERROR(__xludf.DUMMYFUNCTION("""COMPUTED_VALUE"""),45735.0)</f>
        <v>45735</v>
      </c>
      <c r="T43" s="162">
        <f>IFERROR(__xludf.DUMMYFUNCTION("""COMPUTED_VALUE"""),9.433333333333334)</f>
        <v>9.433333333</v>
      </c>
    </row>
    <row r="44">
      <c r="A44" s="158" t="str">
        <f>IFERROR(__xludf.DUMMYFUNCTION("""COMPUTED_VALUE"""),"Galacticare")</f>
        <v>Galacticare</v>
      </c>
      <c r="B44" s="158" t="str">
        <f>IFERROR(__xludf.DUMMYFUNCTION("""COMPUTED_VALUE"""),"Xbox / PC")</f>
        <v>Xbox / PC</v>
      </c>
      <c r="C44" s="158" t="str">
        <f>IFERROR(__xludf.DUMMYFUNCTION("""COMPUTED_VALUE"""),"Yes")</f>
        <v>Yes</v>
      </c>
      <c r="D44" s="159" t="str">
        <f>IFERROR(__xludf.DUMMYFUNCTION("""COMPUTED_VALUE"""),"Active")</f>
        <v>Active</v>
      </c>
      <c r="E44" s="160">
        <f>IFERROR(__xludf.DUMMYFUNCTION("""COMPUTED_VALUE"""),45435.0)</f>
        <v>45435</v>
      </c>
      <c r="F44" s="161"/>
      <c r="G44" s="162">
        <f>IFERROR(__xludf.DUMMYFUNCTION("""COMPUTED_VALUE"""),16.733333333333334)</f>
        <v>16.73333333</v>
      </c>
      <c r="H44" s="163">
        <f>IFERROR(__xludf.DUMMYFUNCTION("""COMPUTED_VALUE"""),45435.0)</f>
        <v>45435</v>
      </c>
      <c r="I44" s="162">
        <f>IFERROR(__xludf.DUMMYFUNCTION("""COMPUTED_VALUE"""),0.0)</f>
        <v>0</v>
      </c>
      <c r="J44" s="164">
        <f>IFERROR(__xludf.DUMMYFUNCTION("""COMPUTED_VALUE"""),80.0)</f>
        <v>80</v>
      </c>
      <c r="K44" s="164">
        <f>IFERROR(__xludf.DUMMYFUNCTION("""COMPUTED_VALUE"""),20.0)</f>
        <v>20</v>
      </c>
      <c r="L44" s="158" t="str">
        <f>IFERROR(__xludf.DUMMYFUNCTION("""COMPUTED_VALUE"""),"Tycoon")</f>
        <v>Tycoon</v>
      </c>
      <c r="M44" s="158" t="str">
        <f>IFERROR(__xludf.DUMMYFUNCTION("""COMPUTED_VALUE"""),"Exclusive")</f>
        <v>Exclusive</v>
      </c>
      <c r="N44" s="158"/>
      <c r="O44" s="158"/>
      <c r="P44" s="158"/>
      <c r="Q44" s="158"/>
      <c r="R44" s="159" t="str">
        <f>IFERROR(__xludf.DUMMYFUNCTION("""COMPUTED_VALUE"""),"Active")</f>
        <v>Active</v>
      </c>
      <c r="S44" s="160">
        <f>IFERROR(__xludf.DUMMYFUNCTION("""COMPUTED_VALUE"""),45721.0)</f>
        <v>45721</v>
      </c>
      <c r="T44" s="162">
        <f>IFERROR(__xludf.DUMMYFUNCTION("""COMPUTED_VALUE"""),9.4)</f>
        <v>9.4</v>
      </c>
    </row>
    <row r="45">
      <c r="A45" s="158" t="str">
        <f>IFERROR(__xludf.DUMMYFUNCTION("""COMPUTED_VALUE"""),"Another Crab's Treasure")</f>
        <v>Another Crab's Treasure</v>
      </c>
      <c r="B45" s="158" t="str">
        <f>IFERROR(__xludf.DUMMYFUNCTION("""COMPUTED_VALUE"""),"Xbox / PC")</f>
        <v>Xbox / PC</v>
      </c>
      <c r="C45" s="158" t="str">
        <f>IFERROR(__xludf.DUMMYFUNCTION("""COMPUTED_VALUE"""),"Yes")</f>
        <v>Yes</v>
      </c>
      <c r="D45" s="159" t="str">
        <f>IFERROR(__xludf.DUMMYFUNCTION("""COMPUTED_VALUE"""),"Active")</f>
        <v>Active</v>
      </c>
      <c r="E45" s="160">
        <f>IFERROR(__xludf.DUMMYFUNCTION("""COMPUTED_VALUE"""),45407.0)</f>
        <v>45407</v>
      </c>
      <c r="F45" s="161"/>
      <c r="G45" s="162">
        <f>IFERROR(__xludf.DUMMYFUNCTION("""COMPUTED_VALUE"""),17.666666666666668)</f>
        <v>17.66666667</v>
      </c>
      <c r="H45" s="163">
        <f>IFERROR(__xludf.DUMMYFUNCTION("""COMPUTED_VALUE"""),45407.0)</f>
        <v>45407</v>
      </c>
      <c r="I45" s="162">
        <f>IFERROR(__xludf.DUMMYFUNCTION("""COMPUTED_VALUE"""),0.0)</f>
        <v>0</v>
      </c>
      <c r="J45" s="164">
        <f>IFERROR(__xludf.DUMMYFUNCTION("""COMPUTED_VALUE"""),79.0)</f>
        <v>79</v>
      </c>
      <c r="K45" s="164">
        <f>IFERROR(__xludf.DUMMYFUNCTION("""COMPUTED_VALUE"""),12.0)</f>
        <v>12</v>
      </c>
      <c r="L45" s="158" t="str">
        <f>IFERROR(__xludf.DUMMYFUNCTION("""COMPUTED_VALUE"""),"Action-Adventure")</f>
        <v>Action-Adventure</v>
      </c>
      <c r="M45" s="158"/>
      <c r="N45" s="158"/>
      <c r="O45" s="158" t="str">
        <f>IFERROR(__xludf.DUMMYFUNCTION("""COMPUTED_VALUE"""),"RP")</f>
        <v>RP</v>
      </c>
      <c r="P45" s="158"/>
      <c r="Q45" s="158"/>
      <c r="R45" s="159" t="str">
        <f>IFERROR(__xludf.DUMMYFUNCTION("""COMPUTED_VALUE"""),"Active")</f>
        <v>Active</v>
      </c>
      <c r="S45" s="160">
        <f>IFERROR(__xludf.DUMMYFUNCTION("""COMPUTED_VALUE"""),45693.0)</f>
        <v>45693</v>
      </c>
      <c r="T45" s="162">
        <f>IFERROR(__xludf.DUMMYFUNCTION("""COMPUTED_VALUE"""),9.333333333333334)</f>
        <v>9.333333333</v>
      </c>
    </row>
    <row r="46">
      <c r="A46" s="158" t="str">
        <f>IFERROR(__xludf.DUMMYFUNCTION("""COMPUTED_VALUE"""),"Eiyuden Chronicle: Hundred Heroes")</f>
        <v>Eiyuden Chronicle: Hundred Heroes</v>
      </c>
      <c r="B46" s="158" t="str">
        <f>IFERROR(__xludf.DUMMYFUNCTION("""COMPUTED_VALUE"""),"Xbox / PC")</f>
        <v>Xbox / PC</v>
      </c>
      <c r="C46" s="158" t="str">
        <f>IFERROR(__xludf.DUMMYFUNCTION("""COMPUTED_VALUE"""),"Yes")</f>
        <v>Yes</v>
      </c>
      <c r="D46" s="159" t="str">
        <f>IFERROR(__xludf.DUMMYFUNCTION("""COMPUTED_VALUE"""),"Active")</f>
        <v>Active</v>
      </c>
      <c r="E46" s="160">
        <f>IFERROR(__xludf.DUMMYFUNCTION("""COMPUTED_VALUE"""),45405.0)</f>
        <v>45405</v>
      </c>
      <c r="F46" s="161"/>
      <c r="G46" s="162">
        <f>IFERROR(__xludf.DUMMYFUNCTION("""COMPUTED_VALUE"""),17.733333333333334)</f>
        <v>17.73333333</v>
      </c>
      <c r="H46" s="163">
        <f>IFERROR(__xludf.DUMMYFUNCTION("""COMPUTED_VALUE"""),45405.0)</f>
        <v>45405</v>
      </c>
      <c r="I46" s="162">
        <f>IFERROR(__xludf.DUMMYFUNCTION("""COMPUTED_VALUE"""),0.0)</f>
        <v>0</v>
      </c>
      <c r="J46" s="164">
        <f>IFERROR(__xludf.DUMMYFUNCTION("""COMPUTED_VALUE"""),79.0)</f>
        <v>79</v>
      </c>
      <c r="K46" s="164">
        <f>IFERROR(__xludf.DUMMYFUNCTION("""COMPUTED_VALUE"""),44.0)</f>
        <v>44</v>
      </c>
      <c r="L46" s="158" t="str">
        <f>IFERROR(__xludf.DUMMYFUNCTION("""COMPUTED_VALUE"""),"RPG")</f>
        <v>RPG</v>
      </c>
      <c r="M46" s="158"/>
      <c r="N46" s="158"/>
      <c r="O46" s="158" t="str">
        <f>IFERROR(__xludf.DUMMYFUNCTION("""COMPUTED_VALUE"""),"RP")</f>
        <v>RP</v>
      </c>
      <c r="P46" s="158"/>
      <c r="Q46" s="158"/>
      <c r="R46" s="159" t="str">
        <f>IFERROR(__xludf.DUMMYFUNCTION("""COMPUTED_VALUE"""),"Active")</f>
        <v>Active</v>
      </c>
      <c r="S46" s="160">
        <f>IFERROR(__xludf.DUMMYFUNCTION("""COMPUTED_VALUE"""),45693.0)</f>
        <v>45693</v>
      </c>
      <c r="T46" s="162">
        <f>IFERROR(__xludf.DUMMYFUNCTION("""COMPUTED_VALUE"""),9.4)</f>
        <v>9.4</v>
      </c>
    </row>
    <row r="47">
      <c r="A47" s="158" t="str">
        <f>IFERROR(__xludf.DUMMYFUNCTION("""COMPUTED_VALUE"""),"Starfield")</f>
        <v>Starfield</v>
      </c>
      <c r="B47" s="158" t="str">
        <f>IFERROR(__xludf.DUMMYFUNCTION("""COMPUTED_VALUE"""),"Xbox / PC")</f>
        <v>Xbox / PC</v>
      </c>
      <c r="C47" s="158" t="str">
        <f>IFERROR(__xludf.DUMMYFUNCTION("""COMPUTED_VALUE"""),"Yes")</f>
        <v>Yes</v>
      </c>
      <c r="D47" s="159" t="str">
        <f>IFERROR(__xludf.DUMMYFUNCTION("""COMPUTED_VALUE"""),"Active")</f>
        <v>Active</v>
      </c>
      <c r="E47" s="160">
        <f>IFERROR(__xludf.DUMMYFUNCTION("""COMPUTED_VALUE"""),45175.0)</f>
        <v>45175</v>
      </c>
      <c r="F47" s="161"/>
      <c r="G47" s="162">
        <f>IFERROR(__xludf.DUMMYFUNCTION("""COMPUTED_VALUE"""),25.3)</f>
        <v>25.3</v>
      </c>
      <c r="H47" s="163">
        <f>IFERROR(__xludf.DUMMYFUNCTION("""COMPUTED_VALUE"""),45175.0)</f>
        <v>45175</v>
      </c>
      <c r="I47" s="162">
        <f>IFERROR(__xludf.DUMMYFUNCTION("""COMPUTED_VALUE"""),0.0)</f>
        <v>0</v>
      </c>
      <c r="J47" s="164">
        <f>IFERROR(__xludf.DUMMYFUNCTION("""COMPUTED_VALUE"""),84.0)</f>
        <v>84</v>
      </c>
      <c r="K47" s="164">
        <f>IFERROR(__xludf.DUMMYFUNCTION("""COMPUTED_VALUE"""),20.0)</f>
        <v>20</v>
      </c>
      <c r="L47" s="158" t="str">
        <f>IFERROR(__xludf.DUMMYFUNCTION("""COMPUTED_VALUE"""),"RPG / Action-Adventure")</f>
        <v>RPG / Action-Adventure</v>
      </c>
      <c r="M47" s="158" t="str">
        <f>IFERROR(__xludf.DUMMYFUNCTION("""COMPUTED_VALUE"""),"Exclusive")</f>
        <v>Exclusive</v>
      </c>
      <c r="N47" s="158"/>
      <c r="O47" s="158" t="str">
        <f>IFERROR(__xludf.DUMMYFUNCTION("""COMPUTED_VALUE"""),"M")</f>
        <v>M</v>
      </c>
      <c r="P47" s="158" t="str">
        <f>IFERROR(__xludf.DUMMYFUNCTION("""COMPUTED_VALUE"""),"Blood, Strong Language, Suggestive Themes, Use of Drugs, Violence")</f>
        <v>Blood, Strong Language, Suggestive Themes, Use of Drugs, Violence</v>
      </c>
      <c r="Q47" s="158"/>
      <c r="R47" s="159" t="str">
        <f>IFERROR(__xludf.DUMMYFUNCTION("""COMPUTED_VALUE"""),"Active")</f>
        <v>Active</v>
      </c>
      <c r="S47" s="160">
        <f>IFERROR(__xludf.DUMMYFUNCTION("""COMPUTED_VALUE"""),45693.0)</f>
        <v>45693</v>
      </c>
      <c r="T47" s="162">
        <f>IFERROR(__xludf.DUMMYFUNCTION("""COMPUTED_VALUE"""),16.96666666666667)</f>
        <v>16.96666667</v>
      </c>
    </row>
    <row r="48">
      <c r="A48" s="158" t="str">
        <f>IFERROR(__xludf.DUMMYFUNCTION("""COMPUTED_VALUE"""),"Lightyear Frontier (Game Preview)")</f>
        <v>Lightyear Frontier (Game Preview)</v>
      </c>
      <c r="B48" s="158" t="str">
        <f>IFERROR(__xludf.DUMMYFUNCTION("""COMPUTED_VALUE"""),"Xbox / PC")</f>
        <v>Xbox / PC</v>
      </c>
      <c r="C48" s="158" t="str">
        <f>IFERROR(__xludf.DUMMYFUNCTION("""COMPUTED_VALUE"""),"Yes")</f>
        <v>Yes</v>
      </c>
      <c r="D48" s="159" t="str">
        <f>IFERROR(__xludf.DUMMYFUNCTION("""COMPUTED_VALUE"""),"Active")</f>
        <v>Active</v>
      </c>
      <c r="E48" s="160">
        <f>IFERROR(__xludf.DUMMYFUNCTION("""COMPUTED_VALUE"""),45370.0)</f>
        <v>45370</v>
      </c>
      <c r="F48" s="161"/>
      <c r="G48" s="162">
        <f>IFERROR(__xludf.DUMMYFUNCTION("""COMPUTED_VALUE"""),18.866666666666667)</f>
        <v>18.86666667</v>
      </c>
      <c r="H48" s="163">
        <f>IFERROR(__xludf.DUMMYFUNCTION("""COMPUTED_VALUE"""),45370.0)</f>
        <v>45370</v>
      </c>
      <c r="I48" s="162">
        <f>IFERROR(__xludf.DUMMYFUNCTION("""COMPUTED_VALUE"""),0.0)</f>
        <v>0</v>
      </c>
      <c r="J48" s="164"/>
      <c r="K48" s="164"/>
      <c r="L48" s="158" t="str">
        <f>IFERROR(__xludf.DUMMYFUNCTION("""COMPUTED_VALUE"""),"Sandbox")</f>
        <v>Sandbox</v>
      </c>
      <c r="M48" s="158" t="str">
        <f>IFERROR(__xludf.DUMMYFUNCTION("""COMPUTED_VALUE"""),"Exclusive")</f>
        <v>Exclusive</v>
      </c>
      <c r="N48" s="158"/>
      <c r="O48" s="158" t="str">
        <f>IFERROR(__xludf.DUMMYFUNCTION("""COMPUTED_VALUE"""),"RP")</f>
        <v>RP</v>
      </c>
      <c r="P48" s="158"/>
      <c r="Q48" s="158"/>
      <c r="R48" s="159" t="str">
        <f>IFERROR(__xludf.DUMMYFUNCTION("""COMPUTED_VALUE"""),"Active")</f>
        <v>Active</v>
      </c>
      <c r="S48" s="160">
        <f>IFERROR(__xludf.DUMMYFUNCTION("""COMPUTED_VALUE"""),45665.0)</f>
        <v>45665</v>
      </c>
      <c r="T48" s="162">
        <f>IFERROR(__xludf.DUMMYFUNCTION("""COMPUTED_VALUE"""),9.633333333333333)</f>
        <v>9.633333333</v>
      </c>
    </row>
    <row r="49">
      <c r="A49" s="158" t="str">
        <f>IFERROR(__xludf.DUMMYFUNCTION("""COMPUTED_VALUE"""),"Road 96")</f>
        <v>Road 96</v>
      </c>
      <c r="B49" s="158" t="str">
        <f>IFERROR(__xludf.DUMMYFUNCTION("""COMPUTED_VALUE"""),"Xbox / PC")</f>
        <v>Xbox / PC</v>
      </c>
      <c r="C49" s="158" t="str">
        <f>IFERROR(__xludf.DUMMYFUNCTION("""COMPUTED_VALUE"""),"Touch Controls")</f>
        <v>Touch Controls</v>
      </c>
      <c r="D49" s="159" t="str">
        <f>IFERROR(__xludf.DUMMYFUNCTION("""COMPUTED_VALUE"""),"Active")</f>
        <v>Active</v>
      </c>
      <c r="E49" s="160">
        <f>IFERROR(__xludf.DUMMYFUNCTION("""COMPUTED_VALUE"""),45664.0)</f>
        <v>45664</v>
      </c>
      <c r="F49" s="161"/>
      <c r="G49" s="162">
        <f>IFERROR(__xludf.DUMMYFUNCTION("""COMPUTED_VALUE"""),9.266666666666667)</f>
        <v>9.266666667</v>
      </c>
      <c r="H49" s="163">
        <f>IFERROR(__xludf.DUMMYFUNCTION("""COMPUTED_VALUE"""),44424.0)</f>
        <v>44424</v>
      </c>
      <c r="I49" s="162">
        <f>IFERROR(__xludf.DUMMYFUNCTION("""COMPUTED_VALUE"""),3.3916666666666666)</f>
        <v>3.391666667</v>
      </c>
      <c r="J49" s="164">
        <f>IFERROR(__xludf.DUMMYFUNCTION("""COMPUTED_VALUE"""),79.0)</f>
        <v>79</v>
      </c>
      <c r="K49" s="164">
        <f>IFERROR(__xludf.DUMMYFUNCTION("""COMPUTED_VALUE"""),7.5)</f>
        <v>7.5</v>
      </c>
      <c r="L49" s="158" t="str">
        <f>IFERROR(__xludf.DUMMYFUNCTION("""COMPUTED_VALUE"""),"Adventure")</f>
        <v>Adventure</v>
      </c>
      <c r="M49" s="158"/>
      <c r="N49" s="158" t="str">
        <f>IFERROR(__xludf.DUMMYFUNCTION("""COMPUTED_VALUE"""),"Returning title: Originally joined 7/7/22, left 6/30/23")</f>
        <v>Returning title: Originally joined 7/7/22, left 6/30/23</v>
      </c>
      <c r="O49" s="158" t="str">
        <f>IFERROR(__xludf.DUMMYFUNCTION("""COMPUTED_VALUE"""),"T")</f>
        <v>T</v>
      </c>
      <c r="P49" s="158" t="str">
        <f>IFERROR(__xludf.DUMMYFUNCTION("""COMPUTED_VALUE"""),"Drug Reference, Language, Mild Blood, Suggestive Themes, Use of Alcohol and Tobacco, Violence")</f>
        <v>Drug Reference, Language, Mild Blood, Suggestive Themes, Use of Alcohol and Tobacco, Violence</v>
      </c>
      <c r="Q49" s="158"/>
      <c r="R49" s="159" t="str">
        <f>IFERROR(__xludf.DUMMYFUNCTION("""COMPUTED_VALUE"""),"Active")</f>
        <v>Active</v>
      </c>
      <c r="S49" s="160">
        <f>IFERROR(__xludf.DUMMYFUNCTION("""COMPUTED_VALUE"""),45664.0)</f>
        <v>45664</v>
      </c>
      <c r="T49" s="162">
        <f>IFERROR(__xludf.DUMMYFUNCTION("""COMPUTED_VALUE"""),0.0)</f>
        <v>0</v>
      </c>
    </row>
    <row r="50">
      <c r="A50" s="158" t="str">
        <f>IFERROR(__xludf.DUMMYFUNCTION("""COMPUTED_VALUE"""),"Carrion")</f>
        <v>Carrion</v>
      </c>
      <c r="B50" s="158" t="str">
        <f>IFERROR(__xludf.DUMMYFUNCTION("""COMPUTED_VALUE"""),"Xbox / PC")</f>
        <v>Xbox / PC</v>
      </c>
      <c r="C50" s="158" t="str">
        <f>IFERROR(__xludf.DUMMYFUNCTION("""COMPUTED_VALUE"""),"Yes")</f>
        <v>Yes</v>
      </c>
      <c r="D50" s="159" t="str">
        <f>IFERROR(__xludf.DUMMYFUNCTION("""COMPUTED_VALUE"""),"Active")</f>
        <v>Active</v>
      </c>
      <c r="E50" s="160">
        <f>IFERROR(__xludf.DUMMYFUNCTION("""COMPUTED_VALUE"""),45659.0)</f>
        <v>45659</v>
      </c>
      <c r="F50" s="161"/>
      <c r="G50" s="162">
        <f>IFERROR(__xludf.DUMMYFUNCTION("""COMPUTED_VALUE"""),9.433333333333334)</f>
        <v>9.433333333</v>
      </c>
      <c r="H50" s="163">
        <f>IFERROR(__xludf.DUMMYFUNCTION("""COMPUTED_VALUE"""),44035.0)</f>
        <v>44035</v>
      </c>
      <c r="I50" s="162">
        <f>IFERROR(__xludf.DUMMYFUNCTION("""COMPUTED_VALUE"""),4.441666666666666)</f>
        <v>4.441666667</v>
      </c>
      <c r="J50" s="164">
        <f>IFERROR(__xludf.DUMMYFUNCTION("""COMPUTED_VALUE"""),76.0)</f>
        <v>76</v>
      </c>
      <c r="K50" s="164">
        <f>IFERROR(__xludf.DUMMYFUNCTION("""COMPUTED_VALUE"""),4.0)</f>
        <v>4</v>
      </c>
      <c r="L50" s="158" t="str">
        <f>IFERROR(__xludf.DUMMYFUNCTION("""COMPUTED_VALUE"""),"Action")</f>
        <v>Action</v>
      </c>
      <c r="M50" s="158"/>
      <c r="N50" s="158" t="str">
        <f>IFERROR(__xludf.DUMMYFUNCTION("""COMPUTED_VALUE"""),"Returning title: Originally joined 7/23/20, left 7/15/22")</f>
        <v>Returning title: Originally joined 7/23/20, left 7/15/22</v>
      </c>
      <c r="O50" s="158" t="str">
        <f>IFERROR(__xludf.DUMMYFUNCTION("""COMPUTED_VALUE"""),"M")</f>
        <v>M</v>
      </c>
      <c r="P50" s="158" t="str">
        <f>IFERROR(__xludf.DUMMYFUNCTION("""COMPUTED_VALUE"""),"Blood and Gore, Violence")</f>
        <v>Blood and Gore, Violence</v>
      </c>
      <c r="Q50" s="158"/>
      <c r="R50" s="159" t="str">
        <f>IFERROR(__xludf.DUMMYFUNCTION("""COMPUTED_VALUE"""),"Active")</f>
        <v>Active</v>
      </c>
      <c r="S50" s="160">
        <f>IFERROR(__xludf.DUMMYFUNCTION("""COMPUTED_VALUE"""),45659.0)</f>
        <v>45659</v>
      </c>
      <c r="T50" s="162">
        <f>IFERROR(__xludf.DUMMYFUNCTION("""COMPUTED_VALUE"""),0.0)</f>
        <v>0</v>
      </c>
    </row>
    <row r="51">
      <c r="A51" s="158" t="str">
        <f>IFERROR(__xludf.DUMMYFUNCTION("""COMPUTED_VALUE"""),"Hunt: Showdown 1896")</f>
        <v>Hunt: Showdown 1896</v>
      </c>
      <c r="B51" s="158" t="str">
        <f>IFERROR(__xludf.DUMMYFUNCTION("""COMPUTED_VALUE"""),"Xbox / PC")</f>
        <v>Xbox / PC</v>
      </c>
      <c r="C51" s="158" t="str">
        <f>IFERROR(__xludf.DUMMYFUNCTION("""COMPUTED_VALUE"""),"Yes")</f>
        <v>Yes</v>
      </c>
      <c r="D51" s="159" t="str">
        <f>IFERROR(__xludf.DUMMYFUNCTION("""COMPUTED_VALUE"""),"Active")</f>
        <v>Active</v>
      </c>
      <c r="E51" s="160">
        <f>IFERROR(__xludf.DUMMYFUNCTION("""COMPUTED_VALUE"""),45638.0)</f>
        <v>45638</v>
      </c>
      <c r="F51" s="161"/>
      <c r="G51" s="162">
        <f>IFERROR(__xludf.DUMMYFUNCTION("""COMPUTED_VALUE"""),10.1)</f>
        <v>10.1</v>
      </c>
      <c r="H51" s="163">
        <f>IFERROR(__xludf.DUMMYFUNCTION("""COMPUTED_VALUE"""),45519.0)</f>
        <v>45519</v>
      </c>
      <c r="I51" s="162">
        <f>IFERROR(__xludf.DUMMYFUNCTION("""COMPUTED_VALUE"""),0.325)</f>
        <v>0.325</v>
      </c>
      <c r="J51" s="164">
        <f>IFERROR(__xludf.DUMMYFUNCTION("""COMPUTED_VALUE"""),80.0)</f>
        <v>80</v>
      </c>
      <c r="K51" s="164">
        <f>IFERROR(__xludf.DUMMYFUNCTION("""COMPUTED_VALUE"""),41.0)</f>
        <v>41</v>
      </c>
      <c r="L51" s="158" t="str">
        <f>IFERROR(__xludf.DUMMYFUNCTION("""COMPUTED_VALUE"""),"Shooter")</f>
        <v>Shooter</v>
      </c>
      <c r="M51" s="158" t="str">
        <f>IFERROR(__xludf.DUMMYFUNCTION("""COMPUTED_VALUE"""),"Exclusive")</f>
        <v>Exclusive</v>
      </c>
      <c r="N51" s="158" t="str">
        <f>IFERROR(__xludf.DUMMYFUNCTION("""COMPUTED_VALUE"""),"Joined PC 4/15/2025")</f>
        <v>Joined PC 4/15/2025</v>
      </c>
      <c r="O51" s="158"/>
      <c r="P51" s="158"/>
      <c r="Q51" s="158"/>
      <c r="R51" s="159" t="str">
        <f>IFERROR(__xludf.DUMMYFUNCTION("""COMPUTED_VALUE"""),"Active")</f>
        <v>Active</v>
      </c>
      <c r="S51" s="160">
        <f>IFERROR(__xludf.DUMMYFUNCTION("""COMPUTED_VALUE"""),45638.0)</f>
        <v>45638</v>
      </c>
      <c r="T51" s="162">
        <f>IFERROR(__xludf.DUMMYFUNCTION("""COMPUTED_VALUE"""),0.0)</f>
        <v>0</v>
      </c>
    </row>
    <row r="52">
      <c r="A52" s="158" t="str">
        <f>IFERROR(__xludf.DUMMYFUNCTION("""COMPUTED_VALUE"""),"Crash Team Racing: Nitro-Fueled")</f>
        <v>Crash Team Racing: Nitro-Fueled</v>
      </c>
      <c r="B52" s="158" t="str">
        <f>IFERROR(__xludf.DUMMYFUNCTION("""COMPUTED_VALUE"""),"Xbox")</f>
        <v>Xbox</v>
      </c>
      <c r="C52" s="158"/>
      <c r="D52" s="159" t="str">
        <f>IFERROR(__xludf.DUMMYFUNCTION("""COMPUTED_VALUE"""),"Active")</f>
        <v>Active</v>
      </c>
      <c r="E52" s="160">
        <f>IFERROR(__xludf.DUMMYFUNCTION("""COMPUTED_VALUE"""),45630.0)</f>
        <v>45630</v>
      </c>
      <c r="F52" s="161"/>
      <c r="G52" s="162">
        <f>IFERROR(__xludf.DUMMYFUNCTION("""COMPUTED_VALUE"""),10.366666666666667)</f>
        <v>10.36666667</v>
      </c>
      <c r="H52" s="163">
        <f>IFERROR(__xludf.DUMMYFUNCTION("""COMPUTED_VALUE"""),43637.0)</f>
        <v>43637</v>
      </c>
      <c r="I52" s="162">
        <f>IFERROR(__xludf.DUMMYFUNCTION("""COMPUTED_VALUE"""),5.4527777777777775)</f>
        <v>5.452777778</v>
      </c>
      <c r="J52" s="164">
        <f>IFERROR(__xludf.DUMMYFUNCTION("""COMPUTED_VALUE"""),83.0)</f>
        <v>83</v>
      </c>
      <c r="K52" s="164">
        <f>IFERROR(__xludf.DUMMYFUNCTION("""COMPUTED_VALUE"""),6.0)</f>
        <v>6</v>
      </c>
      <c r="L52" s="158" t="str">
        <f>IFERROR(__xludf.DUMMYFUNCTION("""COMPUTED_VALUE"""),"Racing")</f>
        <v>Racing</v>
      </c>
      <c r="M52" s="158"/>
      <c r="N52" s="158" t="str">
        <f>IFERROR(__xludf.DUMMYFUNCTION("""COMPUTED_VALUE"""),"Game Pass Essential (12/4/24)")</f>
        <v>Game Pass Essential (12/4/24)</v>
      </c>
      <c r="O52" s="158"/>
      <c r="P52" s="158"/>
      <c r="Q52" s="158"/>
      <c r="R52" s="159" t="str">
        <f>IFERROR(__xludf.DUMMYFUNCTION("""COMPUTED_VALUE"""),"Active")</f>
        <v>Active</v>
      </c>
      <c r="S52" s="160">
        <f>IFERROR(__xludf.DUMMYFUNCTION("""COMPUTED_VALUE"""),45630.0)</f>
        <v>45630</v>
      </c>
      <c r="T52" s="162">
        <f>IFERROR(__xludf.DUMMYFUNCTION("""COMPUTED_VALUE"""),0.0)</f>
        <v>0</v>
      </c>
    </row>
    <row r="53">
      <c r="A53" s="158" t="str">
        <f>IFERROR(__xludf.DUMMYFUNCTION("""COMPUTED_VALUE"""),"Forza Motorsport (2023)")</f>
        <v>Forza Motorsport (2023)</v>
      </c>
      <c r="B53" s="158" t="str">
        <f>IFERROR(__xludf.DUMMYFUNCTION("""COMPUTED_VALUE"""),"Xbox / PC")</f>
        <v>Xbox / PC</v>
      </c>
      <c r="C53" s="158" t="str">
        <f>IFERROR(__xludf.DUMMYFUNCTION("""COMPUTED_VALUE"""),"Yes")</f>
        <v>Yes</v>
      </c>
      <c r="D53" s="159" t="str">
        <f>IFERROR(__xludf.DUMMYFUNCTION("""COMPUTED_VALUE"""),"Active")</f>
        <v>Active</v>
      </c>
      <c r="E53" s="160">
        <f>IFERROR(__xludf.DUMMYFUNCTION("""COMPUTED_VALUE"""),45209.0)</f>
        <v>45209</v>
      </c>
      <c r="F53" s="161"/>
      <c r="G53" s="162">
        <f>IFERROR(__xludf.DUMMYFUNCTION("""COMPUTED_VALUE"""),24.166666666666664)</f>
        <v>24.16666667</v>
      </c>
      <c r="H53" s="163">
        <f>IFERROR(__xludf.DUMMYFUNCTION("""COMPUTED_VALUE"""),45209.0)</f>
        <v>45209</v>
      </c>
      <c r="I53" s="162">
        <f>IFERROR(__xludf.DUMMYFUNCTION("""COMPUTED_VALUE"""),0.0)</f>
        <v>0</v>
      </c>
      <c r="J53" s="164">
        <f>IFERROR(__xludf.DUMMYFUNCTION("""COMPUTED_VALUE"""),85.0)</f>
        <v>85</v>
      </c>
      <c r="K53" s="164">
        <f>IFERROR(__xludf.DUMMYFUNCTION("""COMPUTED_VALUE"""),8.0)</f>
        <v>8</v>
      </c>
      <c r="L53" s="158" t="str">
        <f>IFERROR(__xludf.DUMMYFUNCTION("""COMPUTED_VALUE"""),"Driving/Racing")</f>
        <v>Driving/Racing</v>
      </c>
      <c r="M53" s="158" t="str">
        <f>IFERROR(__xludf.DUMMYFUNCTION("""COMPUTED_VALUE"""),"Exclusive")</f>
        <v>Exclusive</v>
      </c>
      <c r="N53" s="158"/>
      <c r="O53" s="158" t="str">
        <f>IFERROR(__xludf.DUMMYFUNCTION("""COMPUTED_VALUE"""),"RP")</f>
        <v>RP</v>
      </c>
      <c r="P53" s="158"/>
      <c r="Q53" s="158"/>
      <c r="R53" s="159" t="str">
        <f>IFERROR(__xludf.DUMMYFUNCTION("""COMPUTED_VALUE"""),"Active")</f>
        <v>Active</v>
      </c>
      <c r="S53" s="160">
        <f>IFERROR(__xludf.DUMMYFUNCTION("""COMPUTED_VALUE"""),45630.0)</f>
        <v>45630</v>
      </c>
      <c r="T53" s="162">
        <f>IFERROR(__xludf.DUMMYFUNCTION("""COMPUTED_VALUE"""),13.799999999999999)</f>
        <v>13.8</v>
      </c>
    </row>
    <row r="54">
      <c r="A54" s="158" t="str">
        <f>IFERROR(__xludf.DUMMYFUNCTION("""COMPUTED_VALUE"""),"Aliens: Dark Descent")</f>
        <v>Aliens: Dark Descent</v>
      </c>
      <c r="B54" s="158" t="str">
        <f>IFERROR(__xludf.DUMMYFUNCTION("""COMPUTED_VALUE"""),"Xbox / PC")</f>
        <v>Xbox / PC</v>
      </c>
      <c r="C54" s="158" t="str">
        <f>IFERROR(__xludf.DUMMYFUNCTION("""COMPUTED_VALUE"""),"Yes")</f>
        <v>Yes</v>
      </c>
      <c r="D54" s="159" t="str">
        <f>IFERROR(__xludf.DUMMYFUNCTION("""COMPUTED_VALUE"""),"Active")</f>
        <v>Active</v>
      </c>
      <c r="E54" s="160">
        <f>IFERROR(__xludf.DUMMYFUNCTION("""COMPUTED_VALUE"""),45623.0)</f>
        <v>45623</v>
      </c>
      <c r="F54" s="161"/>
      <c r="G54" s="162">
        <f>IFERROR(__xludf.DUMMYFUNCTION("""COMPUTED_VALUE"""),10.6)</f>
        <v>10.6</v>
      </c>
      <c r="H54" s="163">
        <f>IFERROR(__xludf.DUMMYFUNCTION("""COMPUTED_VALUE"""),45097.0)</f>
        <v>45097</v>
      </c>
      <c r="I54" s="162">
        <f>IFERROR(__xludf.DUMMYFUNCTION("""COMPUTED_VALUE"""),1.4361111111111111)</f>
        <v>1.436111111</v>
      </c>
      <c r="J54" s="164">
        <f>IFERROR(__xludf.DUMMYFUNCTION("""COMPUTED_VALUE"""),75.0)</f>
        <v>75</v>
      </c>
      <c r="K54" s="164">
        <f>IFERROR(__xludf.DUMMYFUNCTION("""COMPUTED_VALUE"""),24.0)</f>
        <v>24</v>
      </c>
      <c r="L54" s="158" t="str">
        <f>IFERROR(__xludf.DUMMYFUNCTION("""COMPUTED_VALUE"""),"Strategy")</f>
        <v>Strategy</v>
      </c>
      <c r="M54" s="158"/>
      <c r="N54" s="158"/>
      <c r="O54" s="158"/>
      <c r="P54" s="158"/>
      <c r="Q54" s="158"/>
      <c r="R54" s="159" t="str">
        <f>IFERROR(__xludf.DUMMYFUNCTION("""COMPUTED_VALUE"""),"Active")</f>
        <v>Active</v>
      </c>
      <c r="S54" s="160">
        <f>IFERROR(__xludf.DUMMYFUNCTION("""COMPUTED_VALUE"""),45623.0)</f>
        <v>45623</v>
      </c>
      <c r="T54" s="162">
        <f>IFERROR(__xludf.DUMMYFUNCTION("""COMPUTED_VALUE"""),0.0)</f>
        <v>0</v>
      </c>
    </row>
    <row r="55">
      <c r="A55" s="158" t="str">
        <f>IFERROR(__xludf.DUMMYFUNCTION("""COMPUTED_VALUE"""),"Little Kitty, Big City")</f>
        <v>Little Kitty, Big City</v>
      </c>
      <c r="B55" s="158" t="str">
        <f>IFERROR(__xludf.DUMMYFUNCTION("""COMPUTED_VALUE"""),"Xbox / PC")</f>
        <v>Xbox / PC</v>
      </c>
      <c r="C55" s="158" t="str">
        <f>IFERROR(__xludf.DUMMYFUNCTION("""COMPUTED_VALUE"""),"Yes")</f>
        <v>Yes</v>
      </c>
      <c r="D55" s="159" t="str">
        <f>IFERROR(__xludf.DUMMYFUNCTION("""COMPUTED_VALUE"""),"Active")</f>
        <v>Active</v>
      </c>
      <c r="E55" s="160">
        <f>IFERROR(__xludf.DUMMYFUNCTION("""COMPUTED_VALUE"""),45421.0)</f>
        <v>45421</v>
      </c>
      <c r="F55" s="161"/>
      <c r="G55" s="162">
        <f>IFERROR(__xludf.DUMMYFUNCTION("""COMPUTED_VALUE"""),17.2)</f>
        <v>17.2</v>
      </c>
      <c r="H55" s="163">
        <f>IFERROR(__xludf.DUMMYFUNCTION("""COMPUTED_VALUE"""),45421.0)</f>
        <v>45421</v>
      </c>
      <c r="I55" s="162">
        <f>IFERROR(__xludf.DUMMYFUNCTION("""COMPUTED_VALUE"""),0.0)</f>
        <v>0</v>
      </c>
      <c r="J55" s="164">
        <f>IFERROR(__xludf.DUMMYFUNCTION("""COMPUTED_VALUE"""),79.0)</f>
        <v>79</v>
      </c>
      <c r="K55" s="164">
        <f>IFERROR(__xludf.DUMMYFUNCTION("""COMPUTED_VALUE"""),3.0)</f>
        <v>3</v>
      </c>
      <c r="L55" s="158" t="str">
        <f>IFERROR(__xludf.DUMMYFUNCTION("""COMPUTED_VALUE"""),"Action-Adventure")</f>
        <v>Action-Adventure</v>
      </c>
      <c r="M55" s="158"/>
      <c r="N55" s="158"/>
      <c r="O55" s="158" t="str">
        <f>IFERROR(__xludf.DUMMYFUNCTION("""COMPUTED_VALUE"""),"RP")</f>
        <v>RP</v>
      </c>
      <c r="P55" s="158"/>
      <c r="Q55" s="158"/>
      <c r="R55" s="159" t="str">
        <f>IFERROR(__xludf.DUMMYFUNCTION("""COMPUTED_VALUE"""),"Active")</f>
        <v>Active</v>
      </c>
      <c r="S55" s="160">
        <f>IFERROR(__xludf.DUMMYFUNCTION("""COMPUTED_VALUE"""),45616.0)</f>
        <v>45616</v>
      </c>
      <c r="T55" s="162">
        <f>IFERROR(__xludf.DUMMYFUNCTION("""COMPUTED_VALUE"""),6.366666666666667)</f>
        <v>6.366666667</v>
      </c>
    </row>
    <row r="56">
      <c r="A56" s="158" t="str">
        <f>IFERROR(__xludf.DUMMYFUNCTION("""COMPUTED_VALUE"""),"PlateUp!")</f>
        <v>PlateUp!</v>
      </c>
      <c r="B56" s="158" t="str">
        <f>IFERROR(__xludf.DUMMYFUNCTION("""COMPUTED_VALUE"""),"Xbox / PC")</f>
        <v>Xbox / PC</v>
      </c>
      <c r="C56" s="158" t="str">
        <f>IFERROR(__xludf.DUMMYFUNCTION("""COMPUTED_VALUE"""),"Yes")</f>
        <v>Yes</v>
      </c>
      <c r="D56" s="159" t="str">
        <f>IFERROR(__xludf.DUMMYFUNCTION("""COMPUTED_VALUE"""),"Active")</f>
        <v>Active</v>
      </c>
      <c r="E56" s="160">
        <f>IFERROR(__xludf.DUMMYFUNCTION("""COMPUTED_VALUE"""),45337.0)</f>
        <v>45337</v>
      </c>
      <c r="F56" s="161"/>
      <c r="G56" s="162">
        <f>IFERROR(__xludf.DUMMYFUNCTION("""COMPUTED_VALUE"""),20.0)</f>
        <v>20</v>
      </c>
      <c r="H56" s="163">
        <f>IFERROR(__xludf.DUMMYFUNCTION("""COMPUTED_VALUE"""),44777.0)</f>
        <v>44777</v>
      </c>
      <c r="I56" s="162">
        <f>IFERROR(__xludf.DUMMYFUNCTION("""COMPUTED_VALUE"""),1.5305555555555554)</f>
        <v>1.530555556</v>
      </c>
      <c r="J56" s="164">
        <f>IFERROR(__xludf.DUMMYFUNCTION("""COMPUTED_VALUE"""),73.0)</f>
        <v>73</v>
      </c>
      <c r="K56" s="164">
        <f>IFERROR(__xludf.DUMMYFUNCTION("""COMPUTED_VALUE"""),19.0)</f>
        <v>19</v>
      </c>
      <c r="L56" s="158" t="str">
        <f>IFERROR(__xludf.DUMMYFUNCTION("""COMPUTED_VALUE"""),"Strategy")</f>
        <v>Strategy</v>
      </c>
      <c r="M56" s="158"/>
      <c r="N56" s="158"/>
      <c r="O56" s="158" t="str">
        <f>IFERROR(__xludf.DUMMYFUNCTION("""COMPUTED_VALUE"""),"E")</f>
        <v>E</v>
      </c>
      <c r="P56" s="158" t="str">
        <f>IFERROR(__xludf.DUMMYFUNCTION("""COMPUTED_VALUE"""),"Alcohol Reference")</f>
        <v>Alcohol Reference</v>
      </c>
      <c r="Q56" s="158"/>
      <c r="R56" s="159" t="str">
        <f>IFERROR(__xludf.DUMMYFUNCTION("""COMPUTED_VALUE"""),"Active")</f>
        <v>Active</v>
      </c>
      <c r="S56" s="160">
        <f>IFERROR(__xludf.DUMMYFUNCTION("""COMPUTED_VALUE"""),45616.0)</f>
        <v>45616</v>
      </c>
      <c r="T56" s="162">
        <f>IFERROR(__xludf.DUMMYFUNCTION("""COMPUTED_VALUE"""),9.166666666666666)</f>
        <v>9.166666667</v>
      </c>
    </row>
    <row r="57">
      <c r="A57" s="158" t="str">
        <f>IFERROR(__xludf.DUMMYFUNCTION("""COMPUTED_VALUE"""),"Spyro Reignited Trilogy")</f>
        <v>Spyro Reignited Trilogy</v>
      </c>
      <c r="B57" s="158" t="str">
        <f>IFERROR(__xludf.DUMMYFUNCTION("""COMPUTED_VALUE"""),"Xbox / PC")</f>
        <v>Xbox / PC</v>
      </c>
      <c r="C57" s="158"/>
      <c r="D57" s="159" t="str">
        <f>IFERROR(__xludf.DUMMYFUNCTION("""COMPUTED_VALUE"""),"Active")</f>
        <v>Active</v>
      </c>
      <c r="E57" s="160">
        <f>IFERROR(__xludf.DUMMYFUNCTION("""COMPUTED_VALUE"""),45608.0)</f>
        <v>45608</v>
      </c>
      <c r="F57" s="161"/>
      <c r="G57" s="162">
        <f>IFERROR(__xludf.DUMMYFUNCTION("""COMPUTED_VALUE"""),11.100000000000001)</f>
        <v>11.1</v>
      </c>
      <c r="H57" s="163">
        <f>IFERROR(__xludf.DUMMYFUNCTION("""COMPUTED_VALUE"""),43417.0)</f>
        <v>43417</v>
      </c>
      <c r="I57" s="162">
        <f>IFERROR(__xludf.DUMMYFUNCTION("""COMPUTED_VALUE"""),5.997222222222222)</f>
        <v>5.997222222</v>
      </c>
      <c r="J57" s="164">
        <f>IFERROR(__xludf.DUMMYFUNCTION("""COMPUTED_VALUE"""),82.0)</f>
        <v>82</v>
      </c>
      <c r="K57" s="164">
        <f>IFERROR(__xludf.DUMMYFUNCTION("""COMPUTED_VALUE"""),17.0)</f>
        <v>17</v>
      </c>
      <c r="L57" s="158" t="str">
        <f>IFERROR(__xludf.DUMMYFUNCTION("""COMPUTED_VALUE"""),"Platformer")</f>
        <v>Platformer</v>
      </c>
      <c r="M57" s="158"/>
      <c r="N57" s="158"/>
      <c r="O57" s="158"/>
      <c r="P57" s="158"/>
      <c r="Q57" s="158"/>
      <c r="R57" s="159" t="str">
        <f>IFERROR(__xludf.DUMMYFUNCTION("""COMPUTED_VALUE"""),"Active")</f>
        <v>Active</v>
      </c>
      <c r="S57" s="160">
        <f>IFERROR(__xludf.DUMMYFUNCTION("""COMPUTED_VALUE"""),45608.0)</f>
        <v>45608</v>
      </c>
      <c r="T57" s="162">
        <f>IFERROR(__xludf.DUMMYFUNCTION("""COMPUTED_VALUE"""),0.0)</f>
        <v>0</v>
      </c>
    </row>
    <row r="58">
      <c r="A58" s="158" t="str">
        <f>IFERROR(__xludf.DUMMYFUNCTION("""COMPUTED_VALUE"""),"The Rewinder")</f>
        <v>The Rewinder</v>
      </c>
      <c r="B58" s="158" t="str">
        <f>IFERROR(__xludf.DUMMYFUNCTION("""COMPUTED_VALUE"""),"Xbox / PC")</f>
        <v>Xbox / PC</v>
      </c>
      <c r="C58" s="158" t="str">
        <f>IFERROR(__xludf.DUMMYFUNCTION("""COMPUTED_VALUE"""),"Yes")</f>
        <v>Yes</v>
      </c>
      <c r="D58" s="159" t="str">
        <f>IFERROR(__xludf.DUMMYFUNCTION("""COMPUTED_VALUE"""),"Active")</f>
        <v>Active</v>
      </c>
      <c r="E58" s="160">
        <f>IFERROR(__xludf.DUMMYFUNCTION("""COMPUTED_VALUE"""),45411.0)</f>
        <v>45411</v>
      </c>
      <c r="F58" s="161"/>
      <c r="G58" s="162">
        <f>IFERROR(__xludf.DUMMYFUNCTION("""COMPUTED_VALUE"""),17.53333333333333)</f>
        <v>17.53333333</v>
      </c>
      <c r="H58" s="163">
        <f>IFERROR(__xludf.DUMMYFUNCTION("""COMPUTED_VALUE"""),44449.0)</f>
        <v>44449</v>
      </c>
      <c r="I58" s="162">
        <f>IFERROR(__xludf.DUMMYFUNCTION("""COMPUTED_VALUE"""),2.636111111111111)</f>
        <v>2.636111111</v>
      </c>
      <c r="J58" s="164">
        <f>IFERROR(__xludf.DUMMYFUNCTION("""COMPUTED_VALUE"""),78.0)</f>
        <v>78</v>
      </c>
      <c r="K58" s="164">
        <f>IFERROR(__xludf.DUMMYFUNCTION("""COMPUTED_VALUE"""),5.0)</f>
        <v>5</v>
      </c>
      <c r="L58" s="158" t="str">
        <f>IFERROR(__xludf.DUMMYFUNCTION("""COMPUTED_VALUE"""),"Action-Adventure")</f>
        <v>Action-Adventure</v>
      </c>
      <c r="M58" s="158"/>
      <c r="N58" s="158"/>
      <c r="O58" s="158" t="str">
        <f>IFERROR(__xludf.DUMMYFUNCTION("""COMPUTED_VALUE"""),"RP")</f>
        <v>RP</v>
      </c>
      <c r="P58" s="158"/>
      <c r="Q58" s="158"/>
      <c r="R58" s="159" t="str">
        <f>IFERROR(__xludf.DUMMYFUNCTION("""COMPUTED_VALUE"""),"Active")</f>
        <v>Active</v>
      </c>
      <c r="S58" s="160">
        <f>IFERROR(__xludf.DUMMYFUNCTION("""COMPUTED_VALUE"""),45602.0)</f>
        <v>45602</v>
      </c>
      <c r="T58" s="162">
        <f>IFERROR(__xludf.DUMMYFUNCTION("""COMPUTED_VALUE"""),6.233333333333334)</f>
        <v>6.233333333</v>
      </c>
    </row>
    <row r="59">
      <c r="A59" s="158" t="str">
        <f>IFERROR(__xludf.DUMMYFUNCTION("""COMPUTED_VALUE"""),"Go Mecha Ball")</f>
        <v>Go Mecha Ball</v>
      </c>
      <c r="B59" s="158" t="str">
        <f>IFERROR(__xludf.DUMMYFUNCTION("""COMPUTED_VALUE"""),"Xbox / PC")</f>
        <v>Xbox / PC</v>
      </c>
      <c r="C59" s="158" t="str">
        <f>IFERROR(__xludf.DUMMYFUNCTION("""COMPUTED_VALUE"""),"Yes")</f>
        <v>Yes</v>
      </c>
      <c r="D59" s="159" t="str">
        <f>IFERROR(__xludf.DUMMYFUNCTION("""COMPUTED_VALUE"""),"Active")</f>
        <v>Active</v>
      </c>
      <c r="E59" s="160">
        <f>IFERROR(__xludf.DUMMYFUNCTION("""COMPUTED_VALUE"""),45316.0)</f>
        <v>45316</v>
      </c>
      <c r="F59" s="161"/>
      <c r="G59" s="162">
        <f>IFERROR(__xludf.DUMMYFUNCTION("""COMPUTED_VALUE"""),20.666666666666668)</f>
        <v>20.66666667</v>
      </c>
      <c r="H59" s="163">
        <f>IFERROR(__xludf.DUMMYFUNCTION("""COMPUTED_VALUE"""),45316.0)</f>
        <v>45316</v>
      </c>
      <c r="I59" s="162">
        <f>IFERROR(__xludf.DUMMYFUNCTION("""COMPUTED_VALUE"""),0.0)</f>
        <v>0</v>
      </c>
      <c r="J59" s="164">
        <f>IFERROR(__xludf.DUMMYFUNCTION("""COMPUTED_VALUE"""),68.0)</f>
        <v>68</v>
      </c>
      <c r="K59" s="164">
        <f>IFERROR(__xludf.DUMMYFUNCTION("""COMPUTED_VALUE"""),3.0)</f>
        <v>3</v>
      </c>
      <c r="L59" s="158" t="str">
        <f>IFERROR(__xludf.DUMMYFUNCTION("""COMPUTED_VALUE"""),"Action")</f>
        <v>Action</v>
      </c>
      <c r="M59" s="158"/>
      <c r="N59" s="158"/>
      <c r="O59" s="158" t="str">
        <f>IFERROR(__xludf.DUMMYFUNCTION("""COMPUTED_VALUE"""),"RP")</f>
        <v>RP</v>
      </c>
      <c r="P59" s="158"/>
      <c r="Q59" s="158"/>
      <c r="R59" s="159" t="str">
        <f>IFERROR(__xludf.DUMMYFUNCTION("""COMPUTED_VALUE"""),"Active")</f>
        <v>Active</v>
      </c>
      <c r="S59" s="160">
        <f>IFERROR(__xludf.DUMMYFUNCTION("""COMPUTED_VALUE"""),45602.0)</f>
        <v>45602</v>
      </c>
      <c r="T59" s="162">
        <f>IFERROR(__xludf.DUMMYFUNCTION("""COMPUTED_VALUE"""),9.366666666666667)</f>
        <v>9.366666667</v>
      </c>
    </row>
    <row r="60">
      <c r="A60" s="158" t="str">
        <f>IFERROR(__xludf.DUMMYFUNCTION("""COMPUTED_VALUE"""),"Ashen")</f>
        <v>Ashen</v>
      </c>
      <c r="B60" s="158" t="str">
        <f>IFERROR(__xludf.DUMMYFUNCTION("""COMPUTED_VALUE"""),"Xbox / PC")</f>
        <v>Xbox / PC</v>
      </c>
      <c r="C60" s="158"/>
      <c r="D60" s="159" t="str">
        <f>IFERROR(__xludf.DUMMYFUNCTION("""COMPUTED_VALUE"""),"Active")</f>
        <v>Active</v>
      </c>
      <c r="E60" s="160">
        <f>IFERROR(__xludf.DUMMYFUNCTION("""COMPUTED_VALUE"""),45594.0)</f>
        <v>45594</v>
      </c>
      <c r="F60" s="161"/>
      <c r="G60" s="162">
        <f>IFERROR(__xludf.DUMMYFUNCTION("""COMPUTED_VALUE"""),11.533333333333333)</f>
        <v>11.53333333</v>
      </c>
      <c r="H60" s="163">
        <f>IFERROR(__xludf.DUMMYFUNCTION("""COMPUTED_VALUE"""),43441.0)</f>
        <v>43441</v>
      </c>
      <c r="I60" s="162">
        <f>IFERROR(__xludf.DUMMYFUNCTION("""COMPUTED_VALUE"""),5.894444444444445)</f>
        <v>5.894444444</v>
      </c>
      <c r="J60" s="164">
        <f>IFERROR(__xludf.DUMMYFUNCTION("""COMPUTED_VALUE"""),78.0)</f>
        <v>78</v>
      </c>
      <c r="K60" s="164">
        <f>IFERROR(__xludf.DUMMYFUNCTION("""COMPUTED_VALUE"""),15.5)</f>
        <v>15.5</v>
      </c>
      <c r="L60" s="158" t="str">
        <f>IFERROR(__xludf.DUMMYFUNCTION("""COMPUTED_VALUE"""),"Action / RPG / Action-Adventure")</f>
        <v>Action / RPG / Action-Adventure</v>
      </c>
      <c r="M60" s="158"/>
      <c r="N60" s="158" t="str">
        <f>IFERROR(__xludf.DUMMYFUNCTION("""COMPUTED_VALUE"""),"Returning title: Originally joined 12/31/18, left 12/1/19")</f>
        <v>Returning title: Originally joined 12/31/18, left 12/1/19</v>
      </c>
      <c r="O60" s="158"/>
      <c r="P60" s="158"/>
      <c r="Q60" s="158"/>
      <c r="R60" s="159" t="str">
        <f>IFERROR(__xludf.DUMMYFUNCTION("""COMPUTED_VALUE"""),"Active")</f>
        <v>Active</v>
      </c>
      <c r="S60" s="160">
        <f>IFERROR(__xludf.DUMMYFUNCTION("""COMPUTED_VALUE"""),45594.0)</f>
        <v>45594</v>
      </c>
      <c r="T60" s="162">
        <f>IFERROR(__xludf.DUMMYFUNCTION("""COMPUTED_VALUE"""),0.0)</f>
        <v>0</v>
      </c>
    </row>
    <row r="61">
      <c r="A61" s="158" t="str">
        <f>IFERROR(__xludf.DUMMYFUNCTION("""COMPUTED_VALUE"""),"Call of Duty: Black Ops 6")</f>
        <v>Call of Duty: Black Ops 6</v>
      </c>
      <c r="B61" s="158" t="str">
        <f>IFERROR(__xludf.DUMMYFUNCTION("""COMPUTED_VALUE"""),"Xbox / PC")</f>
        <v>Xbox / PC</v>
      </c>
      <c r="C61" s="158" t="str">
        <f>IFERROR(__xludf.DUMMYFUNCTION("""COMPUTED_VALUE"""),"Yes")</f>
        <v>Yes</v>
      </c>
      <c r="D61" s="159" t="str">
        <f>IFERROR(__xludf.DUMMYFUNCTION("""COMPUTED_VALUE"""),"Active")</f>
        <v>Active</v>
      </c>
      <c r="E61" s="160">
        <f>IFERROR(__xludf.DUMMYFUNCTION("""COMPUTED_VALUE"""),45590.0)</f>
        <v>45590</v>
      </c>
      <c r="F61" s="161"/>
      <c r="G61" s="162">
        <f>IFERROR(__xludf.DUMMYFUNCTION("""COMPUTED_VALUE"""),11.666666666666666)</f>
        <v>11.66666667</v>
      </c>
      <c r="H61" s="163">
        <f>IFERROR(__xludf.DUMMYFUNCTION("""COMPUTED_VALUE"""),45590.0)</f>
        <v>45590</v>
      </c>
      <c r="I61" s="162">
        <f>IFERROR(__xludf.DUMMYFUNCTION("""COMPUTED_VALUE"""),0.0)</f>
        <v>0</v>
      </c>
      <c r="J61" s="164">
        <f>IFERROR(__xludf.DUMMYFUNCTION("""COMPUTED_VALUE"""),83.0)</f>
        <v>83</v>
      </c>
      <c r="K61" s="164">
        <f>IFERROR(__xludf.DUMMYFUNCTION("""COMPUTED_VALUE"""),9.0)</f>
        <v>9</v>
      </c>
      <c r="L61" s="158" t="str">
        <f>IFERROR(__xludf.DUMMYFUNCTION("""COMPUTED_VALUE"""),"Shooter")</f>
        <v>Shooter</v>
      </c>
      <c r="M61" s="158"/>
      <c r="N61" s="158" t="str">
        <f>IFERROR(__xludf.DUMMYFUNCTION("""COMPUTED_VALUE"""),"GP standard only users only have campaign access")</f>
        <v>GP standard only users only have campaign access</v>
      </c>
      <c r="O61" s="158"/>
      <c r="P61" s="158"/>
      <c r="Q61" s="158"/>
      <c r="R61" s="159" t="str">
        <f>IFERROR(__xludf.DUMMYFUNCTION("""COMPUTED_VALUE"""),"Active")</f>
        <v>Active</v>
      </c>
      <c r="S61" s="160">
        <f>IFERROR(__xludf.DUMMYFUNCTION("""COMPUTED_VALUE"""),45590.0)</f>
        <v>45590</v>
      </c>
      <c r="T61" s="162">
        <f>IFERROR(__xludf.DUMMYFUNCTION("""COMPUTED_VALUE"""),0.0)</f>
        <v>0</v>
      </c>
    </row>
    <row r="62">
      <c r="A62" s="158" t="str">
        <f>IFERROR(__xludf.DUMMYFUNCTION("""COMPUTED_VALUE"""),"Donut County")</f>
        <v>Donut County</v>
      </c>
      <c r="B62" s="158" t="str">
        <f>IFERROR(__xludf.DUMMYFUNCTION("""COMPUTED_VALUE"""),"Xbox / PC")</f>
        <v>Xbox / PC</v>
      </c>
      <c r="C62" s="158" t="str">
        <f>IFERROR(__xludf.DUMMYFUNCTION("""COMPUTED_VALUE"""),"Touch Controls")</f>
        <v>Touch Controls</v>
      </c>
      <c r="D62" s="159" t="str">
        <f>IFERROR(__xludf.DUMMYFUNCTION("""COMPUTED_VALUE"""),"Active")</f>
        <v>Active</v>
      </c>
      <c r="E62" s="160">
        <f>IFERROR(__xludf.DUMMYFUNCTION("""COMPUTED_VALUE"""),45582.0)</f>
        <v>45582</v>
      </c>
      <c r="F62" s="161"/>
      <c r="G62" s="162">
        <f>IFERROR(__xludf.DUMMYFUNCTION("""COMPUTED_VALUE"""),11.933333333333334)</f>
        <v>11.93333333</v>
      </c>
      <c r="H62" s="163">
        <f>IFERROR(__xludf.DUMMYFUNCTION("""COMPUTED_VALUE"""),43340.0)</f>
        <v>43340</v>
      </c>
      <c r="I62" s="162">
        <f>IFERROR(__xludf.DUMMYFUNCTION("""COMPUTED_VALUE"""),6.136111111111111)</f>
        <v>6.136111111</v>
      </c>
      <c r="J62" s="164">
        <f>IFERROR(__xludf.DUMMYFUNCTION("""COMPUTED_VALUE"""),82.0)</f>
        <v>82</v>
      </c>
      <c r="K62" s="164">
        <f>IFERROR(__xludf.DUMMYFUNCTION("""COMPUTED_VALUE"""),2.0)</f>
        <v>2</v>
      </c>
      <c r="L62" s="158" t="str">
        <f>IFERROR(__xludf.DUMMYFUNCTION("""COMPUTED_VALUE"""),"Action")</f>
        <v>Action</v>
      </c>
      <c r="M62" s="158"/>
      <c r="N62" s="158" t="str">
        <f>IFERROR(__xludf.DUMMYFUNCTION("""COMPUTED_VALUE"""),"Returning title: Originally joined 1/21/21, left 1/31/23, Official PC Mod Support")</f>
        <v>Returning title: Originally joined 1/21/21, left 1/31/23, Official PC Mod Support</v>
      </c>
      <c r="O62" s="158" t="str">
        <f>IFERROR(__xludf.DUMMYFUNCTION("""COMPUTED_VALUE"""),"E")</f>
        <v>E</v>
      </c>
      <c r="P62" s="158" t="str">
        <f>IFERROR(__xludf.DUMMYFUNCTION("""COMPUTED_VALUE"""),"Mild Fantasy Violence, Comic Mischief")</f>
        <v>Mild Fantasy Violence, Comic Mischief</v>
      </c>
      <c r="Q62" s="158"/>
      <c r="R62" s="159" t="str">
        <f>IFERROR(__xludf.DUMMYFUNCTION("""COMPUTED_VALUE"""),"Active")</f>
        <v>Active</v>
      </c>
      <c r="S62" s="160">
        <f>IFERROR(__xludf.DUMMYFUNCTION("""COMPUTED_VALUE"""),45582.0)</f>
        <v>45582</v>
      </c>
      <c r="T62" s="162">
        <f>IFERROR(__xludf.DUMMYFUNCTION("""COMPUTED_VALUE"""),0.0)</f>
        <v>0</v>
      </c>
    </row>
    <row r="63">
      <c r="A63" s="158" t="str">
        <f>IFERROR(__xludf.DUMMYFUNCTION("""COMPUTED_VALUE"""),"Inscryption")</f>
        <v>Inscryption</v>
      </c>
      <c r="B63" s="158" t="str">
        <f>IFERROR(__xludf.DUMMYFUNCTION("""COMPUTED_VALUE"""),"Xbox / PC")</f>
        <v>Xbox / PC</v>
      </c>
      <c r="C63" s="158" t="str">
        <f>IFERROR(__xludf.DUMMYFUNCTION("""COMPUTED_VALUE"""),"Yes")</f>
        <v>Yes</v>
      </c>
      <c r="D63" s="159" t="str">
        <f>IFERROR(__xludf.DUMMYFUNCTION("""COMPUTED_VALUE"""),"Active")</f>
        <v>Active</v>
      </c>
      <c r="E63" s="160">
        <f>IFERROR(__xludf.DUMMYFUNCTION("""COMPUTED_VALUE"""),45575.0)</f>
        <v>45575</v>
      </c>
      <c r="F63" s="161"/>
      <c r="G63" s="162">
        <f>IFERROR(__xludf.DUMMYFUNCTION("""COMPUTED_VALUE"""),12.166666666666666)</f>
        <v>12.16666667</v>
      </c>
      <c r="H63" s="163">
        <f>IFERROR(__xludf.DUMMYFUNCTION("""COMPUTED_VALUE"""),44488.0)</f>
        <v>44488</v>
      </c>
      <c r="I63" s="162">
        <f>IFERROR(__xludf.DUMMYFUNCTION("""COMPUTED_VALUE"""),2.975)</f>
        <v>2.975</v>
      </c>
      <c r="J63" s="164">
        <f>IFERROR(__xludf.DUMMYFUNCTION("""COMPUTED_VALUE"""),85.0)</f>
        <v>85</v>
      </c>
      <c r="K63" s="164">
        <f>IFERROR(__xludf.DUMMYFUNCTION("""COMPUTED_VALUE"""),13.0)</f>
        <v>13</v>
      </c>
      <c r="L63" s="158" t="str">
        <f>IFERROR(__xludf.DUMMYFUNCTION("""COMPUTED_VALUE"""),"Card Battle")</f>
        <v>Card Battle</v>
      </c>
      <c r="M63" s="158"/>
      <c r="N63" s="158"/>
      <c r="O63" s="158"/>
      <c r="P63" s="158"/>
      <c r="Q63" s="158"/>
      <c r="R63" s="159" t="str">
        <f>IFERROR(__xludf.DUMMYFUNCTION("""COMPUTED_VALUE"""),"Active")</f>
        <v>Active</v>
      </c>
      <c r="S63" s="160">
        <f>IFERROR(__xludf.DUMMYFUNCTION("""COMPUTED_VALUE"""),45575.0)</f>
        <v>45575</v>
      </c>
      <c r="T63" s="162">
        <f>IFERROR(__xludf.DUMMYFUNCTION("""COMPUTED_VALUE"""),0.0)</f>
        <v>0</v>
      </c>
    </row>
    <row r="64">
      <c r="A64" s="158" t="str">
        <f>IFERROR(__xludf.DUMMYFUNCTION("""COMPUTED_VALUE"""),"Mad Streets")</f>
        <v>Mad Streets</v>
      </c>
      <c r="B64" s="158" t="str">
        <f>IFERROR(__xludf.DUMMYFUNCTION("""COMPUTED_VALUE"""),"Xbox / PC")</f>
        <v>Xbox / PC</v>
      </c>
      <c r="C64" s="158" t="str">
        <f>IFERROR(__xludf.DUMMYFUNCTION("""COMPUTED_VALUE"""),"Yes")</f>
        <v>Yes</v>
      </c>
      <c r="D64" s="159" t="str">
        <f>IFERROR(__xludf.DUMMYFUNCTION("""COMPUTED_VALUE"""),"Active")</f>
        <v>Active</v>
      </c>
      <c r="E64" s="160">
        <f>IFERROR(__xludf.DUMMYFUNCTION("""COMPUTED_VALUE"""),45572.0)</f>
        <v>45572</v>
      </c>
      <c r="F64" s="161"/>
      <c r="G64" s="162">
        <f>IFERROR(__xludf.DUMMYFUNCTION("""COMPUTED_VALUE"""),12.266666666666666)</f>
        <v>12.26666667</v>
      </c>
      <c r="H64" s="163">
        <f>IFERROR(__xludf.DUMMYFUNCTION("""COMPUTED_VALUE"""),44435.0)</f>
        <v>44435</v>
      </c>
      <c r="I64" s="162">
        <f>IFERROR(__xludf.DUMMYFUNCTION("""COMPUTED_VALUE"""),3.111111111111111)</f>
        <v>3.111111111</v>
      </c>
      <c r="J64" s="164">
        <f>IFERROR(__xludf.DUMMYFUNCTION("""COMPUTED_VALUE"""),55.0)</f>
        <v>55</v>
      </c>
      <c r="K64" s="164">
        <f>IFERROR(__xludf.DUMMYFUNCTION("""COMPUTED_VALUE"""),2.0)</f>
        <v>2</v>
      </c>
      <c r="L64" s="158" t="str">
        <f>IFERROR(__xludf.DUMMYFUNCTION("""COMPUTED_VALUE"""),"Beat-'Em-Up ")</f>
        <v>Beat-'Em-Up </v>
      </c>
      <c r="M64" s="158"/>
      <c r="N64" s="158"/>
      <c r="O64" s="158"/>
      <c r="P64" s="158"/>
      <c r="Q64" s="158"/>
      <c r="R64" s="159" t="str">
        <f>IFERROR(__xludf.DUMMYFUNCTION("""COMPUTED_VALUE"""),"Active")</f>
        <v>Active</v>
      </c>
      <c r="S64" s="160">
        <f>IFERROR(__xludf.DUMMYFUNCTION("""COMPUTED_VALUE"""),45572.0)</f>
        <v>45572</v>
      </c>
      <c r="T64" s="162">
        <f>IFERROR(__xludf.DUMMYFUNCTION("""COMPUTED_VALUE"""),0.0)</f>
        <v>0</v>
      </c>
    </row>
    <row r="65">
      <c r="A65" s="158" t="str">
        <f>IFERROR(__xludf.DUMMYFUNCTION("""COMPUTED_VALUE"""),"Riders Republic")</f>
        <v>Riders Republic</v>
      </c>
      <c r="B65" s="158" t="str">
        <f>IFERROR(__xludf.DUMMYFUNCTION("""COMPUTED_VALUE"""),"Xbox / PC")</f>
        <v>Xbox / PC</v>
      </c>
      <c r="C65" s="158" t="str">
        <f>IFERROR(__xludf.DUMMYFUNCTION("""COMPUTED_VALUE"""),"Yes")</f>
        <v>Yes</v>
      </c>
      <c r="D65" s="159" t="str">
        <f>IFERROR(__xludf.DUMMYFUNCTION("""COMPUTED_VALUE"""),"Active")</f>
        <v>Active</v>
      </c>
      <c r="E65" s="160">
        <f>IFERROR(__xludf.DUMMYFUNCTION("""COMPUTED_VALUE"""),45546.0)</f>
        <v>45546</v>
      </c>
      <c r="F65" s="161"/>
      <c r="G65" s="162">
        <f>IFERROR(__xludf.DUMMYFUNCTION("""COMPUTED_VALUE"""),13.133333333333335)</f>
        <v>13.13333333</v>
      </c>
      <c r="H65" s="163">
        <f>IFERROR(__xludf.DUMMYFUNCTION("""COMPUTED_VALUE"""),44497.0)</f>
        <v>44497</v>
      </c>
      <c r="I65" s="162">
        <f>IFERROR(__xludf.DUMMYFUNCTION("""COMPUTED_VALUE"""),2.8694444444444445)</f>
        <v>2.869444444</v>
      </c>
      <c r="J65" s="164">
        <f>IFERROR(__xludf.DUMMYFUNCTION("""COMPUTED_VALUE"""),77.0)</f>
        <v>77</v>
      </c>
      <c r="K65" s="164">
        <f>IFERROR(__xludf.DUMMYFUNCTION("""COMPUTED_VALUE"""),18.0)</f>
        <v>18</v>
      </c>
      <c r="L65" s="158" t="str">
        <f>IFERROR(__xludf.DUMMYFUNCTION("""COMPUTED_VALUE"""),"Sports")</f>
        <v>Sports</v>
      </c>
      <c r="M65" s="158"/>
      <c r="N65" s="158"/>
      <c r="O65" s="158"/>
      <c r="P65" s="158"/>
      <c r="Q65" s="158"/>
      <c r="R65" s="159" t="str">
        <f>IFERROR(__xludf.DUMMYFUNCTION("""COMPUTED_VALUE"""),"Active")</f>
        <v>Active</v>
      </c>
      <c r="S65" s="160">
        <f>IFERROR(__xludf.DUMMYFUNCTION("""COMPUTED_VALUE"""),45547.0)</f>
        <v>45547</v>
      </c>
      <c r="T65" s="162">
        <f>IFERROR(__xludf.DUMMYFUNCTION("""COMPUTED_VALUE"""),0.03333333333333333)</f>
        <v>0.03333333333</v>
      </c>
    </row>
    <row r="66">
      <c r="A66" s="158" t="str">
        <f>IFERROR(__xludf.DUMMYFUNCTION("""COMPUTED_VALUE"""),"Expeditions: A MudRunner Game")</f>
        <v>Expeditions: A MudRunner Game</v>
      </c>
      <c r="B66" s="158" t="str">
        <f>IFERROR(__xludf.DUMMYFUNCTION("""COMPUTED_VALUE"""),"Xbox / PC")</f>
        <v>Xbox / PC</v>
      </c>
      <c r="C66" s="158" t="str">
        <f>IFERROR(__xludf.DUMMYFUNCTION("""COMPUTED_VALUE"""),"Yes")</f>
        <v>Yes</v>
      </c>
      <c r="D66" s="159" t="str">
        <f>IFERROR(__xludf.DUMMYFUNCTION("""COMPUTED_VALUE"""),"Active")</f>
        <v>Active</v>
      </c>
      <c r="E66" s="160">
        <f>IFERROR(__xludf.DUMMYFUNCTION("""COMPUTED_VALUE"""),45540.0)</f>
        <v>45540</v>
      </c>
      <c r="F66" s="161"/>
      <c r="G66" s="162">
        <f>IFERROR(__xludf.DUMMYFUNCTION("""COMPUTED_VALUE"""),13.333333333333334)</f>
        <v>13.33333333</v>
      </c>
      <c r="H66" s="163">
        <f>IFERROR(__xludf.DUMMYFUNCTION("""COMPUTED_VALUE"""),45356.0)</f>
        <v>45356</v>
      </c>
      <c r="I66" s="162">
        <f>IFERROR(__xludf.DUMMYFUNCTION("""COMPUTED_VALUE"""),0.5)</f>
        <v>0.5</v>
      </c>
      <c r="J66" s="164">
        <f>IFERROR(__xludf.DUMMYFUNCTION("""COMPUTED_VALUE"""),77.0)</f>
        <v>77</v>
      </c>
      <c r="K66" s="164">
        <f>IFERROR(__xludf.DUMMYFUNCTION("""COMPUTED_VALUE"""),50.0)</f>
        <v>50</v>
      </c>
      <c r="L66" s="158" t="str">
        <f>IFERROR(__xludf.DUMMYFUNCTION("""COMPUTED_VALUE"""),"Simulation")</f>
        <v>Simulation</v>
      </c>
      <c r="M66" s="158"/>
      <c r="N66" s="158"/>
      <c r="O66" s="158"/>
      <c r="P66" s="158"/>
      <c r="Q66" s="158"/>
      <c r="R66" s="159" t="str">
        <f>IFERROR(__xludf.DUMMYFUNCTION("""COMPUTED_VALUE"""),"Active")</f>
        <v>Active</v>
      </c>
      <c r="S66" s="160">
        <f>IFERROR(__xludf.DUMMYFUNCTION("""COMPUTED_VALUE"""),45547.0)</f>
        <v>45547</v>
      </c>
      <c r="T66" s="162">
        <f>IFERROR(__xludf.DUMMYFUNCTION("""COMPUTED_VALUE"""),0.23333333333333334)</f>
        <v>0.2333333333</v>
      </c>
    </row>
    <row r="67">
      <c r="A67" s="158" t="str">
        <f>IFERROR(__xludf.DUMMYFUNCTION("""COMPUTED_VALUE"""),"DOOM + DOOM II: Enhanced")</f>
        <v>DOOM + DOOM II: Enhanced</v>
      </c>
      <c r="B67" s="158" t="str">
        <f>IFERROR(__xludf.DUMMYFUNCTION("""COMPUTED_VALUE"""),"Xbox / PC")</f>
        <v>Xbox / PC</v>
      </c>
      <c r="C67" s="158" t="str">
        <f>IFERROR(__xludf.DUMMYFUNCTION("""COMPUTED_VALUE"""),"Yes")</f>
        <v>Yes</v>
      </c>
      <c r="D67" s="159" t="str">
        <f>IFERROR(__xludf.DUMMYFUNCTION("""COMPUTED_VALUE"""),"Active")</f>
        <v>Active</v>
      </c>
      <c r="E67" s="160">
        <f>IFERROR(__xludf.DUMMYFUNCTION("""COMPUTED_VALUE"""),45512.0)</f>
        <v>45512</v>
      </c>
      <c r="F67" s="161"/>
      <c r="G67" s="162">
        <f>IFERROR(__xludf.DUMMYFUNCTION("""COMPUTED_VALUE"""),14.233333333333334)</f>
        <v>14.23333333</v>
      </c>
      <c r="H67" s="163">
        <f>IFERROR(__xludf.DUMMYFUNCTION("""COMPUTED_VALUE"""),45512.0)</f>
        <v>45512</v>
      </c>
      <c r="I67" s="162">
        <f>IFERROR(__xludf.DUMMYFUNCTION("""COMPUTED_VALUE"""),0.0)</f>
        <v>0</v>
      </c>
      <c r="J67" s="164">
        <f>IFERROR(__xludf.DUMMYFUNCTION("""COMPUTED_VALUE"""),82.0)</f>
        <v>82</v>
      </c>
      <c r="K67" s="164">
        <f>IFERROR(__xludf.DUMMYFUNCTION("""COMPUTED_VALUE"""),12.0)</f>
        <v>12</v>
      </c>
      <c r="L67" s="158" t="str">
        <f>IFERROR(__xludf.DUMMYFUNCTION("""COMPUTED_VALUE"""),"Shooter")</f>
        <v>Shooter</v>
      </c>
      <c r="M67" s="158"/>
      <c r="N67" s="158" t="str">
        <f>IFERROR(__xludf.DUMMYFUNCTION("""COMPUTED_VALUE"""),"Enhanced versions")</f>
        <v>Enhanced versions</v>
      </c>
      <c r="O67" s="158"/>
      <c r="P67" s="158"/>
      <c r="Q67" s="158"/>
      <c r="R67" s="159" t="str">
        <f>IFERROR(__xludf.DUMMYFUNCTION("""COMPUTED_VALUE"""),"Active")</f>
        <v>Active</v>
      </c>
      <c r="S67" s="160">
        <f>IFERROR(__xludf.DUMMYFUNCTION("""COMPUTED_VALUE"""),45547.0)</f>
        <v>45547</v>
      </c>
      <c r="T67" s="162">
        <f>IFERROR(__xludf.DUMMYFUNCTION("""COMPUTED_VALUE"""),1.1333333333333333)</f>
        <v>1.133333333</v>
      </c>
    </row>
    <row r="68">
      <c r="A68" s="158" t="str">
        <f>IFERROR(__xludf.DUMMYFUNCTION("""COMPUTED_VALUE"""),"Atlas Fallen: Reign of Sand")</f>
        <v>Atlas Fallen: Reign of Sand</v>
      </c>
      <c r="B68" s="158" t="str">
        <f>IFERROR(__xludf.DUMMYFUNCTION("""COMPUTED_VALUE"""),"Xbox / PC")</f>
        <v>Xbox / PC</v>
      </c>
      <c r="C68" s="158" t="str">
        <f>IFERROR(__xludf.DUMMYFUNCTION("""COMPUTED_VALUE"""),"Yes")</f>
        <v>Yes</v>
      </c>
      <c r="D68" s="159" t="str">
        <f>IFERROR(__xludf.DUMMYFUNCTION("""COMPUTED_VALUE"""),"Active")</f>
        <v>Active</v>
      </c>
      <c r="E68" s="160">
        <f>IFERROR(__xludf.DUMMYFUNCTION("""COMPUTED_VALUE"""),45526.0)</f>
        <v>45526</v>
      </c>
      <c r="F68" s="161"/>
      <c r="G68" s="162">
        <f>IFERROR(__xludf.DUMMYFUNCTION("""COMPUTED_VALUE"""),13.766666666666666)</f>
        <v>13.76666667</v>
      </c>
      <c r="H68" s="163">
        <f>IFERROR(__xludf.DUMMYFUNCTION("""COMPUTED_VALUE"""),45148.0)</f>
        <v>45148</v>
      </c>
      <c r="I68" s="162">
        <f>IFERROR(__xludf.DUMMYFUNCTION("""COMPUTED_VALUE"""),1.0333333333333334)</f>
        <v>1.033333333</v>
      </c>
      <c r="J68" s="164">
        <f>IFERROR(__xludf.DUMMYFUNCTION("""COMPUTED_VALUE"""),64.0)</f>
        <v>64</v>
      </c>
      <c r="K68" s="164">
        <f>IFERROR(__xludf.DUMMYFUNCTION("""COMPUTED_VALUE"""),11.0)</f>
        <v>11</v>
      </c>
      <c r="L68" s="158" t="str">
        <f>IFERROR(__xludf.DUMMYFUNCTION("""COMPUTED_VALUE"""),"RPG")</f>
        <v>RPG</v>
      </c>
      <c r="M68" s="158" t="str">
        <f>IFERROR(__xludf.DUMMYFUNCTION("""COMPUTED_VALUE"""),"Exclusive")</f>
        <v>Exclusive</v>
      </c>
      <c r="N68" s="158"/>
      <c r="O68" s="158"/>
      <c r="P68" s="158"/>
      <c r="Q68" s="158"/>
      <c r="R68" s="159" t="str">
        <f>IFERROR(__xludf.DUMMYFUNCTION("""COMPUTED_VALUE"""),"Active")</f>
        <v>Active</v>
      </c>
      <c r="S68" s="160">
        <f>IFERROR(__xludf.DUMMYFUNCTION("""COMPUTED_VALUE"""),45547.0)</f>
        <v>45547</v>
      </c>
      <c r="T68" s="162">
        <f>IFERROR(__xludf.DUMMYFUNCTION("""COMPUTED_VALUE"""),0.6666666666666666)</f>
        <v>0.6666666667</v>
      </c>
    </row>
    <row r="69">
      <c r="A69" s="158" t="str">
        <f>IFERROR(__xludf.DUMMYFUNCTION("""COMPUTED_VALUE"""),"Crash Bandicoot N. Sane Trilogy")</f>
        <v>Crash Bandicoot N. Sane Trilogy</v>
      </c>
      <c r="B69" s="158" t="str">
        <f>IFERROR(__xludf.DUMMYFUNCTION("""COMPUTED_VALUE"""),"Xbox / PC")</f>
        <v>Xbox / PC</v>
      </c>
      <c r="C69" s="158" t="str">
        <f>IFERROR(__xludf.DUMMYFUNCTION("""COMPUTED_VALUE"""),"Yes")</f>
        <v>Yes</v>
      </c>
      <c r="D69" s="159" t="str">
        <f>IFERROR(__xludf.DUMMYFUNCTION("""COMPUTED_VALUE"""),"Active")</f>
        <v>Active</v>
      </c>
      <c r="E69" s="160">
        <f>IFERROR(__xludf.DUMMYFUNCTION("""COMPUTED_VALUE"""),45512.0)</f>
        <v>45512</v>
      </c>
      <c r="F69" s="161"/>
      <c r="G69" s="162">
        <f>IFERROR(__xludf.DUMMYFUNCTION("""COMPUTED_VALUE"""),14.233333333333334)</f>
        <v>14.23333333</v>
      </c>
      <c r="H69" s="163">
        <f>IFERROR(__xludf.DUMMYFUNCTION("""COMPUTED_VALUE"""),42916.0)</f>
        <v>42916</v>
      </c>
      <c r="I69" s="162">
        <f>IFERROR(__xludf.DUMMYFUNCTION("""COMPUTED_VALUE"""),7.105555555555555)</f>
        <v>7.105555556</v>
      </c>
      <c r="J69" s="164">
        <f>IFERROR(__xludf.DUMMYFUNCTION("""COMPUTED_VALUE"""),80.0)</f>
        <v>80</v>
      </c>
      <c r="K69" s="164">
        <f>IFERROR(__xludf.DUMMYFUNCTION("""COMPUTED_VALUE"""),15.0)</f>
        <v>15</v>
      </c>
      <c r="L69" s="158" t="str">
        <f>IFERROR(__xludf.DUMMYFUNCTION("""COMPUTED_VALUE"""),"Platformer")</f>
        <v>Platformer</v>
      </c>
      <c r="M69" s="158"/>
      <c r="N69" s="158"/>
      <c r="O69" s="158"/>
      <c r="P69" s="158"/>
      <c r="Q69" s="158"/>
      <c r="R69" s="159" t="str">
        <f>IFERROR(__xludf.DUMMYFUNCTION("""COMPUTED_VALUE"""),"Active")</f>
        <v>Active</v>
      </c>
      <c r="S69" s="160">
        <f>IFERROR(__xludf.DUMMYFUNCTION("""COMPUTED_VALUE"""),45547.0)</f>
        <v>45547</v>
      </c>
      <c r="T69" s="162">
        <f>IFERROR(__xludf.DUMMYFUNCTION("""COMPUTED_VALUE"""),1.1333333333333333)</f>
        <v>1.133333333</v>
      </c>
    </row>
    <row r="70">
      <c r="A70" s="158" t="str">
        <f>IFERROR(__xludf.DUMMYFUNCTION("""COMPUTED_VALUE"""),"Cricket 24")</f>
        <v>Cricket 24</v>
      </c>
      <c r="B70" s="158" t="str">
        <f>IFERROR(__xludf.DUMMYFUNCTION("""COMPUTED_VALUE"""),"Xbox / PC")</f>
        <v>Xbox / PC</v>
      </c>
      <c r="C70" s="158" t="str">
        <f>IFERROR(__xludf.DUMMYFUNCTION("""COMPUTED_VALUE"""),"Yes")</f>
        <v>Yes</v>
      </c>
      <c r="D70" s="159" t="str">
        <f>IFERROR(__xludf.DUMMYFUNCTION("""COMPUTED_VALUE"""),"Active")</f>
        <v>Active</v>
      </c>
      <c r="E70" s="160">
        <f>IFERROR(__xludf.DUMMYFUNCTION("""COMPUTED_VALUE"""),45482.0)</f>
        <v>45482</v>
      </c>
      <c r="F70" s="161"/>
      <c r="G70" s="162">
        <f>IFERROR(__xludf.DUMMYFUNCTION("""COMPUTED_VALUE"""),15.2)</f>
        <v>15.2</v>
      </c>
      <c r="H70" s="163">
        <f>IFERROR(__xludf.DUMMYFUNCTION("""COMPUTED_VALUE"""),45204.0)</f>
        <v>45204</v>
      </c>
      <c r="I70" s="162">
        <f>IFERROR(__xludf.DUMMYFUNCTION("""COMPUTED_VALUE"""),0.7611111111111111)</f>
        <v>0.7611111111</v>
      </c>
      <c r="J70" s="164">
        <f>IFERROR(__xludf.DUMMYFUNCTION("""COMPUTED_VALUE"""),57.0)</f>
        <v>57</v>
      </c>
      <c r="K70" s="164">
        <f>IFERROR(__xludf.DUMMYFUNCTION("""COMPUTED_VALUE"""),15.0)</f>
        <v>15</v>
      </c>
      <c r="L70" s="158" t="str">
        <f>IFERROR(__xludf.DUMMYFUNCTION("""COMPUTED_VALUE"""),"Sports")</f>
        <v>Sports</v>
      </c>
      <c r="M70" s="158"/>
      <c r="N70" s="158"/>
      <c r="O70" s="158" t="str">
        <f>IFERROR(__xludf.DUMMYFUNCTION("""COMPUTED_VALUE"""),"RP")</f>
        <v>RP</v>
      </c>
      <c r="P70" s="158"/>
      <c r="Q70" s="158"/>
      <c r="R70" s="159" t="str">
        <f>IFERROR(__xludf.DUMMYFUNCTION("""COMPUTED_VALUE"""),"Active")</f>
        <v>Active</v>
      </c>
      <c r="S70" s="160">
        <f>IFERROR(__xludf.DUMMYFUNCTION("""COMPUTED_VALUE"""),45547.0)</f>
        <v>45547</v>
      </c>
      <c r="T70" s="162">
        <f>IFERROR(__xludf.DUMMYFUNCTION("""COMPUTED_VALUE"""),2.0999999999999996)</f>
        <v>2.1</v>
      </c>
    </row>
    <row r="71">
      <c r="A71" s="158" t="str">
        <f>IFERROR(__xludf.DUMMYFUNCTION("""COMPUTED_VALUE"""),"Nickelodeon All-Star Brawl 2")</f>
        <v>Nickelodeon All-Star Brawl 2</v>
      </c>
      <c r="B71" s="158" t="str">
        <f>IFERROR(__xludf.DUMMYFUNCTION("""COMPUTED_VALUE"""),"Xbox / PC")</f>
        <v>Xbox / PC</v>
      </c>
      <c r="C71" s="158" t="str">
        <f>IFERROR(__xludf.DUMMYFUNCTION("""COMPUTED_VALUE"""),"Yes")</f>
        <v>Yes</v>
      </c>
      <c r="D71" s="159" t="str">
        <f>IFERROR(__xludf.DUMMYFUNCTION("""COMPUTED_VALUE"""),"Active")</f>
        <v>Active</v>
      </c>
      <c r="E71" s="160">
        <f>IFERROR(__xludf.DUMMYFUNCTION("""COMPUTED_VALUE"""),45476.0)</f>
        <v>45476</v>
      </c>
      <c r="F71" s="161"/>
      <c r="G71" s="162">
        <f>IFERROR(__xludf.DUMMYFUNCTION("""COMPUTED_VALUE"""),15.400000000000002)</f>
        <v>15.4</v>
      </c>
      <c r="H71" s="163">
        <f>IFERROR(__xludf.DUMMYFUNCTION("""COMPUTED_VALUE"""),45237.0)</f>
        <v>45237</v>
      </c>
      <c r="I71" s="162">
        <f>IFERROR(__xludf.DUMMYFUNCTION("""COMPUTED_VALUE"""),0.6555555555555556)</f>
        <v>0.6555555556</v>
      </c>
      <c r="J71" s="164">
        <f>IFERROR(__xludf.DUMMYFUNCTION("""COMPUTED_VALUE"""),77.0)</f>
        <v>77</v>
      </c>
      <c r="K71" s="164">
        <f>IFERROR(__xludf.DUMMYFUNCTION("""COMPUTED_VALUE"""),4.0)</f>
        <v>4</v>
      </c>
      <c r="L71" s="158" t="str">
        <f>IFERROR(__xludf.DUMMYFUNCTION("""COMPUTED_VALUE"""),"Fighting")</f>
        <v>Fighting</v>
      </c>
      <c r="M71" s="158"/>
      <c r="N71" s="158"/>
      <c r="O71" s="158" t="str">
        <f>IFERROR(__xludf.DUMMYFUNCTION("""COMPUTED_VALUE"""),"E10+")</f>
        <v>E10+</v>
      </c>
      <c r="P71" s="158" t="str">
        <f>IFERROR(__xludf.DUMMYFUNCTION("""COMPUTED_VALUE"""),"Comic Mischief, Fantasy Violence")</f>
        <v>Comic Mischief, Fantasy Violence</v>
      </c>
      <c r="Q71" s="158"/>
      <c r="R71" s="159" t="str">
        <f>IFERROR(__xludf.DUMMYFUNCTION("""COMPUTED_VALUE"""),"Active")</f>
        <v>Active</v>
      </c>
      <c r="S71" s="160">
        <f>IFERROR(__xludf.DUMMYFUNCTION("""COMPUTED_VALUE"""),45547.0)</f>
        <v>45547</v>
      </c>
      <c r="T71" s="162">
        <f>IFERROR(__xludf.DUMMYFUNCTION("""COMPUTED_VALUE"""),2.3000000000000003)</f>
        <v>2.3</v>
      </c>
    </row>
    <row r="72">
      <c r="A72" s="158" t="str">
        <f>IFERROR(__xludf.DUMMYFUNCTION("""COMPUTED_VALUE"""),"EA Sports FC 24")</f>
        <v>EA Sports FC 24</v>
      </c>
      <c r="B72" s="158" t="str">
        <f>IFERROR(__xludf.DUMMYFUNCTION("""COMPUTED_VALUE"""),"Xbox / PC")</f>
        <v>Xbox / PC</v>
      </c>
      <c r="C72" s="158" t="str">
        <f>IFERROR(__xludf.DUMMYFUNCTION("""COMPUTED_VALUE"""),"Yes")</f>
        <v>Yes</v>
      </c>
      <c r="D72" s="159" t="str">
        <f>IFERROR(__xludf.DUMMYFUNCTION("""COMPUTED_VALUE"""),"Active")</f>
        <v>Active</v>
      </c>
      <c r="E72" s="160">
        <f>IFERROR(__xludf.DUMMYFUNCTION("""COMPUTED_VALUE"""),45468.0)</f>
        <v>45468</v>
      </c>
      <c r="F72" s="161"/>
      <c r="G72" s="162">
        <f>IFERROR(__xludf.DUMMYFUNCTION("""COMPUTED_VALUE"""),15.666666666666668)</f>
        <v>15.66666667</v>
      </c>
      <c r="H72" s="163">
        <f>IFERROR(__xludf.DUMMYFUNCTION("""COMPUTED_VALUE"""),45198.0)</f>
        <v>45198</v>
      </c>
      <c r="I72" s="162">
        <f>IFERROR(__xludf.DUMMYFUNCTION("""COMPUTED_VALUE"""),0.7388888888888889)</f>
        <v>0.7388888889</v>
      </c>
      <c r="J72" s="164">
        <f>IFERROR(__xludf.DUMMYFUNCTION("""COMPUTED_VALUE"""),75.0)</f>
        <v>75</v>
      </c>
      <c r="K72" s="164">
        <f>IFERROR(__xludf.DUMMYFUNCTION("""COMPUTED_VALUE"""),34.0)</f>
        <v>34</v>
      </c>
      <c r="L72" s="158" t="str">
        <f>IFERROR(__xludf.DUMMYFUNCTION("""COMPUTED_VALUE"""),"Sports")</f>
        <v>Sports</v>
      </c>
      <c r="M72" s="158"/>
      <c r="N72" s="158"/>
      <c r="O72" s="158" t="str">
        <f>IFERROR(__xludf.DUMMYFUNCTION("""COMPUTED_VALUE"""),"E")</f>
        <v>E</v>
      </c>
      <c r="P72" s="158"/>
      <c r="Q72" s="158"/>
      <c r="R72" s="159" t="str">
        <f>IFERROR(__xludf.DUMMYFUNCTION("""COMPUTED_VALUE"""),"Active")</f>
        <v>Active</v>
      </c>
      <c r="S72" s="160">
        <f>IFERROR(__xludf.DUMMYFUNCTION("""COMPUTED_VALUE"""),45547.0)</f>
        <v>45547</v>
      </c>
      <c r="T72" s="162">
        <f>IFERROR(__xludf.DUMMYFUNCTION("""COMPUTED_VALUE"""),2.5666666666666664)</f>
        <v>2.566666667</v>
      </c>
    </row>
    <row r="73">
      <c r="A73" s="158" t="str">
        <f>IFERROR(__xludf.DUMMYFUNCTION("""COMPUTED_VALUE"""),"Octopath Traveler")</f>
        <v>Octopath Traveler</v>
      </c>
      <c r="B73" s="158" t="str">
        <f>IFERROR(__xludf.DUMMYFUNCTION("""COMPUTED_VALUE"""),"Xbox / PC")</f>
        <v>Xbox / PC</v>
      </c>
      <c r="C73" s="158" t="str">
        <f>IFERROR(__xludf.DUMMYFUNCTION("""COMPUTED_VALUE"""),"Touch Controls")</f>
        <v>Touch Controls</v>
      </c>
      <c r="D73" s="159" t="str">
        <f>IFERROR(__xludf.DUMMYFUNCTION("""COMPUTED_VALUE"""),"Active")</f>
        <v>Active</v>
      </c>
      <c r="E73" s="160">
        <f>IFERROR(__xludf.DUMMYFUNCTION("""COMPUTED_VALUE"""),45449.0)</f>
        <v>45449</v>
      </c>
      <c r="F73" s="161"/>
      <c r="G73" s="162">
        <f>IFERROR(__xludf.DUMMYFUNCTION("""COMPUTED_VALUE"""),16.3)</f>
        <v>16.3</v>
      </c>
      <c r="H73" s="163">
        <f>IFERROR(__xludf.DUMMYFUNCTION("""COMPUTED_VALUE"""),43293.0)</f>
        <v>43293</v>
      </c>
      <c r="I73" s="162">
        <f>IFERROR(__xludf.DUMMYFUNCTION("""COMPUTED_VALUE"""),5.9)</f>
        <v>5.9</v>
      </c>
      <c r="J73" s="164">
        <f>IFERROR(__xludf.DUMMYFUNCTION("""COMPUTED_VALUE"""),83.0)</f>
        <v>83</v>
      </c>
      <c r="K73" s="164">
        <f>IFERROR(__xludf.DUMMYFUNCTION("""COMPUTED_VALUE"""),61.0)</f>
        <v>61</v>
      </c>
      <c r="L73" s="158" t="str">
        <f>IFERROR(__xludf.DUMMYFUNCTION("""COMPUTED_VALUE"""),"RPG")</f>
        <v>RPG</v>
      </c>
      <c r="M73" s="158"/>
      <c r="N73" s="158" t="str">
        <f>IFERROR(__xludf.DUMMYFUNCTION("""COMPUTED_VALUE"""),"Returning title: Originally joined 3/25/21, left 2/28/23")</f>
        <v>Returning title: Originally joined 3/25/21, left 2/28/23</v>
      </c>
      <c r="O73" s="158" t="str">
        <f>IFERROR(__xludf.DUMMYFUNCTION("""COMPUTED_VALUE"""),"T")</f>
        <v>T</v>
      </c>
      <c r="P73" s="158" t="str">
        <f>IFERROR(__xludf.DUMMYFUNCTION("""COMPUTED_VALUE"""),"Blood, Fantasy Violence, Mild Language, Suggestive Themes, Use of Alcohol")</f>
        <v>Blood, Fantasy Violence, Mild Language, Suggestive Themes, Use of Alcohol</v>
      </c>
      <c r="Q73" s="158"/>
      <c r="R73" s="159" t="str">
        <f>IFERROR(__xludf.DUMMYFUNCTION("""COMPUTED_VALUE"""),"Active")</f>
        <v>Active</v>
      </c>
      <c r="S73" s="160">
        <f>IFERROR(__xludf.DUMMYFUNCTION("""COMPUTED_VALUE"""),45547.0)</f>
        <v>45547</v>
      </c>
      <c r="T73" s="162">
        <f>IFERROR(__xludf.DUMMYFUNCTION("""COMPUTED_VALUE"""),3.2)</f>
        <v>3.2</v>
      </c>
    </row>
    <row r="74">
      <c r="A74" s="158" t="str">
        <f>IFERROR(__xludf.DUMMYFUNCTION("""COMPUTED_VALUE"""),"Lords of the Fallen")</f>
        <v>Lords of the Fallen</v>
      </c>
      <c r="B74" s="158" t="str">
        <f>IFERROR(__xludf.DUMMYFUNCTION("""COMPUTED_VALUE"""),"Xbox / PC")</f>
        <v>Xbox / PC</v>
      </c>
      <c r="C74" s="158" t="str">
        <f>IFERROR(__xludf.DUMMYFUNCTION("""COMPUTED_VALUE"""),"Yes")</f>
        <v>Yes</v>
      </c>
      <c r="D74" s="159" t="str">
        <f>IFERROR(__xludf.DUMMYFUNCTION("""COMPUTED_VALUE"""),"Active")</f>
        <v>Active</v>
      </c>
      <c r="E74" s="160">
        <f>IFERROR(__xludf.DUMMYFUNCTION("""COMPUTED_VALUE"""),45442.0)</f>
        <v>45442</v>
      </c>
      <c r="F74" s="161"/>
      <c r="G74" s="162">
        <f>IFERROR(__xludf.DUMMYFUNCTION("""COMPUTED_VALUE"""),16.5)</f>
        <v>16.5</v>
      </c>
      <c r="H74" s="163">
        <f>IFERROR(__xludf.DUMMYFUNCTION("""COMPUTED_VALUE"""),45212.0)</f>
        <v>45212</v>
      </c>
      <c r="I74" s="162">
        <f>IFERROR(__xludf.DUMMYFUNCTION("""COMPUTED_VALUE"""),0.6305555555555555)</f>
        <v>0.6305555556</v>
      </c>
      <c r="J74" s="164">
        <f>IFERROR(__xludf.DUMMYFUNCTION("""COMPUTED_VALUE"""),75.0)</f>
        <v>75</v>
      </c>
      <c r="K74" s="164">
        <f>IFERROR(__xludf.DUMMYFUNCTION("""COMPUTED_VALUE"""),15.0)</f>
        <v>15</v>
      </c>
      <c r="L74" s="158" t="str">
        <f>IFERROR(__xludf.DUMMYFUNCTION("""COMPUTED_VALUE"""),"RPG")</f>
        <v>RPG</v>
      </c>
      <c r="M74" s="158" t="str">
        <f>IFERROR(__xludf.DUMMYFUNCTION("""COMPUTED_VALUE"""),"Exclusive")</f>
        <v>Exclusive</v>
      </c>
      <c r="N74" s="158"/>
      <c r="O74" s="158" t="str">
        <f>IFERROR(__xludf.DUMMYFUNCTION("""COMPUTED_VALUE"""),"M")</f>
        <v>M</v>
      </c>
      <c r="P74" s="158" t="str">
        <f>IFERROR(__xludf.DUMMYFUNCTION("""COMPUTED_VALUE"""),"Blood and Gore, Partial Nudity, Strong Language, Violence")</f>
        <v>Blood and Gore, Partial Nudity, Strong Language, Violence</v>
      </c>
      <c r="Q74" s="158"/>
      <c r="R74" s="159" t="str">
        <f>IFERROR(__xludf.DUMMYFUNCTION("""COMPUTED_VALUE"""),"Active")</f>
        <v>Active</v>
      </c>
      <c r="S74" s="160">
        <f>IFERROR(__xludf.DUMMYFUNCTION("""COMPUTED_VALUE"""),45547.0)</f>
        <v>45547</v>
      </c>
      <c r="T74" s="162">
        <f>IFERROR(__xludf.DUMMYFUNCTION("""COMPUTED_VALUE"""),3.4)</f>
        <v>3.4</v>
      </c>
    </row>
    <row r="75">
      <c r="A75" s="158" t="str">
        <f>IFERROR(__xludf.DUMMYFUNCTION("""COMPUTED_VALUE"""),"Moving Out 2")</f>
        <v>Moving Out 2</v>
      </c>
      <c r="B75" s="158" t="str">
        <f>IFERROR(__xludf.DUMMYFUNCTION("""COMPUTED_VALUE"""),"Xbox / PC")</f>
        <v>Xbox / PC</v>
      </c>
      <c r="C75" s="158" t="str">
        <f>IFERROR(__xludf.DUMMYFUNCTION("""COMPUTED_VALUE"""),"Yes")</f>
        <v>Yes</v>
      </c>
      <c r="D75" s="159" t="str">
        <f>IFERROR(__xludf.DUMMYFUNCTION("""COMPUTED_VALUE"""),"Active")</f>
        <v>Active</v>
      </c>
      <c r="E75" s="160">
        <f>IFERROR(__xludf.DUMMYFUNCTION("""COMPUTED_VALUE"""),45440.0)</f>
        <v>45440</v>
      </c>
      <c r="F75" s="161"/>
      <c r="G75" s="162">
        <f>IFERROR(__xludf.DUMMYFUNCTION("""COMPUTED_VALUE"""),16.566666666666666)</f>
        <v>16.56666667</v>
      </c>
      <c r="H75" s="163">
        <f>IFERROR(__xludf.DUMMYFUNCTION("""COMPUTED_VALUE"""),45153.0)</f>
        <v>45153</v>
      </c>
      <c r="I75" s="162">
        <f>IFERROR(__xludf.DUMMYFUNCTION("""COMPUTED_VALUE"""),0.7861111111111111)</f>
        <v>0.7861111111</v>
      </c>
      <c r="J75" s="164">
        <f>IFERROR(__xludf.DUMMYFUNCTION("""COMPUTED_VALUE"""),80.0)</f>
        <v>80</v>
      </c>
      <c r="K75" s="164">
        <f>IFERROR(__xludf.DUMMYFUNCTION("""COMPUTED_VALUE"""),10.0)</f>
        <v>10</v>
      </c>
      <c r="L75" s="158" t="str">
        <f>IFERROR(__xludf.DUMMYFUNCTION("""COMPUTED_VALUE"""),"Simulation")</f>
        <v>Simulation</v>
      </c>
      <c r="M75" s="158" t="str">
        <f>IFERROR(__xludf.DUMMYFUNCTION("""COMPUTED_VALUE"""),"Exclusive")</f>
        <v>Exclusive</v>
      </c>
      <c r="N75" s="158"/>
      <c r="O75" s="158" t="str">
        <f>IFERROR(__xludf.DUMMYFUNCTION("""COMPUTED_VALUE"""),"E")</f>
        <v>E</v>
      </c>
      <c r="P75" s="158" t="str">
        <f>IFERROR(__xludf.DUMMYFUNCTION("""COMPUTED_VALUE"""),"Crude Humor")</f>
        <v>Crude Humor</v>
      </c>
      <c r="Q75" s="158"/>
      <c r="R75" s="159" t="str">
        <f>IFERROR(__xludf.DUMMYFUNCTION("""COMPUTED_VALUE"""),"Active")</f>
        <v>Active</v>
      </c>
      <c r="S75" s="160">
        <f>IFERROR(__xludf.DUMMYFUNCTION("""COMPUTED_VALUE"""),45547.0)</f>
        <v>45547</v>
      </c>
      <c r="T75" s="162">
        <f>IFERROR(__xludf.DUMMYFUNCTION("""COMPUTED_VALUE"""),3.4666666666666663)</f>
        <v>3.466666667</v>
      </c>
    </row>
    <row r="76">
      <c r="A76" s="158" t="str">
        <f>IFERROR(__xludf.DUMMYFUNCTION("""COMPUTED_VALUE"""),"Immortals of Aveum")</f>
        <v>Immortals of Aveum</v>
      </c>
      <c r="B76" s="158" t="str">
        <f>IFERROR(__xludf.DUMMYFUNCTION("""COMPUTED_VALUE"""),"Xbox / PC")</f>
        <v>Xbox / PC</v>
      </c>
      <c r="C76" s="158" t="str">
        <f>IFERROR(__xludf.DUMMYFUNCTION("""COMPUTED_VALUE"""),"Yes")</f>
        <v>Yes</v>
      </c>
      <c r="D76" s="159" t="str">
        <f>IFERROR(__xludf.DUMMYFUNCTION("""COMPUTED_VALUE"""),"Active")</f>
        <v>Active</v>
      </c>
      <c r="E76" s="160">
        <f>IFERROR(__xludf.DUMMYFUNCTION("""COMPUTED_VALUE"""),45427.0)</f>
        <v>45427</v>
      </c>
      <c r="F76" s="161"/>
      <c r="G76" s="162">
        <f>IFERROR(__xludf.DUMMYFUNCTION("""COMPUTED_VALUE"""),17.0)</f>
        <v>17</v>
      </c>
      <c r="H76" s="163">
        <f>IFERROR(__xludf.DUMMYFUNCTION("""COMPUTED_VALUE"""),45160.0)</f>
        <v>45160</v>
      </c>
      <c r="I76" s="162">
        <f>IFERROR(__xludf.DUMMYFUNCTION("""COMPUTED_VALUE"""),0.7305555555555555)</f>
        <v>0.7305555556</v>
      </c>
      <c r="J76" s="164">
        <f>IFERROR(__xludf.DUMMYFUNCTION("""COMPUTED_VALUE"""),69.0)</f>
        <v>69</v>
      </c>
      <c r="K76" s="164">
        <f>IFERROR(__xludf.DUMMYFUNCTION("""COMPUTED_VALUE"""),15.0)</f>
        <v>15</v>
      </c>
      <c r="L76" s="158" t="str">
        <f>IFERROR(__xludf.DUMMYFUNCTION("""COMPUTED_VALUE"""),"Shooter")</f>
        <v>Shooter</v>
      </c>
      <c r="M76" s="158" t="str">
        <f>IFERROR(__xludf.DUMMYFUNCTION("""COMPUTED_VALUE"""),"Exclusive")</f>
        <v>Exclusive</v>
      </c>
      <c r="N76" s="158"/>
      <c r="O76" s="158" t="str">
        <f>IFERROR(__xludf.DUMMYFUNCTION("""COMPUTED_VALUE"""),"M")</f>
        <v>M</v>
      </c>
      <c r="P76" s="158" t="str">
        <f>IFERROR(__xludf.DUMMYFUNCTION("""COMPUTED_VALUE"""),"Blood, Strong Language, Violence")</f>
        <v>Blood, Strong Language, Violence</v>
      </c>
      <c r="Q76" s="158"/>
      <c r="R76" s="159" t="str">
        <f>IFERROR(__xludf.DUMMYFUNCTION("""COMPUTED_VALUE"""),"Active")</f>
        <v>Active</v>
      </c>
      <c r="S76" s="160">
        <f>IFERROR(__xludf.DUMMYFUNCTION("""COMPUTED_VALUE"""),45547.0)</f>
        <v>45547</v>
      </c>
      <c r="T76" s="162">
        <f>IFERROR(__xludf.DUMMYFUNCTION("""COMPUTED_VALUE"""),3.9000000000000004)</f>
        <v>3.9</v>
      </c>
    </row>
    <row r="77">
      <c r="A77" s="158" t="str">
        <f>IFERROR(__xludf.DUMMYFUNCTION("""COMPUTED_VALUE"""),"Kona II: Brume")</f>
        <v>Kona II: Brume</v>
      </c>
      <c r="B77" s="158" t="str">
        <f>IFERROR(__xludf.DUMMYFUNCTION("""COMPUTED_VALUE"""),"Xbox / PC")</f>
        <v>Xbox / PC</v>
      </c>
      <c r="C77" s="158" t="str">
        <f>IFERROR(__xludf.DUMMYFUNCTION("""COMPUTED_VALUE"""),"Yes")</f>
        <v>Yes</v>
      </c>
      <c r="D77" s="159" t="str">
        <f>IFERROR(__xludf.DUMMYFUNCTION("""COMPUTED_VALUE"""),"Active")</f>
        <v>Active</v>
      </c>
      <c r="E77" s="160">
        <f>IFERROR(__xludf.DUMMYFUNCTION("""COMPUTED_VALUE"""),45419.0)</f>
        <v>45419</v>
      </c>
      <c r="F77" s="161"/>
      <c r="G77" s="162">
        <f>IFERROR(__xludf.DUMMYFUNCTION("""COMPUTED_VALUE"""),17.266666666666666)</f>
        <v>17.26666667</v>
      </c>
      <c r="H77" s="163">
        <f>IFERROR(__xludf.DUMMYFUNCTION("""COMPUTED_VALUE"""),45217.0)</f>
        <v>45217</v>
      </c>
      <c r="I77" s="162">
        <f>IFERROR(__xludf.DUMMYFUNCTION("""COMPUTED_VALUE"""),0.5527777777777778)</f>
        <v>0.5527777778</v>
      </c>
      <c r="J77" s="164">
        <f>IFERROR(__xludf.DUMMYFUNCTION("""COMPUTED_VALUE"""),79.0)</f>
        <v>79</v>
      </c>
      <c r="K77" s="164">
        <f>IFERROR(__xludf.DUMMYFUNCTION("""COMPUTED_VALUE"""),8.0)</f>
        <v>8</v>
      </c>
      <c r="L77" s="158" t="str">
        <f>IFERROR(__xludf.DUMMYFUNCTION("""COMPUTED_VALUE"""),"Action-Adventure")</f>
        <v>Action-Adventure</v>
      </c>
      <c r="M77" s="158"/>
      <c r="N77" s="158"/>
      <c r="O77" s="158" t="str">
        <f>IFERROR(__xludf.DUMMYFUNCTION("""COMPUTED_VALUE"""),"RP")</f>
        <v>RP</v>
      </c>
      <c r="P77" s="158"/>
      <c r="Q77" s="158"/>
      <c r="R77" s="159" t="str">
        <f>IFERROR(__xludf.DUMMYFUNCTION("""COMPUTED_VALUE"""),"Active")</f>
        <v>Active</v>
      </c>
      <c r="S77" s="160">
        <f>IFERROR(__xludf.DUMMYFUNCTION("""COMPUTED_VALUE"""),45547.0)</f>
        <v>45547</v>
      </c>
      <c r="T77" s="162">
        <f>IFERROR(__xludf.DUMMYFUNCTION("""COMPUTED_VALUE"""),4.166666666666666)</f>
        <v>4.166666667</v>
      </c>
    </row>
    <row r="78">
      <c r="A78" s="158" t="str">
        <f>IFERROR(__xludf.DUMMYFUNCTION("""COMPUTED_VALUE"""),"Tomb Raider: Definitive Edition")</f>
        <v>Tomb Raider: Definitive Edition</v>
      </c>
      <c r="B78" s="158" t="str">
        <f>IFERROR(__xludf.DUMMYFUNCTION("""COMPUTED_VALUE"""),"Xbox / PC")</f>
        <v>Xbox / PC</v>
      </c>
      <c r="C78" s="158" t="str">
        <f>IFERROR(__xludf.DUMMYFUNCTION("""COMPUTED_VALUE"""),"Yes")</f>
        <v>Yes</v>
      </c>
      <c r="D78" s="159" t="str">
        <f>IFERROR(__xludf.DUMMYFUNCTION("""COMPUTED_VALUE"""),"Active")</f>
        <v>Active</v>
      </c>
      <c r="E78" s="160">
        <f>IFERROR(__xludf.DUMMYFUNCTION("""COMPUTED_VALUE"""),45414.0)</f>
        <v>45414</v>
      </c>
      <c r="F78" s="161"/>
      <c r="G78" s="162">
        <f>IFERROR(__xludf.DUMMYFUNCTION("""COMPUTED_VALUE"""),17.433333333333334)</f>
        <v>17.43333333</v>
      </c>
      <c r="H78" s="163">
        <f>IFERROR(__xludf.DUMMYFUNCTION("""COMPUTED_VALUE"""),41338.0)</f>
        <v>41338</v>
      </c>
      <c r="I78" s="162">
        <f>IFERROR(__xludf.DUMMYFUNCTION("""COMPUTED_VALUE"""),11.158333333333333)</f>
        <v>11.15833333</v>
      </c>
      <c r="J78" s="164">
        <f>IFERROR(__xludf.DUMMYFUNCTION("""COMPUTED_VALUE"""),86.0)</f>
        <v>86</v>
      </c>
      <c r="K78" s="164">
        <f>IFERROR(__xludf.DUMMYFUNCTION("""COMPUTED_VALUE"""),11.5)</f>
        <v>11.5</v>
      </c>
      <c r="L78" s="158" t="str">
        <f>IFERROR(__xludf.DUMMYFUNCTION("""COMPUTED_VALUE"""),"Shooter / Platformer / Action-Adventure")</f>
        <v>Shooter / Platformer / Action-Adventure</v>
      </c>
      <c r="M78" s="158" t="str">
        <f>IFERROR(__xludf.DUMMYFUNCTION("""COMPUTED_VALUE"""),"FPS Boost")</f>
        <v>FPS Boost</v>
      </c>
      <c r="N78" s="158" t="str">
        <f>IFERROR(__xludf.DUMMYFUNCTION("""COMPUTED_VALUE"""),"Returning title: Added 1/1/19, left 1/15/20 (console only)")</f>
        <v>Returning title: Added 1/1/19, left 1/15/20 (console only)</v>
      </c>
      <c r="O78" s="158" t="str">
        <f>IFERROR(__xludf.DUMMYFUNCTION("""COMPUTED_VALUE"""),"M")</f>
        <v>M</v>
      </c>
      <c r="P78" s="158" t="str">
        <f>IFERROR(__xludf.DUMMYFUNCTION("""COMPUTED_VALUE"""),"Blood and Gore, Drug Reference, Intense Violence, Strong Language")</f>
        <v>Blood and Gore, Drug Reference, Intense Violence, Strong Language</v>
      </c>
      <c r="Q78" s="158"/>
      <c r="R78" s="159" t="str">
        <f>IFERROR(__xludf.DUMMYFUNCTION("""COMPUTED_VALUE"""),"Active")</f>
        <v>Active</v>
      </c>
      <c r="S78" s="160">
        <f>IFERROR(__xludf.DUMMYFUNCTION("""COMPUTED_VALUE"""),45547.0)</f>
        <v>45547</v>
      </c>
      <c r="T78" s="162">
        <f>IFERROR(__xludf.DUMMYFUNCTION("""COMPUTED_VALUE"""),4.333333333333333)</f>
        <v>4.333333333</v>
      </c>
    </row>
    <row r="79">
      <c r="A79" s="158" t="str">
        <f>IFERROR(__xludf.DUMMYFUNCTION("""COMPUTED_VALUE"""),"Have A Nice Death")</f>
        <v>Have A Nice Death</v>
      </c>
      <c r="B79" s="158" t="str">
        <f>IFERROR(__xludf.DUMMYFUNCTION("""COMPUTED_VALUE"""),"Xbox / PC")</f>
        <v>Xbox / PC</v>
      </c>
      <c r="C79" s="158" t="str">
        <f>IFERROR(__xludf.DUMMYFUNCTION("""COMPUTED_VALUE"""),"Yes")</f>
        <v>Yes</v>
      </c>
      <c r="D79" s="159" t="str">
        <f>IFERROR(__xludf.DUMMYFUNCTION("""COMPUTED_VALUE"""),"Active")</f>
        <v>Active</v>
      </c>
      <c r="E79" s="160">
        <f>IFERROR(__xludf.DUMMYFUNCTION("""COMPUTED_VALUE"""),45412.0)</f>
        <v>45412</v>
      </c>
      <c r="F79" s="161"/>
      <c r="G79" s="162">
        <f>IFERROR(__xludf.DUMMYFUNCTION("""COMPUTED_VALUE"""),17.5)</f>
        <v>17.5</v>
      </c>
      <c r="H79" s="163">
        <f>IFERROR(__xludf.DUMMYFUNCTION("""COMPUTED_VALUE"""),45007.0)</f>
        <v>45007</v>
      </c>
      <c r="I79" s="162">
        <f>IFERROR(__xludf.DUMMYFUNCTION("""COMPUTED_VALUE"""),1.1055555555555556)</f>
        <v>1.105555556</v>
      </c>
      <c r="J79" s="164">
        <f>IFERROR(__xludf.DUMMYFUNCTION("""COMPUTED_VALUE"""),81.0)</f>
        <v>81</v>
      </c>
      <c r="K79" s="164">
        <f>IFERROR(__xludf.DUMMYFUNCTION("""COMPUTED_VALUE"""),9.0)</f>
        <v>9</v>
      </c>
      <c r="L79" s="158" t="str">
        <f>IFERROR(__xludf.DUMMYFUNCTION("""COMPUTED_VALUE"""),"Platformer")</f>
        <v>Platformer</v>
      </c>
      <c r="M79" s="158"/>
      <c r="N79" s="158"/>
      <c r="O79" s="158" t="str">
        <f>IFERROR(__xludf.DUMMYFUNCTION("""COMPUTED_VALUE"""),"T")</f>
        <v>T</v>
      </c>
      <c r="P79" s="158" t="str">
        <f>IFERROR(__xludf.DUMMYFUNCTION("""COMPUTED_VALUE"""),"Alcohol and Tobacco Reference, Blood, Fantasy Violence, Mild Language")</f>
        <v>Alcohol and Tobacco Reference, Blood, Fantasy Violence, Mild Language</v>
      </c>
      <c r="Q79" s="158"/>
      <c r="R79" s="159" t="str">
        <f>IFERROR(__xludf.DUMMYFUNCTION("""COMPUTED_VALUE"""),"Active")</f>
        <v>Active</v>
      </c>
      <c r="S79" s="160">
        <f>IFERROR(__xludf.DUMMYFUNCTION("""COMPUTED_VALUE"""),45547.0)</f>
        <v>45547</v>
      </c>
      <c r="T79" s="162">
        <f>IFERROR(__xludf.DUMMYFUNCTION("""COMPUTED_VALUE"""),4.3999999999999995)</f>
        <v>4.4</v>
      </c>
    </row>
    <row r="80">
      <c r="A80" s="158" t="str">
        <f>IFERROR(__xludf.DUMMYFUNCTION("""COMPUTED_VALUE"""),"Star Wars Jedi: Survivor")</f>
        <v>Star Wars Jedi: Survivor</v>
      </c>
      <c r="B80" s="158" t="str">
        <f>IFERROR(__xludf.DUMMYFUNCTION("""COMPUTED_VALUE"""),"Xbox / PC")</f>
        <v>Xbox / PC</v>
      </c>
      <c r="C80" s="158"/>
      <c r="D80" s="159" t="str">
        <f>IFERROR(__xludf.DUMMYFUNCTION("""COMPUTED_VALUE"""),"Active")</f>
        <v>Active</v>
      </c>
      <c r="E80" s="160">
        <f>IFERROR(__xludf.DUMMYFUNCTION("""COMPUTED_VALUE"""),45407.0)</f>
        <v>45407</v>
      </c>
      <c r="F80" s="161"/>
      <c r="G80" s="162">
        <f>IFERROR(__xludf.DUMMYFUNCTION("""COMPUTED_VALUE"""),17.666666666666668)</f>
        <v>17.66666667</v>
      </c>
      <c r="H80" s="163">
        <f>IFERROR(__xludf.DUMMYFUNCTION("""COMPUTED_VALUE"""),45044.0)</f>
        <v>45044</v>
      </c>
      <c r="I80" s="162">
        <f>IFERROR(__xludf.DUMMYFUNCTION("""COMPUTED_VALUE"""),0.9916666666666667)</f>
        <v>0.9916666667</v>
      </c>
      <c r="J80" s="164">
        <f>IFERROR(__xludf.DUMMYFUNCTION("""COMPUTED_VALUE"""),85.0)</f>
        <v>85</v>
      </c>
      <c r="K80" s="164">
        <f>IFERROR(__xludf.DUMMYFUNCTION("""COMPUTED_VALUE"""),20.0)</f>
        <v>20</v>
      </c>
      <c r="L80" s="158" t="str">
        <f>IFERROR(__xludf.DUMMYFUNCTION("""COMPUTED_VALUE"""),"Action-Adventure")</f>
        <v>Action-Adventure</v>
      </c>
      <c r="M80" s="158"/>
      <c r="N80" s="158" t="str">
        <f>IFERROR(__xludf.DUMMYFUNCTION("""COMPUTED_VALUE"""),"Joins last gen consoles on 9/17/24")</f>
        <v>Joins last gen consoles on 9/17/24</v>
      </c>
      <c r="O80" s="158" t="str">
        <f>IFERROR(__xludf.DUMMYFUNCTION("""COMPUTED_VALUE"""),"T")</f>
        <v>T</v>
      </c>
      <c r="P80" s="158" t="str">
        <f>IFERROR(__xludf.DUMMYFUNCTION("""COMPUTED_VALUE"""),"Mild Language, Violence")</f>
        <v>Mild Language, Violence</v>
      </c>
      <c r="Q80" s="158"/>
      <c r="R80" s="159" t="str">
        <f>IFERROR(__xludf.DUMMYFUNCTION("""COMPUTED_VALUE"""),"Active")</f>
        <v>Active</v>
      </c>
      <c r="S80" s="160">
        <f>IFERROR(__xludf.DUMMYFUNCTION("""COMPUTED_VALUE"""),45547.0)</f>
        <v>45547</v>
      </c>
      <c r="T80" s="162">
        <f>IFERROR(__xludf.DUMMYFUNCTION("""COMPUTED_VALUE"""),4.566666666666666)</f>
        <v>4.566666667</v>
      </c>
    </row>
    <row r="81">
      <c r="A81" s="158" t="str">
        <f>IFERROR(__xludf.DUMMYFUNCTION("""COMPUTED_VALUE"""),"NHL 24")</f>
        <v>NHL 24</v>
      </c>
      <c r="B81" s="158" t="str">
        <f>IFERROR(__xludf.DUMMYFUNCTION("""COMPUTED_VALUE"""),"Xbox")</f>
        <v>Xbox</v>
      </c>
      <c r="C81" s="158" t="str">
        <f>IFERROR(__xludf.DUMMYFUNCTION("""COMPUTED_VALUE"""),"Yes")</f>
        <v>Yes</v>
      </c>
      <c r="D81" s="159" t="str">
        <f>IFERROR(__xludf.DUMMYFUNCTION("""COMPUTED_VALUE"""),"Active")</f>
        <v>Active</v>
      </c>
      <c r="E81" s="160">
        <f>IFERROR(__xludf.DUMMYFUNCTION("""COMPUTED_VALUE"""),45400.0)</f>
        <v>45400</v>
      </c>
      <c r="F81" s="161"/>
      <c r="G81" s="162">
        <f>IFERROR(__xludf.DUMMYFUNCTION("""COMPUTED_VALUE"""),17.9)</f>
        <v>17.9</v>
      </c>
      <c r="H81" s="163">
        <f>IFERROR(__xludf.DUMMYFUNCTION("""COMPUTED_VALUE"""),45205.0)</f>
        <v>45205</v>
      </c>
      <c r="I81" s="162">
        <f>IFERROR(__xludf.DUMMYFUNCTION("""COMPUTED_VALUE"""),0.5333333333333333)</f>
        <v>0.5333333333</v>
      </c>
      <c r="J81" s="164">
        <f>IFERROR(__xludf.DUMMYFUNCTION("""COMPUTED_VALUE"""),71.0)</f>
        <v>71</v>
      </c>
      <c r="K81" s="164"/>
      <c r="L81" s="158" t="str">
        <f>IFERROR(__xludf.DUMMYFUNCTION("""COMPUTED_VALUE"""),"Sports")</f>
        <v>Sports</v>
      </c>
      <c r="M81" s="158"/>
      <c r="N81" s="158" t="str">
        <f>IFERROR(__xludf.DUMMYFUNCTION("""COMPUTED_VALUE"""),"Joins cloud 5/16/24")</f>
        <v>Joins cloud 5/16/24</v>
      </c>
      <c r="O81" s="158" t="str">
        <f>IFERROR(__xludf.DUMMYFUNCTION("""COMPUTED_VALUE"""),"E10+")</f>
        <v>E10+</v>
      </c>
      <c r="P81" s="158" t="str">
        <f>IFERROR(__xludf.DUMMYFUNCTION("""COMPUTED_VALUE"""),"Mild Violence")</f>
        <v>Mild Violence</v>
      </c>
      <c r="Q81" s="158"/>
      <c r="R81" s="159" t="str">
        <f>IFERROR(__xludf.DUMMYFUNCTION("""COMPUTED_VALUE"""),"Active")</f>
        <v>Active</v>
      </c>
      <c r="S81" s="160">
        <f>IFERROR(__xludf.DUMMYFUNCTION("""COMPUTED_VALUE"""),45547.0)</f>
        <v>45547</v>
      </c>
      <c r="T81" s="162">
        <f>IFERROR(__xludf.DUMMYFUNCTION("""COMPUTED_VALUE"""),4.800000000000001)</f>
        <v>4.8</v>
      </c>
    </row>
    <row r="82">
      <c r="A82" s="158" t="str">
        <f>IFERROR(__xludf.DUMMYFUNCTION("""COMPUTED_VALUE"""),"Shadow of the Tomb Raider: Definitive Edition")</f>
        <v>Shadow of the Tomb Raider: Definitive Edition</v>
      </c>
      <c r="B82" s="158" t="str">
        <f>IFERROR(__xludf.DUMMYFUNCTION("""COMPUTED_VALUE"""),"Xbox / PC")</f>
        <v>Xbox / PC</v>
      </c>
      <c r="C82" s="158" t="str">
        <f>IFERROR(__xludf.DUMMYFUNCTION("""COMPUTED_VALUE"""),"Yes")</f>
        <v>Yes</v>
      </c>
      <c r="D82" s="159" t="str">
        <f>IFERROR(__xludf.DUMMYFUNCTION("""COMPUTED_VALUE"""),"Active")</f>
        <v>Active</v>
      </c>
      <c r="E82" s="160">
        <f>IFERROR(__xludf.DUMMYFUNCTION("""COMPUTED_VALUE"""),45393.0)</f>
        <v>45393</v>
      </c>
      <c r="F82" s="161"/>
      <c r="G82" s="162">
        <f>IFERROR(__xludf.DUMMYFUNCTION("""COMPUTED_VALUE"""),18.133333333333333)</f>
        <v>18.13333333</v>
      </c>
      <c r="H82" s="163">
        <f>IFERROR(__xludf.DUMMYFUNCTION("""COMPUTED_VALUE"""),43357.0)</f>
        <v>43357</v>
      </c>
      <c r="I82" s="162">
        <f>IFERROR(__xludf.DUMMYFUNCTION("""COMPUTED_VALUE"""),5.575)</f>
        <v>5.575</v>
      </c>
      <c r="J82" s="164">
        <f>IFERROR(__xludf.DUMMYFUNCTION("""COMPUTED_VALUE"""),82.0)</f>
        <v>82</v>
      </c>
      <c r="K82" s="164">
        <f>IFERROR(__xludf.DUMMYFUNCTION("""COMPUTED_VALUE"""),13.0)</f>
        <v>13</v>
      </c>
      <c r="L82" s="158" t="str">
        <f>IFERROR(__xludf.DUMMYFUNCTION("""COMPUTED_VALUE"""),"Action-Adventure")</f>
        <v>Action-Adventure</v>
      </c>
      <c r="M82" s="158"/>
      <c r="N82" s="158" t="str">
        <f>IFERROR(__xludf.DUMMYFUNCTION("""COMPUTED_VALUE"""),"Returning title: Added 2/1/19, left 2/15/20 (base game only)")</f>
        <v>Returning title: Added 2/1/19, left 2/15/20 (base game only)</v>
      </c>
      <c r="O82" s="158" t="str">
        <f>IFERROR(__xludf.DUMMYFUNCTION("""COMPUTED_VALUE"""),"M")</f>
        <v>M</v>
      </c>
      <c r="P82" s="158" t="str">
        <f>IFERROR(__xludf.DUMMYFUNCTION("""COMPUTED_VALUE"""),"Blood and Gore, Intense Violence, Strong Language")</f>
        <v>Blood and Gore, Intense Violence, Strong Language</v>
      </c>
      <c r="Q82" s="158"/>
      <c r="R82" s="159" t="str">
        <f>IFERROR(__xludf.DUMMYFUNCTION("""COMPUTED_VALUE"""),"Active")</f>
        <v>Active</v>
      </c>
      <c r="S82" s="160">
        <f>IFERROR(__xludf.DUMMYFUNCTION("""COMPUTED_VALUE"""),45547.0)</f>
        <v>45547</v>
      </c>
      <c r="T82" s="162">
        <f>IFERROR(__xludf.DUMMYFUNCTION("""COMPUTED_VALUE"""),5.033333333333333)</f>
        <v>5.033333333</v>
      </c>
    </row>
    <row r="83">
      <c r="A83" s="158" t="str">
        <f>IFERROR(__xludf.DUMMYFUNCTION("""COMPUTED_VALUE"""),"EA Sports PGA Tour")</f>
        <v>EA Sports PGA Tour</v>
      </c>
      <c r="B83" s="158" t="str">
        <f>IFERROR(__xludf.DUMMYFUNCTION("""COMPUTED_VALUE"""),"Xbox / PC")</f>
        <v>Xbox / PC</v>
      </c>
      <c r="C83" s="158" t="str">
        <f>IFERROR(__xludf.DUMMYFUNCTION("""COMPUTED_VALUE"""),"Yes")</f>
        <v>Yes</v>
      </c>
      <c r="D83" s="159" t="str">
        <f>IFERROR(__xludf.DUMMYFUNCTION("""COMPUTED_VALUE"""),"Active")</f>
        <v>Active</v>
      </c>
      <c r="E83" s="160">
        <f>IFERROR(__xludf.DUMMYFUNCTION("""COMPUTED_VALUE"""),45386.0)</f>
        <v>45386</v>
      </c>
      <c r="F83" s="161"/>
      <c r="G83" s="162">
        <f>IFERROR(__xludf.DUMMYFUNCTION("""COMPUTED_VALUE"""),18.366666666666667)</f>
        <v>18.36666667</v>
      </c>
      <c r="H83" s="163">
        <f>IFERROR(__xludf.DUMMYFUNCTION("""COMPUTED_VALUE"""),45020.0)</f>
        <v>45020</v>
      </c>
      <c r="I83" s="162">
        <f>IFERROR(__xludf.DUMMYFUNCTION("""COMPUTED_VALUE"""),1.0)</f>
        <v>1</v>
      </c>
      <c r="J83" s="164">
        <f>IFERROR(__xludf.DUMMYFUNCTION("""COMPUTED_VALUE"""),76.0)</f>
        <v>76</v>
      </c>
      <c r="K83" s="164"/>
      <c r="L83" s="158" t="str">
        <f>IFERROR(__xludf.DUMMYFUNCTION("""COMPUTED_VALUE"""),"Sports")</f>
        <v>Sports</v>
      </c>
      <c r="M83" s="158" t="str">
        <f>IFERROR(__xludf.DUMMYFUNCTION("""COMPUTED_VALUE"""),"Exclusive")</f>
        <v>Exclusive</v>
      </c>
      <c r="N83" s="158"/>
      <c r="O83" s="158" t="str">
        <f>IFERROR(__xludf.DUMMYFUNCTION("""COMPUTED_VALUE"""),"E")</f>
        <v>E</v>
      </c>
      <c r="P83" s="158"/>
      <c r="Q83" s="158"/>
      <c r="R83" s="159" t="str">
        <f>IFERROR(__xludf.DUMMYFUNCTION("""COMPUTED_VALUE"""),"Active")</f>
        <v>Active</v>
      </c>
      <c r="S83" s="160">
        <f>IFERROR(__xludf.DUMMYFUNCTION("""COMPUTED_VALUE"""),45547.0)</f>
        <v>45547</v>
      </c>
      <c r="T83" s="162">
        <f>IFERROR(__xludf.DUMMYFUNCTION("""COMPUTED_VALUE"""),5.266666666666667)</f>
        <v>5.266666667</v>
      </c>
    </row>
    <row r="84">
      <c r="A84" s="158" t="str">
        <f>IFERROR(__xludf.DUMMYFUNCTION("""COMPUTED_VALUE"""),"Superhot: Mind Control Delete")</f>
        <v>Superhot: Mind Control Delete</v>
      </c>
      <c r="B84" s="158" t="str">
        <f>IFERROR(__xludf.DUMMYFUNCTION("""COMPUTED_VALUE"""),"Xbox / PC")</f>
        <v>Xbox / PC</v>
      </c>
      <c r="C84" s="158" t="str">
        <f>IFERROR(__xludf.DUMMYFUNCTION("""COMPUTED_VALUE"""),"Yes")</f>
        <v>Yes</v>
      </c>
      <c r="D84" s="159" t="str">
        <f>IFERROR(__xludf.DUMMYFUNCTION("""COMPUTED_VALUE"""),"Active")</f>
        <v>Active</v>
      </c>
      <c r="E84" s="160">
        <f>IFERROR(__xludf.DUMMYFUNCTION("""COMPUTED_VALUE"""),45384.0)</f>
        <v>45384</v>
      </c>
      <c r="F84" s="161"/>
      <c r="G84" s="162">
        <f>IFERROR(__xludf.DUMMYFUNCTION("""COMPUTED_VALUE"""),18.433333333333334)</f>
        <v>18.43333333</v>
      </c>
      <c r="H84" s="163">
        <f>IFERROR(__xludf.DUMMYFUNCTION("""COMPUTED_VALUE"""),44028.0)</f>
        <v>44028</v>
      </c>
      <c r="I84" s="162">
        <f>IFERROR(__xludf.DUMMYFUNCTION("""COMPUTED_VALUE"""),3.7111111111111112)</f>
        <v>3.711111111</v>
      </c>
      <c r="J84" s="164">
        <f>IFERROR(__xludf.DUMMYFUNCTION("""COMPUTED_VALUE"""),82.0)</f>
        <v>82</v>
      </c>
      <c r="K84" s="164">
        <f>IFERROR(__xludf.DUMMYFUNCTION("""COMPUTED_VALUE"""),5.5)</f>
        <v>5.5</v>
      </c>
      <c r="L84" s="158" t="str">
        <f>IFERROR(__xludf.DUMMYFUNCTION("""COMPUTED_VALUE"""),"First-Person Shooter")</f>
        <v>First-Person Shooter</v>
      </c>
      <c r="M84" s="158" t="str">
        <f>IFERROR(__xludf.DUMMYFUNCTION("""COMPUTED_VALUE"""),"Optimized")</f>
        <v>Optimized</v>
      </c>
      <c r="N84" s="158" t="str">
        <f>IFERROR(__xludf.DUMMYFUNCTION("""COMPUTED_VALUE"""),"Game Pass Essential (4/23/24), Returning title: Added 12/10/20, left 5/31/22")</f>
        <v>Game Pass Essential (4/23/24), Returning title: Added 12/10/20, left 5/31/22</v>
      </c>
      <c r="O84" s="158" t="str">
        <f>IFERROR(__xludf.DUMMYFUNCTION("""COMPUTED_VALUE"""),"T")</f>
        <v>T</v>
      </c>
      <c r="P84" s="158" t="str">
        <f>IFERROR(__xludf.DUMMYFUNCTION("""COMPUTED_VALUE"""),"Violence")</f>
        <v>Violence</v>
      </c>
      <c r="Q84" s="158"/>
      <c r="R84" s="159" t="str">
        <f>IFERROR(__xludf.DUMMYFUNCTION("""COMPUTED_VALUE"""),"Active")</f>
        <v>Active</v>
      </c>
      <c r="S84" s="160">
        <f>IFERROR(__xludf.DUMMYFUNCTION("""COMPUTED_VALUE"""),45547.0)</f>
        <v>45547</v>
      </c>
      <c r="T84" s="162">
        <f>IFERROR(__xludf.DUMMYFUNCTION("""COMPUTED_VALUE"""),5.333333333333333)</f>
        <v>5.333333333</v>
      </c>
    </row>
    <row r="85">
      <c r="A85" s="158" t="str">
        <f>IFERROR(__xludf.DUMMYFUNCTION("""COMPUTED_VALUE"""),"Ark: Survival Ascended")</f>
        <v>Ark: Survival Ascended</v>
      </c>
      <c r="B85" s="158" t="str">
        <f>IFERROR(__xludf.DUMMYFUNCTION("""COMPUTED_VALUE"""),"Xbox / PC")</f>
        <v>Xbox / PC</v>
      </c>
      <c r="C85" s="158" t="str">
        <f>IFERROR(__xludf.DUMMYFUNCTION("""COMPUTED_VALUE"""),"M+KB")</f>
        <v>M+KB</v>
      </c>
      <c r="D85" s="159" t="str">
        <f>IFERROR(__xludf.DUMMYFUNCTION("""COMPUTED_VALUE"""),"Active")</f>
        <v>Active</v>
      </c>
      <c r="E85" s="160">
        <f>IFERROR(__xludf.DUMMYFUNCTION("""COMPUTED_VALUE"""),45383.0)</f>
        <v>45383</v>
      </c>
      <c r="F85" s="161"/>
      <c r="G85" s="162">
        <f>IFERROR(__xludf.DUMMYFUNCTION("""COMPUTED_VALUE"""),18.46666666666667)</f>
        <v>18.46666667</v>
      </c>
      <c r="H85" s="163">
        <f>IFERROR(__xludf.DUMMYFUNCTION("""COMPUTED_VALUE"""),45260.0)</f>
        <v>45260</v>
      </c>
      <c r="I85" s="162">
        <f>IFERROR(__xludf.DUMMYFUNCTION("""COMPUTED_VALUE"""),0.33611111111111114)</f>
        <v>0.3361111111</v>
      </c>
      <c r="J85" s="164">
        <f>IFERROR(__xludf.DUMMYFUNCTION("""COMPUTED_VALUE"""),66.66666666666667)</f>
        <v>66.66666667</v>
      </c>
      <c r="K85" s="164">
        <f>IFERROR(__xludf.DUMMYFUNCTION("""COMPUTED_VALUE"""),380.0)</f>
        <v>380</v>
      </c>
      <c r="L85" s="158" t="str">
        <f>IFERROR(__xludf.DUMMYFUNCTION("""COMPUTED_VALUE"""),"Sandbox")</f>
        <v>Sandbox</v>
      </c>
      <c r="M85" s="158" t="str">
        <f>IFERROR(__xludf.DUMMYFUNCTION("""COMPUTED_VALUE"""),"Exclusive")</f>
        <v>Exclusive</v>
      </c>
      <c r="N85" s="158"/>
      <c r="O85" s="158" t="str">
        <f>IFERROR(__xludf.DUMMYFUNCTION("""COMPUTED_VALUE"""),"T")</f>
        <v>T</v>
      </c>
      <c r="P85" s="158" t="str">
        <f>IFERROR(__xludf.DUMMYFUNCTION("""COMPUTED_VALUE"""),"Language, Violence")</f>
        <v>Language, Violence</v>
      </c>
      <c r="Q85" s="158"/>
      <c r="R85" s="159" t="str">
        <f>IFERROR(__xludf.DUMMYFUNCTION("""COMPUTED_VALUE"""),"Active")</f>
        <v>Active</v>
      </c>
      <c r="S85" s="160">
        <f>IFERROR(__xludf.DUMMYFUNCTION("""COMPUTED_VALUE"""),45547.0)</f>
        <v>45547</v>
      </c>
      <c r="T85" s="162">
        <f>IFERROR(__xludf.DUMMYFUNCTION("""COMPUTED_VALUE"""),5.366666666666667)</f>
        <v>5.366666667</v>
      </c>
    </row>
    <row r="86">
      <c r="A86" s="158" t="str">
        <f>IFERROR(__xludf.DUMMYFUNCTION("""COMPUTED_VALUE"""),"Minecraft: Preview")</f>
        <v>Minecraft: Preview</v>
      </c>
      <c r="B86" s="158" t="str">
        <f>IFERROR(__xludf.DUMMYFUNCTION("""COMPUTED_VALUE"""),"Xbox / PC")</f>
        <v>Xbox / PC</v>
      </c>
      <c r="C86" s="158"/>
      <c r="D86" s="159" t="str">
        <f>IFERROR(__xludf.DUMMYFUNCTION("""COMPUTED_VALUE"""),"Active")</f>
        <v>Active</v>
      </c>
      <c r="E86" s="160">
        <f>IFERROR(__xludf.DUMMYFUNCTION("""COMPUTED_VALUE"""),45368.0)</f>
        <v>45368</v>
      </c>
      <c r="F86" s="161"/>
      <c r="G86" s="162">
        <f>IFERROR(__xludf.DUMMYFUNCTION("""COMPUTED_VALUE"""),18.933333333333334)</f>
        <v>18.93333333</v>
      </c>
      <c r="H86" s="163">
        <f>IFERROR(__xludf.DUMMYFUNCTION("""COMPUTED_VALUE"""),40865.0)</f>
        <v>40865</v>
      </c>
      <c r="I86" s="162">
        <f>IFERROR(__xludf.DUMMYFUNCTION("""COMPUTED_VALUE"""),12.330555555555556)</f>
        <v>12.33055556</v>
      </c>
      <c r="J86" s="164">
        <f>IFERROR(__xludf.DUMMYFUNCTION("""COMPUTED_VALUE"""),88.0)</f>
        <v>88</v>
      </c>
      <c r="K86" s="164">
        <f>IFERROR(__xludf.DUMMYFUNCTION("""COMPUTED_VALUE"""),116.0)</f>
        <v>116</v>
      </c>
      <c r="L86" s="158" t="str">
        <f>IFERROR(__xludf.DUMMYFUNCTION("""COMPUTED_VALUE"""),"Action-Adventure")</f>
        <v>Action-Adventure</v>
      </c>
      <c r="M86" s="158"/>
      <c r="N86" s="158"/>
      <c r="O86" s="158" t="str">
        <f>IFERROR(__xludf.DUMMYFUNCTION("""COMPUTED_VALUE"""),"E10+")</f>
        <v>E10+</v>
      </c>
      <c r="P86" s="158" t="str">
        <f>IFERROR(__xludf.DUMMYFUNCTION("""COMPUTED_VALUE"""),"Fantasy Violence")</f>
        <v>Fantasy Violence</v>
      </c>
      <c r="Q86" s="158"/>
      <c r="R86" s="159" t="str">
        <f>IFERROR(__xludf.DUMMYFUNCTION("""COMPUTED_VALUE"""),"Active")</f>
        <v>Active</v>
      </c>
      <c r="S86" s="160">
        <f>IFERROR(__xludf.DUMMYFUNCTION("""COMPUTED_VALUE"""),45547.0)</f>
        <v>45547</v>
      </c>
      <c r="T86" s="162">
        <f>IFERROR(__xludf.DUMMYFUNCTION("""COMPUTED_VALUE"""),5.833333333333333)</f>
        <v>5.833333333</v>
      </c>
    </row>
    <row r="87">
      <c r="A87" s="158" t="str">
        <f>IFERROR(__xludf.DUMMYFUNCTION("""COMPUTED_VALUE"""),"Control: Ultimate Edition")</f>
        <v>Control: Ultimate Edition</v>
      </c>
      <c r="B87" s="158" t="str">
        <f>IFERROR(__xludf.DUMMYFUNCTION("""COMPUTED_VALUE"""),"Xbox / PC")</f>
        <v>Xbox / PC</v>
      </c>
      <c r="C87" s="158" t="str">
        <f>IFERROR(__xludf.DUMMYFUNCTION("""COMPUTED_VALUE"""),"Yes")</f>
        <v>Yes</v>
      </c>
      <c r="D87" s="159" t="str">
        <f>IFERROR(__xludf.DUMMYFUNCTION("""COMPUTED_VALUE"""),"Active")</f>
        <v>Active</v>
      </c>
      <c r="E87" s="160">
        <f>IFERROR(__xludf.DUMMYFUNCTION("""COMPUTED_VALUE"""),45364.0)</f>
        <v>45364</v>
      </c>
      <c r="F87" s="161"/>
      <c r="G87" s="162">
        <f>IFERROR(__xludf.DUMMYFUNCTION("""COMPUTED_VALUE"""),19.066666666666666)</f>
        <v>19.06666667</v>
      </c>
      <c r="H87" s="163">
        <f>IFERROR(__xludf.DUMMYFUNCTION("""COMPUTED_VALUE"""),44229.0)</f>
        <v>44229</v>
      </c>
      <c r="I87" s="162">
        <f>IFERROR(__xludf.DUMMYFUNCTION("""COMPUTED_VALUE"""),3.113888888888889)</f>
        <v>3.113888889</v>
      </c>
      <c r="J87" s="164">
        <f>IFERROR(__xludf.DUMMYFUNCTION("""COMPUTED_VALUE"""),85.0)</f>
        <v>85</v>
      </c>
      <c r="K87" s="164">
        <f>IFERROR(__xludf.DUMMYFUNCTION("""COMPUTED_VALUE"""),13.0)</f>
        <v>13</v>
      </c>
      <c r="L87" s="158" t="str">
        <f>IFERROR(__xludf.DUMMYFUNCTION("""COMPUTED_VALUE"""),"Action")</f>
        <v>Action</v>
      </c>
      <c r="M87" s="158"/>
      <c r="N87" s="158" t="str">
        <f>IFERROR(__xludf.DUMMYFUNCTION("""COMPUTED_VALUE"""),"Returning title: Joined 12/3/20, left 2/15/22 (base game)")</f>
        <v>Returning title: Joined 12/3/20, left 2/15/22 (base game)</v>
      </c>
      <c r="O87" s="158" t="str">
        <f>IFERROR(__xludf.DUMMYFUNCTION("""COMPUTED_VALUE"""),"M")</f>
        <v>M</v>
      </c>
      <c r="P87" s="158" t="str">
        <f>IFERROR(__xludf.DUMMYFUNCTION("""COMPUTED_VALUE"""),"Blood, Strong Language, Violence")</f>
        <v>Blood, Strong Language, Violence</v>
      </c>
      <c r="Q87" s="158"/>
      <c r="R87" s="159" t="str">
        <f>IFERROR(__xludf.DUMMYFUNCTION("""COMPUTED_VALUE"""),"Active")</f>
        <v>Active</v>
      </c>
      <c r="S87" s="160">
        <f>IFERROR(__xludf.DUMMYFUNCTION("""COMPUTED_VALUE"""),45547.0)</f>
        <v>45547</v>
      </c>
      <c r="T87" s="162">
        <f>IFERROR(__xludf.DUMMYFUNCTION("""COMPUTED_VALUE"""),5.966666666666667)</f>
        <v>5.966666667</v>
      </c>
    </row>
    <row r="88">
      <c r="A88" s="158" t="str">
        <f>IFERROR(__xludf.DUMMYFUNCTION("""COMPUTED_VALUE"""),"Bluey: The Videogame")</f>
        <v>Bluey: The Videogame</v>
      </c>
      <c r="B88" s="158" t="str">
        <f>IFERROR(__xludf.DUMMYFUNCTION("""COMPUTED_VALUE"""),"Xbox / PC")</f>
        <v>Xbox / PC</v>
      </c>
      <c r="C88" s="158" t="str">
        <f>IFERROR(__xludf.DUMMYFUNCTION("""COMPUTED_VALUE"""),"Yes")</f>
        <v>Yes</v>
      </c>
      <c r="D88" s="159" t="str">
        <f>IFERROR(__xludf.DUMMYFUNCTION("""COMPUTED_VALUE"""),"Active")</f>
        <v>Active</v>
      </c>
      <c r="E88" s="160">
        <f>IFERROR(__xludf.DUMMYFUNCTION("""COMPUTED_VALUE"""),45344.0)</f>
        <v>45344</v>
      </c>
      <c r="F88" s="161"/>
      <c r="G88" s="162">
        <f>IFERROR(__xludf.DUMMYFUNCTION("""COMPUTED_VALUE"""),19.766666666666666)</f>
        <v>19.76666667</v>
      </c>
      <c r="H88" s="163">
        <f>IFERROR(__xludf.DUMMYFUNCTION("""COMPUTED_VALUE"""),45247.0)</f>
        <v>45247</v>
      </c>
      <c r="I88" s="162">
        <f>IFERROR(__xludf.DUMMYFUNCTION("""COMPUTED_VALUE"""),0.2638888888888889)</f>
        <v>0.2638888889</v>
      </c>
      <c r="J88" s="164">
        <f>IFERROR(__xludf.DUMMYFUNCTION("""COMPUTED_VALUE"""),56.0)</f>
        <v>56</v>
      </c>
      <c r="K88" s="164">
        <f>IFERROR(__xludf.DUMMYFUNCTION("""COMPUTED_VALUE"""),1.0)</f>
        <v>1</v>
      </c>
      <c r="L88" s="158" t="str">
        <f>IFERROR(__xludf.DUMMYFUNCTION("""COMPUTED_VALUE"""),"Adventure")</f>
        <v>Adventure</v>
      </c>
      <c r="M88" s="158"/>
      <c r="N88" s="158"/>
      <c r="O88" s="158" t="str">
        <f>IFERROR(__xludf.DUMMYFUNCTION("""COMPUTED_VALUE"""),"E")</f>
        <v>E</v>
      </c>
      <c r="P88" s="158"/>
      <c r="Q88" s="158"/>
      <c r="R88" s="159" t="str">
        <f>IFERROR(__xludf.DUMMYFUNCTION("""COMPUTED_VALUE"""),"Active")</f>
        <v>Active</v>
      </c>
      <c r="S88" s="160">
        <f>IFERROR(__xludf.DUMMYFUNCTION("""COMPUTED_VALUE"""),45547.0)</f>
        <v>45547</v>
      </c>
      <c r="T88" s="162">
        <f>IFERROR(__xludf.DUMMYFUNCTION("""COMPUTED_VALUE"""),6.666666666666667)</f>
        <v>6.666666667</v>
      </c>
    </row>
    <row r="89">
      <c r="A89" s="158" t="str">
        <f>IFERROR(__xludf.DUMMYFUNCTION("""COMPUTED_VALUE"""),"Dead Island 2")</f>
        <v>Dead Island 2</v>
      </c>
      <c r="B89" s="158" t="str">
        <f>IFERROR(__xludf.DUMMYFUNCTION("""COMPUTED_VALUE"""),"Xbox / PC")</f>
        <v>Xbox / PC</v>
      </c>
      <c r="C89" s="158" t="str">
        <f>IFERROR(__xludf.DUMMYFUNCTION("""COMPUTED_VALUE"""),"Yes")</f>
        <v>Yes</v>
      </c>
      <c r="D89" s="159" t="str">
        <f>IFERROR(__xludf.DUMMYFUNCTION("""COMPUTED_VALUE"""),"Active")</f>
        <v>Active</v>
      </c>
      <c r="E89" s="160">
        <f>IFERROR(__xludf.DUMMYFUNCTION("""COMPUTED_VALUE"""),45342.0)</f>
        <v>45342</v>
      </c>
      <c r="F89" s="161"/>
      <c r="G89" s="162">
        <f>IFERROR(__xludf.DUMMYFUNCTION("""COMPUTED_VALUE"""),19.833333333333332)</f>
        <v>19.83333333</v>
      </c>
      <c r="H89" s="163">
        <f>IFERROR(__xludf.DUMMYFUNCTION("""COMPUTED_VALUE"""),45037.0)</f>
        <v>45037</v>
      </c>
      <c r="I89" s="162">
        <f>IFERROR(__xludf.DUMMYFUNCTION("""COMPUTED_VALUE"""),0.8305555555555556)</f>
        <v>0.8305555556</v>
      </c>
      <c r="J89" s="164">
        <f>IFERROR(__xludf.DUMMYFUNCTION("""COMPUTED_VALUE"""),73.0)</f>
        <v>73</v>
      </c>
      <c r="K89" s="164">
        <f>IFERROR(__xludf.DUMMYFUNCTION("""COMPUTED_VALUE"""),16.0)</f>
        <v>16</v>
      </c>
      <c r="L89" s="158" t="str">
        <f>IFERROR(__xludf.DUMMYFUNCTION("""COMPUTED_VALUE"""),"Shooter")</f>
        <v>Shooter</v>
      </c>
      <c r="M89" s="158"/>
      <c r="N89" s="158" t="str">
        <f>IFERROR(__xludf.DUMMYFUNCTION("""COMPUTED_VALUE"""),"Joins PC 10/31/24, Epic exclusive until April, hence no PC version yet")</f>
        <v>Joins PC 10/31/24, Epic exclusive until April, hence no PC version yet</v>
      </c>
      <c r="O89" s="158" t="str">
        <f>IFERROR(__xludf.DUMMYFUNCTION("""COMPUTED_VALUE"""),"M")</f>
        <v>M</v>
      </c>
      <c r="P89" s="158" t="str">
        <f>IFERROR(__xludf.DUMMYFUNCTION("""COMPUTED_VALUE"""),"Blood and Gore, Intense Violence, Strong Language, Suggestive Themes, Use of Drugs")</f>
        <v>Blood and Gore, Intense Violence, Strong Language, Suggestive Themes, Use of Drugs</v>
      </c>
      <c r="Q89" s="158"/>
      <c r="R89" s="159" t="str">
        <f>IFERROR(__xludf.DUMMYFUNCTION("""COMPUTED_VALUE"""),"Active")</f>
        <v>Active</v>
      </c>
      <c r="S89" s="160">
        <f>IFERROR(__xludf.DUMMYFUNCTION("""COMPUTED_VALUE"""),45547.0)</f>
        <v>45547</v>
      </c>
      <c r="T89" s="162">
        <f>IFERROR(__xludf.DUMMYFUNCTION("""COMPUTED_VALUE"""),6.733333333333333)</f>
        <v>6.733333333</v>
      </c>
    </row>
    <row r="90">
      <c r="A90" s="158" t="str">
        <f>IFERROR(__xludf.DUMMYFUNCTION("""COMPUTED_VALUE"""),"Resident Evil 3")</f>
        <v>Resident Evil 3</v>
      </c>
      <c r="B90" s="158" t="str">
        <f>IFERROR(__xludf.DUMMYFUNCTION("""COMPUTED_VALUE"""),"Xbox / PC")</f>
        <v>Xbox / PC</v>
      </c>
      <c r="C90" s="158" t="str">
        <f>IFERROR(__xludf.DUMMYFUNCTION("""COMPUTED_VALUE"""),"Yes")</f>
        <v>Yes</v>
      </c>
      <c r="D90" s="159" t="str">
        <f>IFERROR(__xludf.DUMMYFUNCTION("""COMPUTED_VALUE"""),"Active")</f>
        <v>Active</v>
      </c>
      <c r="E90" s="160">
        <f>IFERROR(__xludf.DUMMYFUNCTION("""COMPUTED_VALUE"""),45335.0)</f>
        <v>45335</v>
      </c>
      <c r="F90" s="161"/>
      <c r="G90" s="162">
        <f>IFERROR(__xludf.DUMMYFUNCTION("""COMPUTED_VALUE"""),20.066666666666666)</f>
        <v>20.06666667</v>
      </c>
      <c r="H90" s="163">
        <f>IFERROR(__xludf.DUMMYFUNCTION("""COMPUTED_VALUE"""),43924.0)</f>
        <v>43924</v>
      </c>
      <c r="I90" s="162">
        <f>IFERROR(__xludf.DUMMYFUNCTION("""COMPUTED_VALUE"""),3.861111111111111)</f>
        <v>3.861111111</v>
      </c>
      <c r="J90" s="164">
        <f>IFERROR(__xludf.DUMMYFUNCTION("""COMPUTED_VALUE"""),79.0)</f>
        <v>79</v>
      </c>
      <c r="K90" s="164">
        <f>IFERROR(__xludf.DUMMYFUNCTION("""COMPUTED_VALUE"""),6.0)</f>
        <v>6</v>
      </c>
      <c r="L90" s="158" t="str">
        <f>IFERROR(__xludf.DUMMYFUNCTION("""COMPUTED_VALUE"""),"Shooter / Action-Adventure")</f>
        <v>Shooter / Action-Adventure</v>
      </c>
      <c r="M90" s="158"/>
      <c r="N90" s="158"/>
      <c r="O90" s="158" t="str">
        <f>IFERROR(__xludf.DUMMYFUNCTION("""COMPUTED_VALUE"""),"M")</f>
        <v>M</v>
      </c>
      <c r="P90" s="158" t="str">
        <f>IFERROR(__xludf.DUMMYFUNCTION("""COMPUTED_VALUE"""),"Blood and Gore, Intense Violence, Strong Language")</f>
        <v>Blood and Gore, Intense Violence, Strong Language</v>
      </c>
      <c r="Q90" s="158"/>
      <c r="R90" s="159" t="str">
        <f>IFERROR(__xludf.DUMMYFUNCTION("""COMPUTED_VALUE"""),"Active")</f>
        <v>Active</v>
      </c>
      <c r="S90" s="160">
        <f>IFERROR(__xludf.DUMMYFUNCTION("""COMPUTED_VALUE"""),45547.0)</f>
        <v>45547</v>
      </c>
      <c r="T90" s="162">
        <f>IFERROR(__xludf.DUMMYFUNCTION("""COMPUTED_VALUE"""),6.966666666666667)</f>
        <v>6.966666667</v>
      </c>
    </row>
    <row r="91">
      <c r="A91" s="158" t="str">
        <f>IFERROR(__xludf.DUMMYFUNCTION("""COMPUTED_VALUE"""),"Madden NFL 24")</f>
        <v>Madden NFL 24</v>
      </c>
      <c r="B91" s="158" t="str">
        <f>IFERROR(__xludf.DUMMYFUNCTION("""COMPUTED_VALUE"""),"Xbox / PC")</f>
        <v>Xbox / PC</v>
      </c>
      <c r="C91" s="158" t="str">
        <f>IFERROR(__xludf.DUMMYFUNCTION("""COMPUTED_VALUE"""),"Yes")</f>
        <v>Yes</v>
      </c>
      <c r="D91" s="159" t="str">
        <f>IFERROR(__xludf.DUMMYFUNCTION("""COMPUTED_VALUE"""),"Active")</f>
        <v>Active</v>
      </c>
      <c r="E91" s="160">
        <f>IFERROR(__xludf.DUMMYFUNCTION("""COMPUTED_VALUE"""),45330.0)</f>
        <v>45330</v>
      </c>
      <c r="F91" s="161"/>
      <c r="G91" s="162">
        <f>IFERROR(__xludf.DUMMYFUNCTION("""COMPUTED_VALUE"""),20.233333333333334)</f>
        <v>20.23333333</v>
      </c>
      <c r="H91" s="163">
        <f>IFERROR(__xludf.DUMMYFUNCTION("""COMPUTED_VALUE"""),45156.0)</f>
        <v>45156</v>
      </c>
      <c r="I91" s="162">
        <f>IFERROR(__xludf.DUMMYFUNCTION("""COMPUTED_VALUE"""),0.4722222222222222)</f>
        <v>0.4722222222</v>
      </c>
      <c r="J91" s="164">
        <f>IFERROR(__xludf.DUMMYFUNCTION("""COMPUTED_VALUE"""),65.0)</f>
        <v>65</v>
      </c>
      <c r="K91" s="164">
        <f>IFERROR(__xludf.DUMMYFUNCTION("""COMPUTED_VALUE"""),14.0)</f>
        <v>14</v>
      </c>
      <c r="L91" s="158" t="str">
        <f>IFERROR(__xludf.DUMMYFUNCTION("""COMPUTED_VALUE"""),"Sports / Football")</f>
        <v>Sports / Football</v>
      </c>
      <c r="M91" s="158"/>
      <c r="N91" s="158"/>
      <c r="O91" s="158" t="str">
        <f>IFERROR(__xludf.DUMMYFUNCTION("""COMPUTED_VALUE"""),"E")</f>
        <v>E</v>
      </c>
      <c r="P91" s="158" t="str">
        <f>IFERROR(__xludf.DUMMYFUNCTION("""COMPUTED_VALUE"""),"Mild Lyrics")</f>
        <v>Mild Lyrics</v>
      </c>
      <c r="Q91" s="158"/>
      <c r="R91" s="159" t="str">
        <f>IFERROR(__xludf.DUMMYFUNCTION("""COMPUTED_VALUE"""),"Active")</f>
        <v>Active</v>
      </c>
      <c r="S91" s="160">
        <f>IFERROR(__xludf.DUMMYFUNCTION("""COMPUTED_VALUE"""),45547.0)</f>
        <v>45547</v>
      </c>
      <c r="T91" s="162">
        <f>IFERROR(__xludf.DUMMYFUNCTION("""COMPUTED_VALUE"""),7.133333333333333)</f>
        <v>7.133333333</v>
      </c>
    </row>
    <row r="92">
      <c r="A92" s="158" t="str">
        <f>IFERROR(__xludf.DUMMYFUNCTION("""COMPUTED_VALUE"""),"Brotato")</f>
        <v>Brotato</v>
      </c>
      <c r="B92" s="158" t="str">
        <f>IFERROR(__xludf.DUMMYFUNCTION("""COMPUTED_VALUE"""),"Xbox / PC")</f>
        <v>Xbox / PC</v>
      </c>
      <c r="C92" s="158" t="str">
        <f>IFERROR(__xludf.DUMMYFUNCTION("""COMPUTED_VALUE"""),"Yes")</f>
        <v>Yes</v>
      </c>
      <c r="D92" s="159" t="str">
        <f>IFERROR(__xludf.DUMMYFUNCTION("""COMPUTED_VALUE"""),"Active")</f>
        <v>Active</v>
      </c>
      <c r="E92" s="160">
        <f>IFERROR(__xludf.DUMMYFUNCTION("""COMPUTED_VALUE"""),45321.0)</f>
        <v>45321</v>
      </c>
      <c r="F92" s="161"/>
      <c r="G92" s="162">
        <f>IFERROR(__xludf.DUMMYFUNCTION("""COMPUTED_VALUE"""),20.5)</f>
        <v>20.5</v>
      </c>
      <c r="H92" s="163">
        <f>IFERROR(__xludf.DUMMYFUNCTION("""COMPUTED_VALUE"""),44619.0)</f>
        <v>44619</v>
      </c>
      <c r="I92" s="162">
        <f>IFERROR(__xludf.DUMMYFUNCTION("""COMPUTED_VALUE"""),1.925)</f>
        <v>1.925</v>
      </c>
      <c r="J92" s="164">
        <f>IFERROR(__xludf.DUMMYFUNCTION("""COMPUTED_VALUE"""),76.0)</f>
        <v>76</v>
      </c>
      <c r="K92" s="164">
        <f>IFERROR(__xludf.DUMMYFUNCTION("""COMPUTED_VALUE"""),5.0)</f>
        <v>5</v>
      </c>
      <c r="L92" s="158" t="str">
        <f>IFERROR(__xludf.DUMMYFUNCTION("""COMPUTED_VALUE"""),"Action")</f>
        <v>Action</v>
      </c>
      <c r="M92" s="158"/>
      <c r="N92" s="158"/>
      <c r="O92" s="158" t="str">
        <f>IFERROR(__xludf.DUMMYFUNCTION("""COMPUTED_VALUE"""),"RP")</f>
        <v>RP</v>
      </c>
      <c r="P92" s="158"/>
      <c r="Q92" s="158"/>
      <c r="R92" s="159" t="str">
        <f>IFERROR(__xludf.DUMMYFUNCTION("""COMPUTED_VALUE"""),"Active")</f>
        <v>Active</v>
      </c>
      <c r="S92" s="160">
        <f>IFERROR(__xludf.DUMMYFUNCTION("""COMPUTED_VALUE"""),45547.0)</f>
        <v>45547</v>
      </c>
      <c r="T92" s="162">
        <f>IFERROR(__xludf.DUMMYFUNCTION("""COMPUTED_VALUE"""),7.4)</f>
        <v>7.4</v>
      </c>
    </row>
    <row r="93">
      <c r="A93" s="158" t="str">
        <f>IFERROR(__xludf.DUMMYFUNCTION("""COMPUTED_VALUE"""),"Palworld (Game Preview)")</f>
        <v>Palworld (Game Preview)</v>
      </c>
      <c r="B93" s="158" t="str">
        <f>IFERROR(__xludf.DUMMYFUNCTION("""COMPUTED_VALUE"""),"Xbox / PC")</f>
        <v>Xbox / PC</v>
      </c>
      <c r="C93" s="158" t="str">
        <f>IFERROR(__xludf.DUMMYFUNCTION("""COMPUTED_VALUE"""),"Yes")</f>
        <v>Yes</v>
      </c>
      <c r="D93" s="159" t="str">
        <f>IFERROR(__xludf.DUMMYFUNCTION("""COMPUTED_VALUE"""),"Active")</f>
        <v>Active</v>
      </c>
      <c r="E93" s="160">
        <f>IFERROR(__xludf.DUMMYFUNCTION("""COMPUTED_VALUE"""),45310.0)</f>
        <v>45310</v>
      </c>
      <c r="F93" s="161"/>
      <c r="G93" s="162">
        <f>IFERROR(__xludf.DUMMYFUNCTION("""COMPUTED_VALUE"""),20.866666666666667)</f>
        <v>20.86666667</v>
      </c>
      <c r="H93" s="163">
        <f>IFERROR(__xludf.DUMMYFUNCTION("""COMPUTED_VALUE"""),45310.0)</f>
        <v>45310</v>
      </c>
      <c r="I93" s="162">
        <f>IFERROR(__xludf.DUMMYFUNCTION("""COMPUTED_VALUE"""),0.0)</f>
        <v>0</v>
      </c>
      <c r="J93" s="164"/>
      <c r="K93" s="164">
        <f>IFERROR(__xludf.DUMMYFUNCTION("""COMPUTED_VALUE"""),31.0)</f>
        <v>31</v>
      </c>
      <c r="L93" s="158" t="str">
        <f>IFERROR(__xludf.DUMMYFUNCTION("""COMPUTED_VALUE"""),"Action")</f>
        <v>Action</v>
      </c>
      <c r="M93" s="158"/>
      <c r="N93" s="158"/>
      <c r="O93" s="158" t="str">
        <f>IFERROR(__xludf.DUMMYFUNCTION("""COMPUTED_VALUE"""),"RP")</f>
        <v>RP</v>
      </c>
      <c r="P93" s="158"/>
      <c r="Q93" s="158"/>
      <c r="R93" s="159" t="str">
        <f>IFERROR(__xludf.DUMMYFUNCTION("""COMPUTED_VALUE"""),"Active")</f>
        <v>Active</v>
      </c>
      <c r="S93" s="160">
        <f>IFERROR(__xludf.DUMMYFUNCTION("""COMPUTED_VALUE"""),45547.0)</f>
        <v>45547</v>
      </c>
      <c r="T93" s="162">
        <f>IFERROR(__xludf.DUMMYFUNCTION("""COMPUTED_VALUE"""),7.7666666666666675)</f>
        <v>7.766666667</v>
      </c>
    </row>
    <row r="94">
      <c r="A94" s="158" t="str">
        <f>IFERROR(__xludf.DUMMYFUNCTION("""COMPUTED_VALUE"""),"F1 23")</f>
        <v>F1 23</v>
      </c>
      <c r="B94" s="158" t="str">
        <f>IFERROR(__xludf.DUMMYFUNCTION("""COMPUTED_VALUE"""),"Xbox / PC")</f>
        <v>Xbox / PC</v>
      </c>
      <c r="C94" s="158" t="str">
        <f>IFERROR(__xludf.DUMMYFUNCTION("""COMPUTED_VALUE"""),"Yes")</f>
        <v>Yes</v>
      </c>
      <c r="D94" s="159" t="str">
        <f>IFERROR(__xludf.DUMMYFUNCTION("""COMPUTED_VALUE"""),"Active")</f>
        <v>Active</v>
      </c>
      <c r="E94" s="160">
        <f>IFERROR(__xludf.DUMMYFUNCTION("""COMPUTED_VALUE"""),45309.0)</f>
        <v>45309</v>
      </c>
      <c r="F94" s="161"/>
      <c r="G94" s="162">
        <f>IFERROR(__xludf.DUMMYFUNCTION("""COMPUTED_VALUE"""),20.9)</f>
        <v>20.9</v>
      </c>
      <c r="H94" s="163">
        <f>IFERROR(__xludf.DUMMYFUNCTION("""COMPUTED_VALUE"""),45093.0)</f>
        <v>45093</v>
      </c>
      <c r="I94" s="162">
        <f>IFERROR(__xludf.DUMMYFUNCTION("""COMPUTED_VALUE"""),0.5888888888888889)</f>
        <v>0.5888888889</v>
      </c>
      <c r="J94" s="164">
        <f>IFERROR(__xludf.DUMMYFUNCTION("""COMPUTED_VALUE"""),82.0)</f>
        <v>82</v>
      </c>
      <c r="K94" s="164">
        <f>IFERROR(__xludf.DUMMYFUNCTION("""COMPUTED_VALUE"""),8.0)</f>
        <v>8</v>
      </c>
      <c r="L94" s="158" t="str">
        <f>IFERROR(__xludf.DUMMYFUNCTION("""COMPUTED_VALUE"""),"Driving/Racing")</f>
        <v>Driving/Racing</v>
      </c>
      <c r="M94" s="158"/>
      <c r="N94" s="158"/>
      <c r="O94" s="158"/>
      <c r="P94" s="158"/>
      <c r="Q94" s="158"/>
      <c r="R94" s="159" t="str">
        <f>IFERROR(__xludf.DUMMYFUNCTION("""COMPUTED_VALUE"""),"Active")</f>
        <v>Active</v>
      </c>
      <c r="S94" s="160">
        <f>IFERROR(__xludf.DUMMYFUNCTION("""COMPUTED_VALUE"""),45547.0)</f>
        <v>45547</v>
      </c>
      <c r="T94" s="162">
        <f>IFERROR(__xludf.DUMMYFUNCTION("""COMPUTED_VALUE"""),7.800000000000001)</f>
        <v>7.8</v>
      </c>
    </row>
    <row r="95">
      <c r="A95" s="158" t="str">
        <f>IFERROR(__xludf.DUMMYFUNCTION("""COMPUTED_VALUE"""),"Resident Evil 2 (2019)")</f>
        <v>Resident Evil 2 (2019)</v>
      </c>
      <c r="B95" s="158" t="str">
        <f>IFERROR(__xludf.DUMMYFUNCTION("""COMPUTED_VALUE"""),"Xbox / PC")</f>
        <v>Xbox / PC</v>
      </c>
      <c r="C95" s="158" t="str">
        <f>IFERROR(__xludf.DUMMYFUNCTION("""COMPUTED_VALUE"""),"Yes")</f>
        <v>Yes</v>
      </c>
      <c r="D95" s="159" t="str">
        <f>IFERROR(__xludf.DUMMYFUNCTION("""COMPUTED_VALUE"""),"Active")</f>
        <v>Active</v>
      </c>
      <c r="E95" s="160">
        <f>IFERROR(__xludf.DUMMYFUNCTION("""COMPUTED_VALUE"""),45307.0)</f>
        <v>45307</v>
      </c>
      <c r="F95" s="161"/>
      <c r="G95" s="162">
        <f>IFERROR(__xludf.DUMMYFUNCTION("""COMPUTED_VALUE"""),20.96666666666667)</f>
        <v>20.96666667</v>
      </c>
      <c r="H95" s="163">
        <f>IFERROR(__xludf.DUMMYFUNCTION("""COMPUTED_VALUE"""),43480.0)</f>
        <v>43480</v>
      </c>
      <c r="I95" s="162">
        <f>IFERROR(__xludf.DUMMYFUNCTION("""COMPUTED_VALUE"""),5.002777777777778)</f>
        <v>5.002777778</v>
      </c>
      <c r="J95" s="164">
        <f>IFERROR(__xludf.DUMMYFUNCTION("""COMPUTED_VALUE"""),91.0)</f>
        <v>91</v>
      </c>
      <c r="K95" s="164">
        <f>IFERROR(__xludf.DUMMYFUNCTION("""COMPUTED_VALUE"""),9.0)</f>
        <v>9</v>
      </c>
      <c r="L95" s="158" t="str">
        <f>IFERROR(__xludf.DUMMYFUNCTION("""COMPUTED_VALUE"""),"Shooter / Action-Adventure")</f>
        <v>Shooter / Action-Adventure</v>
      </c>
      <c r="M95" s="158"/>
      <c r="N95" s="158"/>
      <c r="O95" s="158"/>
      <c r="P95" s="158"/>
      <c r="Q95" s="158"/>
      <c r="R95" s="159" t="str">
        <f>IFERROR(__xludf.DUMMYFUNCTION("""COMPUTED_VALUE"""),"Active")</f>
        <v>Active</v>
      </c>
      <c r="S95" s="160">
        <f>IFERROR(__xludf.DUMMYFUNCTION("""COMPUTED_VALUE"""),45547.0)</f>
        <v>45547</v>
      </c>
      <c r="T95" s="162">
        <f>IFERROR(__xludf.DUMMYFUNCTION("""COMPUTED_VALUE"""),7.866666666666667)</f>
        <v>7.866666667</v>
      </c>
    </row>
    <row r="96">
      <c r="A96" s="158" t="str">
        <f>IFERROR(__xludf.DUMMYFUNCTION("""COMPUTED_VALUE"""),"Super Mega Baseball 4")</f>
        <v>Super Mega Baseball 4</v>
      </c>
      <c r="B96" s="158" t="str">
        <f>IFERROR(__xludf.DUMMYFUNCTION("""COMPUTED_VALUE"""),"Xbox / PC")</f>
        <v>Xbox / PC</v>
      </c>
      <c r="C96" s="158" t="str">
        <f>IFERROR(__xludf.DUMMYFUNCTION("""COMPUTED_VALUE"""),"Yes")</f>
        <v>Yes</v>
      </c>
      <c r="D96" s="159" t="str">
        <f>IFERROR(__xludf.DUMMYFUNCTION("""COMPUTED_VALUE"""),"Active")</f>
        <v>Active</v>
      </c>
      <c r="E96" s="160">
        <f>IFERROR(__xludf.DUMMYFUNCTION("""COMPUTED_VALUE"""),45302.0)</f>
        <v>45302</v>
      </c>
      <c r="F96" s="161"/>
      <c r="G96" s="162">
        <f>IFERROR(__xludf.DUMMYFUNCTION("""COMPUTED_VALUE"""),21.133333333333333)</f>
        <v>21.13333333</v>
      </c>
      <c r="H96" s="163">
        <f>IFERROR(__xludf.DUMMYFUNCTION("""COMPUTED_VALUE"""),45079.0)</f>
        <v>45079</v>
      </c>
      <c r="I96" s="162">
        <f>IFERROR(__xludf.DUMMYFUNCTION("""COMPUTED_VALUE"""),0.6083333333333333)</f>
        <v>0.6083333333</v>
      </c>
      <c r="J96" s="164">
        <f>IFERROR(__xludf.DUMMYFUNCTION("""COMPUTED_VALUE"""),79.0)</f>
        <v>79</v>
      </c>
      <c r="K96" s="164"/>
      <c r="L96" s="158" t="str">
        <f>IFERROR(__xludf.DUMMYFUNCTION("""COMPUTED_VALUE"""),"Sports/Baseball")</f>
        <v>Sports/Baseball</v>
      </c>
      <c r="M96" s="158"/>
      <c r="N96" s="158"/>
      <c r="O96" s="158"/>
      <c r="P96" s="158"/>
      <c r="Q96" s="158"/>
      <c r="R96" s="159" t="str">
        <f>IFERROR(__xludf.DUMMYFUNCTION("""COMPUTED_VALUE"""),"Active")</f>
        <v>Active</v>
      </c>
      <c r="S96" s="160">
        <f>IFERROR(__xludf.DUMMYFUNCTION("""COMPUTED_VALUE"""),45547.0)</f>
        <v>45547</v>
      </c>
      <c r="T96" s="162">
        <f>IFERROR(__xludf.DUMMYFUNCTION("""COMPUTED_VALUE"""),8.033333333333333)</f>
        <v>8.033333333</v>
      </c>
    </row>
    <row r="97">
      <c r="A97" s="158" t="str">
        <f>IFERROR(__xludf.DUMMYFUNCTION("""COMPUTED_VALUE"""),"We Happy Few")</f>
        <v>We Happy Few</v>
      </c>
      <c r="B97" s="158" t="str">
        <f>IFERROR(__xludf.DUMMYFUNCTION("""COMPUTED_VALUE"""),"Xbox / PC")</f>
        <v>Xbox / PC</v>
      </c>
      <c r="C97" s="158" t="str">
        <f>IFERROR(__xludf.DUMMYFUNCTION("""COMPUTED_VALUE"""),"Yes")</f>
        <v>Yes</v>
      </c>
      <c r="D97" s="159" t="str">
        <f>IFERROR(__xludf.DUMMYFUNCTION("""COMPUTED_VALUE"""),"Active")</f>
        <v>Active</v>
      </c>
      <c r="E97" s="160">
        <f>IFERROR(__xludf.DUMMYFUNCTION("""COMPUTED_VALUE"""),45302.0)</f>
        <v>45302</v>
      </c>
      <c r="F97" s="161"/>
      <c r="G97" s="162">
        <f>IFERROR(__xludf.DUMMYFUNCTION("""COMPUTED_VALUE"""),21.133333333333333)</f>
        <v>21.13333333</v>
      </c>
      <c r="H97" s="163">
        <f>IFERROR(__xludf.DUMMYFUNCTION("""COMPUTED_VALUE"""),43322.0)</f>
        <v>43322</v>
      </c>
      <c r="I97" s="162">
        <f>IFERROR(__xludf.DUMMYFUNCTION("""COMPUTED_VALUE"""),5.419444444444444)</f>
        <v>5.419444444</v>
      </c>
      <c r="J97" s="164">
        <f>IFERROR(__xludf.DUMMYFUNCTION("""COMPUTED_VALUE"""),64.0)</f>
        <v>64</v>
      </c>
      <c r="K97" s="164">
        <f>IFERROR(__xludf.DUMMYFUNCTION("""COMPUTED_VALUE"""),21.0)</f>
        <v>21</v>
      </c>
      <c r="L97" s="158" t="str">
        <f>IFERROR(__xludf.DUMMYFUNCTION("""COMPUTED_VALUE"""),"Adventure / First-Person Shooter")</f>
        <v>Adventure / First-Person Shooter</v>
      </c>
      <c r="M97" s="158" t="str">
        <f>IFERROR(__xludf.DUMMYFUNCTION("""COMPUTED_VALUE"""),"Optimized")</f>
        <v>Optimized</v>
      </c>
      <c r="N97" s="158" t="str">
        <f>IFERROR(__xludf.DUMMYFUNCTION("""COMPUTED_VALUE"""),"Returning title: Added 1/17/19, left 1/15/23")</f>
        <v>Returning title: Added 1/17/19, left 1/15/23</v>
      </c>
      <c r="O97" s="158" t="str">
        <f>IFERROR(__xludf.DUMMYFUNCTION("""COMPUTED_VALUE"""),"M")</f>
        <v>M</v>
      </c>
      <c r="P97" s="158" t="str">
        <f>IFERROR(__xludf.DUMMYFUNCTION("""COMPUTED_VALUE"""),"Use Of Drugs And Alcohol, Blood, Suggestive Themes, Strong Language, Violence")</f>
        <v>Use Of Drugs And Alcohol, Blood, Suggestive Themes, Strong Language, Violence</v>
      </c>
      <c r="Q97" s="158"/>
      <c r="R97" s="159" t="str">
        <f>IFERROR(__xludf.DUMMYFUNCTION("""COMPUTED_VALUE"""),"Active")</f>
        <v>Active</v>
      </c>
      <c r="S97" s="160">
        <f>IFERROR(__xludf.DUMMYFUNCTION("""COMPUTED_VALUE"""),45547.0)</f>
        <v>45547</v>
      </c>
      <c r="T97" s="162">
        <f>IFERROR(__xludf.DUMMYFUNCTION("""COMPUTED_VALUE"""),8.033333333333333)</f>
        <v>8.033333333</v>
      </c>
    </row>
    <row r="98">
      <c r="A98" s="158" t="str">
        <f>IFERROR(__xludf.DUMMYFUNCTION("""COMPUTED_VALUE"""),"Assassin's Creed Valhalla")</f>
        <v>Assassin's Creed Valhalla</v>
      </c>
      <c r="B98" s="158" t="str">
        <f>IFERROR(__xludf.DUMMYFUNCTION("""COMPUTED_VALUE"""),"Xbox / PC")</f>
        <v>Xbox / PC</v>
      </c>
      <c r="C98" s="158" t="str">
        <f>IFERROR(__xludf.DUMMYFUNCTION("""COMPUTED_VALUE"""),"Yes")</f>
        <v>Yes</v>
      </c>
      <c r="D98" s="159" t="str">
        <f>IFERROR(__xludf.DUMMYFUNCTION("""COMPUTED_VALUE"""),"Active")</f>
        <v>Active</v>
      </c>
      <c r="E98" s="160">
        <f>IFERROR(__xludf.DUMMYFUNCTION("""COMPUTED_VALUE"""),45300.0)</f>
        <v>45300</v>
      </c>
      <c r="F98" s="161"/>
      <c r="G98" s="162">
        <f>IFERROR(__xludf.DUMMYFUNCTION("""COMPUTED_VALUE"""),21.2)</f>
        <v>21.2</v>
      </c>
      <c r="H98" s="163">
        <f>IFERROR(__xludf.DUMMYFUNCTION("""COMPUTED_VALUE"""),44145.0)</f>
        <v>44145</v>
      </c>
      <c r="I98" s="162">
        <f>IFERROR(__xludf.DUMMYFUNCTION("""COMPUTED_VALUE"""),3.1638888888888888)</f>
        <v>3.163888889</v>
      </c>
      <c r="J98" s="164">
        <f>IFERROR(__xludf.DUMMYFUNCTION("""COMPUTED_VALUE"""),80.0)</f>
        <v>80</v>
      </c>
      <c r="K98" s="164">
        <f>IFERROR(__xludf.DUMMYFUNCTION("""COMPUTED_VALUE"""),61.0)</f>
        <v>61</v>
      </c>
      <c r="L98" s="158" t="str">
        <f>IFERROR(__xludf.DUMMYFUNCTION("""COMPUTED_VALUE"""),"RPG / Action-Adventure")</f>
        <v>RPG / Action-Adventure</v>
      </c>
      <c r="M98" s="158"/>
      <c r="N98" s="158" t="str">
        <f>IFERROR(__xludf.DUMMYFUNCTION("""COMPUTED_VALUE"""),"Ubisoft Connect launcher")</f>
        <v>Ubisoft Connect launcher</v>
      </c>
      <c r="O98" s="158"/>
      <c r="P98" s="158"/>
      <c r="Q98" s="158"/>
      <c r="R98" s="159" t="str">
        <f>IFERROR(__xludf.DUMMYFUNCTION("""COMPUTED_VALUE"""),"Active")</f>
        <v>Active</v>
      </c>
      <c r="S98" s="160">
        <f>IFERROR(__xludf.DUMMYFUNCTION("""COMPUTED_VALUE"""),45547.0)</f>
        <v>45547</v>
      </c>
      <c r="T98" s="162">
        <f>IFERROR(__xludf.DUMMYFUNCTION("""COMPUTED_VALUE"""),8.100000000000001)</f>
        <v>8.1</v>
      </c>
    </row>
    <row r="99">
      <c r="A99" s="158" t="str">
        <f>IFERROR(__xludf.DUMMYFUNCTION("""COMPUTED_VALUE"""),"Hell Let Loose")</f>
        <v>Hell Let Loose</v>
      </c>
      <c r="B99" s="158" t="str">
        <f>IFERROR(__xludf.DUMMYFUNCTION("""COMPUTED_VALUE"""),"Xbox / PC")</f>
        <v>Xbox / PC</v>
      </c>
      <c r="C99" s="158" t="str">
        <f>IFERROR(__xludf.DUMMYFUNCTION("""COMPUTED_VALUE"""),"Yes")</f>
        <v>Yes</v>
      </c>
      <c r="D99" s="159" t="str">
        <f>IFERROR(__xludf.DUMMYFUNCTION("""COMPUTED_VALUE"""),"Active")</f>
        <v>Active</v>
      </c>
      <c r="E99" s="160">
        <f>IFERROR(__xludf.DUMMYFUNCTION("""COMPUTED_VALUE"""),45295.0)</f>
        <v>45295</v>
      </c>
      <c r="F99" s="161"/>
      <c r="G99" s="162">
        <f>IFERROR(__xludf.DUMMYFUNCTION("""COMPUTED_VALUE"""),21.366666666666667)</f>
        <v>21.36666667</v>
      </c>
      <c r="H99" s="163">
        <f>IFERROR(__xludf.DUMMYFUNCTION("""COMPUTED_VALUE"""),43622.0)</f>
        <v>43622</v>
      </c>
      <c r="I99" s="162">
        <f>IFERROR(__xludf.DUMMYFUNCTION("""COMPUTED_VALUE"""),4.5777777777777775)</f>
        <v>4.577777778</v>
      </c>
      <c r="J99" s="164">
        <f>IFERROR(__xludf.DUMMYFUNCTION("""COMPUTED_VALUE"""),79.0)</f>
        <v>79</v>
      </c>
      <c r="K99" s="164">
        <f>IFERROR(__xludf.DUMMYFUNCTION("""COMPUTED_VALUE"""),30.0)</f>
        <v>30</v>
      </c>
      <c r="L99" s="158" t="str">
        <f>IFERROR(__xludf.DUMMYFUNCTION("""COMPUTED_VALUE"""),"Action / First-Person Shooter / Vehicular Combat")</f>
        <v>Action / First-Person Shooter / Vehicular Combat</v>
      </c>
      <c r="M99" s="158" t="str">
        <f>IFERROR(__xludf.DUMMYFUNCTION("""COMPUTED_VALUE"""),"Exclusive")</f>
        <v>Exclusive</v>
      </c>
      <c r="N99" s="158"/>
      <c r="O99" s="158"/>
      <c r="P99" s="158"/>
      <c r="Q99" s="158"/>
      <c r="R99" s="159" t="str">
        <f>IFERROR(__xludf.DUMMYFUNCTION("""COMPUTED_VALUE"""),"Active")</f>
        <v>Active</v>
      </c>
      <c r="S99" s="160">
        <f>IFERROR(__xludf.DUMMYFUNCTION("""COMPUTED_VALUE"""),45547.0)</f>
        <v>45547</v>
      </c>
      <c r="T99" s="162">
        <f>IFERROR(__xludf.DUMMYFUNCTION("""COMPUTED_VALUE"""),8.266666666666666)</f>
        <v>8.266666667</v>
      </c>
    </row>
    <row r="100">
      <c r="A100" s="158" t="str">
        <f>IFERROR(__xludf.DUMMYFUNCTION("""COMPUTED_VALUE"""),"Far Cry 6")</f>
        <v>Far Cry 6</v>
      </c>
      <c r="B100" s="158" t="str">
        <f>IFERROR(__xludf.DUMMYFUNCTION("""COMPUTED_VALUE"""),"Xbox / PC")</f>
        <v>Xbox / PC</v>
      </c>
      <c r="C100" s="158" t="str">
        <f>IFERROR(__xludf.DUMMYFUNCTION("""COMPUTED_VALUE"""),"Yes")</f>
        <v>Yes</v>
      </c>
      <c r="D100" s="159" t="str">
        <f>IFERROR(__xludf.DUMMYFUNCTION("""COMPUTED_VALUE"""),"Active")</f>
        <v>Active</v>
      </c>
      <c r="E100" s="160">
        <f>IFERROR(__xludf.DUMMYFUNCTION("""COMPUTED_VALUE"""),45274.0)</f>
        <v>45274</v>
      </c>
      <c r="F100" s="161"/>
      <c r="G100" s="162">
        <f>IFERROR(__xludf.DUMMYFUNCTION("""COMPUTED_VALUE"""),22.03333333333333)</f>
        <v>22.03333333</v>
      </c>
      <c r="H100" s="163">
        <f>IFERROR(__xludf.DUMMYFUNCTION("""COMPUTED_VALUE"""),44476.0)</f>
        <v>44476</v>
      </c>
      <c r="I100" s="162">
        <f>IFERROR(__xludf.DUMMYFUNCTION("""COMPUTED_VALUE"""),2.186111111111111)</f>
        <v>2.186111111</v>
      </c>
      <c r="J100" s="164">
        <f>IFERROR(__xludf.DUMMYFUNCTION("""COMPUTED_VALUE"""),73.0)</f>
        <v>73</v>
      </c>
      <c r="K100" s="164">
        <f>IFERROR(__xludf.DUMMYFUNCTION("""COMPUTED_VALUE"""),24.0)</f>
        <v>24</v>
      </c>
      <c r="L100" s="158" t="str">
        <f>IFERROR(__xludf.DUMMYFUNCTION("""COMPUTED_VALUE"""),"First-Person Shooter")</f>
        <v>First-Person Shooter</v>
      </c>
      <c r="M100" s="158"/>
      <c r="N100" s="158" t="str">
        <f>IFERROR(__xludf.DUMMYFUNCTION("""COMPUTED_VALUE"""),"Ubisoft Connect launcher")</f>
        <v>Ubisoft Connect launcher</v>
      </c>
      <c r="O100" s="158"/>
      <c r="P100" s="158"/>
      <c r="Q100" s="158"/>
      <c r="R100" s="159" t="str">
        <f>IFERROR(__xludf.DUMMYFUNCTION("""COMPUTED_VALUE"""),"Active")</f>
        <v>Active</v>
      </c>
      <c r="S100" s="160">
        <f>IFERROR(__xludf.DUMMYFUNCTION("""COMPUTED_VALUE"""),45547.0)</f>
        <v>45547</v>
      </c>
      <c r="T100" s="162">
        <f>IFERROR(__xludf.DUMMYFUNCTION("""COMPUTED_VALUE"""),8.933333333333334)</f>
        <v>8.933333333</v>
      </c>
    </row>
    <row r="101">
      <c r="A101" s="158" t="str">
        <f>IFERROR(__xludf.DUMMYFUNCTION("""COMPUTED_VALUE"""),"Goat Simulator 3")</f>
        <v>Goat Simulator 3</v>
      </c>
      <c r="B101" s="158" t="str">
        <f>IFERROR(__xludf.DUMMYFUNCTION("""COMPUTED_VALUE"""),"Xbox / PC")</f>
        <v>Xbox / PC</v>
      </c>
      <c r="C101" s="158" t="str">
        <f>IFERROR(__xludf.DUMMYFUNCTION("""COMPUTED_VALUE"""),"Yes")</f>
        <v>Yes</v>
      </c>
      <c r="D101" s="159" t="str">
        <f>IFERROR(__xludf.DUMMYFUNCTION("""COMPUTED_VALUE"""),"Active")</f>
        <v>Active</v>
      </c>
      <c r="E101" s="160">
        <f>IFERROR(__xludf.DUMMYFUNCTION("""COMPUTED_VALUE"""),45267.0)</f>
        <v>45267</v>
      </c>
      <c r="F101" s="161"/>
      <c r="G101" s="162">
        <f>IFERROR(__xludf.DUMMYFUNCTION("""COMPUTED_VALUE"""),22.266666666666666)</f>
        <v>22.26666667</v>
      </c>
      <c r="H101" s="163">
        <f>IFERROR(__xludf.DUMMYFUNCTION("""COMPUTED_VALUE"""),44882.0)</f>
        <v>44882</v>
      </c>
      <c r="I101" s="162">
        <f>IFERROR(__xludf.DUMMYFUNCTION("""COMPUTED_VALUE"""),1.0555555555555556)</f>
        <v>1.055555556</v>
      </c>
      <c r="J101" s="164">
        <f>IFERROR(__xludf.DUMMYFUNCTION("""COMPUTED_VALUE"""),68.0)</f>
        <v>68</v>
      </c>
      <c r="K101" s="164">
        <f>IFERROR(__xludf.DUMMYFUNCTION("""COMPUTED_VALUE"""),8.0)</f>
        <v>8</v>
      </c>
      <c r="L101" s="158" t="str">
        <f>IFERROR(__xludf.DUMMYFUNCTION("""COMPUTED_VALUE"""),"Simulation")</f>
        <v>Simulation</v>
      </c>
      <c r="M101" s="158" t="str">
        <f>IFERROR(__xludf.DUMMYFUNCTION("""COMPUTED_VALUE"""),"Exclusive")</f>
        <v>Exclusive</v>
      </c>
      <c r="N101" s="158"/>
      <c r="O101" s="158"/>
      <c r="P101" s="158"/>
      <c r="Q101" s="158"/>
      <c r="R101" s="159" t="str">
        <f>IFERROR(__xludf.DUMMYFUNCTION("""COMPUTED_VALUE"""),"Active")</f>
        <v>Active</v>
      </c>
      <c r="S101" s="160">
        <f>IFERROR(__xludf.DUMMYFUNCTION("""COMPUTED_VALUE"""),45547.0)</f>
        <v>45547</v>
      </c>
      <c r="T101" s="162">
        <f>IFERROR(__xludf.DUMMYFUNCTION("""COMPUTED_VALUE"""),9.166666666666666)</f>
        <v>9.166666667</v>
      </c>
    </row>
    <row r="102">
      <c r="A102" s="158" t="str">
        <f>IFERROR(__xludf.DUMMYFUNCTION("""COMPUTED_VALUE"""),"Clone Drone in the Danger Zone")</f>
        <v>Clone Drone in the Danger Zone</v>
      </c>
      <c r="B102" s="158" t="str">
        <f>IFERROR(__xludf.DUMMYFUNCTION("""COMPUTED_VALUE"""),"Xbox / PC")</f>
        <v>Xbox / PC</v>
      </c>
      <c r="C102" s="158" t="str">
        <f>IFERROR(__xludf.DUMMYFUNCTION("""COMPUTED_VALUE"""),"Yes")</f>
        <v>Yes</v>
      </c>
      <c r="D102" s="159" t="str">
        <f>IFERROR(__xludf.DUMMYFUNCTION("""COMPUTED_VALUE"""),"Active")</f>
        <v>Active</v>
      </c>
      <c r="E102" s="160">
        <f>IFERROR(__xludf.DUMMYFUNCTION("""COMPUTED_VALUE"""),45265.0)</f>
        <v>45265</v>
      </c>
      <c r="F102" s="161"/>
      <c r="G102" s="162">
        <f>IFERROR(__xludf.DUMMYFUNCTION("""COMPUTED_VALUE"""),22.333333333333336)</f>
        <v>22.33333333</v>
      </c>
      <c r="H102" s="163">
        <f>IFERROR(__xludf.DUMMYFUNCTION("""COMPUTED_VALUE"""),42702.0)</f>
        <v>42702</v>
      </c>
      <c r="I102" s="162">
        <f>IFERROR(__xludf.DUMMYFUNCTION("""COMPUTED_VALUE"""),7.019444444444445)</f>
        <v>7.019444444</v>
      </c>
      <c r="J102" s="164">
        <f>IFERROR(__xludf.DUMMYFUNCTION("""COMPUTED_VALUE"""),82.0)</f>
        <v>82</v>
      </c>
      <c r="K102" s="164">
        <f>IFERROR(__xludf.DUMMYFUNCTION("""COMPUTED_VALUE"""),2.0)</f>
        <v>2</v>
      </c>
      <c r="L102" s="158" t="str">
        <f>IFERROR(__xludf.DUMMYFUNCTION("""COMPUTED_VALUE"""),"Action / Simulation / Fighting / Brawler")</f>
        <v>Action / Simulation / Fighting / Brawler</v>
      </c>
      <c r="M102" s="158" t="str">
        <f>IFERROR(__xludf.DUMMYFUNCTION("""COMPUTED_VALUE"""),"Exclusive")</f>
        <v>Exclusive</v>
      </c>
      <c r="N102" s="158"/>
      <c r="O102" s="158"/>
      <c r="P102" s="158"/>
      <c r="Q102" s="158"/>
      <c r="R102" s="159" t="str">
        <f>IFERROR(__xludf.DUMMYFUNCTION("""COMPUTED_VALUE"""),"Active")</f>
        <v>Active</v>
      </c>
      <c r="S102" s="160">
        <f>IFERROR(__xludf.DUMMYFUNCTION("""COMPUTED_VALUE"""),45547.0)</f>
        <v>45547</v>
      </c>
      <c r="T102" s="162">
        <f>IFERROR(__xludf.DUMMYFUNCTION("""COMPUTED_VALUE"""),9.233333333333334)</f>
        <v>9.233333333</v>
      </c>
    </row>
    <row r="103">
      <c r="A103" s="158" t="str">
        <f>IFERROR(__xludf.DUMMYFUNCTION("""COMPUTED_VALUE"""),"World War Z: Aftermath")</f>
        <v>World War Z: Aftermath</v>
      </c>
      <c r="B103" s="158" t="str">
        <f>IFERROR(__xludf.DUMMYFUNCTION("""COMPUTED_VALUE"""),"Xbox / PC")</f>
        <v>Xbox / PC</v>
      </c>
      <c r="C103" s="158" t="str">
        <f>IFERROR(__xludf.DUMMYFUNCTION("""COMPUTED_VALUE"""),"Yes")</f>
        <v>Yes</v>
      </c>
      <c r="D103" s="159" t="str">
        <f>IFERROR(__xludf.DUMMYFUNCTION("""COMPUTED_VALUE"""),"Active")</f>
        <v>Active</v>
      </c>
      <c r="E103" s="160">
        <f>IFERROR(__xludf.DUMMYFUNCTION("""COMPUTED_VALUE"""),45265.0)</f>
        <v>45265</v>
      </c>
      <c r="F103" s="161"/>
      <c r="G103" s="162">
        <f>IFERROR(__xludf.DUMMYFUNCTION("""COMPUTED_VALUE"""),22.333333333333336)</f>
        <v>22.33333333</v>
      </c>
      <c r="H103" s="163">
        <f>IFERROR(__xludf.DUMMYFUNCTION("""COMPUTED_VALUE"""),43571.0)</f>
        <v>43571</v>
      </c>
      <c r="I103" s="162">
        <f>IFERROR(__xludf.DUMMYFUNCTION("""COMPUTED_VALUE"""),4.636111111111111)</f>
        <v>4.636111111</v>
      </c>
      <c r="J103" s="164">
        <f>IFERROR(__xludf.DUMMYFUNCTION("""COMPUTED_VALUE"""),73.0)</f>
        <v>73</v>
      </c>
      <c r="K103" s="164">
        <f>IFERROR(__xludf.DUMMYFUNCTION("""COMPUTED_VALUE"""),7.0)</f>
        <v>7</v>
      </c>
      <c r="L103" s="158" t="str">
        <f>IFERROR(__xludf.DUMMYFUNCTION("""COMPUTED_VALUE"""),"Action")</f>
        <v>Action</v>
      </c>
      <c r="M103" s="158"/>
      <c r="N103" s="158" t="str">
        <f>IFERROR(__xludf.DUMMYFUNCTION("""COMPUTED_VALUE"""),"Returning title: Joined 10/10/19, left 8/31/22 (original game)")</f>
        <v>Returning title: Joined 10/10/19, left 8/31/22 (original game)</v>
      </c>
      <c r="O103" s="158" t="str">
        <f>IFERROR(__xludf.DUMMYFUNCTION("""COMPUTED_VALUE"""),"M")</f>
        <v>M</v>
      </c>
      <c r="P103" s="158" t="str">
        <f>IFERROR(__xludf.DUMMYFUNCTION("""COMPUTED_VALUE"""),"Blood and Gore, Intense Violence, Strong Language")</f>
        <v>Blood and Gore, Intense Violence, Strong Language</v>
      </c>
      <c r="Q103" s="158"/>
      <c r="R103" s="159" t="str">
        <f>IFERROR(__xludf.DUMMYFUNCTION("""COMPUTED_VALUE"""),"Active")</f>
        <v>Active</v>
      </c>
      <c r="S103" s="160">
        <f>IFERROR(__xludf.DUMMYFUNCTION("""COMPUTED_VALUE"""),45547.0)</f>
        <v>45547</v>
      </c>
      <c r="T103" s="162">
        <f>IFERROR(__xludf.DUMMYFUNCTION("""COMPUTED_VALUE"""),9.233333333333334)</f>
        <v>9.233333333</v>
      </c>
    </row>
    <row r="104">
      <c r="A104" s="158" t="str">
        <f>IFERROR(__xludf.DUMMYFUNCTION("""COMPUTED_VALUE"""),"SteamWorld Build")</f>
        <v>SteamWorld Build</v>
      </c>
      <c r="B104" s="158" t="str">
        <f>IFERROR(__xludf.DUMMYFUNCTION("""COMPUTED_VALUE"""),"Xbox / PC")</f>
        <v>Xbox / PC</v>
      </c>
      <c r="C104" s="158" t="str">
        <f>IFERROR(__xludf.DUMMYFUNCTION("""COMPUTED_VALUE"""),"Yes")</f>
        <v>Yes</v>
      </c>
      <c r="D104" s="159" t="str">
        <f>IFERROR(__xludf.DUMMYFUNCTION("""COMPUTED_VALUE"""),"Active")</f>
        <v>Active</v>
      </c>
      <c r="E104" s="160">
        <f>IFERROR(__xludf.DUMMYFUNCTION("""COMPUTED_VALUE"""),45261.0)</f>
        <v>45261</v>
      </c>
      <c r="F104" s="161"/>
      <c r="G104" s="162">
        <f>IFERROR(__xludf.DUMMYFUNCTION("""COMPUTED_VALUE"""),22.46666666666667)</f>
        <v>22.46666667</v>
      </c>
      <c r="H104" s="163">
        <f>IFERROR(__xludf.DUMMYFUNCTION("""COMPUTED_VALUE"""),45261.0)</f>
        <v>45261</v>
      </c>
      <c r="I104" s="162">
        <f>IFERROR(__xludf.DUMMYFUNCTION("""COMPUTED_VALUE"""),0.0)</f>
        <v>0</v>
      </c>
      <c r="J104" s="164">
        <f>IFERROR(__xludf.DUMMYFUNCTION("""COMPUTED_VALUE"""),74.0)</f>
        <v>74</v>
      </c>
      <c r="K104" s="164">
        <f>IFERROR(__xludf.DUMMYFUNCTION("""COMPUTED_VALUE"""),9.0)</f>
        <v>9</v>
      </c>
      <c r="L104" s="158" t="str">
        <f>IFERROR(__xludf.DUMMYFUNCTION("""COMPUTED_VALUE"""),"Strategy / Simulation")</f>
        <v>Strategy / Simulation</v>
      </c>
      <c r="M104" s="158"/>
      <c r="N104" s="158"/>
      <c r="O104" s="158"/>
      <c r="P104" s="158"/>
      <c r="Q104" s="158"/>
      <c r="R104" s="159" t="str">
        <f>IFERROR(__xludf.DUMMYFUNCTION("""COMPUTED_VALUE"""),"Active")</f>
        <v>Active</v>
      </c>
      <c r="S104" s="160">
        <f>IFERROR(__xludf.DUMMYFUNCTION("""COMPUTED_VALUE"""),45547.0)</f>
        <v>45547</v>
      </c>
      <c r="T104" s="162">
        <f>IFERROR(__xludf.DUMMYFUNCTION("""COMPUTED_VALUE"""),9.366666666666667)</f>
        <v>9.366666667</v>
      </c>
    </row>
    <row r="105">
      <c r="A105" s="158" t="str">
        <f>IFERROR(__xludf.DUMMYFUNCTION("""COMPUTED_VALUE"""),"Spirittea")</f>
        <v>Spirittea</v>
      </c>
      <c r="B105" s="158" t="str">
        <f>IFERROR(__xludf.DUMMYFUNCTION("""COMPUTED_VALUE"""),"Xbox / PC")</f>
        <v>Xbox / PC</v>
      </c>
      <c r="C105" s="158" t="str">
        <f>IFERROR(__xludf.DUMMYFUNCTION("""COMPUTED_VALUE"""),"Yes")</f>
        <v>Yes</v>
      </c>
      <c r="D105" s="159" t="str">
        <f>IFERROR(__xludf.DUMMYFUNCTION("""COMPUTED_VALUE"""),"Active")</f>
        <v>Active</v>
      </c>
      <c r="E105" s="160">
        <f>IFERROR(__xludf.DUMMYFUNCTION("""COMPUTED_VALUE"""),45243.0)</f>
        <v>45243</v>
      </c>
      <c r="F105" s="161"/>
      <c r="G105" s="162">
        <f>IFERROR(__xludf.DUMMYFUNCTION("""COMPUTED_VALUE"""),23.066666666666666)</f>
        <v>23.06666667</v>
      </c>
      <c r="H105" s="163">
        <f>IFERROR(__xludf.DUMMYFUNCTION("""COMPUTED_VALUE"""),45243.0)</f>
        <v>45243</v>
      </c>
      <c r="I105" s="162">
        <f>IFERROR(__xludf.DUMMYFUNCTION("""COMPUTED_VALUE"""),0.0)</f>
        <v>0</v>
      </c>
      <c r="J105" s="164">
        <f>IFERROR(__xludf.DUMMYFUNCTION("""COMPUTED_VALUE"""),76.0)</f>
        <v>76</v>
      </c>
      <c r="K105" s="164">
        <f>IFERROR(__xludf.DUMMYFUNCTION("""COMPUTED_VALUE"""),33.0)</f>
        <v>33</v>
      </c>
      <c r="L105" s="158" t="str">
        <f>IFERROR(__xludf.DUMMYFUNCTION("""COMPUTED_VALUE"""),"Strategy / Adventure / RPG / Simulation")</f>
        <v>Strategy / Adventure / RPG / Simulation</v>
      </c>
      <c r="M105" s="158"/>
      <c r="N105" s="158"/>
      <c r="O105" s="158"/>
      <c r="P105" s="158"/>
      <c r="Q105" s="158"/>
      <c r="R105" s="159" t="str">
        <f>IFERROR(__xludf.DUMMYFUNCTION("""COMPUTED_VALUE"""),"Active")</f>
        <v>Active</v>
      </c>
      <c r="S105" s="160">
        <f>IFERROR(__xludf.DUMMYFUNCTION("""COMPUTED_VALUE"""),45547.0)</f>
        <v>45547</v>
      </c>
      <c r="T105" s="162">
        <f>IFERROR(__xludf.DUMMYFUNCTION("""COMPUTED_VALUE"""),9.966666666666667)</f>
        <v>9.966666667</v>
      </c>
    </row>
    <row r="106">
      <c r="A106" s="158" t="str">
        <f>IFERROR(__xludf.DUMMYFUNCTION("""COMPUTED_VALUE"""),"Wild Hearts")</f>
        <v>Wild Hearts</v>
      </c>
      <c r="B106" s="158" t="str">
        <f>IFERROR(__xludf.DUMMYFUNCTION("""COMPUTED_VALUE"""),"Xbox / PC")</f>
        <v>Xbox / PC</v>
      </c>
      <c r="C106" s="158" t="str">
        <f>IFERROR(__xludf.DUMMYFUNCTION("""COMPUTED_VALUE"""),"Yes")</f>
        <v>Yes</v>
      </c>
      <c r="D106" s="159" t="str">
        <f>IFERROR(__xludf.DUMMYFUNCTION("""COMPUTED_VALUE"""),"Active")</f>
        <v>Active</v>
      </c>
      <c r="E106" s="160">
        <f>IFERROR(__xludf.DUMMYFUNCTION("""COMPUTED_VALUE"""),45239.0)</f>
        <v>45239</v>
      </c>
      <c r="F106" s="161"/>
      <c r="G106" s="162">
        <f>IFERROR(__xludf.DUMMYFUNCTION("""COMPUTED_VALUE"""),23.2)</f>
        <v>23.2</v>
      </c>
      <c r="H106" s="163">
        <f>IFERROR(__xludf.DUMMYFUNCTION("""COMPUTED_VALUE"""),44974.0)</f>
        <v>44974</v>
      </c>
      <c r="I106" s="162">
        <f>IFERROR(__xludf.DUMMYFUNCTION("""COMPUTED_VALUE"""),0.7277777777777777)</f>
        <v>0.7277777778</v>
      </c>
      <c r="J106" s="164">
        <f>IFERROR(__xludf.DUMMYFUNCTION("""COMPUTED_VALUE"""),79.0)</f>
        <v>79</v>
      </c>
      <c r="K106" s="164">
        <f>IFERROR(__xludf.DUMMYFUNCTION("""COMPUTED_VALUE"""),46.0)</f>
        <v>46</v>
      </c>
      <c r="L106" s="158" t="str">
        <f>IFERROR(__xludf.DUMMYFUNCTION("""COMPUTED_VALUE"""),"Action-Adventure")</f>
        <v>Action-Adventure</v>
      </c>
      <c r="M106" s="158"/>
      <c r="N106" s="158"/>
      <c r="O106" s="158"/>
      <c r="P106" s="158"/>
      <c r="Q106" s="158"/>
      <c r="R106" s="159" t="str">
        <f>IFERROR(__xludf.DUMMYFUNCTION("""COMPUTED_VALUE"""),"Active")</f>
        <v>Active</v>
      </c>
      <c r="S106" s="160">
        <f>IFERROR(__xludf.DUMMYFUNCTION("""COMPUTED_VALUE"""),45547.0)</f>
        <v>45547</v>
      </c>
      <c r="T106" s="162">
        <f>IFERROR(__xludf.DUMMYFUNCTION("""COMPUTED_VALUE"""),10.1)</f>
        <v>10.1</v>
      </c>
    </row>
    <row r="107">
      <c r="A107" s="158" t="str">
        <f>IFERROR(__xludf.DUMMYFUNCTION("""COMPUTED_VALUE"""),"Football Manager 2024")</f>
        <v>Football Manager 2024</v>
      </c>
      <c r="B107" s="158" t="str">
        <f>IFERROR(__xludf.DUMMYFUNCTION("""COMPUTED_VALUE"""),"Xbox / PC")</f>
        <v>Xbox / PC</v>
      </c>
      <c r="C107" s="158" t="str">
        <f>IFERROR(__xludf.DUMMYFUNCTION("""COMPUTED_VALUE"""),"Yes")</f>
        <v>Yes</v>
      </c>
      <c r="D107" s="159" t="str">
        <f>IFERROR(__xludf.DUMMYFUNCTION("""COMPUTED_VALUE"""),"Active")</f>
        <v>Active</v>
      </c>
      <c r="E107" s="160">
        <f>IFERROR(__xludf.DUMMYFUNCTION("""COMPUTED_VALUE"""),45236.0)</f>
        <v>45236</v>
      </c>
      <c r="F107" s="161"/>
      <c r="G107" s="162">
        <f>IFERROR(__xludf.DUMMYFUNCTION("""COMPUTED_VALUE"""),23.3)</f>
        <v>23.3</v>
      </c>
      <c r="H107" s="163">
        <f>IFERROR(__xludf.DUMMYFUNCTION("""COMPUTED_VALUE"""),45236.0)</f>
        <v>45236</v>
      </c>
      <c r="I107" s="162">
        <f>IFERROR(__xludf.DUMMYFUNCTION("""COMPUTED_VALUE"""),0.0)</f>
        <v>0</v>
      </c>
      <c r="J107" s="164">
        <f>IFERROR(__xludf.DUMMYFUNCTION("""COMPUTED_VALUE"""),84.0)</f>
        <v>84</v>
      </c>
      <c r="K107" s="164">
        <f>IFERROR(__xludf.DUMMYFUNCTION("""COMPUTED_VALUE"""),11.0)</f>
        <v>11</v>
      </c>
      <c r="L107" s="158" t="str">
        <f>IFERROR(__xludf.DUMMYFUNCTION("""COMPUTED_VALUE"""),"Simulation / Soccer")</f>
        <v>Simulation / Soccer</v>
      </c>
      <c r="M107" s="158"/>
      <c r="N107" s="158"/>
      <c r="O107" s="158"/>
      <c r="P107" s="158"/>
      <c r="Q107" s="158"/>
      <c r="R107" s="159" t="str">
        <f>IFERROR(__xludf.DUMMYFUNCTION("""COMPUTED_VALUE"""),"Active")</f>
        <v>Active</v>
      </c>
      <c r="S107" s="160">
        <f>IFERROR(__xludf.DUMMYFUNCTION("""COMPUTED_VALUE"""),45547.0)</f>
        <v>45547</v>
      </c>
      <c r="T107" s="162">
        <f>IFERROR(__xludf.DUMMYFUNCTION("""COMPUTED_VALUE"""),10.2)</f>
        <v>10.2</v>
      </c>
    </row>
    <row r="108">
      <c r="A108" s="158" t="str">
        <f>IFERROR(__xludf.DUMMYFUNCTION("""COMPUTED_VALUE"""),"Thirsty Suitors")</f>
        <v>Thirsty Suitors</v>
      </c>
      <c r="B108" s="158" t="str">
        <f>IFERROR(__xludf.DUMMYFUNCTION("""COMPUTED_VALUE"""),"Xbox / PC")</f>
        <v>Xbox / PC</v>
      </c>
      <c r="C108" s="158" t="str">
        <f>IFERROR(__xludf.DUMMYFUNCTION("""COMPUTED_VALUE"""),"Yes")</f>
        <v>Yes</v>
      </c>
      <c r="D108" s="159" t="str">
        <f>IFERROR(__xludf.DUMMYFUNCTION("""COMPUTED_VALUE"""),"Active")</f>
        <v>Active</v>
      </c>
      <c r="E108" s="160">
        <f>IFERROR(__xludf.DUMMYFUNCTION("""COMPUTED_VALUE"""),45232.0)</f>
        <v>45232</v>
      </c>
      <c r="F108" s="161"/>
      <c r="G108" s="162">
        <f>IFERROR(__xludf.DUMMYFUNCTION("""COMPUTED_VALUE"""),23.433333333333334)</f>
        <v>23.43333333</v>
      </c>
      <c r="H108" s="163">
        <f>IFERROR(__xludf.DUMMYFUNCTION("""COMPUTED_VALUE"""),45232.0)</f>
        <v>45232</v>
      </c>
      <c r="I108" s="162">
        <f>IFERROR(__xludf.DUMMYFUNCTION("""COMPUTED_VALUE"""),0.0)</f>
        <v>0</v>
      </c>
      <c r="J108" s="164">
        <f>IFERROR(__xludf.DUMMYFUNCTION("""COMPUTED_VALUE"""),80.0)</f>
        <v>80</v>
      </c>
      <c r="K108" s="164">
        <f>IFERROR(__xludf.DUMMYFUNCTION("""COMPUTED_VALUE"""),8.0)</f>
        <v>8</v>
      </c>
      <c r="L108" s="158" t="str">
        <f>IFERROR(__xludf.DUMMYFUNCTION("""COMPUTED_VALUE"""),"Adventure / RPG")</f>
        <v>Adventure / RPG</v>
      </c>
      <c r="M108" s="158"/>
      <c r="N108" s="158"/>
      <c r="O108" s="158" t="str">
        <f>IFERROR(__xludf.DUMMYFUNCTION("""COMPUTED_VALUE"""),"T")</f>
        <v>T</v>
      </c>
      <c r="P108" s="158"/>
      <c r="Q108" s="158"/>
      <c r="R108" s="159" t="str">
        <f>IFERROR(__xludf.DUMMYFUNCTION("""COMPUTED_VALUE"""),"Active")</f>
        <v>Active</v>
      </c>
      <c r="S108" s="160">
        <f>IFERROR(__xludf.DUMMYFUNCTION("""COMPUTED_VALUE"""),45547.0)</f>
        <v>45547</v>
      </c>
      <c r="T108" s="162">
        <f>IFERROR(__xludf.DUMMYFUNCTION("""COMPUTED_VALUE"""),10.333333333333334)</f>
        <v>10.33333333</v>
      </c>
    </row>
    <row r="109">
      <c r="A109" s="158" t="str">
        <f>IFERROR(__xludf.DUMMYFUNCTION("""COMPUTED_VALUE"""),"Jusant")</f>
        <v>Jusant</v>
      </c>
      <c r="B109" s="158" t="str">
        <f>IFERROR(__xludf.DUMMYFUNCTION("""COMPUTED_VALUE"""),"Xbox / PC")</f>
        <v>Xbox / PC</v>
      </c>
      <c r="C109" s="158" t="str">
        <f>IFERROR(__xludf.DUMMYFUNCTION("""COMPUTED_VALUE"""),"Yes")</f>
        <v>Yes</v>
      </c>
      <c r="D109" s="159" t="str">
        <f>IFERROR(__xludf.DUMMYFUNCTION("""COMPUTED_VALUE"""),"Active")</f>
        <v>Active</v>
      </c>
      <c r="E109" s="160">
        <f>IFERROR(__xludf.DUMMYFUNCTION("""COMPUTED_VALUE"""),45230.0)</f>
        <v>45230</v>
      </c>
      <c r="F109" s="161"/>
      <c r="G109" s="162">
        <f>IFERROR(__xludf.DUMMYFUNCTION("""COMPUTED_VALUE"""),23.5)</f>
        <v>23.5</v>
      </c>
      <c r="H109" s="163">
        <f>IFERROR(__xludf.DUMMYFUNCTION("""COMPUTED_VALUE"""),45230.0)</f>
        <v>45230</v>
      </c>
      <c r="I109" s="162">
        <f>IFERROR(__xludf.DUMMYFUNCTION("""COMPUTED_VALUE"""),0.0)</f>
        <v>0</v>
      </c>
      <c r="J109" s="164">
        <f>IFERROR(__xludf.DUMMYFUNCTION("""COMPUTED_VALUE"""),83.0)</f>
        <v>83</v>
      </c>
      <c r="K109" s="164">
        <f>IFERROR(__xludf.DUMMYFUNCTION("""COMPUTED_VALUE"""),4.0)</f>
        <v>4</v>
      </c>
      <c r="L109" s="158" t="str">
        <f>IFERROR(__xludf.DUMMYFUNCTION("""COMPUTED_VALUE"""),"Adventure")</f>
        <v>Adventure</v>
      </c>
      <c r="M109" s="158"/>
      <c r="N109" s="158"/>
      <c r="O109" s="158" t="str">
        <f>IFERROR(__xludf.DUMMYFUNCTION("""COMPUTED_VALUE"""),"RP")</f>
        <v>RP</v>
      </c>
      <c r="P109" s="158"/>
      <c r="Q109" s="158"/>
      <c r="R109" s="159" t="str">
        <f>IFERROR(__xludf.DUMMYFUNCTION("""COMPUTED_VALUE"""),"Active")</f>
        <v>Active</v>
      </c>
      <c r="S109" s="160">
        <f>IFERROR(__xludf.DUMMYFUNCTION("""COMPUTED_VALUE"""),45547.0)</f>
        <v>45547</v>
      </c>
      <c r="T109" s="162">
        <f>IFERROR(__xludf.DUMMYFUNCTION("""COMPUTED_VALUE"""),10.4)</f>
        <v>10.4</v>
      </c>
    </row>
    <row r="110">
      <c r="A110" s="158" t="str">
        <f>IFERROR(__xludf.DUMMYFUNCTION("""COMPUTED_VALUE"""),"Wartales")</f>
        <v>Wartales</v>
      </c>
      <c r="B110" s="158" t="str">
        <f>IFERROR(__xludf.DUMMYFUNCTION("""COMPUTED_VALUE"""),"Xbox / PC")</f>
        <v>Xbox / PC</v>
      </c>
      <c r="C110" s="158" t="str">
        <f>IFERROR(__xludf.DUMMYFUNCTION("""COMPUTED_VALUE"""),"Yes")</f>
        <v>Yes</v>
      </c>
      <c r="D110" s="159" t="str">
        <f>IFERROR(__xludf.DUMMYFUNCTION("""COMPUTED_VALUE"""),"Active")</f>
        <v>Active</v>
      </c>
      <c r="E110" s="160">
        <f>IFERROR(__xludf.DUMMYFUNCTION("""COMPUTED_VALUE"""),45230.0)</f>
        <v>45230</v>
      </c>
      <c r="F110" s="161"/>
      <c r="G110" s="162">
        <f>IFERROR(__xludf.DUMMYFUNCTION("""COMPUTED_VALUE"""),23.5)</f>
        <v>23.5</v>
      </c>
      <c r="H110" s="163">
        <f>IFERROR(__xludf.DUMMYFUNCTION("""COMPUTED_VALUE"""),44531.0)</f>
        <v>44531</v>
      </c>
      <c r="I110" s="162">
        <f>IFERROR(__xludf.DUMMYFUNCTION("""COMPUTED_VALUE"""),1.913888888888889)</f>
        <v>1.913888889</v>
      </c>
      <c r="J110" s="164">
        <f>IFERROR(__xludf.DUMMYFUNCTION("""COMPUTED_VALUE"""),80.0)</f>
        <v>80</v>
      </c>
      <c r="K110" s="164">
        <f>IFERROR(__xludf.DUMMYFUNCTION("""COMPUTED_VALUE"""),38.0)</f>
        <v>38</v>
      </c>
      <c r="L110" s="158" t="str">
        <f>IFERROR(__xludf.DUMMYFUNCTION("""COMPUTED_VALUE"""),"Strategy / Adventure / RPG")</f>
        <v>Strategy / Adventure / RPG</v>
      </c>
      <c r="M110" s="158"/>
      <c r="N110" s="158" t="str">
        <f>IFERROR(__xludf.DUMMYFUNCTION("""COMPUTED_VALUE"""),"Joined xbox one ine June 2024")</f>
        <v>Joined xbox one ine June 2024</v>
      </c>
      <c r="O110" s="158"/>
      <c r="P110" s="158"/>
      <c r="Q110" s="158"/>
      <c r="R110" s="159" t="str">
        <f>IFERROR(__xludf.DUMMYFUNCTION("""COMPUTED_VALUE"""),"Active")</f>
        <v>Active</v>
      </c>
      <c r="S110" s="160">
        <f>IFERROR(__xludf.DUMMYFUNCTION("""COMPUTED_VALUE"""),45547.0)</f>
        <v>45547</v>
      </c>
      <c r="T110" s="162">
        <f>IFERROR(__xludf.DUMMYFUNCTION("""COMPUTED_VALUE"""),10.4)</f>
        <v>10.4</v>
      </c>
    </row>
    <row r="111">
      <c r="A111" s="158" t="str">
        <f>IFERROR(__xludf.DUMMYFUNCTION("""COMPUTED_VALUE"""),"Dead Space (2023)")</f>
        <v>Dead Space (2023)</v>
      </c>
      <c r="B111" s="158" t="str">
        <f>IFERROR(__xludf.DUMMYFUNCTION("""COMPUTED_VALUE"""),"Xbox / PC")</f>
        <v>Xbox / PC</v>
      </c>
      <c r="C111" s="158" t="str">
        <f>IFERROR(__xludf.DUMMYFUNCTION("""COMPUTED_VALUE"""),"Yes")</f>
        <v>Yes</v>
      </c>
      <c r="D111" s="159" t="str">
        <f>IFERROR(__xludf.DUMMYFUNCTION("""COMPUTED_VALUE"""),"Active")</f>
        <v>Active</v>
      </c>
      <c r="E111" s="160">
        <f>IFERROR(__xludf.DUMMYFUNCTION("""COMPUTED_VALUE"""),45225.0)</f>
        <v>45225</v>
      </c>
      <c r="F111" s="161"/>
      <c r="G111" s="162">
        <f>IFERROR(__xludf.DUMMYFUNCTION("""COMPUTED_VALUE"""),23.633333333333333)</f>
        <v>23.63333333</v>
      </c>
      <c r="H111" s="163">
        <f>IFERROR(__xludf.DUMMYFUNCTION("""COMPUTED_VALUE"""),44953.0)</f>
        <v>44953</v>
      </c>
      <c r="I111" s="162">
        <f>IFERROR(__xludf.DUMMYFUNCTION("""COMPUTED_VALUE"""),0.7472222222222222)</f>
        <v>0.7472222222</v>
      </c>
      <c r="J111" s="164">
        <f>IFERROR(__xludf.DUMMYFUNCTION("""COMPUTED_VALUE"""),88.0)</f>
        <v>88</v>
      </c>
      <c r="K111" s="164">
        <f>IFERROR(__xludf.DUMMYFUNCTION("""COMPUTED_VALUE"""),12.0)</f>
        <v>12</v>
      </c>
      <c r="L111" s="158" t="str">
        <f>IFERROR(__xludf.DUMMYFUNCTION("""COMPUTED_VALUE"""),"Shooter / Action-Adventure")</f>
        <v>Shooter / Action-Adventure</v>
      </c>
      <c r="M111" s="158" t="str">
        <f>IFERROR(__xludf.DUMMYFUNCTION("""COMPUTED_VALUE"""),"Exclusive")</f>
        <v>Exclusive</v>
      </c>
      <c r="N111" s="158"/>
      <c r="O111" s="158" t="str">
        <f>IFERROR(__xludf.DUMMYFUNCTION("""COMPUTED_VALUE"""),"M")</f>
        <v>M</v>
      </c>
      <c r="P111" s="158" t="str">
        <f>IFERROR(__xludf.DUMMYFUNCTION("""COMPUTED_VALUE"""),"Blood and Gore, Intense Violence, Strong Language")</f>
        <v>Blood and Gore, Intense Violence, Strong Language</v>
      </c>
      <c r="Q111" s="158"/>
      <c r="R111" s="159" t="str">
        <f>IFERROR(__xludf.DUMMYFUNCTION("""COMPUTED_VALUE"""),"Active")</f>
        <v>Active</v>
      </c>
      <c r="S111" s="160">
        <f>IFERROR(__xludf.DUMMYFUNCTION("""COMPUTED_VALUE"""),45547.0)</f>
        <v>45547</v>
      </c>
      <c r="T111" s="162">
        <f>IFERROR(__xludf.DUMMYFUNCTION("""COMPUTED_VALUE"""),10.533333333333333)</f>
        <v>10.53333333</v>
      </c>
    </row>
    <row r="112">
      <c r="A112" s="158" t="str">
        <f>IFERROR(__xludf.DUMMYFUNCTION("""COMPUTED_VALUE"""),"Spiritfarer")</f>
        <v>Spiritfarer</v>
      </c>
      <c r="B112" s="158" t="str">
        <f>IFERROR(__xludf.DUMMYFUNCTION("""COMPUTED_VALUE"""),"Xbox / PC")</f>
        <v>Xbox / PC</v>
      </c>
      <c r="C112" s="158" t="str">
        <f>IFERROR(__xludf.DUMMYFUNCTION("""COMPUTED_VALUE"""),"Touch Controls")</f>
        <v>Touch Controls</v>
      </c>
      <c r="D112" s="159" t="str">
        <f>IFERROR(__xludf.DUMMYFUNCTION("""COMPUTED_VALUE"""),"Active")</f>
        <v>Active</v>
      </c>
      <c r="E112" s="160">
        <f>IFERROR(__xludf.DUMMYFUNCTION("""COMPUTED_VALUE"""),45182.0)</f>
        <v>45182</v>
      </c>
      <c r="F112" s="161"/>
      <c r="G112" s="162">
        <f>IFERROR(__xludf.DUMMYFUNCTION("""COMPUTED_VALUE"""),25.06666666666667)</f>
        <v>25.06666667</v>
      </c>
      <c r="H112" s="163">
        <f>IFERROR(__xludf.DUMMYFUNCTION("""COMPUTED_VALUE"""),44061.0)</f>
        <v>44061</v>
      </c>
      <c r="I112" s="162">
        <f>IFERROR(__xludf.DUMMYFUNCTION("""COMPUTED_VALUE"""),3.0694444444444446)</f>
        <v>3.069444444</v>
      </c>
      <c r="J112" s="164">
        <f>IFERROR(__xludf.DUMMYFUNCTION("""COMPUTED_VALUE"""),86.0)</f>
        <v>86</v>
      </c>
      <c r="K112" s="164">
        <f>IFERROR(__xludf.DUMMYFUNCTION("""COMPUTED_VALUE"""),21.0)</f>
        <v>21</v>
      </c>
      <c r="L112" s="158" t="str">
        <f>IFERROR(__xludf.DUMMYFUNCTION("""COMPUTED_VALUE"""),"Adventure")</f>
        <v>Adventure</v>
      </c>
      <c r="M112" s="158"/>
      <c r="N112" s="158" t="str">
        <f>IFERROR(__xludf.DUMMYFUNCTION("""COMPUTED_VALUE"""),"Game Pass Essential launch title (9/14/23), Returning title: Joined 8/18/20, left 8/31/22")</f>
        <v>Game Pass Essential launch title (9/14/23), Returning title: Joined 8/18/20, left 8/31/22</v>
      </c>
      <c r="O112" s="158" t="str">
        <f>IFERROR(__xludf.DUMMYFUNCTION("""COMPUTED_VALUE"""),"T")</f>
        <v>T</v>
      </c>
      <c r="P112" s="158" t="str">
        <f>IFERROR(__xludf.DUMMYFUNCTION("""COMPUTED_VALUE"""),"Language, Use of Tobacco, Violent References")</f>
        <v>Language, Use of Tobacco, Violent References</v>
      </c>
      <c r="Q112" s="158"/>
      <c r="R112" s="159" t="str">
        <f>IFERROR(__xludf.DUMMYFUNCTION("""COMPUTED_VALUE"""),"Active")</f>
        <v>Active</v>
      </c>
      <c r="S112" s="160">
        <f>IFERROR(__xludf.DUMMYFUNCTION("""COMPUTED_VALUE"""),45547.0)</f>
        <v>45547</v>
      </c>
      <c r="T112" s="162">
        <f>IFERROR(__xludf.DUMMYFUNCTION("""COMPUTED_VALUE"""),11.966666666666667)</f>
        <v>11.96666667</v>
      </c>
    </row>
    <row r="113">
      <c r="A113" s="158" t="str">
        <f>IFERROR(__xludf.DUMMYFUNCTION("""COMPUTED_VALUE"""),"Call of the Wild: The Angler")</f>
        <v>Call of the Wild: The Angler</v>
      </c>
      <c r="B113" s="158" t="str">
        <f>IFERROR(__xludf.DUMMYFUNCTION("""COMPUTED_VALUE"""),"Xbox / PC")</f>
        <v>Xbox / PC</v>
      </c>
      <c r="C113" s="158"/>
      <c r="D113" s="159" t="str">
        <f>IFERROR(__xludf.DUMMYFUNCTION("""COMPUTED_VALUE"""),"Active")</f>
        <v>Active</v>
      </c>
      <c r="E113" s="160">
        <f>IFERROR(__xludf.DUMMYFUNCTION("""COMPUTED_VALUE"""),45167.0)</f>
        <v>45167</v>
      </c>
      <c r="F113" s="161"/>
      <c r="G113" s="162">
        <f>IFERROR(__xludf.DUMMYFUNCTION("""COMPUTED_VALUE"""),25.53333333333333)</f>
        <v>25.53333333</v>
      </c>
      <c r="H113" s="163">
        <f>IFERROR(__xludf.DUMMYFUNCTION("""COMPUTED_VALUE"""),44804.0)</f>
        <v>44804</v>
      </c>
      <c r="I113" s="162">
        <f>IFERROR(__xludf.DUMMYFUNCTION("""COMPUTED_VALUE"""),0.9972222222222222)</f>
        <v>0.9972222222</v>
      </c>
      <c r="J113" s="164">
        <f>IFERROR(__xludf.DUMMYFUNCTION("""COMPUTED_VALUE"""),63.0)</f>
        <v>63</v>
      </c>
      <c r="K113" s="164"/>
      <c r="L113" s="158" t="str">
        <f>IFERROR(__xludf.DUMMYFUNCTION("""COMPUTED_VALUE"""),"Sports / Fishing")</f>
        <v>Sports / Fishing</v>
      </c>
      <c r="M113" s="158"/>
      <c r="N113" s="158"/>
      <c r="O113" s="158" t="str">
        <f>IFERROR(__xludf.DUMMYFUNCTION("""COMPUTED_VALUE"""),"E")</f>
        <v>E</v>
      </c>
      <c r="P113" s="158" t="str">
        <f>IFERROR(__xludf.DUMMYFUNCTION("""COMPUTED_VALUE"""),"Mild Language, Tobacco Reference, Violent References")</f>
        <v>Mild Language, Tobacco Reference, Violent References</v>
      </c>
      <c r="Q113" s="158"/>
      <c r="R113" s="159" t="str">
        <f>IFERROR(__xludf.DUMMYFUNCTION("""COMPUTED_VALUE"""),"Active")</f>
        <v>Active</v>
      </c>
      <c r="S113" s="160">
        <f>IFERROR(__xludf.DUMMYFUNCTION("""COMPUTED_VALUE"""),45547.0)</f>
        <v>45547</v>
      </c>
      <c r="T113" s="162">
        <f>IFERROR(__xludf.DUMMYFUNCTION("""COMPUTED_VALUE"""),12.433333333333334)</f>
        <v>12.43333333</v>
      </c>
    </row>
    <row r="114">
      <c r="A114" s="158" t="str">
        <f>IFERROR(__xludf.DUMMYFUNCTION("""COMPUTED_VALUE"""),"Firewatch")</f>
        <v>Firewatch</v>
      </c>
      <c r="B114" s="158" t="str">
        <f>IFERROR(__xludf.DUMMYFUNCTION("""COMPUTED_VALUE"""),"Xbox / PC")</f>
        <v>Xbox / PC</v>
      </c>
      <c r="C114" s="158" t="str">
        <f>IFERROR(__xludf.DUMMYFUNCTION("""COMPUTED_VALUE"""),"Touch Controls")</f>
        <v>Touch Controls</v>
      </c>
      <c r="D114" s="159" t="str">
        <f>IFERROR(__xludf.DUMMYFUNCTION("""COMPUTED_VALUE"""),"Active")</f>
        <v>Active</v>
      </c>
      <c r="E114" s="160">
        <f>IFERROR(__xludf.DUMMYFUNCTION("""COMPUTED_VALUE"""),45155.0)</f>
        <v>45155</v>
      </c>
      <c r="F114" s="161"/>
      <c r="G114" s="162">
        <f>IFERROR(__xludf.DUMMYFUNCTION("""COMPUTED_VALUE"""),25.93333333333333)</f>
        <v>25.93333333</v>
      </c>
      <c r="H114" s="163">
        <f>IFERROR(__xludf.DUMMYFUNCTION("""COMPUTED_VALUE"""),42409.0)</f>
        <v>42409</v>
      </c>
      <c r="I114" s="162">
        <f>IFERROR(__xludf.DUMMYFUNCTION("""COMPUTED_VALUE"""),7.522222222222222)</f>
        <v>7.522222222</v>
      </c>
      <c r="J114" s="164">
        <f>IFERROR(__xludf.DUMMYFUNCTION("""COMPUTED_VALUE"""),83.0)</f>
        <v>83</v>
      </c>
      <c r="K114" s="164">
        <f>IFERROR(__xludf.DUMMYFUNCTION("""COMPUTED_VALUE"""),4.0)</f>
        <v>4</v>
      </c>
      <c r="L114" s="158" t="str">
        <f>IFERROR(__xludf.DUMMYFUNCTION("""COMPUTED_VALUE"""),"Adventure")</f>
        <v>Adventure</v>
      </c>
      <c r="M114" s="158"/>
      <c r="N114" s="158" t="str">
        <f>IFERROR(__xludf.DUMMYFUNCTION("""COMPUTED_VALUE"""),"Game Pass Essential launch title (9/14/23), Returning title: Joined 2/16/21, left 12/15/22")</f>
        <v>Game Pass Essential launch title (9/14/23), Returning title: Joined 2/16/21, left 12/15/22</v>
      </c>
      <c r="O114" s="158" t="str">
        <f>IFERROR(__xludf.DUMMYFUNCTION("""COMPUTED_VALUE"""),"M")</f>
        <v>M</v>
      </c>
      <c r="P114" s="158" t="str">
        <f>IFERROR(__xludf.DUMMYFUNCTION("""COMPUTED_VALUE"""),"Nudity, Suggestive Themes, Alcohol Reference, Drug Reference, Strong Language")</f>
        <v>Nudity, Suggestive Themes, Alcohol Reference, Drug Reference, Strong Language</v>
      </c>
      <c r="Q114" s="158"/>
      <c r="R114" s="159" t="str">
        <f>IFERROR(__xludf.DUMMYFUNCTION("""COMPUTED_VALUE"""),"Active")</f>
        <v>Active</v>
      </c>
      <c r="S114" s="160">
        <f>IFERROR(__xludf.DUMMYFUNCTION("""COMPUTED_VALUE"""),45547.0)</f>
        <v>45547</v>
      </c>
      <c r="T114" s="162">
        <f>IFERROR(__xludf.DUMMYFUNCTION("""COMPUTED_VALUE"""),12.833333333333332)</f>
        <v>12.83333333</v>
      </c>
    </row>
    <row r="115">
      <c r="A115" s="158" t="str">
        <f>IFERROR(__xludf.DUMMYFUNCTION("""COMPUTED_VALUE"""),"Limbo")</f>
        <v>Limbo</v>
      </c>
      <c r="B115" s="158" t="str">
        <f>IFERROR(__xludf.DUMMYFUNCTION("""COMPUTED_VALUE"""),"Xbox / PC")</f>
        <v>Xbox / PC</v>
      </c>
      <c r="C115" s="158" t="str">
        <f>IFERROR(__xludf.DUMMYFUNCTION("""COMPUTED_VALUE"""),"Yes")</f>
        <v>Yes</v>
      </c>
      <c r="D115" s="159" t="str">
        <f>IFERROR(__xludf.DUMMYFUNCTION("""COMPUTED_VALUE"""),"Active")</f>
        <v>Active</v>
      </c>
      <c r="E115" s="160">
        <f>IFERROR(__xludf.DUMMYFUNCTION("""COMPUTED_VALUE"""),45147.0)</f>
        <v>45147</v>
      </c>
      <c r="F115" s="161"/>
      <c r="G115" s="162">
        <f>IFERROR(__xludf.DUMMYFUNCTION("""COMPUTED_VALUE"""),26.199999999999996)</f>
        <v>26.2</v>
      </c>
      <c r="H115" s="163">
        <f>IFERROR(__xludf.DUMMYFUNCTION("""COMPUTED_VALUE"""),40380.0)</f>
        <v>40380</v>
      </c>
      <c r="I115" s="162">
        <f>IFERROR(__xludf.DUMMYFUNCTION("""COMPUTED_VALUE"""),13.05)</f>
        <v>13.05</v>
      </c>
      <c r="J115" s="164">
        <f>IFERROR(__xludf.DUMMYFUNCTION("""COMPUTED_VALUE"""),85.0)</f>
        <v>85</v>
      </c>
      <c r="K115" s="164">
        <f>IFERROR(__xludf.DUMMYFUNCTION("""COMPUTED_VALUE"""),3.5)</f>
        <v>3.5</v>
      </c>
      <c r="L115" s="158" t="str">
        <f>IFERROR(__xludf.DUMMYFUNCTION("""COMPUTED_VALUE"""),"Puzzle / Platformer")</f>
        <v>Puzzle / Platformer</v>
      </c>
      <c r="M115" s="158"/>
      <c r="N115" s="158" t="str">
        <f>IFERROR(__xludf.DUMMYFUNCTION("""COMPUTED_VALUE"""),"Game Pass Essential launch title (9/14/23), Returning title: Joined 8/1/17, left 6/15/22")</f>
        <v>Game Pass Essential launch title (9/14/23), Returning title: Joined 8/1/17, left 6/15/22</v>
      </c>
      <c r="O115" s="158" t="str">
        <f>IFERROR(__xludf.DUMMYFUNCTION("""COMPUTED_VALUE"""),"T")</f>
        <v>T</v>
      </c>
      <c r="P115" s="158" t="str">
        <f>IFERROR(__xludf.DUMMYFUNCTION("""COMPUTED_VALUE"""),"Blood, Violence")</f>
        <v>Blood, Violence</v>
      </c>
      <c r="Q115" s="158"/>
      <c r="R115" s="159" t="str">
        <f>IFERROR(__xludf.DUMMYFUNCTION("""COMPUTED_VALUE"""),"Active")</f>
        <v>Active</v>
      </c>
      <c r="S115" s="160">
        <f>IFERROR(__xludf.DUMMYFUNCTION("""COMPUTED_VALUE"""),45547.0)</f>
        <v>45547</v>
      </c>
      <c r="T115" s="162">
        <f>IFERROR(__xludf.DUMMYFUNCTION("""COMPUTED_VALUE"""),13.099999999999998)</f>
        <v>13.1</v>
      </c>
    </row>
    <row r="116">
      <c r="A116" s="158" t="str">
        <f>IFERROR(__xludf.DUMMYFUNCTION("""COMPUTED_VALUE"""),"Celeste")</f>
        <v>Celeste</v>
      </c>
      <c r="B116" s="158" t="str">
        <f>IFERROR(__xludf.DUMMYFUNCTION("""COMPUTED_VALUE"""),"Xbox / PC")</f>
        <v>Xbox / PC</v>
      </c>
      <c r="C116" s="158" t="str">
        <f>IFERROR(__xludf.DUMMYFUNCTION("""COMPUTED_VALUE"""),"Touch Controls")</f>
        <v>Touch Controls</v>
      </c>
      <c r="D116" s="159" t="str">
        <f>IFERROR(__xludf.DUMMYFUNCTION("""COMPUTED_VALUE"""),"Active")</f>
        <v>Active</v>
      </c>
      <c r="E116" s="160">
        <f>IFERROR(__xludf.DUMMYFUNCTION("""COMPUTED_VALUE"""),45139.0)</f>
        <v>45139</v>
      </c>
      <c r="F116" s="161"/>
      <c r="G116" s="162">
        <f>IFERROR(__xludf.DUMMYFUNCTION("""COMPUTED_VALUE"""),26.46666666666667)</f>
        <v>26.46666667</v>
      </c>
      <c r="H116" s="163">
        <f>IFERROR(__xludf.DUMMYFUNCTION("""COMPUTED_VALUE"""),43125.0)</f>
        <v>43125</v>
      </c>
      <c r="I116" s="162">
        <f>IFERROR(__xludf.DUMMYFUNCTION("""COMPUTED_VALUE"""),5.516666666666667)</f>
        <v>5.516666667</v>
      </c>
      <c r="J116" s="164">
        <f>IFERROR(__xludf.DUMMYFUNCTION("""COMPUTED_VALUE"""),91.0)</f>
        <v>91</v>
      </c>
      <c r="K116" s="164">
        <f>IFERROR(__xludf.DUMMYFUNCTION("""COMPUTED_VALUE"""),8.0)</f>
        <v>8</v>
      </c>
      <c r="L116" s="158" t="str">
        <f>IFERROR(__xludf.DUMMYFUNCTION("""COMPUTED_VALUE"""),"Platformer")</f>
        <v>Platformer</v>
      </c>
      <c r="M116" s="158"/>
      <c r="N116" s="158" t="str">
        <f>IFERROR(__xludf.DUMMYFUNCTION("""COMPUTED_VALUE"""),"Game Pass Essential launch title (9/14/23), Returning title: Joined 11/5/20, left 10/31/21")</f>
        <v>Game Pass Essential launch title (9/14/23), Returning title: Joined 11/5/20, left 10/31/21</v>
      </c>
      <c r="O116" s="158" t="str">
        <f>IFERROR(__xludf.DUMMYFUNCTION("""COMPUTED_VALUE"""),"E10+")</f>
        <v>E10+</v>
      </c>
      <c r="P116" s="158" t="str">
        <f>IFERROR(__xludf.DUMMYFUNCTION("""COMPUTED_VALUE"""),"Alcohol Reference, Fantasy Violence, Mild Language")</f>
        <v>Alcohol Reference, Fantasy Violence, Mild Language</v>
      </c>
      <c r="Q116" s="158"/>
      <c r="R116" s="159" t="str">
        <f>IFERROR(__xludf.DUMMYFUNCTION("""COMPUTED_VALUE"""),"Active")</f>
        <v>Active</v>
      </c>
      <c r="S116" s="160">
        <f>IFERROR(__xludf.DUMMYFUNCTION("""COMPUTED_VALUE"""),45547.0)</f>
        <v>45547</v>
      </c>
      <c r="T116" s="162">
        <f>IFERROR(__xludf.DUMMYFUNCTION("""COMPUTED_VALUE"""),13.366666666666667)</f>
        <v>13.36666667</v>
      </c>
    </row>
    <row r="117">
      <c r="A117" s="158" t="str">
        <f>IFERROR(__xludf.DUMMYFUNCTION("""COMPUTED_VALUE"""),"Techtonica (Game Preview)")</f>
        <v>Techtonica (Game Preview)</v>
      </c>
      <c r="B117" s="158" t="str">
        <f>IFERROR(__xludf.DUMMYFUNCTION("""COMPUTED_VALUE"""),"Xbox / PC")</f>
        <v>Xbox / PC</v>
      </c>
      <c r="C117" s="158" t="str">
        <f>IFERROR(__xludf.DUMMYFUNCTION("""COMPUTED_VALUE"""),"Yes")</f>
        <v>Yes</v>
      </c>
      <c r="D117" s="159" t="str">
        <f>IFERROR(__xludf.DUMMYFUNCTION("""COMPUTED_VALUE"""),"Active")</f>
        <v>Active</v>
      </c>
      <c r="E117" s="160">
        <f>IFERROR(__xludf.DUMMYFUNCTION("""COMPUTED_VALUE"""),45125.0)</f>
        <v>45125</v>
      </c>
      <c r="F117" s="161"/>
      <c r="G117" s="162">
        <f>IFERROR(__xludf.DUMMYFUNCTION("""COMPUTED_VALUE"""),26.9)</f>
        <v>26.9</v>
      </c>
      <c r="H117" s="163">
        <f>IFERROR(__xludf.DUMMYFUNCTION("""COMPUTED_VALUE"""),45125.0)</f>
        <v>45125</v>
      </c>
      <c r="I117" s="162">
        <f>IFERROR(__xludf.DUMMYFUNCTION("""COMPUTED_VALUE"""),0.0)</f>
        <v>0</v>
      </c>
      <c r="J117" s="164"/>
      <c r="K117" s="164"/>
      <c r="L117" s="158" t="str">
        <f>IFERROR(__xludf.DUMMYFUNCTION("""COMPUTED_VALUE"""),"Strategy / Simulation")</f>
        <v>Strategy / Simulation</v>
      </c>
      <c r="M117" s="158"/>
      <c r="N117" s="158"/>
      <c r="O117" s="158" t="str">
        <f>IFERROR(__xludf.DUMMYFUNCTION("""COMPUTED_VALUE"""),"RP")</f>
        <v>RP</v>
      </c>
      <c r="P117" s="158"/>
      <c r="Q117" s="158"/>
      <c r="R117" s="159" t="str">
        <f>IFERROR(__xludf.DUMMYFUNCTION("""COMPUTED_VALUE"""),"Active")</f>
        <v>Active</v>
      </c>
      <c r="S117" s="160">
        <f>IFERROR(__xludf.DUMMYFUNCTION("""COMPUTED_VALUE"""),45547.0)</f>
        <v>45547</v>
      </c>
      <c r="T117" s="162">
        <f>IFERROR(__xludf.DUMMYFUNCTION("""COMPUTED_VALUE"""),13.799999999999999)</f>
        <v>13.8</v>
      </c>
    </row>
    <row r="118">
      <c r="A118" s="158" t="str">
        <f>IFERROR(__xludf.DUMMYFUNCTION("""COMPUTED_VALUE"""),"The Cave")</f>
        <v>The Cave</v>
      </c>
      <c r="B118" s="158" t="str">
        <f>IFERROR(__xludf.DUMMYFUNCTION("""COMPUTED_VALUE"""),"Xbox")</f>
        <v>Xbox</v>
      </c>
      <c r="C118" s="158" t="str">
        <f>IFERROR(__xludf.DUMMYFUNCTION("""COMPUTED_VALUE"""),"Yes")</f>
        <v>Yes</v>
      </c>
      <c r="D118" s="159" t="str">
        <f>IFERROR(__xludf.DUMMYFUNCTION("""COMPUTED_VALUE"""),"Active")</f>
        <v>Active</v>
      </c>
      <c r="E118" s="160">
        <f>IFERROR(__xludf.DUMMYFUNCTION("""COMPUTED_VALUE"""),45125.0)</f>
        <v>45125</v>
      </c>
      <c r="F118" s="161"/>
      <c r="G118" s="162">
        <f>IFERROR(__xludf.DUMMYFUNCTION("""COMPUTED_VALUE"""),26.9)</f>
        <v>26.9</v>
      </c>
      <c r="H118" s="163">
        <f>IFERROR(__xludf.DUMMYFUNCTION("""COMPUTED_VALUE"""),41600.0)</f>
        <v>41600</v>
      </c>
      <c r="I118" s="162">
        <f>IFERROR(__xludf.DUMMYFUNCTION("""COMPUTED_VALUE"""),9.655555555555555)</f>
        <v>9.655555556</v>
      </c>
      <c r="J118" s="164">
        <f>IFERROR(__xludf.DUMMYFUNCTION("""COMPUTED_VALUE"""),69.0)</f>
        <v>69</v>
      </c>
      <c r="K118" s="164">
        <f>IFERROR(__xludf.DUMMYFUNCTION("""COMPUTED_VALUE"""),5.0)</f>
        <v>5</v>
      </c>
      <c r="L118" s="158" t="str">
        <f>IFERROR(__xludf.DUMMYFUNCTION("""COMPUTED_VALUE"""),"Adventure / Platformer")</f>
        <v>Adventure / Platformer</v>
      </c>
      <c r="M118" s="158"/>
      <c r="N118" s="158"/>
      <c r="O118" s="158" t="str">
        <f>IFERROR(__xludf.DUMMYFUNCTION("""COMPUTED_VALUE"""),"T")</f>
        <v>T</v>
      </c>
      <c r="P118" s="158" t="str">
        <f>IFERROR(__xludf.DUMMYFUNCTION("""COMPUTED_VALUE"""),"Fantasy Violence, Blood")</f>
        <v>Fantasy Violence, Blood</v>
      </c>
      <c r="Q118" s="158"/>
      <c r="R118" s="159" t="str">
        <f>IFERROR(__xludf.DUMMYFUNCTION("""COMPUTED_VALUE"""),"Active")</f>
        <v>Active</v>
      </c>
      <c r="S118" s="160">
        <f>IFERROR(__xludf.DUMMYFUNCTION("""COMPUTED_VALUE"""),45547.0)</f>
        <v>45547</v>
      </c>
      <c r="T118" s="162">
        <f>IFERROR(__xludf.DUMMYFUNCTION("""COMPUTED_VALUE"""),13.799999999999999)</f>
        <v>13.8</v>
      </c>
    </row>
    <row r="119">
      <c r="A119" s="158" t="str">
        <f>IFERROR(__xludf.DUMMYFUNCTION("""COMPUTED_VALUE"""),"Need for Speed: Unbound")</f>
        <v>Need for Speed: Unbound</v>
      </c>
      <c r="B119" s="158" t="str">
        <f>IFERROR(__xludf.DUMMYFUNCTION("""COMPUTED_VALUE"""),"Xbox / PC")</f>
        <v>Xbox / PC</v>
      </c>
      <c r="C119" s="158" t="str">
        <f>IFERROR(__xludf.DUMMYFUNCTION("""COMPUTED_VALUE"""),"Yes")</f>
        <v>Yes</v>
      </c>
      <c r="D119" s="159" t="str">
        <f>IFERROR(__xludf.DUMMYFUNCTION("""COMPUTED_VALUE"""),"Active")</f>
        <v>Active</v>
      </c>
      <c r="E119" s="160">
        <f>IFERROR(__xludf.DUMMYFUNCTION("""COMPUTED_VALUE"""),45099.0)</f>
        <v>45099</v>
      </c>
      <c r="F119" s="161"/>
      <c r="G119" s="162">
        <f>IFERROR(__xludf.DUMMYFUNCTION("""COMPUTED_VALUE"""),27.76666666666667)</f>
        <v>27.76666667</v>
      </c>
      <c r="H119" s="163">
        <f>IFERROR(__xludf.DUMMYFUNCTION("""COMPUTED_VALUE"""),44894.0)</f>
        <v>44894</v>
      </c>
      <c r="I119" s="162">
        <f>IFERROR(__xludf.DUMMYFUNCTION("""COMPUTED_VALUE"""),0.5638888888888889)</f>
        <v>0.5638888889</v>
      </c>
      <c r="J119" s="164">
        <f>IFERROR(__xludf.DUMMYFUNCTION("""COMPUTED_VALUE"""),77.0)</f>
        <v>77</v>
      </c>
      <c r="K119" s="164">
        <f>IFERROR(__xludf.DUMMYFUNCTION("""COMPUTED_VALUE"""),23.0)</f>
        <v>23</v>
      </c>
      <c r="L119" s="158" t="str">
        <f>IFERROR(__xludf.DUMMYFUNCTION("""COMPUTED_VALUE"""),"Driving/Racing")</f>
        <v>Driving/Racing</v>
      </c>
      <c r="M119" s="158" t="str">
        <f>IFERROR(__xludf.DUMMYFUNCTION("""COMPUTED_VALUE"""),"Exclusive")</f>
        <v>Exclusive</v>
      </c>
      <c r="N119" s="158"/>
      <c r="O119" s="158" t="str">
        <f>IFERROR(__xludf.DUMMYFUNCTION("""COMPUTED_VALUE"""),"T")</f>
        <v>T</v>
      </c>
      <c r="P119" s="158" t="str">
        <f>IFERROR(__xludf.DUMMYFUNCTION("""COMPUTED_VALUE"""),"Language, Mild Suggestive Themes, Mild Violence")</f>
        <v>Language, Mild Suggestive Themes, Mild Violence</v>
      </c>
      <c r="Q119" s="158"/>
      <c r="R119" s="159" t="str">
        <f>IFERROR(__xludf.DUMMYFUNCTION("""COMPUTED_VALUE"""),"Active")</f>
        <v>Active</v>
      </c>
      <c r="S119" s="160">
        <f>IFERROR(__xludf.DUMMYFUNCTION("""COMPUTED_VALUE"""),45547.0)</f>
        <v>45547</v>
      </c>
      <c r="T119" s="162">
        <f>IFERROR(__xludf.DUMMYFUNCTION("""COMPUTED_VALUE"""),14.666666666666668)</f>
        <v>14.66666667</v>
      </c>
    </row>
    <row r="120">
      <c r="A120" s="158" t="str">
        <f>IFERROR(__xludf.DUMMYFUNCTION("""COMPUTED_VALUE"""),"Stacking")</f>
        <v>Stacking</v>
      </c>
      <c r="B120" s="158" t="str">
        <f>IFERROR(__xludf.DUMMYFUNCTION("""COMPUTED_VALUE"""),"Xbox")</f>
        <v>Xbox</v>
      </c>
      <c r="C120" s="158" t="str">
        <f>IFERROR(__xludf.DUMMYFUNCTION("""COMPUTED_VALUE"""),"Yes")</f>
        <v>Yes</v>
      </c>
      <c r="D120" s="159" t="str">
        <f>IFERROR(__xludf.DUMMYFUNCTION("""COMPUTED_VALUE"""),"Active")</f>
        <v>Active</v>
      </c>
      <c r="E120" s="160">
        <f>IFERROR(__xludf.DUMMYFUNCTION("""COMPUTED_VALUE"""),45085.0)</f>
        <v>45085</v>
      </c>
      <c r="F120" s="161"/>
      <c r="G120" s="162">
        <f>IFERROR(__xludf.DUMMYFUNCTION("""COMPUTED_VALUE"""),28.233333333333334)</f>
        <v>28.23333333</v>
      </c>
      <c r="H120" s="163">
        <f>IFERROR(__xludf.DUMMYFUNCTION("""COMPUTED_VALUE"""),40582.0)</f>
        <v>40582</v>
      </c>
      <c r="I120" s="162">
        <f>IFERROR(__xludf.DUMMYFUNCTION("""COMPUTED_VALUE"""),12.333333333333334)</f>
        <v>12.33333333</v>
      </c>
      <c r="J120" s="164">
        <f>IFERROR(__xludf.DUMMYFUNCTION("""COMPUTED_VALUE"""),82.0)</f>
        <v>82</v>
      </c>
      <c r="K120" s="164">
        <f>IFERROR(__xludf.DUMMYFUNCTION("""COMPUTED_VALUE"""),4.0)</f>
        <v>4</v>
      </c>
      <c r="L120" s="158" t="str">
        <f>IFERROR(__xludf.DUMMYFUNCTION("""COMPUTED_VALUE"""),"Adventure / Puzzle")</f>
        <v>Adventure / Puzzle</v>
      </c>
      <c r="M120" s="158"/>
      <c r="N120" s="158" t="str">
        <f>IFERROR(__xludf.DUMMYFUNCTION("""COMPUTED_VALUE"""),"Returning title: Joined 6/1/17, left 1/15/19")</f>
        <v>Returning title: Joined 6/1/17, left 1/15/19</v>
      </c>
      <c r="O120" s="158" t="str">
        <f>IFERROR(__xludf.DUMMYFUNCTION("""COMPUTED_VALUE"""),"E10+")</f>
        <v>E10+</v>
      </c>
      <c r="P120" s="158" t="str">
        <f>IFERROR(__xludf.DUMMYFUNCTION("""COMPUTED_VALUE"""),"Crude Humor, Use of Tobacco, Mild Fantasy Violence, Mild Suggestive Themes")</f>
        <v>Crude Humor, Use of Tobacco, Mild Fantasy Violence, Mild Suggestive Themes</v>
      </c>
      <c r="Q120" s="158"/>
      <c r="R120" s="159" t="str">
        <f>IFERROR(__xludf.DUMMYFUNCTION("""COMPUTED_VALUE"""),"Active")</f>
        <v>Active</v>
      </c>
      <c r="S120" s="160">
        <f>IFERROR(__xludf.DUMMYFUNCTION("""COMPUTED_VALUE"""),45547.0)</f>
        <v>45547</v>
      </c>
      <c r="T120" s="162">
        <f>IFERROR(__xludf.DUMMYFUNCTION("""COMPUTED_VALUE"""),15.133333333333333)</f>
        <v>15.13333333</v>
      </c>
    </row>
    <row r="121">
      <c r="A121" s="158" t="str">
        <f>IFERROR(__xludf.DUMMYFUNCTION("""COMPUTED_VALUE"""),"Car Mechanic Simulator 2021")</f>
        <v>Car Mechanic Simulator 2021</v>
      </c>
      <c r="B121" s="158" t="str">
        <f>IFERROR(__xludf.DUMMYFUNCTION("""COMPUTED_VALUE"""),"Xbox / PC")</f>
        <v>Xbox / PC</v>
      </c>
      <c r="C121" s="158" t="str">
        <f>IFERROR(__xludf.DUMMYFUNCTION("""COMPUTED_VALUE"""),"Yes")</f>
        <v>Yes</v>
      </c>
      <c r="D121" s="159" t="str">
        <f>IFERROR(__xludf.DUMMYFUNCTION("""COMPUTED_VALUE"""),"Active")</f>
        <v>Active</v>
      </c>
      <c r="E121" s="160">
        <f>IFERROR(__xludf.DUMMYFUNCTION("""COMPUTED_VALUE"""),45078.0)</f>
        <v>45078</v>
      </c>
      <c r="F121" s="161"/>
      <c r="G121" s="162">
        <f>IFERROR(__xludf.DUMMYFUNCTION("""COMPUTED_VALUE"""),28.46666666666667)</f>
        <v>28.46666667</v>
      </c>
      <c r="H121" s="163">
        <f>IFERROR(__xludf.DUMMYFUNCTION("""COMPUTED_VALUE"""),44419.0)</f>
        <v>44419</v>
      </c>
      <c r="I121" s="162">
        <f>IFERROR(__xludf.DUMMYFUNCTION("""COMPUTED_VALUE"""),1.8055555555555556)</f>
        <v>1.805555556</v>
      </c>
      <c r="J121" s="164">
        <f>IFERROR(__xludf.DUMMYFUNCTION("""COMPUTED_VALUE"""),70.0)</f>
        <v>70</v>
      </c>
      <c r="K121" s="164">
        <f>IFERROR(__xludf.DUMMYFUNCTION("""COMPUTED_VALUE"""),23.0)</f>
        <v>23</v>
      </c>
      <c r="L121" s="158" t="str">
        <f>IFERROR(__xludf.DUMMYFUNCTION("""COMPUTED_VALUE"""),"Simulation")</f>
        <v>Simulation</v>
      </c>
      <c r="M121" s="158"/>
      <c r="N121" s="158"/>
      <c r="O121" s="158" t="str">
        <f>IFERROR(__xludf.DUMMYFUNCTION("""COMPUTED_VALUE"""),"E")</f>
        <v>E</v>
      </c>
      <c r="P121" s="158"/>
      <c r="Q121" s="158"/>
      <c r="R121" s="159" t="str">
        <f>IFERROR(__xludf.DUMMYFUNCTION("""COMPUTED_VALUE"""),"Active")</f>
        <v>Active</v>
      </c>
      <c r="S121" s="160">
        <f>IFERROR(__xludf.DUMMYFUNCTION("""COMPUTED_VALUE"""),45547.0)</f>
        <v>45547</v>
      </c>
      <c r="T121" s="162">
        <f>IFERROR(__xludf.DUMMYFUNCTION("""COMPUTED_VALUE"""),15.366666666666665)</f>
        <v>15.36666667</v>
      </c>
    </row>
    <row r="122">
      <c r="A122" s="158" t="str">
        <f>IFERROR(__xludf.DUMMYFUNCTION("""COMPUTED_VALUE"""),"Massive Chalice")</f>
        <v>Massive Chalice</v>
      </c>
      <c r="B122" s="158" t="str">
        <f>IFERROR(__xludf.DUMMYFUNCTION("""COMPUTED_VALUE"""),"Xbox")</f>
        <v>Xbox</v>
      </c>
      <c r="C122" s="158" t="str">
        <f>IFERROR(__xludf.DUMMYFUNCTION("""COMPUTED_VALUE"""),"Yes")</f>
        <v>Yes</v>
      </c>
      <c r="D122" s="159" t="str">
        <f>IFERROR(__xludf.DUMMYFUNCTION("""COMPUTED_VALUE"""),"Active")</f>
        <v>Active</v>
      </c>
      <c r="E122" s="160">
        <f>IFERROR(__xludf.DUMMYFUNCTION("""COMPUTED_VALUE"""),45071.0)</f>
        <v>45071</v>
      </c>
      <c r="F122" s="161"/>
      <c r="G122" s="162">
        <f>IFERROR(__xludf.DUMMYFUNCTION("""COMPUTED_VALUE"""),28.666666666666664)</f>
        <v>28.66666667</v>
      </c>
      <c r="H122" s="163">
        <f>IFERROR(__xludf.DUMMYFUNCTION("""COMPUTED_VALUE"""),42156.0)</f>
        <v>42156</v>
      </c>
      <c r="I122" s="162">
        <f>IFERROR(__xludf.DUMMYFUNCTION("""COMPUTED_VALUE"""),7.983333333333333)</f>
        <v>7.983333333</v>
      </c>
      <c r="J122" s="164">
        <f>IFERROR(__xludf.DUMMYFUNCTION("""COMPUTED_VALUE"""),72.0)</f>
        <v>72</v>
      </c>
      <c r="K122" s="164">
        <f>IFERROR(__xludf.DUMMYFUNCTION("""COMPUTED_VALUE"""),15.5)</f>
        <v>15.5</v>
      </c>
      <c r="L122" s="158" t="str">
        <f>IFERROR(__xludf.DUMMYFUNCTION("""COMPUTED_VALUE"""),"Strategy / RPG")</f>
        <v>Strategy / RPG</v>
      </c>
      <c r="M122" s="158"/>
      <c r="N122" s="158" t="str">
        <f>IFERROR(__xludf.DUMMYFUNCTION("""COMPUTED_VALUE"""),"Returning title: Joined 6/1/17, left 2/1/19")</f>
        <v>Returning title: Joined 6/1/17, left 2/1/19</v>
      </c>
      <c r="O122" s="158" t="str">
        <f>IFERROR(__xludf.DUMMYFUNCTION("""COMPUTED_VALUE"""),"T")</f>
        <v>T</v>
      </c>
      <c r="P122" s="158" t="str">
        <f>IFERROR(__xludf.DUMMYFUNCTION("""COMPUTED_VALUE"""),"Fantasy Violence, Alcohol Reference, Language")</f>
        <v>Fantasy Violence, Alcohol Reference, Language</v>
      </c>
      <c r="Q122" s="158"/>
      <c r="R122" s="159" t="str">
        <f>IFERROR(__xludf.DUMMYFUNCTION("""COMPUTED_VALUE"""),"Active")</f>
        <v>Active</v>
      </c>
      <c r="S122" s="160">
        <f>IFERROR(__xludf.DUMMYFUNCTION("""COMPUTED_VALUE"""),45547.0)</f>
        <v>45547</v>
      </c>
      <c r="T122" s="162">
        <f>IFERROR(__xludf.DUMMYFUNCTION("""COMPUTED_VALUE"""),15.566666666666666)</f>
        <v>15.56666667</v>
      </c>
    </row>
    <row r="123">
      <c r="A123" s="158" t="str">
        <f>IFERROR(__xludf.DUMMYFUNCTION("""COMPUTED_VALUE"""),"Planet of Lana")</f>
        <v>Planet of Lana</v>
      </c>
      <c r="B123" s="158" t="str">
        <f>IFERROR(__xludf.DUMMYFUNCTION("""COMPUTED_VALUE"""),"Xbox / PC")</f>
        <v>Xbox / PC</v>
      </c>
      <c r="C123" s="158" t="str">
        <f>IFERROR(__xludf.DUMMYFUNCTION("""COMPUTED_VALUE"""),"Yes")</f>
        <v>Yes</v>
      </c>
      <c r="D123" s="159" t="str">
        <f>IFERROR(__xludf.DUMMYFUNCTION("""COMPUTED_VALUE"""),"Active")</f>
        <v>Active</v>
      </c>
      <c r="E123" s="160">
        <f>IFERROR(__xludf.DUMMYFUNCTION("""COMPUTED_VALUE"""),45069.0)</f>
        <v>45069</v>
      </c>
      <c r="F123" s="161"/>
      <c r="G123" s="162">
        <f>IFERROR(__xludf.DUMMYFUNCTION("""COMPUTED_VALUE"""),28.733333333333334)</f>
        <v>28.73333333</v>
      </c>
      <c r="H123" s="163">
        <f>IFERROR(__xludf.DUMMYFUNCTION("""COMPUTED_VALUE"""),45069.0)</f>
        <v>45069</v>
      </c>
      <c r="I123" s="162">
        <f>IFERROR(__xludf.DUMMYFUNCTION("""COMPUTED_VALUE"""),0.0)</f>
        <v>0</v>
      </c>
      <c r="J123" s="164">
        <f>IFERROR(__xludf.DUMMYFUNCTION("""COMPUTED_VALUE"""),80.0)</f>
        <v>80</v>
      </c>
      <c r="K123" s="164">
        <f>IFERROR(__xludf.DUMMYFUNCTION("""COMPUTED_VALUE"""),5.0)</f>
        <v>5</v>
      </c>
      <c r="L123" s="158" t="str">
        <f>IFERROR(__xludf.DUMMYFUNCTION("""COMPUTED_VALUE"""),"Adventure / Puzzle")</f>
        <v>Adventure / Puzzle</v>
      </c>
      <c r="M123" s="158"/>
      <c r="N123" s="158"/>
      <c r="O123" s="158" t="str">
        <f>IFERROR(__xludf.DUMMYFUNCTION("""COMPUTED_VALUE"""),"RP")</f>
        <v>RP</v>
      </c>
      <c r="P123" s="158"/>
      <c r="Q123" s="158"/>
      <c r="R123" s="159" t="str">
        <f>IFERROR(__xludf.DUMMYFUNCTION("""COMPUTED_VALUE"""),"Active")</f>
        <v>Active</v>
      </c>
      <c r="S123" s="160">
        <f>IFERROR(__xludf.DUMMYFUNCTION("""COMPUTED_VALUE"""),45547.0)</f>
        <v>45547</v>
      </c>
      <c r="T123" s="162">
        <f>IFERROR(__xludf.DUMMYFUNCTION("""COMPUTED_VALUE"""),15.633333333333333)</f>
        <v>15.63333333</v>
      </c>
    </row>
    <row r="124">
      <c r="A124" s="158" t="str">
        <f>IFERROR(__xludf.DUMMYFUNCTION("""COMPUTED_VALUE"""),"Redfall")</f>
        <v>Redfall</v>
      </c>
      <c r="B124" s="158" t="str">
        <f>IFERROR(__xludf.DUMMYFUNCTION("""COMPUTED_VALUE"""),"Xbox / PC")</f>
        <v>Xbox / PC</v>
      </c>
      <c r="C124" s="158" t="str">
        <f>IFERROR(__xludf.DUMMYFUNCTION("""COMPUTED_VALUE"""),"Yes")</f>
        <v>Yes</v>
      </c>
      <c r="D124" s="159" t="str">
        <f>IFERROR(__xludf.DUMMYFUNCTION("""COMPUTED_VALUE"""),"Active")</f>
        <v>Active</v>
      </c>
      <c r="E124" s="160">
        <f>IFERROR(__xludf.DUMMYFUNCTION("""COMPUTED_VALUE"""),45048.0)</f>
        <v>45048</v>
      </c>
      <c r="F124" s="161"/>
      <c r="G124" s="162">
        <f>IFERROR(__xludf.DUMMYFUNCTION("""COMPUTED_VALUE"""),29.433333333333337)</f>
        <v>29.43333333</v>
      </c>
      <c r="H124" s="163">
        <f>IFERROR(__xludf.DUMMYFUNCTION("""COMPUTED_VALUE"""),45048.0)</f>
        <v>45048</v>
      </c>
      <c r="I124" s="162">
        <f>IFERROR(__xludf.DUMMYFUNCTION("""COMPUTED_VALUE"""),0.0)</f>
        <v>0</v>
      </c>
      <c r="J124" s="164">
        <f>IFERROR(__xludf.DUMMYFUNCTION("""COMPUTED_VALUE"""),55.0)</f>
        <v>55</v>
      </c>
      <c r="K124" s="164">
        <f>IFERROR(__xludf.DUMMYFUNCTION("""COMPUTED_VALUE"""),11.0)</f>
        <v>11</v>
      </c>
      <c r="L124" s="158" t="str">
        <f>IFERROR(__xludf.DUMMYFUNCTION("""COMPUTED_VALUE"""),"First-Person Shooter")</f>
        <v>First-Person Shooter</v>
      </c>
      <c r="M124" s="158" t="str">
        <f>IFERROR(__xludf.DUMMYFUNCTION("""COMPUTED_VALUE"""),"Exclusive")</f>
        <v>Exclusive</v>
      </c>
      <c r="N124" s="158" t="str">
        <f>IFERROR(__xludf.DUMMYFUNCTION("""COMPUTED_VALUE"""),"Persistent online requirement, may be removed")</f>
        <v>Persistent online requirement, may be removed</v>
      </c>
      <c r="O124" s="158" t="str">
        <f>IFERROR(__xludf.DUMMYFUNCTION("""COMPUTED_VALUE"""),"M")</f>
        <v>M</v>
      </c>
      <c r="P124" s="158" t="str">
        <f>IFERROR(__xludf.DUMMYFUNCTION("""COMPUTED_VALUE"""),"Blood, Drug Reference, Strong Language, Violence")</f>
        <v>Blood, Drug Reference, Strong Language, Violence</v>
      </c>
      <c r="Q124" s="158"/>
      <c r="R124" s="159" t="str">
        <f>IFERROR(__xludf.DUMMYFUNCTION("""COMPUTED_VALUE"""),"Active")</f>
        <v>Active</v>
      </c>
      <c r="S124" s="160">
        <f>IFERROR(__xludf.DUMMYFUNCTION("""COMPUTED_VALUE"""),45547.0)</f>
        <v>45547</v>
      </c>
      <c r="T124" s="162">
        <f>IFERROR(__xludf.DUMMYFUNCTION("""COMPUTED_VALUE"""),16.333333333333336)</f>
        <v>16.33333333</v>
      </c>
    </row>
    <row r="125">
      <c r="A125" s="158" t="str">
        <f>IFERROR(__xludf.DUMMYFUNCTION("""COMPUTED_VALUE"""),"The Last Case of Benedict Fox")</f>
        <v>The Last Case of Benedict Fox</v>
      </c>
      <c r="B125" s="158" t="str">
        <f>IFERROR(__xludf.DUMMYFUNCTION("""COMPUTED_VALUE"""),"Xbox / PC")</f>
        <v>Xbox / PC</v>
      </c>
      <c r="C125" s="158"/>
      <c r="D125" s="159" t="str">
        <f>IFERROR(__xludf.DUMMYFUNCTION("""COMPUTED_VALUE"""),"Active")</f>
        <v>Active</v>
      </c>
      <c r="E125" s="160">
        <f>IFERROR(__xludf.DUMMYFUNCTION("""COMPUTED_VALUE"""),45043.0)</f>
        <v>45043</v>
      </c>
      <c r="F125" s="161"/>
      <c r="G125" s="162">
        <f>IFERROR(__xludf.DUMMYFUNCTION("""COMPUTED_VALUE"""),29.6)</f>
        <v>29.6</v>
      </c>
      <c r="H125" s="163">
        <f>IFERROR(__xludf.DUMMYFUNCTION("""COMPUTED_VALUE"""),45043.0)</f>
        <v>45043</v>
      </c>
      <c r="I125" s="162">
        <f>IFERROR(__xludf.DUMMYFUNCTION("""COMPUTED_VALUE"""),0.0)</f>
        <v>0</v>
      </c>
      <c r="J125" s="164">
        <f>IFERROR(__xludf.DUMMYFUNCTION("""COMPUTED_VALUE"""),66.0)</f>
        <v>66</v>
      </c>
      <c r="K125" s="164">
        <f>IFERROR(__xludf.DUMMYFUNCTION("""COMPUTED_VALUE"""),11.0)</f>
        <v>11</v>
      </c>
      <c r="L125" s="158" t="str">
        <f>IFERROR(__xludf.DUMMYFUNCTION("""COMPUTED_VALUE"""),"Horror")</f>
        <v>Horror</v>
      </c>
      <c r="M125" s="158"/>
      <c r="N125" s="158"/>
      <c r="O125" s="158" t="str">
        <f>IFERROR(__xludf.DUMMYFUNCTION("""COMPUTED_VALUE"""),"RP")</f>
        <v>RP</v>
      </c>
      <c r="P125" s="158"/>
      <c r="Q125" s="158"/>
      <c r="R125" s="159" t="str">
        <f>IFERROR(__xludf.DUMMYFUNCTION("""COMPUTED_VALUE"""),"Active")</f>
        <v>Active</v>
      </c>
      <c r="S125" s="160">
        <f>IFERROR(__xludf.DUMMYFUNCTION("""COMPUTED_VALUE"""),45547.0)</f>
        <v>45547</v>
      </c>
      <c r="T125" s="162">
        <f>IFERROR(__xludf.DUMMYFUNCTION("""COMPUTED_VALUE"""),16.5)</f>
        <v>16.5</v>
      </c>
    </row>
    <row r="126">
      <c r="A126" s="158" t="str">
        <f>IFERROR(__xludf.DUMMYFUNCTION("""COMPUTED_VALUE"""),"Minecraft: Legends")</f>
        <v>Minecraft: Legends</v>
      </c>
      <c r="B126" s="158" t="str">
        <f>IFERROR(__xludf.DUMMYFUNCTION("""COMPUTED_VALUE"""),"Xbox / PC")</f>
        <v>Xbox / PC</v>
      </c>
      <c r="C126" s="158" t="str">
        <f>IFERROR(__xludf.DUMMYFUNCTION("""COMPUTED_VALUE"""),"Yes")</f>
        <v>Yes</v>
      </c>
      <c r="D126" s="159" t="str">
        <f>IFERROR(__xludf.DUMMYFUNCTION("""COMPUTED_VALUE"""),"Active")</f>
        <v>Active</v>
      </c>
      <c r="E126" s="160">
        <f>IFERROR(__xludf.DUMMYFUNCTION("""COMPUTED_VALUE"""),45034.0)</f>
        <v>45034</v>
      </c>
      <c r="F126" s="161"/>
      <c r="G126" s="162">
        <f>IFERROR(__xludf.DUMMYFUNCTION("""COMPUTED_VALUE"""),29.9)</f>
        <v>29.9</v>
      </c>
      <c r="H126" s="163">
        <f>IFERROR(__xludf.DUMMYFUNCTION("""COMPUTED_VALUE"""),45034.0)</f>
        <v>45034</v>
      </c>
      <c r="I126" s="162">
        <f>IFERROR(__xludf.DUMMYFUNCTION("""COMPUTED_VALUE"""),0.0)</f>
        <v>0</v>
      </c>
      <c r="J126" s="164">
        <f>IFERROR(__xludf.DUMMYFUNCTION("""COMPUTED_VALUE"""),69.0)</f>
        <v>69</v>
      </c>
      <c r="K126" s="164">
        <f>IFERROR(__xludf.DUMMYFUNCTION("""COMPUTED_VALUE"""),8.0)</f>
        <v>8</v>
      </c>
      <c r="L126" s="158" t="str">
        <f>IFERROR(__xludf.DUMMYFUNCTION("""COMPUTED_VALUE"""),"Action / Strategy")</f>
        <v>Action / Strategy</v>
      </c>
      <c r="M126" s="158" t="str">
        <f>IFERROR(__xludf.DUMMYFUNCTION("""COMPUTED_VALUE"""),"Exclusive")</f>
        <v>Exclusive</v>
      </c>
      <c r="N126" s="158"/>
      <c r="O126" s="158" t="str">
        <f>IFERROR(__xludf.DUMMYFUNCTION("""COMPUTED_VALUE"""),"E10+")</f>
        <v>E10+</v>
      </c>
      <c r="P126" s="158" t="str">
        <f>IFERROR(__xludf.DUMMYFUNCTION("""COMPUTED_VALUE"""),"Mild Blood, Violence, Mild Suggestive Themes, Language")</f>
        <v>Mild Blood, Violence, Mild Suggestive Themes, Language</v>
      </c>
      <c r="Q126" s="158"/>
      <c r="R126" s="159" t="str">
        <f>IFERROR(__xludf.DUMMYFUNCTION("""COMPUTED_VALUE"""),"Active")</f>
        <v>Active</v>
      </c>
      <c r="S126" s="160">
        <f>IFERROR(__xludf.DUMMYFUNCTION("""COMPUTED_VALUE"""),45547.0)</f>
        <v>45547</v>
      </c>
      <c r="T126" s="162">
        <f>IFERROR(__xludf.DUMMYFUNCTION("""COMPUTED_VALUE"""),16.799999999999997)</f>
        <v>16.8</v>
      </c>
    </row>
    <row r="127">
      <c r="A127" s="158" t="str">
        <f>IFERROR(__xludf.DUMMYFUNCTION("""COMPUTED_VALUE"""),"Ghostwire: Tokyo")</f>
        <v>Ghostwire: Tokyo</v>
      </c>
      <c r="B127" s="158" t="str">
        <f>IFERROR(__xludf.DUMMYFUNCTION("""COMPUTED_VALUE"""),"Xbox / PC")</f>
        <v>Xbox / PC</v>
      </c>
      <c r="C127" s="158" t="str">
        <f>IFERROR(__xludf.DUMMYFUNCTION("""COMPUTED_VALUE"""),"Yes")</f>
        <v>Yes</v>
      </c>
      <c r="D127" s="159" t="str">
        <f>IFERROR(__xludf.DUMMYFUNCTION("""COMPUTED_VALUE"""),"Active")</f>
        <v>Active</v>
      </c>
      <c r="E127" s="160">
        <f>IFERROR(__xludf.DUMMYFUNCTION("""COMPUTED_VALUE"""),45028.0)</f>
        <v>45028</v>
      </c>
      <c r="F127" s="161"/>
      <c r="G127" s="162">
        <f>IFERROR(__xludf.DUMMYFUNCTION("""COMPUTED_VALUE"""),30.1)</f>
        <v>30.1</v>
      </c>
      <c r="H127" s="163">
        <f>IFERROR(__xludf.DUMMYFUNCTION("""COMPUTED_VALUE"""),44645.0)</f>
        <v>44645</v>
      </c>
      <c r="I127" s="162">
        <f>IFERROR(__xludf.DUMMYFUNCTION("""COMPUTED_VALUE"""),1.0472222222222223)</f>
        <v>1.047222222</v>
      </c>
      <c r="J127" s="164">
        <f>IFERROR(__xludf.DUMMYFUNCTION("""COMPUTED_VALUE"""),76.0)</f>
        <v>76</v>
      </c>
      <c r="K127" s="164">
        <f>IFERROR(__xludf.DUMMYFUNCTION("""COMPUTED_VALUE"""),11.0)</f>
        <v>11</v>
      </c>
      <c r="L127" s="158" t="str">
        <f>IFERROR(__xludf.DUMMYFUNCTION("""COMPUTED_VALUE"""),"Action-Adventure")</f>
        <v>Action-Adventure</v>
      </c>
      <c r="M127" s="158" t="str">
        <f>IFERROR(__xludf.DUMMYFUNCTION("""COMPUTED_VALUE"""),"Exclusive")</f>
        <v>Exclusive</v>
      </c>
      <c r="N127" s="158"/>
      <c r="O127" s="158" t="str">
        <f>IFERROR(__xludf.DUMMYFUNCTION("""COMPUTED_VALUE"""),"T")</f>
        <v>T</v>
      </c>
      <c r="P127" s="158" t="str">
        <f>IFERROR(__xludf.DUMMYFUNCTION("""COMPUTED_VALUE"""),"Language, Violence")</f>
        <v>Language, Violence</v>
      </c>
      <c r="Q127" s="158"/>
      <c r="R127" s="159" t="str">
        <f>IFERROR(__xludf.DUMMYFUNCTION("""COMPUTED_VALUE"""),"Active")</f>
        <v>Active</v>
      </c>
      <c r="S127" s="160">
        <f>IFERROR(__xludf.DUMMYFUNCTION("""COMPUTED_VALUE"""),45547.0)</f>
        <v>45547</v>
      </c>
      <c r="T127" s="162">
        <f>IFERROR(__xludf.DUMMYFUNCTION("""COMPUTED_VALUE"""),17.0)</f>
        <v>17</v>
      </c>
    </row>
    <row r="128">
      <c r="A128" s="158" t="str">
        <f>IFERROR(__xludf.DUMMYFUNCTION("""COMPUTED_VALUE"""),"NHL 23")</f>
        <v>NHL 23</v>
      </c>
      <c r="B128" s="158" t="str">
        <f>IFERROR(__xludf.DUMMYFUNCTION("""COMPUTED_VALUE"""),"Xbox")</f>
        <v>Xbox</v>
      </c>
      <c r="C128" s="158"/>
      <c r="D128" s="159" t="str">
        <f>IFERROR(__xludf.DUMMYFUNCTION("""COMPUTED_VALUE"""),"Active")</f>
        <v>Active</v>
      </c>
      <c r="E128" s="160">
        <f>IFERROR(__xludf.DUMMYFUNCTION("""COMPUTED_VALUE"""),45029.0)</f>
        <v>45029</v>
      </c>
      <c r="F128" s="161"/>
      <c r="G128" s="162">
        <f>IFERROR(__xludf.DUMMYFUNCTION("""COMPUTED_VALUE"""),30.066666666666666)</f>
        <v>30.06666667</v>
      </c>
      <c r="H128" s="163">
        <f>IFERROR(__xludf.DUMMYFUNCTION("""COMPUTED_VALUE"""),44845.0)</f>
        <v>44845</v>
      </c>
      <c r="I128" s="162">
        <f>IFERROR(__xludf.DUMMYFUNCTION("""COMPUTED_VALUE"""),0.5055555555555555)</f>
        <v>0.5055555556</v>
      </c>
      <c r="J128" s="164">
        <f>IFERROR(__xludf.DUMMYFUNCTION("""COMPUTED_VALUE"""),71.0)</f>
        <v>71</v>
      </c>
      <c r="K128" s="164">
        <f>IFERROR(__xludf.DUMMYFUNCTION("""COMPUTED_VALUE"""),12.0)</f>
        <v>12</v>
      </c>
      <c r="L128" s="158" t="str">
        <f>IFERROR(__xludf.DUMMYFUNCTION("""COMPUTED_VALUE"""),"Sports / Hockey")</f>
        <v>Sports / Hockey</v>
      </c>
      <c r="M128" s="158"/>
      <c r="N128" s="158"/>
      <c r="O128" s="158" t="str">
        <f>IFERROR(__xludf.DUMMYFUNCTION("""COMPUTED_VALUE"""),"E10+")</f>
        <v>E10+</v>
      </c>
      <c r="P128" s="158" t="str">
        <f>IFERROR(__xludf.DUMMYFUNCTION("""COMPUTED_VALUE"""),"Mild Violence")</f>
        <v>Mild Violence</v>
      </c>
      <c r="Q128" s="158"/>
      <c r="R128" s="159" t="str">
        <f>IFERROR(__xludf.DUMMYFUNCTION("""COMPUTED_VALUE"""),"Active")</f>
        <v>Active</v>
      </c>
      <c r="S128" s="160">
        <f>IFERROR(__xludf.DUMMYFUNCTION("""COMPUTED_VALUE"""),45547.0)</f>
        <v>45547</v>
      </c>
      <c r="T128" s="162">
        <f>IFERROR(__xludf.DUMMYFUNCTION("""COMPUTED_VALUE"""),16.96666666666667)</f>
        <v>16.96666667</v>
      </c>
    </row>
    <row r="129">
      <c r="A129" s="158" t="str">
        <f>IFERROR(__xludf.DUMMYFUNCTION("""COMPUTED_VALUE"""),"Iron Brigade")</f>
        <v>Iron Brigade</v>
      </c>
      <c r="B129" s="158" t="str">
        <f>IFERROR(__xludf.DUMMYFUNCTION("""COMPUTED_VALUE"""),"Xbox")</f>
        <v>Xbox</v>
      </c>
      <c r="C129" s="158"/>
      <c r="D129" s="159" t="str">
        <f>IFERROR(__xludf.DUMMYFUNCTION("""COMPUTED_VALUE"""),"Active")</f>
        <v>Active</v>
      </c>
      <c r="E129" s="160">
        <f>IFERROR(__xludf.DUMMYFUNCTION("""COMPUTED_VALUE"""),45022.0)</f>
        <v>45022</v>
      </c>
      <c r="F129" s="161"/>
      <c r="G129" s="162">
        <f>IFERROR(__xludf.DUMMYFUNCTION("""COMPUTED_VALUE"""),30.299999999999997)</f>
        <v>30.3</v>
      </c>
      <c r="H129" s="163">
        <f>IFERROR(__xludf.DUMMYFUNCTION("""COMPUTED_VALUE"""),40716.0)</f>
        <v>40716</v>
      </c>
      <c r="I129" s="162">
        <f>IFERROR(__xludf.DUMMYFUNCTION("""COMPUTED_VALUE"""),11.78888888888889)</f>
        <v>11.78888889</v>
      </c>
      <c r="J129" s="164">
        <f>IFERROR(__xludf.DUMMYFUNCTION("""COMPUTED_VALUE"""),82.0)</f>
        <v>82</v>
      </c>
      <c r="K129" s="164">
        <f>IFERROR(__xludf.DUMMYFUNCTION("""COMPUTED_VALUE"""),6.5)</f>
        <v>6.5</v>
      </c>
      <c r="L129" s="158" t="str">
        <f>IFERROR(__xludf.DUMMYFUNCTION("""COMPUTED_VALUE"""),"Strategy / Shooter")</f>
        <v>Strategy / Shooter</v>
      </c>
      <c r="M129" s="158"/>
      <c r="N129" s="158" t="str">
        <f>IFERROR(__xludf.DUMMYFUNCTION("""COMPUTED_VALUE"""),"Returning title: Originally joined 6/1/17, left 7/15/19")</f>
        <v>Returning title: Originally joined 6/1/17, left 7/15/19</v>
      </c>
      <c r="O129" s="158" t="str">
        <f>IFERROR(__xludf.DUMMYFUNCTION("""COMPUTED_VALUE"""),"T")</f>
        <v>T</v>
      </c>
      <c r="P129" s="158" t="str">
        <f>IFERROR(__xludf.DUMMYFUNCTION("""COMPUTED_VALUE"""),"Language, Mild Suggestive Themes, Use of Tobacco, Violence")</f>
        <v>Language, Mild Suggestive Themes, Use of Tobacco, Violence</v>
      </c>
      <c r="Q129" s="158"/>
      <c r="R129" s="159" t="str">
        <f>IFERROR(__xludf.DUMMYFUNCTION("""COMPUTED_VALUE"""),"Active")</f>
        <v>Active</v>
      </c>
      <c r="S129" s="160">
        <f>IFERROR(__xludf.DUMMYFUNCTION("""COMPUTED_VALUE"""),45547.0)</f>
        <v>45547</v>
      </c>
      <c r="T129" s="162">
        <f>IFERROR(__xludf.DUMMYFUNCTION("""COMPUTED_VALUE"""),17.2)</f>
        <v>17.2</v>
      </c>
    </row>
    <row r="130">
      <c r="A130" s="158" t="str">
        <f>IFERROR(__xludf.DUMMYFUNCTION("""COMPUTED_VALUE"""),"Ni no Kuni II: Revenant Kingdom - The Prince's Edition")</f>
        <v>Ni no Kuni II: Revenant Kingdom - The Prince's Edition</v>
      </c>
      <c r="B130" s="158" t="str">
        <f>IFERROR(__xludf.DUMMYFUNCTION("""COMPUTED_VALUE"""),"Xbox / PC")</f>
        <v>Xbox / PC</v>
      </c>
      <c r="C130" s="158"/>
      <c r="D130" s="159" t="str">
        <f>IFERROR(__xludf.DUMMYFUNCTION("""COMPUTED_VALUE"""),"Active")</f>
        <v>Active</v>
      </c>
      <c r="E130" s="160">
        <f>IFERROR(__xludf.DUMMYFUNCTION("""COMPUTED_VALUE"""),45006.0)</f>
        <v>45006</v>
      </c>
      <c r="F130" s="161"/>
      <c r="G130" s="162">
        <f>IFERROR(__xludf.DUMMYFUNCTION("""COMPUTED_VALUE"""),30.800000000000004)</f>
        <v>30.8</v>
      </c>
      <c r="H130" s="163">
        <f>IFERROR(__xludf.DUMMYFUNCTION("""COMPUTED_VALUE"""),43182.0)</f>
        <v>43182</v>
      </c>
      <c r="I130" s="162">
        <f>IFERROR(__xludf.DUMMYFUNCTION("""COMPUTED_VALUE"""),4.9944444444444445)</f>
        <v>4.994444444</v>
      </c>
      <c r="J130" s="164">
        <f>IFERROR(__xludf.DUMMYFUNCTION("""COMPUTED_VALUE"""),81.0)</f>
        <v>81</v>
      </c>
      <c r="K130" s="164">
        <f>IFERROR(__xludf.DUMMYFUNCTION("""COMPUTED_VALUE"""),39.0)</f>
        <v>39</v>
      </c>
      <c r="L130" s="158" t="str">
        <f>IFERROR(__xludf.DUMMYFUNCTION("""COMPUTED_VALUE"""),"Action / RPG")</f>
        <v>Action / RPG</v>
      </c>
      <c r="M130" s="158"/>
      <c r="N130" s="158"/>
      <c r="O130" s="158" t="str">
        <f>IFERROR(__xludf.DUMMYFUNCTION("""COMPUTED_VALUE"""),"T")</f>
        <v>T</v>
      </c>
      <c r="P130" s="158" t="str">
        <f>IFERROR(__xludf.DUMMYFUNCTION("""COMPUTED_VALUE"""),"Fantasy Violence, Mild Blood")</f>
        <v>Fantasy Violence, Mild Blood</v>
      </c>
      <c r="Q130" s="158"/>
      <c r="R130" s="159" t="str">
        <f>IFERROR(__xludf.DUMMYFUNCTION("""COMPUTED_VALUE"""),"Active")</f>
        <v>Active</v>
      </c>
      <c r="S130" s="160">
        <f>IFERROR(__xludf.DUMMYFUNCTION("""COMPUTED_VALUE"""),45547.0)</f>
        <v>45547</v>
      </c>
      <c r="T130" s="162">
        <f>IFERROR(__xludf.DUMMYFUNCTION("""COMPUTED_VALUE"""),17.700000000000003)</f>
        <v>17.7</v>
      </c>
    </row>
    <row r="131">
      <c r="A131" s="158" t="str">
        <f>IFERROR(__xludf.DUMMYFUNCTION("""COMPUTED_VALUE"""),"Mount &amp; Blade II: Bannerlord")</f>
        <v>Mount &amp; Blade II: Bannerlord</v>
      </c>
      <c r="B131" s="158" t="str">
        <f>IFERROR(__xludf.DUMMYFUNCTION("""COMPUTED_VALUE"""),"Xbox / PC")</f>
        <v>Xbox / PC</v>
      </c>
      <c r="C131" s="158" t="str">
        <f>IFERROR(__xludf.DUMMYFUNCTION("""COMPUTED_VALUE"""),"M+KB")</f>
        <v>M+KB</v>
      </c>
      <c r="D131" s="159" t="str">
        <f>IFERROR(__xludf.DUMMYFUNCTION("""COMPUTED_VALUE"""),"Active")</f>
        <v>Active</v>
      </c>
      <c r="E131" s="160">
        <f>IFERROR(__xludf.DUMMYFUNCTION("""COMPUTED_VALUE"""),44971.0)</f>
        <v>44971</v>
      </c>
      <c r="F131" s="161"/>
      <c r="G131" s="162">
        <f>IFERROR(__xludf.DUMMYFUNCTION("""COMPUTED_VALUE"""),32.03333333333333)</f>
        <v>32.03333333</v>
      </c>
      <c r="H131" s="163">
        <f>IFERROR(__xludf.DUMMYFUNCTION("""COMPUTED_VALUE"""),43920.0)</f>
        <v>43920</v>
      </c>
      <c r="I131" s="162">
        <f>IFERROR(__xludf.DUMMYFUNCTION("""COMPUTED_VALUE"""),2.8722222222222222)</f>
        <v>2.872222222</v>
      </c>
      <c r="J131" s="164">
        <f>IFERROR(__xludf.DUMMYFUNCTION("""COMPUTED_VALUE"""),75.0)</f>
        <v>75</v>
      </c>
      <c r="K131" s="164">
        <f>IFERROR(__xludf.DUMMYFUNCTION("""COMPUTED_VALUE"""),39.0)</f>
        <v>39</v>
      </c>
      <c r="L131" s="158" t="str">
        <f>IFERROR(__xludf.DUMMYFUNCTION("""COMPUTED_VALUE"""),"Action / Adventure / RPG / Simulation")</f>
        <v>Action / Adventure / RPG / Simulation</v>
      </c>
      <c r="M131" s="158"/>
      <c r="N131" s="158"/>
      <c r="O131" s="158" t="str">
        <f>IFERROR(__xludf.DUMMYFUNCTION("""COMPUTED_VALUE"""),"M")</f>
        <v>M</v>
      </c>
      <c r="P131" s="158" t="str">
        <f>IFERROR(__xludf.DUMMYFUNCTION("""COMPUTED_VALUE"""),"Blood, Violence")</f>
        <v>Blood, Violence</v>
      </c>
      <c r="Q131" s="158"/>
      <c r="R131" s="159" t="str">
        <f>IFERROR(__xludf.DUMMYFUNCTION("""COMPUTED_VALUE"""),"Active")</f>
        <v>Active</v>
      </c>
      <c r="S131" s="160">
        <f>IFERROR(__xludf.DUMMYFUNCTION("""COMPUTED_VALUE"""),45547.0)</f>
        <v>45547</v>
      </c>
      <c r="T131" s="162">
        <f>IFERROR(__xludf.DUMMYFUNCTION("""COMPUTED_VALUE"""),18.933333333333334)</f>
        <v>18.93333333</v>
      </c>
    </row>
    <row r="132">
      <c r="A132" s="158" t="str">
        <f>IFERROR(__xludf.DUMMYFUNCTION("""COMPUTED_VALUE"""),"Madden NFL 23")</f>
        <v>Madden NFL 23</v>
      </c>
      <c r="B132" s="158" t="str">
        <f>IFERROR(__xludf.DUMMYFUNCTION("""COMPUTED_VALUE"""),"Xbox / PC")</f>
        <v>Xbox / PC</v>
      </c>
      <c r="C132" s="158"/>
      <c r="D132" s="159" t="str">
        <f>IFERROR(__xludf.DUMMYFUNCTION("""COMPUTED_VALUE"""),"Active")</f>
        <v>Active</v>
      </c>
      <c r="E132" s="160">
        <f>IFERROR(__xludf.DUMMYFUNCTION("""COMPUTED_VALUE"""),44966.0)</f>
        <v>44966</v>
      </c>
      <c r="F132" s="161"/>
      <c r="G132" s="162">
        <f>IFERROR(__xludf.DUMMYFUNCTION("""COMPUTED_VALUE"""),32.199999999999996)</f>
        <v>32.2</v>
      </c>
      <c r="H132" s="163">
        <f>IFERROR(__xludf.DUMMYFUNCTION("""COMPUTED_VALUE"""),44791.0)</f>
        <v>44791</v>
      </c>
      <c r="I132" s="162">
        <f>IFERROR(__xludf.DUMMYFUNCTION("""COMPUTED_VALUE"""),0.475)</f>
        <v>0.475</v>
      </c>
      <c r="J132" s="164">
        <f>IFERROR(__xludf.DUMMYFUNCTION("""COMPUTED_VALUE"""),69.0)</f>
        <v>69</v>
      </c>
      <c r="K132" s="164">
        <f>IFERROR(__xludf.DUMMYFUNCTION("""COMPUTED_VALUE"""),28.0)</f>
        <v>28</v>
      </c>
      <c r="L132" s="158" t="str">
        <f>IFERROR(__xludf.DUMMYFUNCTION("""COMPUTED_VALUE"""),"Sports / Football")</f>
        <v>Sports / Football</v>
      </c>
      <c r="M132" s="158"/>
      <c r="N132" s="158"/>
      <c r="O132" s="158" t="str">
        <f>IFERROR(__xludf.DUMMYFUNCTION("""COMPUTED_VALUE"""),"E")</f>
        <v>E</v>
      </c>
      <c r="P132" s="158" t="str">
        <f>IFERROR(__xludf.DUMMYFUNCTION("""COMPUTED_VALUE"""),"Mild Lyrics")</f>
        <v>Mild Lyrics</v>
      </c>
      <c r="Q132" s="158"/>
      <c r="R132" s="159" t="str">
        <f>IFERROR(__xludf.DUMMYFUNCTION("""COMPUTED_VALUE"""),"Active")</f>
        <v>Active</v>
      </c>
      <c r="S132" s="160">
        <f>IFERROR(__xludf.DUMMYFUNCTION("""COMPUTED_VALUE"""),45547.0)</f>
        <v>45547</v>
      </c>
      <c r="T132" s="162">
        <f>IFERROR(__xludf.DUMMYFUNCTION("""COMPUTED_VALUE"""),19.099999999999998)</f>
        <v>19.1</v>
      </c>
    </row>
    <row r="133">
      <c r="A133" s="158" t="str">
        <f>IFERROR(__xludf.DUMMYFUNCTION("""COMPUTED_VALUE"""),"GoldenEye 007 (2023)")</f>
        <v>GoldenEye 007 (2023)</v>
      </c>
      <c r="B133" s="158" t="str">
        <f>IFERROR(__xludf.DUMMYFUNCTION("""COMPUTED_VALUE"""),"Xbox")</f>
        <v>Xbox</v>
      </c>
      <c r="C133" s="158" t="str">
        <f>IFERROR(__xludf.DUMMYFUNCTION("""COMPUTED_VALUE"""),"Yes")</f>
        <v>Yes</v>
      </c>
      <c r="D133" s="159" t="str">
        <f>IFERROR(__xludf.DUMMYFUNCTION("""COMPUTED_VALUE"""),"Active")</f>
        <v>Active</v>
      </c>
      <c r="E133" s="160">
        <f>IFERROR(__xludf.DUMMYFUNCTION("""COMPUTED_VALUE"""),44953.0)</f>
        <v>44953</v>
      </c>
      <c r="F133" s="161"/>
      <c r="G133" s="162">
        <f>IFERROR(__xludf.DUMMYFUNCTION("""COMPUTED_VALUE"""),32.6)</f>
        <v>32.6</v>
      </c>
      <c r="H133" s="163">
        <f>IFERROR(__xludf.DUMMYFUNCTION("""COMPUTED_VALUE"""),44953.0)</f>
        <v>44953</v>
      </c>
      <c r="I133" s="162">
        <f>IFERROR(__xludf.DUMMYFUNCTION("""COMPUTED_VALUE"""),0.0)</f>
        <v>0</v>
      </c>
      <c r="J133" s="164">
        <f>IFERROR(__xludf.DUMMYFUNCTION("""COMPUTED_VALUE"""),96.0)</f>
        <v>96</v>
      </c>
      <c r="K133" s="164">
        <f>IFERROR(__xludf.DUMMYFUNCTION("""COMPUTED_VALUE"""),10.0)</f>
        <v>10</v>
      </c>
      <c r="L133" s="158" t="str">
        <f>IFERROR(__xludf.DUMMYFUNCTION("""COMPUTED_VALUE"""),"First-Person Shooter")</f>
        <v>First-Person Shooter</v>
      </c>
      <c r="M133" s="158"/>
      <c r="N133" s="158"/>
      <c r="O133" s="158" t="str">
        <f>IFERROR(__xludf.DUMMYFUNCTION("""COMPUTED_VALUE"""),"T")</f>
        <v>T</v>
      </c>
      <c r="P133" s="158"/>
      <c r="Q133" s="158"/>
      <c r="R133" s="159" t="str">
        <f>IFERROR(__xludf.DUMMYFUNCTION("""COMPUTED_VALUE"""),"Active")</f>
        <v>Active</v>
      </c>
      <c r="S133" s="160">
        <f>IFERROR(__xludf.DUMMYFUNCTION("""COMPUTED_VALUE"""),45547.0)</f>
        <v>45547</v>
      </c>
      <c r="T133" s="162">
        <f>IFERROR(__xludf.DUMMYFUNCTION("""COMPUTED_VALUE"""),19.5)</f>
        <v>19.5</v>
      </c>
    </row>
    <row r="134">
      <c r="A134" s="158" t="str">
        <f>IFERROR(__xludf.DUMMYFUNCTION("""COMPUTED_VALUE"""),"Hi-Fi RUSH")</f>
        <v>Hi-Fi RUSH</v>
      </c>
      <c r="B134" s="158" t="str">
        <f>IFERROR(__xludf.DUMMYFUNCTION("""COMPUTED_VALUE"""),"Xbox / PC")</f>
        <v>Xbox / PC</v>
      </c>
      <c r="C134" s="158" t="str">
        <f>IFERROR(__xludf.DUMMYFUNCTION("""COMPUTED_VALUE"""),"Yes")</f>
        <v>Yes</v>
      </c>
      <c r="D134" s="159" t="str">
        <f>IFERROR(__xludf.DUMMYFUNCTION("""COMPUTED_VALUE"""),"Active")</f>
        <v>Active</v>
      </c>
      <c r="E134" s="160">
        <f>IFERROR(__xludf.DUMMYFUNCTION("""COMPUTED_VALUE"""),44951.0)</f>
        <v>44951</v>
      </c>
      <c r="F134" s="161"/>
      <c r="G134" s="162">
        <f>IFERROR(__xludf.DUMMYFUNCTION("""COMPUTED_VALUE"""),32.66666666666667)</f>
        <v>32.66666667</v>
      </c>
      <c r="H134" s="163">
        <f>IFERROR(__xludf.DUMMYFUNCTION("""COMPUTED_VALUE"""),44951.0)</f>
        <v>44951</v>
      </c>
      <c r="I134" s="162">
        <f>IFERROR(__xludf.DUMMYFUNCTION("""COMPUTED_VALUE"""),0.0)</f>
        <v>0</v>
      </c>
      <c r="J134" s="164">
        <f>IFERROR(__xludf.DUMMYFUNCTION("""COMPUTED_VALUE"""),89.0)</f>
        <v>89</v>
      </c>
      <c r="K134" s="164">
        <f>IFERROR(__xludf.DUMMYFUNCTION("""COMPUTED_VALUE"""),10.0)</f>
        <v>10</v>
      </c>
      <c r="L134" s="158" t="str">
        <f>IFERROR(__xludf.DUMMYFUNCTION("""COMPUTED_VALUE"""),"Action / Music/Rhythm")</f>
        <v>Action / Music/Rhythm</v>
      </c>
      <c r="M134" s="158" t="str">
        <f>IFERROR(__xludf.DUMMYFUNCTION("""COMPUTED_VALUE"""),"Exclusive")</f>
        <v>Exclusive</v>
      </c>
      <c r="N134" s="158"/>
      <c r="O134" s="158" t="str">
        <f>IFERROR(__xludf.DUMMYFUNCTION("""COMPUTED_VALUE"""),"T")</f>
        <v>T</v>
      </c>
      <c r="P134" s="158" t="str">
        <f>IFERROR(__xludf.DUMMYFUNCTION("""COMPUTED_VALUE"""),"Fantasy Violence, Language")</f>
        <v>Fantasy Violence, Language</v>
      </c>
      <c r="Q134" s="158"/>
      <c r="R134" s="159" t="str">
        <f>IFERROR(__xludf.DUMMYFUNCTION("""COMPUTED_VALUE"""),"Active")</f>
        <v>Active</v>
      </c>
      <c r="S134" s="160">
        <f>IFERROR(__xludf.DUMMYFUNCTION("""COMPUTED_VALUE"""),45547.0)</f>
        <v>45547</v>
      </c>
      <c r="T134" s="162">
        <f>IFERROR(__xludf.DUMMYFUNCTION("""COMPUTED_VALUE"""),19.566666666666666)</f>
        <v>19.56666667</v>
      </c>
    </row>
    <row r="135">
      <c r="A135" s="158" t="str">
        <f>IFERROR(__xludf.DUMMYFUNCTION("""COMPUTED_VALUE"""),"LEGO Star Wars: The Skywalker Saga")</f>
        <v>LEGO Star Wars: The Skywalker Saga</v>
      </c>
      <c r="B135" s="158" t="str">
        <f>IFERROR(__xludf.DUMMYFUNCTION("""COMPUTED_VALUE"""),"Xbox / PC")</f>
        <v>Xbox / PC</v>
      </c>
      <c r="C135" s="158" t="str">
        <f>IFERROR(__xludf.DUMMYFUNCTION("""COMPUTED_VALUE"""),"Yes")</f>
        <v>Yes</v>
      </c>
      <c r="D135" s="159" t="str">
        <f>IFERROR(__xludf.DUMMYFUNCTION("""COMPUTED_VALUE"""),"Active")</f>
        <v>Active</v>
      </c>
      <c r="E135" s="160">
        <f>IFERROR(__xludf.DUMMYFUNCTION("""COMPUTED_VALUE"""),44901.0)</f>
        <v>44901</v>
      </c>
      <c r="F135" s="161"/>
      <c r="G135" s="162">
        <f>IFERROR(__xludf.DUMMYFUNCTION("""COMPUTED_VALUE"""),34.3)</f>
        <v>34.3</v>
      </c>
      <c r="H135" s="163">
        <f>IFERROR(__xludf.DUMMYFUNCTION("""COMPUTED_VALUE"""),44656.0)</f>
        <v>44656</v>
      </c>
      <c r="I135" s="162">
        <f>IFERROR(__xludf.DUMMYFUNCTION("""COMPUTED_VALUE"""),0.6694444444444444)</f>
        <v>0.6694444444</v>
      </c>
      <c r="J135" s="164">
        <f>IFERROR(__xludf.DUMMYFUNCTION("""COMPUTED_VALUE"""),80.0)</f>
        <v>80</v>
      </c>
      <c r="K135" s="164">
        <f>IFERROR(__xludf.DUMMYFUNCTION("""COMPUTED_VALUE"""),19.0)</f>
        <v>19</v>
      </c>
      <c r="L135" s="158" t="str">
        <f>IFERROR(__xludf.DUMMYFUNCTION("""COMPUTED_VALUE"""),"Shooter / Brawler / Action-Adventure")</f>
        <v>Shooter / Brawler / Action-Adventure</v>
      </c>
      <c r="M135" s="158"/>
      <c r="N135" s="158"/>
      <c r="O135" s="158" t="str">
        <f>IFERROR(__xludf.DUMMYFUNCTION("""COMPUTED_VALUE"""),"E10+")</f>
        <v>E10+</v>
      </c>
      <c r="P135" s="158" t="str">
        <f>IFERROR(__xludf.DUMMYFUNCTION("""COMPUTED_VALUE"""),"Cartoon Violence, Comic Mischief")</f>
        <v>Cartoon Violence, Comic Mischief</v>
      </c>
      <c r="Q135" s="158"/>
      <c r="R135" s="159" t="str">
        <f>IFERROR(__xludf.DUMMYFUNCTION("""COMPUTED_VALUE"""),"Active")</f>
        <v>Active</v>
      </c>
      <c r="S135" s="160">
        <f>IFERROR(__xludf.DUMMYFUNCTION("""COMPUTED_VALUE"""),45547.0)</f>
        <v>45547</v>
      </c>
      <c r="T135" s="162">
        <f>IFERROR(__xludf.DUMMYFUNCTION("""COMPUTED_VALUE"""),21.2)</f>
        <v>21.2</v>
      </c>
    </row>
    <row r="136">
      <c r="A136" s="158" t="str">
        <f>IFERROR(__xludf.DUMMYFUNCTION("""COMPUTED_VALUE"""),"The Walking Dead: The Final Season")</f>
        <v>The Walking Dead: The Final Season</v>
      </c>
      <c r="B136" s="158" t="str">
        <f>IFERROR(__xludf.DUMMYFUNCTION("""COMPUTED_VALUE"""),"Xbox / PC")</f>
        <v>Xbox / PC</v>
      </c>
      <c r="C136" s="158" t="str">
        <f>IFERROR(__xludf.DUMMYFUNCTION("""COMPUTED_VALUE"""),"Yes")</f>
        <v>Yes</v>
      </c>
      <c r="D136" s="159" t="str">
        <f>IFERROR(__xludf.DUMMYFUNCTION("""COMPUTED_VALUE"""),"Active")</f>
        <v>Active</v>
      </c>
      <c r="E136" s="160">
        <f>IFERROR(__xludf.DUMMYFUNCTION("""COMPUTED_VALUE"""),44896.0)</f>
        <v>44896</v>
      </c>
      <c r="F136" s="161"/>
      <c r="G136" s="162">
        <f>IFERROR(__xludf.DUMMYFUNCTION("""COMPUTED_VALUE"""),34.46666666666667)</f>
        <v>34.46666667</v>
      </c>
      <c r="H136" s="163">
        <f>IFERROR(__xludf.DUMMYFUNCTION("""COMPUTED_VALUE"""),43325.0)</f>
        <v>43325</v>
      </c>
      <c r="I136" s="162">
        <f>IFERROR(__xludf.DUMMYFUNCTION("""COMPUTED_VALUE"""),4.3)</f>
        <v>4.3</v>
      </c>
      <c r="J136" s="164">
        <f>IFERROR(__xludf.DUMMYFUNCTION("""COMPUTED_VALUE"""),78.0)</f>
        <v>78</v>
      </c>
      <c r="K136" s="164">
        <f>IFERROR(__xludf.DUMMYFUNCTION("""COMPUTED_VALUE"""),10.0)</f>
        <v>10</v>
      </c>
      <c r="L136" s="158" t="str">
        <f>IFERROR(__xludf.DUMMYFUNCTION("""COMPUTED_VALUE"""),"Adventure")</f>
        <v>Adventure</v>
      </c>
      <c r="M136" s="158"/>
      <c r="N136" s="158" t="str">
        <f>IFERROR(__xludf.DUMMYFUNCTION("""COMPUTED_VALUE"""),"Left PC 11,33/24")</f>
        <v>Left PC 11,33/24</v>
      </c>
      <c r="O136" s="158" t="str">
        <f>IFERROR(__xludf.DUMMYFUNCTION("""COMPUTED_VALUE"""),"M")</f>
        <v>M</v>
      </c>
      <c r="P136" s="158" t="str">
        <f>IFERROR(__xludf.DUMMYFUNCTION("""COMPUTED_VALUE"""),"Blood and Gore, Intense Violence, Strong Language")</f>
        <v>Blood and Gore, Intense Violence, Strong Language</v>
      </c>
      <c r="Q136" s="158"/>
      <c r="R136" s="159" t="str">
        <f>IFERROR(__xludf.DUMMYFUNCTION("""COMPUTED_VALUE"""),"Active")</f>
        <v>Active</v>
      </c>
      <c r="S136" s="160">
        <f>IFERROR(__xludf.DUMMYFUNCTION("""COMPUTED_VALUE"""),45547.0)</f>
        <v>45547</v>
      </c>
      <c r="T136" s="162">
        <f>IFERROR(__xludf.DUMMYFUNCTION("""COMPUTED_VALUE"""),21.366666666666667)</f>
        <v>21.36666667</v>
      </c>
    </row>
    <row r="137">
      <c r="A137" s="158" t="str">
        <f>IFERROR(__xludf.DUMMYFUNCTION("""COMPUTED_VALUE"""),"Warhammer 40,000: Darktide")</f>
        <v>Warhammer 40,000: Darktide</v>
      </c>
      <c r="B137" s="158" t="str">
        <f>IFERROR(__xludf.DUMMYFUNCTION("""COMPUTED_VALUE"""),"Xbox / PC")</f>
        <v>Xbox / PC</v>
      </c>
      <c r="C137" s="158" t="str">
        <f>IFERROR(__xludf.DUMMYFUNCTION("""COMPUTED_VALUE"""),"Yes")</f>
        <v>Yes</v>
      </c>
      <c r="D137" s="159" t="str">
        <f>IFERROR(__xludf.DUMMYFUNCTION("""COMPUTED_VALUE"""),"Active")</f>
        <v>Active</v>
      </c>
      <c r="E137" s="160">
        <f>IFERROR(__xludf.DUMMYFUNCTION("""COMPUTED_VALUE"""),44895.0)</f>
        <v>44895</v>
      </c>
      <c r="F137" s="161"/>
      <c r="G137" s="162">
        <f>IFERROR(__xludf.DUMMYFUNCTION("""COMPUTED_VALUE"""),34.5)</f>
        <v>34.5</v>
      </c>
      <c r="H137" s="163">
        <f>IFERROR(__xludf.DUMMYFUNCTION("""COMPUTED_VALUE"""),44895.0)</f>
        <v>44895</v>
      </c>
      <c r="I137" s="162">
        <f>IFERROR(__xludf.DUMMYFUNCTION("""COMPUTED_VALUE"""),0.0)</f>
        <v>0</v>
      </c>
      <c r="J137" s="164">
        <f>IFERROR(__xludf.DUMMYFUNCTION("""COMPUTED_VALUE"""),78.0)</f>
        <v>78</v>
      </c>
      <c r="K137" s="164">
        <f>IFERROR(__xludf.DUMMYFUNCTION("""COMPUTED_VALUE"""),41.0)</f>
        <v>41</v>
      </c>
      <c r="L137" s="158" t="str">
        <f>IFERROR(__xludf.DUMMYFUNCTION("""COMPUTED_VALUE"""),"Action")</f>
        <v>Action</v>
      </c>
      <c r="M137" s="158" t="str">
        <f>IFERROR(__xludf.DUMMYFUNCTION("""COMPUTED_VALUE"""),"Exclusive")</f>
        <v>Exclusive</v>
      </c>
      <c r="N137" s="158" t="str">
        <f>IFERROR(__xludf.DUMMYFUNCTION("""COMPUTED_VALUE"""),"Game Pass Essential (10/1/25). Joined cloud and console 10/4/23")</f>
        <v>Game Pass Essential (10/1/25). Joined cloud and console 10/4/23</v>
      </c>
      <c r="O137" s="158" t="str">
        <f>IFERROR(__xludf.DUMMYFUNCTION("""COMPUTED_VALUE"""),"M")</f>
        <v>M</v>
      </c>
      <c r="P137" s="158" t="str">
        <f>IFERROR(__xludf.DUMMYFUNCTION("""COMPUTED_VALUE"""),"Intense Violence, Blood and Gore")</f>
        <v>Intense Violence, Blood and Gore</v>
      </c>
      <c r="Q137" s="158"/>
      <c r="R137" s="159" t="str">
        <f>IFERROR(__xludf.DUMMYFUNCTION("""COMPUTED_VALUE"""),"Active")</f>
        <v>Active</v>
      </c>
      <c r="S137" s="160">
        <f>IFERROR(__xludf.DUMMYFUNCTION("""COMPUTED_VALUE"""),45547.0)</f>
        <v>45547</v>
      </c>
      <c r="T137" s="162">
        <f>IFERROR(__xludf.DUMMYFUNCTION("""COMPUTED_VALUE"""),21.400000000000002)</f>
        <v>21.4</v>
      </c>
    </row>
    <row r="138">
      <c r="A138" s="158" t="str">
        <f>IFERROR(__xludf.DUMMYFUNCTION("""COMPUTED_VALUE"""),"Battlefield 2042")</f>
        <v>Battlefield 2042</v>
      </c>
      <c r="B138" s="158" t="str">
        <f>IFERROR(__xludf.DUMMYFUNCTION("""COMPUTED_VALUE"""),"Xbox / PC")</f>
        <v>Xbox / PC</v>
      </c>
      <c r="C138" s="158" t="str">
        <f>IFERROR(__xludf.DUMMYFUNCTION("""COMPUTED_VALUE"""),"Yes")</f>
        <v>Yes</v>
      </c>
      <c r="D138" s="159" t="str">
        <f>IFERROR(__xludf.DUMMYFUNCTION("""COMPUTED_VALUE"""),"Active")</f>
        <v>Active</v>
      </c>
      <c r="E138" s="160">
        <f>IFERROR(__xludf.DUMMYFUNCTION("""COMPUTED_VALUE"""),44887.0)</f>
        <v>44887</v>
      </c>
      <c r="F138" s="161"/>
      <c r="G138" s="162">
        <f>IFERROR(__xludf.DUMMYFUNCTION("""COMPUTED_VALUE"""),34.766666666666666)</f>
        <v>34.76666667</v>
      </c>
      <c r="H138" s="163">
        <f>IFERROR(__xludf.DUMMYFUNCTION("""COMPUTED_VALUE"""),44512.0)</f>
        <v>44512</v>
      </c>
      <c r="I138" s="162">
        <f>IFERROR(__xludf.DUMMYFUNCTION("""COMPUTED_VALUE"""),1.0277777777777777)</f>
        <v>1.027777778</v>
      </c>
      <c r="J138" s="164">
        <f>IFERROR(__xludf.DUMMYFUNCTION("""COMPUTED_VALUE"""),66.0)</f>
        <v>66</v>
      </c>
      <c r="K138" s="164">
        <f>IFERROR(__xludf.DUMMYFUNCTION("""COMPUTED_VALUE"""),58.0)</f>
        <v>58</v>
      </c>
      <c r="L138" s="158" t="str">
        <f>IFERROR(__xludf.DUMMYFUNCTION("""COMPUTED_VALUE"""),"First-Person Shooter")</f>
        <v>First-Person Shooter</v>
      </c>
      <c r="M138" s="158"/>
      <c r="N138" s="158"/>
      <c r="O138" s="158" t="str">
        <f>IFERROR(__xludf.DUMMYFUNCTION("""COMPUTED_VALUE"""),"M")</f>
        <v>M</v>
      </c>
      <c r="P138" s="158" t="str">
        <f>IFERROR(__xludf.DUMMYFUNCTION("""COMPUTED_VALUE"""),"Blood, Strong Language, Violence")</f>
        <v>Blood, Strong Language, Violence</v>
      </c>
      <c r="Q138" s="158" t="str">
        <f>IFERROR(__xludf.DUMMYFUNCTION("""COMPUTED_VALUE"""),"Seperate Xbox Gen8 (Xbox One) and Gen9 (Xbox Series X|S) versions (Not Smart Delivery enabled)")</f>
        <v>Seperate Xbox Gen8 (Xbox One) and Gen9 (Xbox Series X|S) versions (Not Smart Delivery enabled)</v>
      </c>
      <c r="R138" s="159" t="str">
        <f>IFERROR(__xludf.DUMMYFUNCTION("""COMPUTED_VALUE"""),"Active")</f>
        <v>Active</v>
      </c>
      <c r="S138" s="160">
        <f>IFERROR(__xludf.DUMMYFUNCTION("""COMPUTED_VALUE"""),45547.0)</f>
        <v>45547</v>
      </c>
      <c r="T138" s="162">
        <f>IFERROR(__xludf.DUMMYFUNCTION("""COMPUTED_VALUE"""),21.666666666666668)</f>
        <v>21.66666667</v>
      </c>
    </row>
    <row r="139">
      <c r="A139" s="158" t="str">
        <f>IFERROR(__xludf.DUMMYFUNCTION("""COMPUTED_VALUE"""),"Pentiment")</f>
        <v>Pentiment</v>
      </c>
      <c r="B139" s="158" t="str">
        <f>IFERROR(__xludf.DUMMYFUNCTION("""COMPUTED_VALUE"""),"Xbox / PC")</f>
        <v>Xbox / PC</v>
      </c>
      <c r="C139" s="158" t="str">
        <f>IFERROR(__xludf.DUMMYFUNCTION("""COMPUTED_VALUE"""),"Touch Controls, M+KB")</f>
        <v>Touch Controls, M+KB</v>
      </c>
      <c r="D139" s="159" t="str">
        <f>IFERROR(__xludf.DUMMYFUNCTION("""COMPUTED_VALUE"""),"Active")</f>
        <v>Active</v>
      </c>
      <c r="E139" s="160">
        <f>IFERROR(__xludf.DUMMYFUNCTION("""COMPUTED_VALUE"""),44880.0)</f>
        <v>44880</v>
      </c>
      <c r="F139" s="161"/>
      <c r="G139" s="162">
        <f>IFERROR(__xludf.DUMMYFUNCTION("""COMPUTED_VALUE"""),35.0)</f>
        <v>35</v>
      </c>
      <c r="H139" s="163">
        <f>IFERROR(__xludf.DUMMYFUNCTION("""COMPUTED_VALUE"""),44880.0)</f>
        <v>44880</v>
      </c>
      <c r="I139" s="162">
        <f>IFERROR(__xludf.DUMMYFUNCTION("""COMPUTED_VALUE"""),0.0)</f>
        <v>0</v>
      </c>
      <c r="J139" s="164">
        <f>IFERROR(__xludf.DUMMYFUNCTION("""COMPUTED_VALUE"""),87.0)</f>
        <v>87</v>
      </c>
      <c r="K139" s="164">
        <f>IFERROR(__xludf.DUMMYFUNCTION("""COMPUTED_VALUE"""),18.5)</f>
        <v>18.5</v>
      </c>
      <c r="L139" s="158" t="str">
        <f>IFERROR(__xludf.DUMMYFUNCTION("""COMPUTED_VALUE"""),"Adventure")</f>
        <v>Adventure</v>
      </c>
      <c r="M139" s="158"/>
      <c r="N139" s="158"/>
      <c r="O139" s="158" t="str">
        <f>IFERROR(__xludf.DUMMYFUNCTION("""COMPUTED_VALUE"""),"M")</f>
        <v>M</v>
      </c>
      <c r="P139" s="158" t="str">
        <f>IFERROR(__xludf.DUMMYFUNCTION("""COMPUTED_VALUE"""),"Blood and Gore, Sexual Themes, Strong Language, Violence")</f>
        <v>Blood and Gore, Sexual Themes, Strong Language, Violence</v>
      </c>
      <c r="Q139" s="158"/>
      <c r="R139" s="159" t="str">
        <f>IFERROR(__xludf.DUMMYFUNCTION("""COMPUTED_VALUE"""),"Active")</f>
        <v>Active</v>
      </c>
      <c r="S139" s="160">
        <f>IFERROR(__xludf.DUMMYFUNCTION("""COMPUTED_VALUE"""),45547.0)</f>
        <v>45547</v>
      </c>
      <c r="T139" s="162">
        <f>IFERROR(__xludf.DUMMYFUNCTION("""COMPUTED_VALUE"""),21.9)</f>
        <v>21.9</v>
      </c>
    </row>
    <row r="140">
      <c r="A140" s="158" t="str">
        <f>IFERROR(__xludf.DUMMYFUNCTION("""COMPUTED_VALUE"""),"Return to Monkey Island")</f>
        <v>Return to Monkey Island</v>
      </c>
      <c r="B140" s="158" t="str">
        <f>IFERROR(__xludf.DUMMYFUNCTION("""COMPUTED_VALUE"""),"Xbox / PC")</f>
        <v>Xbox / PC</v>
      </c>
      <c r="C140" s="158" t="str">
        <f>IFERROR(__xludf.DUMMYFUNCTION("""COMPUTED_VALUE"""),"Yes")</f>
        <v>Yes</v>
      </c>
      <c r="D140" s="159" t="str">
        <f>IFERROR(__xludf.DUMMYFUNCTION("""COMPUTED_VALUE"""),"Active")</f>
        <v>Active</v>
      </c>
      <c r="E140" s="160">
        <f>IFERROR(__xludf.DUMMYFUNCTION("""COMPUTED_VALUE"""),44873.0)</f>
        <v>44873</v>
      </c>
      <c r="F140" s="161"/>
      <c r="G140" s="162">
        <f>IFERROR(__xludf.DUMMYFUNCTION("""COMPUTED_VALUE"""),35.233333333333334)</f>
        <v>35.23333333</v>
      </c>
      <c r="H140" s="163">
        <f>IFERROR(__xludf.DUMMYFUNCTION("""COMPUTED_VALUE"""),44823.0)</f>
        <v>44823</v>
      </c>
      <c r="I140" s="162">
        <f>IFERROR(__xludf.DUMMYFUNCTION("""COMPUTED_VALUE"""),0.1361111111111111)</f>
        <v>0.1361111111</v>
      </c>
      <c r="J140" s="164">
        <f>IFERROR(__xludf.DUMMYFUNCTION("""COMPUTED_VALUE"""),87.0)</f>
        <v>87</v>
      </c>
      <c r="K140" s="164">
        <f>IFERROR(__xludf.DUMMYFUNCTION("""COMPUTED_VALUE"""),10.5)</f>
        <v>10.5</v>
      </c>
      <c r="L140" s="158" t="str">
        <f>IFERROR(__xludf.DUMMYFUNCTION("""COMPUTED_VALUE"""),"Adventure")</f>
        <v>Adventure</v>
      </c>
      <c r="M140" s="158" t="str">
        <f>IFERROR(__xludf.DUMMYFUNCTION("""COMPUTED_VALUE"""),"Exclusive")</f>
        <v>Exclusive</v>
      </c>
      <c r="N140" s="158"/>
      <c r="O140" s="158" t="str">
        <f>IFERROR(__xludf.DUMMYFUNCTION("""COMPUTED_VALUE"""),"E10+")</f>
        <v>E10+</v>
      </c>
      <c r="P140" s="158" t="str">
        <f>IFERROR(__xludf.DUMMYFUNCTION("""COMPUTED_VALUE"""),"Alcohol Reference, Fantasy Violence")</f>
        <v>Alcohol Reference, Fantasy Violence</v>
      </c>
      <c r="Q140" s="158"/>
      <c r="R140" s="159" t="str">
        <f>IFERROR(__xludf.DUMMYFUNCTION("""COMPUTED_VALUE"""),"Active")</f>
        <v>Active</v>
      </c>
      <c r="S140" s="160">
        <f>IFERROR(__xludf.DUMMYFUNCTION("""COMPUTED_VALUE"""),45547.0)</f>
        <v>45547</v>
      </c>
      <c r="T140" s="162">
        <f>IFERROR(__xludf.DUMMYFUNCTION("""COMPUTED_VALUE"""),22.133333333333333)</f>
        <v>22.13333333</v>
      </c>
    </row>
    <row r="141">
      <c r="A141" s="158" t="str">
        <f>IFERROR(__xludf.DUMMYFUNCTION("""COMPUTED_VALUE"""),"A Plague Tale: Requiem")</f>
        <v>A Plague Tale: Requiem</v>
      </c>
      <c r="B141" s="158" t="str">
        <f>IFERROR(__xludf.DUMMYFUNCTION("""COMPUTED_VALUE"""),"Xbox / PC")</f>
        <v>Xbox / PC</v>
      </c>
      <c r="C141" s="158" t="str">
        <f>IFERROR(__xludf.DUMMYFUNCTION("""COMPUTED_VALUE"""),"Yes")</f>
        <v>Yes</v>
      </c>
      <c r="D141" s="159" t="str">
        <f>IFERROR(__xludf.DUMMYFUNCTION("""COMPUTED_VALUE"""),"Active")</f>
        <v>Active</v>
      </c>
      <c r="E141" s="160">
        <f>IFERROR(__xludf.DUMMYFUNCTION("""COMPUTED_VALUE"""),44852.0)</f>
        <v>44852</v>
      </c>
      <c r="F141" s="161"/>
      <c r="G141" s="162">
        <f>IFERROR(__xludf.DUMMYFUNCTION("""COMPUTED_VALUE"""),35.9)</f>
        <v>35.9</v>
      </c>
      <c r="H141" s="163">
        <f>IFERROR(__xludf.DUMMYFUNCTION("""COMPUTED_VALUE"""),44852.0)</f>
        <v>44852</v>
      </c>
      <c r="I141" s="162">
        <f>IFERROR(__xludf.DUMMYFUNCTION("""COMPUTED_VALUE"""),0.0)</f>
        <v>0</v>
      </c>
      <c r="J141" s="164">
        <f>IFERROR(__xludf.DUMMYFUNCTION("""COMPUTED_VALUE"""),85.0)</f>
        <v>85</v>
      </c>
      <c r="K141" s="164">
        <f>IFERROR(__xludf.DUMMYFUNCTION("""COMPUTED_VALUE"""),15.0)</f>
        <v>15</v>
      </c>
      <c r="L141" s="158" t="str">
        <f>IFERROR(__xludf.DUMMYFUNCTION("""COMPUTED_VALUE"""),"Action-Adventure")</f>
        <v>Action-Adventure</v>
      </c>
      <c r="M141" s="158" t="str">
        <f>IFERROR(__xludf.DUMMYFUNCTION("""COMPUTED_VALUE"""),"Exclusive")</f>
        <v>Exclusive</v>
      </c>
      <c r="N141" s="158"/>
      <c r="O141" s="158" t="str">
        <f>IFERROR(__xludf.DUMMYFUNCTION("""COMPUTED_VALUE"""),"M")</f>
        <v>M</v>
      </c>
      <c r="P141" s="158" t="str">
        <f>IFERROR(__xludf.DUMMYFUNCTION("""COMPUTED_VALUE"""),"Intense Violence, Blood, Language")</f>
        <v>Intense Violence, Blood, Language</v>
      </c>
      <c r="Q141" s="158"/>
      <c r="R141" s="159" t="str">
        <f>IFERROR(__xludf.DUMMYFUNCTION("""COMPUTED_VALUE"""),"Active")</f>
        <v>Active</v>
      </c>
      <c r="S141" s="160">
        <f>IFERROR(__xludf.DUMMYFUNCTION("""COMPUTED_VALUE"""),45547.0)</f>
        <v>45547</v>
      </c>
      <c r="T141" s="162">
        <f>IFERROR(__xludf.DUMMYFUNCTION("""COMPUTED_VALUE"""),22.799999999999997)</f>
        <v>22.8</v>
      </c>
    </row>
    <row r="142">
      <c r="A142" s="158" t="str">
        <f>IFERROR(__xludf.DUMMYFUNCTION("""COMPUTED_VALUE"""),"Costume Quest")</f>
        <v>Costume Quest</v>
      </c>
      <c r="B142" s="158" t="str">
        <f>IFERROR(__xludf.DUMMYFUNCTION("""COMPUTED_VALUE"""),"Xbox")</f>
        <v>Xbox</v>
      </c>
      <c r="C142" s="158" t="str">
        <f>IFERROR(__xludf.DUMMYFUNCTION("""COMPUTED_VALUE"""),"Yes")</f>
        <v>Yes</v>
      </c>
      <c r="D142" s="159" t="str">
        <f>IFERROR(__xludf.DUMMYFUNCTION("""COMPUTED_VALUE"""),"Active")</f>
        <v>Active</v>
      </c>
      <c r="E142" s="160">
        <f>IFERROR(__xludf.DUMMYFUNCTION("""COMPUTED_VALUE"""),44845.0)</f>
        <v>44845</v>
      </c>
      <c r="F142" s="161"/>
      <c r="G142" s="162">
        <f>IFERROR(__xludf.DUMMYFUNCTION("""COMPUTED_VALUE"""),36.13333333333333)</f>
        <v>36.13333333</v>
      </c>
      <c r="H142" s="163">
        <f>IFERROR(__xludf.DUMMYFUNCTION("""COMPUTED_VALUE"""),40471.0)</f>
        <v>40471</v>
      </c>
      <c r="I142" s="162">
        <f>IFERROR(__xludf.DUMMYFUNCTION("""COMPUTED_VALUE"""),11.975)</f>
        <v>11.975</v>
      </c>
      <c r="J142" s="164">
        <f>IFERROR(__xludf.DUMMYFUNCTION("""COMPUTED_VALUE"""),74.0)</f>
        <v>74</v>
      </c>
      <c r="K142" s="164">
        <f>IFERROR(__xludf.DUMMYFUNCTION("""COMPUTED_VALUE"""),5.5)</f>
        <v>5.5</v>
      </c>
      <c r="L142" s="158" t="str">
        <f>IFERROR(__xludf.DUMMYFUNCTION("""COMPUTED_VALUE"""),"RPG")</f>
        <v>RPG</v>
      </c>
      <c r="M142" s="158"/>
      <c r="N142" s="158"/>
      <c r="O142" s="158" t="str">
        <f>IFERROR(__xludf.DUMMYFUNCTION("""COMPUTED_VALUE"""),"E10+")</f>
        <v>E10+</v>
      </c>
      <c r="P142" s="158" t="str">
        <f>IFERROR(__xludf.DUMMYFUNCTION("""COMPUTED_VALUE"""),"Fantasy Violence, Tobacco Reference")</f>
        <v>Fantasy Violence, Tobacco Reference</v>
      </c>
      <c r="Q142" s="158"/>
      <c r="R142" s="159" t="str">
        <f>IFERROR(__xludf.DUMMYFUNCTION("""COMPUTED_VALUE"""),"Active")</f>
        <v>Active</v>
      </c>
      <c r="S142" s="160">
        <f>IFERROR(__xludf.DUMMYFUNCTION("""COMPUTED_VALUE"""),45547.0)</f>
        <v>45547</v>
      </c>
      <c r="T142" s="162">
        <f>IFERROR(__xludf.DUMMYFUNCTION("""COMPUTED_VALUE"""),23.033333333333335)</f>
        <v>23.03333333</v>
      </c>
    </row>
    <row r="143">
      <c r="A143" s="158" t="str">
        <f>IFERROR(__xludf.DUMMYFUNCTION("""COMPUTED_VALUE"""),"Chivalry II")</f>
        <v>Chivalry II</v>
      </c>
      <c r="B143" s="158" t="str">
        <f>IFERROR(__xludf.DUMMYFUNCTION("""COMPUTED_VALUE"""),"Xbox / PC")</f>
        <v>Xbox / PC</v>
      </c>
      <c r="C143" s="158" t="str">
        <f>IFERROR(__xludf.DUMMYFUNCTION("""COMPUTED_VALUE"""),"Yes")</f>
        <v>Yes</v>
      </c>
      <c r="D143" s="159" t="str">
        <f>IFERROR(__xludf.DUMMYFUNCTION("""COMPUTED_VALUE"""),"Active")</f>
        <v>Active</v>
      </c>
      <c r="E143" s="160">
        <f>IFERROR(__xludf.DUMMYFUNCTION("""COMPUTED_VALUE"""),44838.0)</f>
        <v>44838</v>
      </c>
      <c r="F143" s="161"/>
      <c r="G143" s="162">
        <f>IFERROR(__xludf.DUMMYFUNCTION("""COMPUTED_VALUE"""),36.36666666666667)</f>
        <v>36.36666667</v>
      </c>
      <c r="H143" s="163">
        <f>IFERROR(__xludf.DUMMYFUNCTION("""COMPUTED_VALUE"""),44355.0)</f>
        <v>44355</v>
      </c>
      <c r="I143" s="162">
        <f>IFERROR(__xludf.DUMMYFUNCTION("""COMPUTED_VALUE"""),1.3222222222222222)</f>
        <v>1.322222222</v>
      </c>
      <c r="J143" s="164">
        <f>IFERROR(__xludf.DUMMYFUNCTION("""COMPUTED_VALUE"""),82.0)</f>
        <v>82</v>
      </c>
      <c r="K143" s="164">
        <f>IFERROR(__xludf.DUMMYFUNCTION("""COMPUTED_VALUE"""),42.5)</f>
        <v>42.5</v>
      </c>
      <c r="L143" s="158" t="str">
        <f>IFERROR(__xludf.DUMMYFUNCTION("""COMPUTED_VALUE"""),"Action")</f>
        <v>Action</v>
      </c>
      <c r="M143" s="158"/>
      <c r="N143" s="158" t="str">
        <f>IFERROR(__xludf.DUMMYFUNCTION("""COMPUTED_VALUE"""),"Game Pass Essential (12/6/23)")</f>
        <v>Game Pass Essential (12/6/23)</v>
      </c>
      <c r="O143" s="158" t="str">
        <f>IFERROR(__xludf.DUMMYFUNCTION("""COMPUTED_VALUE"""),"M")</f>
        <v>M</v>
      </c>
      <c r="P143" s="158" t="str">
        <f>IFERROR(__xludf.DUMMYFUNCTION("""COMPUTED_VALUE"""),"Use of Alcohol, Blood and Gore, Mild Sexual Themes, Language, Intense Violence")</f>
        <v>Use of Alcohol, Blood and Gore, Mild Sexual Themes, Language, Intense Violence</v>
      </c>
      <c r="Q143" s="158"/>
      <c r="R143" s="159" t="str">
        <f>IFERROR(__xludf.DUMMYFUNCTION("""COMPUTED_VALUE"""),"Active")</f>
        <v>Active</v>
      </c>
      <c r="S143" s="160">
        <f>IFERROR(__xludf.DUMMYFUNCTION("""COMPUTED_VALUE"""),45547.0)</f>
        <v>45547</v>
      </c>
      <c r="T143" s="162">
        <f>IFERROR(__xludf.DUMMYFUNCTION("""COMPUTED_VALUE"""),23.266666666666666)</f>
        <v>23.26666667</v>
      </c>
    </row>
    <row r="144">
      <c r="A144" s="158" t="str">
        <f>IFERROR(__xludf.DUMMYFUNCTION("""COMPUTED_VALUE"""),"DEATHLOOP")</f>
        <v>DEATHLOOP</v>
      </c>
      <c r="B144" s="158" t="str">
        <f>IFERROR(__xludf.DUMMYFUNCTION("""COMPUTED_VALUE"""),"Xbox / PC")</f>
        <v>Xbox / PC</v>
      </c>
      <c r="C144" s="158" t="str">
        <f>IFERROR(__xludf.DUMMYFUNCTION("""COMPUTED_VALUE"""),"Yes")</f>
        <v>Yes</v>
      </c>
      <c r="D144" s="159" t="str">
        <f>IFERROR(__xludf.DUMMYFUNCTION("""COMPUTED_VALUE"""),"Active")</f>
        <v>Active</v>
      </c>
      <c r="E144" s="160">
        <f>IFERROR(__xludf.DUMMYFUNCTION("""COMPUTED_VALUE"""),44824.0)</f>
        <v>44824</v>
      </c>
      <c r="F144" s="161"/>
      <c r="G144" s="162">
        <f>IFERROR(__xludf.DUMMYFUNCTION("""COMPUTED_VALUE"""),36.833333333333336)</f>
        <v>36.83333333</v>
      </c>
      <c r="H144" s="163">
        <f>IFERROR(__xludf.DUMMYFUNCTION("""COMPUTED_VALUE"""),44453.0)</f>
        <v>44453</v>
      </c>
      <c r="I144" s="162">
        <f>IFERROR(__xludf.DUMMYFUNCTION("""COMPUTED_VALUE"""),1.0166666666666666)</f>
        <v>1.016666667</v>
      </c>
      <c r="J144" s="164">
        <f>IFERROR(__xludf.DUMMYFUNCTION("""COMPUTED_VALUE"""),89.0)</f>
        <v>89</v>
      </c>
      <c r="K144" s="164">
        <f>IFERROR(__xludf.DUMMYFUNCTION("""COMPUTED_VALUE"""),16.0)</f>
        <v>16</v>
      </c>
      <c r="L144" s="158" t="str">
        <f>IFERROR(__xludf.DUMMYFUNCTION("""COMPUTED_VALUE"""),"Action / Strategy")</f>
        <v>Action / Strategy</v>
      </c>
      <c r="M144" s="158" t="str">
        <f>IFERROR(__xludf.DUMMYFUNCTION("""COMPUTED_VALUE"""),"Exclusive")</f>
        <v>Exclusive</v>
      </c>
      <c r="N144" s="158"/>
      <c r="O144" s="158" t="str">
        <f>IFERROR(__xludf.DUMMYFUNCTION("""COMPUTED_VALUE"""),"M")</f>
        <v>M</v>
      </c>
      <c r="P144" s="158" t="str">
        <f>IFERROR(__xludf.DUMMYFUNCTION("""COMPUTED_VALUE"""),"Blood and Gore, Sexual Themes, Drug Reference, Strong Language, Intense Violence")</f>
        <v>Blood and Gore, Sexual Themes, Drug Reference, Strong Language, Intense Violence</v>
      </c>
      <c r="Q144" s="158"/>
      <c r="R144" s="159" t="str">
        <f>IFERROR(__xludf.DUMMYFUNCTION("""COMPUTED_VALUE"""),"Active")</f>
        <v>Active</v>
      </c>
      <c r="S144" s="160">
        <f>IFERROR(__xludf.DUMMYFUNCTION("""COMPUTED_VALUE"""),45547.0)</f>
        <v>45547</v>
      </c>
      <c r="T144" s="162">
        <f>IFERROR(__xludf.DUMMYFUNCTION("""COMPUTED_VALUE"""),23.733333333333334)</f>
        <v>23.73333333</v>
      </c>
    </row>
    <row r="145">
      <c r="A145" s="158" t="str">
        <f>IFERROR(__xludf.DUMMYFUNCTION("""COMPUTED_VALUE"""),"Assassin's Creed Odyssey")</f>
        <v>Assassin's Creed Odyssey</v>
      </c>
      <c r="B145" s="158" t="str">
        <f>IFERROR(__xludf.DUMMYFUNCTION("""COMPUTED_VALUE"""),"Xbox / PC")</f>
        <v>Xbox / PC</v>
      </c>
      <c r="C145" s="158" t="str">
        <f>IFERROR(__xludf.DUMMYFUNCTION("""COMPUTED_VALUE"""),"Touch Controls")</f>
        <v>Touch Controls</v>
      </c>
      <c r="D145" s="159" t="str">
        <f>IFERROR(__xludf.DUMMYFUNCTION("""COMPUTED_VALUE"""),"Active")</f>
        <v>Active</v>
      </c>
      <c r="E145" s="160">
        <f>IFERROR(__xludf.DUMMYFUNCTION("""COMPUTED_VALUE"""),44819.0)</f>
        <v>44819</v>
      </c>
      <c r="F145" s="161"/>
      <c r="G145" s="162">
        <f>IFERROR(__xludf.DUMMYFUNCTION("""COMPUTED_VALUE"""),37.0)</f>
        <v>37</v>
      </c>
      <c r="H145" s="163">
        <f>IFERROR(__xludf.DUMMYFUNCTION("""COMPUTED_VALUE"""),43375.0)</f>
        <v>43375</v>
      </c>
      <c r="I145" s="162">
        <f>IFERROR(__xludf.DUMMYFUNCTION("""COMPUTED_VALUE"""),3.952777777777778)</f>
        <v>3.952777778</v>
      </c>
      <c r="J145" s="164">
        <f>IFERROR(__xludf.DUMMYFUNCTION("""COMPUTED_VALUE"""),87.0)</f>
        <v>87</v>
      </c>
      <c r="K145" s="164">
        <f>IFERROR(__xludf.DUMMYFUNCTION("""COMPUTED_VALUE"""),44.5)</f>
        <v>44.5</v>
      </c>
      <c r="L145" s="158" t="str">
        <f>IFERROR(__xludf.DUMMYFUNCTION("""COMPUTED_VALUE"""),"RPG / Action-Adventure")</f>
        <v>RPG / Action-Adventure</v>
      </c>
      <c r="M145" s="158"/>
      <c r="N145" s="158" t="str">
        <f>IFERROR(__xludf.DUMMYFUNCTION("""COMPUTED_VALUE"""),"Ubisoft Connect launcher")</f>
        <v>Ubisoft Connect launcher</v>
      </c>
      <c r="O145" s="158" t="str">
        <f>IFERROR(__xludf.DUMMYFUNCTION("""COMPUTED_VALUE"""),"M")</f>
        <v>M</v>
      </c>
      <c r="P145" s="158" t="str">
        <f>IFERROR(__xludf.DUMMYFUNCTION("""COMPUTED_VALUE"""),"Blood and Gore, Sexual Themes, Strong Language, Intense Violence")</f>
        <v>Blood and Gore, Sexual Themes, Strong Language, Intense Violence</v>
      </c>
      <c r="Q145" s="158"/>
      <c r="R145" s="159" t="str">
        <f>IFERROR(__xludf.DUMMYFUNCTION("""COMPUTED_VALUE"""),"Active")</f>
        <v>Active</v>
      </c>
      <c r="S145" s="160">
        <f>IFERROR(__xludf.DUMMYFUNCTION("""COMPUTED_VALUE"""),45547.0)</f>
        <v>45547</v>
      </c>
      <c r="T145" s="162">
        <f>IFERROR(__xludf.DUMMYFUNCTION("""COMPUTED_VALUE"""),23.9)</f>
        <v>23.9</v>
      </c>
    </row>
    <row r="146">
      <c r="A146" s="158" t="str">
        <f>IFERROR(__xludf.DUMMYFUNCTION("""COMPUTED_VALUE"""),"Ni no Kuni: Wrath of the White Witch - Remastered")</f>
        <v>Ni no Kuni: Wrath of the White Witch - Remastered</v>
      </c>
      <c r="B146" s="158" t="str">
        <f>IFERROR(__xludf.DUMMYFUNCTION("""COMPUTED_VALUE"""),"Xbox / PC")</f>
        <v>Xbox / PC</v>
      </c>
      <c r="C146" s="158" t="str">
        <f>IFERROR(__xludf.DUMMYFUNCTION("""COMPUTED_VALUE"""),"Touch Controls")</f>
        <v>Touch Controls</v>
      </c>
      <c r="D146" s="159" t="str">
        <f>IFERROR(__xludf.DUMMYFUNCTION("""COMPUTED_VALUE"""),"Active")</f>
        <v>Active</v>
      </c>
      <c r="E146" s="160">
        <f>IFERROR(__xludf.DUMMYFUNCTION("""COMPUTED_VALUE"""),44819.0)</f>
        <v>44819</v>
      </c>
      <c r="F146" s="161"/>
      <c r="G146" s="162">
        <f>IFERROR(__xludf.DUMMYFUNCTION("""COMPUTED_VALUE"""),37.0)</f>
        <v>37</v>
      </c>
      <c r="H146" s="163">
        <f>IFERROR(__xludf.DUMMYFUNCTION("""COMPUTED_VALUE"""),43728.0)</f>
        <v>43728</v>
      </c>
      <c r="I146" s="162">
        <f>IFERROR(__xludf.DUMMYFUNCTION("""COMPUTED_VALUE"""),2.986111111111111)</f>
        <v>2.986111111</v>
      </c>
      <c r="J146" s="164">
        <f>IFERROR(__xludf.DUMMYFUNCTION("""COMPUTED_VALUE"""),82.0)</f>
        <v>82</v>
      </c>
      <c r="K146" s="164">
        <f>IFERROR(__xludf.DUMMYFUNCTION("""COMPUTED_VALUE"""),44.5)</f>
        <v>44.5</v>
      </c>
      <c r="L146" s="158" t="str">
        <f>IFERROR(__xludf.DUMMYFUNCTION("""COMPUTED_VALUE"""),"RPG / Action-Adventure")</f>
        <v>RPG / Action-Adventure</v>
      </c>
      <c r="M146" s="158"/>
      <c r="N146" s="158"/>
      <c r="O146" s="158" t="str">
        <f>IFERROR(__xludf.DUMMYFUNCTION("""COMPUTED_VALUE"""),"E10+")</f>
        <v>E10+</v>
      </c>
      <c r="P146" s="158" t="str">
        <f>IFERROR(__xludf.DUMMYFUNCTION("""COMPUTED_VALUE"""),"Fantasy Violence, Mild Language, Simulated Gambling, Alcohol and Tobacco Reference")</f>
        <v>Fantasy Violence, Mild Language, Simulated Gambling, Alcohol and Tobacco Reference</v>
      </c>
      <c r="Q146" s="158"/>
      <c r="R146" s="159" t="str">
        <f>IFERROR(__xludf.DUMMYFUNCTION("""COMPUTED_VALUE"""),"Active")</f>
        <v>Active</v>
      </c>
      <c r="S146" s="160">
        <f>IFERROR(__xludf.DUMMYFUNCTION("""COMPUTED_VALUE"""),45547.0)</f>
        <v>45547</v>
      </c>
      <c r="T146" s="162">
        <f>IFERROR(__xludf.DUMMYFUNCTION("""COMPUTED_VALUE"""),23.9)</f>
        <v>23.9</v>
      </c>
    </row>
    <row r="147">
      <c r="A147" s="158" t="str">
        <f>IFERROR(__xludf.DUMMYFUNCTION("""COMPUTED_VALUE"""),"Disney Dreamlight Valley: Founder's Edition")</f>
        <v>Disney Dreamlight Valley: Founder's Edition</v>
      </c>
      <c r="B147" s="158" t="str">
        <f>IFERROR(__xludf.DUMMYFUNCTION("""COMPUTED_VALUE"""),"Xbox / PC")</f>
        <v>Xbox / PC</v>
      </c>
      <c r="C147" s="158" t="str">
        <f>IFERROR(__xludf.DUMMYFUNCTION("""COMPUTED_VALUE"""),"Touch Controls")</f>
        <v>Touch Controls</v>
      </c>
      <c r="D147" s="159" t="str">
        <f>IFERROR(__xludf.DUMMYFUNCTION("""COMPUTED_VALUE"""),"Active")</f>
        <v>Active</v>
      </c>
      <c r="E147" s="160">
        <f>IFERROR(__xludf.DUMMYFUNCTION("""COMPUTED_VALUE"""),44810.0)</f>
        <v>44810</v>
      </c>
      <c r="F147" s="161"/>
      <c r="G147" s="162">
        <f>IFERROR(__xludf.DUMMYFUNCTION("""COMPUTED_VALUE"""),37.3)</f>
        <v>37.3</v>
      </c>
      <c r="H147" s="163">
        <f>IFERROR(__xludf.DUMMYFUNCTION("""COMPUTED_VALUE"""),44810.0)</f>
        <v>44810</v>
      </c>
      <c r="I147" s="162">
        <f>IFERROR(__xludf.DUMMYFUNCTION("""COMPUTED_VALUE"""),0.0)</f>
        <v>0</v>
      </c>
      <c r="J147" s="164">
        <f>IFERROR(__xludf.DUMMYFUNCTION("""COMPUTED_VALUE"""),75.0)</f>
        <v>75</v>
      </c>
      <c r="K147" s="164">
        <f>IFERROR(__xludf.DUMMYFUNCTION("""COMPUTED_VALUE"""),15.5)</f>
        <v>15.5</v>
      </c>
      <c r="L147" s="158" t="str">
        <f>IFERROR(__xludf.DUMMYFUNCTION("""COMPUTED_VALUE"""),"Simulation")</f>
        <v>Simulation</v>
      </c>
      <c r="M147" s="158"/>
      <c r="N147" s="158" t="str">
        <f>IFERROR(__xludf.DUMMYFUNCTION("""COMPUTED_VALUE"""),"Game Pass Essential (10/1/25)")</f>
        <v>Game Pass Essential (10/1/25)</v>
      </c>
      <c r="O147" s="158" t="str">
        <f>IFERROR(__xludf.DUMMYFUNCTION("""COMPUTED_VALUE"""),"E")</f>
        <v>E</v>
      </c>
      <c r="P147" s="158"/>
      <c r="Q147" s="158"/>
      <c r="R147" s="159" t="str">
        <f>IFERROR(__xludf.DUMMYFUNCTION("""COMPUTED_VALUE"""),"Active")</f>
        <v>Active</v>
      </c>
      <c r="S147" s="160">
        <f>IFERROR(__xludf.DUMMYFUNCTION("""COMPUTED_VALUE"""),45547.0)</f>
        <v>45547</v>
      </c>
      <c r="T147" s="162">
        <f>IFERROR(__xludf.DUMMYFUNCTION("""COMPUTED_VALUE"""),24.2)</f>
        <v>24.2</v>
      </c>
    </row>
    <row r="148">
      <c r="A148" s="158" t="str">
        <f>IFERROR(__xludf.DUMMYFUNCTION("""COMPUTED_VALUE"""),"GRID: Legends")</f>
        <v>GRID: Legends</v>
      </c>
      <c r="B148" s="158" t="str">
        <f>IFERROR(__xludf.DUMMYFUNCTION("""COMPUTED_VALUE"""),"Xbox / PC")</f>
        <v>Xbox / PC</v>
      </c>
      <c r="C148" s="158" t="str">
        <f>IFERROR(__xludf.DUMMYFUNCTION("""COMPUTED_VALUE"""),"Yes")</f>
        <v>Yes</v>
      </c>
      <c r="D148" s="159" t="str">
        <f>IFERROR(__xludf.DUMMYFUNCTION("""COMPUTED_VALUE"""),"Active")</f>
        <v>Active</v>
      </c>
      <c r="E148" s="160">
        <f>IFERROR(__xludf.DUMMYFUNCTION("""COMPUTED_VALUE"""),44805.0)</f>
        <v>44805</v>
      </c>
      <c r="F148" s="161"/>
      <c r="G148" s="162">
        <f>IFERROR(__xludf.DUMMYFUNCTION("""COMPUTED_VALUE"""),37.46666666666667)</f>
        <v>37.46666667</v>
      </c>
      <c r="H148" s="163">
        <f>IFERROR(__xludf.DUMMYFUNCTION("""COMPUTED_VALUE"""),44617.0)</f>
        <v>44617</v>
      </c>
      <c r="I148" s="162">
        <f>IFERROR(__xludf.DUMMYFUNCTION("""COMPUTED_VALUE"""),0.5166666666666667)</f>
        <v>0.5166666667</v>
      </c>
      <c r="J148" s="164">
        <f>IFERROR(__xludf.DUMMYFUNCTION("""COMPUTED_VALUE"""),75.0)</f>
        <v>75</v>
      </c>
      <c r="K148" s="164">
        <f>IFERROR(__xludf.DUMMYFUNCTION("""COMPUTED_VALUE"""),6.0)</f>
        <v>6</v>
      </c>
      <c r="L148" s="158" t="str">
        <f>IFERROR(__xludf.DUMMYFUNCTION("""COMPUTED_VALUE"""),"Driving/Racing")</f>
        <v>Driving/Racing</v>
      </c>
      <c r="M148" s="158"/>
      <c r="N148" s="158" t="str">
        <f>IFERROR(__xludf.DUMMYFUNCTION("""COMPUTED_VALUE"""),"Joined cloud 2/2/23")</f>
        <v>Joined cloud 2/2/23</v>
      </c>
      <c r="O148" s="158" t="str">
        <f>IFERROR(__xludf.DUMMYFUNCTION("""COMPUTED_VALUE"""),"E10+")</f>
        <v>E10+</v>
      </c>
      <c r="P148" s="158" t="str">
        <f>IFERROR(__xludf.DUMMYFUNCTION("""COMPUTED_VALUE"""),"Mild Language, Mild Suggestive Themes, Mild Violence")</f>
        <v>Mild Language, Mild Suggestive Themes, Mild Violence</v>
      </c>
      <c r="Q148" s="158"/>
      <c r="R148" s="159" t="str">
        <f>IFERROR(__xludf.DUMMYFUNCTION("""COMPUTED_VALUE"""),"Active")</f>
        <v>Active</v>
      </c>
      <c r="S148" s="160">
        <f>IFERROR(__xludf.DUMMYFUNCTION("""COMPUTED_VALUE"""),45547.0)</f>
        <v>45547</v>
      </c>
      <c r="T148" s="162">
        <f>IFERROR(__xludf.DUMMYFUNCTION("""COMPUTED_VALUE"""),24.366666666666667)</f>
        <v>24.36666667</v>
      </c>
    </row>
    <row r="149">
      <c r="A149" s="158" t="str">
        <f>IFERROR(__xludf.DUMMYFUNCTION("""COMPUTED_VALUE"""),"Immortals Fenyx Rising")</f>
        <v>Immortals Fenyx Rising</v>
      </c>
      <c r="B149" s="158" t="str">
        <f>IFERROR(__xludf.DUMMYFUNCTION("""COMPUTED_VALUE"""),"Xbox / PC")</f>
        <v>Xbox / PC</v>
      </c>
      <c r="C149" s="158" t="str">
        <f>IFERROR(__xludf.DUMMYFUNCTION("""COMPUTED_VALUE"""),"Touch Controls")</f>
        <v>Touch Controls</v>
      </c>
      <c r="D149" s="159" t="str">
        <f>IFERROR(__xludf.DUMMYFUNCTION("""COMPUTED_VALUE"""),"Active")</f>
        <v>Active</v>
      </c>
      <c r="E149" s="160">
        <f>IFERROR(__xludf.DUMMYFUNCTION("""COMPUTED_VALUE"""),44803.0)</f>
        <v>44803</v>
      </c>
      <c r="F149" s="161"/>
      <c r="G149" s="162">
        <f>IFERROR(__xludf.DUMMYFUNCTION("""COMPUTED_VALUE"""),37.5)</f>
        <v>37.5</v>
      </c>
      <c r="H149" s="163">
        <f>IFERROR(__xludf.DUMMYFUNCTION("""COMPUTED_VALUE"""),44168.0)</f>
        <v>44168</v>
      </c>
      <c r="I149" s="162">
        <f>IFERROR(__xludf.DUMMYFUNCTION("""COMPUTED_VALUE"""),1.7416666666666667)</f>
        <v>1.741666667</v>
      </c>
      <c r="J149" s="164">
        <f>IFERROR(__xludf.DUMMYFUNCTION("""COMPUTED_VALUE"""),81.0)</f>
        <v>81</v>
      </c>
      <c r="K149" s="164">
        <f>IFERROR(__xludf.DUMMYFUNCTION("""COMPUTED_VALUE"""),25.5)</f>
        <v>25.5</v>
      </c>
      <c r="L149" s="158" t="str">
        <f>IFERROR(__xludf.DUMMYFUNCTION("""COMPUTED_VALUE"""),"RPG / Action-Adventure")</f>
        <v>RPG / Action-Adventure</v>
      </c>
      <c r="M149" s="158"/>
      <c r="N149" s="158" t="str">
        <f>IFERROR(__xludf.DUMMYFUNCTION("""COMPUTED_VALUE"""),"Ubisoft Connect launcher")</f>
        <v>Ubisoft Connect launcher</v>
      </c>
      <c r="O149" s="158" t="str">
        <f>IFERROR(__xludf.DUMMYFUNCTION("""COMPUTED_VALUE"""),"T")</f>
        <v>T</v>
      </c>
      <c r="P149" s="158" t="str">
        <f>IFERROR(__xludf.DUMMYFUNCTION("""COMPUTED_VALUE"""),"Language, Suggestive Themes, Violence")</f>
        <v>Language, Suggestive Themes, Violence</v>
      </c>
      <c r="Q149" s="158"/>
      <c r="R149" s="159" t="str">
        <f>IFERROR(__xludf.DUMMYFUNCTION("""COMPUTED_VALUE"""),"Active")</f>
        <v>Active</v>
      </c>
      <c r="S149" s="160">
        <f>IFERROR(__xludf.DUMMYFUNCTION("""COMPUTED_VALUE"""),45547.0)</f>
        <v>45547</v>
      </c>
      <c r="T149" s="162">
        <f>IFERROR(__xludf.DUMMYFUNCTION("""COMPUTED_VALUE"""),24.4)</f>
        <v>24.4</v>
      </c>
    </row>
    <row r="150">
      <c r="A150" s="158" t="str">
        <f>IFERROR(__xludf.DUMMYFUNCTION("""COMPUTED_VALUE"""),"Cooking Simulator")</f>
        <v>Cooking Simulator</v>
      </c>
      <c r="B150" s="158" t="str">
        <f>IFERROR(__xludf.DUMMYFUNCTION("""COMPUTED_VALUE"""),"Xbox / PC")</f>
        <v>Xbox / PC</v>
      </c>
      <c r="C150" s="158" t="str">
        <f>IFERROR(__xludf.DUMMYFUNCTION("""COMPUTED_VALUE"""),"Yes")</f>
        <v>Yes</v>
      </c>
      <c r="D150" s="159" t="str">
        <f>IFERROR(__xludf.DUMMYFUNCTION("""COMPUTED_VALUE"""),"Active")</f>
        <v>Active</v>
      </c>
      <c r="E150" s="160">
        <f>IFERROR(__xludf.DUMMYFUNCTION("""COMPUTED_VALUE"""),44784.0)</f>
        <v>44784</v>
      </c>
      <c r="F150" s="161"/>
      <c r="G150" s="162">
        <f>IFERROR(__xludf.DUMMYFUNCTION("""COMPUTED_VALUE"""),38.13333333333333)</f>
        <v>38.13333333</v>
      </c>
      <c r="H150" s="163">
        <f>IFERROR(__xludf.DUMMYFUNCTION("""COMPUTED_VALUE"""),43622.0)</f>
        <v>43622</v>
      </c>
      <c r="I150" s="162">
        <f>IFERROR(__xludf.DUMMYFUNCTION("""COMPUTED_VALUE"""),3.1805555555555554)</f>
        <v>3.180555556</v>
      </c>
      <c r="J150" s="164">
        <f>IFERROR(__xludf.DUMMYFUNCTION("""COMPUTED_VALUE"""),64.0)</f>
        <v>64</v>
      </c>
      <c r="K150" s="164">
        <f>IFERROR(__xludf.DUMMYFUNCTION("""COMPUTED_VALUE"""),8.5)</f>
        <v>8.5</v>
      </c>
      <c r="L150" s="158" t="str">
        <f>IFERROR(__xludf.DUMMYFUNCTION("""COMPUTED_VALUE"""),"Simulation")</f>
        <v>Simulation</v>
      </c>
      <c r="M150" s="158"/>
      <c r="N150" s="158"/>
      <c r="O150" s="158" t="str">
        <f>IFERROR(__xludf.DUMMYFUNCTION("""COMPUTED_VALUE"""),"E")</f>
        <v>E</v>
      </c>
      <c r="P150" s="158" t="str">
        <f>IFERROR(__xludf.DUMMYFUNCTION("""COMPUTED_VALUE"""),"Alcohol Reference")</f>
        <v>Alcohol Reference</v>
      </c>
      <c r="Q150" s="158"/>
      <c r="R150" s="159" t="str">
        <f>IFERROR(__xludf.DUMMYFUNCTION("""COMPUTED_VALUE"""),"Active")</f>
        <v>Active</v>
      </c>
      <c r="S150" s="160">
        <f>IFERROR(__xludf.DUMMYFUNCTION("""COMPUTED_VALUE"""),45547.0)</f>
        <v>45547</v>
      </c>
      <c r="T150" s="162">
        <f>IFERROR(__xludf.DUMMYFUNCTION("""COMPUTED_VALUE"""),25.033333333333335)</f>
        <v>25.03333333</v>
      </c>
    </row>
    <row r="151">
      <c r="A151" s="158" t="str">
        <f>IFERROR(__xludf.DUMMYFUNCTION("""COMPUTED_VALUE"""),"Tom Clancy's Ghost Recon: Wildlands")</f>
        <v>Tom Clancy's Ghost Recon: Wildlands</v>
      </c>
      <c r="B151" s="158" t="str">
        <f>IFERROR(__xludf.DUMMYFUNCTION("""COMPUTED_VALUE"""),"Xbox / PC")</f>
        <v>Xbox / PC</v>
      </c>
      <c r="C151" s="158" t="str">
        <f>IFERROR(__xludf.DUMMYFUNCTION("""COMPUTED_VALUE"""),"Yes")</f>
        <v>Yes</v>
      </c>
      <c r="D151" s="159" t="str">
        <f>IFERROR(__xludf.DUMMYFUNCTION("""COMPUTED_VALUE"""),"Active")</f>
        <v>Active</v>
      </c>
      <c r="E151" s="160">
        <f>IFERROR(__xludf.DUMMYFUNCTION("""COMPUTED_VALUE"""),44774.0)</f>
        <v>44774</v>
      </c>
      <c r="F151" s="161"/>
      <c r="G151" s="162">
        <f>IFERROR(__xludf.DUMMYFUNCTION("""COMPUTED_VALUE"""),38.46666666666667)</f>
        <v>38.46666667</v>
      </c>
      <c r="H151" s="163">
        <f>IFERROR(__xludf.DUMMYFUNCTION("""COMPUTED_VALUE"""),42801.0)</f>
        <v>42801</v>
      </c>
      <c r="I151" s="162">
        <f>IFERROR(__xludf.DUMMYFUNCTION("""COMPUTED_VALUE"""),5.4)</f>
        <v>5.4</v>
      </c>
      <c r="J151" s="164">
        <f>IFERROR(__xludf.DUMMYFUNCTION("""COMPUTED_VALUE"""),76.0)</f>
        <v>76</v>
      </c>
      <c r="K151" s="164">
        <f>IFERROR(__xludf.DUMMYFUNCTION("""COMPUTED_VALUE"""),26.5)</f>
        <v>26.5</v>
      </c>
      <c r="L151" s="158" t="str">
        <f>IFERROR(__xludf.DUMMYFUNCTION("""COMPUTED_VALUE"""),"Shooter")</f>
        <v>Shooter</v>
      </c>
      <c r="M151" s="158"/>
      <c r="N151" s="158" t="str">
        <f>IFERROR(__xludf.DUMMYFUNCTION("""COMPUTED_VALUE"""),"Ubisoft Connect launcher")</f>
        <v>Ubisoft Connect launcher</v>
      </c>
      <c r="O151" s="158" t="str">
        <f>IFERROR(__xludf.DUMMYFUNCTION("""COMPUTED_VALUE"""),"M")</f>
        <v>M</v>
      </c>
      <c r="P151" s="158" t="str">
        <f>IFERROR(__xludf.DUMMYFUNCTION("""COMPUTED_VALUE"""),"Blood and Gore, Intense Violence, Partial Nudity, Sexual Themes, Strong Language, Use of Drugs")</f>
        <v>Blood and Gore, Intense Violence, Partial Nudity, Sexual Themes, Strong Language, Use of Drugs</v>
      </c>
      <c r="Q151" s="158"/>
      <c r="R151" s="159" t="str">
        <f>IFERROR(__xludf.DUMMYFUNCTION("""COMPUTED_VALUE"""),"Active")</f>
        <v>Active</v>
      </c>
      <c r="S151" s="160">
        <f>IFERROR(__xludf.DUMMYFUNCTION("""COMPUTED_VALUE"""),45547.0)</f>
        <v>45547</v>
      </c>
      <c r="T151" s="162">
        <f>IFERROR(__xludf.DUMMYFUNCTION("""COMPUTED_VALUE"""),25.366666666666667)</f>
        <v>25.36666667</v>
      </c>
    </row>
    <row r="152">
      <c r="A152" s="158" t="str">
        <f>IFERROR(__xludf.DUMMYFUNCTION("""COMPUTED_VALUE"""),"Inside")</f>
        <v>Inside</v>
      </c>
      <c r="B152" s="158" t="str">
        <f>IFERROR(__xludf.DUMMYFUNCTION("""COMPUTED_VALUE"""),"Xbox / PC")</f>
        <v>Xbox / PC</v>
      </c>
      <c r="C152" s="158" t="str">
        <f>IFERROR(__xludf.DUMMYFUNCTION("""COMPUTED_VALUE"""),"Yes")</f>
        <v>Yes</v>
      </c>
      <c r="D152" s="159" t="str">
        <f>IFERROR(__xludf.DUMMYFUNCTION("""COMPUTED_VALUE"""),"Active")</f>
        <v>Active</v>
      </c>
      <c r="E152" s="160">
        <f>IFERROR(__xludf.DUMMYFUNCTION("""COMPUTED_VALUE"""),44763.0)</f>
        <v>44763</v>
      </c>
      <c r="F152" s="161"/>
      <c r="G152" s="162">
        <f>IFERROR(__xludf.DUMMYFUNCTION("""COMPUTED_VALUE"""),38.8)</f>
        <v>38.8</v>
      </c>
      <c r="H152" s="163">
        <f>IFERROR(__xludf.DUMMYFUNCTION("""COMPUTED_VALUE"""),42550.0)</f>
        <v>42550</v>
      </c>
      <c r="I152" s="162">
        <f>IFERROR(__xludf.DUMMYFUNCTION("""COMPUTED_VALUE"""),6.061111111111111)</f>
        <v>6.061111111</v>
      </c>
      <c r="J152" s="164">
        <f>IFERROR(__xludf.DUMMYFUNCTION("""COMPUTED_VALUE"""),93.0)</f>
        <v>93</v>
      </c>
      <c r="K152" s="164">
        <f>IFERROR(__xludf.DUMMYFUNCTION("""COMPUTED_VALUE"""),3.5)</f>
        <v>3.5</v>
      </c>
      <c r="L152" s="158" t="str">
        <f>IFERROR(__xludf.DUMMYFUNCTION("""COMPUTED_VALUE"""),"Puzzle / Platformer")</f>
        <v>Puzzle / Platformer</v>
      </c>
      <c r="M152" s="158"/>
      <c r="N152" s="158" t="str">
        <f>IFERROR(__xludf.DUMMYFUNCTION("""COMPUTED_VALUE"""),"Game Pass Essential launch title (9/14/23)")</f>
        <v>Game Pass Essential launch title (9/14/23)</v>
      </c>
      <c r="O152" s="158" t="str">
        <f>IFERROR(__xludf.DUMMYFUNCTION("""COMPUTED_VALUE"""),"M")</f>
        <v>M</v>
      </c>
      <c r="P152" s="158" t="str">
        <f>IFERROR(__xludf.DUMMYFUNCTION("""COMPUTED_VALUE"""),"Blood and Gore, Violence")</f>
        <v>Blood and Gore, Violence</v>
      </c>
      <c r="Q152" s="158"/>
      <c r="R152" s="159" t="str">
        <f>IFERROR(__xludf.DUMMYFUNCTION("""COMPUTED_VALUE"""),"Active")</f>
        <v>Active</v>
      </c>
      <c r="S152" s="160">
        <f>IFERROR(__xludf.DUMMYFUNCTION("""COMPUTED_VALUE"""),45547.0)</f>
        <v>45547</v>
      </c>
      <c r="T152" s="162">
        <f>IFERROR(__xludf.DUMMYFUNCTION("""COMPUTED_VALUE"""),25.7)</f>
        <v>25.7</v>
      </c>
    </row>
    <row r="153">
      <c r="A153" s="158" t="str">
        <f>IFERROR(__xludf.DUMMYFUNCTION("""COMPUTED_VALUE"""),"As Dusk Falls")</f>
        <v>As Dusk Falls</v>
      </c>
      <c r="B153" s="158" t="str">
        <f>IFERROR(__xludf.DUMMYFUNCTION("""COMPUTED_VALUE"""),"Xbox / PC")</f>
        <v>Xbox / PC</v>
      </c>
      <c r="C153" s="158" t="str">
        <f>IFERROR(__xludf.DUMMYFUNCTION("""COMPUTED_VALUE"""),"Touch Controls")</f>
        <v>Touch Controls</v>
      </c>
      <c r="D153" s="159" t="str">
        <f>IFERROR(__xludf.DUMMYFUNCTION("""COMPUTED_VALUE"""),"Active")</f>
        <v>Active</v>
      </c>
      <c r="E153" s="160">
        <f>IFERROR(__xludf.DUMMYFUNCTION("""COMPUTED_VALUE"""),44761.0)</f>
        <v>44761</v>
      </c>
      <c r="F153" s="161"/>
      <c r="G153" s="162">
        <f>IFERROR(__xludf.DUMMYFUNCTION("""COMPUTED_VALUE"""),38.86666666666667)</f>
        <v>38.86666667</v>
      </c>
      <c r="H153" s="163">
        <f>IFERROR(__xludf.DUMMYFUNCTION("""COMPUTED_VALUE"""),44761.0)</f>
        <v>44761</v>
      </c>
      <c r="I153" s="162">
        <f>IFERROR(__xludf.DUMMYFUNCTION("""COMPUTED_VALUE"""),0.0)</f>
        <v>0</v>
      </c>
      <c r="J153" s="164">
        <f>IFERROR(__xludf.DUMMYFUNCTION("""COMPUTED_VALUE"""),78.0)</f>
        <v>78</v>
      </c>
      <c r="K153" s="164">
        <f>IFERROR(__xludf.DUMMYFUNCTION("""COMPUTED_VALUE"""),6.0)</f>
        <v>6</v>
      </c>
      <c r="L153" s="158" t="str">
        <f>IFERROR(__xludf.DUMMYFUNCTION("""COMPUTED_VALUE"""),"Adventure")</f>
        <v>Adventure</v>
      </c>
      <c r="M153" s="158"/>
      <c r="N153" s="158"/>
      <c r="O153" s="158" t="str">
        <f>IFERROR(__xludf.DUMMYFUNCTION("""COMPUTED_VALUE"""),"M")</f>
        <v>M</v>
      </c>
      <c r="P153" s="158" t="str">
        <f>IFERROR(__xludf.DUMMYFUNCTION("""COMPUTED_VALUE"""),"Blood, Strong Language, Suggestive Themes, Use of Drugs and Alcohol, Violence")</f>
        <v>Blood, Strong Language, Suggestive Themes, Use of Drugs and Alcohol, Violence</v>
      </c>
      <c r="Q153" s="158"/>
      <c r="R153" s="159" t="str">
        <f>IFERROR(__xludf.DUMMYFUNCTION("""COMPUTED_VALUE"""),"Active")</f>
        <v>Active</v>
      </c>
      <c r="S153" s="160">
        <f>IFERROR(__xludf.DUMMYFUNCTION("""COMPUTED_VALUE"""),45547.0)</f>
        <v>45547</v>
      </c>
      <c r="T153" s="162">
        <f>IFERROR(__xludf.DUMMYFUNCTION("""COMPUTED_VALUE"""),25.766666666666666)</f>
        <v>25.76666667</v>
      </c>
    </row>
    <row r="154">
      <c r="A154" s="158" t="str">
        <f>IFERROR(__xludf.DUMMYFUNCTION("""COMPUTED_VALUE"""),"Watch_Dogs 2")</f>
        <v>Watch_Dogs 2</v>
      </c>
      <c r="B154" s="158" t="str">
        <f>IFERROR(__xludf.DUMMYFUNCTION("""COMPUTED_VALUE"""),"Xbox / PC")</f>
        <v>Xbox / PC</v>
      </c>
      <c r="C154" s="158" t="str">
        <f>IFERROR(__xludf.DUMMYFUNCTION("""COMPUTED_VALUE"""),"Yes")</f>
        <v>Yes</v>
      </c>
      <c r="D154" s="159" t="str">
        <f>IFERROR(__xludf.DUMMYFUNCTION("""COMPUTED_VALUE"""),"Active")</f>
        <v>Active</v>
      </c>
      <c r="E154" s="160">
        <f>IFERROR(__xludf.DUMMYFUNCTION("""COMPUTED_VALUE"""),44761.0)</f>
        <v>44761</v>
      </c>
      <c r="F154" s="161"/>
      <c r="G154" s="162">
        <f>IFERROR(__xludf.DUMMYFUNCTION("""COMPUTED_VALUE"""),38.86666666666667)</f>
        <v>38.86666667</v>
      </c>
      <c r="H154" s="163">
        <f>IFERROR(__xludf.DUMMYFUNCTION("""COMPUTED_VALUE"""),42689.0)</f>
        <v>42689</v>
      </c>
      <c r="I154" s="162">
        <f>IFERROR(__xludf.DUMMYFUNCTION("""COMPUTED_VALUE"""),5.677777777777778)</f>
        <v>5.677777778</v>
      </c>
      <c r="J154" s="164">
        <f>IFERROR(__xludf.DUMMYFUNCTION("""COMPUTED_VALUE"""),78.0)</f>
        <v>78</v>
      </c>
      <c r="K154" s="164">
        <f>IFERROR(__xludf.DUMMYFUNCTION("""COMPUTED_VALUE"""),19.0)</f>
        <v>19</v>
      </c>
      <c r="L154" s="158" t="str">
        <f>IFERROR(__xludf.DUMMYFUNCTION("""COMPUTED_VALUE"""),"Driving/Racing / Shooter / Action-Adventure")</f>
        <v>Driving/Racing / Shooter / Action-Adventure</v>
      </c>
      <c r="M154" s="158"/>
      <c r="N154" s="158"/>
      <c r="O154" s="158" t="str">
        <f>IFERROR(__xludf.DUMMYFUNCTION("""COMPUTED_VALUE"""),"M")</f>
        <v>M</v>
      </c>
      <c r="P154" s="158" t="str">
        <f>IFERROR(__xludf.DUMMYFUNCTION("""COMPUTED_VALUE"""),"Blood, Intense Violence, Nudity, Sexual Themes, Strong Language, Use of Drugs")</f>
        <v>Blood, Intense Violence, Nudity, Sexual Themes, Strong Language, Use of Drugs</v>
      </c>
      <c r="Q154" s="158"/>
      <c r="R154" s="159" t="str">
        <f>IFERROR(__xludf.DUMMYFUNCTION("""COMPUTED_VALUE"""),"Active")</f>
        <v>Active</v>
      </c>
      <c r="S154" s="160">
        <f>IFERROR(__xludf.DUMMYFUNCTION("""COMPUTED_VALUE"""),45547.0)</f>
        <v>45547</v>
      </c>
      <c r="T154" s="162">
        <f>IFERROR(__xludf.DUMMYFUNCTION("""COMPUTED_VALUE"""),25.766666666666666)</f>
        <v>25.76666667</v>
      </c>
    </row>
    <row r="155">
      <c r="A155" s="158" t="str">
        <f>IFERROR(__xludf.DUMMYFUNCTION("""COMPUTED_VALUE"""),"PowerWash Simulator")</f>
        <v>PowerWash Simulator</v>
      </c>
      <c r="B155" s="158" t="str">
        <f>IFERROR(__xludf.DUMMYFUNCTION("""COMPUTED_VALUE"""),"Xbox / PC")</f>
        <v>Xbox / PC</v>
      </c>
      <c r="C155" s="158" t="str">
        <f>IFERROR(__xludf.DUMMYFUNCTION("""COMPUTED_VALUE"""),"Yes")</f>
        <v>Yes</v>
      </c>
      <c r="D155" s="159" t="str">
        <f>IFERROR(__xludf.DUMMYFUNCTION("""COMPUTED_VALUE"""),"Active")</f>
        <v>Active</v>
      </c>
      <c r="E155" s="160">
        <f>IFERROR(__xludf.DUMMYFUNCTION("""COMPUTED_VALUE"""),44756.0)</f>
        <v>44756</v>
      </c>
      <c r="F155" s="161"/>
      <c r="G155" s="162">
        <f>IFERROR(__xludf.DUMMYFUNCTION("""COMPUTED_VALUE"""),39.03333333333333)</f>
        <v>39.03333333</v>
      </c>
      <c r="H155" s="163">
        <f>IFERROR(__xludf.DUMMYFUNCTION("""COMPUTED_VALUE"""),44335.0)</f>
        <v>44335</v>
      </c>
      <c r="I155" s="162">
        <f>IFERROR(__xludf.DUMMYFUNCTION("""COMPUTED_VALUE"""),1.1527777777777777)</f>
        <v>1.152777778</v>
      </c>
      <c r="J155" s="164">
        <f>IFERROR(__xludf.DUMMYFUNCTION("""COMPUTED_VALUE"""),76.0)</f>
        <v>76</v>
      </c>
      <c r="K155" s="164">
        <f>IFERROR(__xludf.DUMMYFUNCTION("""COMPUTED_VALUE"""),21.5)</f>
        <v>21.5</v>
      </c>
      <c r="L155" s="158" t="str">
        <f>IFERROR(__xludf.DUMMYFUNCTION("""COMPUTED_VALUE"""),"Simulation")</f>
        <v>Simulation</v>
      </c>
      <c r="M155" s="158"/>
      <c r="N155" s="158" t="str">
        <f>IFERROR(__xludf.DUMMYFUNCTION("""COMPUTED_VALUE"""),"Game Pass Essential launch title (9/14/23)")</f>
        <v>Game Pass Essential launch title (9/14/23)</v>
      </c>
      <c r="O155" s="158" t="str">
        <f>IFERROR(__xludf.DUMMYFUNCTION("""COMPUTED_VALUE"""),"E")</f>
        <v>E</v>
      </c>
      <c r="P155" s="158"/>
      <c r="Q155" s="158"/>
      <c r="R155" s="159" t="str">
        <f>IFERROR(__xludf.DUMMYFUNCTION("""COMPUTED_VALUE"""),"Active")</f>
        <v>Active</v>
      </c>
      <c r="S155" s="160">
        <f>IFERROR(__xludf.DUMMYFUNCTION("""COMPUTED_VALUE"""),45547.0)</f>
        <v>45547</v>
      </c>
      <c r="T155" s="162">
        <f>IFERROR(__xludf.DUMMYFUNCTION("""COMPUTED_VALUE"""),25.93333333333333)</f>
        <v>25.93333333</v>
      </c>
    </row>
    <row r="156">
      <c r="A156" s="158" t="str">
        <f>IFERROR(__xludf.DUMMYFUNCTION("""COMPUTED_VALUE"""),"Far Cry 5")</f>
        <v>Far Cry 5</v>
      </c>
      <c r="B156" s="158" t="str">
        <f>IFERROR(__xludf.DUMMYFUNCTION("""COMPUTED_VALUE"""),"Xbox / PC")</f>
        <v>Xbox / PC</v>
      </c>
      <c r="C156" s="158" t="str">
        <f>IFERROR(__xludf.DUMMYFUNCTION("""COMPUTED_VALUE"""),"Yes")</f>
        <v>Yes</v>
      </c>
      <c r="D156" s="159" t="str">
        <f>IFERROR(__xludf.DUMMYFUNCTION("""COMPUTED_VALUE"""),"Active")</f>
        <v>Active</v>
      </c>
      <c r="E156" s="160">
        <f>IFERROR(__xludf.DUMMYFUNCTION("""COMPUTED_VALUE"""),44743.0)</f>
        <v>44743</v>
      </c>
      <c r="F156" s="161"/>
      <c r="G156" s="162">
        <f>IFERROR(__xludf.DUMMYFUNCTION("""COMPUTED_VALUE"""),39.46666666666667)</f>
        <v>39.46666667</v>
      </c>
      <c r="H156" s="163">
        <f>IFERROR(__xludf.DUMMYFUNCTION("""COMPUTED_VALUE"""),43186.0)</f>
        <v>43186</v>
      </c>
      <c r="I156" s="162">
        <f>IFERROR(__xludf.DUMMYFUNCTION("""COMPUTED_VALUE"""),4.261111111111111)</f>
        <v>4.261111111</v>
      </c>
      <c r="J156" s="164">
        <f>IFERROR(__xludf.DUMMYFUNCTION("""COMPUTED_VALUE"""),80.0)</f>
        <v>80</v>
      </c>
      <c r="K156" s="164">
        <f>IFERROR(__xludf.DUMMYFUNCTION("""COMPUTED_VALUE"""),18.0)</f>
        <v>18</v>
      </c>
      <c r="L156" s="158" t="str">
        <f>IFERROR(__xludf.DUMMYFUNCTION("""COMPUTED_VALUE"""),"First-Person Shooter")</f>
        <v>First-Person Shooter</v>
      </c>
      <c r="M156" s="158"/>
      <c r="N156" s="158"/>
      <c r="O156" s="158" t="str">
        <f>IFERROR(__xludf.DUMMYFUNCTION("""COMPUTED_VALUE"""),"M")</f>
        <v>M</v>
      </c>
      <c r="P156" s="158" t="str">
        <f>IFERROR(__xludf.DUMMYFUNCTION("""COMPUTED_VALUE"""),"Blood and Gore, Intense Violence, Sexual Themes, Strong Language, Use of Drugs and Alcohol")</f>
        <v>Blood and Gore, Intense Violence, Sexual Themes, Strong Language, Use of Drugs and Alcohol</v>
      </c>
      <c r="Q156" s="158"/>
      <c r="R156" s="159" t="str">
        <f>IFERROR(__xludf.DUMMYFUNCTION("""COMPUTED_VALUE"""),"Active")</f>
        <v>Active</v>
      </c>
      <c r="S156" s="160">
        <f>IFERROR(__xludf.DUMMYFUNCTION("""COMPUTED_VALUE"""),45547.0)</f>
        <v>45547</v>
      </c>
      <c r="T156" s="162">
        <f>IFERROR(__xludf.DUMMYFUNCTION("""COMPUTED_VALUE"""),26.366666666666667)</f>
        <v>26.36666667</v>
      </c>
    </row>
    <row r="157">
      <c r="A157" s="158" t="str">
        <f>IFERROR(__xludf.DUMMYFUNCTION("""COMPUTED_VALUE"""),"House Flipper")</f>
        <v>House Flipper</v>
      </c>
      <c r="B157" s="158" t="str">
        <f>IFERROR(__xludf.DUMMYFUNCTION("""COMPUTED_VALUE"""),"Xbox / PC")</f>
        <v>Xbox / PC</v>
      </c>
      <c r="C157" s="158" t="str">
        <f>IFERROR(__xludf.DUMMYFUNCTION("""COMPUTED_VALUE"""),"M+KB")</f>
        <v>M+KB</v>
      </c>
      <c r="D157" s="159" t="str">
        <f>IFERROR(__xludf.DUMMYFUNCTION("""COMPUTED_VALUE"""),"Active")</f>
        <v>Active</v>
      </c>
      <c r="E157" s="160">
        <f>IFERROR(__xludf.DUMMYFUNCTION("""COMPUTED_VALUE"""),44742.0)</f>
        <v>44742</v>
      </c>
      <c r="F157" s="161"/>
      <c r="G157" s="162">
        <f>IFERROR(__xludf.DUMMYFUNCTION("""COMPUTED_VALUE"""),39.5)</f>
        <v>39.5</v>
      </c>
      <c r="H157" s="163">
        <f>IFERROR(__xludf.DUMMYFUNCTION("""COMPUTED_VALUE"""),43237.0)</f>
        <v>43237</v>
      </c>
      <c r="I157" s="162">
        <f>IFERROR(__xludf.DUMMYFUNCTION("""COMPUTED_VALUE"""),4.1194444444444445)</f>
        <v>4.119444444</v>
      </c>
      <c r="J157" s="164">
        <f>IFERROR(__xludf.DUMMYFUNCTION("""COMPUTED_VALUE"""),68.0)</f>
        <v>68</v>
      </c>
      <c r="K157" s="164">
        <f>IFERROR(__xludf.DUMMYFUNCTION("""COMPUTED_VALUE"""),12.0)</f>
        <v>12</v>
      </c>
      <c r="L157" s="158" t="str">
        <f>IFERROR(__xludf.DUMMYFUNCTION("""COMPUTED_VALUE"""),"Simulation")</f>
        <v>Simulation</v>
      </c>
      <c r="M157" s="158"/>
      <c r="N157" s="158"/>
      <c r="O157" s="158" t="str">
        <f>IFERROR(__xludf.DUMMYFUNCTION("""COMPUTED_VALUE"""),"E")</f>
        <v>E</v>
      </c>
      <c r="P157" s="158"/>
      <c r="Q157" s="158"/>
      <c r="R157" s="159" t="str">
        <f>IFERROR(__xludf.DUMMYFUNCTION("""COMPUTED_VALUE"""),"Active")</f>
        <v>Active</v>
      </c>
      <c r="S157" s="160">
        <f>IFERROR(__xludf.DUMMYFUNCTION("""COMPUTED_VALUE"""),45547.0)</f>
        <v>45547</v>
      </c>
      <c r="T157" s="162">
        <f>IFERROR(__xludf.DUMMYFUNCTION("""COMPUTED_VALUE"""),26.400000000000002)</f>
        <v>26.4</v>
      </c>
    </row>
    <row r="158">
      <c r="A158" s="158" t="str">
        <f>IFERROR(__xludf.DUMMYFUNCTION("""COMPUTED_VALUE"""),"Shadowrun Trilogy")</f>
        <v>Shadowrun Trilogy</v>
      </c>
      <c r="B158" s="158" t="str">
        <f>IFERROR(__xludf.DUMMYFUNCTION("""COMPUTED_VALUE"""),"Xbox / PC")</f>
        <v>Xbox / PC</v>
      </c>
      <c r="C158" s="158" t="str">
        <f>IFERROR(__xludf.DUMMYFUNCTION("""COMPUTED_VALUE"""),"Touch Controls")</f>
        <v>Touch Controls</v>
      </c>
      <c r="D158" s="159" t="str">
        <f>IFERROR(__xludf.DUMMYFUNCTION("""COMPUTED_VALUE"""),"Active")</f>
        <v>Active</v>
      </c>
      <c r="E158" s="160">
        <f>IFERROR(__xludf.DUMMYFUNCTION("""COMPUTED_VALUE"""),44733.0)</f>
        <v>44733</v>
      </c>
      <c r="F158" s="161"/>
      <c r="G158" s="162">
        <f>IFERROR(__xludf.DUMMYFUNCTION("""COMPUTED_VALUE"""),39.800000000000004)</f>
        <v>39.8</v>
      </c>
      <c r="H158" s="163">
        <f>IFERROR(__xludf.DUMMYFUNCTION("""COMPUTED_VALUE"""),42236.0)</f>
        <v>42236</v>
      </c>
      <c r="I158" s="162">
        <f>IFERROR(__xludf.DUMMYFUNCTION("""COMPUTED_VALUE"""),6.836111111111111)</f>
        <v>6.836111111</v>
      </c>
      <c r="J158" s="164">
        <f>IFERROR(__xludf.DUMMYFUNCTION("""COMPUTED_VALUE"""),79.33333333333333)</f>
        <v>79.33333333</v>
      </c>
      <c r="K158" s="164">
        <f>IFERROR(__xludf.DUMMYFUNCTION("""COMPUTED_VALUE"""),53.5)</f>
        <v>53.5</v>
      </c>
      <c r="L158" s="158" t="str">
        <f>IFERROR(__xludf.DUMMYFUNCTION("""COMPUTED_VALUE"""),"Strategy / RPG")</f>
        <v>Strategy / RPG</v>
      </c>
      <c r="M158" s="158"/>
      <c r="N158" s="158" t="str">
        <f>IFERROR(__xludf.DUMMYFUNCTION("""COMPUTED_VALUE"""),"Joins PC 5/9/23")</f>
        <v>Joins PC 5/9/23</v>
      </c>
      <c r="O158" s="158" t="str">
        <f>IFERROR(__xludf.DUMMYFUNCTION("""COMPUTED_VALUE"""),"M")</f>
        <v>M</v>
      </c>
      <c r="P158" s="158" t="str">
        <f>IFERROR(__xludf.DUMMYFUNCTION("""COMPUTED_VALUE"""),"Blood and Gore, Drug Reference, Sexual Themes, Strong Language, Violence")</f>
        <v>Blood and Gore, Drug Reference, Sexual Themes, Strong Language, Violence</v>
      </c>
      <c r="Q158" s="158" t="str">
        <f>IFERROR(__xludf.DUMMYFUNCTION("""COMPUTED_VALUE"""),"Consists of three games (seperate listings, must be installed seperately); Shadowrun Returns, Shadowrun Dragonfall, Shadowrun Hong Kong")</f>
        <v>Consists of three games (seperate listings, must be installed seperately); Shadowrun Returns, Shadowrun Dragonfall, Shadowrun Hong Kong</v>
      </c>
      <c r="R158" s="159" t="str">
        <f>IFERROR(__xludf.DUMMYFUNCTION("""COMPUTED_VALUE"""),"Active")</f>
        <v>Active</v>
      </c>
      <c r="S158" s="160">
        <f>IFERROR(__xludf.DUMMYFUNCTION("""COMPUTED_VALUE"""),45547.0)</f>
        <v>45547</v>
      </c>
      <c r="T158" s="162">
        <f>IFERROR(__xludf.DUMMYFUNCTION("""COMPUTED_VALUE"""),26.700000000000003)</f>
        <v>26.7</v>
      </c>
    </row>
    <row r="159">
      <c r="A159" s="158" t="str">
        <f>IFERROR(__xludf.DUMMYFUNCTION("""COMPUTED_VALUE"""),"Assassin's Creed Origins")</f>
        <v>Assassin's Creed Origins</v>
      </c>
      <c r="B159" s="158" t="str">
        <f>IFERROR(__xludf.DUMMYFUNCTION("""COMPUTED_VALUE"""),"Xbox / PC")</f>
        <v>Xbox / PC</v>
      </c>
      <c r="C159" s="158" t="str">
        <f>IFERROR(__xludf.DUMMYFUNCTION("""COMPUTED_VALUE"""),"Touch Controls")</f>
        <v>Touch Controls</v>
      </c>
      <c r="D159" s="159" t="str">
        <f>IFERROR(__xludf.DUMMYFUNCTION("""COMPUTED_VALUE"""),"Active")</f>
        <v>Active</v>
      </c>
      <c r="E159" s="160">
        <f>IFERROR(__xludf.DUMMYFUNCTION("""COMPUTED_VALUE"""),44719.0)</f>
        <v>44719</v>
      </c>
      <c r="F159" s="161"/>
      <c r="G159" s="162">
        <f>IFERROR(__xludf.DUMMYFUNCTION("""COMPUTED_VALUE"""),40.266666666666666)</f>
        <v>40.26666667</v>
      </c>
      <c r="H159" s="163">
        <f>IFERROR(__xludf.DUMMYFUNCTION("""COMPUTED_VALUE"""),43035.0)</f>
        <v>43035</v>
      </c>
      <c r="I159" s="162">
        <f>IFERROR(__xludf.DUMMYFUNCTION("""COMPUTED_VALUE"""),4.611111111111111)</f>
        <v>4.611111111</v>
      </c>
      <c r="J159" s="164">
        <f>IFERROR(__xludf.DUMMYFUNCTION("""COMPUTED_VALUE"""),84.5)</f>
        <v>84.5</v>
      </c>
      <c r="K159" s="164">
        <f>IFERROR(__xludf.DUMMYFUNCTION("""COMPUTED_VALUE"""),30.0)</f>
        <v>30</v>
      </c>
      <c r="L159" s="158" t="str">
        <f>IFERROR(__xludf.DUMMYFUNCTION("""COMPUTED_VALUE"""),"RPG / Action-Adventure")</f>
        <v>RPG / Action-Adventure</v>
      </c>
      <c r="M159" s="158"/>
      <c r="N159" s="158" t="str">
        <f>IFERROR(__xludf.DUMMYFUNCTION("""COMPUTED_VALUE"""),"Ubisoft Connect launcher")</f>
        <v>Ubisoft Connect launcher</v>
      </c>
      <c r="O159" s="158" t="str">
        <f>IFERROR(__xludf.DUMMYFUNCTION("""COMPUTED_VALUE"""),"M")</f>
        <v>M</v>
      </c>
      <c r="P159" s="158" t="str">
        <f>IFERROR(__xludf.DUMMYFUNCTION("""COMPUTED_VALUE"""),"Blood and Gore, Drug Reference, Intense Violence, Nudity, Sexual Content, Strong Language, Use of Alcohol")</f>
        <v>Blood and Gore, Drug Reference, Intense Violence, Nudity, Sexual Content, Strong Language, Use of Alcohol</v>
      </c>
      <c r="Q159" s="158"/>
      <c r="R159" s="159" t="str">
        <f>IFERROR(__xludf.DUMMYFUNCTION("""COMPUTED_VALUE"""),"Active")</f>
        <v>Active</v>
      </c>
      <c r="S159" s="160">
        <f>IFERROR(__xludf.DUMMYFUNCTION("""COMPUTED_VALUE"""),45547.0)</f>
        <v>45547</v>
      </c>
      <c r="T159" s="162">
        <f>IFERROR(__xludf.DUMMYFUNCTION("""COMPUTED_VALUE"""),27.166666666666664)</f>
        <v>27.16666667</v>
      </c>
    </row>
    <row r="160">
      <c r="A160" s="158" t="str">
        <f>IFERROR(__xludf.DUMMYFUNCTION("""COMPUTED_VALUE"""),"Sniper Elite 5")</f>
        <v>Sniper Elite 5</v>
      </c>
      <c r="B160" s="158" t="str">
        <f>IFERROR(__xludf.DUMMYFUNCTION("""COMPUTED_VALUE"""),"Xbox / PC")</f>
        <v>Xbox / PC</v>
      </c>
      <c r="C160" s="158" t="str">
        <f>IFERROR(__xludf.DUMMYFUNCTION("""COMPUTED_VALUE"""),"M+KB")</f>
        <v>M+KB</v>
      </c>
      <c r="D160" s="159" t="str">
        <f>IFERROR(__xludf.DUMMYFUNCTION("""COMPUTED_VALUE"""),"Active")</f>
        <v>Active</v>
      </c>
      <c r="E160" s="160">
        <f>IFERROR(__xludf.DUMMYFUNCTION("""COMPUTED_VALUE"""),44707.0)</f>
        <v>44707</v>
      </c>
      <c r="F160" s="161"/>
      <c r="G160" s="162">
        <f>IFERROR(__xludf.DUMMYFUNCTION("""COMPUTED_VALUE"""),40.63333333333333)</f>
        <v>40.63333333</v>
      </c>
      <c r="H160" s="163">
        <f>IFERROR(__xludf.DUMMYFUNCTION("""COMPUTED_VALUE"""),44707.0)</f>
        <v>44707</v>
      </c>
      <c r="I160" s="162">
        <f>IFERROR(__xludf.DUMMYFUNCTION("""COMPUTED_VALUE"""),0.0)</f>
        <v>0</v>
      </c>
      <c r="J160" s="164">
        <f>IFERROR(__xludf.DUMMYFUNCTION("""COMPUTED_VALUE"""),77.0)</f>
        <v>77</v>
      </c>
      <c r="K160" s="164">
        <f>IFERROR(__xludf.DUMMYFUNCTION("""COMPUTED_VALUE"""),9.0)</f>
        <v>9</v>
      </c>
      <c r="L160" s="158" t="str">
        <f>IFERROR(__xludf.DUMMYFUNCTION("""COMPUTED_VALUE"""),"Action / Shooter")</f>
        <v>Action / Shooter</v>
      </c>
      <c r="M160" s="158"/>
      <c r="N160" s="158"/>
      <c r="O160" s="158" t="str">
        <f>IFERROR(__xludf.DUMMYFUNCTION("""COMPUTED_VALUE"""),"M")</f>
        <v>M</v>
      </c>
      <c r="P160" s="158" t="str">
        <f>IFERROR(__xludf.DUMMYFUNCTION("""COMPUTED_VALUE"""),"Blood and Gore, Language, Intense Violence")</f>
        <v>Blood and Gore, Language, Intense Violence</v>
      </c>
      <c r="Q160" s="158"/>
      <c r="R160" s="159" t="str">
        <f>IFERROR(__xludf.DUMMYFUNCTION("""COMPUTED_VALUE"""),"Active")</f>
        <v>Active</v>
      </c>
      <c r="S160" s="160">
        <f>IFERROR(__xludf.DUMMYFUNCTION("""COMPUTED_VALUE"""),45547.0)</f>
        <v>45547</v>
      </c>
      <c r="T160" s="162">
        <f>IFERROR(__xludf.DUMMYFUNCTION("""COMPUTED_VALUE"""),27.53333333333333)</f>
        <v>27.53333333</v>
      </c>
    </row>
    <row r="161">
      <c r="A161" s="158" t="str">
        <f>IFERROR(__xludf.DUMMYFUNCTION("""COMPUTED_VALUE"""),"Vampire Survivors")</f>
        <v>Vampire Survivors</v>
      </c>
      <c r="B161" s="158" t="str">
        <f>IFERROR(__xludf.DUMMYFUNCTION("""COMPUTED_VALUE"""),"Xbox / PC")</f>
        <v>Xbox / PC</v>
      </c>
      <c r="C161" s="158" t="str">
        <f>IFERROR(__xludf.DUMMYFUNCTION("""COMPUTED_VALUE"""),"Yes")</f>
        <v>Yes</v>
      </c>
      <c r="D161" s="159" t="str">
        <f>IFERROR(__xludf.DUMMYFUNCTION("""COMPUTED_VALUE"""),"Active")</f>
        <v>Active</v>
      </c>
      <c r="E161" s="160">
        <f>IFERROR(__xludf.DUMMYFUNCTION("""COMPUTED_VALUE"""),44700.0)</f>
        <v>44700</v>
      </c>
      <c r="F161" s="161"/>
      <c r="G161" s="162">
        <f>IFERROR(__xludf.DUMMYFUNCTION("""COMPUTED_VALUE"""),40.86666666666667)</f>
        <v>40.86666667</v>
      </c>
      <c r="H161" s="163">
        <f>IFERROR(__xludf.DUMMYFUNCTION("""COMPUTED_VALUE"""),44547.0)</f>
        <v>44547</v>
      </c>
      <c r="I161" s="162">
        <f>IFERROR(__xludf.DUMMYFUNCTION("""COMPUTED_VALUE"""),0.4222222222222222)</f>
        <v>0.4222222222</v>
      </c>
      <c r="J161" s="164">
        <f>IFERROR(__xludf.DUMMYFUNCTION("""COMPUTED_VALUE"""),87.0)</f>
        <v>87</v>
      </c>
      <c r="K161" s="164">
        <f>IFERROR(__xludf.DUMMYFUNCTION("""COMPUTED_VALUE"""),4.5)</f>
        <v>4.5</v>
      </c>
      <c r="L161" s="158" t="str">
        <f>IFERROR(__xludf.DUMMYFUNCTION("""COMPUTED_VALUE"""),"Action")</f>
        <v>Action</v>
      </c>
      <c r="M161" s="158"/>
      <c r="N161" s="158" t="str">
        <f>IFERROR(__xludf.DUMMYFUNCTION("""COMPUTED_VALUE"""),"Game Pass Essential launch title (9/14/23), Joins console 11/10/22")</f>
        <v>Game Pass Essential launch title (9/14/23), Joins console 11/10/22</v>
      </c>
      <c r="O161" s="158" t="str">
        <f>IFERROR(__xludf.DUMMYFUNCTION("""COMPUTED_VALUE"""),"E10+")</f>
        <v>E10+</v>
      </c>
      <c r="P161" s="158" t="str">
        <f>IFERROR(__xludf.DUMMYFUNCTION("""COMPUTED_VALUE"""),"Fantasy Violence")</f>
        <v>Fantasy Violence</v>
      </c>
      <c r="Q161" s="158"/>
      <c r="R161" s="159" t="str">
        <f>IFERROR(__xludf.DUMMYFUNCTION("""COMPUTED_VALUE"""),"Active")</f>
        <v>Active</v>
      </c>
      <c r="S161" s="160">
        <f>IFERROR(__xludf.DUMMYFUNCTION("""COMPUTED_VALUE"""),45547.0)</f>
        <v>45547</v>
      </c>
      <c r="T161" s="162">
        <f>IFERROR(__xludf.DUMMYFUNCTION("""COMPUTED_VALUE"""),27.76666666666667)</f>
        <v>27.76666667</v>
      </c>
    </row>
    <row r="162">
      <c r="A162" s="158" t="str">
        <f>IFERROR(__xludf.DUMMYFUNCTION("""COMPUTED_VALUE"""),"Jurassic World Evolution 2")</f>
        <v>Jurassic World Evolution 2</v>
      </c>
      <c r="B162" s="158" t="str">
        <f>IFERROR(__xludf.DUMMYFUNCTION("""COMPUTED_VALUE"""),"Xbox / PC")</f>
        <v>Xbox / PC</v>
      </c>
      <c r="C162" s="158" t="str">
        <f>IFERROR(__xludf.DUMMYFUNCTION("""COMPUTED_VALUE"""),"Yes")</f>
        <v>Yes</v>
      </c>
      <c r="D162" s="159" t="str">
        <f>IFERROR(__xludf.DUMMYFUNCTION("""COMPUTED_VALUE"""),"Active")</f>
        <v>Active</v>
      </c>
      <c r="E162" s="160">
        <f>IFERROR(__xludf.DUMMYFUNCTION("""COMPUTED_VALUE"""),44698.0)</f>
        <v>44698</v>
      </c>
      <c r="F162" s="161"/>
      <c r="G162" s="162">
        <f>IFERROR(__xludf.DUMMYFUNCTION("""COMPUTED_VALUE"""),40.93333333333333)</f>
        <v>40.93333333</v>
      </c>
      <c r="H162" s="163">
        <f>IFERROR(__xludf.DUMMYFUNCTION("""COMPUTED_VALUE"""),44509.0)</f>
        <v>44509</v>
      </c>
      <c r="I162" s="162">
        <f>IFERROR(__xludf.DUMMYFUNCTION("""COMPUTED_VALUE"""),0.5222222222222223)</f>
        <v>0.5222222222</v>
      </c>
      <c r="J162" s="164">
        <f>IFERROR(__xludf.DUMMYFUNCTION("""COMPUTED_VALUE"""),79.0)</f>
        <v>79</v>
      </c>
      <c r="K162" s="164">
        <f>IFERROR(__xludf.DUMMYFUNCTION("""COMPUTED_VALUE"""),6.0)</f>
        <v>6</v>
      </c>
      <c r="L162" s="158" t="str">
        <f>IFERROR(__xludf.DUMMYFUNCTION("""COMPUTED_VALUE"""),"Simulation")</f>
        <v>Simulation</v>
      </c>
      <c r="M162" s="158"/>
      <c r="N162" s="158"/>
      <c r="O162" s="158" t="str">
        <f>IFERROR(__xludf.DUMMYFUNCTION("""COMPUTED_VALUE"""),"T")</f>
        <v>T</v>
      </c>
      <c r="P162" s="158" t="str">
        <f>IFERROR(__xludf.DUMMYFUNCTION("""COMPUTED_VALUE"""),"Mild Blood, Violence")</f>
        <v>Mild Blood, Violence</v>
      </c>
      <c r="Q162" s="158"/>
      <c r="R162" s="159" t="str">
        <f>IFERROR(__xludf.DUMMYFUNCTION("""COMPUTED_VALUE"""),"Active")</f>
        <v>Active</v>
      </c>
      <c r="S162" s="160">
        <f>IFERROR(__xludf.DUMMYFUNCTION("""COMPUTED_VALUE"""),45547.0)</f>
        <v>45547</v>
      </c>
      <c r="T162" s="162">
        <f>IFERROR(__xludf.DUMMYFUNCTION("""COMPUTED_VALUE"""),27.833333333333336)</f>
        <v>27.83333333</v>
      </c>
    </row>
    <row r="163">
      <c r="A163" s="158" t="str">
        <f>IFERROR(__xludf.DUMMYFUNCTION("""COMPUTED_VALUE"""),"Citizen Sleeper")</f>
        <v>Citizen Sleeper</v>
      </c>
      <c r="B163" s="158" t="str">
        <f>IFERROR(__xludf.DUMMYFUNCTION("""COMPUTED_VALUE"""),"Xbox / PC")</f>
        <v>Xbox / PC</v>
      </c>
      <c r="C163" s="158" t="str">
        <f>IFERROR(__xludf.DUMMYFUNCTION("""COMPUTED_VALUE"""),"Touch Controls")</f>
        <v>Touch Controls</v>
      </c>
      <c r="D163" s="159" t="str">
        <f>IFERROR(__xludf.DUMMYFUNCTION("""COMPUTED_VALUE"""),"Active")</f>
        <v>Active</v>
      </c>
      <c r="E163" s="160">
        <f>IFERROR(__xludf.DUMMYFUNCTION("""COMPUTED_VALUE"""),44686.0)</f>
        <v>44686</v>
      </c>
      <c r="F163" s="161"/>
      <c r="G163" s="162">
        <f>IFERROR(__xludf.DUMMYFUNCTION("""COMPUTED_VALUE"""),41.333333333333336)</f>
        <v>41.33333333</v>
      </c>
      <c r="H163" s="163">
        <f>IFERROR(__xludf.DUMMYFUNCTION("""COMPUTED_VALUE"""),44686.0)</f>
        <v>44686</v>
      </c>
      <c r="I163" s="162">
        <f>IFERROR(__xludf.DUMMYFUNCTION("""COMPUTED_VALUE"""),0.0)</f>
        <v>0</v>
      </c>
      <c r="J163" s="164">
        <f>IFERROR(__xludf.DUMMYFUNCTION("""COMPUTED_VALUE"""),82.0)</f>
        <v>82</v>
      </c>
      <c r="K163" s="164">
        <f>IFERROR(__xludf.DUMMYFUNCTION("""COMPUTED_VALUE"""),6.0)</f>
        <v>6</v>
      </c>
      <c r="L163" s="158" t="str">
        <f>IFERROR(__xludf.DUMMYFUNCTION("""COMPUTED_VALUE"""),"Adventure / RPG")</f>
        <v>Adventure / RPG</v>
      </c>
      <c r="M163" s="158"/>
      <c r="N163" s="158"/>
      <c r="O163" s="158" t="str">
        <f>IFERROR(__xludf.DUMMYFUNCTION("""COMPUTED_VALUE"""),"T")</f>
        <v>T</v>
      </c>
      <c r="P163" s="158" t="str">
        <f>IFERROR(__xludf.DUMMYFUNCTION("""COMPUTED_VALUE"""),"Fantasy Violence, Use of Alcohol, Language")</f>
        <v>Fantasy Violence, Use of Alcohol, Language</v>
      </c>
      <c r="Q163" s="158"/>
      <c r="R163" s="159" t="str">
        <f>IFERROR(__xludf.DUMMYFUNCTION("""COMPUTED_VALUE"""),"Active")</f>
        <v>Active</v>
      </c>
      <c r="S163" s="160">
        <f>IFERROR(__xludf.DUMMYFUNCTION("""COMPUTED_VALUE"""),45547.0)</f>
        <v>45547</v>
      </c>
      <c r="T163" s="162">
        <f>IFERROR(__xludf.DUMMYFUNCTION("""COMPUTED_VALUE"""),28.233333333333334)</f>
        <v>28.23333333</v>
      </c>
    </row>
    <row r="164">
      <c r="A164" s="158" t="str">
        <f>IFERROR(__xludf.DUMMYFUNCTION("""COMPUTED_VALUE"""),"Fortnite")</f>
        <v>Fortnite</v>
      </c>
      <c r="B164" s="158"/>
      <c r="C164" s="158" t="str">
        <f>IFERROR(__xludf.DUMMYFUNCTION("""COMPUTED_VALUE"""),"M+KB (Browser)")</f>
        <v>M+KB (Browser)</v>
      </c>
      <c r="D164" s="159" t="str">
        <f>IFERROR(__xludf.DUMMYFUNCTION("""COMPUTED_VALUE"""),"Active")</f>
        <v>Active</v>
      </c>
      <c r="E164" s="160">
        <f>IFERROR(__xludf.DUMMYFUNCTION("""COMPUTED_VALUE"""),44686.0)</f>
        <v>44686</v>
      </c>
      <c r="F164" s="161"/>
      <c r="G164" s="162">
        <f>IFERROR(__xludf.DUMMYFUNCTION("""COMPUTED_VALUE"""),41.333333333333336)</f>
        <v>41.33333333</v>
      </c>
      <c r="H164" s="163">
        <f>IFERROR(__xludf.DUMMYFUNCTION("""COMPUTED_VALUE"""),42941.0)</f>
        <v>42941</v>
      </c>
      <c r="I164" s="162">
        <f>IFERROR(__xludf.DUMMYFUNCTION("""COMPUTED_VALUE"""),4.777777777777778)</f>
        <v>4.777777778</v>
      </c>
      <c r="J164" s="164">
        <f>IFERROR(__xludf.DUMMYFUNCTION("""COMPUTED_VALUE"""),83.0)</f>
        <v>83</v>
      </c>
      <c r="K164" s="164">
        <f>IFERROR(__xludf.DUMMYFUNCTION("""COMPUTED_VALUE"""),65.5)</f>
        <v>65.5</v>
      </c>
      <c r="L164" s="158" t="str">
        <f>IFERROR(__xludf.DUMMYFUNCTION("""COMPUTED_VALUE"""),"Shooter")</f>
        <v>Shooter</v>
      </c>
      <c r="M164" s="158"/>
      <c r="N164" s="158" t="str">
        <f>IFERROR(__xludf.DUMMYFUNCTION("""COMPUTED_VALUE"""),"First free to play game on xCloud")</f>
        <v>First free to play game on xCloud</v>
      </c>
      <c r="O164" s="158" t="str">
        <f>IFERROR(__xludf.DUMMYFUNCTION("""COMPUTED_VALUE"""),"T")</f>
        <v>T</v>
      </c>
      <c r="P164" s="158" t="str">
        <f>IFERROR(__xludf.DUMMYFUNCTION("""COMPUTED_VALUE"""),"Violence")</f>
        <v>Violence</v>
      </c>
      <c r="Q164" s="158"/>
      <c r="R164" s="159" t="str">
        <f>IFERROR(__xludf.DUMMYFUNCTION("""COMPUTED_VALUE"""),"Active")</f>
        <v>Active</v>
      </c>
      <c r="S164" s="160">
        <f>IFERROR(__xludf.DUMMYFUNCTION("""COMPUTED_VALUE"""),45547.0)</f>
        <v>45547</v>
      </c>
      <c r="T164" s="162">
        <f>IFERROR(__xludf.DUMMYFUNCTION("""COMPUTED_VALUE"""),28.233333333333334)</f>
        <v>28.23333333</v>
      </c>
    </row>
    <row r="165">
      <c r="A165" s="158" t="str">
        <f>IFERROR(__xludf.DUMMYFUNCTION("""COMPUTED_VALUE"""),"Teenage Mutant Ninja Turtles: Shredder's Revenge")</f>
        <v>Teenage Mutant Ninja Turtles: Shredder's Revenge</v>
      </c>
      <c r="B165" s="158" t="str">
        <f>IFERROR(__xludf.DUMMYFUNCTION("""COMPUTED_VALUE"""),"Xbox / PC")</f>
        <v>Xbox / PC</v>
      </c>
      <c r="C165" s="158" t="str">
        <f>IFERROR(__xludf.DUMMYFUNCTION("""COMPUTED_VALUE"""),"Touch Controls")</f>
        <v>Touch Controls</v>
      </c>
      <c r="D165" s="159" t="str">
        <f>IFERROR(__xludf.DUMMYFUNCTION("""COMPUTED_VALUE"""),"Active")</f>
        <v>Active</v>
      </c>
      <c r="E165" s="160">
        <f>IFERROR(__xludf.DUMMYFUNCTION("""COMPUTED_VALUE"""),44728.0)</f>
        <v>44728</v>
      </c>
      <c r="F165" s="161"/>
      <c r="G165" s="162">
        <f>IFERROR(__xludf.DUMMYFUNCTION("""COMPUTED_VALUE"""),39.96666666666667)</f>
        <v>39.96666667</v>
      </c>
      <c r="H165" s="163">
        <f>IFERROR(__xludf.DUMMYFUNCTION("""COMPUTED_VALUE"""),44728.0)</f>
        <v>44728</v>
      </c>
      <c r="I165" s="162">
        <f>IFERROR(__xludf.DUMMYFUNCTION("""COMPUTED_VALUE"""),0.0)</f>
        <v>0</v>
      </c>
      <c r="J165" s="164">
        <f>IFERROR(__xludf.DUMMYFUNCTION("""COMPUTED_VALUE"""),86.0)</f>
        <v>86</v>
      </c>
      <c r="K165" s="164">
        <f>IFERROR(__xludf.DUMMYFUNCTION("""COMPUTED_VALUE"""),2.5)</f>
        <v>2.5</v>
      </c>
      <c r="L165" s="158" t="str">
        <f>IFERROR(__xludf.DUMMYFUNCTION("""COMPUTED_VALUE"""),"Brawler")</f>
        <v>Brawler</v>
      </c>
      <c r="M165" s="158"/>
      <c r="N165" s="158" t="str">
        <f>IFERROR(__xludf.DUMMYFUNCTION("""COMPUTED_VALUE"""),"Game Pass Essential launch title (9/14/23)")</f>
        <v>Game Pass Essential launch title (9/14/23)</v>
      </c>
      <c r="O165" s="158" t="str">
        <f>IFERROR(__xludf.DUMMYFUNCTION("""COMPUTED_VALUE"""),"E10+")</f>
        <v>E10+</v>
      </c>
      <c r="P165" s="158" t="str">
        <f>IFERROR(__xludf.DUMMYFUNCTION("""COMPUTED_VALUE"""),"Fantasy Violence")</f>
        <v>Fantasy Violence</v>
      </c>
      <c r="Q165" s="158"/>
      <c r="R165" s="159" t="str">
        <f>IFERROR(__xludf.DUMMYFUNCTION("""COMPUTED_VALUE"""),"Active")</f>
        <v>Active</v>
      </c>
      <c r="S165" s="160">
        <f>IFERROR(__xludf.DUMMYFUNCTION("""COMPUTED_VALUE"""),45547.0)</f>
        <v>45547</v>
      </c>
      <c r="T165" s="162">
        <f>IFERROR(__xludf.DUMMYFUNCTION("""COMPUTED_VALUE"""),26.866666666666667)</f>
        <v>26.86666667</v>
      </c>
    </row>
    <row r="166">
      <c r="A166" s="158" t="str">
        <f>IFERROR(__xludf.DUMMYFUNCTION("""COMPUTED_VALUE"""),"Lost In Random")</f>
        <v>Lost In Random</v>
      </c>
      <c r="B166" s="158" t="str">
        <f>IFERROR(__xludf.DUMMYFUNCTION("""COMPUTED_VALUE"""),"Xbox / PC")</f>
        <v>Xbox / PC</v>
      </c>
      <c r="C166" s="158" t="str">
        <f>IFERROR(__xludf.DUMMYFUNCTION("""COMPUTED_VALUE"""),"Touch Controls")</f>
        <v>Touch Controls</v>
      </c>
      <c r="D166" s="159" t="str">
        <f>IFERROR(__xludf.DUMMYFUNCTION("""COMPUTED_VALUE"""),"Active")</f>
        <v>Active</v>
      </c>
      <c r="E166" s="160">
        <f>IFERROR(__xludf.DUMMYFUNCTION("""COMPUTED_VALUE"""),44663.0)</f>
        <v>44663</v>
      </c>
      <c r="F166" s="161"/>
      <c r="G166" s="162">
        <f>IFERROR(__xludf.DUMMYFUNCTION("""COMPUTED_VALUE"""),42.1)</f>
        <v>42.1</v>
      </c>
      <c r="H166" s="163">
        <f>IFERROR(__xludf.DUMMYFUNCTION("""COMPUTED_VALUE"""),44449.0)</f>
        <v>44449</v>
      </c>
      <c r="I166" s="162">
        <f>IFERROR(__xludf.DUMMYFUNCTION("""COMPUTED_VALUE"""),0.5888888888888889)</f>
        <v>0.5888888889</v>
      </c>
      <c r="J166" s="164">
        <f>IFERROR(__xludf.DUMMYFUNCTION("""COMPUTED_VALUE"""),76.0)</f>
        <v>76</v>
      </c>
      <c r="K166" s="164">
        <f>IFERROR(__xludf.DUMMYFUNCTION("""COMPUTED_VALUE"""),11.5)</f>
        <v>11.5</v>
      </c>
      <c r="L166" s="158" t="str">
        <f>IFERROR(__xludf.DUMMYFUNCTION("""COMPUTED_VALUE"""),"RPG / Card Game / Action-Adventure")</f>
        <v>RPG / Card Game / Action-Adventure</v>
      </c>
      <c r="M166" s="158"/>
      <c r="N166" s="158"/>
      <c r="O166" s="158" t="str">
        <f>IFERROR(__xludf.DUMMYFUNCTION("""COMPUTED_VALUE"""),"E10+")</f>
        <v>E10+</v>
      </c>
      <c r="P166" s="158" t="str">
        <f>IFERROR(__xludf.DUMMYFUNCTION("""COMPUTED_VALUE"""),"Fantasy Violence, Language, Use of Alcohol")</f>
        <v>Fantasy Violence, Language, Use of Alcohol</v>
      </c>
      <c r="Q166" s="158"/>
      <c r="R166" s="159" t="str">
        <f>IFERROR(__xludf.DUMMYFUNCTION("""COMPUTED_VALUE"""),"Active")</f>
        <v>Active</v>
      </c>
      <c r="S166" s="160">
        <f>IFERROR(__xludf.DUMMYFUNCTION("""COMPUTED_VALUE"""),45547.0)</f>
        <v>45547</v>
      </c>
      <c r="T166" s="162">
        <f>IFERROR(__xludf.DUMMYFUNCTION("""COMPUTED_VALUE"""),29.0)</f>
        <v>29</v>
      </c>
    </row>
    <row r="167">
      <c r="A167" s="158" t="str">
        <f>IFERROR(__xludf.DUMMYFUNCTION("""COMPUTED_VALUE"""),"Tunic")</f>
        <v>Tunic</v>
      </c>
      <c r="B167" s="158" t="str">
        <f>IFERROR(__xludf.DUMMYFUNCTION("""COMPUTED_VALUE"""),"Xbox / PC")</f>
        <v>Xbox / PC</v>
      </c>
      <c r="C167" s="158" t="str">
        <f>IFERROR(__xludf.DUMMYFUNCTION("""COMPUTED_VALUE"""),"Yes")</f>
        <v>Yes</v>
      </c>
      <c r="D167" s="159" t="str">
        <f>IFERROR(__xludf.DUMMYFUNCTION("""COMPUTED_VALUE"""),"Active")</f>
        <v>Active</v>
      </c>
      <c r="E167" s="160">
        <f>IFERROR(__xludf.DUMMYFUNCTION("""COMPUTED_VALUE"""),44636.0)</f>
        <v>44636</v>
      </c>
      <c r="F167" s="161"/>
      <c r="G167" s="162">
        <f>IFERROR(__xludf.DUMMYFUNCTION("""COMPUTED_VALUE"""),42.96666666666667)</f>
        <v>42.96666667</v>
      </c>
      <c r="H167" s="163">
        <f>IFERROR(__xludf.DUMMYFUNCTION("""COMPUTED_VALUE"""),44636.0)</f>
        <v>44636</v>
      </c>
      <c r="I167" s="162">
        <f>IFERROR(__xludf.DUMMYFUNCTION("""COMPUTED_VALUE"""),0.0)</f>
        <v>0</v>
      </c>
      <c r="J167" s="164">
        <f>IFERROR(__xludf.DUMMYFUNCTION("""COMPUTED_VALUE"""),83.5)</f>
        <v>83.5</v>
      </c>
      <c r="K167" s="164">
        <f>IFERROR(__xludf.DUMMYFUNCTION("""COMPUTED_VALUE"""),12.0)</f>
        <v>12</v>
      </c>
      <c r="L167" s="158" t="str">
        <f>IFERROR(__xludf.DUMMYFUNCTION("""COMPUTED_VALUE"""),"Action-Adventure")</f>
        <v>Action-Adventure</v>
      </c>
      <c r="M167" s="158"/>
      <c r="N167" s="158" t="str">
        <f>IFERROR(__xludf.DUMMYFUNCTION("""COMPUTED_VALUE"""),"Game Pass Essential (3/26/25)")</f>
        <v>Game Pass Essential (3/26/25)</v>
      </c>
      <c r="O167" s="158" t="str">
        <f>IFERROR(__xludf.DUMMYFUNCTION("""COMPUTED_VALUE"""),"E10+")</f>
        <v>E10+</v>
      </c>
      <c r="P167" s="158" t="str">
        <f>IFERROR(__xludf.DUMMYFUNCTION("""COMPUTED_VALUE"""),"Fantasy Violence")</f>
        <v>Fantasy Violence</v>
      </c>
      <c r="Q167" s="158"/>
      <c r="R167" s="159" t="str">
        <f>IFERROR(__xludf.DUMMYFUNCTION("""COMPUTED_VALUE"""),"Active")</f>
        <v>Active</v>
      </c>
      <c r="S167" s="160">
        <f>IFERROR(__xludf.DUMMYFUNCTION("""COMPUTED_VALUE"""),45547.0)</f>
        <v>45547</v>
      </c>
      <c r="T167" s="162">
        <f>IFERROR(__xludf.DUMMYFUNCTION("""COMPUTED_VALUE"""),29.866666666666667)</f>
        <v>29.86666667</v>
      </c>
    </row>
    <row r="168">
      <c r="A168" s="158" t="str">
        <f>IFERROR(__xludf.DUMMYFUNCTION("""COMPUTED_VALUE"""),"Super Mega Baseball 3")</f>
        <v>Super Mega Baseball 3</v>
      </c>
      <c r="B168" s="158" t="str">
        <f>IFERROR(__xludf.DUMMYFUNCTION("""COMPUTED_VALUE"""),"Xbox / PC")</f>
        <v>Xbox / PC</v>
      </c>
      <c r="C168" s="158" t="str">
        <f>IFERROR(__xludf.DUMMYFUNCTION("""COMPUTED_VALUE"""),"Touch Controls")</f>
        <v>Touch Controls</v>
      </c>
      <c r="D168" s="159" t="str">
        <f>IFERROR(__xludf.DUMMYFUNCTION("""COMPUTED_VALUE"""),"Active")</f>
        <v>Active</v>
      </c>
      <c r="E168" s="160">
        <f>IFERROR(__xludf.DUMMYFUNCTION("""COMPUTED_VALUE"""),44616.0)</f>
        <v>44616</v>
      </c>
      <c r="F168" s="161"/>
      <c r="G168" s="162">
        <f>IFERROR(__xludf.DUMMYFUNCTION("""COMPUTED_VALUE"""),43.7)</f>
        <v>43.7</v>
      </c>
      <c r="H168" s="163">
        <f>IFERROR(__xludf.DUMMYFUNCTION("""COMPUTED_VALUE"""),43964.0)</f>
        <v>43964</v>
      </c>
      <c r="I168" s="162">
        <f>IFERROR(__xludf.DUMMYFUNCTION("""COMPUTED_VALUE"""),1.7805555555555554)</f>
        <v>1.780555556</v>
      </c>
      <c r="J168" s="164">
        <f>IFERROR(__xludf.DUMMYFUNCTION("""COMPUTED_VALUE"""),81.5)</f>
        <v>81.5</v>
      </c>
      <c r="K168" s="164">
        <f>IFERROR(__xludf.DUMMYFUNCTION("""COMPUTED_VALUE"""),24.0)</f>
        <v>24</v>
      </c>
      <c r="L168" s="158" t="str">
        <f>IFERROR(__xludf.DUMMYFUNCTION("""COMPUTED_VALUE"""),"Sports / Baseball")</f>
        <v>Sports / Baseball</v>
      </c>
      <c r="M168" s="158"/>
      <c r="N168" s="158"/>
      <c r="O168" s="158" t="str">
        <f>IFERROR(__xludf.DUMMYFUNCTION("""COMPUTED_VALUE"""),"E")</f>
        <v>E</v>
      </c>
      <c r="P168" s="158"/>
      <c r="Q168" s="158"/>
      <c r="R168" s="159" t="str">
        <f>IFERROR(__xludf.DUMMYFUNCTION("""COMPUTED_VALUE"""),"Active")</f>
        <v>Active</v>
      </c>
      <c r="S168" s="160">
        <f>IFERROR(__xludf.DUMMYFUNCTION("""COMPUTED_VALUE"""),45547.0)</f>
        <v>45547</v>
      </c>
      <c r="T168" s="162">
        <f>IFERROR(__xludf.DUMMYFUNCTION("""COMPUTED_VALUE"""),30.599999999999998)</f>
        <v>30.6</v>
      </c>
    </row>
    <row r="169">
      <c r="A169" s="158" t="str">
        <f>IFERROR(__xludf.DUMMYFUNCTION("""COMPUTED_VALUE"""),"Roboquest (2020)")</f>
        <v>Roboquest (2020)</v>
      </c>
      <c r="B169" s="158" t="str">
        <f>IFERROR(__xludf.DUMMYFUNCTION("""COMPUTED_VALUE"""),"Xbox / PC")</f>
        <v>Xbox / PC</v>
      </c>
      <c r="C169" s="158"/>
      <c r="D169" s="159" t="str">
        <f>IFERROR(__xludf.DUMMYFUNCTION("""COMPUTED_VALUE"""),"Active")</f>
        <v>Active</v>
      </c>
      <c r="E169" s="160">
        <f>IFERROR(__xludf.DUMMYFUNCTION("""COMPUTED_VALUE"""),44614.0)</f>
        <v>44614</v>
      </c>
      <c r="F169" s="161"/>
      <c r="G169" s="162">
        <f>IFERROR(__xludf.DUMMYFUNCTION("""COMPUTED_VALUE"""),43.766666666666666)</f>
        <v>43.76666667</v>
      </c>
      <c r="H169" s="163">
        <f>IFERROR(__xludf.DUMMYFUNCTION("""COMPUTED_VALUE"""),44063.0)</f>
        <v>44063</v>
      </c>
      <c r="I169" s="162">
        <f>IFERROR(__xludf.DUMMYFUNCTION("""COMPUTED_VALUE"""),1.5055555555555555)</f>
        <v>1.505555556</v>
      </c>
      <c r="J169" s="164"/>
      <c r="K169" s="164">
        <f>IFERROR(__xludf.DUMMYFUNCTION("""COMPUTED_VALUE"""),6.0)</f>
        <v>6</v>
      </c>
      <c r="L169" s="158" t="str">
        <f>IFERROR(__xludf.DUMMYFUNCTION("""COMPUTED_VALUE"""),"Action / First-Person Shooter")</f>
        <v>Action / First-Person Shooter</v>
      </c>
      <c r="M169" s="158"/>
      <c r="N169" s="158" t="str">
        <f>IFERROR(__xludf.DUMMYFUNCTION("""COMPUTED_VALUE"""),"Joined console 1/30/23, 1.0 launch 11/7/23")</f>
        <v>Joined console 1/30/23, 1.0 launch 11/7/23</v>
      </c>
      <c r="O169" s="158" t="str">
        <f>IFERROR(__xludf.DUMMYFUNCTION("""COMPUTED_VALUE"""),"E10+")</f>
        <v>E10+</v>
      </c>
      <c r="P169" s="158" t="str">
        <f>IFERROR(__xludf.DUMMYFUNCTION("""COMPUTED_VALUE"""),"Fantasy Violence")</f>
        <v>Fantasy Violence</v>
      </c>
      <c r="Q169" s="158"/>
      <c r="R169" s="159" t="str">
        <f>IFERROR(__xludf.DUMMYFUNCTION("""COMPUTED_VALUE"""),"Active")</f>
        <v>Active</v>
      </c>
      <c r="S169" s="160">
        <f>IFERROR(__xludf.DUMMYFUNCTION("""COMPUTED_VALUE"""),45547.0)</f>
        <v>45547</v>
      </c>
      <c r="T169" s="162">
        <f>IFERROR(__xludf.DUMMYFUNCTION("""COMPUTED_VALUE"""),30.666666666666664)</f>
        <v>30.66666667</v>
      </c>
    </row>
    <row r="170">
      <c r="A170" s="158" t="str">
        <f>IFERROR(__xludf.DUMMYFUNCTION("""COMPUTED_VALUE"""),"Contrast")</f>
        <v>Contrast</v>
      </c>
      <c r="B170" s="158" t="str">
        <f>IFERROR(__xludf.DUMMYFUNCTION("""COMPUTED_VALUE"""),"Xbox")</f>
        <v>Xbox</v>
      </c>
      <c r="C170" s="158" t="str">
        <f>IFERROR(__xludf.DUMMYFUNCTION("""COMPUTED_VALUE"""),"Touch Controls")</f>
        <v>Touch Controls</v>
      </c>
      <c r="D170" s="159" t="str">
        <f>IFERROR(__xludf.DUMMYFUNCTION("""COMPUTED_VALUE"""),"Active")</f>
        <v>Active</v>
      </c>
      <c r="E170" s="160">
        <f>IFERROR(__xludf.DUMMYFUNCTION("""COMPUTED_VALUE"""),44595.0)</f>
        <v>44595</v>
      </c>
      <c r="F170" s="161"/>
      <c r="G170" s="162">
        <f>IFERROR(__xludf.DUMMYFUNCTION("""COMPUTED_VALUE"""),44.400000000000006)</f>
        <v>44.4</v>
      </c>
      <c r="H170" s="163">
        <f>IFERROR(__xludf.DUMMYFUNCTION("""COMPUTED_VALUE"""),41593.0)</f>
        <v>41593</v>
      </c>
      <c r="I170" s="162">
        <f>IFERROR(__xludf.DUMMYFUNCTION("""COMPUTED_VALUE"""),8.216666666666667)</f>
        <v>8.216666667</v>
      </c>
      <c r="J170" s="164">
        <f>IFERROR(__xludf.DUMMYFUNCTION("""COMPUTED_VALUE"""),63.5)</f>
        <v>63.5</v>
      </c>
      <c r="K170" s="164">
        <f>IFERROR(__xludf.DUMMYFUNCTION("""COMPUTED_VALUE"""),3.5)</f>
        <v>3.5</v>
      </c>
      <c r="L170" s="158" t="str">
        <f>IFERROR(__xludf.DUMMYFUNCTION("""COMPUTED_VALUE"""),"Puzzle / Platformer / Action-Adventure")</f>
        <v>Puzzle / Platformer / Action-Adventure</v>
      </c>
      <c r="M170" s="158"/>
      <c r="N170" s="158"/>
      <c r="O170" s="158" t="str">
        <f>IFERROR(__xludf.DUMMYFUNCTION("""COMPUTED_VALUE"""),"T")</f>
        <v>T</v>
      </c>
      <c r="P170" s="158" t="str">
        <f>IFERROR(__xludf.DUMMYFUNCTION("""COMPUTED_VALUE"""),"Fantasy Violence, Suggestive Themes, Use of Tobacco")</f>
        <v>Fantasy Violence, Suggestive Themes, Use of Tobacco</v>
      </c>
      <c r="Q170" s="158"/>
      <c r="R170" s="159" t="str">
        <f>IFERROR(__xludf.DUMMYFUNCTION("""COMPUTED_VALUE"""),"Active")</f>
        <v>Active</v>
      </c>
      <c r="S170" s="160">
        <f>IFERROR(__xludf.DUMMYFUNCTION("""COMPUTED_VALUE"""),45547.0)</f>
        <v>45547</v>
      </c>
      <c r="T170" s="162">
        <f>IFERROR(__xludf.DUMMYFUNCTION("""COMPUTED_VALUE"""),31.3)</f>
        <v>31.3</v>
      </c>
    </row>
    <row r="171">
      <c r="A171" s="158" t="str">
        <f>IFERROR(__xludf.DUMMYFUNCTION("""COMPUTED_VALUE"""),"Mass Effect: Legendary Edition")</f>
        <v>Mass Effect: Legendary Edition</v>
      </c>
      <c r="B171" s="158" t="str">
        <f>IFERROR(__xludf.DUMMYFUNCTION("""COMPUTED_VALUE"""),"Xbox / PC")</f>
        <v>Xbox / PC</v>
      </c>
      <c r="C171" s="158" t="str">
        <f>IFERROR(__xludf.DUMMYFUNCTION("""COMPUTED_VALUE"""),"Yes")</f>
        <v>Yes</v>
      </c>
      <c r="D171" s="159" t="str">
        <f>IFERROR(__xludf.DUMMYFUNCTION("""COMPUTED_VALUE"""),"Active")</f>
        <v>Active</v>
      </c>
      <c r="E171" s="160">
        <f>IFERROR(__xludf.DUMMYFUNCTION("""COMPUTED_VALUE"""),44567.0)</f>
        <v>44567</v>
      </c>
      <c r="F171" s="161"/>
      <c r="G171" s="162">
        <f>IFERROR(__xludf.DUMMYFUNCTION("""COMPUTED_VALUE"""),45.3)</f>
        <v>45.3</v>
      </c>
      <c r="H171" s="163">
        <f>IFERROR(__xludf.DUMMYFUNCTION("""COMPUTED_VALUE"""),44330.0)</f>
        <v>44330</v>
      </c>
      <c r="I171" s="162">
        <f>IFERROR(__xludf.DUMMYFUNCTION("""COMPUTED_VALUE"""),0.6444444444444445)</f>
        <v>0.6444444444</v>
      </c>
      <c r="J171" s="164">
        <f>IFERROR(__xludf.DUMMYFUNCTION("""COMPUTED_VALUE"""),88.0)</f>
        <v>88</v>
      </c>
      <c r="K171" s="164">
        <f>IFERROR(__xludf.DUMMYFUNCTION("""COMPUTED_VALUE"""),106.0)</f>
        <v>106</v>
      </c>
      <c r="L171" s="158" t="str">
        <f>IFERROR(__xludf.DUMMYFUNCTION("""COMPUTED_VALUE"""),"RPG / Shooter / Compilation")</f>
        <v>RPG / Shooter / Compilation</v>
      </c>
      <c r="M171" s="158"/>
      <c r="N171" s="158"/>
      <c r="O171" s="158" t="str">
        <f>IFERROR(__xludf.DUMMYFUNCTION("""COMPUTED_VALUE"""),"M")</f>
        <v>M</v>
      </c>
      <c r="P171" s="158" t="str">
        <f>IFERROR(__xludf.DUMMYFUNCTION("""COMPUTED_VALUE"""),"Use of Alcohol, Blood, Sexual Content, Partial Nudity, Drug Reference, Strong Language, Violence")</f>
        <v>Use of Alcohol, Blood, Sexual Content, Partial Nudity, Drug Reference, Strong Language, Violence</v>
      </c>
      <c r="Q171" s="158" t="str">
        <f>IFERROR(__xludf.DUMMYFUNCTION("""COMPUTED_VALUE"""),"If you encounter problems with HDR on Series X|S, try disabling Auto HDR in the game's compatibility settings (Mass Effect LE has a native HDR implementation)")</f>
        <v>If you encounter problems with HDR on Series X|S, try disabling Auto HDR in the game's compatibility settings (Mass Effect LE has a native HDR implementation)</v>
      </c>
      <c r="R171" s="159" t="str">
        <f>IFERROR(__xludf.DUMMYFUNCTION("""COMPUTED_VALUE"""),"Active")</f>
        <v>Active</v>
      </c>
      <c r="S171" s="160">
        <f>IFERROR(__xludf.DUMMYFUNCTION("""COMPUTED_VALUE"""),45547.0)</f>
        <v>45547</v>
      </c>
      <c r="T171" s="162">
        <f>IFERROR(__xludf.DUMMYFUNCTION("""COMPUTED_VALUE"""),32.199999999999996)</f>
        <v>32.2</v>
      </c>
    </row>
    <row r="172">
      <c r="A172" s="158" t="str">
        <f>IFERROR(__xludf.DUMMYFUNCTION("""COMPUTED_VALUE"""),"Broken Age")</f>
        <v>Broken Age</v>
      </c>
      <c r="B172" s="158" t="str">
        <f>IFERROR(__xludf.DUMMYFUNCTION("""COMPUTED_VALUE"""),"Xbox / PC")</f>
        <v>Xbox / PC</v>
      </c>
      <c r="C172" s="158" t="str">
        <f>IFERROR(__xludf.DUMMYFUNCTION("""COMPUTED_VALUE"""),"Touch Controls")</f>
        <v>Touch Controls</v>
      </c>
      <c r="D172" s="159" t="str">
        <f>IFERROR(__xludf.DUMMYFUNCTION("""COMPUTED_VALUE"""),"Active")</f>
        <v>Active</v>
      </c>
      <c r="E172" s="160">
        <f>IFERROR(__xludf.DUMMYFUNCTION("""COMPUTED_VALUE"""),44546.0)</f>
        <v>44546</v>
      </c>
      <c r="F172" s="161"/>
      <c r="G172" s="162">
        <f>IFERROR(__xludf.DUMMYFUNCTION("""COMPUTED_VALUE"""),45.96666666666667)</f>
        <v>45.96666667</v>
      </c>
      <c r="H172" s="163">
        <f>IFERROR(__xludf.DUMMYFUNCTION("""COMPUTED_VALUE"""),41653.0)</f>
        <v>41653</v>
      </c>
      <c r="I172" s="162">
        <f>IFERROR(__xludf.DUMMYFUNCTION("""COMPUTED_VALUE"""),7.9222222222222225)</f>
        <v>7.922222222</v>
      </c>
      <c r="J172" s="164">
        <f>IFERROR(__xludf.DUMMYFUNCTION("""COMPUTED_VALUE"""),77.0)</f>
        <v>77</v>
      </c>
      <c r="K172" s="164">
        <f>IFERROR(__xludf.DUMMYFUNCTION("""COMPUTED_VALUE"""),10.0)</f>
        <v>10</v>
      </c>
      <c r="L172" s="158" t="str">
        <f>IFERROR(__xludf.DUMMYFUNCTION("""COMPUTED_VALUE"""),"Adventure")</f>
        <v>Adventure</v>
      </c>
      <c r="M172" s="158"/>
      <c r="N172" s="158"/>
      <c r="O172" s="158" t="str">
        <f>IFERROR(__xludf.DUMMYFUNCTION("""COMPUTED_VALUE"""),"E10+")</f>
        <v>E10+</v>
      </c>
      <c r="P172" s="158" t="str">
        <f>IFERROR(__xludf.DUMMYFUNCTION("""COMPUTED_VALUE"""),"Fantasy Violence, Crude Humor, Mild Blood, Mild Language")</f>
        <v>Fantasy Violence, Crude Humor, Mild Blood, Mild Language</v>
      </c>
      <c r="Q172" s="158"/>
      <c r="R172" s="159" t="str">
        <f>IFERROR(__xludf.DUMMYFUNCTION("""COMPUTED_VALUE"""),"Active")</f>
        <v>Active</v>
      </c>
      <c r="S172" s="160">
        <f>IFERROR(__xludf.DUMMYFUNCTION("""COMPUTED_VALUE"""),45547.0)</f>
        <v>45547</v>
      </c>
      <c r="T172" s="162">
        <f>IFERROR(__xludf.DUMMYFUNCTION("""COMPUTED_VALUE"""),32.86666666666667)</f>
        <v>32.86666667</v>
      </c>
    </row>
    <row r="173">
      <c r="A173" s="158" t="str">
        <f>IFERROR(__xludf.DUMMYFUNCTION("""COMPUTED_VALUE"""),"Mortal Kombat 11")</f>
        <v>Mortal Kombat 11</v>
      </c>
      <c r="B173" s="158" t="str">
        <f>IFERROR(__xludf.DUMMYFUNCTION("""COMPUTED_VALUE"""),"Xbox / PC")</f>
        <v>Xbox / PC</v>
      </c>
      <c r="C173" s="158" t="str">
        <f>IFERROR(__xludf.DUMMYFUNCTION("""COMPUTED_VALUE"""),"Yes")</f>
        <v>Yes</v>
      </c>
      <c r="D173" s="159" t="str">
        <f>IFERROR(__xludf.DUMMYFUNCTION("""COMPUTED_VALUE"""),"Active")</f>
        <v>Active</v>
      </c>
      <c r="E173" s="160">
        <f>IFERROR(__xludf.DUMMYFUNCTION("""COMPUTED_VALUE"""),44546.0)</f>
        <v>44546</v>
      </c>
      <c r="F173" s="161"/>
      <c r="G173" s="162">
        <f>IFERROR(__xludf.DUMMYFUNCTION("""COMPUTED_VALUE"""),45.96666666666667)</f>
        <v>45.96666667</v>
      </c>
      <c r="H173" s="163">
        <f>IFERROR(__xludf.DUMMYFUNCTION("""COMPUTED_VALUE"""),43578.0)</f>
        <v>43578</v>
      </c>
      <c r="I173" s="162">
        <f>IFERROR(__xludf.DUMMYFUNCTION("""COMPUTED_VALUE"""),2.647222222222222)</f>
        <v>2.647222222</v>
      </c>
      <c r="J173" s="164">
        <f>IFERROR(__xludf.DUMMYFUNCTION("""COMPUTED_VALUE"""),84.0)</f>
        <v>84</v>
      </c>
      <c r="K173" s="164">
        <f>IFERROR(__xludf.DUMMYFUNCTION("""COMPUTED_VALUE"""),6.0)</f>
        <v>6</v>
      </c>
      <c r="L173" s="158" t="str">
        <f>IFERROR(__xludf.DUMMYFUNCTION("""COMPUTED_VALUE"""),"Fighting")</f>
        <v>Fighting</v>
      </c>
      <c r="M173" s="158"/>
      <c r="N173" s="158"/>
      <c r="O173" s="158" t="str">
        <f>IFERROR(__xludf.DUMMYFUNCTION("""COMPUTED_VALUE"""),"M")</f>
        <v>M</v>
      </c>
      <c r="P173" s="158" t="str">
        <f>IFERROR(__xludf.DUMMYFUNCTION("""COMPUTED_VALUE"""),"Blood and Gore, Strong Language, Intense Violence")</f>
        <v>Blood and Gore, Strong Language, Intense Violence</v>
      </c>
      <c r="Q173" s="158"/>
      <c r="R173" s="159" t="str">
        <f>IFERROR(__xludf.DUMMYFUNCTION("""COMPUTED_VALUE"""),"Active")</f>
        <v>Active</v>
      </c>
      <c r="S173" s="160">
        <f>IFERROR(__xludf.DUMMYFUNCTION("""COMPUTED_VALUE"""),45547.0)</f>
        <v>45547</v>
      </c>
      <c r="T173" s="162">
        <f>IFERROR(__xludf.DUMMYFUNCTION("""COMPUTED_VALUE"""),32.86666666666667)</f>
        <v>32.86666667</v>
      </c>
    </row>
    <row r="174">
      <c r="A174" s="158" t="str">
        <f>IFERROR(__xludf.DUMMYFUNCTION("""COMPUTED_VALUE"""),"The Gunk")</f>
        <v>The Gunk</v>
      </c>
      <c r="B174" s="158" t="str">
        <f>IFERROR(__xludf.DUMMYFUNCTION("""COMPUTED_VALUE"""),"Xbox / PC")</f>
        <v>Xbox / PC</v>
      </c>
      <c r="C174" s="158" t="str">
        <f>IFERROR(__xludf.DUMMYFUNCTION("""COMPUTED_VALUE"""),"Touch Controls")</f>
        <v>Touch Controls</v>
      </c>
      <c r="D174" s="159" t="str">
        <f>IFERROR(__xludf.DUMMYFUNCTION("""COMPUTED_VALUE"""),"Active")</f>
        <v>Active</v>
      </c>
      <c r="E174" s="160">
        <f>IFERROR(__xludf.DUMMYFUNCTION("""COMPUTED_VALUE"""),44546.0)</f>
        <v>44546</v>
      </c>
      <c r="F174" s="161"/>
      <c r="G174" s="162">
        <f>IFERROR(__xludf.DUMMYFUNCTION("""COMPUTED_VALUE"""),45.96666666666667)</f>
        <v>45.96666667</v>
      </c>
      <c r="H174" s="163">
        <f>IFERROR(__xludf.DUMMYFUNCTION("""COMPUTED_VALUE"""),44546.0)</f>
        <v>44546</v>
      </c>
      <c r="I174" s="162">
        <f>IFERROR(__xludf.DUMMYFUNCTION("""COMPUTED_VALUE"""),0.0)</f>
        <v>0</v>
      </c>
      <c r="J174" s="164">
        <f>IFERROR(__xludf.DUMMYFUNCTION("""COMPUTED_VALUE"""),68.33333333333333)</f>
        <v>68.33333333</v>
      </c>
      <c r="K174" s="164">
        <f>IFERROR(__xludf.DUMMYFUNCTION("""COMPUTED_VALUE"""),4.5)</f>
        <v>4.5</v>
      </c>
      <c r="L174" s="158" t="str">
        <f>IFERROR(__xludf.DUMMYFUNCTION("""COMPUTED_VALUE"""),"Puzzle / Action-Adventure")</f>
        <v>Puzzle / Action-Adventure</v>
      </c>
      <c r="M174" s="158"/>
      <c r="N174" s="158"/>
      <c r="O174" s="158" t="str">
        <f>IFERROR(__xludf.DUMMYFUNCTION("""COMPUTED_VALUE"""),"T")</f>
        <v>T</v>
      </c>
      <c r="P174" s="158" t="str">
        <f>IFERROR(__xludf.DUMMYFUNCTION("""COMPUTED_VALUE"""),"Violence, Blood, Language")</f>
        <v>Violence, Blood, Language</v>
      </c>
      <c r="Q174" s="158"/>
      <c r="R174" s="159" t="str">
        <f>IFERROR(__xludf.DUMMYFUNCTION("""COMPUTED_VALUE"""),"Active")</f>
        <v>Active</v>
      </c>
      <c r="S174" s="160">
        <f>IFERROR(__xludf.DUMMYFUNCTION("""COMPUTED_VALUE"""),45547.0)</f>
        <v>45547</v>
      </c>
      <c r="T174" s="162">
        <f>IFERROR(__xludf.DUMMYFUNCTION("""COMPUTED_VALUE"""),32.86666666666667)</f>
        <v>32.86666667</v>
      </c>
    </row>
    <row r="175">
      <c r="A175" s="158" t="str">
        <f>IFERROR(__xludf.DUMMYFUNCTION("""COMPUTED_VALUE"""),"Halo: Infinite")</f>
        <v>Halo: Infinite</v>
      </c>
      <c r="B175" s="158" t="str">
        <f>IFERROR(__xludf.DUMMYFUNCTION("""COMPUTED_VALUE"""),"Xbox / PC")</f>
        <v>Xbox / PC</v>
      </c>
      <c r="C175" s="158" t="str">
        <f>IFERROR(__xludf.DUMMYFUNCTION("""COMPUTED_VALUE"""),"M+KB")</f>
        <v>M+KB</v>
      </c>
      <c r="D175" s="159" t="str">
        <f>IFERROR(__xludf.DUMMYFUNCTION("""COMPUTED_VALUE"""),"Active")</f>
        <v>Active</v>
      </c>
      <c r="E175" s="160">
        <f>IFERROR(__xludf.DUMMYFUNCTION("""COMPUTED_VALUE"""),44538.0)</f>
        <v>44538</v>
      </c>
      <c r="F175" s="161"/>
      <c r="G175" s="162">
        <f>IFERROR(__xludf.DUMMYFUNCTION("""COMPUTED_VALUE"""),46.233333333333334)</f>
        <v>46.23333333</v>
      </c>
      <c r="H175" s="163">
        <f>IFERROR(__xludf.DUMMYFUNCTION("""COMPUTED_VALUE"""),44538.0)</f>
        <v>44538</v>
      </c>
      <c r="I175" s="162">
        <f>IFERROR(__xludf.DUMMYFUNCTION("""COMPUTED_VALUE"""),0.0)</f>
        <v>0</v>
      </c>
      <c r="J175" s="164">
        <f>IFERROR(__xludf.DUMMYFUNCTION("""COMPUTED_VALUE"""),83.5)</f>
        <v>83.5</v>
      </c>
      <c r="K175" s="164">
        <f>IFERROR(__xludf.DUMMYFUNCTION("""COMPUTED_VALUE"""),10.0)</f>
        <v>10</v>
      </c>
      <c r="L175" s="158" t="str">
        <f>IFERROR(__xludf.DUMMYFUNCTION("""COMPUTED_VALUE"""),"First-Person Shooter")</f>
        <v>First-Person Shooter</v>
      </c>
      <c r="M175" s="158"/>
      <c r="N175" s="158" t="str">
        <f>IFERROR(__xludf.DUMMYFUNCTION("""COMPUTED_VALUE"""),"Multiplayer beta available 11/15/21, Halo's and Xbox's 20th anniversary")</f>
        <v>Multiplayer beta available 11/15/21, Halo's and Xbox's 20th anniversary</v>
      </c>
      <c r="O175" s="158" t="str">
        <f>IFERROR(__xludf.DUMMYFUNCTION("""COMPUTED_VALUE"""),"T")</f>
        <v>T</v>
      </c>
      <c r="P175" s="158" t="str">
        <f>IFERROR(__xludf.DUMMYFUNCTION("""COMPUTED_VALUE"""),"Violence, Blood, Mild Language")</f>
        <v>Violence, Blood, Mild Language</v>
      </c>
      <c r="Q175" s="158"/>
      <c r="R175" s="159" t="str">
        <f>IFERROR(__xludf.DUMMYFUNCTION("""COMPUTED_VALUE"""),"Active")</f>
        <v>Active</v>
      </c>
      <c r="S175" s="160">
        <f>IFERROR(__xludf.DUMMYFUNCTION("""COMPUTED_VALUE"""),45547.0)</f>
        <v>45547</v>
      </c>
      <c r="T175" s="162">
        <f>IFERROR(__xludf.DUMMYFUNCTION("""COMPUTED_VALUE"""),33.13333333333333)</f>
        <v>33.13333333</v>
      </c>
    </row>
    <row r="176">
      <c r="A176" s="158" t="str">
        <f>IFERROR(__xludf.DUMMYFUNCTION("""COMPUTED_VALUE"""),"Stardew Valley")</f>
        <v>Stardew Valley</v>
      </c>
      <c r="B176" s="158" t="str">
        <f>IFERROR(__xludf.DUMMYFUNCTION("""COMPUTED_VALUE"""),"Xbox / PC")</f>
        <v>Xbox / PC</v>
      </c>
      <c r="C176" s="158" t="str">
        <f>IFERROR(__xludf.DUMMYFUNCTION("""COMPUTED_VALUE"""),"Touch Controls")</f>
        <v>Touch Controls</v>
      </c>
      <c r="D176" s="159" t="str">
        <f>IFERROR(__xludf.DUMMYFUNCTION("""COMPUTED_VALUE"""),"Active")</f>
        <v>Active</v>
      </c>
      <c r="E176" s="160">
        <f>IFERROR(__xludf.DUMMYFUNCTION("""COMPUTED_VALUE"""),44532.0)</f>
        <v>44532</v>
      </c>
      <c r="F176" s="161"/>
      <c r="G176" s="162">
        <f>IFERROR(__xludf.DUMMYFUNCTION("""COMPUTED_VALUE"""),46.43333333333334)</f>
        <v>46.43333333</v>
      </c>
      <c r="H176" s="163">
        <f>IFERROR(__xludf.DUMMYFUNCTION("""COMPUTED_VALUE"""),42426.0)</f>
        <v>42426</v>
      </c>
      <c r="I176" s="162">
        <f>IFERROR(__xludf.DUMMYFUNCTION("""COMPUTED_VALUE"""),5.766666666666667)</f>
        <v>5.766666667</v>
      </c>
      <c r="J176" s="164">
        <f>IFERROR(__xludf.DUMMYFUNCTION("""COMPUTED_VALUE"""),89.0)</f>
        <v>89</v>
      </c>
      <c r="K176" s="164">
        <f>IFERROR(__xludf.DUMMYFUNCTION("""COMPUTED_VALUE"""),52.5)</f>
        <v>52.5</v>
      </c>
      <c r="L176" s="158" t="str">
        <f>IFERROR(__xludf.DUMMYFUNCTION("""COMPUTED_VALUE"""),"RPG / Simulation / Fishing / Action-Adventure")</f>
        <v>RPG / Simulation / Fishing / Action-Adventure</v>
      </c>
      <c r="M176" s="158"/>
      <c r="N176" s="158" t="str">
        <f>IFERROR(__xludf.DUMMYFUNCTION("""COMPUTED_VALUE"""),"Game Pass Essential launch title (9/14/23)")</f>
        <v>Game Pass Essential launch title (9/14/23)</v>
      </c>
      <c r="O176" s="158" t="str">
        <f>IFERROR(__xludf.DUMMYFUNCTION("""COMPUTED_VALUE"""),"E10+")</f>
        <v>E10+</v>
      </c>
      <c r="P176" s="158" t="str">
        <f>IFERROR(__xludf.DUMMYFUNCTION("""COMPUTED_VALUE"""),"Fantasy Violence, Mild Blood, Mild Language, Simulated Gambling, Use of Alcohol And Tobacco")</f>
        <v>Fantasy Violence, Mild Blood, Mild Language, Simulated Gambling, Use of Alcohol And Tobacco</v>
      </c>
      <c r="Q176" s="158"/>
      <c r="R176" s="159" t="str">
        <f>IFERROR(__xludf.DUMMYFUNCTION("""COMPUTED_VALUE"""),"Active")</f>
        <v>Active</v>
      </c>
      <c r="S176" s="160">
        <f>IFERROR(__xludf.DUMMYFUNCTION("""COMPUTED_VALUE"""),45547.0)</f>
        <v>45547</v>
      </c>
      <c r="T176" s="162">
        <f>IFERROR(__xludf.DUMMYFUNCTION("""COMPUTED_VALUE"""),33.33333333333333)</f>
        <v>33.33333333</v>
      </c>
    </row>
    <row r="177">
      <c r="A177" s="158" t="str">
        <f>IFERROR(__xludf.DUMMYFUNCTION("""COMPUTED_VALUE"""),"Forza Horizon 5")</f>
        <v>Forza Horizon 5</v>
      </c>
      <c r="B177" s="158" t="str">
        <f>IFERROR(__xludf.DUMMYFUNCTION("""COMPUTED_VALUE"""),"Xbox / PC")</f>
        <v>Xbox / PC</v>
      </c>
      <c r="C177" s="158" t="str">
        <f>IFERROR(__xludf.DUMMYFUNCTION("""COMPUTED_VALUE"""),"Yes")</f>
        <v>Yes</v>
      </c>
      <c r="D177" s="159" t="str">
        <f>IFERROR(__xludf.DUMMYFUNCTION("""COMPUTED_VALUE"""),"Active")</f>
        <v>Active</v>
      </c>
      <c r="E177" s="160">
        <f>IFERROR(__xludf.DUMMYFUNCTION("""COMPUTED_VALUE"""),44509.0)</f>
        <v>44509</v>
      </c>
      <c r="F177" s="161"/>
      <c r="G177" s="162">
        <f>IFERROR(__xludf.DUMMYFUNCTION("""COMPUTED_VALUE"""),47.199999999999996)</f>
        <v>47.2</v>
      </c>
      <c r="H177" s="163">
        <f>IFERROR(__xludf.DUMMYFUNCTION("""COMPUTED_VALUE"""),44509.0)</f>
        <v>44509</v>
      </c>
      <c r="I177" s="162">
        <f>IFERROR(__xludf.DUMMYFUNCTION("""COMPUTED_VALUE"""),0.0)</f>
        <v>0</v>
      </c>
      <c r="J177" s="164">
        <f>IFERROR(__xludf.DUMMYFUNCTION("""COMPUTED_VALUE"""),91.5)</f>
        <v>91.5</v>
      </c>
      <c r="K177" s="164">
        <f>IFERROR(__xludf.DUMMYFUNCTION("""COMPUTED_VALUE"""),17.0)</f>
        <v>17</v>
      </c>
      <c r="L177" s="158" t="str">
        <f>IFERROR(__xludf.DUMMYFUNCTION("""COMPUTED_VALUE"""),"Driving/Racing")</f>
        <v>Driving/Racing</v>
      </c>
      <c r="M177" s="158"/>
      <c r="N177" s="158"/>
      <c r="O177" s="158" t="str">
        <f>IFERROR(__xludf.DUMMYFUNCTION("""COMPUTED_VALUE"""),"E")</f>
        <v>E</v>
      </c>
      <c r="P177" s="158"/>
      <c r="Q177" s="158"/>
      <c r="R177" s="159" t="str">
        <f>IFERROR(__xludf.DUMMYFUNCTION("""COMPUTED_VALUE"""),"Active")</f>
        <v>Active</v>
      </c>
      <c r="S177" s="160">
        <f>IFERROR(__xludf.DUMMYFUNCTION("""COMPUTED_VALUE"""),45547.0)</f>
        <v>45547</v>
      </c>
      <c r="T177" s="162">
        <f>IFERROR(__xludf.DUMMYFUNCTION("""COMPUTED_VALUE"""),34.1)</f>
        <v>34.1</v>
      </c>
    </row>
    <row r="178">
      <c r="A178" s="158" t="str">
        <f>IFERROR(__xludf.DUMMYFUNCTION("""COMPUTED_VALUE"""),"It Takes Two")</f>
        <v>It Takes Two</v>
      </c>
      <c r="B178" s="158" t="str">
        <f>IFERROR(__xludf.DUMMYFUNCTION("""COMPUTED_VALUE"""),"Xbox / PC")</f>
        <v>Xbox / PC</v>
      </c>
      <c r="C178" s="158" t="str">
        <f>IFERROR(__xludf.DUMMYFUNCTION("""COMPUTED_VALUE"""),"Yes")</f>
        <v>Yes</v>
      </c>
      <c r="D178" s="159" t="str">
        <f>IFERROR(__xludf.DUMMYFUNCTION("""COMPUTED_VALUE"""),"Active")</f>
        <v>Active</v>
      </c>
      <c r="E178" s="160">
        <f>IFERROR(__xludf.DUMMYFUNCTION("""COMPUTED_VALUE"""),44504.0)</f>
        <v>44504</v>
      </c>
      <c r="F178" s="161"/>
      <c r="G178" s="162">
        <f>IFERROR(__xludf.DUMMYFUNCTION("""COMPUTED_VALUE"""),47.36666666666667)</f>
        <v>47.36666667</v>
      </c>
      <c r="H178" s="163">
        <f>IFERROR(__xludf.DUMMYFUNCTION("""COMPUTED_VALUE"""),44281.0)</f>
        <v>44281</v>
      </c>
      <c r="I178" s="162">
        <f>IFERROR(__xludf.DUMMYFUNCTION("""COMPUTED_VALUE"""),0.6055555555555555)</f>
        <v>0.6055555556</v>
      </c>
      <c r="J178" s="164">
        <f>IFERROR(__xludf.DUMMYFUNCTION("""COMPUTED_VALUE"""),88.5)</f>
        <v>88.5</v>
      </c>
      <c r="K178" s="164">
        <f>IFERROR(__xludf.DUMMYFUNCTION("""COMPUTED_VALUE"""),12.0)</f>
        <v>12</v>
      </c>
      <c r="L178" s="158" t="str">
        <f>IFERROR(__xludf.DUMMYFUNCTION("""COMPUTED_VALUE"""),"Platformer / Action-Adventure")</f>
        <v>Platformer / Action-Adventure</v>
      </c>
      <c r="M178" s="158" t="str">
        <f>IFERROR(__xludf.DUMMYFUNCTION("""COMPUTED_VALUE"""),"Optimized")</f>
        <v>Optimized</v>
      </c>
      <c r="N178" s="158"/>
      <c r="O178" s="158" t="str">
        <f>IFERROR(__xludf.DUMMYFUNCTION("""COMPUTED_VALUE"""),"T")</f>
        <v>T</v>
      </c>
      <c r="P178" s="158" t="str">
        <f>IFERROR(__xludf.DUMMYFUNCTION("""COMPUTED_VALUE"""),"Fantasy Violence, Comic Mischief, Language, Animated Blood")</f>
        <v>Fantasy Violence, Comic Mischief, Language, Animated Blood</v>
      </c>
      <c r="Q178" s="158"/>
      <c r="R178" s="159" t="str">
        <f>IFERROR(__xludf.DUMMYFUNCTION("""COMPUTED_VALUE"""),"Active")</f>
        <v>Active</v>
      </c>
      <c r="S178" s="160">
        <f>IFERROR(__xludf.DUMMYFUNCTION("""COMPUTED_VALUE"""),45547.0)</f>
        <v>45547</v>
      </c>
      <c r="T178" s="162">
        <f>IFERROR(__xludf.DUMMYFUNCTION("""COMPUTED_VALUE"""),34.266666666666666)</f>
        <v>34.26666667</v>
      </c>
    </row>
    <row r="179">
      <c r="A179" s="158" t="str">
        <f>IFERROR(__xludf.DUMMYFUNCTION("""COMPUTED_VALUE"""),"Unpacking")</f>
        <v>Unpacking</v>
      </c>
      <c r="B179" s="158" t="str">
        <f>IFERROR(__xludf.DUMMYFUNCTION("""COMPUTED_VALUE"""),"Xbox / PC")</f>
        <v>Xbox / PC</v>
      </c>
      <c r="C179" s="158" t="str">
        <f>IFERROR(__xludf.DUMMYFUNCTION("""COMPUTED_VALUE"""),"Touch Controls")</f>
        <v>Touch Controls</v>
      </c>
      <c r="D179" s="159" t="str">
        <f>IFERROR(__xludf.DUMMYFUNCTION("""COMPUTED_VALUE"""),"Active")</f>
        <v>Active</v>
      </c>
      <c r="E179" s="160">
        <f>IFERROR(__xludf.DUMMYFUNCTION("""COMPUTED_VALUE"""),44502.0)</f>
        <v>44502</v>
      </c>
      <c r="F179" s="161"/>
      <c r="G179" s="162">
        <f>IFERROR(__xludf.DUMMYFUNCTION("""COMPUTED_VALUE"""),47.43333333333334)</f>
        <v>47.43333333</v>
      </c>
      <c r="H179" s="163">
        <f>IFERROR(__xludf.DUMMYFUNCTION("""COMPUTED_VALUE"""),44502.0)</f>
        <v>44502</v>
      </c>
      <c r="I179" s="162">
        <f>IFERROR(__xludf.DUMMYFUNCTION("""COMPUTED_VALUE"""),0.0)</f>
        <v>0</v>
      </c>
      <c r="J179" s="164">
        <f>IFERROR(__xludf.DUMMYFUNCTION("""COMPUTED_VALUE"""),82.0)</f>
        <v>82</v>
      </c>
      <c r="K179" s="164">
        <f>IFERROR(__xludf.DUMMYFUNCTION("""COMPUTED_VALUE"""),3.5)</f>
        <v>3.5</v>
      </c>
      <c r="L179" s="158" t="str">
        <f>IFERROR(__xludf.DUMMYFUNCTION("""COMPUTED_VALUE"""),"Simulation / Puzzle")</f>
        <v>Simulation / Puzzle</v>
      </c>
      <c r="M179" s="158"/>
      <c r="N179" s="158" t="str">
        <f>IFERROR(__xludf.DUMMYFUNCTION("""COMPUTED_VALUE"""),"Game Pass Essential launch title (9/14/23)")</f>
        <v>Game Pass Essential launch title (9/14/23)</v>
      </c>
      <c r="O179" s="158" t="str">
        <f>IFERROR(__xludf.DUMMYFUNCTION("""COMPUTED_VALUE"""),"E")</f>
        <v>E</v>
      </c>
      <c r="P179" s="158"/>
      <c r="Q179" s="158"/>
      <c r="R179" s="159" t="str">
        <f>IFERROR(__xludf.DUMMYFUNCTION("""COMPUTED_VALUE"""),"Active")</f>
        <v>Active</v>
      </c>
      <c r="S179" s="160">
        <f>IFERROR(__xludf.DUMMYFUNCTION("""COMPUTED_VALUE"""),45547.0)</f>
        <v>45547</v>
      </c>
      <c r="T179" s="162">
        <f>IFERROR(__xludf.DUMMYFUNCTION("""COMPUTED_VALUE"""),34.333333333333336)</f>
        <v>34.33333333</v>
      </c>
    </row>
    <row r="180">
      <c r="A180" s="158" t="str">
        <f>IFERROR(__xludf.DUMMYFUNCTION("""COMPUTED_VALUE"""),"Age of Empires IV: Anniversary Edition")</f>
        <v>Age of Empires IV: Anniversary Edition</v>
      </c>
      <c r="B180" s="158" t="str">
        <f>IFERROR(__xludf.DUMMYFUNCTION("""COMPUTED_VALUE"""),"Xbox / PC")</f>
        <v>Xbox / PC</v>
      </c>
      <c r="C180" s="158" t="str">
        <f>IFERROR(__xludf.DUMMYFUNCTION("""COMPUTED_VALUE"""),"Yes")</f>
        <v>Yes</v>
      </c>
      <c r="D180" s="159" t="str">
        <f>IFERROR(__xludf.DUMMYFUNCTION("""COMPUTED_VALUE"""),"Active")</f>
        <v>Active</v>
      </c>
      <c r="E180" s="160">
        <f>IFERROR(__xludf.DUMMYFUNCTION("""COMPUTED_VALUE"""),44497.0)</f>
        <v>44497</v>
      </c>
      <c r="F180" s="161"/>
      <c r="G180" s="162">
        <f>IFERROR(__xludf.DUMMYFUNCTION("""COMPUTED_VALUE"""),47.56666666666667)</f>
        <v>47.56666667</v>
      </c>
      <c r="H180" s="163">
        <f>IFERROR(__xludf.DUMMYFUNCTION("""COMPUTED_VALUE"""),44497.0)</f>
        <v>44497</v>
      </c>
      <c r="I180" s="162">
        <f>IFERROR(__xludf.DUMMYFUNCTION("""COMPUTED_VALUE"""),0.0)</f>
        <v>0</v>
      </c>
      <c r="J180" s="164">
        <f>IFERROR(__xludf.DUMMYFUNCTION("""COMPUTED_VALUE"""),81.0)</f>
        <v>81</v>
      </c>
      <c r="K180" s="164">
        <f>IFERROR(__xludf.DUMMYFUNCTION("""COMPUTED_VALUE"""),24.5)</f>
        <v>24.5</v>
      </c>
      <c r="L180" s="158" t="str">
        <f>IFERROR(__xludf.DUMMYFUNCTION("""COMPUTED_VALUE"""),"Real-Time Strategy")</f>
        <v>Real-Time Strategy</v>
      </c>
      <c r="M180" s="158"/>
      <c r="N180" s="158" t="str">
        <f>IFERROR(__xludf.DUMMYFUNCTION("""COMPUTED_VALUE"""),"Joined PC and cloud 8/22/23")</f>
        <v>Joined PC and cloud 8/22/23</v>
      </c>
      <c r="O180" s="158" t="str">
        <f>IFERROR(__xludf.DUMMYFUNCTION("""COMPUTED_VALUE"""),"T")</f>
        <v>T</v>
      </c>
      <c r="P180" s="158" t="str">
        <f>IFERROR(__xludf.DUMMYFUNCTION("""COMPUTED_VALUE"""),"Mild Blood, Mild Violence")</f>
        <v>Mild Blood, Mild Violence</v>
      </c>
      <c r="Q180" s="158"/>
      <c r="R180" s="159" t="str">
        <f>IFERROR(__xludf.DUMMYFUNCTION("""COMPUTED_VALUE"""),"Active")</f>
        <v>Active</v>
      </c>
      <c r="S180" s="160">
        <f>IFERROR(__xludf.DUMMYFUNCTION("""COMPUTED_VALUE"""),45547.0)</f>
        <v>45547</v>
      </c>
      <c r="T180" s="162">
        <f>IFERROR(__xludf.DUMMYFUNCTION("""COMPUTED_VALUE"""),34.46666666666667)</f>
        <v>34.46666667</v>
      </c>
    </row>
    <row r="181">
      <c r="A181" s="158" t="str">
        <f>IFERROR(__xludf.DUMMYFUNCTION("""COMPUTED_VALUE"""),"Superliminal")</f>
        <v>Superliminal</v>
      </c>
      <c r="B181" s="158" t="str">
        <f>IFERROR(__xludf.DUMMYFUNCTION("""COMPUTED_VALUE"""),"Xbox / PC")</f>
        <v>Xbox / PC</v>
      </c>
      <c r="C181" s="158" t="str">
        <f>IFERROR(__xludf.DUMMYFUNCTION("""COMPUTED_VALUE"""),"Touch Controls")</f>
        <v>Touch Controls</v>
      </c>
      <c r="D181" s="159" t="str">
        <f>IFERROR(__xludf.DUMMYFUNCTION("""COMPUTED_VALUE"""),"Active")</f>
        <v>Active</v>
      </c>
      <c r="E181" s="160">
        <f>IFERROR(__xludf.DUMMYFUNCTION("""COMPUTED_VALUE"""),44455.0)</f>
        <v>44455</v>
      </c>
      <c r="F181" s="161"/>
      <c r="G181" s="162">
        <f>IFERROR(__xludf.DUMMYFUNCTION("""COMPUTED_VALUE"""),48.96666666666667)</f>
        <v>48.96666667</v>
      </c>
      <c r="H181" s="163">
        <f>IFERROR(__xludf.DUMMYFUNCTION("""COMPUTED_VALUE"""),43781.0)</f>
        <v>43781</v>
      </c>
      <c r="I181" s="162">
        <f>IFERROR(__xludf.DUMMYFUNCTION("""COMPUTED_VALUE"""),1.8444444444444446)</f>
        <v>1.844444444</v>
      </c>
      <c r="J181" s="164">
        <f>IFERROR(__xludf.DUMMYFUNCTION("""COMPUTED_VALUE"""),77.0)</f>
        <v>77</v>
      </c>
      <c r="K181" s="164">
        <f>IFERROR(__xludf.DUMMYFUNCTION("""COMPUTED_VALUE"""),2.5)</f>
        <v>2.5</v>
      </c>
      <c r="L181" s="158" t="str">
        <f>IFERROR(__xludf.DUMMYFUNCTION("""COMPUTED_VALUE"""),"Puzzle")</f>
        <v>Puzzle</v>
      </c>
      <c r="M181" s="158"/>
      <c r="N181" s="158" t="str">
        <f>IFERROR(__xludf.DUMMYFUNCTION("""COMPUTED_VALUE"""),"Game Pass Essential launch title (9/14/23)")</f>
        <v>Game Pass Essential launch title (9/14/23)</v>
      </c>
      <c r="O181" s="158" t="str">
        <f>IFERROR(__xludf.DUMMYFUNCTION("""COMPUTED_VALUE"""),"E")</f>
        <v>E</v>
      </c>
      <c r="P181" s="158" t="str">
        <f>IFERROR(__xludf.DUMMYFUNCTION("""COMPUTED_VALUE"""),"Mild Blood")</f>
        <v>Mild Blood</v>
      </c>
      <c r="Q181" s="158"/>
      <c r="R181" s="159" t="str">
        <f>IFERROR(__xludf.DUMMYFUNCTION("""COMPUTED_VALUE"""),"Active")</f>
        <v>Active</v>
      </c>
      <c r="S181" s="160">
        <f>IFERROR(__xludf.DUMMYFUNCTION("""COMPUTED_VALUE"""),45547.0)</f>
        <v>45547</v>
      </c>
      <c r="T181" s="162">
        <f>IFERROR(__xludf.DUMMYFUNCTION("""COMPUTED_VALUE"""),35.86666666666667)</f>
        <v>35.86666667</v>
      </c>
    </row>
    <row r="182">
      <c r="A182" s="158" t="str">
        <f>IFERROR(__xludf.DUMMYFUNCTION("""COMPUTED_VALUE"""),"Psychonauts 2")</f>
        <v>Psychonauts 2</v>
      </c>
      <c r="B182" s="158" t="str">
        <f>IFERROR(__xludf.DUMMYFUNCTION("""COMPUTED_VALUE"""),"Xbox / PC")</f>
        <v>Xbox / PC</v>
      </c>
      <c r="C182" s="158" t="str">
        <f>IFERROR(__xludf.DUMMYFUNCTION("""COMPUTED_VALUE"""),"Touch Controls")</f>
        <v>Touch Controls</v>
      </c>
      <c r="D182" s="159" t="str">
        <f>IFERROR(__xludf.DUMMYFUNCTION("""COMPUTED_VALUE"""),"Active")</f>
        <v>Active</v>
      </c>
      <c r="E182" s="160">
        <f>IFERROR(__xludf.DUMMYFUNCTION("""COMPUTED_VALUE"""),44433.0)</f>
        <v>44433</v>
      </c>
      <c r="F182" s="161"/>
      <c r="G182" s="162">
        <f>IFERROR(__xludf.DUMMYFUNCTION("""COMPUTED_VALUE"""),49.66666666666667)</f>
        <v>49.66666667</v>
      </c>
      <c r="H182" s="163">
        <f>IFERROR(__xludf.DUMMYFUNCTION("""COMPUTED_VALUE"""),44433.0)</f>
        <v>44433</v>
      </c>
      <c r="I182" s="162">
        <f>IFERROR(__xludf.DUMMYFUNCTION("""COMPUTED_VALUE"""),0.0)</f>
        <v>0</v>
      </c>
      <c r="J182" s="164">
        <f>IFERROR(__xludf.DUMMYFUNCTION("""COMPUTED_VALUE"""),89.0)</f>
        <v>89</v>
      </c>
      <c r="K182" s="164">
        <f>IFERROR(__xludf.DUMMYFUNCTION("""COMPUTED_VALUE"""),14.0)</f>
        <v>14</v>
      </c>
      <c r="L182" s="158" t="str">
        <f>IFERROR(__xludf.DUMMYFUNCTION("""COMPUTED_VALUE"""),"Platformer / Action-Adventure")</f>
        <v>Platformer / Action-Adventure</v>
      </c>
      <c r="M182" s="158"/>
      <c r="N182" s="158" t="str">
        <f>IFERROR(__xludf.DUMMYFUNCTION("""COMPUTED_VALUE"""),"Game Pass Essential launch title (9/14/23)")</f>
        <v>Game Pass Essential launch title (9/14/23)</v>
      </c>
      <c r="O182" s="158" t="str">
        <f>IFERROR(__xludf.DUMMYFUNCTION("""COMPUTED_VALUE"""),"T")</f>
        <v>T</v>
      </c>
      <c r="P182" s="158" t="str">
        <f>IFERROR(__xludf.DUMMYFUNCTION("""COMPUTED_VALUE"""),"Fantasy Violence, Crude Humor, Use of Tobacco, Alcohol Reference, Mild Language, Mild Suggestive Themes")</f>
        <v>Fantasy Violence, Crude Humor, Use of Tobacco, Alcohol Reference, Mild Language, Mild Suggestive Themes</v>
      </c>
      <c r="Q182" s="158"/>
      <c r="R182" s="159" t="str">
        <f>IFERROR(__xludf.DUMMYFUNCTION("""COMPUTED_VALUE"""),"Active")</f>
        <v>Active</v>
      </c>
      <c r="S182" s="160">
        <f>IFERROR(__xludf.DUMMYFUNCTION("""COMPUTED_VALUE"""),45547.0)</f>
        <v>45547</v>
      </c>
      <c r="T182" s="162">
        <f>IFERROR(__xludf.DUMMYFUNCTION("""COMPUTED_VALUE"""),36.56666666666666)</f>
        <v>36.56666667</v>
      </c>
    </row>
    <row r="183">
      <c r="A183" s="158" t="str">
        <f>IFERROR(__xludf.DUMMYFUNCTION("""COMPUTED_VALUE"""),"Quake")</f>
        <v>Quake</v>
      </c>
      <c r="B183" s="158" t="str">
        <f>IFERROR(__xludf.DUMMYFUNCTION("""COMPUTED_VALUE"""),"Xbox / PC")</f>
        <v>Xbox / PC</v>
      </c>
      <c r="C183" s="158" t="str">
        <f>IFERROR(__xludf.DUMMYFUNCTION("""COMPUTED_VALUE"""),"M+KB")</f>
        <v>M+KB</v>
      </c>
      <c r="D183" s="159" t="str">
        <f>IFERROR(__xludf.DUMMYFUNCTION("""COMPUTED_VALUE"""),"Active")</f>
        <v>Active</v>
      </c>
      <c r="E183" s="160">
        <f>IFERROR(__xludf.DUMMYFUNCTION("""COMPUTED_VALUE"""),44427.0)</f>
        <v>44427</v>
      </c>
      <c r="F183" s="161"/>
      <c r="G183" s="162">
        <f>IFERROR(__xludf.DUMMYFUNCTION("""COMPUTED_VALUE"""),49.866666666666674)</f>
        <v>49.86666667</v>
      </c>
      <c r="H183" s="163">
        <f>IFERROR(__xludf.DUMMYFUNCTION("""COMPUTED_VALUE"""),35269.0)</f>
        <v>35269</v>
      </c>
      <c r="I183" s="162">
        <f>IFERROR(__xludf.DUMMYFUNCTION("""COMPUTED_VALUE"""),25.072222222222223)</f>
        <v>25.07222222</v>
      </c>
      <c r="J183" s="164">
        <f>IFERROR(__xludf.DUMMYFUNCTION("""COMPUTED_VALUE"""),94.0)</f>
        <v>94</v>
      </c>
      <c r="K183" s="164">
        <f>IFERROR(__xludf.DUMMYFUNCTION("""COMPUTED_VALUE"""),5.5)</f>
        <v>5.5</v>
      </c>
      <c r="L183" s="158" t="str">
        <f>IFERROR(__xludf.DUMMYFUNCTION("""COMPUTED_VALUE"""),"First-Person Shooter")</f>
        <v>First-Person Shooter</v>
      </c>
      <c r="M183" s="158"/>
      <c r="N183" s="158"/>
      <c r="O183" s="158" t="str">
        <f>IFERROR(__xludf.DUMMYFUNCTION("""COMPUTED_VALUE"""),"M")</f>
        <v>M</v>
      </c>
      <c r="P183" s="158" t="str">
        <f>IFERROR(__xludf.DUMMYFUNCTION("""COMPUTED_VALUE"""),"Blood and Gore, Violence")</f>
        <v>Blood and Gore, Violence</v>
      </c>
      <c r="Q183" s="158"/>
      <c r="R183" s="159" t="str">
        <f>IFERROR(__xludf.DUMMYFUNCTION("""COMPUTED_VALUE"""),"Active")</f>
        <v>Active</v>
      </c>
      <c r="S183" s="160">
        <f>IFERROR(__xludf.DUMMYFUNCTION("""COMPUTED_VALUE"""),45547.0)</f>
        <v>45547</v>
      </c>
      <c r="T183" s="162">
        <f>IFERROR(__xludf.DUMMYFUNCTION("""COMPUTED_VALUE"""),36.766666666666666)</f>
        <v>36.76666667</v>
      </c>
    </row>
    <row r="184">
      <c r="A184" s="158" t="str">
        <f>IFERROR(__xludf.DUMMYFUNCTION("""COMPUTED_VALUE"""),"Quake II")</f>
        <v>Quake II</v>
      </c>
      <c r="B184" s="158" t="str">
        <f>IFERROR(__xludf.DUMMYFUNCTION("""COMPUTED_VALUE"""),"Xbox / PC")</f>
        <v>Xbox / PC</v>
      </c>
      <c r="C184" s="158" t="str">
        <f>IFERROR(__xludf.DUMMYFUNCTION("""COMPUTED_VALUE"""),"M+KB")</f>
        <v>M+KB</v>
      </c>
      <c r="D184" s="159" t="str">
        <f>IFERROR(__xludf.DUMMYFUNCTION("""COMPUTED_VALUE"""),"Active")</f>
        <v>Active</v>
      </c>
      <c r="E184" s="160">
        <f>IFERROR(__xludf.DUMMYFUNCTION("""COMPUTED_VALUE"""),44427.0)</f>
        <v>44427</v>
      </c>
      <c r="F184" s="161"/>
      <c r="G184" s="162">
        <f>IFERROR(__xludf.DUMMYFUNCTION("""COMPUTED_VALUE"""),49.866666666666674)</f>
        <v>49.86666667</v>
      </c>
      <c r="H184" s="163">
        <f>IFERROR(__xludf.DUMMYFUNCTION("""COMPUTED_VALUE"""),35773.0)</f>
        <v>35773</v>
      </c>
      <c r="I184" s="162">
        <f>IFERROR(__xludf.DUMMYFUNCTION("""COMPUTED_VALUE"""),23.694444444444443)</f>
        <v>23.69444444</v>
      </c>
      <c r="J184" s="164">
        <f>IFERROR(__xludf.DUMMYFUNCTION("""COMPUTED_VALUE"""),89.0)</f>
        <v>89</v>
      </c>
      <c r="K184" s="164">
        <f>IFERROR(__xludf.DUMMYFUNCTION("""COMPUTED_VALUE"""),8.0)</f>
        <v>8</v>
      </c>
      <c r="L184" s="158" t="str">
        <f>IFERROR(__xludf.DUMMYFUNCTION("""COMPUTED_VALUE"""),"Action / First-Person Shooter")</f>
        <v>Action / First-Person Shooter</v>
      </c>
      <c r="M184" s="158"/>
      <c r="N184" s="158" t="str">
        <f>IFERROR(__xludf.DUMMYFUNCTION("""COMPUTED_VALUE"""),"Joined console 8/10/23")</f>
        <v>Joined console 8/10/23</v>
      </c>
      <c r="O184" s="158" t="str">
        <f>IFERROR(__xludf.DUMMYFUNCTION("""COMPUTED_VALUE"""),"M")</f>
        <v>M</v>
      </c>
      <c r="P184" s="158" t="str">
        <f>IFERROR(__xludf.DUMMYFUNCTION("""COMPUTED_VALUE"""),"Violence, Blood and Gore, Language")</f>
        <v>Violence, Blood and Gore, Language</v>
      </c>
      <c r="Q184" s="158"/>
      <c r="R184" s="159" t="str">
        <f>IFERROR(__xludf.DUMMYFUNCTION("""COMPUTED_VALUE"""),"Active")</f>
        <v>Active</v>
      </c>
      <c r="S184" s="160">
        <f>IFERROR(__xludf.DUMMYFUNCTION("""COMPUTED_VALUE"""),45547.0)</f>
        <v>45547</v>
      </c>
      <c r="T184" s="162">
        <f>IFERROR(__xludf.DUMMYFUNCTION("""COMPUTED_VALUE"""),36.766666666666666)</f>
        <v>36.76666667</v>
      </c>
    </row>
    <row r="185">
      <c r="A185" s="158" t="str">
        <f>IFERROR(__xludf.DUMMYFUNCTION("""COMPUTED_VALUE"""),"DiRT Rally 2.0")</f>
        <v>DiRT Rally 2.0</v>
      </c>
      <c r="B185" s="158" t="str">
        <f>IFERROR(__xludf.DUMMYFUNCTION("""COMPUTED_VALUE"""),"Xbox")</f>
        <v>Xbox</v>
      </c>
      <c r="C185" s="158"/>
      <c r="D185" s="159" t="str">
        <f>IFERROR(__xludf.DUMMYFUNCTION("""COMPUTED_VALUE"""),"Active")</f>
        <v>Active</v>
      </c>
      <c r="E185" s="160">
        <f>IFERROR(__xludf.DUMMYFUNCTION("""COMPUTED_VALUE"""),44418.0)</f>
        <v>44418</v>
      </c>
      <c r="F185" s="161"/>
      <c r="G185" s="162">
        <f>IFERROR(__xludf.DUMMYFUNCTION("""COMPUTED_VALUE"""),50.166666666666664)</f>
        <v>50.16666667</v>
      </c>
      <c r="H185" s="163">
        <f>IFERROR(__xludf.DUMMYFUNCTION("""COMPUTED_VALUE"""),43522.0)</f>
        <v>43522</v>
      </c>
      <c r="I185" s="162">
        <f>IFERROR(__xludf.DUMMYFUNCTION("""COMPUTED_VALUE"""),2.4555555555555557)</f>
        <v>2.455555556</v>
      </c>
      <c r="J185" s="164">
        <f>IFERROR(__xludf.DUMMYFUNCTION("""COMPUTED_VALUE"""),82.0)</f>
        <v>82</v>
      </c>
      <c r="K185" s="164">
        <f>IFERROR(__xludf.DUMMYFUNCTION("""COMPUTED_VALUE"""),10.0)</f>
        <v>10</v>
      </c>
      <c r="L185" s="158" t="str">
        <f>IFERROR(__xludf.DUMMYFUNCTION("""COMPUTED_VALUE"""),"Driving/Racing")</f>
        <v>Driving/Racing</v>
      </c>
      <c r="M185" s="158"/>
      <c r="N185" s="158" t="str">
        <f>IFERROR(__xludf.DUMMYFUNCTION("""COMPUTED_VALUE"""),"GP: Added 9/26/19, left 9/30/20")</f>
        <v>GP: Added 9/26/19, left 9/30/20</v>
      </c>
      <c r="O185" s="158" t="str">
        <f>IFERROR(__xludf.DUMMYFUNCTION("""COMPUTED_VALUE"""),"E")</f>
        <v>E</v>
      </c>
      <c r="P185" s="158"/>
      <c r="Q185" s="158"/>
      <c r="R185" s="159" t="str">
        <f>IFERROR(__xludf.DUMMYFUNCTION("""COMPUTED_VALUE"""),"Active")</f>
        <v>Active</v>
      </c>
      <c r="S185" s="160">
        <f>IFERROR(__xludf.DUMMYFUNCTION("""COMPUTED_VALUE"""),45547.0)</f>
        <v>45547</v>
      </c>
      <c r="T185" s="162">
        <f>IFERROR(__xludf.DUMMYFUNCTION("""COMPUTED_VALUE"""),37.06666666666667)</f>
        <v>37.06666667</v>
      </c>
    </row>
    <row r="186">
      <c r="A186" s="158" t="str">
        <f>IFERROR(__xludf.DUMMYFUNCTION("""COMPUTED_VALUE"""),"Skate")</f>
        <v>Skate</v>
      </c>
      <c r="B186" s="158" t="str">
        <f>IFERROR(__xludf.DUMMYFUNCTION("""COMPUTED_VALUE"""),"Xbox")</f>
        <v>Xbox</v>
      </c>
      <c r="C186" s="158" t="str">
        <f>IFERROR(__xludf.DUMMYFUNCTION("""COMPUTED_VALUE"""),"Touch Controls")</f>
        <v>Touch Controls</v>
      </c>
      <c r="D186" s="159" t="str">
        <f>IFERROR(__xludf.DUMMYFUNCTION("""COMPUTED_VALUE"""),"Active")</f>
        <v>Active</v>
      </c>
      <c r="E186" s="160">
        <f>IFERROR(__xludf.DUMMYFUNCTION("""COMPUTED_VALUE"""),44413.0)</f>
        <v>44413</v>
      </c>
      <c r="F186" s="161"/>
      <c r="G186" s="162">
        <f>IFERROR(__xludf.DUMMYFUNCTION("""COMPUTED_VALUE"""),50.333333333333336)</f>
        <v>50.33333333</v>
      </c>
      <c r="H186" s="163">
        <f>IFERROR(__xludf.DUMMYFUNCTION("""COMPUTED_VALUE"""),39339.0)</f>
        <v>39339</v>
      </c>
      <c r="I186" s="162">
        <f>IFERROR(__xludf.DUMMYFUNCTION("""COMPUTED_VALUE"""),13.891666666666667)</f>
        <v>13.89166667</v>
      </c>
      <c r="J186" s="164">
        <f>IFERROR(__xludf.DUMMYFUNCTION("""COMPUTED_VALUE"""),86.0)</f>
        <v>86</v>
      </c>
      <c r="K186" s="164">
        <f>IFERROR(__xludf.DUMMYFUNCTION("""COMPUTED_VALUE"""),11.5)</f>
        <v>11.5</v>
      </c>
      <c r="L186" s="158" t="str">
        <f>IFERROR(__xludf.DUMMYFUNCTION("""COMPUTED_VALUE"""),"Sports / Simulation / Skateboarding")</f>
        <v>Sports / Simulation / Skateboarding</v>
      </c>
      <c r="M186" s="158"/>
      <c r="N186" s="158"/>
      <c r="O186" s="158" t="str">
        <f>IFERROR(__xludf.DUMMYFUNCTION("""COMPUTED_VALUE"""),"T")</f>
        <v>T</v>
      </c>
      <c r="P186" s="158" t="str">
        <f>IFERROR(__xludf.DUMMYFUNCTION("""COMPUTED_VALUE"""),"Mild Violence, Crude Humor, Blood and Gore, Tobacco Reference, Language")</f>
        <v>Mild Violence, Crude Humor, Blood and Gore, Tobacco Reference, Language</v>
      </c>
      <c r="Q186" s="158"/>
      <c r="R186" s="159" t="str">
        <f>IFERROR(__xludf.DUMMYFUNCTION("""COMPUTED_VALUE"""),"Active")</f>
        <v>Active</v>
      </c>
      <c r="S186" s="160">
        <f>IFERROR(__xludf.DUMMYFUNCTION("""COMPUTED_VALUE"""),45547.0)</f>
        <v>45547</v>
      </c>
      <c r="T186" s="162">
        <f>IFERROR(__xludf.DUMMYFUNCTION("""COMPUTED_VALUE"""),37.233333333333334)</f>
        <v>37.23333333</v>
      </c>
    </row>
    <row r="187">
      <c r="A187" s="158" t="str">
        <f>IFERROR(__xludf.DUMMYFUNCTION("""COMPUTED_VALUE"""),"Crimson Skies: High Road to Revenge")</f>
        <v>Crimson Skies: High Road to Revenge</v>
      </c>
      <c r="B187" s="158" t="str">
        <f>IFERROR(__xludf.DUMMYFUNCTION("""COMPUTED_VALUE"""),"Xbox")</f>
        <v>Xbox</v>
      </c>
      <c r="C187" s="158" t="str">
        <f>IFERROR(__xludf.DUMMYFUNCTION("""COMPUTED_VALUE"""),"Touch Controls")</f>
        <v>Touch Controls</v>
      </c>
      <c r="D187" s="159" t="str">
        <f>IFERROR(__xludf.DUMMYFUNCTION("""COMPUTED_VALUE"""),"Active")</f>
        <v>Active</v>
      </c>
      <c r="E187" s="160">
        <f>IFERROR(__xludf.DUMMYFUNCTION("""COMPUTED_VALUE"""),44403.0)</f>
        <v>44403</v>
      </c>
      <c r="F187" s="161"/>
      <c r="G187" s="162">
        <f>IFERROR(__xludf.DUMMYFUNCTION("""COMPUTED_VALUE"""),50.633333333333326)</f>
        <v>50.63333333</v>
      </c>
      <c r="H187" s="163">
        <f>IFERROR(__xludf.DUMMYFUNCTION("""COMPUTED_VALUE"""),37915.0)</f>
        <v>37915</v>
      </c>
      <c r="I187" s="162">
        <f>IFERROR(__xludf.DUMMYFUNCTION("""COMPUTED_VALUE"""),17.76388888888889)</f>
        <v>17.76388889</v>
      </c>
      <c r="J187" s="164">
        <f>IFERROR(__xludf.DUMMYFUNCTION("""COMPUTED_VALUE"""),88.0)</f>
        <v>88</v>
      </c>
      <c r="K187" s="164">
        <f>IFERROR(__xludf.DUMMYFUNCTION("""COMPUTED_VALUE"""),8.0)</f>
        <v>8</v>
      </c>
      <c r="L187" s="158" t="str">
        <f>IFERROR(__xludf.DUMMYFUNCTION("""COMPUTED_VALUE"""),"Flight Simulator / Vehicular Combat")</f>
        <v>Flight Simulator / Vehicular Combat</v>
      </c>
      <c r="M187" s="158"/>
      <c r="N187" s="158"/>
      <c r="O187" s="158" t="str">
        <f>IFERROR(__xludf.DUMMYFUNCTION("""COMPUTED_VALUE"""),"T")</f>
        <v>T</v>
      </c>
      <c r="P187" s="158" t="str">
        <f>IFERROR(__xludf.DUMMYFUNCTION("""COMPUTED_VALUE"""),"Xbox 360, PlayStation 3")</f>
        <v>Xbox 360, PlayStation 3</v>
      </c>
      <c r="Q187" s="158" t="str">
        <f>IFERROR(__xludf.DUMMYFUNCTION("""COMPUTED_VALUE"""),"OG Xbox")</f>
        <v>OG Xbox</v>
      </c>
      <c r="R187" s="159" t="str">
        <f>IFERROR(__xludf.DUMMYFUNCTION("""COMPUTED_VALUE"""),"Active")</f>
        <v>Active</v>
      </c>
      <c r="S187" s="160">
        <f>IFERROR(__xludf.DUMMYFUNCTION("""COMPUTED_VALUE"""),45547.0)</f>
        <v>45547</v>
      </c>
      <c r="T187" s="162">
        <f>IFERROR(__xludf.DUMMYFUNCTION("""COMPUTED_VALUE"""),37.53333333333333)</f>
        <v>37.53333333</v>
      </c>
    </row>
    <row r="188">
      <c r="A188" s="158" t="str">
        <f>IFERROR(__xludf.DUMMYFUNCTION("""COMPUTED_VALUE"""),"Blinx: The Time Sweeper")</f>
        <v>Blinx: The Time Sweeper</v>
      </c>
      <c r="B188" s="158" t="str">
        <f>IFERROR(__xludf.DUMMYFUNCTION("""COMPUTED_VALUE"""),"Xbox")</f>
        <v>Xbox</v>
      </c>
      <c r="C188" s="158" t="str">
        <f>IFERROR(__xludf.DUMMYFUNCTION("""COMPUTED_VALUE"""),"Touch Controls")</f>
        <v>Touch Controls</v>
      </c>
      <c r="D188" s="159" t="str">
        <f>IFERROR(__xludf.DUMMYFUNCTION("""COMPUTED_VALUE"""),"Active")</f>
        <v>Active</v>
      </c>
      <c r="E188" s="160">
        <f>IFERROR(__xludf.DUMMYFUNCTION("""COMPUTED_VALUE"""),44399.0)</f>
        <v>44399</v>
      </c>
      <c r="F188" s="161"/>
      <c r="G188" s="162">
        <f>IFERROR(__xludf.DUMMYFUNCTION("""COMPUTED_VALUE"""),50.766666666666666)</f>
        <v>50.76666667</v>
      </c>
      <c r="H188" s="163">
        <f>IFERROR(__xludf.DUMMYFUNCTION("""COMPUTED_VALUE"""),37536.0)</f>
        <v>37536</v>
      </c>
      <c r="I188" s="162">
        <f>IFERROR(__xludf.DUMMYFUNCTION("""COMPUTED_VALUE"""),18.791666666666668)</f>
        <v>18.79166667</v>
      </c>
      <c r="J188" s="164">
        <f>IFERROR(__xludf.DUMMYFUNCTION("""COMPUTED_VALUE"""),71.0)</f>
        <v>71</v>
      </c>
      <c r="K188" s="164">
        <f>IFERROR(__xludf.DUMMYFUNCTION("""COMPUTED_VALUE"""),10.0)</f>
        <v>10</v>
      </c>
      <c r="L188" s="158" t="str">
        <f>IFERROR(__xludf.DUMMYFUNCTION("""COMPUTED_VALUE"""),"Action")</f>
        <v>Action</v>
      </c>
      <c r="M188" s="158"/>
      <c r="N188" s="158"/>
      <c r="O188" s="158" t="str">
        <f>IFERROR(__xludf.DUMMYFUNCTION("""COMPUTED_VALUE"""),"E")</f>
        <v>E</v>
      </c>
      <c r="P188" s="158"/>
      <c r="Q188" s="158" t="str">
        <f>IFERROR(__xludf.DUMMYFUNCTION("""COMPUTED_VALUE"""),"OG Xbox")</f>
        <v>OG Xbox</v>
      </c>
      <c r="R188" s="159" t="str">
        <f>IFERROR(__xludf.DUMMYFUNCTION("""COMPUTED_VALUE"""),"Active")</f>
        <v>Active</v>
      </c>
      <c r="S188" s="160">
        <f>IFERROR(__xludf.DUMMYFUNCTION("""COMPUTED_VALUE"""),45547.0)</f>
        <v>45547</v>
      </c>
      <c r="T188" s="162">
        <f>IFERROR(__xludf.DUMMYFUNCTION("""COMPUTED_VALUE"""),37.666666666666664)</f>
        <v>37.66666667</v>
      </c>
    </row>
    <row r="189">
      <c r="A189" s="158" t="str">
        <f>IFERROR(__xludf.DUMMYFUNCTION("""COMPUTED_VALUE"""),"EA Sports UFC 4")</f>
        <v>EA Sports UFC 4</v>
      </c>
      <c r="B189" s="158" t="str">
        <f>IFERROR(__xludf.DUMMYFUNCTION("""COMPUTED_VALUE"""),"Xbox")</f>
        <v>Xbox</v>
      </c>
      <c r="C189" s="158"/>
      <c r="D189" s="159" t="str">
        <f>IFERROR(__xludf.DUMMYFUNCTION("""COMPUTED_VALUE"""),"Active")</f>
        <v>Active</v>
      </c>
      <c r="E189" s="160">
        <f>IFERROR(__xludf.DUMMYFUNCTION("""COMPUTED_VALUE"""),44385.0)</f>
        <v>44385</v>
      </c>
      <c r="F189" s="161"/>
      <c r="G189" s="162">
        <f>IFERROR(__xludf.DUMMYFUNCTION("""COMPUTED_VALUE"""),51.233333333333334)</f>
        <v>51.23333333</v>
      </c>
      <c r="H189" s="163">
        <f>IFERROR(__xludf.DUMMYFUNCTION("""COMPUTED_VALUE"""),44057.0)</f>
        <v>44057</v>
      </c>
      <c r="I189" s="162">
        <f>IFERROR(__xludf.DUMMYFUNCTION("""COMPUTED_VALUE"""),0.9)</f>
        <v>0.9</v>
      </c>
      <c r="J189" s="164">
        <f>IFERROR(__xludf.DUMMYFUNCTION("""COMPUTED_VALUE"""),82.0)</f>
        <v>82</v>
      </c>
      <c r="K189" s="164">
        <f>IFERROR(__xludf.DUMMYFUNCTION("""COMPUTED_VALUE"""),12.0)</f>
        <v>12</v>
      </c>
      <c r="L189" s="158" t="str">
        <f>IFERROR(__xludf.DUMMYFUNCTION("""COMPUTED_VALUE"""),"Sports / Fighting")</f>
        <v>Sports / Fighting</v>
      </c>
      <c r="M189" s="158" t="str">
        <f>IFERROR(__xludf.DUMMYFUNCTION("""COMPUTED_VALUE"""),"FPS Boost")</f>
        <v>FPS Boost</v>
      </c>
      <c r="N189" s="158"/>
      <c r="O189" s="158" t="str">
        <f>IFERROR(__xludf.DUMMYFUNCTION("""COMPUTED_VALUE"""),"T")</f>
        <v>T</v>
      </c>
      <c r="P189" s="158" t="str">
        <f>IFERROR(__xludf.DUMMYFUNCTION("""COMPUTED_VALUE"""),"Blood, Language, Mild Suggestive Themes, Violence")</f>
        <v>Blood, Language, Mild Suggestive Themes, Violence</v>
      </c>
      <c r="Q189" s="158"/>
      <c r="R189" s="159" t="str">
        <f>IFERROR(__xludf.DUMMYFUNCTION("""COMPUTED_VALUE"""),"Active")</f>
        <v>Active</v>
      </c>
      <c r="S189" s="160">
        <f>IFERROR(__xludf.DUMMYFUNCTION("""COMPUTED_VALUE"""),45547.0)</f>
        <v>45547</v>
      </c>
      <c r="T189" s="162">
        <f>IFERROR(__xludf.DUMMYFUNCTION("""COMPUTED_VALUE"""),38.13333333333333)</f>
        <v>38.13333333</v>
      </c>
    </row>
    <row r="190">
      <c r="A190" s="158" t="str">
        <f>IFERROR(__xludf.DUMMYFUNCTION("""COMPUTED_VALUE"""),"Gang Beasts")</f>
        <v>Gang Beasts</v>
      </c>
      <c r="B190" s="158" t="str">
        <f>IFERROR(__xludf.DUMMYFUNCTION("""COMPUTED_VALUE"""),"Xbox / PC")</f>
        <v>Xbox / PC</v>
      </c>
      <c r="C190" s="158" t="str">
        <f>IFERROR(__xludf.DUMMYFUNCTION("""COMPUTED_VALUE"""),"Yes")</f>
        <v>Yes</v>
      </c>
      <c r="D190" s="159" t="str">
        <f>IFERROR(__xludf.DUMMYFUNCTION("""COMPUTED_VALUE"""),"Active")</f>
        <v>Active</v>
      </c>
      <c r="E190" s="160">
        <f>IFERROR(__xludf.DUMMYFUNCTION("""COMPUTED_VALUE"""),44378.0)</f>
        <v>44378</v>
      </c>
      <c r="F190" s="161"/>
      <c r="G190" s="162">
        <f>IFERROR(__xludf.DUMMYFUNCTION("""COMPUTED_VALUE"""),51.46666666666667)</f>
        <v>51.46666667</v>
      </c>
      <c r="H190" s="163">
        <f>IFERROR(__xludf.DUMMYFUNCTION("""COMPUTED_VALUE"""),41880.0)</f>
        <v>41880</v>
      </c>
      <c r="I190" s="162">
        <f>IFERROR(__xludf.DUMMYFUNCTION("""COMPUTED_VALUE"""),6.838888888888889)</f>
        <v>6.838888889</v>
      </c>
      <c r="J190" s="164">
        <f>IFERROR(__xludf.DUMMYFUNCTION("""COMPUTED_VALUE"""),67.0)</f>
        <v>67</v>
      </c>
      <c r="K190" s="164">
        <f>IFERROR(__xludf.DUMMYFUNCTION("""COMPUTED_VALUE"""),3.5)</f>
        <v>3.5</v>
      </c>
      <c r="L190" s="158" t="str">
        <f>IFERROR(__xludf.DUMMYFUNCTION("""COMPUTED_VALUE"""),"Brawler")</f>
        <v>Brawler</v>
      </c>
      <c r="M190" s="158"/>
      <c r="N190" s="158" t="str">
        <f>IFERROR(__xludf.DUMMYFUNCTION("""COMPUTED_VALUE"""),"Game Pass Essential launch title (9/14/23)")</f>
        <v>Game Pass Essential launch title (9/14/23)</v>
      </c>
      <c r="O190" s="158" t="str">
        <f>IFERROR(__xludf.DUMMYFUNCTION("""COMPUTED_VALUE"""),"E10+")</f>
        <v>E10+</v>
      </c>
      <c r="P190" s="158" t="str">
        <f>IFERROR(__xludf.DUMMYFUNCTION("""COMPUTED_VALUE"""),"Cartoon Violence")</f>
        <v>Cartoon Violence</v>
      </c>
      <c r="Q190" s="158"/>
      <c r="R190" s="159" t="str">
        <f>IFERROR(__xludf.DUMMYFUNCTION("""COMPUTED_VALUE"""),"Active")</f>
        <v>Active</v>
      </c>
      <c r="S190" s="160">
        <f>IFERROR(__xludf.DUMMYFUNCTION("""COMPUTED_VALUE"""),45547.0)</f>
        <v>45547</v>
      </c>
      <c r="T190" s="162">
        <f>IFERROR(__xludf.DUMMYFUNCTION("""COMPUTED_VALUE"""),38.36666666666667)</f>
        <v>38.36666667</v>
      </c>
    </row>
    <row r="191">
      <c r="A191" s="158" t="str">
        <f>IFERROR(__xludf.DUMMYFUNCTION("""COMPUTED_VALUE"""),"Need for Speed: Hot Pursuit - Remastered")</f>
        <v>Need for Speed: Hot Pursuit - Remastered</v>
      </c>
      <c r="B191" s="158" t="str">
        <f>IFERROR(__xludf.DUMMYFUNCTION("""COMPUTED_VALUE"""),"Xbox / PC")</f>
        <v>Xbox / PC</v>
      </c>
      <c r="C191" s="158" t="str">
        <f>IFERROR(__xludf.DUMMYFUNCTION("""COMPUTED_VALUE"""),"Touch Controls")</f>
        <v>Touch Controls</v>
      </c>
      <c r="D191" s="159" t="str">
        <f>IFERROR(__xludf.DUMMYFUNCTION("""COMPUTED_VALUE"""),"Active")</f>
        <v>Active</v>
      </c>
      <c r="E191" s="160">
        <f>IFERROR(__xludf.DUMMYFUNCTION("""COMPUTED_VALUE"""),44371.0)</f>
        <v>44371</v>
      </c>
      <c r="F191" s="161"/>
      <c r="G191" s="162">
        <f>IFERROR(__xludf.DUMMYFUNCTION("""COMPUTED_VALUE"""),51.7)</f>
        <v>51.7</v>
      </c>
      <c r="H191" s="163">
        <f>IFERROR(__xludf.DUMMYFUNCTION("""COMPUTED_VALUE"""),44141.0)</f>
        <v>44141</v>
      </c>
      <c r="I191" s="162">
        <f>IFERROR(__xludf.DUMMYFUNCTION("""COMPUTED_VALUE"""),0.6333333333333333)</f>
        <v>0.6333333333</v>
      </c>
      <c r="J191" s="164">
        <f>IFERROR(__xludf.DUMMYFUNCTION("""COMPUTED_VALUE"""),76.0)</f>
        <v>76</v>
      </c>
      <c r="K191" s="164">
        <f>IFERROR(__xludf.DUMMYFUNCTION("""COMPUTED_VALUE"""),15.5)</f>
        <v>15.5</v>
      </c>
      <c r="L191" s="158" t="str">
        <f>IFERROR(__xludf.DUMMYFUNCTION("""COMPUTED_VALUE"""),"Driving/Racing")</f>
        <v>Driving/Racing</v>
      </c>
      <c r="M191" s="158"/>
      <c r="N191" s="158"/>
      <c r="O191" s="158" t="str">
        <f>IFERROR(__xludf.DUMMYFUNCTION("""COMPUTED_VALUE"""),"E10+")</f>
        <v>E10+</v>
      </c>
      <c r="P191" s="158" t="str">
        <f>IFERROR(__xludf.DUMMYFUNCTION("""COMPUTED_VALUE"""),"Mild Violence, Mild Lyrics")</f>
        <v>Mild Violence, Mild Lyrics</v>
      </c>
      <c r="Q191" s="158"/>
      <c r="R191" s="159" t="str">
        <f>IFERROR(__xludf.DUMMYFUNCTION("""COMPUTED_VALUE"""),"Active")</f>
        <v>Active</v>
      </c>
      <c r="S191" s="160">
        <f>IFERROR(__xludf.DUMMYFUNCTION("""COMPUTED_VALUE"""),45547.0)</f>
        <v>45547</v>
      </c>
      <c r="T191" s="162">
        <f>IFERROR(__xludf.DUMMYFUNCTION("""COMPUTED_VALUE"""),38.6)</f>
        <v>38.6</v>
      </c>
    </row>
    <row r="192">
      <c r="A192" s="158" t="str">
        <f>IFERROR(__xludf.DUMMYFUNCTION("""COMPUTED_VALUE"""),"Medieval Dynasty")</f>
        <v>Medieval Dynasty</v>
      </c>
      <c r="B192" s="158" t="str">
        <f>IFERROR(__xludf.DUMMYFUNCTION("""COMPUTED_VALUE"""),"Xbox / PC")</f>
        <v>Xbox / PC</v>
      </c>
      <c r="C192" s="158" t="str">
        <f>IFERROR(__xludf.DUMMYFUNCTION("""COMPUTED_VALUE"""),"Yes")</f>
        <v>Yes</v>
      </c>
      <c r="D192" s="159" t="str">
        <f>IFERROR(__xludf.DUMMYFUNCTION("""COMPUTED_VALUE"""),"Active")</f>
        <v>Active</v>
      </c>
      <c r="E192" s="160">
        <f>IFERROR(__xludf.DUMMYFUNCTION("""COMPUTED_VALUE"""),44364.0)</f>
        <v>44364</v>
      </c>
      <c r="F192" s="161"/>
      <c r="G192" s="162">
        <f>IFERROR(__xludf.DUMMYFUNCTION("""COMPUTED_VALUE"""),51.93333333333333)</f>
        <v>51.93333333</v>
      </c>
      <c r="H192" s="163">
        <f>IFERROR(__xludf.DUMMYFUNCTION("""COMPUTED_VALUE"""),44091.0)</f>
        <v>44091</v>
      </c>
      <c r="I192" s="162">
        <f>IFERROR(__xludf.DUMMYFUNCTION("""COMPUTED_VALUE"""),0.75)</f>
        <v>0.75</v>
      </c>
      <c r="J192" s="164">
        <f>IFERROR(__xludf.DUMMYFUNCTION("""COMPUTED_VALUE"""),73.0)</f>
        <v>73</v>
      </c>
      <c r="K192" s="164">
        <f>IFERROR(__xludf.DUMMYFUNCTION("""COMPUTED_VALUE"""),29.5)</f>
        <v>29.5</v>
      </c>
      <c r="L192" s="158" t="str">
        <f>IFERROR(__xludf.DUMMYFUNCTION("""COMPUTED_VALUE"""),"RPG / Simulation / Action-Adventure")</f>
        <v>RPG / Simulation / Action-Adventure</v>
      </c>
      <c r="M192" s="158"/>
      <c r="N192" s="158" t="str">
        <f>IFERROR(__xludf.DUMMYFUNCTION("""COMPUTED_VALUE"""),"Joined console and cloud 10/6/22, left game preview 9/23/21, joined xbox one 4/20/23")</f>
        <v>Joined console and cloud 10/6/22, left game preview 9/23/21, joined xbox one 4/20/23</v>
      </c>
      <c r="O192" s="158" t="str">
        <f>IFERROR(__xludf.DUMMYFUNCTION("""COMPUTED_VALUE"""),"T")</f>
        <v>T</v>
      </c>
      <c r="P192" s="158" t="str">
        <f>IFERROR(__xludf.DUMMYFUNCTION("""COMPUTED_VALUE"""),"Use of Alcohol, Blood, Suggestive Themes, Mild Language, Violence")</f>
        <v>Use of Alcohol, Blood, Suggestive Themes, Mild Language, Violence</v>
      </c>
      <c r="Q192" s="158"/>
      <c r="R192" s="159" t="str">
        <f>IFERROR(__xludf.DUMMYFUNCTION("""COMPUTED_VALUE"""),"Active")</f>
        <v>Active</v>
      </c>
      <c r="S192" s="160">
        <f>IFERROR(__xludf.DUMMYFUNCTION("""COMPUTED_VALUE"""),45547.0)</f>
        <v>45547</v>
      </c>
      <c r="T192" s="162">
        <f>IFERROR(__xludf.DUMMYFUNCTION("""COMPUTED_VALUE"""),38.833333333333336)</f>
        <v>38.83333333</v>
      </c>
    </row>
    <row r="193">
      <c r="A193" s="158" t="str">
        <f>IFERROR(__xludf.DUMMYFUNCTION("""COMPUTED_VALUE"""),"Dishonored: Death of the Outsider")</f>
        <v>Dishonored: Death of the Outsider</v>
      </c>
      <c r="B193" s="158" t="str">
        <f>IFERROR(__xludf.DUMMYFUNCTION("""COMPUTED_VALUE"""),"Xbox / PC")</f>
        <v>Xbox / PC</v>
      </c>
      <c r="C193" s="158" t="str">
        <f>IFERROR(__xludf.DUMMYFUNCTION("""COMPUTED_VALUE"""),"Yes")</f>
        <v>Yes</v>
      </c>
      <c r="D193" s="159" t="str">
        <f>IFERROR(__xludf.DUMMYFUNCTION("""COMPUTED_VALUE"""),"Active")</f>
        <v>Active</v>
      </c>
      <c r="E193" s="160">
        <f>IFERROR(__xludf.DUMMYFUNCTION("""COMPUTED_VALUE"""),44360.0)</f>
        <v>44360</v>
      </c>
      <c r="F193" s="161"/>
      <c r="G193" s="162">
        <f>IFERROR(__xludf.DUMMYFUNCTION("""COMPUTED_VALUE"""),52.06666666666666)</f>
        <v>52.06666667</v>
      </c>
      <c r="H193" s="163">
        <f>IFERROR(__xludf.DUMMYFUNCTION("""COMPUTED_VALUE"""),42993.0)</f>
        <v>42993</v>
      </c>
      <c r="I193" s="162">
        <f>IFERROR(__xludf.DUMMYFUNCTION("""COMPUTED_VALUE"""),3.7444444444444445)</f>
        <v>3.744444444</v>
      </c>
      <c r="J193" s="164">
        <f>IFERROR(__xludf.DUMMYFUNCTION("""COMPUTED_VALUE"""),82.5)</f>
        <v>82.5</v>
      </c>
      <c r="K193" s="164">
        <f>IFERROR(__xludf.DUMMYFUNCTION("""COMPUTED_VALUE"""),6.5)</f>
        <v>6.5</v>
      </c>
      <c r="L193" s="158" t="str">
        <f>IFERROR(__xludf.DUMMYFUNCTION("""COMPUTED_VALUE"""),"Action-Adventure")</f>
        <v>Action-Adventure</v>
      </c>
      <c r="M193" s="158" t="str">
        <f>IFERROR(__xludf.DUMMYFUNCTION("""COMPUTED_VALUE"""),"FPS Boost")</f>
        <v>FPS Boost</v>
      </c>
      <c r="N193" s="158"/>
      <c r="O193" s="158" t="str">
        <f>IFERROR(__xludf.DUMMYFUNCTION("""COMPUTED_VALUE"""),"M")</f>
        <v>M</v>
      </c>
      <c r="P193" s="158" t="str">
        <f>IFERROR(__xludf.DUMMYFUNCTION("""COMPUTED_VALUE"""),"Blood and Gore, Strong Language, Intense Violence")</f>
        <v>Blood and Gore, Strong Language, Intense Violence</v>
      </c>
      <c r="Q193" s="158"/>
      <c r="R193" s="159" t="str">
        <f>IFERROR(__xludf.DUMMYFUNCTION("""COMPUTED_VALUE"""),"Active")</f>
        <v>Active</v>
      </c>
      <c r="S193" s="160">
        <f>IFERROR(__xludf.DUMMYFUNCTION("""COMPUTED_VALUE"""),45547.0)</f>
        <v>45547</v>
      </c>
      <c r="T193" s="162">
        <f>IFERROR(__xludf.DUMMYFUNCTION("""COMPUTED_VALUE"""),38.96666666666667)</f>
        <v>38.96666667</v>
      </c>
    </row>
    <row r="194">
      <c r="A194" s="158" t="str">
        <f>IFERROR(__xludf.DUMMYFUNCTION("""COMPUTED_VALUE"""),"The Evil Within 2")</f>
        <v>The Evil Within 2</v>
      </c>
      <c r="B194" s="158" t="str">
        <f>IFERROR(__xludf.DUMMYFUNCTION("""COMPUTED_VALUE"""),"Xbox / PC")</f>
        <v>Xbox / PC</v>
      </c>
      <c r="C194" s="158" t="str">
        <f>IFERROR(__xludf.DUMMYFUNCTION("""COMPUTED_VALUE"""),"Yes")</f>
        <v>Yes</v>
      </c>
      <c r="D194" s="159" t="str">
        <f>IFERROR(__xludf.DUMMYFUNCTION("""COMPUTED_VALUE"""),"Active")</f>
        <v>Active</v>
      </c>
      <c r="E194" s="160">
        <f>IFERROR(__xludf.DUMMYFUNCTION("""COMPUTED_VALUE"""),44360.0)</f>
        <v>44360</v>
      </c>
      <c r="F194" s="161"/>
      <c r="G194" s="162">
        <f>IFERROR(__xludf.DUMMYFUNCTION("""COMPUTED_VALUE"""),52.06666666666666)</f>
        <v>52.06666667</v>
      </c>
      <c r="H194" s="163">
        <f>IFERROR(__xludf.DUMMYFUNCTION("""COMPUTED_VALUE"""),43021.0)</f>
        <v>43021</v>
      </c>
      <c r="I194" s="162">
        <f>IFERROR(__xludf.DUMMYFUNCTION("""COMPUTED_VALUE"""),3.6666666666666665)</f>
        <v>3.666666667</v>
      </c>
      <c r="J194" s="164">
        <f>IFERROR(__xludf.DUMMYFUNCTION("""COMPUTED_VALUE"""),81.0)</f>
        <v>81</v>
      </c>
      <c r="K194" s="164">
        <f>IFERROR(__xludf.DUMMYFUNCTION("""COMPUTED_VALUE"""),13.5)</f>
        <v>13.5</v>
      </c>
      <c r="L194" s="158" t="str">
        <f>IFERROR(__xludf.DUMMYFUNCTION("""COMPUTED_VALUE"""),"Shooter")</f>
        <v>Shooter</v>
      </c>
      <c r="M194" s="158" t="str">
        <f>IFERROR(__xludf.DUMMYFUNCTION("""COMPUTED_VALUE"""),"FPS Boost")</f>
        <v>FPS Boost</v>
      </c>
      <c r="N194" s="158"/>
      <c r="O194" s="158" t="str">
        <f>IFERROR(__xludf.DUMMYFUNCTION("""COMPUTED_VALUE"""),"M")</f>
        <v>M</v>
      </c>
      <c r="P194" s="158" t="str">
        <f>IFERROR(__xludf.DUMMYFUNCTION("""COMPUTED_VALUE"""),"Blood and Gore, Partial Nudity, Strong Language, Intense Violence")</f>
        <v>Blood and Gore, Partial Nudity, Strong Language, Intense Violence</v>
      </c>
      <c r="Q194" s="158"/>
      <c r="R194" s="159" t="str">
        <f>IFERROR(__xludf.DUMMYFUNCTION("""COMPUTED_VALUE"""),"Active")</f>
        <v>Active</v>
      </c>
      <c r="S194" s="160">
        <f>IFERROR(__xludf.DUMMYFUNCTION("""COMPUTED_VALUE"""),45547.0)</f>
        <v>45547</v>
      </c>
      <c r="T194" s="162">
        <f>IFERROR(__xludf.DUMMYFUNCTION("""COMPUTED_VALUE"""),38.96666666666667)</f>
        <v>38.96666667</v>
      </c>
    </row>
    <row r="195">
      <c r="A195" s="158" t="str">
        <f>IFERROR(__xludf.DUMMYFUNCTION("""COMPUTED_VALUE"""),"For Honor: Marching Fire Edition")</f>
        <v>For Honor: Marching Fire Edition</v>
      </c>
      <c r="B195" s="158" t="str">
        <f>IFERROR(__xludf.DUMMYFUNCTION("""COMPUTED_VALUE"""),"Xbox / PC")</f>
        <v>Xbox / PC</v>
      </c>
      <c r="C195" s="158" t="str">
        <f>IFERROR(__xludf.DUMMYFUNCTION("""COMPUTED_VALUE"""),"Yes")</f>
        <v>Yes</v>
      </c>
      <c r="D195" s="159" t="str">
        <f>IFERROR(__xludf.DUMMYFUNCTION("""COMPUTED_VALUE"""),"Active")</f>
        <v>Active</v>
      </c>
      <c r="E195" s="160">
        <f>IFERROR(__xludf.DUMMYFUNCTION("""COMPUTED_VALUE"""),44350.0)</f>
        <v>44350</v>
      </c>
      <c r="F195" s="161"/>
      <c r="G195" s="162">
        <f>IFERROR(__xludf.DUMMYFUNCTION("""COMPUTED_VALUE"""),52.39999999999999)</f>
        <v>52.4</v>
      </c>
      <c r="H195" s="163">
        <f>IFERROR(__xludf.DUMMYFUNCTION("""COMPUTED_VALUE"""),43083.0)</f>
        <v>43083</v>
      </c>
      <c r="I195" s="162">
        <f>IFERROR(__xludf.DUMMYFUNCTION("""COMPUTED_VALUE"""),3.4694444444444446)</f>
        <v>3.469444444</v>
      </c>
      <c r="J195" s="164">
        <f>IFERROR(__xludf.DUMMYFUNCTION("""COMPUTED_VALUE"""),77.5)</f>
        <v>77.5</v>
      </c>
      <c r="K195" s="164">
        <f>IFERROR(__xludf.DUMMYFUNCTION("""COMPUTED_VALUE"""),7.0)</f>
        <v>7</v>
      </c>
      <c r="L195" s="158" t="str">
        <f>IFERROR(__xludf.DUMMYFUNCTION("""COMPUTED_VALUE"""),"Action / Strategy / Fighting / MOBA")</f>
        <v>Action / Strategy / Fighting / MOBA</v>
      </c>
      <c r="M195" s="158" t="str">
        <f>IFERROR(__xludf.DUMMYFUNCTION("""COMPUTED_VALUE"""),"Optimized")</f>
        <v>Optimized</v>
      </c>
      <c r="N195" s="158" t="str">
        <f>IFERROR(__xludf.DUMMYFUNCTION("""COMPUTED_VALUE"""),"Ubisoft Connect launcher, Matching Fire Edition replaced standard version 6/1/22")</f>
        <v>Ubisoft Connect launcher, Matching Fire Edition replaced standard version 6/1/22</v>
      </c>
      <c r="O195" s="158" t="str">
        <f>IFERROR(__xludf.DUMMYFUNCTION("""COMPUTED_VALUE"""),"M")</f>
        <v>M</v>
      </c>
      <c r="P195" s="158" t="str">
        <f>IFERROR(__xludf.DUMMYFUNCTION("""COMPUTED_VALUE"""),"Blood and Gore, Intense Violence")</f>
        <v>Blood and Gore, Intense Violence</v>
      </c>
      <c r="Q195" s="158"/>
      <c r="R195" s="159" t="str">
        <f>IFERROR(__xludf.DUMMYFUNCTION("""COMPUTED_VALUE"""),"Active")</f>
        <v>Active</v>
      </c>
      <c r="S195" s="160">
        <f>IFERROR(__xludf.DUMMYFUNCTION("""COMPUTED_VALUE"""),45547.0)</f>
        <v>45547</v>
      </c>
      <c r="T195" s="162">
        <f>IFERROR(__xludf.DUMMYFUNCTION("""COMPUTED_VALUE"""),39.3)</f>
        <v>39.3</v>
      </c>
    </row>
    <row r="196">
      <c r="A196" s="158" t="str">
        <f>IFERROR(__xludf.DUMMYFUNCTION("""COMPUTED_VALUE"""),"SnowRunner")</f>
        <v>SnowRunner</v>
      </c>
      <c r="B196" s="158" t="str">
        <f>IFERROR(__xludf.DUMMYFUNCTION("""COMPUTED_VALUE"""),"Xbox / PC")</f>
        <v>Xbox / PC</v>
      </c>
      <c r="C196" s="158" t="str">
        <f>IFERROR(__xludf.DUMMYFUNCTION("""COMPUTED_VALUE"""),"Yes")</f>
        <v>Yes</v>
      </c>
      <c r="D196" s="159" t="str">
        <f>IFERROR(__xludf.DUMMYFUNCTION("""COMPUTED_VALUE"""),"Active")</f>
        <v>Active</v>
      </c>
      <c r="E196" s="160">
        <f>IFERROR(__xludf.DUMMYFUNCTION("""COMPUTED_VALUE"""),44334.0)</f>
        <v>44334</v>
      </c>
      <c r="F196" s="161"/>
      <c r="G196" s="162">
        <f>IFERROR(__xludf.DUMMYFUNCTION("""COMPUTED_VALUE"""),52.9)</f>
        <v>52.9</v>
      </c>
      <c r="H196" s="163">
        <f>IFERROR(__xludf.DUMMYFUNCTION("""COMPUTED_VALUE"""),43949.0)</f>
        <v>43949</v>
      </c>
      <c r="I196" s="162">
        <f>IFERROR(__xludf.DUMMYFUNCTION("""COMPUTED_VALUE"""),1.0555555555555556)</f>
        <v>1.055555556</v>
      </c>
      <c r="J196" s="164">
        <f>IFERROR(__xludf.DUMMYFUNCTION("""COMPUTED_VALUE"""),81.0)</f>
        <v>81</v>
      </c>
      <c r="K196" s="164">
        <f>IFERROR(__xludf.DUMMYFUNCTION("""COMPUTED_VALUE"""),90.0)</f>
        <v>90</v>
      </c>
      <c r="L196" s="158" t="str">
        <f>IFERROR(__xludf.DUMMYFUNCTION("""COMPUTED_VALUE"""),"Driving/Racing / Simulation")</f>
        <v>Driving/Racing / Simulation</v>
      </c>
      <c r="M196" s="158"/>
      <c r="N196" s="158"/>
      <c r="O196" s="158" t="str">
        <f>IFERROR(__xludf.DUMMYFUNCTION("""COMPUTED_VALUE"""),"E")</f>
        <v>E</v>
      </c>
      <c r="P196" s="158"/>
      <c r="Q196" s="158"/>
      <c r="R196" s="159" t="str">
        <f>IFERROR(__xludf.DUMMYFUNCTION("""COMPUTED_VALUE"""),"Active")</f>
        <v>Active</v>
      </c>
      <c r="S196" s="160">
        <f>IFERROR(__xludf.DUMMYFUNCTION("""COMPUTED_VALUE"""),45547.0)</f>
        <v>45547</v>
      </c>
      <c r="T196" s="162">
        <f>IFERROR(__xludf.DUMMYFUNCTION("""COMPUTED_VALUE"""),39.800000000000004)</f>
        <v>39.8</v>
      </c>
    </row>
    <row r="197">
      <c r="A197" s="158" t="str">
        <f>IFERROR(__xludf.DUMMYFUNCTION("""COMPUTED_VALUE"""),"Psychonauts")</f>
        <v>Psychonauts</v>
      </c>
      <c r="B197" s="158" t="str">
        <f>IFERROR(__xludf.DUMMYFUNCTION("""COMPUTED_VALUE"""),"Xbox / PC")</f>
        <v>Xbox / PC</v>
      </c>
      <c r="C197" s="158" t="str">
        <f>IFERROR(__xludf.DUMMYFUNCTION("""COMPUTED_VALUE"""),"Touch Controls")</f>
        <v>Touch Controls</v>
      </c>
      <c r="D197" s="159" t="str">
        <f>IFERROR(__xludf.DUMMYFUNCTION("""COMPUTED_VALUE"""),"Active")</f>
        <v>Active</v>
      </c>
      <c r="E197" s="160">
        <f>IFERROR(__xludf.DUMMYFUNCTION("""COMPUTED_VALUE"""),44329.0)</f>
        <v>44329</v>
      </c>
      <c r="F197" s="161"/>
      <c r="G197" s="162">
        <f>IFERROR(__xludf.DUMMYFUNCTION("""COMPUTED_VALUE"""),53.06666666666667)</f>
        <v>53.06666667</v>
      </c>
      <c r="H197" s="163">
        <f>IFERROR(__xludf.DUMMYFUNCTION("""COMPUTED_VALUE"""),38461.0)</f>
        <v>38461</v>
      </c>
      <c r="I197" s="162">
        <f>IFERROR(__xludf.DUMMYFUNCTION("""COMPUTED_VALUE"""),16.066666666666666)</f>
        <v>16.06666667</v>
      </c>
      <c r="J197" s="164">
        <f>IFERROR(__xludf.DUMMYFUNCTION("""COMPUTED_VALUE"""),87.5)</f>
        <v>87.5</v>
      </c>
      <c r="K197" s="164">
        <f>IFERROR(__xludf.DUMMYFUNCTION("""COMPUTED_VALUE"""),12.5)</f>
        <v>12.5</v>
      </c>
      <c r="L197" s="158" t="str">
        <f>IFERROR(__xludf.DUMMYFUNCTION("""COMPUTED_VALUE"""),"Platformer / Action-Adventure")</f>
        <v>Platformer / Action-Adventure</v>
      </c>
      <c r="M197" s="158"/>
      <c r="N197" s="158" t="str">
        <f>IFERROR(__xludf.DUMMYFUNCTION("""COMPUTED_VALUE"""),"Official PC Mod Support")</f>
        <v>Official PC Mod Support</v>
      </c>
      <c r="O197" s="158" t="str">
        <f>IFERROR(__xludf.DUMMYFUNCTION("""COMPUTED_VALUE"""),"T")</f>
        <v>T</v>
      </c>
      <c r="P197" s="158" t="str">
        <f>IFERROR(__xludf.DUMMYFUNCTION("""COMPUTED_VALUE"""),"Crude Humor, Language, Cartoon Violence")</f>
        <v>Crude Humor, Language, Cartoon Violence</v>
      </c>
      <c r="Q197" s="158" t="str">
        <f>IFERROR(__xludf.DUMMYFUNCTION("""COMPUTED_VALUE"""),"OG Xbox")</f>
        <v>OG Xbox</v>
      </c>
      <c r="R197" s="159" t="str">
        <f>IFERROR(__xludf.DUMMYFUNCTION("""COMPUTED_VALUE"""),"Active")</f>
        <v>Active</v>
      </c>
      <c r="S197" s="160">
        <f>IFERROR(__xludf.DUMMYFUNCTION("""COMPUTED_VALUE"""),45547.0)</f>
        <v>45547</v>
      </c>
      <c r="T197" s="162">
        <f>IFERROR(__xludf.DUMMYFUNCTION("""COMPUTED_VALUE"""),39.96666666666667)</f>
        <v>39.96666667</v>
      </c>
    </row>
    <row r="198">
      <c r="A198" s="158" t="str">
        <f>IFERROR(__xludf.DUMMYFUNCTION("""COMPUTED_VALUE"""),"Zombie Army 4: Dead War")</f>
        <v>Zombie Army 4: Dead War</v>
      </c>
      <c r="B198" s="158" t="str">
        <f>IFERROR(__xludf.DUMMYFUNCTION("""COMPUTED_VALUE"""),"Xbox / PC")</f>
        <v>Xbox / PC</v>
      </c>
      <c r="C198" s="158" t="str">
        <f>IFERROR(__xludf.DUMMYFUNCTION("""COMPUTED_VALUE"""),"M+KB")</f>
        <v>M+KB</v>
      </c>
      <c r="D198" s="159" t="str">
        <f>IFERROR(__xludf.DUMMYFUNCTION("""COMPUTED_VALUE"""),"Active")</f>
        <v>Active</v>
      </c>
      <c r="E198" s="160">
        <f>IFERROR(__xludf.DUMMYFUNCTION("""COMPUTED_VALUE"""),44294.0)</f>
        <v>44294</v>
      </c>
      <c r="F198" s="161"/>
      <c r="G198" s="162">
        <f>IFERROR(__xludf.DUMMYFUNCTION("""COMPUTED_VALUE"""),54.233333333333334)</f>
        <v>54.23333333</v>
      </c>
      <c r="H198" s="163">
        <f>IFERROR(__xludf.DUMMYFUNCTION("""COMPUTED_VALUE"""),43865.0)</f>
        <v>43865</v>
      </c>
      <c r="I198" s="162">
        <f>IFERROR(__xludf.DUMMYFUNCTION("""COMPUTED_VALUE"""),1.1777777777777778)</f>
        <v>1.177777778</v>
      </c>
      <c r="J198" s="164">
        <f>IFERROR(__xludf.DUMMYFUNCTION("""COMPUTED_VALUE"""),75.5)</f>
        <v>75.5</v>
      </c>
      <c r="K198" s="164">
        <f>IFERROR(__xludf.DUMMYFUNCTION("""COMPUTED_VALUE"""),11.5)</f>
        <v>11.5</v>
      </c>
      <c r="L198" s="158" t="str">
        <f>IFERROR(__xludf.DUMMYFUNCTION("""COMPUTED_VALUE"""),"First-Person Shooter / Action-Adventure")</f>
        <v>First-Person Shooter / Action-Adventure</v>
      </c>
      <c r="M198" s="158" t="str">
        <f>IFERROR(__xludf.DUMMYFUNCTION("""COMPUTED_VALUE"""),"Optimized")</f>
        <v>Optimized</v>
      </c>
      <c r="N198" s="158"/>
      <c r="O198" s="158" t="str">
        <f>IFERROR(__xludf.DUMMYFUNCTION("""COMPUTED_VALUE"""),"M")</f>
        <v>M</v>
      </c>
      <c r="P198" s="158" t="str">
        <f>IFERROR(__xludf.DUMMYFUNCTION("""COMPUTED_VALUE"""),"Blood and Gore, Language, Intense Violence")</f>
        <v>Blood and Gore, Language, Intense Violence</v>
      </c>
      <c r="Q198" s="158"/>
      <c r="R198" s="159" t="str">
        <f>IFERROR(__xludf.DUMMYFUNCTION("""COMPUTED_VALUE"""),"Active")</f>
        <v>Active</v>
      </c>
      <c r="S198" s="160">
        <f>IFERROR(__xludf.DUMMYFUNCTION("""COMPUTED_VALUE"""),45547.0)</f>
        <v>45547</v>
      </c>
      <c r="T198" s="162">
        <f>IFERROR(__xludf.DUMMYFUNCTION("""COMPUTED_VALUE"""),41.13333333333333)</f>
        <v>41.13333333</v>
      </c>
    </row>
    <row r="199">
      <c r="A199" s="158" t="str">
        <f>IFERROR(__xludf.DUMMYFUNCTION("""COMPUTED_VALUE"""),"Genesis Noir")</f>
        <v>Genesis Noir</v>
      </c>
      <c r="B199" s="158" t="str">
        <f>IFERROR(__xludf.DUMMYFUNCTION("""COMPUTED_VALUE"""),"Xbox / PC")</f>
        <v>Xbox / PC</v>
      </c>
      <c r="C199" s="158" t="str">
        <f>IFERROR(__xludf.DUMMYFUNCTION("""COMPUTED_VALUE"""),"Touch Controls")</f>
        <v>Touch Controls</v>
      </c>
      <c r="D199" s="159" t="str">
        <f>IFERROR(__xludf.DUMMYFUNCTION("""COMPUTED_VALUE"""),"Active")</f>
        <v>Active</v>
      </c>
      <c r="E199" s="160">
        <f>IFERROR(__xludf.DUMMYFUNCTION("""COMPUTED_VALUE"""),44280.0)</f>
        <v>44280</v>
      </c>
      <c r="F199" s="161"/>
      <c r="G199" s="162">
        <f>IFERROR(__xludf.DUMMYFUNCTION("""COMPUTED_VALUE"""),54.666666666666664)</f>
        <v>54.66666667</v>
      </c>
      <c r="H199" s="163">
        <f>IFERROR(__xludf.DUMMYFUNCTION("""COMPUTED_VALUE"""),44280.0)</f>
        <v>44280</v>
      </c>
      <c r="I199" s="162">
        <f>IFERROR(__xludf.DUMMYFUNCTION("""COMPUTED_VALUE"""),0.0)</f>
        <v>0</v>
      </c>
      <c r="J199" s="164">
        <f>IFERROR(__xludf.DUMMYFUNCTION("""COMPUTED_VALUE"""),79.0)</f>
        <v>79</v>
      </c>
      <c r="K199" s="164">
        <f>IFERROR(__xludf.DUMMYFUNCTION("""COMPUTED_VALUE"""),4.5)</f>
        <v>4.5</v>
      </c>
      <c r="L199" s="158" t="str">
        <f>IFERROR(__xludf.DUMMYFUNCTION("""COMPUTED_VALUE"""),"Adventure")</f>
        <v>Adventure</v>
      </c>
      <c r="M199" s="158"/>
      <c r="N199" s="158"/>
      <c r="O199" s="158" t="str">
        <f>IFERROR(__xludf.DUMMYFUNCTION("""COMPUTED_VALUE"""),"T")</f>
        <v>T</v>
      </c>
      <c r="P199" s="158" t="str">
        <f>IFERROR(__xludf.DUMMYFUNCTION("""COMPUTED_VALUE"""),"Mild Blood, Mild Violence, Sexual Themes, Use of Alcohol And Tobacco")</f>
        <v>Mild Blood, Mild Violence, Sexual Themes, Use of Alcohol And Tobacco</v>
      </c>
      <c r="Q199" s="158"/>
      <c r="R199" s="159" t="str">
        <f>IFERROR(__xludf.DUMMYFUNCTION("""COMPUTED_VALUE"""),"Active")</f>
        <v>Active</v>
      </c>
      <c r="S199" s="160">
        <f>IFERROR(__xludf.DUMMYFUNCTION("""COMPUTED_VALUE"""),45547.0)</f>
        <v>45547</v>
      </c>
      <c r="T199" s="162">
        <f>IFERROR(__xludf.DUMMYFUNCTION("""COMPUTED_VALUE"""),41.56666666666667)</f>
        <v>41.56666667</v>
      </c>
    </row>
    <row r="200">
      <c r="A200" s="158" t="str">
        <f>IFERROR(__xludf.DUMMYFUNCTION("""COMPUTED_VALUE"""),"Star Wars Squadrons")</f>
        <v>Star Wars Squadrons</v>
      </c>
      <c r="B200" s="158" t="str">
        <f>IFERROR(__xludf.DUMMYFUNCTION("""COMPUTED_VALUE"""),"Xbox / PC")</f>
        <v>Xbox / PC</v>
      </c>
      <c r="C200" s="158" t="str">
        <f>IFERROR(__xludf.DUMMYFUNCTION("""COMPUTED_VALUE"""),"Touch Controls")</f>
        <v>Touch Controls</v>
      </c>
      <c r="D200" s="159" t="str">
        <f>IFERROR(__xludf.DUMMYFUNCTION("""COMPUTED_VALUE"""),"Active")</f>
        <v>Active</v>
      </c>
      <c r="E200" s="160">
        <f>IFERROR(__xludf.DUMMYFUNCTION("""COMPUTED_VALUE"""),44273.0)</f>
        <v>44273</v>
      </c>
      <c r="F200" s="161"/>
      <c r="G200" s="162">
        <f>IFERROR(__xludf.DUMMYFUNCTION("""COMPUTED_VALUE"""),54.900000000000006)</f>
        <v>54.9</v>
      </c>
      <c r="H200" s="163">
        <f>IFERROR(__xludf.DUMMYFUNCTION("""COMPUTED_VALUE"""),44106.0)</f>
        <v>44106</v>
      </c>
      <c r="I200" s="162">
        <f>IFERROR(__xludf.DUMMYFUNCTION("""COMPUTED_VALUE"""),0.46111111111111114)</f>
        <v>0.4611111111</v>
      </c>
      <c r="J200" s="164">
        <f>IFERROR(__xludf.DUMMYFUNCTION("""COMPUTED_VALUE"""),78.5)</f>
        <v>78.5</v>
      </c>
      <c r="K200" s="164">
        <f>IFERROR(__xludf.DUMMYFUNCTION("""COMPUTED_VALUE"""),9.0)</f>
        <v>9</v>
      </c>
      <c r="L200" s="158" t="str">
        <f>IFERROR(__xludf.DUMMYFUNCTION("""COMPUTED_VALUE"""),"Action / Flight Simulator")</f>
        <v>Action / Flight Simulator</v>
      </c>
      <c r="M200" s="158" t="str">
        <f>IFERROR(__xludf.DUMMYFUNCTION("""COMPUTED_VALUE"""),"Optimized")</f>
        <v>Optimized</v>
      </c>
      <c r="N200" s="158" t="str">
        <f>IFERROR(__xludf.DUMMYFUNCTION("""COMPUTED_VALUE"""),"Added to cloud 4/7/22")</f>
        <v>Added to cloud 4/7/22</v>
      </c>
      <c r="O200" s="158" t="str">
        <f>IFERROR(__xludf.DUMMYFUNCTION("""COMPUTED_VALUE"""),"T")</f>
        <v>T</v>
      </c>
      <c r="P200" s="158" t="str">
        <f>IFERROR(__xludf.DUMMYFUNCTION("""COMPUTED_VALUE"""),"Fantasy Violence, Mild Language")</f>
        <v>Fantasy Violence, Mild Language</v>
      </c>
      <c r="Q200" s="158"/>
      <c r="R200" s="159" t="str">
        <f>IFERROR(__xludf.DUMMYFUNCTION("""COMPUTED_VALUE"""),"Active")</f>
        <v>Active</v>
      </c>
      <c r="S200" s="160">
        <f>IFERROR(__xludf.DUMMYFUNCTION("""COMPUTED_VALUE"""),45547.0)</f>
        <v>45547</v>
      </c>
      <c r="T200" s="162">
        <f>IFERROR(__xludf.DUMMYFUNCTION("""COMPUTED_VALUE"""),41.8)</f>
        <v>41.8</v>
      </c>
    </row>
    <row r="201">
      <c r="A201" s="158" t="str">
        <f>IFERROR(__xludf.DUMMYFUNCTION("""COMPUTED_VALUE"""),"Dishonored: Definitive Edition")</f>
        <v>Dishonored: Definitive Edition</v>
      </c>
      <c r="B201" s="158" t="str">
        <f>IFERROR(__xludf.DUMMYFUNCTION("""COMPUTED_VALUE"""),"Xbox / PC")</f>
        <v>Xbox / PC</v>
      </c>
      <c r="C201" s="158" t="str">
        <f>IFERROR(__xludf.DUMMYFUNCTION("""COMPUTED_VALUE"""),"Yes")</f>
        <v>Yes</v>
      </c>
      <c r="D201" s="159" t="str">
        <f>IFERROR(__xludf.DUMMYFUNCTION("""COMPUTED_VALUE"""),"Active")</f>
        <v>Active</v>
      </c>
      <c r="E201" s="160">
        <f>IFERROR(__xludf.DUMMYFUNCTION("""COMPUTED_VALUE"""),44267.0)</f>
        <v>44267</v>
      </c>
      <c r="F201" s="161"/>
      <c r="G201" s="162">
        <f>IFERROR(__xludf.DUMMYFUNCTION("""COMPUTED_VALUE"""),55.1)</f>
        <v>55.1</v>
      </c>
      <c r="H201" s="163">
        <f>IFERROR(__xludf.DUMMYFUNCTION("""COMPUTED_VALUE"""),43337.0)</f>
        <v>43337</v>
      </c>
      <c r="I201" s="162">
        <f>IFERROR(__xludf.DUMMYFUNCTION("""COMPUTED_VALUE"""),2.547222222222222)</f>
        <v>2.547222222</v>
      </c>
      <c r="J201" s="164">
        <f>IFERROR(__xludf.DUMMYFUNCTION("""COMPUTED_VALUE"""),76.0)</f>
        <v>76</v>
      </c>
      <c r="K201" s="164">
        <f>IFERROR(__xludf.DUMMYFUNCTION("""COMPUTED_VALUE"""),12.5)</f>
        <v>12.5</v>
      </c>
      <c r="L201" s="158" t="str">
        <f>IFERROR(__xludf.DUMMYFUNCTION("""COMPUTED_VALUE"""),"RPG / First-Person Shooter / Action-Adventure")</f>
        <v>RPG / First-Person Shooter / Action-Adventure</v>
      </c>
      <c r="M201" s="158" t="str">
        <f>IFERROR(__xludf.DUMMYFUNCTION("""COMPUTED_VALUE"""),"FPS Boost")</f>
        <v>FPS Boost</v>
      </c>
      <c r="N201" s="158"/>
      <c r="O201" s="158" t="str">
        <f>IFERROR(__xludf.DUMMYFUNCTION("""COMPUTED_VALUE"""),"M")</f>
        <v>M</v>
      </c>
      <c r="P201" s="158" t="str">
        <f>IFERROR(__xludf.DUMMYFUNCTION("""COMPUTED_VALUE"""),"Blood and Gore, Sexual Themes, Strong Language, Intense Violence")</f>
        <v>Blood and Gore, Sexual Themes, Strong Language, Intense Violence</v>
      </c>
      <c r="Q201" s="158"/>
      <c r="R201" s="159" t="str">
        <f>IFERROR(__xludf.DUMMYFUNCTION("""COMPUTED_VALUE"""),"Active")</f>
        <v>Active</v>
      </c>
      <c r="S201" s="160">
        <f>IFERROR(__xludf.DUMMYFUNCTION("""COMPUTED_VALUE"""),45547.0)</f>
        <v>45547</v>
      </c>
      <c r="T201" s="162">
        <f>IFERROR(__xludf.DUMMYFUNCTION("""COMPUTED_VALUE"""),42.0)</f>
        <v>42</v>
      </c>
    </row>
    <row r="202">
      <c r="A202" s="158" t="str">
        <f>IFERROR(__xludf.DUMMYFUNCTION("""COMPUTED_VALUE"""),"DOOM 3")</f>
        <v>DOOM 3</v>
      </c>
      <c r="B202" s="158" t="str">
        <f>IFERROR(__xludf.DUMMYFUNCTION("""COMPUTED_VALUE"""),"Xbox / PC")</f>
        <v>Xbox / PC</v>
      </c>
      <c r="C202" s="158" t="str">
        <f>IFERROR(__xludf.DUMMYFUNCTION("""COMPUTED_VALUE"""),"Yes")</f>
        <v>Yes</v>
      </c>
      <c r="D202" s="159" t="str">
        <f>IFERROR(__xludf.DUMMYFUNCTION("""COMPUTED_VALUE"""),"Active")</f>
        <v>Active</v>
      </c>
      <c r="E202" s="160">
        <f>IFERROR(__xludf.DUMMYFUNCTION("""COMPUTED_VALUE"""),44267.0)</f>
        <v>44267</v>
      </c>
      <c r="F202" s="161"/>
      <c r="G202" s="162">
        <f>IFERROR(__xludf.DUMMYFUNCTION("""COMPUTED_VALUE"""),55.1)</f>
        <v>55.1</v>
      </c>
      <c r="H202" s="163">
        <f>IFERROR(__xludf.DUMMYFUNCTION("""COMPUTED_VALUE"""),38202.0)</f>
        <v>38202</v>
      </c>
      <c r="I202" s="162">
        <f>IFERROR(__xludf.DUMMYFUNCTION("""COMPUTED_VALUE"""),16.608333333333334)</f>
        <v>16.60833333</v>
      </c>
      <c r="J202" s="164">
        <f>IFERROR(__xludf.DUMMYFUNCTION("""COMPUTED_VALUE"""),88.0)</f>
        <v>88</v>
      </c>
      <c r="K202" s="164">
        <f>IFERROR(__xludf.DUMMYFUNCTION("""COMPUTED_VALUE"""),11.0)</f>
        <v>11</v>
      </c>
      <c r="L202" s="158" t="str">
        <f>IFERROR(__xludf.DUMMYFUNCTION("""COMPUTED_VALUE"""),"First-Person Shooter")</f>
        <v>First-Person Shooter</v>
      </c>
      <c r="M202" s="158"/>
      <c r="N202" s="158"/>
      <c r="O202" s="158" t="str">
        <f>IFERROR(__xludf.DUMMYFUNCTION("""COMPUTED_VALUE"""),"M")</f>
        <v>M</v>
      </c>
      <c r="P202" s="158" t="str">
        <f>IFERROR(__xludf.DUMMYFUNCTION("""COMPUTED_VALUE"""),"Intense Violence, Blood and Gore")</f>
        <v>Intense Violence, Blood and Gore</v>
      </c>
      <c r="Q202" s="158"/>
      <c r="R202" s="159" t="str">
        <f>IFERROR(__xludf.DUMMYFUNCTION("""COMPUTED_VALUE"""),"Active")</f>
        <v>Active</v>
      </c>
      <c r="S202" s="160">
        <f>IFERROR(__xludf.DUMMYFUNCTION("""COMPUTED_VALUE"""),45547.0)</f>
        <v>45547</v>
      </c>
      <c r="T202" s="162">
        <f>IFERROR(__xludf.DUMMYFUNCTION("""COMPUTED_VALUE"""),42.0)</f>
        <v>42</v>
      </c>
    </row>
    <row r="203">
      <c r="A203" s="158" t="str">
        <f>IFERROR(__xludf.DUMMYFUNCTION("""COMPUTED_VALUE"""),"DOOM 64")</f>
        <v>DOOM 64</v>
      </c>
      <c r="B203" s="158" t="str">
        <f>IFERROR(__xludf.DUMMYFUNCTION("""COMPUTED_VALUE"""),"Xbox / PC")</f>
        <v>Xbox / PC</v>
      </c>
      <c r="C203" s="158" t="str">
        <f>IFERROR(__xludf.DUMMYFUNCTION("""COMPUTED_VALUE"""),"M+KB")</f>
        <v>M+KB</v>
      </c>
      <c r="D203" s="159" t="str">
        <f>IFERROR(__xludf.DUMMYFUNCTION("""COMPUTED_VALUE"""),"Active")</f>
        <v>Active</v>
      </c>
      <c r="E203" s="160">
        <f>IFERROR(__xludf.DUMMYFUNCTION("""COMPUTED_VALUE"""),44267.0)</f>
        <v>44267</v>
      </c>
      <c r="F203" s="161"/>
      <c r="G203" s="162">
        <f>IFERROR(__xludf.DUMMYFUNCTION("""COMPUTED_VALUE"""),55.1)</f>
        <v>55.1</v>
      </c>
      <c r="H203" s="163">
        <f>IFERROR(__xludf.DUMMYFUNCTION("""COMPUTED_VALUE"""),35520.0)</f>
        <v>35520</v>
      </c>
      <c r="I203" s="162">
        <f>IFERROR(__xludf.DUMMYFUNCTION("""COMPUTED_VALUE"""),23.95)</f>
        <v>23.95</v>
      </c>
      <c r="J203" s="164">
        <f>IFERROR(__xludf.DUMMYFUNCTION("""COMPUTED_VALUE"""),77.0)</f>
        <v>77</v>
      </c>
      <c r="K203" s="164">
        <f>IFERROR(__xludf.DUMMYFUNCTION("""COMPUTED_VALUE"""),7.0)</f>
        <v>7</v>
      </c>
      <c r="L203" s="158" t="str">
        <f>IFERROR(__xludf.DUMMYFUNCTION("""COMPUTED_VALUE"""),"First-Person Shooter")</f>
        <v>First-Person Shooter</v>
      </c>
      <c r="M203" s="158"/>
      <c r="N203" s="158"/>
      <c r="O203" s="158" t="str">
        <f>IFERROR(__xludf.DUMMYFUNCTION("""COMPUTED_VALUE"""),"M")</f>
        <v>M</v>
      </c>
      <c r="P203" s="158" t="str">
        <f>IFERROR(__xludf.DUMMYFUNCTION("""COMPUTED_VALUE"""),"Violence, Blood and Gore")</f>
        <v>Violence, Blood and Gore</v>
      </c>
      <c r="Q203" s="158"/>
      <c r="R203" s="159" t="str">
        <f>IFERROR(__xludf.DUMMYFUNCTION("""COMPUTED_VALUE"""),"Active")</f>
        <v>Active</v>
      </c>
      <c r="S203" s="160">
        <f>IFERROR(__xludf.DUMMYFUNCTION("""COMPUTED_VALUE"""),45547.0)</f>
        <v>45547</v>
      </c>
      <c r="T203" s="162">
        <f>IFERROR(__xludf.DUMMYFUNCTION("""COMPUTED_VALUE"""),42.0)</f>
        <v>42</v>
      </c>
    </row>
    <row r="204">
      <c r="A204" s="158" t="str">
        <f>IFERROR(__xludf.DUMMYFUNCTION("""COMPUTED_VALUE"""),"Generation Zero")</f>
        <v>Generation Zero</v>
      </c>
      <c r="B204" s="158" t="str">
        <f>IFERROR(__xludf.DUMMYFUNCTION("""COMPUTED_VALUE"""),"Xbox / PC")</f>
        <v>Xbox / PC</v>
      </c>
      <c r="C204" s="158" t="str">
        <f>IFERROR(__xludf.DUMMYFUNCTION("""COMPUTED_VALUE"""),"Yes")</f>
        <v>Yes</v>
      </c>
      <c r="D204" s="159" t="str">
        <f>IFERROR(__xludf.DUMMYFUNCTION("""COMPUTED_VALUE"""),"Active")</f>
        <v>Active</v>
      </c>
      <c r="E204" s="160">
        <f>IFERROR(__xludf.DUMMYFUNCTION("""COMPUTED_VALUE"""),44531.0)</f>
        <v>44531</v>
      </c>
      <c r="F204" s="161"/>
      <c r="G204" s="162">
        <f>IFERROR(__xludf.DUMMYFUNCTION("""COMPUTED_VALUE"""),46.46666666666667)</f>
        <v>46.46666667</v>
      </c>
      <c r="H204" s="163">
        <f>IFERROR(__xludf.DUMMYFUNCTION("""COMPUTED_VALUE"""),43550.0)</f>
        <v>43550</v>
      </c>
      <c r="I204" s="162">
        <f>IFERROR(__xludf.DUMMYFUNCTION("""COMPUTED_VALUE"""),2.6805555555555554)</f>
        <v>2.680555556</v>
      </c>
      <c r="J204" s="164">
        <f>IFERROR(__xludf.DUMMYFUNCTION("""COMPUTED_VALUE"""),50.5)</f>
        <v>50.5</v>
      </c>
      <c r="K204" s="164">
        <f>IFERROR(__xludf.DUMMYFUNCTION("""COMPUTED_VALUE"""),21.5)</f>
        <v>21.5</v>
      </c>
      <c r="L204" s="158" t="str">
        <f>IFERROR(__xludf.DUMMYFUNCTION("""COMPUTED_VALUE"""),"First-Person Shooter")</f>
        <v>First-Person Shooter</v>
      </c>
      <c r="M204" s="158"/>
      <c r="N204" s="158"/>
      <c r="O204" s="158" t="str">
        <f>IFERROR(__xludf.DUMMYFUNCTION("""COMPUTED_VALUE"""),"T")</f>
        <v>T</v>
      </c>
      <c r="P204" s="158" t="str">
        <f>IFERROR(__xludf.DUMMYFUNCTION("""COMPUTED_VALUE"""),"Violence, Language")</f>
        <v>Violence, Language</v>
      </c>
      <c r="Q204" s="158"/>
      <c r="R204" s="159" t="str">
        <f>IFERROR(__xludf.DUMMYFUNCTION("""COMPUTED_VALUE"""),"Active")</f>
        <v>Active</v>
      </c>
      <c r="S204" s="160">
        <f>IFERROR(__xludf.DUMMYFUNCTION("""COMPUTED_VALUE"""),45547.0)</f>
        <v>45547</v>
      </c>
      <c r="T204" s="162">
        <f>IFERROR(__xludf.DUMMYFUNCTION("""COMPUTED_VALUE"""),33.36666666666667)</f>
        <v>33.36666667</v>
      </c>
    </row>
    <row r="205">
      <c r="A205" s="158" t="str">
        <f>IFERROR(__xludf.DUMMYFUNCTION("""COMPUTED_VALUE"""),"The Elder Scrolls III: Morrowind")</f>
        <v>The Elder Scrolls III: Morrowind</v>
      </c>
      <c r="B205" s="158" t="str">
        <f>IFERROR(__xludf.DUMMYFUNCTION("""COMPUTED_VALUE"""),"Xbox / PC")</f>
        <v>Xbox / PC</v>
      </c>
      <c r="C205" s="158" t="str">
        <f>IFERROR(__xludf.DUMMYFUNCTION("""COMPUTED_VALUE"""),"Yes")</f>
        <v>Yes</v>
      </c>
      <c r="D205" s="159" t="str">
        <f>IFERROR(__xludf.DUMMYFUNCTION("""COMPUTED_VALUE"""),"Active")</f>
        <v>Active</v>
      </c>
      <c r="E205" s="160">
        <f>IFERROR(__xludf.DUMMYFUNCTION("""COMPUTED_VALUE"""),44267.0)</f>
        <v>44267</v>
      </c>
      <c r="F205" s="161"/>
      <c r="G205" s="162">
        <f>IFERROR(__xludf.DUMMYFUNCTION("""COMPUTED_VALUE"""),55.1)</f>
        <v>55.1</v>
      </c>
      <c r="H205" s="163">
        <f>IFERROR(__xludf.DUMMYFUNCTION("""COMPUTED_VALUE"""),37377.0)</f>
        <v>37377</v>
      </c>
      <c r="I205" s="162">
        <f>IFERROR(__xludf.DUMMYFUNCTION("""COMPUTED_VALUE"""),18.863888888888887)</f>
        <v>18.86388889</v>
      </c>
      <c r="J205" s="164">
        <f>IFERROR(__xludf.DUMMYFUNCTION("""COMPUTED_VALUE"""),88.0)</f>
        <v>88</v>
      </c>
      <c r="K205" s="164">
        <f>IFERROR(__xludf.DUMMYFUNCTION("""COMPUTED_VALUE"""),44.5)</f>
        <v>44.5</v>
      </c>
      <c r="L205" s="158" t="str">
        <f>IFERROR(__xludf.DUMMYFUNCTION("""COMPUTED_VALUE"""),"RPG")</f>
        <v>RPG</v>
      </c>
      <c r="M205" s="158"/>
      <c r="N205" s="158" t="str">
        <f>IFERROR(__xludf.DUMMYFUNCTION("""COMPUTED_VALUE"""),"Official PC Mod Support")</f>
        <v>Official PC Mod Support</v>
      </c>
      <c r="O205" s="158" t="str">
        <f>IFERROR(__xludf.DUMMYFUNCTION("""COMPUTED_VALUE"""),"T")</f>
        <v>T</v>
      </c>
      <c r="P205" s="158" t="str">
        <f>IFERROR(__xludf.DUMMYFUNCTION("""COMPUTED_VALUE"""),"Violence")</f>
        <v>Violence</v>
      </c>
      <c r="Q205" s="158" t="str">
        <f>IFERROR(__xludf.DUMMYFUNCTION("""COMPUTED_VALUE"""),"OG Xbox")</f>
        <v>OG Xbox</v>
      </c>
      <c r="R205" s="159" t="str">
        <f>IFERROR(__xludf.DUMMYFUNCTION("""COMPUTED_VALUE"""),"Active")</f>
        <v>Active</v>
      </c>
      <c r="S205" s="160">
        <f>IFERROR(__xludf.DUMMYFUNCTION("""COMPUTED_VALUE"""),45547.0)</f>
        <v>45547</v>
      </c>
      <c r="T205" s="162">
        <f>IFERROR(__xludf.DUMMYFUNCTION("""COMPUTED_VALUE"""),42.0)</f>
        <v>42</v>
      </c>
    </row>
    <row r="206">
      <c r="A206" s="158" t="str">
        <f>IFERROR(__xludf.DUMMYFUNCTION("""COMPUTED_VALUE"""),"The Evil Within")</f>
        <v>The Evil Within</v>
      </c>
      <c r="B206" s="158" t="str">
        <f>IFERROR(__xludf.DUMMYFUNCTION("""COMPUTED_VALUE"""),"Xbox / PC")</f>
        <v>Xbox / PC</v>
      </c>
      <c r="C206" s="158" t="str">
        <f>IFERROR(__xludf.DUMMYFUNCTION("""COMPUTED_VALUE"""),"Yes")</f>
        <v>Yes</v>
      </c>
      <c r="D206" s="159" t="str">
        <f>IFERROR(__xludf.DUMMYFUNCTION("""COMPUTED_VALUE"""),"Active")</f>
        <v>Active</v>
      </c>
      <c r="E206" s="160">
        <f>IFERROR(__xludf.DUMMYFUNCTION("""COMPUTED_VALUE"""),44267.0)</f>
        <v>44267</v>
      </c>
      <c r="F206" s="161"/>
      <c r="G206" s="162">
        <f>IFERROR(__xludf.DUMMYFUNCTION("""COMPUTED_VALUE"""),55.1)</f>
        <v>55.1</v>
      </c>
      <c r="H206" s="163">
        <f>IFERROR(__xludf.DUMMYFUNCTION("""COMPUTED_VALUE"""),41926.0)</f>
        <v>41926</v>
      </c>
      <c r="I206" s="162">
        <f>IFERROR(__xludf.DUMMYFUNCTION("""COMPUTED_VALUE"""),6.411111111111111)</f>
        <v>6.411111111</v>
      </c>
      <c r="J206" s="164">
        <f>IFERROR(__xludf.DUMMYFUNCTION("""COMPUTED_VALUE"""),73.5)</f>
        <v>73.5</v>
      </c>
      <c r="K206" s="164">
        <f>IFERROR(__xludf.DUMMYFUNCTION("""COMPUTED_VALUE"""),16.0)</f>
        <v>16</v>
      </c>
      <c r="L206" s="158" t="str">
        <f>IFERROR(__xludf.DUMMYFUNCTION("""COMPUTED_VALUE"""),"Shooter")</f>
        <v>Shooter</v>
      </c>
      <c r="M206" s="158"/>
      <c r="N206" s="158"/>
      <c r="O206" s="158" t="str">
        <f>IFERROR(__xludf.DUMMYFUNCTION("""COMPUTED_VALUE"""),"M")</f>
        <v>M</v>
      </c>
      <c r="P206" s="158" t="str">
        <f>IFERROR(__xludf.DUMMYFUNCTION("""COMPUTED_VALUE"""),"Blood and Gore, Strong Language, Intense Violence")</f>
        <v>Blood and Gore, Strong Language, Intense Violence</v>
      </c>
      <c r="Q206" s="158"/>
      <c r="R206" s="159" t="str">
        <f>IFERROR(__xludf.DUMMYFUNCTION("""COMPUTED_VALUE"""),"Active")</f>
        <v>Active</v>
      </c>
      <c r="S206" s="160">
        <f>IFERROR(__xludf.DUMMYFUNCTION("""COMPUTED_VALUE"""),45547.0)</f>
        <v>45547</v>
      </c>
      <c r="T206" s="162">
        <f>IFERROR(__xludf.DUMMYFUNCTION("""COMPUTED_VALUE"""),42.0)</f>
        <v>42</v>
      </c>
    </row>
    <row r="207">
      <c r="A207" s="158" t="str">
        <f>IFERROR(__xludf.DUMMYFUNCTION("""COMPUTED_VALUE"""),"Wolfenstein: The Old Blood")</f>
        <v>Wolfenstein: The Old Blood</v>
      </c>
      <c r="B207" s="158" t="str">
        <f>IFERROR(__xludf.DUMMYFUNCTION("""COMPUTED_VALUE"""),"Xbox / PC")</f>
        <v>Xbox / PC</v>
      </c>
      <c r="C207" s="158" t="str">
        <f>IFERROR(__xludf.DUMMYFUNCTION("""COMPUTED_VALUE"""),"Yes")</f>
        <v>Yes</v>
      </c>
      <c r="D207" s="159" t="str">
        <f>IFERROR(__xludf.DUMMYFUNCTION("""COMPUTED_VALUE"""),"Active")</f>
        <v>Active</v>
      </c>
      <c r="E207" s="160">
        <f>IFERROR(__xludf.DUMMYFUNCTION("""COMPUTED_VALUE"""),44267.0)</f>
        <v>44267</v>
      </c>
      <c r="F207" s="161"/>
      <c r="G207" s="162">
        <f>IFERROR(__xludf.DUMMYFUNCTION("""COMPUTED_VALUE"""),55.1)</f>
        <v>55.1</v>
      </c>
      <c r="H207" s="163">
        <f>IFERROR(__xludf.DUMMYFUNCTION("""COMPUTED_VALUE"""),42129.0)</f>
        <v>42129</v>
      </c>
      <c r="I207" s="162">
        <f>IFERROR(__xludf.DUMMYFUNCTION("""COMPUTED_VALUE"""),5.852777777777778)</f>
        <v>5.852777778</v>
      </c>
      <c r="J207" s="164">
        <f>IFERROR(__xludf.DUMMYFUNCTION("""COMPUTED_VALUE"""),75.5)</f>
        <v>75.5</v>
      </c>
      <c r="K207" s="164">
        <f>IFERROR(__xludf.DUMMYFUNCTION("""COMPUTED_VALUE"""),6.0)</f>
        <v>6</v>
      </c>
      <c r="L207" s="158" t="str">
        <f>IFERROR(__xludf.DUMMYFUNCTION("""COMPUTED_VALUE"""),"First-Person Shooter")</f>
        <v>First-Person Shooter</v>
      </c>
      <c r="M207" s="158"/>
      <c r="N207" s="158"/>
      <c r="O207" s="158" t="str">
        <f>IFERROR(__xludf.DUMMYFUNCTION("""COMPUTED_VALUE"""),"M")</f>
        <v>M</v>
      </c>
      <c r="P207" s="158" t="str">
        <f>IFERROR(__xludf.DUMMYFUNCTION("""COMPUTED_VALUE"""),"Blood and Gore, Intense Violence, Strong Language")</f>
        <v>Blood and Gore, Intense Violence, Strong Language</v>
      </c>
      <c r="Q207" s="158"/>
      <c r="R207" s="159" t="str">
        <f>IFERROR(__xludf.DUMMYFUNCTION("""COMPUTED_VALUE"""),"Active")</f>
        <v>Active</v>
      </c>
      <c r="S207" s="160">
        <f>IFERROR(__xludf.DUMMYFUNCTION("""COMPUTED_VALUE"""),45547.0)</f>
        <v>45547</v>
      </c>
      <c r="T207" s="162">
        <f>IFERROR(__xludf.DUMMYFUNCTION("""COMPUTED_VALUE"""),42.0)</f>
        <v>42</v>
      </c>
    </row>
    <row r="208">
      <c r="A208" s="158" t="str">
        <f>IFERROR(__xludf.DUMMYFUNCTION("""COMPUTED_VALUE"""),"DiRT 5")</f>
        <v>DiRT 5</v>
      </c>
      <c r="B208" s="158" t="str">
        <f>IFERROR(__xludf.DUMMYFUNCTION("""COMPUTED_VALUE"""),"Xbox / PC")</f>
        <v>Xbox / PC</v>
      </c>
      <c r="C208" s="158" t="str">
        <f>IFERROR(__xludf.DUMMYFUNCTION("""COMPUTED_VALUE"""),"Touch Controls")</f>
        <v>Touch Controls</v>
      </c>
      <c r="D208" s="159" t="str">
        <f>IFERROR(__xludf.DUMMYFUNCTION("""COMPUTED_VALUE"""),"Active")</f>
        <v>Active</v>
      </c>
      <c r="E208" s="160">
        <f>IFERROR(__xludf.DUMMYFUNCTION("""COMPUTED_VALUE"""),44252.0)</f>
        <v>44252</v>
      </c>
      <c r="F208" s="161"/>
      <c r="G208" s="162">
        <f>IFERROR(__xludf.DUMMYFUNCTION("""COMPUTED_VALUE"""),55.66666666666667)</f>
        <v>55.66666667</v>
      </c>
      <c r="H208" s="163">
        <f>IFERROR(__xludf.DUMMYFUNCTION("""COMPUTED_VALUE"""),44120.0)</f>
        <v>44120</v>
      </c>
      <c r="I208" s="162">
        <f>IFERROR(__xludf.DUMMYFUNCTION("""COMPUTED_VALUE"""),0.35833333333333334)</f>
        <v>0.3583333333</v>
      </c>
      <c r="J208" s="164">
        <f>IFERROR(__xludf.DUMMYFUNCTION("""COMPUTED_VALUE"""),79.33333333333333)</f>
        <v>79.33333333</v>
      </c>
      <c r="K208" s="164">
        <f>IFERROR(__xludf.DUMMYFUNCTION("""COMPUTED_VALUE"""),8.0)</f>
        <v>8</v>
      </c>
      <c r="L208" s="158" t="str">
        <f>IFERROR(__xludf.DUMMYFUNCTION("""COMPUTED_VALUE"""),"Driving/Racing")</f>
        <v>Driving/Racing</v>
      </c>
      <c r="M208" s="158" t="str">
        <f>IFERROR(__xludf.DUMMYFUNCTION("""COMPUTED_VALUE"""),"Optimized")</f>
        <v>Optimized</v>
      </c>
      <c r="N208" s="158" t="str">
        <f>IFERROR(__xludf.DUMMYFUNCTION("""COMPUTED_VALUE"""),"Joined EA Play 8/10/21")</f>
        <v>Joined EA Play 8/10/21</v>
      </c>
      <c r="O208" s="158" t="str">
        <f>IFERROR(__xludf.DUMMYFUNCTION("""COMPUTED_VALUE"""),"E")</f>
        <v>E</v>
      </c>
      <c r="P208" s="158"/>
      <c r="Q208" s="158"/>
      <c r="R208" s="159" t="str">
        <f>IFERROR(__xludf.DUMMYFUNCTION("""COMPUTED_VALUE"""),"Active")</f>
        <v>Active</v>
      </c>
      <c r="S208" s="160">
        <f>IFERROR(__xludf.DUMMYFUNCTION("""COMPUTED_VALUE"""),45547.0)</f>
        <v>45547</v>
      </c>
      <c r="T208" s="162">
        <f>IFERROR(__xludf.DUMMYFUNCTION("""COMPUTED_VALUE"""),42.56666666666666)</f>
        <v>42.56666667</v>
      </c>
    </row>
    <row r="209">
      <c r="A209" s="158" t="str">
        <f>IFERROR(__xludf.DUMMYFUNCTION("""COMPUTED_VALUE"""),"Pillars of Eternity II: Deadfire - Ultimate Edition")</f>
        <v>Pillars of Eternity II: Deadfire - Ultimate Edition</v>
      </c>
      <c r="B209" s="158" t="str">
        <f>IFERROR(__xludf.DUMMYFUNCTION("""COMPUTED_VALUE"""),"Xbox / PC")</f>
        <v>Xbox / PC</v>
      </c>
      <c r="C209" s="158" t="str">
        <f>IFERROR(__xludf.DUMMYFUNCTION("""COMPUTED_VALUE"""),"Touch Controls")</f>
        <v>Touch Controls</v>
      </c>
      <c r="D209" s="159" t="str">
        <f>IFERROR(__xludf.DUMMYFUNCTION("""COMPUTED_VALUE"""),"Active")</f>
        <v>Active</v>
      </c>
      <c r="E209" s="160">
        <f>IFERROR(__xludf.DUMMYFUNCTION("""COMPUTED_VALUE"""),44245.0)</f>
        <v>44245</v>
      </c>
      <c r="F209" s="161"/>
      <c r="G209" s="162">
        <f>IFERROR(__xludf.DUMMYFUNCTION("""COMPUTED_VALUE"""),55.9)</f>
        <v>55.9</v>
      </c>
      <c r="H209" s="163">
        <f>IFERROR(__xludf.DUMMYFUNCTION("""COMPUTED_VALUE"""),43228.0)</f>
        <v>43228</v>
      </c>
      <c r="I209" s="162">
        <f>IFERROR(__xludf.DUMMYFUNCTION("""COMPUTED_VALUE"""),2.7777777777777777)</f>
        <v>2.777777778</v>
      </c>
      <c r="J209" s="164">
        <f>IFERROR(__xludf.DUMMYFUNCTION("""COMPUTED_VALUE"""),88.0)</f>
        <v>88</v>
      </c>
      <c r="K209" s="164">
        <f>IFERROR(__xludf.DUMMYFUNCTION("""COMPUTED_VALUE"""),42.0)</f>
        <v>42</v>
      </c>
      <c r="L209" s="158" t="str">
        <f>IFERROR(__xludf.DUMMYFUNCTION("""COMPUTED_VALUE"""),"RPG")</f>
        <v>RPG</v>
      </c>
      <c r="M209" s="158"/>
      <c r="N209" s="158" t="str">
        <f>IFERROR(__xludf.DUMMYFUNCTION("""COMPUTED_VALUE"""),"Official PC Mod Support")</f>
        <v>Official PC Mod Support</v>
      </c>
      <c r="O209" s="158" t="str">
        <f>IFERROR(__xludf.DUMMYFUNCTION("""COMPUTED_VALUE"""),"M")</f>
        <v>M</v>
      </c>
      <c r="P209" s="158" t="str">
        <f>IFERROR(__xludf.DUMMYFUNCTION("""COMPUTED_VALUE"""),"Nudity, Blood and Gore, Sexual Themes, Strong Language, Violence")</f>
        <v>Nudity, Blood and Gore, Sexual Themes, Strong Language, Violence</v>
      </c>
      <c r="Q209" s="158"/>
      <c r="R209" s="159" t="str">
        <f>IFERROR(__xludf.DUMMYFUNCTION("""COMPUTED_VALUE"""),"Active")</f>
        <v>Active</v>
      </c>
      <c r="S209" s="160">
        <f>IFERROR(__xludf.DUMMYFUNCTION("""COMPUTED_VALUE"""),45547.0)</f>
        <v>45547</v>
      </c>
      <c r="T209" s="162">
        <f>IFERROR(__xludf.DUMMYFUNCTION("""COMPUTED_VALUE"""),42.800000000000004)</f>
        <v>42.8</v>
      </c>
    </row>
    <row r="210">
      <c r="A210" s="158" t="str">
        <f>IFERROR(__xludf.DUMMYFUNCTION("""COMPUTED_VALUE"""),"Wreckfest")</f>
        <v>Wreckfest</v>
      </c>
      <c r="B210" s="158" t="str">
        <f>IFERROR(__xludf.DUMMYFUNCTION("""COMPUTED_VALUE"""),"Xbox / PC")</f>
        <v>Xbox / PC</v>
      </c>
      <c r="C210" s="158" t="str">
        <f>IFERROR(__xludf.DUMMYFUNCTION("""COMPUTED_VALUE"""),"Touch Controls")</f>
        <v>Touch Controls</v>
      </c>
      <c r="D210" s="159" t="str">
        <f>IFERROR(__xludf.DUMMYFUNCTION("""COMPUTED_VALUE"""),"Active")</f>
        <v>Active</v>
      </c>
      <c r="E210" s="160">
        <f>IFERROR(__xludf.DUMMYFUNCTION("""COMPUTED_VALUE"""),44245.0)</f>
        <v>44245</v>
      </c>
      <c r="F210" s="161"/>
      <c r="G210" s="162">
        <f>IFERROR(__xludf.DUMMYFUNCTION("""COMPUTED_VALUE"""),55.9)</f>
        <v>55.9</v>
      </c>
      <c r="H210" s="163">
        <f>IFERROR(__xludf.DUMMYFUNCTION("""COMPUTED_VALUE"""),43265.0)</f>
        <v>43265</v>
      </c>
      <c r="I210" s="162">
        <f>IFERROR(__xludf.DUMMYFUNCTION("""COMPUTED_VALUE"""),2.6777777777777776)</f>
        <v>2.677777778</v>
      </c>
      <c r="J210" s="164">
        <f>IFERROR(__xludf.DUMMYFUNCTION("""COMPUTED_VALUE"""),82.0)</f>
        <v>82</v>
      </c>
      <c r="K210" s="164">
        <f>IFERROR(__xludf.DUMMYFUNCTION("""COMPUTED_VALUE"""),19.5)</f>
        <v>19.5</v>
      </c>
      <c r="L210" s="158" t="str">
        <f>IFERROR(__xludf.DUMMYFUNCTION("""COMPUTED_VALUE"""),"Driving/Racing")</f>
        <v>Driving/Racing</v>
      </c>
      <c r="M210" s="158"/>
      <c r="N210" s="158" t="str">
        <f>IFERROR(__xludf.DUMMYFUNCTION("""COMPUTED_VALUE"""),"Game Pass Essential (4/23/24)")</f>
        <v>Game Pass Essential (4/23/24)</v>
      </c>
      <c r="O210" s="158" t="str">
        <f>IFERROR(__xludf.DUMMYFUNCTION("""COMPUTED_VALUE"""),"T")</f>
        <v>T</v>
      </c>
      <c r="P210" s="158" t="str">
        <f>IFERROR(__xludf.DUMMYFUNCTION("""COMPUTED_VALUE"""),"Mild Violence, Mild Lyrics")</f>
        <v>Mild Violence, Mild Lyrics</v>
      </c>
      <c r="Q210" s="158"/>
      <c r="R210" s="159" t="str">
        <f>IFERROR(__xludf.DUMMYFUNCTION("""COMPUTED_VALUE"""),"Active")</f>
        <v>Active</v>
      </c>
      <c r="S210" s="160">
        <f>IFERROR(__xludf.DUMMYFUNCTION("""COMPUTED_VALUE"""),45547.0)</f>
        <v>45547</v>
      </c>
      <c r="T210" s="162">
        <f>IFERROR(__xludf.DUMMYFUNCTION("""COMPUTED_VALUE"""),42.800000000000004)</f>
        <v>42.8</v>
      </c>
    </row>
    <row r="211">
      <c r="A211" s="158" t="str">
        <f>IFERROR(__xludf.DUMMYFUNCTION("""COMPUTED_VALUE"""),"Injustice 2")</f>
        <v>Injustice 2</v>
      </c>
      <c r="B211" s="158" t="str">
        <f>IFERROR(__xludf.DUMMYFUNCTION("""COMPUTED_VALUE"""),"Xbox / PC")</f>
        <v>Xbox / PC</v>
      </c>
      <c r="C211" s="158" t="str">
        <f>IFERROR(__xludf.DUMMYFUNCTION("""COMPUTED_VALUE"""),"Yes")</f>
        <v>Yes</v>
      </c>
      <c r="D211" s="159" t="str">
        <f>IFERROR(__xludf.DUMMYFUNCTION("""COMPUTED_VALUE"""),"Active")</f>
        <v>Active</v>
      </c>
      <c r="E211" s="160">
        <f>IFERROR(__xludf.DUMMYFUNCTION("""COMPUTED_VALUE"""),44203.0)</f>
        <v>44203</v>
      </c>
      <c r="F211" s="161"/>
      <c r="G211" s="162">
        <f>IFERROR(__xludf.DUMMYFUNCTION("""COMPUTED_VALUE"""),57.266666666666666)</f>
        <v>57.26666667</v>
      </c>
      <c r="H211" s="163">
        <f>IFERROR(__xludf.DUMMYFUNCTION("""COMPUTED_VALUE"""),42871.0)</f>
        <v>42871</v>
      </c>
      <c r="I211" s="162">
        <f>IFERROR(__xludf.DUMMYFUNCTION("""COMPUTED_VALUE"""),3.6416666666666666)</f>
        <v>3.641666667</v>
      </c>
      <c r="J211" s="164">
        <f>IFERROR(__xludf.DUMMYFUNCTION("""COMPUTED_VALUE"""),87.5)</f>
        <v>87.5</v>
      </c>
      <c r="K211" s="164">
        <f>IFERROR(__xludf.DUMMYFUNCTION("""COMPUTED_VALUE"""),5.5)</f>
        <v>5.5</v>
      </c>
      <c r="L211" s="158" t="str">
        <f>IFERROR(__xludf.DUMMYFUNCTION("""COMPUTED_VALUE"""),"Fighting")</f>
        <v>Fighting</v>
      </c>
      <c r="M211" s="158"/>
      <c r="N211" s="158"/>
      <c r="O211" s="158" t="str">
        <f>IFERROR(__xludf.DUMMYFUNCTION("""COMPUTED_VALUE"""),"T")</f>
        <v>T</v>
      </c>
      <c r="P211" s="158" t="str">
        <f>IFERROR(__xludf.DUMMYFUNCTION("""COMPUTED_VALUE"""),"Blood, Suggestive Themes, Alcohol Reference, Violence, Language")</f>
        <v>Blood, Suggestive Themes, Alcohol Reference, Violence, Language</v>
      </c>
      <c r="Q211" s="158"/>
      <c r="R211" s="159" t="str">
        <f>IFERROR(__xludf.DUMMYFUNCTION("""COMPUTED_VALUE"""),"Active")</f>
        <v>Active</v>
      </c>
      <c r="S211" s="160">
        <f>IFERROR(__xludf.DUMMYFUNCTION("""COMPUTED_VALUE"""),45547.0)</f>
        <v>45547</v>
      </c>
      <c r="T211" s="162">
        <f>IFERROR(__xludf.DUMMYFUNCTION("""COMPUTED_VALUE"""),44.166666666666664)</f>
        <v>44.16666667</v>
      </c>
    </row>
    <row r="212">
      <c r="A212" s="158" t="str">
        <f>IFERROR(__xludf.DUMMYFUNCTION("""COMPUTED_VALUE"""),"Among Us")</f>
        <v>Among Us</v>
      </c>
      <c r="B212" s="158" t="str">
        <f>IFERROR(__xludf.DUMMYFUNCTION("""COMPUTED_VALUE"""),"Xbox / PC")</f>
        <v>Xbox / PC</v>
      </c>
      <c r="C212" s="158" t="str">
        <f>IFERROR(__xludf.DUMMYFUNCTION("""COMPUTED_VALUE"""),"Touch Controls")</f>
        <v>Touch Controls</v>
      </c>
      <c r="D212" s="159" t="str">
        <f>IFERROR(__xludf.DUMMYFUNCTION("""COMPUTED_VALUE"""),"Active")</f>
        <v>Active</v>
      </c>
      <c r="E212" s="160">
        <f>IFERROR(__xludf.DUMMYFUNCTION("""COMPUTED_VALUE"""),44182.0)</f>
        <v>44182</v>
      </c>
      <c r="F212" s="161"/>
      <c r="G212" s="162">
        <f>IFERROR(__xludf.DUMMYFUNCTION("""COMPUTED_VALUE"""),57.93333333333333)</f>
        <v>57.93333333</v>
      </c>
      <c r="H212" s="163">
        <f>IFERROR(__xludf.DUMMYFUNCTION("""COMPUTED_VALUE"""),43267.0)</f>
        <v>43267</v>
      </c>
      <c r="I212" s="162">
        <f>IFERROR(__xludf.DUMMYFUNCTION("""COMPUTED_VALUE"""),2.5027777777777778)</f>
        <v>2.502777778</v>
      </c>
      <c r="J212" s="164">
        <f>IFERROR(__xludf.DUMMYFUNCTION("""COMPUTED_VALUE"""),85.0)</f>
        <v>85</v>
      </c>
      <c r="K212" s="164">
        <f>IFERROR(__xludf.DUMMYFUNCTION("""COMPUTED_VALUE"""),14.0)</f>
        <v>14</v>
      </c>
      <c r="L212" s="158" t="str">
        <f>IFERROR(__xludf.DUMMYFUNCTION("""COMPUTED_VALUE"""),"Strategy")</f>
        <v>Strategy</v>
      </c>
      <c r="M212" s="158"/>
      <c r="N212" s="158" t="str">
        <f>IFERROR(__xludf.DUMMYFUNCTION("""COMPUTED_VALUE"""),"Game Pass Essential launch title (9/14/23), Joined console and cloud 12/14/21")</f>
        <v>Game Pass Essential launch title (9/14/23), Joined console and cloud 12/14/21</v>
      </c>
      <c r="O212" s="158" t="str">
        <f>IFERROR(__xludf.DUMMYFUNCTION("""COMPUTED_VALUE"""),"E10+")</f>
        <v>E10+</v>
      </c>
      <c r="P212" s="158" t="str">
        <f>IFERROR(__xludf.DUMMYFUNCTION("""COMPUTED_VALUE"""),"Fantasy Violence, Mild Blood")</f>
        <v>Fantasy Violence, Mild Blood</v>
      </c>
      <c r="Q212" s="158"/>
      <c r="R212" s="159" t="str">
        <f>IFERROR(__xludf.DUMMYFUNCTION("""COMPUTED_VALUE"""),"Active")</f>
        <v>Active</v>
      </c>
      <c r="S212" s="160">
        <f>IFERROR(__xludf.DUMMYFUNCTION("""COMPUTED_VALUE"""),45547.0)</f>
        <v>45547</v>
      </c>
      <c r="T212" s="162">
        <f>IFERROR(__xludf.DUMMYFUNCTION("""COMPUTED_VALUE"""),44.833333333333336)</f>
        <v>44.83333333</v>
      </c>
    </row>
    <row r="213">
      <c r="A213" s="158" t="str">
        <f>IFERROR(__xludf.DUMMYFUNCTION("""COMPUTED_VALUE"""),"The Elder Scrolls V: Skyrim Special Edition")</f>
        <v>The Elder Scrolls V: Skyrim Special Edition</v>
      </c>
      <c r="B213" s="158" t="str">
        <f>IFERROR(__xludf.DUMMYFUNCTION("""COMPUTED_VALUE"""),"Xbox / PC")</f>
        <v>Xbox / PC</v>
      </c>
      <c r="C213" s="158" t="str">
        <f>IFERROR(__xludf.DUMMYFUNCTION("""COMPUTED_VALUE"""),"Yes")</f>
        <v>Yes</v>
      </c>
      <c r="D213" s="159" t="str">
        <f>IFERROR(__xludf.DUMMYFUNCTION("""COMPUTED_VALUE"""),"Active")</f>
        <v>Active</v>
      </c>
      <c r="E213" s="160">
        <f>IFERROR(__xludf.DUMMYFUNCTION("""COMPUTED_VALUE"""),44180.0)</f>
        <v>44180</v>
      </c>
      <c r="F213" s="161"/>
      <c r="G213" s="162">
        <f>IFERROR(__xludf.DUMMYFUNCTION("""COMPUTED_VALUE"""),58.0)</f>
        <v>58</v>
      </c>
      <c r="H213" s="163">
        <f>IFERROR(__xludf.DUMMYFUNCTION("""COMPUTED_VALUE"""),42671.0)</f>
        <v>42671</v>
      </c>
      <c r="I213" s="162">
        <f>IFERROR(__xludf.DUMMYFUNCTION("""COMPUTED_VALUE"""),4.1305555555555555)</f>
        <v>4.130555556</v>
      </c>
      <c r="J213" s="164">
        <f>IFERROR(__xludf.DUMMYFUNCTION("""COMPUTED_VALUE"""),82.0)</f>
        <v>82</v>
      </c>
      <c r="K213" s="164">
        <f>IFERROR(__xludf.DUMMYFUNCTION("""COMPUTED_VALUE"""),25.5)</f>
        <v>25.5</v>
      </c>
      <c r="L213" s="158" t="str">
        <f>IFERROR(__xludf.DUMMYFUNCTION("""COMPUTED_VALUE"""),"RPG")</f>
        <v>RPG</v>
      </c>
      <c r="M213" s="158" t="str">
        <f>IFERROR(__xludf.DUMMYFUNCTION("""COMPUTED_VALUE"""),"FPS Boost")</f>
        <v>FPS Boost</v>
      </c>
      <c r="N213" s="158" t="str">
        <f>IFERROR(__xludf.DUMMYFUNCTION("""COMPUTED_VALUE"""),"Official PC Mod Support")</f>
        <v>Official PC Mod Support</v>
      </c>
      <c r="O213" s="158" t="str">
        <f>IFERROR(__xludf.DUMMYFUNCTION("""COMPUTED_VALUE"""),"M")</f>
        <v>M</v>
      </c>
      <c r="P213" s="158" t="str">
        <f>IFERROR(__xludf.DUMMYFUNCTION("""COMPUTED_VALUE"""),"Use of Alcohol, Blood and Gore, Sexual Themes, Language, Intense Violence")</f>
        <v>Use of Alcohol, Blood and Gore, Sexual Themes, Language, Intense Violence</v>
      </c>
      <c r="Q213" s="158"/>
      <c r="R213" s="159" t="str">
        <f>IFERROR(__xludf.DUMMYFUNCTION("""COMPUTED_VALUE"""),"Active")</f>
        <v>Active</v>
      </c>
      <c r="S213" s="160">
        <f>IFERROR(__xludf.DUMMYFUNCTION("""COMPUTED_VALUE"""),45547.0)</f>
        <v>45547</v>
      </c>
      <c r="T213" s="162">
        <f>IFERROR(__xludf.DUMMYFUNCTION("""COMPUTED_VALUE"""),44.9)</f>
        <v>44.9</v>
      </c>
    </row>
    <row r="214">
      <c r="A214" s="158" t="str">
        <f>IFERROR(__xludf.DUMMYFUNCTION("""COMPUTED_VALUE"""),"Monster Sanctuary")</f>
        <v>Monster Sanctuary</v>
      </c>
      <c r="B214" s="158" t="str">
        <f>IFERROR(__xludf.DUMMYFUNCTION("""COMPUTED_VALUE"""),"Xbox / PC")</f>
        <v>Xbox / PC</v>
      </c>
      <c r="C214" s="158" t="str">
        <f>IFERROR(__xludf.DUMMYFUNCTION("""COMPUTED_VALUE"""),"Touch Controls")</f>
        <v>Touch Controls</v>
      </c>
      <c r="D214" s="159" t="str">
        <f>IFERROR(__xludf.DUMMYFUNCTION("""COMPUTED_VALUE"""),"Active")</f>
        <v>Active</v>
      </c>
      <c r="E214" s="160">
        <f>IFERROR(__xludf.DUMMYFUNCTION("""COMPUTED_VALUE"""),44173.0)</f>
        <v>44173</v>
      </c>
      <c r="F214" s="161"/>
      <c r="G214" s="162">
        <f>IFERROR(__xludf.DUMMYFUNCTION("""COMPUTED_VALUE"""),58.233333333333334)</f>
        <v>58.23333333</v>
      </c>
      <c r="H214" s="163">
        <f>IFERROR(__xludf.DUMMYFUNCTION("""COMPUTED_VALUE"""),43705.0)</f>
        <v>43705</v>
      </c>
      <c r="I214" s="162">
        <f>IFERROR(__xludf.DUMMYFUNCTION("""COMPUTED_VALUE"""),1.2777777777777777)</f>
        <v>1.277777778</v>
      </c>
      <c r="J214" s="164">
        <f>IFERROR(__xludf.DUMMYFUNCTION("""COMPUTED_VALUE"""),82.0)</f>
        <v>82</v>
      </c>
      <c r="K214" s="164">
        <f>IFERROR(__xludf.DUMMYFUNCTION("""COMPUTED_VALUE"""),27.0)</f>
        <v>27</v>
      </c>
      <c r="L214" s="158" t="str">
        <f>IFERROR(__xludf.DUMMYFUNCTION("""COMPUTED_VALUE"""),"Adventure / Platformer")</f>
        <v>Adventure / Platformer</v>
      </c>
      <c r="M214" s="158"/>
      <c r="N214" s="158" t="str">
        <f>IFERROR(__xludf.DUMMYFUNCTION("""COMPUTED_VALUE"""),"Game Pass Essential (3/26/25)")</f>
        <v>Game Pass Essential (3/26/25)</v>
      </c>
      <c r="O214" s="158" t="str">
        <f>IFERROR(__xludf.DUMMYFUNCTION("""COMPUTED_VALUE"""),"E10+")</f>
        <v>E10+</v>
      </c>
      <c r="P214" s="158" t="str">
        <f>IFERROR(__xludf.DUMMYFUNCTION("""COMPUTED_VALUE"""),"Fantasy Violence, Mild Blood, Tobacco Reference")</f>
        <v>Fantasy Violence, Mild Blood, Tobacco Reference</v>
      </c>
      <c r="Q214" s="158"/>
      <c r="R214" s="159" t="str">
        <f>IFERROR(__xludf.DUMMYFUNCTION("""COMPUTED_VALUE"""),"Active")</f>
        <v>Active</v>
      </c>
      <c r="S214" s="160">
        <f>IFERROR(__xludf.DUMMYFUNCTION("""COMPUTED_VALUE"""),45547.0)</f>
        <v>45547</v>
      </c>
      <c r="T214" s="162">
        <f>IFERROR(__xludf.DUMMYFUNCTION("""COMPUTED_VALUE"""),45.13333333333333)</f>
        <v>45.13333333</v>
      </c>
    </row>
    <row r="215">
      <c r="A215" s="158" t="str">
        <f>IFERROR(__xludf.DUMMYFUNCTION("""COMPUTED_VALUE"""),"NHL 94 Rewind")</f>
        <v>NHL 94 Rewind</v>
      </c>
      <c r="B215" s="158" t="str">
        <f>IFERROR(__xludf.DUMMYFUNCTION("""COMPUTED_VALUE"""),"Xbox")</f>
        <v>Xbox</v>
      </c>
      <c r="C215" s="158"/>
      <c r="D215" s="159" t="str">
        <f>IFERROR(__xludf.DUMMYFUNCTION("""COMPUTED_VALUE"""),"Active")</f>
        <v>Active</v>
      </c>
      <c r="E215" s="160">
        <f>IFERROR(__xludf.DUMMYFUNCTION("""COMPUTED_VALUE"""),44168.0)</f>
        <v>44168</v>
      </c>
      <c r="F215" s="161"/>
      <c r="G215" s="162">
        <f>IFERROR(__xludf.DUMMYFUNCTION("""COMPUTED_VALUE"""),58.39999999999999)</f>
        <v>58.4</v>
      </c>
      <c r="H215" s="163">
        <f>IFERROR(__xludf.DUMMYFUNCTION("""COMPUTED_VALUE"""),44134.0)</f>
        <v>44134</v>
      </c>
      <c r="I215" s="162">
        <f>IFERROR(__xludf.DUMMYFUNCTION("""COMPUTED_VALUE"""),0.09166666666666666)</f>
        <v>0.09166666667</v>
      </c>
      <c r="J215" s="164">
        <f>IFERROR(__xludf.DUMMYFUNCTION("""COMPUTED_VALUE"""),100.0)</f>
        <v>100</v>
      </c>
      <c r="K215" s="164">
        <f>IFERROR(__xludf.DUMMYFUNCTION("""COMPUTED_VALUE"""),14.5)</f>
        <v>14.5</v>
      </c>
      <c r="L215" s="158" t="str">
        <f>IFERROR(__xludf.DUMMYFUNCTION("""COMPUTED_VALUE"""),"Sports / Soccer")</f>
        <v>Sports / Soccer</v>
      </c>
      <c r="M215" s="158"/>
      <c r="N215" s="158"/>
      <c r="O215" s="158" t="str">
        <f>IFERROR(__xludf.DUMMYFUNCTION("""COMPUTED_VALUE"""),"E")</f>
        <v>E</v>
      </c>
      <c r="P215" s="158"/>
      <c r="Q215" s="158"/>
      <c r="R215" s="159" t="str">
        <f>IFERROR(__xludf.DUMMYFUNCTION("""COMPUTED_VALUE"""),"Active")</f>
        <v>Active</v>
      </c>
      <c r="S215" s="160">
        <f>IFERROR(__xludf.DUMMYFUNCTION("""COMPUTED_VALUE"""),45547.0)</f>
        <v>45547</v>
      </c>
      <c r="T215" s="162">
        <f>IFERROR(__xludf.DUMMYFUNCTION("""COMPUTED_VALUE"""),45.3)</f>
        <v>45.3</v>
      </c>
    </row>
    <row r="216">
      <c r="A216" s="158" t="str">
        <f>IFERROR(__xludf.DUMMYFUNCTION("""COMPUTED_VALUE"""),"Halo 4")</f>
        <v>Halo 4</v>
      </c>
      <c r="B216" s="158" t="str">
        <f>IFERROR(__xludf.DUMMYFUNCTION("""COMPUTED_VALUE"""),"Xbox / PC")</f>
        <v>Xbox / PC</v>
      </c>
      <c r="C216" s="158"/>
      <c r="D216" s="159" t="str">
        <f>IFERROR(__xludf.DUMMYFUNCTION("""COMPUTED_VALUE"""),"Active")</f>
        <v>Active</v>
      </c>
      <c r="E216" s="160">
        <f>IFERROR(__xludf.DUMMYFUNCTION("""COMPUTED_VALUE"""),44152.0)</f>
        <v>44152</v>
      </c>
      <c r="F216" s="161"/>
      <c r="G216" s="162">
        <f>IFERROR(__xludf.DUMMYFUNCTION("""COMPUTED_VALUE"""),58.93333333333334)</f>
        <v>58.93333333</v>
      </c>
      <c r="H216" s="163">
        <f>IFERROR(__xludf.DUMMYFUNCTION("""COMPUTED_VALUE"""),41218.0)</f>
        <v>41218</v>
      </c>
      <c r="I216" s="162">
        <f>IFERROR(__xludf.DUMMYFUNCTION("""COMPUTED_VALUE"""),8.033333333333333)</f>
        <v>8.033333333</v>
      </c>
      <c r="J216" s="164">
        <f>IFERROR(__xludf.DUMMYFUNCTION("""COMPUTED_VALUE"""),87.0)</f>
        <v>87</v>
      </c>
      <c r="K216" s="164">
        <f>IFERROR(__xludf.DUMMYFUNCTION("""COMPUTED_VALUE"""),8.0)</f>
        <v>8</v>
      </c>
      <c r="L216" s="158" t="str">
        <f>IFERROR(__xludf.DUMMYFUNCTION("""COMPUTED_VALUE"""),"Action / First-Person Shooter")</f>
        <v>Action / First-Person Shooter</v>
      </c>
      <c r="M216" s="158"/>
      <c r="N216" s="158"/>
      <c r="O216" s="158" t="str">
        <f>IFERROR(__xludf.DUMMYFUNCTION("""COMPUTED_VALUE"""),"M")</f>
        <v>M</v>
      </c>
      <c r="P216" s="158" t="str">
        <f>IFERROR(__xludf.DUMMYFUNCTION("""COMPUTED_VALUE"""),"Blood and Gore, Violence, Language")</f>
        <v>Blood and Gore, Violence, Language</v>
      </c>
      <c r="Q216" s="158"/>
      <c r="R216" s="159" t="str">
        <f>IFERROR(__xludf.DUMMYFUNCTION("""COMPUTED_VALUE"""),"Active")</f>
        <v>Active</v>
      </c>
      <c r="S216" s="160">
        <f>IFERROR(__xludf.DUMMYFUNCTION("""COMPUTED_VALUE"""),45547.0)</f>
        <v>45547</v>
      </c>
      <c r="T216" s="162">
        <f>IFERROR(__xludf.DUMMYFUNCTION("""COMPUTED_VALUE"""),45.833333333333336)</f>
        <v>45.83333333</v>
      </c>
    </row>
    <row r="217">
      <c r="A217" s="158" t="str">
        <f>IFERROR(__xludf.DUMMYFUNCTION("""COMPUTED_VALUE"""),"A Way Out")</f>
        <v>A Way Out</v>
      </c>
      <c r="B217" s="158" t="str">
        <f>IFERROR(__xludf.DUMMYFUNCTION("""COMPUTED_VALUE"""),"Xbox / PC")</f>
        <v>Xbox / PC</v>
      </c>
      <c r="C217" s="158"/>
      <c r="D217" s="159" t="str">
        <f>IFERROR(__xludf.DUMMYFUNCTION("""COMPUTED_VALUE"""),"Active")</f>
        <v>Active</v>
      </c>
      <c r="E217" s="160">
        <f>IFERROR(__xludf.DUMMYFUNCTION("""COMPUTED_VALUE"""),44145.0)</f>
        <v>44145</v>
      </c>
      <c r="F217" s="161"/>
      <c r="G217" s="162">
        <f>IFERROR(__xludf.DUMMYFUNCTION("""COMPUTED_VALUE"""),59.166666666666664)</f>
        <v>59.16666667</v>
      </c>
      <c r="H217" s="163">
        <f>IFERROR(__xludf.DUMMYFUNCTION("""COMPUTED_VALUE"""),43182.0)</f>
        <v>43182</v>
      </c>
      <c r="I217" s="162">
        <f>IFERROR(__xludf.DUMMYFUNCTION("""COMPUTED_VALUE"""),2.6305555555555555)</f>
        <v>2.630555556</v>
      </c>
      <c r="J217" s="164">
        <f>IFERROR(__xludf.DUMMYFUNCTION("""COMPUTED_VALUE"""),79.0)</f>
        <v>79</v>
      </c>
      <c r="K217" s="164">
        <f>IFERROR(__xludf.DUMMYFUNCTION("""COMPUTED_VALUE"""),6.0)</f>
        <v>6</v>
      </c>
      <c r="L217" s="158" t="str">
        <f>IFERROR(__xludf.DUMMYFUNCTION("""COMPUTED_VALUE"""),"Action / Action-Adventure")</f>
        <v>Action / Action-Adventure</v>
      </c>
      <c r="M217" s="158"/>
      <c r="N217" s="158"/>
      <c r="O217" s="158" t="str">
        <f>IFERROR(__xludf.DUMMYFUNCTION("""COMPUTED_VALUE"""),"M")</f>
        <v>M</v>
      </c>
      <c r="P217" s="158" t="str">
        <f>IFERROR(__xludf.DUMMYFUNCTION("""COMPUTED_VALUE"""),"Nudity, Blood, Sexual Content, Strong Language, Intense Violence")</f>
        <v>Nudity, Blood, Sexual Content, Strong Language, Intense Violence</v>
      </c>
      <c r="Q217" s="158"/>
      <c r="R217" s="159" t="str">
        <f>IFERROR(__xludf.DUMMYFUNCTION("""COMPUTED_VALUE"""),"Active")</f>
        <v>Active</v>
      </c>
      <c r="S217" s="160">
        <f>IFERROR(__xludf.DUMMYFUNCTION("""COMPUTED_VALUE"""),45547.0)</f>
        <v>45547</v>
      </c>
      <c r="T217" s="162">
        <f>IFERROR(__xludf.DUMMYFUNCTION("""COMPUTED_VALUE"""),46.06666666666667)</f>
        <v>46.06666667</v>
      </c>
    </row>
    <row r="218">
      <c r="A218" s="158" t="str">
        <f>IFERROR(__xludf.DUMMYFUNCTION("""COMPUTED_VALUE"""),"Alice: Madness Returns")</f>
        <v>Alice: Madness Returns</v>
      </c>
      <c r="B218" s="158" t="str">
        <f>IFERROR(__xludf.DUMMYFUNCTION("""COMPUTED_VALUE"""),"Xbox / PC")</f>
        <v>Xbox / PC</v>
      </c>
      <c r="C218" s="158"/>
      <c r="D218" s="159" t="str">
        <f>IFERROR(__xludf.DUMMYFUNCTION("""COMPUTED_VALUE"""),"Active")</f>
        <v>Active</v>
      </c>
      <c r="E218" s="160">
        <f>IFERROR(__xludf.DUMMYFUNCTION("""COMPUTED_VALUE"""),44145.0)</f>
        <v>44145</v>
      </c>
      <c r="F218" s="161"/>
      <c r="G218" s="162">
        <f>IFERROR(__xludf.DUMMYFUNCTION("""COMPUTED_VALUE"""),59.166666666666664)</f>
        <v>59.16666667</v>
      </c>
      <c r="H218" s="163">
        <f>IFERROR(__xludf.DUMMYFUNCTION("""COMPUTED_VALUE"""),40708.0)</f>
        <v>40708</v>
      </c>
      <c r="I218" s="162">
        <f>IFERROR(__xludf.DUMMYFUNCTION("""COMPUTED_VALUE"""),9.405555555555555)</f>
        <v>9.405555556</v>
      </c>
      <c r="J218" s="164">
        <f>IFERROR(__xludf.DUMMYFUNCTION("""COMPUTED_VALUE"""),70.0)</f>
        <v>70</v>
      </c>
      <c r="K218" s="164">
        <f>IFERROR(__xludf.DUMMYFUNCTION("""COMPUTED_VALUE"""),14.0)</f>
        <v>14</v>
      </c>
      <c r="L218" s="158" t="str">
        <f>IFERROR(__xludf.DUMMYFUNCTION("""COMPUTED_VALUE"""),"Platformer / Action-Adventure")</f>
        <v>Platformer / Action-Adventure</v>
      </c>
      <c r="M218" s="158"/>
      <c r="N218" s="158" t="str">
        <f>IFERROR(__xludf.DUMMYFUNCTION("""COMPUTED_VALUE"""),"Joins PC 2/28/22")</f>
        <v>Joins PC 2/28/22</v>
      </c>
      <c r="O218" s="158" t="str">
        <f>IFERROR(__xludf.DUMMYFUNCTION("""COMPUTED_VALUE"""),"M")</f>
        <v>M</v>
      </c>
      <c r="P218" s="158" t="str">
        <f>IFERROR(__xludf.DUMMYFUNCTION("""COMPUTED_VALUE"""),"Blood and Gore, Sexual Themes, Strong Language, Violence")</f>
        <v>Blood and Gore, Sexual Themes, Strong Language, Violence</v>
      </c>
      <c r="Q218" s="158" t="str">
        <f>IFERROR(__xludf.DUMMYFUNCTION("""COMPUTED_VALUE"""),"Xbox 360")</f>
        <v>Xbox 360</v>
      </c>
      <c r="R218" s="159" t="str">
        <f>IFERROR(__xludf.DUMMYFUNCTION("""COMPUTED_VALUE"""),"Active")</f>
        <v>Active</v>
      </c>
      <c r="S218" s="160">
        <f>IFERROR(__xludf.DUMMYFUNCTION("""COMPUTED_VALUE"""),45547.0)</f>
        <v>45547</v>
      </c>
      <c r="T218" s="162">
        <f>IFERROR(__xludf.DUMMYFUNCTION("""COMPUTED_VALUE"""),46.06666666666667)</f>
        <v>46.06666667</v>
      </c>
    </row>
    <row r="219">
      <c r="A219" s="158" t="str">
        <f>IFERROR(__xludf.DUMMYFUNCTION("""COMPUTED_VALUE"""),"Army of Two")</f>
        <v>Army of Two</v>
      </c>
      <c r="B219" s="158" t="str">
        <f>IFERROR(__xludf.DUMMYFUNCTION("""COMPUTED_VALUE"""),"Xbox")</f>
        <v>Xbox</v>
      </c>
      <c r="C219" s="158"/>
      <c r="D219" s="159" t="str">
        <f>IFERROR(__xludf.DUMMYFUNCTION("""COMPUTED_VALUE"""),"Active")</f>
        <v>Active</v>
      </c>
      <c r="E219" s="160">
        <f>IFERROR(__xludf.DUMMYFUNCTION("""COMPUTED_VALUE"""),44145.0)</f>
        <v>44145</v>
      </c>
      <c r="F219" s="161"/>
      <c r="G219" s="162">
        <f>IFERROR(__xludf.DUMMYFUNCTION("""COMPUTED_VALUE"""),59.166666666666664)</f>
        <v>59.16666667</v>
      </c>
      <c r="H219" s="163">
        <f>IFERROR(__xludf.DUMMYFUNCTION("""COMPUTED_VALUE"""),39511.0)</f>
        <v>39511</v>
      </c>
      <c r="I219" s="162">
        <f>IFERROR(__xludf.DUMMYFUNCTION("""COMPUTED_VALUE"""),12.683333333333334)</f>
        <v>12.68333333</v>
      </c>
      <c r="J219" s="164">
        <f>IFERROR(__xludf.DUMMYFUNCTION("""COMPUTED_VALUE"""),72.0)</f>
        <v>72</v>
      </c>
      <c r="K219" s="164">
        <f>IFERROR(__xludf.DUMMYFUNCTION("""COMPUTED_VALUE"""),6.5)</f>
        <v>6.5</v>
      </c>
      <c r="L219" s="158" t="str">
        <f>IFERROR(__xludf.DUMMYFUNCTION("""COMPUTED_VALUE"""),"Action / Shooter")</f>
        <v>Action / Shooter</v>
      </c>
      <c r="M219" s="158"/>
      <c r="N219" s="158"/>
      <c r="O219" s="158" t="str">
        <f>IFERROR(__xludf.DUMMYFUNCTION("""COMPUTED_VALUE"""),"M")</f>
        <v>M</v>
      </c>
      <c r="P219" s="158" t="str">
        <f>IFERROR(__xludf.DUMMYFUNCTION("""COMPUTED_VALUE"""),"Blood, Strong Language, Intense Violence")</f>
        <v>Blood, Strong Language, Intense Violence</v>
      </c>
      <c r="Q219" s="158" t="str">
        <f>IFERROR(__xludf.DUMMYFUNCTION("""COMPUTED_VALUE"""),"Xbox 360")</f>
        <v>Xbox 360</v>
      </c>
      <c r="R219" s="159" t="str">
        <f>IFERROR(__xludf.DUMMYFUNCTION("""COMPUTED_VALUE"""),"Active")</f>
        <v>Active</v>
      </c>
      <c r="S219" s="160">
        <f>IFERROR(__xludf.DUMMYFUNCTION("""COMPUTED_VALUE"""),45547.0)</f>
        <v>45547</v>
      </c>
      <c r="T219" s="162">
        <f>IFERROR(__xludf.DUMMYFUNCTION("""COMPUTED_VALUE"""),46.06666666666667)</f>
        <v>46.06666667</v>
      </c>
    </row>
    <row r="220">
      <c r="A220" s="158" t="str">
        <f>IFERROR(__xludf.DUMMYFUNCTION("""COMPUTED_VALUE"""),"Battlefield 1: Revolution")</f>
        <v>Battlefield 1: Revolution</v>
      </c>
      <c r="B220" s="158" t="str">
        <f>IFERROR(__xludf.DUMMYFUNCTION("""COMPUTED_VALUE"""),"Xbox / PC")</f>
        <v>Xbox / PC</v>
      </c>
      <c r="C220" s="158" t="str">
        <f>IFERROR(__xludf.DUMMYFUNCTION("""COMPUTED_VALUE"""),"Yes")</f>
        <v>Yes</v>
      </c>
      <c r="D220" s="159" t="str">
        <f>IFERROR(__xludf.DUMMYFUNCTION("""COMPUTED_VALUE"""),"Active")</f>
        <v>Active</v>
      </c>
      <c r="E220" s="160">
        <f>IFERROR(__xludf.DUMMYFUNCTION("""COMPUTED_VALUE"""),44145.0)</f>
        <v>44145</v>
      </c>
      <c r="F220" s="161"/>
      <c r="G220" s="162">
        <f>IFERROR(__xludf.DUMMYFUNCTION("""COMPUTED_VALUE"""),59.166666666666664)</f>
        <v>59.16666667</v>
      </c>
      <c r="H220" s="163">
        <f>IFERROR(__xludf.DUMMYFUNCTION("""COMPUTED_VALUE"""),42664.0)</f>
        <v>42664</v>
      </c>
      <c r="I220" s="162">
        <f>IFERROR(__xludf.DUMMYFUNCTION("""COMPUTED_VALUE"""),4.052777777777778)</f>
        <v>4.052777778</v>
      </c>
      <c r="J220" s="164">
        <f>IFERROR(__xludf.DUMMYFUNCTION("""COMPUTED_VALUE"""),87.0)</f>
        <v>87</v>
      </c>
      <c r="K220" s="164">
        <f>IFERROR(__xludf.DUMMYFUNCTION("""COMPUTED_VALUE"""),6.5)</f>
        <v>6.5</v>
      </c>
      <c r="L220" s="158" t="str">
        <f>IFERROR(__xludf.DUMMYFUNCTION("""COMPUTED_VALUE"""),"First-Person Shooter")</f>
        <v>First-Person Shooter</v>
      </c>
      <c r="M220" s="158" t="str">
        <f>IFERROR(__xludf.DUMMYFUNCTION("""COMPUTED_VALUE"""),"FPS Boost X Only")</f>
        <v>FPS Boost X Only</v>
      </c>
      <c r="N220" s="158"/>
      <c r="O220" s="158" t="str">
        <f>IFERROR(__xludf.DUMMYFUNCTION("""COMPUTED_VALUE"""),"M")</f>
        <v>M</v>
      </c>
      <c r="P220" s="158" t="str">
        <f>IFERROR(__xludf.DUMMYFUNCTION("""COMPUTED_VALUE"""),"Blood, Strong Language, Violence")</f>
        <v>Blood, Strong Language, Violence</v>
      </c>
      <c r="Q220" s="158" t="str">
        <f>IFERROR(__xludf.DUMMYFUNCTION("""COMPUTED_VALUE"""),"Does not FPS boost on Series S")</f>
        <v>Does not FPS boost on Series S</v>
      </c>
      <c r="R220" s="159" t="str">
        <f>IFERROR(__xludf.DUMMYFUNCTION("""COMPUTED_VALUE"""),"Active")</f>
        <v>Active</v>
      </c>
      <c r="S220" s="160">
        <f>IFERROR(__xludf.DUMMYFUNCTION("""COMPUTED_VALUE"""),45547.0)</f>
        <v>45547</v>
      </c>
      <c r="T220" s="162">
        <f>IFERROR(__xludf.DUMMYFUNCTION("""COMPUTED_VALUE"""),46.06666666666667)</f>
        <v>46.06666667</v>
      </c>
    </row>
    <row r="221">
      <c r="A221" s="158" t="str">
        <f>IFERROR(__xludf.DUMMYFUNCTION("""COMPUTED_VALUE"""),"Battlefield 3: Premium Edition")</f>
        <v>Battlefield 3: Premium Edition</v>
      </c>
      <c r="B221" s="158" t="str">
        <f>IFERROR(__xludf.DUMMYFUNCTION("""COMPUTED_VALUE"""),"Xbox / PC")</f>
        <v>Xbox / PC</v>
      </c>
      <c r="C221" s="158"/>
      <c r="D221" s="159" t="str">
        <f>IFERROR(__xludf.DUMMYFUNCTION("""COMPUTED_VALUE"""),"Active")</f>
        <v>Active</v>
      </c>
      <c r="E221" s="160">
        <f>IFERROR(__xludf.DUMMYFUNCTION("""COMPUTED_VALUE"""),44145.0)</f>
        <v>44145</v>
      </c>
      <c r="F221" s="161"/>
      <c r="G221" s="162">
        <f>IFERROR(__xludf.DUMMYFUNCTION("""COMPUTED_VALUE"""),59.166666666666664)</f>
        <v>59.16666667</v>
      </c>
      <c r="H221" s="163">
        <f>IFERROR(__xludf.DUMMYFUNCTION("""COMPUTED_VALUE"""),40841.0)</f>
        <v>40841</v>
      </c>
      <c r="I221" s="162">
        <f>IFERROR(__xludf.DUMMYFUNCTION("""COMPUTED_VALUE"""),9.041666666666666)</f>
        <v>9.041666667</v>
      </c>
      <c r="J221" s="164">
        <f>IFERROR(__xludf.DUMMYFUNCTION("""COMPUTED_VALUE"""),84.0)</f>
        <v>84</v>
      </c>
      <c r="K221" s="164">
        <f>IFERROR(__xludf.DUMMYFUNCTION("""COMPUTED_VALUE"""),6.0)</f>
        <v>6</v>
      </c>
      <c r="L221" s="158" t="str">
        <f>IFERROR(__xludf.DUMMYFUNCTION("""COMPUTED_VALUE"""),"First-Person Shooter / Vehicular Combat")</f>
        <v>First-Person Shooter / Vehicular Combat</v>
      </c>
      <c r="M221" s="158"/>
      <c r="N221" s="158" t="str">
        <f>IFERROR(__xludf.DUMMYFUNCTION("""COMPUTED_VALUE"""),"Enhanced edition only on PC")</f>
        <v>Enhanced edition only on PC</v>
      </c>
      <c r="O221" s="158" t="str">
        <f>IFERROR(__xludf.DUMMYFUNCTION("""COMPUTED_VALUE"""),"M")</f>
        <v>M</v>
      </c>
      <c r="P221" s="158" t="str">
        <f>IFERROR(__xludf.DUMMYFUNCTION("""COMPUTED_VALUE"""),"Blood, Strong Language, Intense Violence")</f>
        <v>Blood, Strong Language, Intense Violence</v>
      </c>
      <c r="Q221" s="158" t="str">
        <f>IFERROR(__xludf.DUMMYFUNCTION("""COMPUTED_VALUE"""),"Xbox 360")</f>
        <v>Xbox 360</v>
      </c>
      <c r="R221" s="159" t="str">
        <f>IFERROR(__xludf.DUMMYFUNCTION("""COMPUTED_VALUE"""),"Active")</f>
        <v>Active</v>
      </c>
      <c r="S221" s="160">
        <f>IFERROR(__xludf.DUMMYFUNCTION("""COMPUTED_VALUE"""),45547.0)</f>
        <v>45547</v>
      </c>
      <c r="T221" s="162">
        <f>IFERROR(__xludf.DUMMYFUNCTION("""COMPUTED_VALUE"""),46.06666666666667)</f>
        <v>46.06666667</v>
      </c>
    </row>
    <row r="222">
      <c r="A222" s="158" t="str">
        <f>IFERROR(__xludf.DUMMYFUNCTION("""COMPUTED_VALUE"""),"Battlefield 4: Premium Edition")</f>
        <v>Battlefield 4: Premium Edition</v>
      </c>
      <c r="B222" s="158" t="str">
        <f>IFERROR(__xludf.DUMMYFUNCTION("""COMPUTED_VALUE"""),"Xbox / PC")</f>
        <v>Xbox / PC</v>
      </c>
      <c r="C222" s="158" t="str">
        <f>IFERROR(__xludf.DUMMYFUNCTION("""COMPUTED_VALUE"""),"Yes")</f>
        <v>Yes</v>
      </c>
      <c r="D222" s="159" t="str">
        <f>IFERROR(__xludf.DUMMYFUNCTION("""COMPUTED_VALUE"""),"Active")</f>
        <v>Active</v>
      </c>
      <c r="E222" s="160">
        <f>IFERROR(__xludf.DUMMYFUNCTION("""COMPUTED_VALUE"""),44145.0)</f>
        <v>44145</v>
      </c>
      <c r="F222" s="161"/>
      <c r="G222" s="162">
        <f>IFERROR(__xludf.DUMMYFUNCTION("""COMPUTED_VALUE"""),59.166666666666664)</f>
        <v>59.16666667</v>
      </c>
      <c r="H222" s="163">
        <f>IFERROR(__xludf.DUMMYFUNCTION("""COMPUTED_VALUE"""),41576.0)</f>
        <v>41576</v>
      </c>
      <c r="I222" s="162">
        <f>IFERROR(__xludf.DUMMYFUNCTION("""COMPUTED_VALUE"""),7.030555555555556)</f>
        <v>7.030555556</v>
      </c>
      <c r="J222" s="164">
        <f>IFERROR(__xludf.DUMMYFUNCTION("""COMPUTED_VALUE"""),81.0)</f>
        <v>81</v>
      </c>
      <c r="K222" s="164">
        <f>IFERROR(__xludf.DUMMYFUNCTION("""COMPUTED_VALUE"""),6.0)</f>
        <v>6</v>
      </c>
      <c r="L222" s="158" t="str">
        <f>IFERROR(__xludf.DUMMYFUNCTION("""COMPUTED_VALUE"""),"First-Person Shooter")</f>
        <v>First-Person Shooter</v>
      </c>
      <c r="M222" s="158" t="str">
        <f>IFERROR(__xludf.DUMMYFUNCTION("""COMPUTED_VALUE"""),"FPS Boost")</f>
        <v>FPS Boost</v>
      </c>
      <c r="N222" s="158" t="str">
        <f>IFERROR(__xludf.DUMMYFUNCTION("""COMPUTED_VALUE"""),"Enhanced edition only on PC")</f>
        <v>Enhanced edition only on PC</v>
      </c>
      <c r="O222" s="158" t="str">
        <f>IFERROR(__xludf.DUMMYFUNCTION("""COMPUTED_VALUE"""),"M")</f>
        <v>M</v>
      </c>
      <c r="P222" s="158" t="str">
        <f>IFERROR(__xludf.DUMMYFUNCTION("""COMPUTED_VALUE"""),"Blood and Gore, Strong Language, Intense Violence")</f>
        <v>Blood and Gore, Strong Language, Intense Violence</v>
      </c>
      <c r="Q222" s="158"/>
      <c r="R222" s="159" t="str">
        <f>IFERROR(__xludf.DUMMYFUNCTION("""COMPUTED_VALUE"""),"Active")</f>
        <v>Active</v>
      </c>
      <c r="S222" s="160">
        <f>IFERROR(__xludf.DUMMYFUNCTION("""COMPUTED_VALUE"""),45547.0)</f>
        <v>45547</v>
      </c>
      <c r="T222" s="162">
        <f>IFERROR(__xludf.DUMMYFUNCTION("""COMPUTED_VALUE"""),46.06666666666667)</f>
        <v>46.06666667</v>
      </c>
    </row>
    <row r="223">
      <c r="A223" s="158" t="str">
        <f>IFERROR(__xludf.DUMMYFUNCTION("""COMPUTED_VALUE"""),"Battlefield V: Year Two Edition")</f>
        <v>Battlefield V: Year Two Edition</v>
      </c>
      <c r="B223" s="158" t="str">
        <f>IFERROR(__xludf.DUMMYFUNCTION("""COMPUTED_VALUE"""),"Xbox / PC")</f>
        <v>Xbox / PC</v>
      </c>
      <c r="C223" s="158" t="str">
        <f>IFERROR(__xludf.DUMMYFUNCTION("""COMPUTED_VALUE"""),"Yes")</f>
        <v>Yes</v>
      </c>
      <c r="D223" s="159" t="str">
        <f>IFERROR(__xludf.DUMMYFUNCTION("""COMPUTED_VALUE"""),"Active")</f>
        <v>Active</v>
      </c>
      <c r="E223" s="160">
        <f>IFERROR(__xludf.DUMMYFUNCTION("""COMPUTED_VALUE"""),44145.0)</f>
        <v>44145</v>
      </c>
      <c r="F223" s="161"/>
      <c r="G223" s="162">
        <f>IFERROR(__xludf.DUMMYFUNCTION("""COMPUTED_VALUE"""),59.166666666666664)</f>
        <v>59.16666667</v>
      </c>
      <c r="H223" s="163">
        <f>IFERROR(__xludf.DUMMYFUNCTION("""COMPUTED_VALUE"""),43419.0)</f>
        <v>43419</v>
      </c>
      <c r="I223" s="162">
        <f>IFERROR(__xludf.DUMMYFUNCTION("""COMPUTED_VALUE"""),1.9861111111111112)</f>
        <v>1.986111111</v>
      </c>
      <c r="J223" s="164">
        <f>IFERROR(__xludf.DUMMYFUNCTION("""COMPUTED_VALUE"""),78.0)</f>
        <v>78</v>
      </c>
      <c r="K223" s="164">
        <f>IFERROR(__xludf.DUMMYFUNCTION("""COMPUTED_VALUE"""),6.0)</f>
        <v>6</v>
      </c>
      <c r="L223" s="158" t="str">
        <f>IFERROR(__xludf.DUMMYFUNCTION("""COMPUTED_VALUE"""),"Action / First-Person Shooter")</f>
        <v>Action / First-Person Shooter</v>
      </c>
      <c r="M223" s="158" t="str">
        <f>IFERROR(__xludf.DUMMYFUNCTION("""COMPUTED_VALUE"""),"FPS Boost X Only")</f>
        <v>FPS Boost X Only</v>
      </c>
      <c r="N223" s="158" t="str">
        <f>IFERROR(__xludf.DUMMYFUNCTION("""COMPUTED_VALUE"""),"Enhanced edition only on PC")</f>
        <v>Enhanced edition only on PC</v>
      </c>
      <c r="O223" s="158" t="str">
        <f>IFERROR(__xludf.DUMMYFUNCTION("""COMPUTED_VALUE"""),"M")</f>
        <v>M</v>
      </c>
      <c r="P223" s="158" t="str">
        <f>IFERROR(__xludf.DUMMYFUNCTION("""COMPUTED_VALUE"""),"Blood, Strong Language, Violence")</f>
        <v>Blood, Strong Language, Violence</v>
      </c>
      <c r="Q223" s="158" t="str">
        <f>IFERROR(__xludf.DUMMYFUNCTION("""COMPUTED_VALUE"""),"Does not FPS boost on Series S")</f>
        <v>Does not FPS boost on Series S</v>
      </c>
      <c r="R223" s="159" t="str">
        <f>IFERROR(__xludf.DUMMYFUNCTION("""COMPUTED_VALUE"""),"Active")</f>
        <v>Active</v>
      </c>
      <c r="S223" s="160">
        <f>IFERROR(__xludf.DUMMYFUNCTION("""COMPUTED_VALUE"""),45547.0)</f>
        <v>45547</v>
      </c>
      <c r="T223" s="162">
        <f>IFERROR(__xludf.DUMMYFUNCTION("""COMPUTED_VALUE"""),46.06666666666667)</f>
        <v>46.06666667</v>
      </c>
    </row>
    <row r="224">
      <c r="A224" s="158" t="str">
        <f>IFERROR(__xludf.DUMMYFUNCTION("""COMPUTED_VALUE"""),"Battlefield: Hardline - Ultimate Edition")</f>
        <v>Battlefield: Hardline - Ultimate Edition</v>
      </c>
      <c r="B224" s="158" t="str">
        <f>IFERROR(__xludf.DUMMYFUNCTION("""COMPUTED_VALUE"""),"Xbox / PC")</f>
        <v>Xbox / PC</v>
      </c>
      <c r="C224" s="158"/>
      <c r="D224" s="159" t="str">
        <f>IFERROR(__xludf.DUMMYFUNCTION("""COMPUTED_VALUE"""),"Active")</f>
        <v>Active</v>
      </c>
      <c r="E224" s="160">
        <f>IFERROR(__xludf.DUMMYFUNCTION("""COMPUTED_VALUE"""),44145.0)</f>
        <v>44145</v>
      </c>
      <c r="F224" s="161"/>
      <c r="G224" s="162">
        <f>IFERROR(__xludf.DUMMYFUNCTION("""COMPUTED_VALUE"""),59.166666666666664)</f>
        <v>59.16666667</v>
      </c>
      <c r="H224" s="163">
        <f>IFERROR(__xludf.DUMMYFUNCTION("""COMPUTED_VALUE"""),42080.0)</f>
        <v>42080</v>
      </c>
      <c r="I224" s="162">
        <f>IFERROR(__xludf.DUMMYFUNCTION("""COMPUTED_VALUE"""),5.647222222222222)</f>
        <v>5.647222222</v>
      </c>
      <c r="J224" s="164">
        <f>IFERROR(__xludf.DUMMYFUNCTION("""COMPUTED_VALUE"""),71.0)</f>
        <v>71</v>
      </c>
      <c r="K224" s="164">
        <f>IFERROR(__xludf.DUMMYFUNCTION("""COMPUTED_VALUE"""),7.5)</f>
        <v>7.5</v>
      </c>
      <c r="L224" s="158" t="str">
        <f>IFERROR(__xludf.DUMMYFUNCTION("""COMPUTED_VALUE"""),"First-Person Shooter")</f>
        <v>First-Person Shooter</v>
      </c>
      <c r="M224" s="158" t="str">
        <f>IFERROR(__xludf.DUMMYFUNCTION("""COMPUTED_VALUE"""),"FPS Boost")</f>
        <v>FPS Boost</v>
      </c>
      <c r="N224" s="158" t="str">
        <f>IFERROR(__xludf.DUMMYFUNCTION("""COMPUTED_VALUE"""),"Enhanced edition only on PC")</f>
        <v>Enhanced edition only on PC</v>
      </c>
      <c r="O224" s="158" t="str">
        <f>IFERROR(__xludf.DUMMYFUNCTION("""COMPUTED_VALUE"""),"M")</f>
        <v>M</v>
      </c>
      <c r="P224" s="158" t="str">
        <f>IFERROR(__xludf.DUMMYFUNCTION("""COMPUTED_VALUE"""),"Blood and Gore, Use of Drugs, Strong Language, Intense Violence")</f>
        <v>Blood and Gore, Use of Drugs, Strong Language, Intense Violence</v>
      </c>
      <c r="Q224" s="158"/>
      <c r="R224" s="159" t="str">
        <f>IFERROR(__xludf.DUMMYFUNCTION("""COMPUTED_VALUE"""),"Active")</f>
        <v>Active</v>
      </c>
      <c r="S224" s="160">
        <f>IFERROR(__xludf.DUMMYFUNCTION("""COMPUTED_VALUE"""),45547.0)</f>
        <v>45547</v>
      </c>
      <c r="T224" s="162">
        <f>IFERROR(__xludf.DUMMYFUNCTION("""COMPUTED_VALUE"""),46.06666666666667)</f>
        <v>46.06666667</v>
      </c>
    </row>
    <row r="225">
      <c r="A225" s="158" t="str">
        <f>IFERROR(__xludf.DUMMYFUNCTION("""COMPUTED_VALUE"""),"Bejeweled 2")</f>
        <v>Bejeweled 2</v>
      </c>
      <c r="B225" s="158" t="str">
        <f>IFERROR(__xludf.DUMMYFUNCTION("""COMPUTED_VALUE"""),"Xbox")</f>
        <v>Xbox</v>
      </c>
      <c r="C225" s="158"/>
      <c r="D225" s="159" t="str">
        <f>IFERROR(__xludf.DUMMYFUNCTION("""COMPUTED_VALUE"""),"Active")</f>
        <v>Active</v>
      </c>
      <c r="E225" s="160">
        <f>IFERROR(__xludf.DUMMYFUNCTION("""COMPUTED_VALUE"""),44145.0)</f>
        <v>44145</v>
      </c>
      <c r="F225" s="161"/>
      <c r="G225" s="162">
        <f>IFERROR(__xludf.DUMMYFUNCTION("""COMPUTED_VALUE"""),59.166666666666664)</f>
        <v>59.16666667</v>
      </c>
      <c r="H225" s="163">
        <f>IFERROR(__xludf.DUMMYFUNCTION("""COMPUTED_VALUE"""),38296.0)</f>
        <v>38296</v>
      </c>
      <c r="I225" s="162">
        <f>IFERROR(__xludf.DUMMYFUNCTION("""COMPUTED_VALUE"""),16.01388888888889)</f>
        <v>16.01388889</v>
      </c>
      <c r="J225" s="164">
        <f>IFERROR(__xludf.DUMMYFUNCTION("""COMPUTED_VALUE"""),69.0)</f>
        <v>69</v>
      </c>
      <c r="K225" s="164">
        <f>IFERROR(__xludf.DUMMYFUNCTION("""COMPUTED_VALUE"""),1.5)</f>
        <v>1.5</v>
      </c>
      <c r="L225" s="158" t="str">
        <f>IFERROR(__xludf.DUMMYFUNCTION("""COMPUTED_VALUE"""),"Puzzle")</f>
        <v>Puzzle</v>
      </c>
      <c r="M225" s="158"/>
      <c r="N225" s="158"/>
      <c r="O225" s="158" t="str">
        <f>IFERROR(__xludf.DUMMYFUNCTION("""COMPUTED_VALUE"""),"E")</f>
        <v>E</v>
      </c>
      <c r="P225" s="158"/>
      <c r="Q225" s="158" t="str">
        <f>IFERROR(__xludf.DUMMYFUNCTION("""COMPUTED_VALUE"""),"Xbox 360")</f>
        <v>Xbox 360</v>
      </c>
      <c r="R225" s="159" t="str">
        <f>IFERROR(__xludf.DUMMYFUNCTION("""COMPUTED_VALUE"""),"Active")</f>
        <v>Active</v>
      </c>
      <c r="S225" s="160">
        <f>IFERROR(__xludf.DUMMYFUNCTION("""COMPUTED_VALUE"""),45547.0)</f>
        <v>45547</v>
      </c>
      <c r="T225" s="162">
        <f>IFERROR(__xludf.DUMMYFUNCTION("""COMPUTED_VALUE"""),46.06666666666667)</f>
        <v>46.06666667</v>
      </c>
    </row>
    <row r="226">
      <c r="A226" s="158" t="str">
        <f>IFERROR(__xludf.DUMMYFUNCTION("""COMPUTED_VALUE"""),"Bejeweled 3")</f>
        <v>Bejeweled 3</v>
      </c>
      <c r="B226" s="158" t="str">
        <f>IFERROR(__xludf.DUMMYFUNCTION("""COMPUTED_VALUE"""),"Xbox")</f>
        <v>Xbox</v>
      </c>
      <c r="C226" s="158"/>
      <c r="D226" s="159" t="str">
        <f>IFERROR(__xludf.DUMMYFUNCTION("""COMPUTED_VALUE"""),"Active")</f>
        <v>Active</v>
      </c>
      <c r="E226" s="160">
        <f>IFERROR(__xludf.DUMMYFUNCTION("""COMPUTED_VALUE"""),44145.0)</f>
        <v>44145</v>
      </c>
      <c r="F226" s="161"/>
      <c r="G226" s="162">
        <f>IFERROR(__xludf.DUMMYFUNCTION("""COMPUTED_VALUE"""),59.166666666666664)</f>
        <v>59.16666667</v>
      </c>
      <c r="H226" s="163">
        <f>IFERROR(__xludf.DUMMYFUNCTION("""COMPUTED_VALUE"""),40519.0)</f>
        <v>40519</v>
      </c>
      <c r="I226" s="162">
        <f>IFERROR(__xludf.DUMMYFUNCTION("""COMPUTED_VALUE"""),9.925)</f>
        <v>9.925</v>
      </c>
      <c r="J226" s="164">
        <f>IFERROR(__xludf.DUMMYFUNCTION("""COMPUTED_VALUE"""),78.0)</f>
        <v>78</v>
      </c>
      <c r="K226" s="164">
        <f>IFERROR(__xludf.DUMMYFUNCTION("""COMPUTED_VALUE"""),4.5)</f>
        <v>4.5</v>
      </c>
      <c r="L226" s="158" t="str">
        <f>IFERROR(__xludf.DUMMYFUNCTION("""COMPUTED_VALUE"""),"Strategy / Puzzle")</f>
        <v>Strategy / Puzzle</v>
      </c>
      <c r="M226" s="158"/>
      <c r="N226" s="158"/>
      <c r="O226" s="158" t="str">
        <f>IFERROR(__xludf.DUMMYFUNCTION("""COMPUTED_VALUE"""),"E")</f>
        <v>E</v>
      </c>
      <c r="P226" s="158"/>
      <c r="Q226" s="158" t="str">
        <f>IFERROR(__xludf.DUMMYFUNCTION("""COMPUTED_VALUE"""),"Xbox 360")</f>
        <v>Xbox 360</v>
      </c>
      <c r="R226" s="159" t="str">
        <f>IFERROR(__xludf.DUMMYFUNCTION("""COMPUTED_VALUE"""),"Active")</f>
        <v>Active</v>
      </c>
      <c r="S226" s="160">
        <f>IFERROR(__xludf.DUMMYFUNCTION("""COMPUTED_VALUE"""),45547.0)</f>
        <v>45547</v>
      </c>
      <c r="T226" s="162">
        <f>IFERROR(__xludf.DUMMYFUNCTION("""COMPUTED_VALUE"""),46.06666666666667)</f>
        <v>46.06666667</v>
      </c>
    </row>
    <row r="227">
      <c r="A227" s="158" t="str">
        <f>IFERROR(__xludf.DUMMYFUNCTION("""COMPUTED_VALUE"""),"BLACK")</f>
        <v>BLACK</v>
      </c>
      <c r="B227" s="158" t="str">
        <f>IFERROR(__xludf.DUMMYFUNCTION("""COMPUTED_VALUE"""),"Xbox")</f>
        <v>Xbox</v>
      </c>
      <c r="C227" s="158"/>
      <c r="D227" s="159" t="str">
        <f>IFERROR(__xludf.DUMMYFUNCTION("""COMPUTED_VALUE"""),"Active")</f>
        <v>Active</v>
      </c>
      <c r="E227" s="160">
        <f>IFERROR(__xludf.DUMMYFUNCTION("""COMPUTED_VALUE"""),44145.0)</f>
        <v>44145</v>
      </c>
      <c r="F227" s="161"/>
      <c r="G227" s="162">
        <f>IFERROR(__xludf.DUMMYFUNCTION("""COMPUTED_VALUE"""),59.166666666666664)</f>
        <v>59.16666667</v>
      </c>
      <c r="H227" s="163">
        <f>IFERROR(__xludf.DUMMYFUNCTION("""COMPUTED_VALUE"""),38776.0)</f>
        <v>38776</v>
      </c>
      <c r="I227" s="162">
        <f>IFERROR(__xludf.DUMMYFUNCTION("""COMPUTED_VALUE"""),14.7)</f>
        <v>14.7</v>
      </c>
      <c r="J227" s="164">
        <f>IFERROR(__xludf.DUMMYFUNCTION("""COMPUTED_VALUE"""),77.0)</f>
        <v>77</v>
      </c>
      <c r="K227" s="164">
        <f>IFERROR(__xludf.DUMMYFUNCTION("""COMPUTED_VALUE"""),6.0)</f>
        <v>6</v>
      </c>
      <c r="L227" s="158" t="str">
        <f>IFERROR(__xludf.DUMMYFUNCTION("""COMPUTED_VALUE"""),"First-Person Shooter")</f>
        <v>First-Person Shooter</v>
      </c>
      <c r="M227" s="158"/>
      <c r="N227" s="158"/>
      <c r="O227" s="158" t="str">
        <f>IFERROR(__xludf.DUMMYFUNCTION("""COMPUTED_VALUE"""),"M")</f>
        <v>M</v>
      </c>
      <c r="P227" s="158" t="str">
        <f>IFERROR(__xludf.DUMMYFUNCTION("""COMPUTED_VALUE"""),"Strong Language, Violence")</f>
        <v>Strong Language, Violence</v>
      </c>
      <c r="Q227" s="158" t="str">
        <f>IFERROR(__xludf.DUMMYFUNCTION("""COMPUTED_VALUE"""),"OG Xbox")</f>
        <v>OG Xbox</v>
      </c>
      <c r="R227" s="159" t="str">
        <f>IFERROR(__xludf.DUMMYFUNCTION("""COMPUTED_VALUE"""),"Active")</f>
        <v>Active</v>
      </c>
      <c r="S227" s="160">
        <f>IFERROR(__xludf.DUMMYFUNCTION("""COMPUTED_VALUE"""),45547.0)</f>
        <v>45547</v>
      </c>
      <c r="T227" s="162">
        <f>IFERROR(__xludf.DUMMYFUNCTION("""COMPUTED_VALUE"""),46.06666666666667)</f>
        <v>46.06666667</v>
      </c>
    </row>
    <row r="228">
      <c r="A228" s="158" t="str">
        <f>IFERROR(__xludf.DUMMYFUNCTION("""COMPUTED_VALUE"""),"Burnout: Paradise - Remastered")</f>
        <v>Burnout: Paradise - Remastered</v>
      </c>
      <c r="B228" s="158" t="str">
        <f>IFERROR(__xludf.DUMMYFUNCTION("""COMPUTED_VALUE"""),"Xbox / PC")</f>
        <v>Xbox / PC</v>
      </c>
      <c r="C228" s="158"/>
      <c r="D228" s="159" t="str">
        <f>IFERROR(__xludf.DUMMYFUNCTION("""COMPUTED_VALUE"""),"Active")</f>
        <v>Active</v>
      </c>
      <c r="E228" s="160">
        <f>IFERROR(__xludf.DUMMYFUNCTION("""COMPUTED_VALUE"""),44145.0)</f>
        <v>44145</v>
      </c>
      <c r="F228" s="161"/>
      <c r="G228" s="162">
        <f>IFERROR(__xludf.DUMMYFUNCTION("""COMPUTED_VALUE"""),59.166666666666664)</f>
        <v>59.16666667</v>
      </c>
      <c r="H228" s="163">
        <f>IFERROR(__xludf.DUMMYFUNCTION("""COMPUTED_VALUE"""),39469.0)</f>
        <v>39469</v>
      </c>
      <c r="I228" s="162">
        <f>IFERROR(__xludf.DUMMYFUNCTION("""COMPUTED_VALUE"""),12.8)</f>
        <v>12.8</v>
      </c>
      <c r="J228" s="164">
        <f>IFERROR(__xludf.DUMMYFUNCTION("""COMPUTED_VALUE"""),79.0)</f>
        <v>79</v>
      </c>
      <c r="K228" s="164">
        <f>IFERROR(__xludf.DUMMYFUNCTION("""COMPUTED_VALUE"""),10.5)</f>
        <v>10.5</v>
      </c>
      <c r="L228" s="158" t="str">
        <f>IFERROR(__xludf.DUMMYFUNCTION("""COMPUTED_VALUE"""),"Driving/Racing")</f>
        <v>Driving/Racing</v>
      </c>
      <c r="M228" s="158"/>
      <c r="N228" s="158"/>
      <c r="O228" s="158" t="str">
        <f>IFERROR(__xludf.DUMMYFUNCTION("""COMPUTED_VALUE"""),"E10+")</f>
        <v>E10+</v>
      </c>
      <c r="P228" s="158" t="str">
        <f>IFERROR(__xludf.DUMMYFUNCTION("""COMPUTED_VALUE"""),"Mild Violence, Mild Suggestive Themes")</f>
        <v>Mild Violence, Mild Suggestive Themes</v>
      </c>
      <c r="Q228" s="158" t="str">
        <f>IFERROR(__xludf.DUMMYFUNCTION("""COMPUTED_VALUE"""),"Xbox 360")</f>
        <v>Xbox 360</v>
      </c>
      <c r="R228" s="159" t="str">
        <f>IFERROR(__xludf.DUMMYFUNCTION("""COMPUTED_VALUE"""),"Active")</f>
        <v>Active</v>
      </c>
      <c r="S228" s="160">
        <f>IFERROR(__xludf.DUMMYFUNCTION("""COMPUTED_VALUE"""),45547.0)</f>
        <v>45547</v>
      </c>
      <c r="T228" s="162">
        <f>IFERROR(__xludf.DUMMYFUNCTION("""COMPUTED_VALUE"""),46.06666666666667)</f>
        <v>46.06666667</v>
      </c>
    </row>
    <row r="229">
      <c r="A229" s="158" t="str">
        <f>IFERROR(__xludf.DUMMYFUNCTION("""COMPUTED_VALUE"""),"Crysis")</f>
        <v>Crysis</v>
      </c>
      <c r="B229" s="158" t="str">
        <f>IFERROR(__xludf.DUMMYFUNCTION("""COMPUTED_VALUE"""),"Xbox / PC")</f>
        <v>Xbox / PC</v>
      </c>
      <c r="C229" s="158"/>
      <c r="D229" s="159" t="str">
        <f>IFERROR(__xludf.DUMMYFUNCTION("""COMPUTED_VALUE"""),"Active")</f>
        <v>Active</v>
      </c>
      <c r="E229" s="160">
        <f>IFERROR(__xludf.DUMMYFUNCTION("""COMPUTED_VALUE"""),44145.0)</f>
        <v>44145</v>
      </c>
      <c r="F229" s="161"/>
      <c r="G229" s="162">
        <f>IFERROR(__xludf.DUMMYFUNCTION("""COMPUTED_VALUE"""),59.166666666666664)</f>
        <v>59.16666667</v>
      </c>
      <c r="H229" s="163">
        <f>IFERROR(__xludf.DUMMYFUNCTION("""COMPUTED_VALUE"""),39399.0)</f>
        <v>39399</v>
      </c>
      <c r="I229" s="162">
        <f>IFERROR(__xludf.DUMMYFUNCTION("""COMPUTED_VALUE"""),12.991666666666667)</f>
        <v>12.99166667</v>
      </c>
      <c r="J229" s="164">
        <f>IFERROR(__xludf.DUMMYFUNCTION("""COMPUTED_VALUE"""),81.0)</f>
        <v>81</v>
      </c>
      <c r="K229" s="164">
        <f>IFERROR(__xludf.DUMMYFUNCTION("""COMPUTED_VALUE"""),10.0)</f>
        <v>10</v>
      </c>
      <c r="L229" s="158" t="str">
        <f>IFERROR(__xludf.DUMMYFUNCTION("""COMPUTED_VALUE"""),"Action / First-Person Shooter")</f>
        <v>Action / First-Person Shooter</v>
      </c>
      <c r="M229" s="158"/>
      <c r="N229" s="158"/>
      <c r="O229" s="158" t="str">
        <f>IFERROR(__xludf.DUMMYFUNCTION("""COMPUTED_VALUE"""),"M")</f>
        <v>M</v>
      </c>
      <c r="P229" s="158" t="str">
        <f>IFERROR(__xludf.DUMMYFUNCTION("""COMPUTED_VALUE"""),"Blood, Strong Language, Violence")</f>
        <v>Blood, Strong Language, Violence</v>
      </c>
      <c r="Q229" s="158" t="str">
        <f>IFERROR(__xludf.DUMMYFUNCTION("""COMPUTED_VALUE"""),"Xbox 360")</f>
        <v>Xbox 360</v>
      </c>
      <c r="R229" s="159" t="str">
        <f>IFERROR(__xludf.DUMMYFUNCTION("""COMPUTED_VALUE"""),"Active")</f>
        <v>Active</v>
      </c>
      <c r="S229" s="160">
        <f>IFERROR(__xludf.DUMMYFUNCTION("""COMPUTED_VALUE"""),45547.0)</f>
        <v>45547</v>
      </c>
      <c r="T229" s="162">
        <f>IFERROR(__xludf.DUMMYFUNCTION("""COMPUTED_VALUE"""),46.06666666666667)</f>
        <v>46.06666667</v>
      </c>
    </row>
    <row r="230">
      <c r="A230" s="158" t="str">
        <f>IFERROR(__xludf.DUMMYFUNCTION("""COMPUTED_VALUE"""),"Crysis 2: Maximum Edition")</f>
        <v>Crysis 2: Maximum Edition</v>
      </c>
      <c r="B230" s="158" t="str">
        <f>IFERROR(__xludf.DUMMYFUNCTION("""COMPUTED_VALUE"""),"Xbox / PC")</f>
        <v>Xbox / PC</v>
      </c>
      <c r="C230" s="158"/>
      <c r="D230" s="159" t="str">
        <f>IFERROR(__xludf.DUMMYFUNCTION("""COMPUTED_VALUE"""),"Active")</f>
        <v>Active</v>
      </c>
      <c r="E230" s="160">
        <f>IFERROR(__xludf.DUMMYFUNCTION("""COMPUTED_VALUE"""),44145.0)</f>
        <v>44145</v>
      </c>
      <c r="F230" s="161"/>
      <c r="G230" s="162">
        <f>IFERROR(__xludf.DUMMYFUNCTION("""COMPUTED_VALUE"""),59.166666666666664)</f>
        <v>59.16666667</v>
      </c>
      <c r="H230" s="163">
        <f>IFERROR(__xludf.DUMMYFUNCTION("""COMPUTED_VALUE"""),40624.0)</f>
        <v>40624</v>
      </c>
      <c r="I230" s="162">
        <f>IFERROR(__xludf.DUMMYFUNCTION("""COMPUTED_VALUE"""),9.633333333333333)</f>
        <v>9.633333333</v>
      </c>
      <c r="J230" s="164">
        <f>IFERROR(__xludf.DUMMYFUNCTION("""COMPUTED_VALUE"""),84.0)</f>
        <v>84</v>
      </c>
      <c r="K230" s="164">
        <f>IFERROR(__xludf.DUMMYFUNCTION("""COMPUTED_VALUE"""),9.0)</f>
        <v>9</v>
      </c>
      <c r="L230" s="158" t="str">
        <f>IFERROR(__xludf.DUMMYFUNCTION("""COMPUTED_VALUE"""),"First-Person Shooter")</f>
        <v>First-Person Shooter</v>
      </c>
      <c r="M230" s="158"/>
      <c r="N230" s="158" t="str">
        <f>IFERROR(__xludf.DUMMYFUNCTION("""COMPUTED_VALUE"""),"Enhanced edition only on PC")</f>
        <v>Enhanced edition only on PC</v>
      </c>
      <c r="O230" s="158" t="str">
        <f>IFERROR(__xludf.DUMMYFUNCTION("""COMPUTED_VALUE"""),"M")</f>
        <v>M</v>
      </c>
      <c r="P230" s="158" t="str">
        <f>IFERROR(__xludf.DUMMYFUNCTION("""COMPUTED_VALUE"""),"Blood, Partial Nudity, Strong Language, Violence")</f>
        <v>Blood, Partial Nudity, Strong Language, Violence</v>
      </c>
      <c r="Q230" s="158" t="str">
        <f>IFERROR(__xludf.DUMMYFUNCTION("""COMPUTED_VALUE"""),"Xbox 360")</f>
        <v>Xbox 360</v>
      </c>
      <c r="R230" s="159" t="str">
        <f>IFERROR(__xludf.DUMMYFUNCTION("""COMPUTED_VALUE"""),"Active")</f>
        <v>Active</v>
      </c>
      <c r="S230" s="160">
        <f>IFERROR(__xludf.DUMMYFUNCTION("""COMPUTED_VALUE"""),45547.0)</f>
        <v>45547</v>
      </c>
      <c r="T230" s="162">
        <f>IFERROR(__xludf.DUMMYFUNCTION("""COMPUTED_VALUE"""),46.06666666666667)</f>
        <v>46.06666667</v>
      </c>
    </row>
    <row r="231">
      <c r="A231" s="158" t="str">
        <f>IFERROR(__xludf.DUMMYFUNCTION("""COMPUTED_VALUE"""),"Crysis 3")</f>
        <v>Crysis 3</v>
      </c>
      <c r="B231" s="158" t="str">
        <f>IFERROR(__xludf.DUMMYFUNCTION("""COMPUTED_VALUE"""),"Xbox / PC")</f>
        <v>Xbox / PC</v>
      </c>
      <c r="C231" s="158"/>
      <c r="D231" s="159" t="str">
        <f>IFERROR(__xludf.DUMMYFUNCTION("""COMPUTED_VALUE"""),"Active")</f>
        <v>Active</v>
      </c>
      <c r="E231" s="160">
        <f>IFERROR(__xludf.DUMMYFUNCTION("""COMPUTED_VALUE"""),44145.0)</f>
        <v>44145</v>
      </c>
      <c r="F231" s="161"/>
      <c r="G231" s="162">
        <f>IFERROR(__xludf.DUMMYFUNCTION("""COMPUTED_VALUE"""),59.166666666666664)</f>
        <v>59.16666667</v>
      </c>
      <c r="H231" s="163">
        <f>IFERROR(__xludf.DUMMYFUNCTION("""COMPUTED_VALUE"""),41324.0)</f>
        <v>41324</v>
      </c>
      <c r="I231" s="162">
        <f>IFERROR(__xludf.DUMMYFUNCTION("""COMPUTED_VALUE"""),7.725)</f>
        <v>7.725</v>
      </c>
      <c r="J231" s="164">
        <f>IFERROR(__xludf.DUMMYFUNCTION("""COMPUTED_VALUE"""),76.0)</f>
        <v>76</v>
      </c>
      <c r="K231" s="164">
        <f>IFERROR(__xludf.DUMMYFUNCTION("""COMPUTED_VALUE"""),7.0)</f>
        <v>7</v>
      </c>
      <c r="L231" s="158" t="str">
        <f>IFERROR(__xludf.DUMMYFUNCTION("""COMPUTED_VALUE"""),"First-Person Shooter")</f>
        <v>First-Person Shooter</v>
      </c>
      <c r="M231" s="158"/>
      <c r="N231" s="158"/>
      <c r="O231" s="158" t="str">
        <f>IFERROR(__xludf.DUMMYFUNCTION("""COMPUTED_VALUE"""),"M")</f>
        <v>M</v>
      </c>
      <c r="P231" s="158" t="str">
        <f>IFERROR(__xludf.DUMMYFUNCTION("""COMPUTED_VALUE"""),"Blood, Strong Language, Violence")</f>
        <v>Blood, Strong Language, Violence</v>
      </c>
      <c r="Q231" s="158" t="str">
        <f>IFERROR(__xludf.DUMMYFUNCTION("""COMPUTED_VALUE"""),"Xbox 360")</f>
        <v>Xbox 360</v>
      </c>
      <c r="R231" s="159" t="str">
        <f>IFERROR(__xludf.DUMMYFUNCTION("""COMPUTED_VALUE"""),"Active")</f>
        <v>Active</v>
      </c>
      <c r="S231" s="160">
        <f>IFERROR(__xludf.DUMMYFUNCTION("""COMPUTED_VALUE"""),45547.0)</f>
        <v>45547</v>
      </c>
      <c r="T231" s="162">
        <f>IFERROR(__xludf.DUMMYFUNCTION("""COMPUTED_VALUE"""),46.06666666666667)</f>
        <v>46.06666667</v>
      </c>
    </row>
    <row r="232">
      <c r="A232" s="158" t="str">
        <f>IFERROR(__xludf.DUMMYFUNCTION("""COMPUTED_VALUE"""),"Dante's Inferno")</f>
        <v>Dante's Inferno</v>
      </c>
      <c r="B232" s="158" t="str">
        <f>IFERROR(__xludf.DUMMYFUNCTION("""COMPUTED_VALUE"""),"Xbox")</f>
        <v>Xbox</v>
      </c>
      <c r="C232" s="158"/>
      <c r="D232" s="159" t="str">
        <f>IFERROR(__xludf.DUMMYFUNCTION("""COMPUTED_VALUE"""),"Active")</f>
        <v>Active</v>
      </c>
      <c r="E232" s="160">
        <f>IFERROR(__xludf.DUMMYFUNCTION("""COMPUTED_VALUE"""),44145.0)</f>
        <v>44145</v>
      </c>
      <c r="F232" s="161"/>
      <c r="G232" s="162">
        <f>IFERROR(__xludf.DUMMYFUNCTION("""COMPUTED_VALUE"""),59.166666666666664)</f>
        <v>59.16666667</v>
      </c>
      <c r="H232" s="163">
        <f>IFERROR(__xludf.DUMMYFUNCTION("""COMPUTED_VALUE"""),40218.0)</f>
        <v>40218</v>
      </c>
      <c r="I232" s="162">
        <f>IFERROR(__xludf.DUMMYFUNCTION("""COMPUTED_VALUE"""),10.752777777777778)</f>
        <v>10.75277778</v>
      </c>
      <c r="J232" s="164">
        <f>IFERROR(__xludf.DUMMYFUNCTION("""COMPUTED_VALUE"""),73.0)</f>
        <v>73</v>
      </c>
      <c r="K232" s="164">
        <f>IFERROR(__xludf.DUMMYFUNCTION("""COMPUTED_VALUE"""),8.0)</f>
        <v>8</v>
      </c>
      <c r="L232" s="158" t="str">
        <f>IFERROR(__xludf.DUMMYFUNCTION("""COMPUTED_VALUE"""),"Action")</f>
        <v>Action</v>
      </c>
      <c r="M232" s="158"/>
      <c r="N232" s="158"/>
      <c r="O232" s="158" t="str">
        <f>IFERROR(__xludf.DUMMYFUNCTION("""COMPUTED_VALUE"""),"M")</f>
        <v>M</v>
      </c>
      <c r="P232" s="158" t="str">
        <f>IFERROR(__xludf.DUMMYFUNCTION("""COMPUTED_VALUE"""),"Blood and Gore, Intense Violence, Nudity, Sexual Content")</f>
        <v>Blood and Gore, Intense Violence, Nudity, Sexual Content</v>
      </c>
      <c r="Q232" s="158" t="str">
        <f>IFERROR(__xludf.DUMMYFUNCTION("""COMPUTED_VALUE"""),"Xbox 360")</f>
        <v>Xbox 360</v>
      </c>
      <c r="R232" s="159" t="str">
        <f>IFERROR(__xludf.DUMMYFUNCTION("""COMPUTED_VALUE"""),"Active")</f>
        <v>Active</v>
      </c>
      <c r="S232" s="160">
        <f>IFERROR(__xludf.DUMMYFUNCTION("""COMPUTED_VALUE"""),45547.0)</f>
        <v>45547</v>
      </c>
      <c r="T232" s="162">
        <f>IFERROR(__xludf.DUMMYFUNCTION("""COMPUTED_VALUE"""),46.06666666666667)</f>
        <v>46.06666667</v>
      </c>
    </row>
    <row r="233">
      <c r="A233" s="158" t="str">
        <f>IFERROR(__xludf.DUMMYFUNCTION("""COMPUTED_VALUE"""),"Dead Space")</f>
        <v>Dead Space</v>
      </c>
      <c r="B233" s="158" t="str">
        <f>IFERROR(__xludf.DUMMYFUNCTION("""COMPUTED_VALUE"""),"Xbox / PC")</f>
        <v>Xbox / PC</v>
      </c>
      <c r="C233" s="158" t="str">
        <f>IFERROR(__xludf.DUMMYFUNCTION("""COMPUTED_VALUE"""),"Yes")</f>
        <v>Yes</v>
      </c>
      <c r="D233" s="159" t="str">
        <f>IFERROR(__xludf.DUMMYFUNCTION("""COMPUTED_VALUE"""),"Active")</f>
        <v>Active</v>
      </c>
      <c r="E233" s="160">
        <f>IFERROR(__xludf.DUMMYFUNCTION("""COMPUTED_VALUE"""),44145.0)</f>
        <v>44145</v>
      </c>
      <c r="F233" s="161"/>
      <c r="G233" s="162">
        <f>IFERROR(__xludf.DUMMYFUNCTION("""COMPUTED_VALUE"""),59.166666666666664)</f>
        <v>59.16666667</v>
      </c>
      <c r="H233" s="163">
        <f>IFERROR(__xludf.DUMMYFUNCTION("""COMPUTED_VALUE"""),39735.0)</f>
        <v>39735</v>
      </c>
      <c r="I233" s="162">
        <f>IFERROR(__xludf.DUMMYFUNCTION("""COMPUTED_VALUE"""),12.072222222222223)</f>
        <v>12.07222222</v>
      </c>
      <c r="J233" s="164">
        <f>IFERROR(__xludf.DUMMYFUNCTION("""COMPUTED_VALUE"""),89.0)</f>
        <v>89</v>
      </c>
      <c r="K233" s="164">
        <f>IFERROR(__xludf.DUMMYFUNCTION("""COMPUTED_VALUE"""),11.0)</f>
        <v>11</v>
      </c>
      <c r="L233" s="158" t="str">
        <f>IFERROR(__xludf.DUMMYFUNCTION("""COMPUTED_VALUE"""),"Action")</f>
        <v>Action</v>
      </c>
      <c r="M233" s="158"/>
      <c r="N233" s="158"/>
      <c r="O233" s="158" t="str">
        <f>IFERROR(__xludf.DUMMYFUNCTION("""COMPUTED_VALUE"""),"M")</f>
        <v>M</v>
      </c>
      <c r="P233" s="158" t="str">
        <f>IFERROR(__xludf.DUMMYFUNCTION("""COMPUTED_VALUE"""),"Blood and Gore, Strong Language, Intense Violence")</f>
        <v>Blood and Gore, Strong Language, Intense Violence</v>
      </c>
      <c r="Q233" s="158" t="str">
        <f>IFERROR(__xludf.DUMMYFUNCTION("""COMPUTED_VALUE"""),"Xbox 360")</f>
        <v>Xbox 360</v>
      </c>
      <c r="R233" s="159" t="str">
        <f>IFERROR(__xludf.DUMMYFUNCTION("""COMPUTED_VALUE"""),"Active")</f>
        <v>Active</v>
      </c>
      <c r="S233" s="160">
        <f>IFERROR(__xludf.DUMMYFUNCTION("""COMPUTED_VALUE"""),45547.0)</f>
        <v>45547</v>
      </c>
      <c r="T233" s="162">
        <f>IFERROR(__xludf.DUMMYFUNCTION("""COMPUTED_VALUE"""),46.06666666666667)</f>
        <v>46.06666667</v>
      </c>
    </row>
    <row r="234">
      <c r="A234" s="158" t="str">
        <f>IFERROR(__xludf.DUMMYFUNCTION("""COMPUTED_VALUE"""),"Dead Space 2")</f>
        <v>Dead Space 2</v>
      </c>
      <c r="B234" s="158" t="str">
        <f>IFERROR(__xludf.DUMMYFUNCTION("""COMPUTED_VALUE"""),"Xbox / PC")</f>
        <v>Xbox / PC</v>
      </c>
      <c r="C234" s="158" t="str">
        <f>IFERROR(__xludf.DUMMYFUNCTION("""COMPUTED_VALUE"""),"Yes")</f>
        <v>Yes</v>
      </c>
      <c r="D234" s="159" t="str">
        <f>IFERROR(__xludf.DUMMYFUNCTION("""COMPUTED_VALUE"""),"Active")</f>
        <v>Active</v>
      </c>
      <c r="E234" s="160">
        <f>IFERROR(__xludf.DUMMYFUNCTION("""COMPUTED_VALUE"""),44145.0)</f>
        <v>44145</v>
      </c>
      <c r="F234" s="161"/>
      <c r="G234" s="162">
        <f>IFERROR(__xludf.DUMMYFUNCTION("""COMPUTED_VALUE"""),59.166666666666664)</f>
        <v>59.16666667</v>
      </c>
      <c r="H234" s="163">
        <f>IFERROR(__xludf.DUMMYFUNCTION("""COMPUTED_VALUE"""),40568.0)</f>
        <v>40568</v>
      </c>
      <c r="I234" s="162">
        <f>IFERROR(__xludf.DUMMYFUNCTION("""COMPUTED_VALUE"""),9.791666666666666)</f>
        <v>9.791666667</v>
      </c>
      <c r="J234" s="164">
        <f>IFERROR(__xludf.DUMMYFUNCTION("""COMPUTED_VALUE"""),90.0)</f>
        <v>90</v>
      </c>
      <c r="K234" s="164">
        <f>IFERROR(__xludf.DUMMYFUNCTION("""COMPUTED_VALUE"""),9.0)</f>
        <v>9</v>
      </c>
      <c r="L234" s="158" t="str">
        <f>IFERROR(__xludf.DUMMYFUNCTION("""COMPUTED_VALUE"""),"Action / Shooter")</f>
        <v>Action / Shooter</v>
      </c>
      <c r="M234" s="158" t="str">
        <f>IFERROR(__xludf.DUMMYFUNCTION("""COMPUTED_VALUE"""),"FPS Boost")</f>
        <v>FPS Boost</v>
      </c>
      <c r="N234" s="158" t="str">
        <f>IFERROR(__xludf.DUMMYFUNCTION("""COMPUTED_VALUE"""),"Joined cloud 3/9/23")</f>
        <v>Joined cloud 3/9/23</v>
      </c>
      <c r="O234" s="158" t="str">
        <f>IFERROR(__xludf.DUMMYFUNCTION("""COMPUTED_VALUE"""),"M")</f>
        <v>M</v>
      </c>
      <c r="P234" s="158" t="str">
        <f>IFERROR(__xludf.DUMMYFUNCTION("""COMPUTED_VALUE"""),"Blood and Gore, Strong Language, Intense Violence")</f>
        <v>Blood and Gore, Strong Language, Intense Violence</v>
      </c>
      <c r="Q234" s="158" t="str">
        <f>IFERROR(__xludf.DUMMYFUNCTION("""COMPUTED_VALUE"""),"Xbox 360")</f>
        <v>Xbox 360</v>
      </c>
      <c r="R234" s="159" t="str">
        <f>IFERROR(__xludf.DUMMYFUNCTION("""COMPUTED_VALUE"""),"Active")</f>
        <v>Active</v>
      </c>
      <c r="S234" s="160">
        <f>IFERROR(__xludf.DUMMYFUNCTION("""COMPUTED_VALUE"""),45547.0)</f>
        <v>45547</v>
      </c>
      <c r="T234" s="162">
        <f>IFERROR(__xludf.DUMMYFUNCTION("""COMPUTED_VALUE"""),46.06666666666667)</f>
        <v>46.06666667</v>
      </c>
    </row>
    <row r="235">
      <c r="A235" s="158" t="str">
        <f>IFERROR(__xludf.DUMMYFUNCTION("""COMPUTED_VALUE"""),"Dead Space 3")</f>
        <v>Dead Space 3</v>
      </c>
      <c r="B235" s="158" t="str">
        <f>IFERROR(__xludf.DUMMYFUNCTION("""COMPUTED_VALUE"""),"Xbox / PC")</f>
        <v>Xbox / PC</v>
      </c>
      <c r="C235" s="158" t="str">
        <f>IFERROR(__xludf.DUMMYFUNCTION("""COMPUTED_VALUE"""),"Yes")</f>
        <v>Yes</v>
      </c>
      <c r="D235" s="159" t="str">
        <f>IFERROR(__xludf.DUMMYFUNCTION("""COMPUTED_VALUE"""),"Active")</f>
        <v>Active</v>
      </c>
      <c r="E235" s="160">
        <f>IFERROR(__xludf.DUMMYFUNCTION("""COMPUTED_VALUE"""),44145.0)</f>
        <v>44145</v>
      </c>
      <c r="F235" s="161"/>
      <c r="G235" s="162">
        <f>IFERROR(__xludf.DUMMYFUNCTION("""COMPUTED_VALUE"""),59.166666666666664)</f>
        <v>59.16666667</v>
      </c>
      <c r="H235" s="163">
        <f>IFERROR(__xludf.DUMMYFUNCTION("""COMPUTED_VALUE"""),41310.0)</f>
        <v>41310</v>
      </c>
      <c r="I235" s="162">
        <f>IFERROR(__xludf.DUMMYFUNCTION("""COMPUTED_VALUE"""),7.763888888888889)</f>
        <v>7.763888889</v>
      </c>
      <c r="J235" s="164">
        <f>IFERROR(__xludf.DUMMYFUNCTION("""COMPUTED_VALUE"""),78.0)</f>
        <v>78</v>
      </c>
      <c r="K235" s="164">
        <f>IFERROR(__xludf.DUMMYFUNCTION("""COMPUTED_VALUE"""),13.0)</f>
        <v>13</v>
      </c>
      <c r="L235" s="158" t="str">
        <f>IFERROR(__xludf.DUMMYFUNCTION("""COMPUTED_VALUE"""),"Action / Shooter")</f>
        <v>Action / Shooter</v>
      </c>
      <c r="M235" s="158" t="str">
        <f>IFERROR(__xludf.DUMMYFUNCTION("""COMPUTED_VALUE"""),"FPS Boost")</f>
        <v>FPS Boost</v>
      </c>
      <c r="N235" s="158" t="str">
        <f>IFERROR(__xludf.DUMMYFUNCTION("""COMPUTED_VALUE"""),"Joined cloud 3/9/23")</f>
        <v>Joined cloud 3/9/23</v>
      </c>
      <c r="O235" s="158" t="str">
        <f>IFERROR(__xludf.DUMMYFUNCTION("""COMPUTED_VALUE"""),"M")</f>
        <v>M</v>
      </c>
      <c r="P235" s="158" t="str">
        <f>IFERROR(__xludf.DUMMYFUNCTION("""COMPUTED_VALUE"""),"Blood and Gore, Strong Language, Intense Violence")</f>
        <v>Blood and Gore, Strong Language, Intense Violence</v>
      </c>
      <c r="Q235" s="158" t="str">
        <f>IFERROR(__xludf.DUMMYFUNCTION("""COMPUTED_VALUE"""),"Xbox 360")</f>
        <v>Xbox 360</v>
      </c>
      <c r="R235" s="159" t="str">
        <f>IFERROR(__xludf.DUMMYFUNCTION("""COMPUTED_VALUE"""),"Active")</f>
        <v>Active</v>
      </c>
      <c r="S235" s="160">
        <f>IFERROR(__xludf.DUMMYFUNCTION("""COMPUTED_VALUE"""),45547.0)</f>
        <v>45547</v>
      </c>
      <c r="T235" s="162">
        <f>IFERROR(__xludf.DUMMYFUNCTION("""COMPUTED_VALUE"""),46.06666666666667)</f>
        <v>46.06666667</v>
      </c>
    </row>
    <row r="236">
      <c r="A236" s="158" t="str">
        <f>IFERROR(__xludf.DUMMYFUNCTION("""COMPUTED_VALUE"""),"Dead Space: Ignition")</f>
        <v>Dead Space: Ignition</v>
      </c>
      <c r="B236" s="158" t="str">
        <f>IFERROR(__xludf.DUMMYFUNCTION("""COMPUTED_VALUE"""),"Xbox")</f>
        <v>Xbox</v>
      </c>
      <c r="C236" s="158"/>
      <c r="D236" s="159" t="str">
        <f>IFERROR(__xludf.DUMMYFUNCTION("""COMPUTED_VALUE"""),"Active")</f>
        <v>Active</v>
      </c>
      <c r="E236" s="160">
        <f>IFERROR(__xludf.DUMMYFUNCTION("""COMPUTED_VALUE"""),44145.0)</f>
        <v>44145</v>
      </c>
      <c r="F236" s="161"/>
      <c r="G236" s="162">
        <f>IFERROR(__xludf.DUMMYFUNCTION("""COMPUTED_VALUE"""),59.166666666666664)</f>
        <v>59.16666667</v>
      </c>
      <c r="H236" s="163">
        <f>IFERROR(__xludf.DUMMYFUNCTION("""COMPUTED_VALUE"""),40463.0)</f>
        <v>40463</v>
      </c>
      <c r="I236" s="162">
        <f>IFERROR(__xludf.DUMMYFUNCTION("""COMPUTED_VALUE"""),10.077777777777778)</f>
        <v>10.07777778</v>
      </c>
      <c r="J236" s="164">
        <f>IFERROR(__xludf.DUMMYFUNCTION("""COMPUTED_VALUE"""),35.0)</f>
        <v>35</v>
      </c>
      <c r="K236" s="164">
        <f>IFERROR(__xludf.DUMMYFUNCTION("""COMPUTED_VALUE"""),1.5)</f>
        <v>1.5</v>
      </c>
      <c r="L236" s="158" t="str">
        <f>IFERROR(__xludf.DUMMYFUNCTION("""COMPUTED_VALUE"""),"Puzzle")</f>
        <v>Puzzle</v>
      </c>
      <c r="M236" s="158"/>
      <c r="N236" s="158"/>
      <c r="O236" s="158" t="str">
        <f>IFERROR(__xludf.DUMMYFUNCTION("""COMPUTED_VALUE"""),"M")</f>
        <v>M</v>
      </c>
      <c r="P236" s="158" t="str">
        <f>IFERROR(__xludf.DUMMYFUNCTION("""COMPUTED_VALUE"""),"Blood and Gore, Strong Language, Intense Violence")</f>
        <v>Blood and Gore, Strong Language, Intense Violence</v>
      </c>
      <c r="Q236" s="158" t="str">
        <f>IFERROR(__xludf.DUMMYFUNCTION("""COMPUTED_VALUE"""),"Xbox 360")</f>
        <v>Xbox 360</v>
      </c>
      <c r="R236" s="159" t="str">
        <f>IFERROR(__xludf.DUMMYFUNCTION("""COMPUTED_VALUE"""),"Active")</f>
        <v>Active</v>
      </c>
      <c r="S236" s="160">
        <f>IFERROR(__xludf.DUMMYFUNCTION("""COMPUTED_VALUE"""),45547.0)</f>
        <v>45547</v>
      </c>
      <c r="T236" s="162">
        <f>IFERROR(__xludf.DUMMYFUNCTION("""COMPUTED_VALUE"""),46.06666666666667)</f>
        <v>46.06666667</v>
      </c>
    </row>
    <row r="237">
      <c r="A237" s="158" t="str">
        <f>IFERROR(__xludf.DUMMYFUNCTION("""COMPUTED_VALUE"""),"Dragon Age II")</f>
        <v>Dragon Age II</v>
      </c>
      <c r="B237" s="158" t="str">
        <f>IFERROR(__xludf.DUMMYFUNCTION("""COMPUTED_VALUE"""),"Xbox / PC")</f>
        <v>Xbox / PC</v>
      </c>
      <c r="C237" s="158" t="str">
        <f>IFERROR(__xludf.DUMMYFUNCTION("""COMPUTED_VALUE"""),"Touch Controls")</f>
        <v>Touch Controls</v>
      </c>
      <c r="D237" s="159" t="str">
        <f>IFERROR(__xludf.DUMMYFUNCTION("""COMPUTED_VALUE"""),"Active")</f>
        <v>Active</v>
      </c>
      <c r="E237" s="160">
        <f>IFERROR(__xludf.DUMMYFUNCTION("""COMPUTED_VALUE"""),44145.0)</f>
        <v>44145</v>
      </c>
      <c r="F237" s="161"/>
      <c r="G237" s="162">
        <f>IFERROR(__xludf.DUMMYFUNCTION("""COMPUTED_VALUE"""),59.166666666666664)</f>
        <v>59.16666667</v>
      </c>
      <c r="H237" s="163">
        <f>IFERROR(__xludf.DUMMYFUNCTION("""COMPUTED_VALUE"""),40610.0)</f>
        <v>40610</v>
      </c>
      <c r="I237" s="162">
        <f>IFERROR(__xludf.DUMMYFUNCTION("""COMPUTED_VALUE"""),9.672222222222222)</f>
        <v>9.672222222</v>
      </c>
      <c r="J237" s="164">
        <f>IFERROR(__xludf.DUMMYFUNCTION("""COMPUTED_VALUE"""),79.0)</f>
        <v>79</v>
      </c>
      <c r="K237" s="164">
        <f>IFERROR(__xludf.DUMMYFUNCTION("""COMPUTED_VALUE"""),26.5)</f>
        <v>26.5</v>
      </c>
      <c r="L237" s="158" t="str">
        <f>IFERROR(__xludf.DUMMYFUNCTION("""COMPUTED_VALUE"""),"RPG")</f>
        <v>RPG</v>
      </c>
      <c r="M237" s="158" t="str">
        <f>IFERROR(__xludf.DUMMYFUNCTION("""COMPUTED_VALUE"""),"FPS Boost")</f>
        <v>FPS Boost</v>
      </c>
      <c r="N237" s="158" t="str">
        <f>IFERROR(__xludf.DUMMYFUNCTION("""COMPUTED_VALUE"""),"Added to cloud 4/7/22")</f>
        <v>Added to cloud 4/7/22</v>
      </c>
      <c r="O237" s="158" t="str">
        <f>IFERROR(__xludf.DUMMYFUNCTION("""COMPUTED_VALUE"""),"M")</f>
        <v>M</v>
      </c>
      <c r="P237" s="158" t="str">
        <f>IFERROR(__xludf.DUMMYFUNCTION("""COMPUTED_VALUE"""),"Blood and Gore, Sexual Content, Violence, Language")</f>
        <v>Blood and Gore, Sexual Content, Violence, Language</v>
      </c>
      <c r="Q237" s="158" t="str">
        <f>IFERROR(__xludf.DUMMYFUNCTION("""COMPUTED_VALUE"""),"Xbox 360")</f>
        <v>Xbox 360</v>
      </c>
      <c r="R237" s="159" t="str">
        <f>IFERROR(__xludf.DUMMYFUNCTION("""COMPUTED_VALUE"""),"Active")</f>
        <v>Active</v>
      </c>
      <c r="S237" s="160">
        <f>IFERROR(__xludf.DUMMYFUNCTION("""COMPUTED_VALUE"""),45547.0)</f>
        <v>45547</v>
      </c>
      <c r="T237" s="162">
        <f>IFERROR(__xludf.DUMMYFUNCTION("""COMPUTED_VALUE"""),46.06666666666667)</f>
        <v>46.06666667</v>
      </c>
    </row>
    <row r="238">
      <c r="A238" s="158" t="str">
        <f>IFERROR(__xludf.DUMMYFUNCTION("""COMPUTED_VALUE"""),"Dragon Age: Inquisition - Game of the Year Edition")</f>
        <v>Dragon Age: Inquisition - Game of the Year Edition</v>
      </c>
      <c r="B238" s="158" t="str">
        <f>IFERROR(__xludf.DUMMYFUNCTION("""COMPUTED_VALUE"""),"Xbox / PC")</f>
        <v>Xbox / PC</v>
      </c>
      <c r="C238" s="158" t="str">
        <f>IFERROR(__xludf.DUMMYFUNCTION("""COMPUTED_VALUE"""),"Yes")</f>
        <v>Yes</v>
      </c>
      <c r="D238" s="159" t="str">
        <f>IFERROR(__xludf.DUMMYFUNCTION("""COMPUTED_VALUE"""),"Active")</f>
        <v>Active</v>
      </c>
      <c r="E238" s="160">
        <f>IFERROR(__xludf.DUMMYFUNCTION("""COMPUTED_VALUE"""),44145.0)</f>
        <v>44145</v>
      </c>
      <c r="F238" s="161"/>
      <c r="G238" s="162">
        <f>IFERROR(__xludf.DUMMYFUNCTION("""COMPUTED_VALUE"""),59.166666666666664)</f>
        <v>59.16666667</v>
      </c>
      <c r="H238" s="163">
        <f>IFERROR(__xludf.DUMMYFUNCTION("""COMPUTED_VALUE"""),41961.0)</f>
        <v>41961</v>
      </c>
      <c r="I238" s="162">
        <f>IFERROR(__xludf.DUMMYFUNCTION("""COMPUTED_VALUE"""),5.977777777777778)</f>
        <v>5.977777778</v>
      </c>
      <c r="J238" s="164">
        <f>IFERROR(__xludf.DUMMYFUNCTION("""COMPUTED_VALUE"""),86.0)</f>
        <v>86</v>
      </c>
      <c r="K238" s="164">
        <f>IFERROR(__xludf.DUMMYFUNCTION("""COMPUTED_VALUE"""),46.5)</f>
        <v>46.5</v>
      </c>
      <c r="L238" s="158" t="str">
        <f>IFERROR(__xludf.DUMMYFUNCTION("""COMPUTED_VALUE"""),"Action / RPG")</f>
        <v>Action / RPG</v>
      </c>
      <c r="M238" s="158" t="str">
        <f>IFERROR(__xludf.DUMMYFUNCTION("""COMPUTED_VALUE"""),"FPS Boost")</f>
        <v>FPS Boost</v>
      </c>
      <c r="N238" s="158" t="str">
        <f>IFERROR(__xludf.DUMMYFUNCTION("""COMPUTED_VALUE"""),"Enhanced edition only on PC")</f>
        <v>Enhanced edition only on PC</v>
      </c>
      <c r="O238" s="158" t="str">
        <f>IFERROR(__xludf.DUMMYFUNCTION("""COMPUTED_VALUE"""),"M")</f>
        <v>M</v>
      </c>
      <c r="P238" s="158" t="str">
        <f>IFERROR(__xludf.DUMMYFUNCTION("""COMPUTED_VALUE"""),"Nudity, Blood, Sexual Content, Strong Language, Intense Violence")</f>
        <v>Nudity, Blood, Sexual Content, Strong Language, Intense Violence</v>
      </c>
      <c r="Q238" s="158"/>
      <c r="R238" s="159" t="str">
        <f>IFERROR(__xludf.DUMMYFUNCTION("""COMPUTED_VALUE"""),"Active")</f>
        <v>Active</v>
      </c>
      <c r="S238" s="160">
        <f>IFERROR(__xludf.DUMMYFUNCTION("""COMPUTED_VALUE"""),45547.0)</f>
        <v>45547</v>
      </c>
      <c r="T238" s="162">
        <f>IFERROR(__xludf.DUMMYFUNCTION("""COMPUTED_VALUE"""),46.06666666666667)</f>
        <v>46.06666667</v>
      </c>
    </row>
    <row r="239">
      <c r="A239" s="158" t="str">
        <f>IFERROR(__xludf.DUMMYFUNCTION("""COMPUTED_VALUE"""),"Dragon Age: Origins - Ultimate Edition")</f>
        <v>Dragon Age: Origins - Ultimate Edition</v>
      </c>
      <c r="B239" s="158" t="str">
        <f>IFERROR(__xludf.DUMMYFUNCTION("""COMPUTED_VALUE"""),"Xbox / PC")</f>
        <v>Xbox / PC</v>
      </c>
      <c r="C239" s="158" t="str">
        <f>IFERROR(__xludf.DUMMYFUNCTION("""COMPUTED_VALUE"""),"Touch Controls")</f>
        <v>Touch Controls</v>
      </c>
      <c r="D239" s="159" t="str">
        <f>IFERROR(__xludf.DUMMYFUNCTION("""COMPUTED_VALUE"""),"Active")</f>
        <v>Active</v>
      </c>
      <c r="E239" s="160">
        <f>IFERROR(__xludf.DUMMYFUNCTION("""COMPUTED_VALUE"""),44145.0)</f>
        <v>44145</v>
      </c>
      <c r="F239" s="161"/>
      <c r="G239" s="162">
        <f>IFERROR(__xludf.DUMMYFUNCTION("""COMPUTED_VALUE"""),59.166666666666664)</f>
        <v>59.16666667</v>
      </c>
      <c r="H239" s="163">
        <f>IFERROR(__xludf.DUMMYFUNCTION("""COMPUTED_VALUE"""),40120.0)</f>
        <v>40120</v>
      </c>
      <c r="I239" s="162">
        <f>IFERROR(__xludf.DUMMYFUNCTION("""COMPUTED_VALUE"""),11.019444444444444)</f>
        <v>11.01944444</v>
      </c>
      <c r="J239" s="164">
        <f>IFERROR(__xludf.DUMMYFUNCTION("""COMPUTED_VALUE"""),86.0)</f>
        <v>86</v>
      </c>
      <c r="K239" s="164">
        <f>IFERROR(__xludf.DUMMYFUNCTION("""COMPUTED_VALUE"""),40.5)</f>
        <v>40.5</v>
      </c>
      <c r="L239" s="158" t="str">
        <f>IFERROR(__xludf.DUMMYFUNCTION("""COMPUTED_VALUE"""),"RPG")</f>
        <v>RPG</v>
      </c>
      <c r="M239" s="158" t="str">
        <f>IFERROR(__xludf.DUMMYFUNCTION("""COMPUTED_VALUE"""),"FPS Boost")</f>
        <v>FPS Boost</v>
      </c>
      <c r="N239" s="158" t="str">
        <f>IFERROR(__xludf.DUMMYFUNCTION("""COMPUTED_VALUE"""),"Enhanced edition only on PC")</f>
        <v>Enhanced edition only on PC</v>
      </c>
      <c r="O239" s="158" t="str">
        <f>IFERROR(__xludf.DUMMYFUNCTION("""COMPUTED_VALUE"""),"M")</f>
        <v>M</v>
      </c>
      <c r="P239" s="158" t="str">
        <f>IFERROR(__xludf.DUMMYFUNCTION("""COMPUTED_VALUE"""),"Blood, Intense Violence, Language, Partial Nudity, Sexual Themes")</f>
        <v>Blood, Intense Violence, Language, Partial Nudity, Sexual Themes</v>
      </c>
      <c r="Q239" s="158" t="str">
        <f>IFERROR(__xludf.DUMMYFUNCTION("""COMPUTED_VALUE"""),"Xbox 360")</f>
        <v>Xbox 360</v>
      </c>
      <c r="R239" s="159" t="str">
        <f>IFERROR(__xludf.DUMMYFUNCTION("""COMPUTED_VALUE"""),"Active")</f>
        <v>Active</v>
      </c>
      <c r="S239" s="160">
        <f>IFERROR(__xludf.DUMMYFUNCTION("""COMPUTED_VALUE"""),45547.0)</f>
        <v>45547</v>
      </c>
      <c r="T239" s="162">
        <f>IFERROR(__xludf.DUMMYFUNCTION("""COMPUTED_VALUE"""),46.06666666666667)</f>
        <v>46.06666667</v>
      </c>
    </row>
    <row r="240">
      <c r="A240" s="158" t="str">
        <f>IFERROR(__xludf.DUMMYFUNCTION("""COMPUTED_VALUE"""),"Fe")</f>
        <v>Fe</v>
      </c>
      <c r="B240" s="158" t="str">
        <f>IFERROR(__xludf.DUMMYFUNCTION("""COMPUTED_VALUE"""),"Xbox / PC")</f>
        <v>Xbox / PC</v>
      </c>
      <c r="C240" s="158"/>
      <c r="D240" s="159" t="str">
        <f>IFERROR(__xludf.DUMMYFUNCTION("""COMPUTED_VALUE"""),"Active")</f>
        <v>Active</v>
      </c>
      <c r="E240" s="160">
        <f>IFERROR(__xludf.DUMMYFUNCTION("""COMPUTED_VALUE"""),44145.0)</f>
        <v>44145</v>
      </c>
      <c r="F240" s="161"/>
      <c r="G240" s="162">
        <f>IFERROR(__xludf.DUMMYFUNCTION("""COMPUTED_VALUE"""),59.166666666666664)</f>
        <v>59.16666667</v>
      </c>
      <c r="H240" s="163">
        <f>IFERROR(__xludf.DUMMYFUNCTION("""COMPUTED_VALUE"""),43147.0)</f>
        <v>43147</v>
      </c>
      <c r="I240" s="162">
        <f>IFERROR(__xludf.DUMMYFUNCTION("""COMPUTED_VALUE"""),2.7333333333333334)</f>
        <v>2.733333333</v>
      </c>
      <c r="J240" s="164">
        <f>IFERROR(__xludf.DUMMYFUNCTION("""COMPUTED_VALUE"""),70.0)</f>
        <v>70</v>
      </c>
      <c r="K240" s="164">
        <f>IFERROR(__xludf.DUMMYFUNCTION("""COMPUTED_VALUE"""),5.5)</f>
        <v>5.5</v>
      </c>
      <c r="L240" s="158" t="str">
        <f>IFERROR(__xludf.DUMMYFUNCTION("""COMPUTED_VALUE"""),"Action-Adventure")</f>
        <v>Action-Adventure</v>
      </c>
      <c r="M240" s="158"/>
      <c r="N240" s="158"/>
      <c r="O240" s="158" t="str">
        <f>IFERROR(__xludf.DUMMYFUNCTION("""COMPUTED_VALUE"""),"E")</f>
        <v>E</v>
      </c>
      <c r="P240" s="158" t="str">
        <f>IFERROR(__xludf.DUMMYFUNCTION("""COMPUTED_VALUE"""),"Mild Fantasy Violence")</f>
        <v>Mild Fantasy Violence</v>
      </c>
      <c r="Q240" s="158"/>
      <c r="R240" s="159" t="str">
        <f>IFERROR(__xludf.DUMMYFUNCTION("""COMPUTED_VALUE"""),"Active")</f>
        <v>Active</v>
      </c>
      <c r="S240" s="160">
        <f>IFERROR(__xludf.DUMMYFUNCTION("""COMPUTED_VALUE"""),45547.0)</f>
        <v>45547</v>
      </c>
      <c r="T240" s="162">
        <f>IFERROR(__xludf.DUMMYFUNCTION("""COMPUTED_VALUE"""),46.06666666666667)</f>
        <v>46.06666667</v>
      </c>
    </row>
    <row r="241">
      <c r="A241" s="158" t="str">
        <f>IFERROR(__xludf.DUMMYFUNCTION("""COMPUTED_VALUE"""),"Feeding Frenzy")</f>
        <v>Feeding Frenzy</v>
      </c>
      <c r="B241" s="158" t="str">
        <f>IFERROR(__xludf.DUMMYFUNCTION("""COMPUTED_VALUE"""),"Xbox")</f>
        <v>Xbox</v>
      </c>
      <c r="C241" s="158"/>
      <c r="D241" s="159" t="str">
        <f>IFERROR(__xludf.DUMMYFUNCTION("""COMPUTED_VALUE"""),"Active")</f>
        <v>Active</v>
      </c>
      <c r="E241" s="160">
        <f>IFERROR(__xludf.DUMMYFUNCTION("""COMPUTED_VALUE"""),44145.0)</f>
        <v>44145</v>
      </c>
      <c r="F241" s="161"/>
      <c r="G241" s="162">
        <f>IFERROR(__xludf.DUMMYFUNCTION("""COMPUTED_VALUE"""),59.166666666666664)</f>
        <v>59.16666667</v>
      </c>
      <c r="H241" s="163">
        <f>IFERROR(__xludf.DUMMYFUNCTION("""COMPUTED_VALUE"""),38791.0)</f>
        <v>38791</v>
      </c>
      <c r="I241" s="162">
        <f>IFERROR(__xludf.DUMMYFUNCTION("""COMPUTED_VALUE"""),14.652777777777779)</f>
        <v>14.65277778</v>
      </c>
      <c r="J241" s="164">
        <f>IFERROR(__xludf.DUMMYFUNCTION("""COMPUTED_VALUE"""),65.0)</f>
        <v>65</v>
      </c>
      <c r="K241" s="164">
        <f>IFERROR(__xludf.DUMMYFUNCTION("""COMPUTED_VALUE"""),2.0)</f>
        <v>2</v>
      </c>
      <c r="L241" s="158" t="str">
        <f>IFERROR(__xludf.DUMMYFUNCTION("""COMPUTED_VALUE"""),"Action")</f>
        <v>Action</v>
      </c>
      <c r="M241" s="158"/>
      <c r="N241" s="158"/>
      <c r="O241" s="158" t="str">
        <f>IFERROR(__xludf.DUMMYFUNCTION("""COMPUTED_VALUE"""),"E")</f>
        <v>E</v>
      </c>
      <c r="P241" s="158"/>
      <c r="Q241" s="158" t="str">
        <f>IFERROR(__xludf.DUMMYFUNCTION("""COMPUTED_VALUE"""),"Xbox 360")</f>
        <v>Xbox 360</v>
      </c>
      <c r="R241" s="159" t="str">
        <f>IFERROR(__xludf.DUMMYFUNCTION("""COMPUTED_VALUE"""),"Active")</f>
        <v>Active</v>
      </c>
      <c r="S241" s="160">
        <f>IFERROR(__xludf.DUMMYFUNCTION("""COMPUTED_VALUE"""),45547.0)</f>
        <v>45547</v>
      </c>
      <c r="T241" s="162">
        <f>IFERROR(__xludf.DUMMYFUNCTION("""COMPUTED_VALUE"""),46.06666666666667)</f>
        <v>46.06666667</v>
      </c>
    </row>
    <row r="242">
      <c r="A242" s="158" t="str">
        <f>IFERROR(__xludf.DUMMYFUNCTION("""COMPUTED_VALUE"""),"Feeding Frenzy 2: Shipwreck Showdown")</f>
        <v>Feeding Frenzy 2: Shipwreck Showdown</v>
      </c>
      <c r="B242" s="158" t="str">
        <f>IFERROR(__xludf.DUMMYFUNCTION("""COMPUTED_VALUE"""),"Xbox")</f>
        <v>Xbox</v>
      </c>
      <c r="C242" s="158"/>
      <c r="D242" s="159" t="str">
        <f>IFERROR(__xludf.DUMMYFUNCTION("""COMPUTED_VALUE"""),"Active")</f>
        <v>Active</v>
      </c>
      <c r="E242" s="160">
        <f>IFERROR(__xludf.DUMMYFUNCTION("""COMPUTED_VALUE"""),44145.0)</f>
        <v>44145</v>
      </c>
      <c r="F242" s="161"/>
      <c r="G242" s="162">
        <f>IFERROR(__xludf.DUMMYFUNCTION("""COMPUTED_VALUE"""),59.166666666666664)</f>
        <v>59.16666667</v>
      </c>
      <c r="H242" s="163">
        <f>IFERROR(__xludf.DUMMYFUNCTION("""COMPUTED_VALUE"""),38754.0)</f>
        <v>38754</v>
      </c>
      <c r="I242" s="162">
        <f>IFERROR(__xludf.DUMMYFUNCTION("""COMPUTED_VALUE"""),14.761111111111111)</f>
        <v>14.76111111</v>
      </c>
      <c r="J242" s="164">
        <f>IFERROR(__xludf.DUMMYFUNCTION("""COMPUTED_VALUE"""),65.0)</f>
        <v>65</v>
      </c>
      <c r="K242" s="164">
        <f>IFERROR(__xludf.DUMMYFUNCTION("""COMPUTED_VALUE"""),2.5)</f>
        <v>2.5</v>
      </c>
      <c r="L242" s="158" t="str">
        <f>IFERROR(__xludf.DUMMYFUNCTION("""COMPUTED_VALUE"""),"Action")</f>
        <v>Action</v>
      </c>
      <c r="M242" s="158"/>
      <c r="N242" s="158"/>
      <c r="O242" s="158" t="str">
        <f>IFERROR(__xludf.DUMMYFUNCTION("""COMPUTED_VALUE"""),"E")</f>
        <v>E</v>
      </c>
      <c r="P242" s="158" t="str">
        <f>IFERROR(__xludf.DUMMYFUNCTION("""COMPUTED_VALUE"""),"Comic Mischief")</f>
        <v>Comic Mischief</v>
      </c>
      <c r="Q242" s="158" t="str">
        <f>IFERROR(__xludf.DUMMYFUNCTION("""COMPUTED_VALUE"""),"Xbox 360")</f>
        <v>Xbox 360</v>
      </c>
      <c r="R242" s="159" t="str">
        <f>IFERROR(__xludf.DUMMYFUNCTION("""COMPUTED_VALUE"""),"Active")</f>
        <v>Active</v>
      </c>
      <c r="S242" s="160">
        <f>IFERROR(__xludf.DUMMYFUNCTION("""COMPUTED_VALUE"""),45547.0)</f>
        <v>45547</v>
      </c>
      <c r="T242" s="162">
        <f>IFERROR(__xludf.DUMMYFUNCTION("""COMPUTED_VALUE"""),46.06666666666667)</f>
        <v>46.06666667</v>
      </c>
    </row>
    <row r="243">
      <c r="A243" s="158" t="str">
        <f>IFERROR(__xludf.DUMMYFUNCTION("""COMPUTED_VALUE"""),"Fight Night: Champion")</f>
        <v>Fight Night: Champion</v>
      </c>
      <c r="B243" s="158" t="str">
        <f>IFERROR(__xludf.DUMMYFUNCTION("""COMPUTED_VALUE"""),"Xbox")</f>
        <v>Xbox</v>
      </c>
      <c r="C243" s="158"/>
      <c r="D243" s="159" t="str">
        <f>IFERROR(__xludf.DUMMYFUNCTION("""COMPUTED_VALUE"""),"Active")</f>
        <v>Active</v>
      </c>
      <c r="E243" s="160">
        <f>IFERROR(__xludf.DUMMYFUNCTION("""COMPUTED_VALUE"""),44145.0)</f>
        <v>44145</v>
      </c>
      <c r="F243" s="161"/>
      <c r="G243" s="162">
        <f>IFERROR(__xludf.DUMMYFUNCTION("""COMPUTED_VALUE"""),59.166666666666664)</f>
        <v>59.16666667</v>
      </c>
      <c r="H243" s="163">
        <f>IFERROR(__xludf.DUMMYFUNCTION("""COMPUTED_VALUE"""),40603.0)</f>
        <v>40603</v>
      </c>
      <c r="I243" s="162">
        <f>IFERROR(__xludf.DUMMYFUNCTION("""COMPUTED_VALUE"""),9.691666666666666)</f>
        <v>9.691666667</v>
      </c>
      <c r="J243" s="164">
        <f>IFERROR(__xludf.DUMMYFUNCTION("""COMPUTED_VALUE"""),86.0)</f>
        <v>86</v>
      </c>
      <c r="K243" s="164">
        <f>IFERROR(__xludf.DUMMYFUNCTION("""COMPUTED_VALUE"""),4.5)</f>
        <v>4.5</v>
      </c>
      <c r="L243" s="158" t="str">
        <f>IFERROR(__xludf.DUMMYFUNCTION("""COMPUTED_VALUE"""),"Simulation / Fighting / Boxing")</f>
        <v>Simulation / Fighting / Boxing</v>
      </c>
      <c r="M243" s="158"/>
      <c r="N243" s="158"/>
      <c r="O243" s="158" t="str">
        <f>IFERROR(__xludf.DUMMYFUNCTION("""COMPUTED_VALUE"""),"M")</f>
        <v>M</v>
      </c>
      <c r="P243" s="158" t="str">
        <f>IFERROR(__xludf.DUMMYFUNCTION("""COMPUTED_VALUE"""),"Blood, Suggestive Themes, Strong Language, Violence")</f>
        <v>Blood, Suggestive Themes, Strong Language, Violence</v>
      </c>
      <c r="Q243" s="158" t="str">
        <f>IFERROR(__xludf.DUMMYFUNCTION("""COMPUTED_VALUE"""),"Xbox 360")</f>
        <v>Xbox 360</v>
      </c>
      <c r="R243" s="159" t="str">
        <f>IFERROR(__xludf.DUMMYFUNCTION("""COMPUTED_VALUE"""),"Active")</f>
        <v>Active</v>
      </c>
      <c r="S243" s="160">
        <f>IFERROR(__xludf.DUMMYFUNCTION("""COMPUTED_VALUE"""),45547.0)</f>
        <v>45547</v>
      </c>
      <c r="T243" s="162">
        <f>IFERROR(__xludf.DUMMYFUNCTION("""COMPUTED_VALUE"""),46.06666666666667)</f>
        <v>46.06666667</v>
      </c>
    </row>
    <row r="244">
      <c r="A244" s="158" t="str">
        <f>IFERROR(__xludf.DUMMYFUNCTION("""COMPUTED_VALUE"""),"Mass Effect 2: Digital Deluxe Edition")</f>
        <v>Mass Effect 2: Digital Deluxe Edition</v>
      </c>
      <c r="B244" s="158" t="str">
        <f>IFERROR(__xludf.DUMMYFUNCTION("""COMPUTED_VALUE"""),"Xbox / PC")</f>
        <v>Xbox / PC</v>
      </c>
      <c r="C244" s="158"/>
      <c r="D244" s="159" t="str">
        <f>IFERROR(__xludf.DUMMYFUNCTION("""COMPUTED_VALUE"""),"Active")</f>
        <v>Active</v>
      </c>
      <c r="E244" s="160">
        <f>IFERROR(__xludf.DUMMYFUNCTION("""COMPUTED_VALUE"""),44145.0)</f>
        <v>44145</v>
      </c>
      <c r="F244" s="161"/>
      <c r="G244" s="162">
        <f>IFERROR(__xludf.DUMMYFUNCTION("""COMPUTED_VALUE"""),59.166666666666664)</f>
        <v>59.16666667</v>
      </c>
      <c r="H244" s="163">
        <f>IFERROR(__xludf.DUMMYFUNCTION("""COMPUTED_VALUE"""),40204.0)</f>
        <v>40204</v>
      </c>
      <c r="I244" s="162">
        <f>IFERROR(__xludf.DUMMYFUNCTION("""COMPUTED_VALUE"""),10.78888888888889)</f>
        <v>10.78888889</v>
      </c>
      <c r="J244" s="164">
        <f>IFERROR(__xludf.DUMMYFUNCTION("""COMPUTED_VALUE"""),96.0)</f>
        <v>96</v>
      </c>
      <c r="K244" s="164">
        <f>IFERROR(__xludf.DUMMYFUNCTION("""COMPUTED_VALUE"""),24.5)</f>
        <v>24.5</v>
      </c>
      <c r="L244" s="158" t="str">
        <f>IFERROR(__xludf.DUMMYFUNCTION("""COMPUTED_VALUE"""),"RPG / Action-Adventure")</f>
        <v>RPG / Action-Adventure</v>
      </c>
      <c r="M244" s="158"/>
      <c r="N244" s="158" t="str">
        <f>IFERROR(__xludf.DUMMYFUNCTION("""COMPUTED_VALUE"""),"Enhanced edition only on PC")</f>
        <v>Enhanced edition only on PC</v>
      </c>
      <c r="O244" s="158" t="str">
        <f>IFERROR(__xludf.DUMMYFUNCTION("""COMPUTED_VALUE"""),"M")</f>
        <v>M</v>
      </c>
      <c r="P244" s="158" t="str">
        <f>IFERROR(__xludf.DUMMYFUNCTION("""COMPUTED_VALUE"""),"Blood, Sexual Content, Drug Reference, Strong Language, Violence")</f>
        <v>Blood, Sexual Content, Drug Reference, Strong Language, Violence</v>
      </c>
      <c r="Q244" s="158" t="str">
        <f>IFERROR(__xludf.DUMMYFUNCTION("""COMPUTED_VALUE"""),"Xbox 360")</f>
        <v>Xbox 360</v>
      </c>
      <c r="R244" s="159" t="str">
        <f>IFERROR(__xludf.DUMMYFUNCTION("""COMPUTED_VALUE"""),"Active")</f>
        <v>Active</v>
      </c>
      <c r="S244" s="160">
        <f>IFERROR(__xludf.DUMMYFUNCTION("""COMPUTED_VALUE"""),45547.0)</f>
        <v>45547</v>
      </c>
      <c r="T244" s="162">
        <f>IFERROR(__xludf.DUMMYFUNCTION("""COMPUTED_VALUE"""),46.06666666666667)</f>
        <v>46.06666667</v>
      </c>
    </row>
    <row r="245">
      <c r="A245" s="158" t="str">
        <f>IFERROR(__xludf.DUMMYFUNCTION("""COMPUTED_VALUE"""),"Mass Effect 3: N7 Digital Deluxe Edition")</f>
        <v>Mass Effect 3: N7 Digital Deluxe Edition</v>
      </c>
      <c r="B245" s="158" t="str">
        <f>IFERROR(__xludf.DUMMYFUNCTION("""COMPUTED_VALUE"""),"Xbox / PC")</f>
        <v>Xbox / PC</v>
      </c>
      <c r="C245" s="158"/>
      <c r="D245" s="159" t="str">
        <f>IFERROR(__xludf.DUMMYFUNCTION("""COMPUTED_VALUE"""),"Active")</f>
        <v>Active</v>
      </c>
      <c r="E245" s="160">
        <f>IFERROR(__xludf.DUMMYFUNCTION("""COMPUTED_VALUE"""),44145.0)</f>
        <v>44145</v>
      </c>
      <c r="F245" s="161"/>
      <c r="G245" s="162">
        <f>IFERROR(__xludf.DUMMYFUNCTION("""COMPUTED_VALUE"""),59.166666666666664)</f>
        <v>59.16666667</v>
      </c>
      <c r="H245" s="163">
        <f>IFERROR(__xludf.DUMMYFUNCTION("""COMPUTED_VALUE"""),40974.0)</f>
        <v>40974</v>
      </c>
      <c r="I245" s="162">
        <f>IFERROR(__xludf.DUMMYFUNCTION("""COMPUTED_VALUE"""),8.677777777777777)</f>
        <v>8.677777778</v>
      </c>
      <c r="J245" s="164">
        <f>IFERROR(__xludf.DUMMYFUNCTION("""COMPUTED_VALUE"""),93.0)</f>
        <v>93</v>
      </c>
      <c r="K245" s="164">
        <f>IFERROR(__xludf.DUMMYFUNCTION("""COMPUTED_VALUE"""),24.0)</f>
        <v>24</v>
      </c>
      <c r="L245" s="158" t="str">
        <f>IFERROR(__xludf.DUMMYFUNCTION("""COMPUTED_VALUE"""),"RPG / Shooter / Action-Adventure")</f>
        <v>RPG / Shooter / Action-Adventure</v>
      </c>
      <c r="M245" s="158"/>
      <c r="N245" s="158" t="str">
        <f>IFERROR(__xludf.DUMMYFUNCTION("""COMPUTED_VALUE"""),"Enhanced edition only on PC")</f>
        <v>Enhanced edition only on PC</v>
      </c>
      <c r="O245" s="158" t="str">
        <f>IFERROR(__xludf.DUMMYFUNCTION("""COMPUTED_VALUE"""),"M")</f>
        <v>M</v>
      </c>
      <c r="P245" s="158" t="str">
        <f>IFERROR(__xludf.DUMMYFUNCTION("""COMPUTED_VALUE"""),"Blood, Sexual Content, Partial Nudity, Strong Language, Violence")</f>
        <v>Blood, Sexual Content, Partial Nudity, Strong Language, Violence</v>
      </c>
      <c r="Q245" s="158" t="str">
        <f>IFERROR(__xludf.DUMMYFUNCTION("""COMPUTED_VALUE"""),"Xbox 360")</f>
        <v>Xbox 360</v>
      </c>
      <c r="R245" s="159" t="str">
        <f>IFERROR(__xludf.DUMMYFUNCTION("""COMPUTED_VALUE"""),"Active")</f>
        <v>Active</v>
      </c>
      <c r="S245" s="160">
        <f>IFERROR(__xludf.DUMMYFUNCTION("""COMPUTED_VALUE"""),45547.0)</f>
        <v>45547</v>
      </c>
      <c r="T245" s="162">
        <f>IFERROR(__xludf.DUMMYFUNCTION("""COMPUTED_VALUE"""),46.06666666666667)</f>
        <v>46.06666667</v>
      </c>
    </row>
    <row r="246">
      <c r="A246" s="158" t="str">
        <f>IFERROR(__xludf.DUMMYFUNCTION("""COMPUTED_VALUE"""),"Mass Effect: Andromeda - Deluxe Edition")</f>
        <v>Mass Effect: Andromeda - Deluxe Edition</v>
      </c>
      <c r="B246" s="158" t="str">
        <f>IFERROR(__xludf.DUMMYFUNCTION("""COMPUTED_VALUE"""),"Xbox / PC")</f>
        <v>Xbox / PC</v>
      </c>
      <c r="C246" s="158" t="str">
        <f>IFERROR(__xludf.DUMMYFUNCTION("""COMPUTED_VALUE"""),"Yes")</f>
        <v>Yes</v>
      </c>
      <c r="D246" s="159" t="str">
        <f>IFERROR(__xludf.DUMMYFUNCTION("""COMPUTED_VALUE"""),"Active")</f>
        <v>Active</v>
      </c>
      <c r="E246" s="160">
        <f>IFERROR(__xludf.DUMMYFUNCTION("""COMPUTED_VALUE"""),44145.0)</f>
        <v>44145</v>
      </c>
      <c r="F246" s="161"/>
      <c r="G246" s="162">
        <f>IFERROR(__xludf.DUMMYFUNCTION("""COMPUTED_VALUE"""),59.166666666666664)</f>
        <v>59.16666667</v>
      </c>
      <c r="H246" s="163">
        <f>IFERROR(__xludf.DUMMYFUNCTION("""COMPUTED_VALUE"""),42815.0)</f>
        <v>42815</v>
      </c>
      <c r="I246" s="162">
        <f>IFERROR(__xludf.DUMMYFUNCTION("""COMPUTED_VALUE"""),3.636111111111111)</f>
        <v>3.636111111</v>
      </c>
      <c r="J246" s="164">
        <f>IFERROR(__xludf.DUMMYFUNCTION("""COMPUTED_VALUE"""),76.0)</f>
        <v>76</v>
      </c>
      <c r="K246" s="164">
        <f>IFERROR(__xludf.DUMMYFUNCTION("""COMPUTED_VALUE"""),18.5)</f>
        <v>18.5</v>
      </c>
      <c r="L246" s="158" t="str">
        <f>IFERROR(__xludf.DUMMYFUNCTION("""COMPUTED_VALUE"""),"RPG / Action-Adventure")</f>
        <v>RPG / Action-Adventure</v>
      </c>
      <c r="M246" s="158"/>
      <c r="N246" s="158" t="str">
        <f>IFERROR(__xludf.DUMMYFUNCTION("""COMPUTED_VALUE"""),"Enhanced edition only on PC")</f>
        <v>Enhanced edition only on PC</v>
      </c>
      <c r="O246" s="158" t="str">
        <f>IFERROR(__xludf.DUMMYFUNCTION("""COMPUTED_VALUE"""),"M")</f>
        <v>M</v>
      </c>
      <c r="P246" s="158" t="str">
        <f>IFERROR(__xludf.DUMMYFUNCTION("""COMPUTED_VALUE"""),"Nudity, Blood, Strong Sexual Content, Strong Language, Violence")</f>
        <v>Nudity, Blood, Strong Sexual Content, Strong Language, Violence</v>
      </c>
      <c r="Q246" s="158"/>
      <c r="R246" s="159" t="str">
        <f>IFERROR(__xludf.DUMMYFUNCTION("""COMPUTED_VALUE"""),"Active")</f>
        <v>Active</v>
      </c>
      <c r="S246" s="160">
        <f>IFERROR(__xludf.DUMMYFUNCTION("""COMPUTED_VALUE"""),45547.0)</f>
        <v>45547</v>
      </c>
      <c r="T246" s="162">
        <f>IFERROR(__xludf.DUMMYFUNCTION("""COMPUTED_VALUE"""),46.06666666666667)</f>
        <v>46.06666667</v>
      </c>
    </row>
    <row r="247">
      <c r="A247" s="158" t="str">
        <f>IFERROR(__xludf.DUMMYFUNCTION("""COMPUTED_VALUE"""),"Medal of Honor: Airborne")</f>
        <v>Medal of Honor: Airborne</v>
      </c>
      <c r="B247" s="158" t="str">
        <f>IFERROR(__xludf.DUMMYFUNCTION("""COMPUTED_VALUE"""),"Xbox / PC")</f>
        <v>Xbox / PC</v>
      </c>
      <c r="C247" s="158"/>
      <c r="D247" s="159" t="str">
        <f>IFERROR(__xludf.DUMMYFUNCTION("""COMPUTED_VALUE"""),"Active")</f>
        <v>Active</v>
      </c>
      <c r="E247" s="160">
        <f>IFERROR(__xludf.DUMMYFUNCTION("""COMPUTED_VALUE"""),44145.0)</f>
        <v>44145</v>
      </c>
      <c r="F247" s="161"/>
      <c r="G247" s="162">
        <f>IFERROR(__xludf.DUMMYFUNCTION("""COMPUTED_VALUE"""),59.166666666666664)</f>
        <v>59.16666667</v>
      </c>
      <c r="H247" s="163">
        <f>IFERROR(__xludf.DUMMYFUNCTION("""COMPUTED_VALUE"""),39329.0)</f>
        <v>39329</v>
      </c>
      <c r="I247" s="162">
        <f>IFERROR(__xludf.DUMMYFUNCTION("""COMPUTED_VALUE"""),13.183333333333334)</f>
        <v>13.18333333</v>
      </c>
      <c r="J247" s="164">
        <f>IFERROR(__xludf.DUMMYFUNCTION("""COMPUTED_VALUE"""),73.0)</f>
        <v>73</v>
      </c>
      <c r="K247" s="164">
        <f>IFERROR(__xludf.DUMMYFUNCTION("""COMPUTED_VALUE"""),6.0)</f>
        <v>6</v>
      </c>
      <c r="L247" s="158" t="str">
        <f>IFERROR(__xludf.DUMMYFUNCTION("""COMPUTED_VALUE"""),"Action / First-Person Shooter")</f>
        <v>Action / First-Person Shooter</v>
      </c>
      <c r="M247" s="158" t="str">
        <f>IFERROR(__xludf.DUMMYFUNCTION("""COMPUTED_VALUE"""),"FPS Boost")</f>
        <v>FPS Boost</v>
      </c>
      <c r="N247" s="158"/>
      <c r="O247" s="158" t="str">
        <f>IFERROR(__xludf.DUMMYFUNCTION("""COMPUTED_VALUE"""),"M")</f>
        <v>M</v>
      </c>
      <c r="P247" s="158" t="str">
        <f>IFERROR(__xludf.DUMMYFUNCTION("""COMPUTED_VALUE"""),"Blood, Strong Language, Violence")</f>
        <v>Blood, Strong Language, Violence</v>
      </c>
      <c r="Q247" s="158" t="str">
        <f>IFERROR(__xludf.DUMMYFUNCTION("""COMPUTED_VALUE"""),"Xbox 360")</f>
        <v>Xbox 360</v>
      </c>
      <c r="R247" s="159" t="str">
        <f>IFERROR(__xludf.DUMMYFUNCTION("""COMPUTED_VALUE"""),"Active")</f>
        <v>Active</v>
      </c>
      <c r="S247" s="160">
        <f>IFERROR(__xludf.DUMMYFUNCTION("""COMPUTED_VALUE"""),45547.0)</f>
        <v>45547</v>
      </c>
      <c r="T247" s="162">
        <f>IFERROR(__xludf.DUMMYFUNCTION("""COMPUTED_VALUE"""),46.06666666666667)</f>
        <v>46.06666667</v>
      </c>
    </row>
    <row r="248">
      <c r="A248" s="158" t="str">
        <f>IFERROR(__xludf.DUMMYFUNCTION("""COMPUTED_VALUE"""),"Mirror's Edge")</f>
        <v>Mirror's Edge</v>
      </c>
      <c r="B248" s="158" t="str">
        <f>IFERROR(__xludf.DUMMYFUNCTION("""COMPUTED_VALUE"""),"Xbox / PC")</f>
        <v>Xbox / PC</v>
      </c>
      <c r="C248" s="158"/>
      <c r="D248" s="159" t="str">
        <f>IFERROR(__xludf.DUMMYFUNCTION("""COMPUTED_VALUE"""),"Active")</f>
        <v>Active</v>
      </c>
      <c r="E248" s="160">
        <f>IFERROR(__xludf.DUMMYFUNCTION("""COMPUTED_VALUE"""),44145.0)</f>
        <v>44145</v>
      </c>
      <c r="F248" s="161"/>
      <c r="G248" s="162">
        <f>IFERROR(__xludf.DUMMYFUNCTION("""COMPUTED_VALUE"""),59.166666666666664)</f>
        <v>59.16666667</v>
      </c>
      <c r="H248" s="163">
        <f>IFERROR(__xludf.DUMMYFUNCTION("""COMPUTED_VALUE"""),40269.0)</f>
        <v>40269</v>
      </c>
      <c r="I248" s="162">
        <f>IFERROR(__xludf.DUMMYFUNCTION("""COMPUTED_VALUE"""),10.608333333333333)</f>
        <v>10.60833333</v>
      </c>
      <c r="J248" s="164">
        <f>IFERROR(__xludf.DUMMYFUNCTION("""COMPUTED_VALUE"""),79.0)</f>
        <v>79</v>
      </c>
      <c r="K248" s="164">
        <f>IFERROR(__xludf.DUMMYFUNCTION("""COMPUTED_VALUE"""),6.0)</f>
        <v>6</v>
      </c>
      <c r="L248" s="158" t="str">
        <f>IFERROR(__xludf.DUMMYFUNCTION("""COMPUTED_VALUE"""),"Action / Platformer")</f>
        <v>Action / Platformer</v>
      </c>
      <c r="M248" s="158" t="str">
        <f>IFERROR(__xludf.DUMMYFUNCTION("""COMPUTED_VALUE"""),"FPS Boost")</f>
        <v>FPS Boost</v>
      </c>
      <c r="N248" s="158"/>
      <c r="O248" s="158" t="str">
        <f>IFERROR(__xludf.DUMMYFUNCTION("""COMPUTED_VALUE"""),"T")</f>
        <v>T</v>
      </c>
      <c r="P248" s="158" t="str">
        <f>IFERROR(__xludf.DUMMYFUNCTION("""COMPUTED_VALUE"""),"Blood, Violence, Language")</f>
        <v>Blood, Violence, Language</v>
      </c>
      <c r="Q248" s="158" t="str">
        <f>IFERROR(__xludf.DUMMYFUNCTION("""COMPUTED_VALUE"""),"Xbox 360")</f>
        <v>Xbox 360</v>
      </c>
      <c r="R248" s="159" t="str">
        <f>IFERROR(__xludf.DUMMYFUNCTION("""COMPUTED_VALUE"""),"Active")</f>
        <v>Active</v>
      </c>
      <c r="S248" s="160">
        <f>IFERROR(__xludf.DUMMYFUNCTION("""COMPUTED_VALUE"""),45547.0)</f>
        <v>45547</v>
      </c>
      <c r="T248" s="162">
        <f>IFERROR(__xludf.DUMMYFUNCTION("""COMPUTED_VALUE"""),46.06666666666667)</f>
        <v>46.06666667</v>
      </c>
    </row>
    <row r="249">
      <c r="A249" s="158" t="str">
        <f>IFERROR(__xludf.DUMMYFUNCTION("""COMPUTED_VALUE"""),"Mirror's Edge: Catalyst")</f>
        <v>Mirror's Edge: Catalyst</v>
      </c>
      <c r="B249" s="158" t="str">
        <f>IFERROR(__xludf.DUMMYFUNCTION("""COMPUTED_VALUE"""),"Xbox / PC")</f>
        <v>Xbox / PC</v>
      </c>
      <c r="C249" s="158" t="str">
        <f>IFERROR(__xludf.DUMMYFUNCTION("""COMPUTED_VALUE"""),"Yes")</f>
        <v>Yes</v>
      </c>
      <c r="D249" s="159" t="str">
        <f>IFERROR(__xludf.DUMMYFUNCTION("""COMPUTED_VALUE"""),"Active")</f>
        <v>Active</v>
      </c>
      <c r="E249" s="160">
        <f>IFERROR(__xludf.DUMMYFUNCTION("""COMPUTED_VALUE"""),44145.0)</f>
        <v>44145</v>
      </c>
      <c r="F249" s="161"/>
      <c r="G249" s="162">
        <f>IFERROR(__xludf.DUMMYFUNCTION("""COMPUTED_VALUE"""),59.166666666666664)</f>
        <v>59.16666667</v>
      </c>
      <c r="H249" s="163">
        <f>IFERROR(__xludf.DUMMYFUNCTION("""COMPUTED_VALUE"""),42528.0)</f>
        <v>42528</v>
      </c>
      <c r="I249" s="162">
        <f>IFERROR(__xludf.DUMMYFUNCTION("""COMPUTED_VALUE"""),4.425)</f>
        <v>4.425</v>
      </c>
      <c r="J249" s="164">
        <f>IFERROR(__xludf.DUMMYFUNCTION("""COMPUTED_VALUE"""),72.0)</f>
        <v>72</v>
      </c>
      <c r="K249" s="164">
        <f>IFERROR(__xludf.DUMMYFUNCTION("""COMPUTED_VALUE"""),8.5)</f>
        <v>8.5</v>
      </c>
      <c r="L249" s="158" t="str">
        <f>IFERROR(__xludf.DUMMYFUNCTION("""COMPUTED_VALUE"""),"Action-Adventure")</f>
        <v>Action-Adventure</v>
      </c>
      <c r="M249" s="158" t="str">
        <f>IFERROR(__xludf.DUMMYFUNCTION("""COMPUTED_VALUE"""),"FPS Boost X Only")</f>
        <v>FPS Boost X Only</v>
      </c>
      <c r="N249" s="158"/>
      <c r="O249" s="158" t="str">
        <f>IFERROR(__xludf.DUMMYFUNCTION("""COMPUTED_VALUE"""),"T")</f>
        <v>T</v>
      </c>
      <c r="P249" s="158" t="str">
        <f>IFERROR(__xludf.DUMMYFUNCTION("""COMPUTED_VALUE"""),"Mild Language, Violence")</f>
        <v>Mild Language, Violence</v>
      </c>
      <c r="Q249" s="158" t="str">
        <f>IFERROR(__xludf.DUMMYFUNCTION("""COMPUTED_VALUE"""),"Does not FPS boost on Series S")</f>
        <v>Does not FPS boost on Series S</v>
      </c>
      <c r="R249" s="159" t="str">
        <f>IFERROR(__xludf.DUMMYFUNCTION("""COMPUTED_VALUE"""),"Active")</f>
        <v>Active</v>
      </c>
      <c r="S249" s="160">
        <f>IFERROR(__xludf.DUMMYFUNCTION("""COMPUTED_VALUE"""),45547.0)</f>
        <v>45547</v>
      </c>
      <c r="T249" s="162">
        <f>IFERROR(__xludf.DUMMYFUNCTION("""COMPUTED_VALUE"""),46.06666666666667)</f>
        <v>46.06666667</v>
      </c>
    </row>
    <row r="250">
      <c r="A250" s="158" t="str">
        <f>IFERROR(__xludf.DUMMYFUNCTION("""COMPUTED_VALUE"""),"NBA LIVE 19")</f>
        <v>NBA LIVE 19</v>
      </c>
      <c r="B250" s="158" t="str">
        <f>IFERROR(__xludf.DUMMYFUNCTION("""COMPUTED_VALUE"""),"Xbox")</f>
        <v>Xbox</v>
      </c>
      <c r="C250" s="158"/>
      <c r="D250" s="159" t="str">
        <f>IFERROR(__xludf.DUMMYFUNCTION("""COMPUTED_VALUE"""),"Active")</f>
        <v>Active</v>
      </c>
      <c r="E250" s="160">
        <f>IFERROR(__xludf.DUMMYFUNCTION("""COMPUTED_VALUE"""),44145.0)</f>
        <v>44145</v>
      </c>
      <c r="F250" s="161"/>
      <c r="G250" s="162">
        <f>IFERROR(__xludf.DUMMYFUNCTION("""COMPUTED_VALUE"""),59.166666666666664)</f>
        <v>59.16666667</v>
      </c>
      <c r="H250" s="163">
        <f>IFERROR(__xludf.DUMMYFUNCTION("""COMPUTED_VALUE"""),43350.0)</f>
        <v>43350</v>
      </c>
      <c r="I250" s="162">
        <f>IFERROR(__xludf.DUMMYFUNCTION("""COMPUTED_VALUE"""),2.175)</f>
        <v>2.175</v>
      </c>
      <c r="J250" s="164">
        <f>IFERROR(__xludf.DUMMYFUNCTION("""COMPUTED_VALUE"""),75.0)</f>
        <v>75</v>
      </c>
      <c r="K250" s="164">
        <f>IFERROR(__xludf.DUMMYFUNCTION("""COMPUTED_VALUE"""),27.5)</f>
        <v>27.5</v>
      </c>
      <c r="L250" s="158" t="str">
        <f>IFERROR(__xludf.DUMMYFUNCTION("""COMPUTED_VALUE"""),"Sports / Basketball")</f>
        <v>Sports / Basketball</v>
      </c>
      <c r="M250" s="158"/>
      <c r="N250" s="158"/>
      <c r="O250" s="158" t="str">
        <f>IFERROR(__xludf.DUMMYFUNCTION("""COMPUTED_VALUE"""),"E")</f>
        <v>E</v>
      </c>
      <c r="P250" s="158"/>
      <c r="Q250" s="158"/>
      <c r="R250" s="159" t="str">
        <f>IFERROR(__xludf.DUMMYFUNCTION("""COMPUTED_VALUE"""),"Active")</f>
        <v>Active</v>
      </c>
      <c r="S250" s="160">
        <f>IFERROR(__xludf.DUMMYFUNCTION("""COMPUTED_VALUE"""),45547.0)</f>
        <v>45547</v>
      </c>
      <c r="T250" s="162">
        <f>IFERROR(__xludf.DUMMYFUNCTION("""COMPUTED_VALUE"""),46.06666666666667)</f>
        <v>46.06666667</v>
      </c>
    </row>
    <row r="251">
      <c r="A251" s="158" t="str">
        <f>IFERROR(__xludf.DUMMYFUNCTION("""COMPUTED_VALUE"""),"Need for Speed: Deluxe Edition")</f>
        <v>Need for Speed: Deluxe Edition</v>
      </c>
      <c r="B251" s="158" t="str">
        <f>IFERROR(__xludf.DUMMYFUNCTION("""COMPUTED_VALUE"""),"Xbox / PC")</f>
        <v>Xbox / PC</v>
      </c>
      <c r="C251" s="158"/>
      <c r="D251" s="159" t="str">
        <f>IFERROR(__xludf.DUMMYFUNCTION("""COMPUTED_VALUE"""),"Active")</f>
        <v>Active</v>
      </c>
      <c r="E251" s="160">
        <f>IFERROR(__xludf.DUMMYFUNCTION("""COMPUTED_VALUE"""),44145.0)</f>
        <v>44145</v>
      </c>
      <c r="F251" s="161"/>
      <c r="G251" s="162">
        <f>IFERROR(__xludf.DUMMYFUNCTION("""COMPUTED_VALUE"""),59.166666666666664)</f>
        <v>59.16666667</v>
      </c>
      <c r="H251" s="163">
        <f>IFERROR(__xludf.DUMMYFUNCTION("""COMPUTED_VALUE"""),42311.0)</f>
        <v>42311</v>
      </c>
      <c r="I251" s="162">
        <f>IFERROR(__xludf.DUMMYFUNCTION("""COMPUTED_VALUE"""),5.019444444444445)</f>
        <v>5.019444444</v>
      </c>
      <c r="J251" s="164">
        <f>IFERROR(__xludf.DUMMYFUNCTION("""COMPUTED_VALUE"""),65.0)</f>
        <v>65</v>
      </c>
      <c r="K251" s="164">
        <f>IFERROR(__xludf.DUMMYFUNCTION("""COMPUTED_VALUE"""),15.5)</f>
        <v>15.5</v>
      </c>
      <c r="L251" s="158" t="str">
        <f>IFERROR(__xludf.DUMMYFUNCTION("""COMPUTED_VALUE"""),"Driving/Racing")</f>
        <v>Driving/Racing</v>
      </c>
      <c r="M251" s="158"/>
      <c r="N251" s="158" t="str">
        <f>IFERROR(__xludf.DUMMYFUNCTION("""COMPUTED_VALUE"""),"Enhanced edition only on PC")</f>
        <v>Enhanced edition only on PC</v>
      </c>
      <c r="O251" s="158" t="str">
        <f>IFERROR(__xludf.DUMMYFUNCTION("""COMPUTED_VALUE"""),"T")</f>
        <v>T</v>
      </c>
      <c r="P251" s="158" t="str">
        <f>IFERROR(__xludf.DUMMYFUNCTION("""COMPUTED_VALUE"""),"Mild Violence, Language")</f>
        <v>Mild Violence, Language</v>
      </c>
      <c r="Q251" s="158"/>
      <c r="R251" s="159" t="str">
        <f>IFERROR(__xludf.DUMMYFUNCTION("""COMPUTED_VALUE"""),"Active")</f>
        <v>Active</v>
      </c>
      <c r="S251" s="160">
        <f>IFERROR(__xludf.DUMMYFUNCTION("""COMPUTED_VALUE"""),45547.0)</f>
        <v>45547</v>
      </c>
      <c r="T251" s="162">
        <f>IFERROR(__xludf.DUMMYFUNCTION("""COMPUTED_VALUE"""),46.06666666666667)</f>
        <v>46.06666667</v>
      </c>
    </row>
    <row r="252">
      <c r="A252" s="158" t="str">
        <f>IFERROR(__xludf.DUMMYFUNCTION("""COMPUTED_VALUE"""),"Need for Speed: Heat - Deluxe Edition")</f>
        <v>Need for Speed: Heat - Deluxe Edition</v>
      </c>
      <c r="B252" s="158" t="str">
        <f>IFERROR(__xludf.DUMMYFUNCTION("""COMPUTED_VALUE"""),"Xbox / PC")</f>
        <v>Xbox / PC</v>
      </c>
      <c r="C252" s="158" t="str">
        <f>IFERROR(__xludf.DUMMYFUNCTION("""COMPUTED_VALUE"""),"Touch Controls")</f>
        <v>Touch Controls</v>
      </c>
      <c r="D252" s="159" t="str">
        <f>IFERROR(__xludf.DUMMYFUNCTION("""COMPUTED_VALUE"""),"Active")</f>
        <v>Active</v>
      </c>
      <c r="E252" s="160">
        <f>IFERROR(__xludf.DUMMYFUNCTION("""COMPUTED_VALUE"""),44145.0)</f>
        <v>44145</v>
      </c>
      <c r="F252" s="161"/>
      <c r="G252" s="162">
        <f>IFERROR(__xludf.DUMMYFUNCTION("""COMPUTED_VALUE"""),59.166666666666664)</f>
        <v>59.16666667</v>
      </c>
      <c r="H252" s="163">
        <f>IFERROR(__xludf.DUMMYFUNCTION("""COMPUTED_VALUE"""),43777.0)</f>
        <v>43777</v>
      </c>
      <c r="I252" s="162">
        <f>IFERROR(__xludf.DUMMYFUNCTION("""COMPUTED_VALUE"""),1.0055555555555555)</f>
        <v>1.005555556</v>
      </c>
      <c r="J252" s="164">
        <f>IFERROR(__xludf.DUMMYFUNCTION("""COMPUTED_VALUE"""),74.0)</f>
        <v>74</v>
      </c>
      <c r="K252" s="164">
        <f>IFERROR(__xludf.DUMMYFUNCTION("""COMPUTED_VALUE"""),12.5)</f>
        <v>12.5</v>
      </c>
      <c r="L252" s="158" t="str">
        <f>IFERROR(__xludf.DUMMYFUNCTION("""COMPUTED_VALUE"""),"Driving/Racing")</f>
        <v>Driving/Racing</v>
      </c>
      <c r="M252" s="158"/>
      <c r="N252" s="158" t="str">
        <f>IFERROR(__xludf.DUMMYFUNCTION("""COMPUTED_VALUE"""),"Enhanced edition only on PC")</f>
        <v>Enhanced edition only on PC</v>
      </c>
      <c r="O252" s="158" t="str">
        <f>IFERROR(__xludf.DUMMYFUNCTION("""COMPUTED_VALUE"""),"T")</f>
        <v>T</v>
      </c>
      <c r="P252" s="158" t="str">
        <f>IFERROR(__xludf.DUMMYFUNCTION("""COMPUTED_VALUE"""),"Mild Violence, Language")</f>
        <v>Mild Violence, Language</v>
      </c>
      <c r="Q252" s="158"/>
      <c r="R252" s="159" t="str">
        <f>IFERROR(__xludf.DUMMYFUNCTION("""COMPUTED_VALUE"""),"Active")</f>
        <v>Active</v>
      </c>
      <c r="S252" s="160">
        <f>IFERROR(__xludf.DUMMYFUNCTION("""COMPUTED_VALUE"""),45547.0)</f>
        <v>45547</v>
      </c>
      <c r="T252" s="162">
        <f>IFERROR(__xludf.DUMMYFUNCTION("""COMPUTED_VALUE"""),46.06666666666667)</f>
        <v>46.06666667</v>
      </c>
    </row>
    <row r="253">
      <c r="A253" s="158" t="str">
        <f>IFERROR(__xludf.DUMMYFUNCTION("""COMPUTED_VALUE"""),"Need for Speed: Payback - Deluxe Edition")</f>
        <v>Need for Speed: Payback - Deluxe Edition</v>
      </c>
      <c r="B253" s="158" t="str">
        <f>IFERROR(__xludf.DUMMYFUNCTION("""COMPUTED_VALUE"""),"Xbox / PC")</f>
        <v>Xbox / PC</v>
      </c>
      <c r="C253" s="158"/>
      <c r="D253" s="159" t="str">
        <f>IFERROR(__xludf.DUMMYFUNCTION("""COMPUTED_VALUE"""),"Active")</f>
        <v>Active</v>
      </c>
      <c r="E253" s="160">
        <f>IFERROR(__xludf.DUMMYFUNCTION("""COMPUTED_VALUE"""),44145.0)</f>
        <v>44145</v>
      </c>
      <c r="F253" s="161"/>
      <c r="G253" s="162">
        <f>IFERROR(__xludf.DUMMYFUNCTION("""COMPUTED_VALUE"""),59.166666666666664)</f>
        <v>59.16666667</v>
      </c>
      <c r="H253" s="163">
        <f>IFERROR(__xludf.DUMMYFUNCTION("""COMPUTED_VALUE"""),43049.0)</f>
        <v>43049</v>
      </c>
      <c r="I253" s="162">
        <f>IFERROR(__xludf.DUMMYFUNCTION("""COMPUTED_VALUE"""),3.0)</f>
        <v>3</v>
      </c>
      <c r="J253" s="164">
        <f>IFERROR(__xludf.DUMMYFUNCTION("""COMPUTED_VALUE"""),61.0)</f>
        <v>61</v>
      </c>
      <c r="K253" s="164">
        <f>IFERROR(__xludf.DUMMYFUNCTION("""COMPUTED_VALUE"""),18.5)</f>
        <v>18.5</v>
      </c>
      <c r="L253" s="158" t="str">
        <f>IFERROR(__xludf.DUMMYFUNCTION("""COMPUTED_VALUE"""),"Driving/Racing")</f>
        <v>Driving/Racing</v>
      </c>
      <c r="M253" s="158"/>
      <c r="N253" s="158" t="str">
        <f>IFERROR(__xludf.DUMMYFUNCTION("""COMPUTED_VALUE"""),"Enhanced edition only on PC")</f>
        <v>Enhanced edition only on PC</v>
      </c>
      <c r="O253" s="158" t="str">
        <f>IFERROR(__xludf.DUMMYFUNCTION("""COMPUTED_VALUE"""),"T")</f>
        <v>T</v>
      </c>
      <c r="P253" s="158" t="str">
        <f>IFERROR(__xludf.DUMMYFUNCTION("""COMPUTED_VALUE"""),"Mild Violence, Mild Suggestive Themes, Language")</f>
        <v>Mild Violence, Mild Suggestive Themes, Language</v>
      </c>
      <c r="Q253" s="158"/>
      <c r="R253" s="159" t="str">
        <f>IFERROR(__xludf.DUMMYFUNCTION("""COMPUTED_VALUE"""),"Active")</f>
        <v>Active</v>
      </c>
      <c r="S253" s="160">
        <f>IFERROR(__xludf.DUMMYFUNCTION("""COMPUTED_VALUE"""),45547.0)</f>
        <v>45547</v>
      </c>
      <c r="T253" s="162">
        <f>IFERROR(__xludf.DUMMYFUNCTION("""COMPUTED_VALUE"""),46.06666666666667)</f>
        <v>46.06666667</v>
      </c>
    </row>
    <row r="254">
      <c r="A254" s="158" t="str">
        <f>IFERROR(__xludf.DUMMYFUNCTION("""COMPUTED_VALUE"""),"Need for Speed: Rivals - Complete Edition")</f>
        <v>Need for Speed: Rivals - Complete Edition</v>
      </c>
      <c r="B254" s="158" t="str">
        <f>IFERROR(__xludf.DUMMYFUNCTION("""COMPUTED_VALUE"""),"Xbox / PC")</f>
        <v>Xbox / PC</v>
      </c>
      <c r="C254" s="158"/>
      <c r="D254" s="159" t="str">
        <f>IFERROR(__xludf.DUMMYFUNCTION("""COMPUTED_VALUE"""),"Active")</f>
        <v>Active</v>
      </c>
      <c r="E254" s="160">
        <f>IFERROR(__xludf.DUMMYFUNCTION("""COMPUTED_VALUE"""),44145.0)</f>
        <v>44145</v>
      </c>
      <c r="F254" s="161"/>
      <c r="G254" s="162">
        <f>IFERROR(__xludf.DUMMYFUNCTION("""COMPUTED_VALUE"""),59.166666666666664)</f>
        <v>59.16666667</v>
      </c>
      <c r="H254" s="163">
        <f>IFERROR(__xludf.DUMMYFUNCTION("""COMPUTED_VALUE"""),41593.0)</f>
        <v>41593</v>
      </c>
      <c r="I254" s="162">
        <f>IFERROR(__xludf.DUMMYFUNCTION("""COMPUTED_VALUE"""),6.986111111111111)</f>
        <v>6.986111111</v>
      </c>
      <c r="J254" s="164">
        <f>IFERROR(__xludf.DUMMYFUNCTION("""COMPUTED_VALUE"""),75.0)</f>
        <v>75</v>
      </c>
      <c r="K254" s="164">
        <f>IFERROR(__xludf.DUMMYFUNCTION("""COMPUTED_VALUE"""),13.0)</f>
        <v>13</v>
      </c>
      <c r="L254" s="158" t="str">
        <f>IFERROR(__xludf.DUMMYFUNCTION("""COMPUTED_VALUE"""),"Driving/Racing")</f>
        <v>Driving/Racing</v>
      </c>
      <c r="M254" s="158"/>
      <c r="N254" s="158" t="str">
        <f>IFERROR(__xludf.DUMMYFUNCTION("""COMPUTED_VALUE"""),"Enhanced edition only on PC")</f>
        <v>Enhanced edition only on PC</v>
      </c>
      <c r="O254" s="158" t="str">
        <f>IFERROR(__xludf.DUMMYFUNCTION("""COMPUTED_VALUE"""),"E10+")</f>
        <v>E10+</v>
      </c>
      <c r="P254" s="158" t="str">
        <f>IFERROR(__xludf.DUMMYFUNCTION("""COMPUTED_VALUE"""),"Mild Violence")</f>
        <v>Mild Violence</v>
      </c>
      <c r="Q254" s="158"/>
      <c r="R254" s="159" t="str">
        <f>IFERROR(__xludf.DUMMYFUNCTION("""COMPUTED_VALUE"""),"Active")</f>
        <v>Active</v>
      </c>
      <c r="S254" s="160">
        <f>IFERROR(__xludf.DUMMYFUNCTION("""COMPUTED_VALUE"""),45547.0)</f>
        <v>45547</v>
      </c>
      <c r="T254" s="162">
        <f>IFERROR(__xludf.DUMMYFUNCTION("""COMPUTED_VALUE"""),46.06666666666667)</f>
        <v>46.06666667</v>
      </c>
    </row>
    <row r="255">
      <c r="A255" s="158" t="str">
        <f>IFERROR(__xludf.DUMMYFUNCTION("""COMPUTED_VALUE"""),"Peggle")</f>
        <v>Peggle</v>
      </c>
      <c r="B255" s="158" t="str">
        <f>IFERROR(__xludf.DUMMYFUNCTION("""COMPUTED_VALUE"""),"Xbox / PC")</f>
        <v>Xbox / PC</v>
      </c>
      <c r="C255" s="158"/>
      <c r="D255" s="159" t="str">
        <f>IFERROR(__xludf.DUMMYFUNCTION("""COMPUTED_VALUE"""),"Active")</f>
        <v>Active</v>
      </c>
      <c r="E255" s="160">
        <f>IFERROR(__xludf.DUMMYFUNCTION("""COMPUTED_VALUE"""),44145.0)</f>
        <v>44145</v>
      </c>
      <c r="F255" s="161"/>
      <c r="G255" s="162">
        <f>IFERROR(__xludf.DUMMYFUNCTION("""COMPUTED_VALUE"""),59.166666666666664)</f>
        <v>59.16666667</v>
      </c>
      <c r="H255" s="163">
        <f>IFERROR(__xludf.DUMMYFUNCTION("""COMPUTED_VALUE"""),39183.0)</f>
        <v>39183</v>
      </c>
      <c r="I255" s="162">
        <f>IFERROR(__xludf.DUMMYFUNCTION("""COMPUTED_VALUE"""),13.580555555555556)</f>
        <v>13.58055556</v>
      </c>
      <c r="J255" s="164">
        <f>IFERROR(__xludf.DUMMYFUNCTION("""COMPUTED_VALUE"""),89.0)</f>
        <v>89</v>
      </c>
      <c r="K255" s="164">
        <f>IFERROR(__xludf.DUMMYFUNCTION("""COMPUTED_VALUE"""),4.0)</f>
        <v>4</v>
      </c>
      <c r="L255" s="158" t="str">
        <f>IFERROR(__xludf.DUMMYFUNCTION("""COMPUTED_VALUE"""),"Puzzle / Block-Breaking")</f>
        <v>Puzzle / Block-Breaking</v>
      </c>
      <c r="M255" s="158"/>
      <c r="N255" s="158"/>
      <c r="O255" s="158" t="str">
        <f>IFERROR(__xludf.DUMMYFUNCTION("""COMPUTED_VALUE"""),"E")</f>
        <v>E</v>
      </c>
      <c r="P255" s="158"/>
      <c r="Q255" s="158" t="str">
        <f>IFERROR(__xludf.DUMMYFUNCTION("""COMPUTED_VALUE"""),"Xbox 360")</f>
        <v>Xbox 360</v>
      </c>
      <c r="R255" s="159" t="str">
        <f>IFERROR(__xludf.DUMMYFUNCTION("""COMPUTED_VALUE"""),"Active")</f>
        <v>Active</v>
      </c>
      <c r="S255" s="160">
        <f>IFERROR(__xludf.DUMMYFUNCTION("""COMPUTED_VALUE"""),45547.0)</f>
        <v>45547</v>
      </c>
      <c r="T255" s="162">
        <f>IFERROR(__xludf.DUMMYFUNCTION("""COMPUTED_VALUE"""),46.06666666666667)</f>
        <v>46.06666667</v>
      </c>
    </row>
    <row r="256">
      <c r="A256" s="158" t="str">
        <f>IFERROR(__xludf.DUMMYFUNCTION("""COMPUTED_VALUE"""),"Peggle 2")</f>
        <v>Peggle 2</v>
      </c>
      <c r="B256" s="158" t="str">
        <f>IFERROR(__xludf.DUMMYFUNCTION("""COMPUTED_VALUE"""),"Xbox")</f>
        <v>Xbox</v>
      </c>
      <c r="C256" s="158" t="str">
        <f>IFERROR(__xludf.DUMMYFUNCTION("""COMPUTED_VALUE"""),"Touch Controls")</f>
        <v>Touch Controls</v>
      </c>
      <c r="D256" s="159" t="str">
        <f>IFERROR(__xludf.DUMMYFUNCTION("""COMPUTED_VALUE"""),"Active")</f>
        <v>Active</v>
      </c>
      <c r="E256" s="160">
        <f>IFERROR(__xludf.DUMMYFUNCTION("""COMPUTED_VALUE"""),44145.0)</f>
        <v>44145</v>
      </c>
      <c r="F256" s="161"/>
      <c r="G256" s="162">
        <f>IFERROR(__xludf.DUMMYFUNCTION("""COMPUTED_VALUE"""),59.166666666666664)</f>
        <v>59.16666667</v>
      </c>
      <c r="H256" s="163">
        <f>IFERROR(__xludf.DUMMYFUNCTION("""COMPUTED_VALUE"""),41529.0)</f>
        <v>41529</v>
      </c>
      <c r="I256" s="162">
        <f>IFERROR(__xludf.DUMMYFUNCTION("""COMPUTED_VALUE"""),7.161111111111111)</f>
        <v>7.161111111</v>
      </c>
      <c r="J256" s="164">
        <f>IFERROR(__xludf.DUMMYFUNCTION("""COMPUTED_VALUE"""),89.0)</f>
        <v>89</v>
      </c>
      <c r="K256" s="164">
        <f>IFERROR(__xludf.DUMMYFUNCTION("""COMPUTED_VALUE"""),6.0)</f>
        <v>6</v>
      </c>
      <c r="L256" s="158" t="str">
        <f>IFERROR(__xludf.DUMMYFUNCTION("""COMPUTED_VALUE"""),"Puzzle")</f>
        <v>Puzzle</v>
      </c>
      <c r="M256" s="158"/>
      <c r="N256" s="158"/>
      <c r="O256" s="158" t="str">
        <f>IFERROR(__xludf.DUMMYFUNCTION("""COMPUTED_VALUE"""),"E")</f>
        <v>E</v>
      </c>
      <c r="P256" s="158" t="str">
        <f>IFERROR(__xludf.DUMMYFUNCTION("""COMPUTED_VALUE"""),"Comic Mischief")</f>
        <v>Comic Mischief</v>
      </c>
      <c r="Q256" s="158"/>
      <c r="R256" s="159" t="str">
        <f>IFERROR(__xludf.DUMMYFUNCTION("""COMPUTED_VALUE"""),"Active")</f>
        <v>Active</v>
      </c>
      <c r="S256" s="160">
        <f>IFERROR(__xludf.DUMMYFUNCTION("""COMPUTED_VALUE"""),45547.0)</f>
        <v>45547</v>
      </c>
      <c r="T256" s="162">
        <f>IFERROR(__xludf.DUMMYFUNCTION("""COMPUTED_VALUE"""),46.06666666666667)</f>
        <v>46.06666667</v>
      </c>
    </row>
    <row r="257">
      <c r="A257" s="158" t="str">
        <f>IFERROR(__xludf.DUMMYFUNCTION("""COMPUTED_VALUE"""),"Plants vs. Zombies: Game of the Year Edition")</f>
        <v>Plants vs. Zombies: Game of the Year Edition</v>
      </c>
      <c r="B257" s="158" t="str">
        <f>IFERROR(__xludf.DUMMYFUNCTION("""COMPUTED_VALUE"""),"Xbox / PC")</f>
        <v>Xbox / PC</v>
      </c>
      <c r="C257" s="158"/>
      <c r="D257" s="159" t="str">
        <f>IFERROR(__xludf.DUMMYFUNCTION("""COMPUTED_VALUE"""),"Active")</f>
        <v>Active</v>
      </c>
      <c r="E257" s="160">
        <f>IFERROR(__xludf.DUMMYFUNCTION("""COMPUTED_VALUE"""),44145.0)</f>
        <v>44145</v>
      </c>
      <c r="F257" s="161"/>
      <c r="G257" s="162">
        <f>IFERROR(__xludf.DUMMYFUNCTION("""COMPUTED_VALUE"""),59.166666666666664)</f>
        <v>59.16666667</v>
      </c>
      <c r="H257" s="163">
        <f>IFERROR(__xludf.DUMMYFUNCTION("""COMPUTED_VALUE"""),39938.0)</f>
        <v>39938</v>
      </c>
      <c r="I257" s="162">
        <f>IFERROR(__xludf.DUMMYFUNCTION("""COMPUTED_VALUE"""),11.51388888888889)</f>
        <v>11.51388889</v>
      </c>
      <c r="J257" s="164">
        <f>IFERROR(__xludf.DUMMYFUNCTION("""COMPUTED_VALUE"""),89.0)</f>
        <v>89</v>
      </c>
      <c r="K257" s="164">
        <f>IFERROR(__xludf.DUMMYFUNCTION("""COMPUTED_VALUE"""),8.0)</f>
        <v>8</v>
      </c>
      <c r="L257" s="158" t="str">
        <f>IFERROR(__xludf.DUMMYFUNCTION("""COMPUTED_VALUE"""),"Strategy / Puzzle")</f>
        <v>Strategy / Puzzle</v>
      </c>
      <c r="M257" s="158"/>
      <c r="N257" s="158" t="str">
        <f>IFERROR(__xludf.DUMMYFUNCTION("""COMPUTED_VALUE"""),"Enhanced edition only on PC")</f>
        <v>Enhanced edition only on PC</v>
      </c>
      <c r="O257" s="158" t="str">
        <f>IFERROR(__xludf.DUMMYFUNCTION("""COMPUTED_VALUE"""),"E10+")</f>
        <v>E10+</v>
      </c>
      <c r="P257" s="158" t="str">
        <f>IFERROR(__xludf.DUMMYFUNCTION("""COMPUTED_VALUE"""),"Animated Blood, Cartoon Violence")</f>
        <v>Animated Blood, Cartoon Violence</v>
      </c>
      <c r="Q257" s="158" t="str">
        <f>IFERROR(__xludf.DUMMYFUNCTION("""COMPUTED_VALUE"""),"Xbox 360")</f>
        <v>Xbox 360</v>
      </c>
      <c r="R257" s="159" t="str">
        <f>IFERROR(__xludf.DUMMYFUNCTION("""COMPUTED_VALUE"""),"Active")</f>
        <v>Active</v>
      </c>
      <c r="S257" s="160">
        <f>IFERROR(__xludf.DUMMYFUNCTION("""COMPUTED_VALUE"""),45547.0)</f>
        <v>45547</v>
      </c>
      <c r="T257" s="162">
        <f>IFERROR(__xludf.DUMMYFUNCTION("""COMPUTED_VALUE"""),46.06666666666667)</f>
        <v>46.06666667</v>
      </c>
    </row>
    <row r="258">
      <c r="A258" s="158" t="str">
        <f>IFERROR(__xludf.DUMMYFUNCTION("""COMPUTED_VALUE"""),"Plants vs. Zombies: Battle for Neighborville - Deluxe Edition")</f>
        <v>Plants vs. Zombies: Battle for Neighborville - Deluxe Edition</v>
      </c>
      <c r="B258" s="158" t="str">
        <f>IFERROR(__xludf.DUMMYFUNCTION("""COMPUTED_VALUE"""),"Xbox / PC")</f>
        <v>Xbox / PC</v>
      </c>
      <c r="C258" s="158" t="str">
        <f>IFERROR(__xludf.DUMMYFUNCTION("""COMPUTED_VALUE"""),"Yes")</f>
        <v>Yes</v>
      </c>
      <c r="D258" s="159" t="str">
        <f>IFERROR(__xludf.DUMMYFUNCTION("""COMPUTED_VALUE"""),"Active")</f>
        <v>Active</v>
      </c>
      <c r="E258" s="160">
        <f>IFERROR(__xludf.DUMMYFUNCTION("""COMPUTED_VALUE"""),44145.0)</f>
        <v>44145</v>
      </c>
      <c r="F258" s="161"/>
      <c r="G258" s="162">
        <f>IFERROR(__xludf.DUMMYFUNCTION("""COMPUTED_VALUE"""),59.166666666666664)</f>
        <v>59.16666667</v>
      </c>
      <c r="H258" s="163">
        <f>IFERROR(__xludf.DUMMYFUNCTION("""COMPUTED_VALUE"""),43756.0)</f>
        <v>43756</v>
      </c>
      <c r="I258" s="162">
        <f>IFERROR(__xludf.DUMMYFUNCTION("""COMPUTED_VALUE"""),1.0611111111111111)</f>
        <v>1.061111111</v>
      </c>
      <c r="J258" s="164">
        <f>IFERROR(__xludf.DUMMYFUNCTION("""COMPUTED_VALUE"""),76.0)</f>
        <v>76</v>
      </c>
      <c r="K258" s="164">
        <f>IFERROR(__xludf.DUMMYFUNCTION("""COMPUTED_VALUE"""),4.5)</f>
        <v>4.5</v>
      </c>
      <c r="L258" s="158" t="str">
        <f>IFERROR(__xludf.DUMMYFUNCTION("""COMPUTED_VALUE"""),"Shooter")</f>
        <v>Shooter</v>
      </c>
      <c r="M258" s="158" t="str">
        <f>IFERROR(__xludf.DUMMYFUNCTION("""COMPUTED_VALUE"""),"FPS Boost")</f>
        <v>FPS Boost</v>
      </c>
      <c r="N258" s="158" t="str">
        <f>IFERROR(__xludf.DUMMYFUNCTION("""COMPUTED_VALUE"""),"Enhanced edition only on PC")</f>
        <v>Enhanced edition only on PC</v>
      </c>
      <c r="O258" s="158" t="str">
        <f>IFERROR(__xludf.DUMMYFUNCTION("""COMPUTED_VALUE"""),"E10+")</f>
        <v>E10+</v>
      </c>
      <c r="P258" s="158" t="str">
        <f>IFERROR(__xludf.DUMMYFUNCTION("""COMPUTED_VALUE"""),"Fantasy Violence, Comic Mischief")</f>
        <v>Fantasy Violence, Comic Mischief</v>
      </c>
      <c r="Q258" s="158"/>
      <c r="R258" s="159" t="str">
        <f>IFERROR(__xludf.DUMMYFUNCTION("""COMPUTED_VALUE"""),"Active")</f>
        <v>Active</v>
      </c>
      <c r="S258" s="160">
        <f>IFERROR(__xludf.DUMMYFUNCTION("""COMPUTED_VALUE"""),45547.0)</f>
        <v>45547</v>
      </c>
      <c r="T258" s="162">
        <f>IFERROR(__xludf.DUMMYFUNCTION("""COMPUTED_VALUE"""),46.06666666666667)</f>
        <v>46.06666667</v>
      </c>
    </row>
    <row r="259">
      <c r="A259" s="158" t="str">
        <f>IFERROR(__xludf.DUMMYFUNCTION("""COMPUTED_VALUE"""),"Plants vs. Zombies: Garden Warfare")</f>
        <v>Plants vs. Zombies: Garden Warfare</v>
      </c>
      <c r="B259" s="158" t="str">
        <f>IFERROR(__xludf.DUMMYFUNCTION("""COMPUTED_VALUE"""),"Xbox / PC")</f>
        <v>Xbox / PC</v>
      </c>
      <c r="C259" s="158" t="str">
        <f>IFERROR(__xludf.DUMMYFUNCTION("""COMPUTED_VALUE"""),"Yes")</f>
        <v>Yes</v>
      </c>
      <c r="D259" s="159" t="str">
        <f>IFERROR(__xludf.DUMMYFUNCTION("""COMPUTED_VALUE"""),"Active")</f>
        <v>Active</v>
      </c>
      <c r="E259" s="160">
        <f>IFERROR(__xludf.DUMMYFUNCTION("""COMPUTED_VALUE"""),44145.0)</f>
        <v>44145</v>
      </c>
      <c r="F259" s="161"/>
      <c r="G259" s="162">
        <f>IFERROR(__xludf.DUMMYFUNCTION("""COMPUTED_VALUE"""),59.166666666666664)</f>
        <v>59.16666667</v>
      </c>
      <c r="H259" s="163">
        <f>IFERROR(__xludf.DUMMYFUNCTION("""COMPUTED_VALUE"""),41688.0)</f>
        <v>41688</v>
      </c>
      <c r="I259" s="162">
        <f>IFERROR(__xludf.DUMMYFUNCTION("""COMPUTED_VALUE"""),6.727777777777778)</f>
        <v>6.727777778</v>
      </c>
      <c r="J259" s="164">
        <f>IFERROR(__xludf.DUMMYFUNCTION("""COMPUTED_VALUE"""),76.0)</f>
        <v>76</v>
      </c>
      <c r="K259" s="164">
        <f>IFERROR(__xludf.DUMMYFUNCTION("""COMPUTED_VALUE"""),67.5)</f>
        <v>67.5</v>
      </c>
      <c r="L259" s="158" t="str">
        <f>IFERROR(__xludf.DUMMYFUNCTION("""COMPUTED_VALUE"""),"Shooter")</f>
        <v>Shooter</v>
      </c>
      <c r="M259" s="158" t="str">
        <f>IFERROR(__xludf.DUMMYFUNCTION("""COMPUTED_VALUE"""),"FPS Boost")</f>
        <v>FPS Boost</v>
      </c>
      <c r="N259" s="158" t="str">
        <f>IFERROR(__xludf.DUMMYFUNCTION("""COMPUTED_VALUE"""),"Added to cloud 4/7/22")</f>
        <v>Added to cloud 4/7/22</v>
      </c>
      <c r="O259" s="158" t="str">
        <f>IFERROR(__xludf.DUMMYFUNCTION("""COMPUTED_VALUE"""),"E10+")</f>
        <v>E10+</v>
      </c>
      <c r="P259" s="158" t="str">
        <f>IFERROR(__xludf.DUMMYFUNCTION("""COMPUTED_VALUE"""),"Fantasy Violence, Crude Humor, Animated Blood")</f>
        <v>Fantasy Violence, Crude Humor, Animated Blood</v>
      </c>
      <c r="Q259" s="158"/>
      <c r="R259" s="159" t="str">
        <f>IFERROR(__xludf.DUMMYFUNCTION("""COMPUTED_VALUE"""),"Active")</f>
        <v>Active</v>
      </c>
      <c r="S259" s="160">
        <f>IFERROR(__xludf.DUMMYFUNCTION("""COMPUTED_VALUE"""),45547.0)</f>
        <v>45547</v>
      </c>
      <c r="T259" s="162">
        <f>IFERROR(__xludf.DUMMYFUNCTION("""COMPUTED_VALUE"""),46.06666666666667)</f>
        <v>46.06666667</v>
      </c>
    </row>
    <row r="260">
      <c r="A260" s="158" t="str">
        <f>IFERROR(__xludf.DUMMYFUNCTION("""COMPUTED_VALUE"""),"Plants vs. Zombies: Garden Warfare 2 - Deluxe Edition")</f>
        <v>Plants vs. Zombies: Garden Warfare 2 - Deluxe Edition</v>
      </c>
      <c r="B260" s="158" t="str">
        <f>IFERROR(__xludf.DUMMYFUNCTION("""COMPUTED_VALUE"""),"Xbox / PC")</f>
        <v>Xbox / PC</v>
      </c>
      <c r="C260" s="158" t="str">
        <f>IFERROR(__xludf.DUMMYFUNCTION("""COMPUTED_VALUE"""),"Yes")</f>
        <v>Yes</v>
      </c>
      <c r="D260" s="159" t="str">
        <f>IFERROR(__xludf.DUMMYFUNCTION("""COMPUTED_VALUE"""),"Active")</f>
        <v>Active</v>
      </c>
      <c r="E260" s="160">
        <f>IFERROR(__xludf.DUMMYFUNCTION("""COMPUTED_VALUE"""),44145.0)</f>
        <v>44145</v>
      </c>
      <c r="F260" s="161"/>
      <c r="G260" s="162">
        <f>IFERROR(__xludf.DUMMYFUNCTION("""COMPUTED_VALUE"""),59.166666666666664)</f>
        <v>59.16666667</v>
      </c>
      <c r="H260" s="163">
        <f>IFERROR(__xludf.DUMMYFUNCTION("""COMPUTED_VALUE"""),42423.0)</f>
        <v>42423</v>
      </c>
      <c r="I260" s="162">
        <f>IFERROR(__xludf.DUMMYFUNCTION("""COMPUTED_VALUE"""),4.713888888888889)</f>
        <v>4.713888889</v>
      </c>
      <c r="J260" s="164">
        <f>IFERROR(__xludf.DUMMYFUNCTION("""COMPUTED_VALUE"""),80.0)</f>
        <v>80</v>
      </c>
      <c r="K260" s="164">
        <f>IFERROR(__xludf.DUMMYFUNCTION("""COMPUTED_VALUE"""),12.5)</f>
        <v>12.5</v>
      </c>
      <c r="L260" s="158" t="str">
        <f>IFERROR(__xludf.DUMMYFUNCTION("""COMPUTED_VALUE"""),"Action")</f>
        <v>Action</v>
      </c>
      <c r="M260" s="158" t="str">
        <f>IFERROR(__xludf.DUMMYFUNCTION("""COMPUTED_VALUE"""),"FPS Boost")</f>
        <v>FPS Boost</v>
      </c>
      <c r="N260" s="158" t="str">
        <f>IFERROR(__xludf.DUMMYFUNCTION("""COMPUTED_VALUE"""),"Enhanced edition only on PC")</f>
        <v>Enhanced edition only on PC</v>
      </c>
      <c r="O260" s="158" t="str">
        <f>IFERROR(__xludf.DUMMYFUNCTION("""COMPUTED_VALUE"""),"E10+")</f>
        <v>E10+</v>
      </c>
      <c r="P260" s="158" t="str">
        <f>IFERROR(__xludf.DUMMYFUNCTION("""COMPUTED_VALUE"""),"Fantasy Violence, Crude Humor, Animated Blood")</f>
        <v>Fantasy Violence, Crude Humor, Animated Blood</v>
      </c>
      <c r="Q260" s="158"/>
      <c r="R260" s="159" t="str">
        <f>IFERROR(__xludf.DUMMYFUNCTION("""COMPUTED_VALUE"""),"Active")</f>
        <v>Active</v>
      </c>
      <c r="S260" s="160">
        <f>IFERROR(__xludf.DUMMYFUNCTION("""COMPUTED_VALUE"""),45547.0)</f>
        <v>45547</v>
      </c>
      <c r="T260" s="162">
        <f>IFERROR(__xludf.DUMMYFUNCTION("""COMPUTED_VALUE"""),46.06666666666667)</f>
        <v>46.06666667</v>
      </c>
    </row>
    <row r="261">
      <c r="A261" s="158" t="str">
        <f>IFERROR(__xludf.DUMMYFUNCTION("""COMPUTED_VALUE"""),"Skate 3")</f>
        <v>Skate 3</v>
      </c>
      <c r="B261" s="158" t="str">
        <f>IFERROR(__xludf.DUMMYFUNCTION("""COMPUTED_VALUE"""),"Xbox")</f>
        <v>Xbox</v>
      </c>
      <c r="C261" s="158" t="str">
        <f>IFERROR(__xludf.DUMMYFUNCTION("""COMPUTED_VALUE"""),"Yes")</f>
        <v>Yes</v>
      </c>
      <c r="D261" s="159" t="str">
        <f>IFERROR(__xludf.DUMMYFUNCTION("""COMPUTED_VALUE"""),"Active")</f>
        <v>Active</v>
      </c>
      <c r="E261" s="160">
        <f>IFERROR(__xludf.DUMMYFUNCTION("""COMPUTED_VALUE"""),44145.0)</f>
        <v>44145</v>
      </c>
      <c r="F261" s="161"/>
      <c r="G261" s="162">
        <f>IFERROR(__xludf.DUMMYFUNCTION("""COMPUTED_VALUE"""),59.166666666666664)</f>
        <v>59.16666667</v>
      </c>
      <c r="H261" s="163">
        <f>IFERROR(__xludf.DUMMYFUNCTION("""COMPUTED_VALUE"""),40309.0)</f>
        <v>40309</v>
      </c>
      <c r="I261" s="162">
        <f>IFERROR(__xludf.DUMMYFUNCTION("""COMPUTED_VALUE"""),10.497222222222222)</f>
        <v>10.49722222</v>
      </c>
      <c r="J261" s="164">
        <f>IFERROR(__xludf.DUMMYFUNCTION("""COMPUTED_VALUE"""),80.0)</f>
        <v>80</v>
      </c>
      <c r="K261" s="164">
        <f>IFERROR(__xludf.DUMMYFUNCTION("""COMPUTED_VALUE"""),9.0)</f>
        <v>9</v>
      </c>
      <c r="L261" s="158" t="str">
        <f>IFERROR(__xludf.DUMMYFUNCTION("""COMPUTED_VALUE"""),"Skateboarding")</f>
        <v>Skateboarding</v>
      </c>
      <c r="M261" s="158"/>
      <c r="N261" s="158"/>
      <c r="O261" s="158" t="str">
        <f>IFERROR(__xludf.DUMMYFUNCTION("""COMPUTED_VALUE"""),"T")</f>
        <v>T</v>
      </c>
      <c r="P261" s="158" t="str">
        <f>IFERROR(__xludf.DUMMYFUNCTION("""COMPUTED_VALUE"""),"Crude Humor, Drug Reference, Language, Mild Violence, Suggestive Themes")</f>
        <v>Crude Humor, Drug Reference, Language, Mild Violence, Suggestive Themes</v>
      </c>
      <c r="Q261" s="158" t="str">
        <f>IFERROR(__xludf.DUMMYFUNCTION("""COMPUTED_VALUE"""),"Xbox 360")</f>
        <v>Xbox 360</v>
      </c>
      <c r="R261" s="159" t="str">
        <f>IFERROR(__xludf.DUMMYFUNCTION("""COMPUTED_VALUE"""),"Active")</f>
        <v>Active</v>
      </c>
      <c r="S261" s="160">
        <f>IFERROR(__xludf.DUMMYFUNCTION("""COMPUTED_VALUE"""),45547.0)</f>
        <v>45547</v>
      </c>
      <c r="T261" s="162">
        <f>IFERROR(__xludf.DUMMYFUNCTION("""COMPUTED_VALUE"""),46.06666666666667)</f>
        <v>46.06666667</v>
      </c>
    </row>
    <row r="262">
      <c r="A262" s="158" t="str">
        <f>IFERROR(__xludf.DUMMYFUNCTION("""COMPUTED_VALUE"""),"SSX")</f>
        <v>SSX</v>
      </c>
      <c r="B262" s="158" t="str">
        <f>IFERROR(__xludf.DUMMYFUNCTION("""COMPUTED_VALUE"""),"Xbox")</f>
        <v>Xbox</v>
      </c>
      <c r="C262" s="158"/>
      <c r="D262" s="159" t="str">
        <f>IFERROR(__xludf.DUMMYFUNCTION("""COMPUTED_VALUE"""),"Active")</f>
        <v>Active</v>
      </c>
      <c r="E262" s="160">
        <f>IFERROR(__xludf.DUMMYFUNCTION("""COMPUTED_VALUE"""),44145.0)</f>
        <v>44145</v>
      </c>
      <c r="F262" s="161"/>
      <c r="G262" s="162">
        <f>IFERROR(__xludf.DUMMYFUNCTION("""COMPUTED_VALUE"""),59.166666666666664)</f>
        <v>59.16666667</v>
      </c>
      <c r="H262" s="163">
        <f>IFERROR(__xludf.DUMMYFUNCTION("""COMPUTED_VALUE"""),40967.0)</f>
        <v>40967</v>
      </c>
      <c r="I262" s="162">
        <f>IFERROR(__xludf.DUMMYFUNCTION("""COMPUTED_VALUE"""),8.7)</f>
        <v>8.7</v>
      </c>
      <c r="J262" s="164">
        <f>IFERROR(__xludf.DUMMYFUNCTION("""COMPUTED_VALUE"""),82.0)</f>
        <v>82</v>
      </c>
      <c r="K262" s="164">
        <f>IFERROR(__xludf.DUMMYFUNCTION("""COMPUTED_VALUE"""),11.5)</f>
        <v>11.5</v>
      </c>
      <c r="L262" s="158" t="str">
        <f>IFERROR(__xludf.DUMMYFUNCTION("""COMPUTED_VALUE"""),"Sports / Snowboarding/Skiing")</f>
        <v>Sports / Snowboarding/Skiing</v>
      </c>
      <c r="M262" s="158"/>
      <c r="N262" s="158"/>
      <c r="O262" s="158" t="str">
        <f>IFERROR(__xludf.DUMMYFUNCTION("""COMPUTED_VALUE"""),"E")</f>
        <v>E</v>
      </c>
      <c r="P262" s="158" t="str">
        <f>IFERROR(__xludf.DUMMYFUNCTION("""COMPUTED_VALUE"""),"Mild Lyrics, Mild Violence")</f>
        <v>Mild Lyrics, Mild Violence</v>
      </c>
      <c r="Q262" s="158" t="str">
        <f>IFERROR(__xludf.DUMMYFUNCTION("""COMPUTED_VALUE"""),"Xbox 360")</f>
        <v>Xbox 360</v>
      </c>
      <c r="R262" s="159" t="str">
        <f>IFERROR(__xludf.DUMMYFUNCTION("""COMPUTED_VALUE"""),"Active")</f>
        <v>Active</v>
      </c>
      <c r="S262" s="160">
        <f>IFERROR(__xludf.DUMMYFUNCTION("""COMPUTED_VALUE"""),45547.0)</f>
        <v>45547</v>
      </c>
      <c r="T262" s="162">
        <f>IFERROR(__xludf.DUMMYFUNCTION("""COMPUTED_VALUE"""),46.06666666666667)</f>
        <v>46.06666667</v>
      </c>
    </row>
    <row r="263">
      <c r="A263" s="158" t="str">
        <f>IFERROR(__xludf.DUMMYFUNCTION("""COMPUTED_VALUE"""),"Star Wars Battlefront: Ultimate Edition")</f>
        <v>Star Wars Battlefront: Ultimate Edition</v>
      </c>
      <c r="B263" s="158" t="str">
        <f>IFERROR(__xludf.DUMMYFUNCTION("""COMPUTED_VALUE"""),"Xbox / PC")</f>
        <v>Xbox / PC</v>
      </c>
      <c r="C263" s="158"/>
      <c r="D263" s="159" t="str">
        <f>IFERROR(__xludf.DUMMYFUNCTION("""COMPUTED_VALUE"""),"Active")</f>
        <v>Active</v>
      </c>
      <c r="E263" s="160">
        <f>IFERROR(__xludf.DUMMYFUNCTION("""COMPUTED_VALUE"""),44145.0)</f>
        <v>44145</v>
      </c>
      <c r="F263" s="161"/>
      <c r="G263" s="162">
        <f>IFERROR(__xludf.DUMMYFUNCTION("""COMPUTED_VALUE"""),59.166666666666664)</f>
        <v>59.16666667</v>
      </c>
      <c r="H263" s="163">
        <f>IFERROR(__xludf.DUMMYFUNCTION("""COMPUTED_VALUE"""),42325.0)</f>
        <v>42325</v>
      </c>
      <c r="I263" s="162">
        <f>IFERROR(__xludf.DUMMYFUNCTION("""COMPUTED_VALUE"""),4.980555555555555)</f>
        <v>4.980555556</v>
      </c>
      <c r="J263" s="164">
        <f>IFERROR(__xludf.DUMMYFUNCTION("""COMPUTED_VALUE"""),75.0)</f>
        <v>75</v>
      </c>
      <c r="K263" s="164">
        <f>IFERROR(__xludf.DUMMYFUNCTION("""COMPUTED_VALUE"""),14.5)</f>
        <v>14.5</v>
      </c>
      <c r="L263" s="158" t="str">
        <f>IFERROR(__xludf.DUMMYFUNCTION("""COMPUTED_VALUE"""),"Action / Shooter")</f>
        <v>Action / Shooter</v>
      </c>
      <c r="M263" s="158" t="str">
        <f>IFERROR(__xludf.DUMMYFUNCTION("""COMPUTED_VALUE"""),"FPS Boost")</f>
        <v>FPS Boost</v>
      </c>
      <c r="N263" s="158" t="str">
        <f>IFERROR(__xludf.DUMMYFUNCTION("""COMPUTED_VALUE"""),"Enhanced edition only on PC")</f>
        <v>Enhanced edition only on PC</v>
      </c>
      <c r="O263" s="158" t="str">
        <f>IFERROR(__xludf.DUMMYFUNCTION("""COMPUTED_VALUE"""),"T")</f>
        <v>T</v>
      </c>
      <c r="P263" s="158" t="str">
        <f>IFERROR(__xludf.DUMMYFUNCTION("""COMPUTED_VALUE"""),"Violence")</f>
        <v>Violence</v>
      </c>
      <c r="Q263" s="158"/>
      <c r="R263" s="159" t="str">
        <f>IFERROR(__xludf.DUMMYFUNCTION("""COMPUTED_VALUE"""),"Active")</f>
        <v>Active</v>
      </c>
      <c r="S263" s="160">
        <f>IFERROR(__xludf.DUMMYFUNCTION("""COMPUTED_VALUE"""),45547.0)</f>
        <v>45547</v>
      </c>
      <c r="T263" s="162">
        <f>IFERROR(__xludf.DUMMYFUNCTION("""COMPUTED_VALUE"""),46.06666666666667)</f>
        <v>46.06666667</v>
      </c>
    </row>
    <row r="264">
      <c r="A264" s="158" t="str">
        <f>IFERROR(__xludf.DUMMYFUNCTION("""COMPUTED_VALUE"""),"Star Wars Battlefront II: Celebration Edition")</f>
        <v>Star Wars Battlefront II: Celebration Edition</v>
      </c>
      <c r="B264" s="158" t="str">
        <f>IFERROR(__xludf.DUMMYFUNCTION("""COMPUTED_VALUE"""),"Xbox / PC")</f>
        <v>Xbox / PC</v>
      </c>
      <c r="C264" s="158" t="str">
        <f>IFERROR(__xludf.DUMMYFUNCTION("""COMPUTED_VALUE"""),"Yes")</f>
        <v>Yes</v>
      </c>
      <c r="D264" s="159" t="str">
        <f>IFERROR(__xludf.DUMMYFUNCTION("""COMPUTED_VALUE"""),"Active")</f>
        <v>Active</v>
      </c>
      <c r="E264" s="160">
        <f>IFERROR(__xludf.DUMMYFUNCTION("""COMPUTED_VALUE"""),44145.0)</f>
        <v>44145</v>
      </c>
      <c r="F264" s="161"/>
      <c r="G264" s="162">
        <f>IFERROR(__xludf.DUMMYFUNCTION("""COMPUTED_VALUE"""),59.166666666666664)</f>
        <v>59.16666667</v>
      </c>
      <c r="H264" s="163">
        <f>IFERROR(__xludf.DUMMYFUNCTION("""COMPUTED_VALUE"""),43056.0)</f>
        <v>43056</v>
      </c>
      <c r="I264" s="162">
        <f>IFERROR(__xludf.DUMMYFUNCTION("""COMPUTED_VALUE"""),2.9805555555555556)</f>
        <v>2.980555556</v>
      </c>
      <c r="J264" s="164">
        <f>IFERROR(__xludf.DUMMYFUNCTION("""COMPUTED_VALUE"""),66.0)</f>
        <v>66</v>
      </c>
      <c r="K264" s="164">
        <f>IFERROR(__xludf.DUMMYFUNCTION("""COMPUTED_VALUE"""),6.0)</f>
        <v>6</v>
      </c>
      <c r="L264" s="158" t="str">
        <f>IFERROR(__xludf.DUMMYFUNCTION("""COMPUTED_VALUE"""),"Action / First-Person Shooter")</f>
        <v>Action / First-Person Shooter</v>
      </c>
      <c r="M264" s="158" t="str">
        <f>IFERROR(__xludf.DUMMYFUNCTION("""COMPUTED_VALUE"""),"FPS Boost X Only")</f>
        <v>FPS Boost X Only</v>
      </c>
      <c r="N264" s="158" t="str">
        <f>IFERROR(__xludf.DUMMYFUNCTION("""COMPUTED_VALUE"""),"Enhanced edition only on PC")</f>
        <v>Enhanced edition only on PC</v>
      </c>
      <c r="O264" s="158" t="str">
        <f>IFERROR(__xludf.DUMMYFUNCTION("""COMPUTED_VALUE"""),"T")</f>
        <v>T</v>
      </c>
      <c r="P264" s="158" t="str">
        <f>IFERROR(__xludf.DUMMYFUNCTION("""COMPUTED_VALUE"""),"Violence")</f>
        <v>Violence</v>
      </c>
      <c r="Q264" s="158" t="str">
        <f>IFERROR(__xludf.DUMMYFUNCTION("""COMPUTED_VALUE"""),"Does not FPS boost on Series S")</f>
        <v>Does not FPS boost on Series S</v>
      </c>
      <c r="R264" s="159" t="str">
        <f>IFERROR(__xludf.DUMMYFUNCTION("""COMPUTED_VALUE"""),"Active")</f>
        <v>Active</v>
      </c>
      <c r="S264" s="160">
        <f>IFERROR(__xludf.DUMMYFUNCTION("""COMPUTED_VALUE"""),45547.0)</f>
        <v>45547</v>
      </c>
      <c r="T264" s="162">
        <f>IFERROR(__xludf.DUMMYFUNCTION("""COMPUTED_VALUE"""),46.06666666666667)</f>
        <v>46.06666667</v>
      </c>
    </row>
    <row r="265">
      <c r="A265" s="158" t="str">
        <f>IFERROR(__xludf.DUMMYFUNCTION("""COMPUTED_VALUE"""),"Star Wars Jedi: Fallen Order")</f>
        <v>Star Wars Jedi: Fallen Order</v>
      </c>
      <c r="B265" s="158" t="str">
        <f>IFERROR(__xludf.DUMMYFUNCTION("""COMPUTED_VALUE"""),"Xbox / PC")</f>
        <v>Xbox / PC</v>
      </c>
      <c r="C265" s="158" t="str">
        <f>IFERROR(__xludf.DUMMYFUNCTION("""COMPUTED_VALUE"""),"Yes")</f>
        <v>Yes</v>
      </c>
      <c r="D265" s="159" t="str">
        <f>IFERROR(__xludf.DUMMYFUNCTION("""COMPUTED_VALUE"""),"Active")</f>
        <v>Active</v>
      </c>
      <c r="E265" s="160">
        <f>IFERROR(__xludf.DUMMYFUNCTION("""COMPUTED_VALUE"""),44145.0)</f>
        <v>44145</v>
      </c>
      <c r="F265" s="161"/>
      <c r="G265" s="162">
        <f>IFERROR(__xludf.DUMMYFUNCTION("""COMPUTED_VALUE"""),59.166666666666664)</f>
        <v>59.16666667</v>
      </c>
      <c r="H265" s="163">
        <f>IFERROR(__xludf.DUMMYFUNCTION("""COMPUTED_VALUE"""),43784.0)</f>
        <v>43784</v>
      </c>
      <c r="I265" s="162">
        <f>IFERROR(__xludf.DUMMYFUNCTION("""COMPUTED_VALUE"""),0.9861111111111112)</f>
        <v>0.9861111111</v>
      </c>
      <c r="J265" s="164">
        <f>IFERROR(__xludf.DUMMYFUNCTION("""COMPUTED_VALUE"""),81.0)</f>
        <v>81</v>
      </c>
      <c r="K265" s="164">
        <f>IFERROR(__xludf.DUMMYFUNCTION("""COMPUTED_VALUE"""),24.0)</f>
        <v>24</v>
      </c>
      <c r="L265" s="158" t="str">
        <f>IFERROR(__xludf.DUMMYFUNCTION("""COMPUTED_VALUE"""),"Action-Adventure")</f>
        <v>Action-Adventure</v>
      </c>
      <c r="M265" s="158" t="str">
        <f>IFERROR(__xludf.DUMMYFUNCTION("""COMPUTED_VALUE"""),"Optimized")</f>
        <v>Optimized</v>
      </c>
      <c r="N265" s="158"/>
      <c r="O265" s="158" t="str">
        <f>IFERROR(__xludf.DUMMYFUNCTION("""COMPUTED_VALUE"""),"T")</f>
        <v>T</v>
      </c>
      <c r="P265" s="158" t="str">
        <f>IFERROR(__xludf.DUMMYFUNCTION("""COMPUTED_VALUE"""),"Mild Language, Violence")</f>
        <v>Mild Language, Violence</v>
      </c>
      <c r="Q265" s="158"/>
      <c r="R265" s="159" t="str">
        <f>IFERROR(__xludf.DUMMYFUNCTION("""COMPUTED_VALUE"""),"Active")</f>
        <v>Active</v>
      </c>
      <c r="S265" s="160">
        <f>IFERROR(__xludf.DUMMYFUNCTION("""COMPUTED_VALUE"""),45547.0)</f>
        <v>45547</v>
      </c>
      <c r="T265" s="162">
        <f>IFERROR(__xludf.DUMMYFUNCTION("""COMPUTED_VALUE"""),46.06666666666667)</f>
        <v>46.06666667</v>
      </c>
    </row>
    <row r="266">
      <c r="A266" s="158" t="str">
        <f>IFERROR(__xludf.DUMMYFUNCTION("""COMPUTED_VALUE"""),"The Sims 4: Deluxe Party Edition")</f>
        <v>The Sims 4: Deluxe Party Edition</v>
      </c>
      <c r="B266" s="158" t="str">
        <f>IFERROR(__xludf.DUMMYFUNCTION("""COMPUTED_VALUE"""),"Xbox / PC")</f>
        <v>Xbox / PC</v>
      </c>
      <c r="C266" s="158" t="str">
        <f>IFERROR(__xludf.DUMMYFUNCTION("""COMPUTED_VALUE"""),"M+KB")</f>
        <v>M+KB</v>
      </c>
      <c r="D266" s="159" t="str">
        <f>IFERROR(__xludf.DUMMYFUNCTION("""COMPUTED_VALUE"""),"Active")</f>
        <v>Active</v>
      </c>
      <c r="E266" s="160">
        <f>IFERROR(__xludf.DUMMYFUNCTION("""COMPUTED_VALUE"""),44145.0)</f>
        <v>44145</v>
      </c>
      <c r="F266" s="161"/>
      <c r="G266" s="162">
        <f>IFERROR(__xludf.DUMMYFUNCTION("""COMPUTED_VALUE"""),59.166666666666664)</f>
        <v>59.16666667</v>
      </c>
      <c r="H266" s="163">
        <f>IFERROR(__xludf.DUMMYFUNCTION("""COMPUTED_VALUE"""),41884.0)</f>
        <v>41884</v>
      </c>
      <c r="I266" s="162">
        <f>IFERROR(__xludf.DUMMYFUNCTION("""COMPUTED_VALUE"""),6.188888888888889)</f>
        <v>6.188888889</v>
      </c>
      <c r="J266" s="164">
        <f>IFERROR(__xludf.DUMMYFUNCTION("""COMPUTED_VALUE"""),66.0)</f>
        <v>66</v>
      </c>
      <c r="K266" s="164">
        <f>IFERROR(__xludf.DUMMYFUNCTION("""COMPUTED_VALUE"""),40.0)</f>
        <v>40</v>
      </c>
      <c r="L266" s="158" t="str">
        <f>IFERROR(__xludf.DUMMYFUNCTION("""COMPUTED_VALUE"""),"Simulation")</f>
        <v>Simulation</v>
      </c>
      <c r="M266" s="158"/>
      <c r="N266" s="158" t="str">
        <f>IFERROR(__xludf.DUMMYFUNCTION("""COMPUTED_VALUE"""),"Enhanced edition only on PC")</f>
        <v>Enhanced edition only on PC</v>
      </c>
      <c r="O266" s="158" t="str">
        <f>IFERROR(__xludf.DUMMYFUNCTION("""COMPUTED_VALUE"""),"T")</f>
        <v>T</v>
      </c>
      <c r="P266" s="158" t="str">
        <f>IFERROR(__xludf.DUMMYFUNCTION("""COMPUTED_VALUE"""),"Crude Humor, Sexual Themes, Violence")</f>
        <v>Crude Humor, Sexual Themes, Violence</v>
      </c>
      <c r="Q266" s="158"/>
      <c r="R266" s="159" t="str">
        <f>IFERROR(__xludf.DUMMYFUNCTION("""COMPUTED_VALUE"""),"Active")</f>
        <v>Active</v>
      </c>
      <c r="S266" s="160">
        <f>IFERROR(__xludf.DUMMYFUNCTION("""COMPUTED_VALUE"""),45547.0)</f>
        <v>45547</v>
      </c>
      <c r="T266" s="162">
        <f>IFERROR(__xludf.DUMMYFUNCTION("""COMPUTED_VALUE"""),46.06666666666667)</f>
        <v>46.06666667</v>
      </c>
    </row>
    <row r="267">
      <c r="A267" s="158" t="str">
        <f>IFERROR(__xludf.DUMMYFUNCTION("""COMPUTED_VALUE"""),"Titanfall 2: Ultimate Edition")</f>
        <v>Titanfall 2: Ultimate Edition</v>
      </c>
      <c r="B267" s="158" t="str">
        <f>IFERROR(__xludf.DUMMYFUNCTION("""COMPUTED_VALUE"""),"Xbox / PC")</f>
        <v>Xbox / PC</v>
      </c>
      <c r="C267" s="158"/>
      <c r="D267" s="159" t="str">
        <f>IFERROR(__xludf.DUMMYFUNCTION("""COMPUTED_VALUE"""),"Active")</f>
        <v>Active</v>
      </c>
      <c r="E267" s="160">
        <f>IFERROR(__xludf.DUMMYFUNCTION("""COMPUTED_VALUE"""),44145.0)</f>
        <v>44145</v>
      </c>
      <c r="F267" s="161"/>
      <c r="G267" s="162">
        <f>IFERROR(__xludf.DUMMYFUNCTION("""COMPUTED_VALUE"""),59.166666666666664)</f>
        <v>59.16666667</v>
      </c>
      <c r="H267" s="163">
        <f>IFERROR(__xludf.DUMMYFUNCTION("""COMPUTED_VALUE"""),42671.0)</f>
        <v>42671</v>
      </c>
      <c r="I267" s="162">
        <f>IFERROR(__xludf.DUMMYFUNCTION("""COMPUTED_VALUE"""),4.033333333333333)</f>
        <v>4.033333333</v>
      </c>
      <c r="J267" s="164">
        <f>IFERROR(__xludf.DUMMYFUNCTION("""COMPUTED_VALUE"""),87.0)</f>
        <v>87</v>
      </c>
      <c r="K267" s="164">
        <f>IFERROR(__xludf.DUMMYFUNCTION("""COMPUTED_VALUE"""),6.0)</f>
        <v>6</v>
      </c>
      <c r="L267" s="158" t="str">
        <f>IFERROR(__xludf.DUMMYFUNCTION("""COMPUTED_VALUE"""),"First-Person Shooter")</f>
        <v>First-Person Shooter</v>
      </c>
      <c r="M267" s="158" t="str">
        <f>IFERROR(__xludf.DUMMYFUNCTION("""COMPUTED_VALUE"""),"FPS Boost")</f>
        <v>FPS Boost</v>
      </c>
      <c r="N267" s="158" t="str">
        <f>IFERROR(__xludf.DUMMYFUNCTION("""COMPUTED_VALUE"""),"Enhanced edition only on PC")</f>
        <v>Enhanced edition only on PC</v>
      </c>
      <c r="O267" s="158" t="str">
        <f>IFERROR(__xludf.DUMMYFUNCTION("""COMPUTED_VALUE"""),"M")</f>
        <v>M</v>
      </c>
      <c r="P267" s="158" t="str">
        <f>IFERROR(__xludf.DUMMYFUNCTION("""COMPUTED_VALUE"""),"Blood and Gore, Language, Violence")</f>
        <v>Blood and Gore, Language, Violence</v>
      </c>
      <c r="Q267" s="158"/>
      <c r="R267" s="159" t="str">
        <f>IFERROR(__xludf.DUMMYFUNCTION("""COMPUTED_VALUE"""),"Active")</f>
        <v>Active</v>
      </c>
      <c r="S267" s="160">
        <f>IFERROR(__xludf.DUMMYFUNCTION("""COMPUTED_VALUE"""),45547.0)</f>
        <v>45547</v>
      </c>
      <c r="T267" s="162">
        <f>IFERROR(__xludf.DUMMYFUNCTION("""COMPUTED_VALUE"""),46.06666666666667)</f>
        <v>46.06666667</v>
      </c>
    </row>
    <row r="268">
      <c r="A268" s="158" t="str">
        <f>IFERROR(__xludf.DUMMYFUNCTION("""COMPUTED_VALUE"""),"Unravel")</f>
        <v>Unravel</v>
      </c>
      <c r="B268" s="158" t="str">
        <f>IFERROR(__xludf.DUMMYFUNCTION("""COMPUTED_VALUE"""),"Xbox / PC")</f>
        <v>Xbox / PC</v>
      </c>
      <c r="C268" s="158"/>
      <c r="D268" s="159" t="str">
        <f>IFERROR(__xludf.DUMMYFUNCTION("""COMPUTED_VALUE"""),"Active")</f>
        <v>Active</v>
      </c>
      <c r="E268" s="160">
        <f>IFERROR(__xludf.DUMMYFUNCTION("""COMPUTED_VALUE"""),44145.0)</f>
        <v>44145</v>
      </c>
      <c r="F268" s="161"/>
      <c r="G268" s="162">
        <f>IFERROR(__xludf.DUMMYFUNCTION("""COMPUTED_VALUE"""),59.166666666666664)</f>
        <v>59.16666667</v>
      </c>
      <c r="H268" s="163">
        <f>IFERROR(__xludf.DUMMYFUNCTION("""COMPUTED_VALUE"""),42409.0)</f>
        <v>42409</v>
      </c>
      <c r="I268" s="162">
        <f>IFERROR(__xludf.DUMMYFUNCTION("""COMPUTED_VALUE"""),4.752777777777778)</f>
        <v>4.752777778</v>
      </c>
      <c r="J268" s="164">
        <f>IFERROR(__xludf.DUMMYFUNCTION("""COMPUTED_VALUE"""),75.0)</f>
        <v>75</v>
      </c>
      <c r="K268" s="164">
        <f>IFERROR(__xludf.DUMMYFUNCTION("""COMPUTED_VALUE"""),6.0)</f>
        <v>6</v>
      </c>
      <c r="L268" s="158" t="str">
        <f>IFERROR(__xludf.DUMMYFUNCTION("""COMPUTED_VALUE"""),"Puzzle / Platformer")</f>
        <v>Puzzle / Platformer</v>
      </c>
      <c r="M268" s="158"/>
      <c r="N268" s="158"/>
      <c r="O268" s="158" t="str">
        <f>IFERROR(__xludf.DUMMYFUNCTION("""COMPUTED_VALUE"""),"E")</f>
        <v>E</v>
      </c>
      <c r="P268" s="158" t="str">
        <f>IFERROR(__xludf.DUMMYFUNCTION("""COMPUTED_VALUE"""),"Mild Fantasy Violence")</f>
        <v>Mild Fantasy Violence</v>
      </c>
      <c r="Q268" s="158"/>
      <c r="R268" s="159" t="str">
        <f>IFERROR(__xludf.DUMMYFUNCTION("""COMPUTED_VALUE"""),"Active")</f>
        <v>Active</v>
      </c>
      <c r="S268" s="160">
        <f>IFERROR(__xludf.DUMMYFUNCTION("""COMPUTED_VALUE"""),45547.0)</f>
        <v>45547</v>
      </c>
      <c r="T268" s="162">
        <f>IFERROR(__xludf.DUMMYFUNCTION("""COMPUTED_VALUE"""),46.06666666666667)</f>
        <v>46.06666667</v>
      </c>
    </row>
    <row r="269">
      <c r="A269" s="158" t="str">
        <f>IFERROR(__xludf.DUMMYFUNCTION("""COMPUTED_VALUE"""),"Unravel Two")</f>
        <v>Unravel Two</v>
      </c>
      <c r="B269" s="158" t="str">
        <f>IFERROR(__xludf.DUMMYFUNCTION("""COMPUTED_VALUE"""),"Xbox / PC")</f>
        <v>Xbox / PC</v>
      </c>
      <c r="C269" s="158" t="str">
        <f>IFERROR(__xludf.DUMMYFUNCTION("""COMPUTED_VALUE"""),"Yes")</f>
        <v>Yes</v>
      </c>
      <c r="D269" s="159" t="str">
        <f>IFERROR(__xludf.DUMMYFUNCTION("""COMPUTED_VALUE"""),"Active")</f>
        <v>Active</v>
      </c>
      <c r="E269" s="160">
        <f>IFERROR(__xludf.DUMMYFUNCTION("""COMPUTED_VALUE"""),44145.0)</f>
        <v>44145</v>
      </c>
      <c r="F269" s="161"/>
      <c r="G269" s="162">
        <f>IFERROR(__xludf.DUMMYFUNCTION("""COMPUTED_VALUE"""),59.166666666666664)</f>
        <v>59.16666667</v>
      </c>
      <c r="H269" s="163">
        <f>IFERROR(__xludf.DUMMYFUNCTION("""COMPUTED_VALUE"""),43260.0)</f>
        <v>43260</v>
      </c>
      <c r="I269" s="162">
        <f>IFERROR(__xludf.DUMMYFUNCTION("""COMPUTED_VALUE"""),2.4194444444444443)</f>
        <v>2.419444444</v>
      </c>
      <c r="J269" s="164">
        <f>IFERROR(__xludf.DUMMYFUNCTION("""COMPUTED_VALUE"""),81.0)</f>
        <v>81</v>
      </c>
      <c r="K269" s="164">
        <f>IFERROR(__xludf.DUMMYFUNCTION("""COMPUTED_VALUE"""),5.0)</f>
        <v>5</v>
      </c>
      <c r="L269" s="158" t="str">
        <f>IFERROR(__xludf.DUMMYFUNCTION("""COMPUTED_VALUE"""),"Puzzle / Platformer")</f>
        <v>Puzzle / Platformer</v>
      </c>
      <c r="M269" s="158" t="str">
        <f>IFERROR(__xludf.DUMMYFUNCTION("""COMPUTED_VALUE"""),"FPS Boost")</f>
        <v>FPS Boost</v>
      </c>
      <c r="N269" s="158"/>
      <c r="O269" s="158" t="str">
        <f>IFERROR(__xludf.DUMMYFUNCTION("""COMPUTED_VALUE"""),"E")</f>
        <v>E</v>
      </c>
      <c r="P269" s="158" t="str">
        <f>IFERROR(__xludf.DUMMYFUNCTION("""COMPUTED_VALUE"""),"Mild Fantasy Violence")</f>
        <v>Mild Fantasy Violence</v>
      </c>
      <c r="Q269" s="158"/>
      <c r="R269" s="159" t="str">
        <f>IFERROR(__xludf.DUMMYFUNCTION("""COMPUTED_VALUE"""),"Active")</f>
        <v>Active</v>
      </c>
      <c r="S269" s="160">
        <f>IFERROR(__xludf.DUMMYFUNCTION("""COMPUTED_VALUE"""),45547.0)</f>
        <v>45547</v>
      </c>
      <c r="T269" s="162">
        <f>IFERROR(__xludf.DUMMYFUNCTION("""COMPUTED_VALUE"""),46.06666666666667)</f>
        <v>46.06666667</v>
      </c>
    </row>
    <row r="270">
      <c r="A270" s="158" t="str">
        <f>IFERROR(__xludf.DUMMYFUNCTION("""COMPUTED_VALUE"""),"Zuma")</f>
        <v>Zuma</v>
      </c>
      <c r="B270" s="158" t="str">
        <f>IFERROR(__xludf.DUMMYFUNCTION("""COMPUTED_VALUE"""),"Xbox")</f>
        <v>Xbox</v>
      </c>
      <c r="C270" s="158"/>
      <c r="D270" s="159" t="str">
        <f>IFERROR(__xludf.DUMMYFUNCTION("""COMPUTED_VALUE"""),"Active")</f>
        <v>Active</v>
      </c>
      <c r="E270" s="160">
        <f>IFERROR(__xludf.DUMMYFUNCTION("""COMPUTED_VALUE"""),44145.0)</f>
        <v>44145</v>
      </c>
      <c r="F270" s="161"/>
      <c r="G270" s="162">
        <f>IFERROR(__xludf.DUMMYFUNCTION("""COMPUTED_VALUE"""),59.166666666666664)</f>
        <v>59.16666667</v>
      </c>
      <c r="H270" s="163">
        <f>IFERROR(__xludf.DUMMYFUNCTION("""COMPUTED_VALUE"""),37967.0)</f>
        <v>37967</v>
      </c>
      <c r="I270" s="162">
        <f>IFERROR(__xludf.DUMMYFUNCTION("""COMPUTED_VALUE"""),16.91111111111111)</f>
        <v>16.91111111</v>
      </c>
      <c r="J270" s="164">
        <f>IFERROR(__xludf.DUMMYFUNCTION("""COMPUTED_VALUE"""),78.0)</f>
        <v>78</v>
      </c>
      <c r="K270" s="164">
        <f>IFERROR(__xludf.DUMMYFUNCTION("""COMPUTED_VALUE"""),5.0)</f>
        <v>5</v>
      </c>
      <c r="L270" s="158" t="str">
        <f>IFERROR(__xludf.DUMMYFUNCTION("""COMPUTED_VALUE"""),"Puzzle")</f>
        <v>Puzzle</v>
      </c>
      <c r="M270" s="158"/>
      <c r="N270" s="158"/>
      <c r="O270" s="158" t="str">
        <f>IFERROR(__xludf.DUMMYFUNCTION("""COMPUTED_VALUE"""),"E")</f>
        <v>E</v>
      </c>
      <c r="P270" s="158"/>
      <c r="Q270" s="158" t="str">
        <f>IFERROR(__xludf.DUMMYFUNCTION("""COMPUTED_VALUE"""),"Xbox 360")</f>
        <v>Xbox 360</v>
      </c>
      <c r="R270" s="159" t="str">
        <f>IFERROR(__xludf.DUMMYFUNCTION("""COMPUTED_VALUE"""),"Active")</f>
        <v>Active</v>
      </c>
      <c r="S270" s="160">
        <f>IFERROR(__xludf.DUMMYFUNCTION("""COMPUTED_VALUE"""),45547.0)</f>
        <v>45547</v>
      </c>
      <c r="T270" s="162">
        <f>IFERROR(__xludf.DUMMYFUNCTION("""COMPUTED_VALUE"""),46.06666666666667)</f>
        <v>46.06666667</v>
      </c>
    </row>
    <row r="271">
      <c r="A271" s="158" t="str">
        <f>IFERROR(__xludf.DUMMYFUNCTION("""COMPUTED_VALUE"""),"Zuma's Revenge!")</f>
        <v>Zuma's Revenge!</v>
      </c>
      <c r="B271" s="158" t="str">
        <f>IFERROR(__xludf.DUMMYFUNCTION("""COMPUTED_VALUE"""),"Xbox")</f>
        <v>Xbox</v>
      </c>
      <c r="C271" s="158"/>
      <c r="D271" s="159" t="str">
        <f>IFERROR(__xludf.DUMMYFUNCTION("""COMPUTED_VALUE"""),"Active")</f>
        <v>Active</v>
      </c>
      <c r="E271" s="160">
        <f>IFERROR(__xludf.DUMMYFUNCTION("""COMPUTED_VALUE"""),44145.0)</f>
        <v>44145</v>
      </c>
      <c r="F271" s="161"/>
      <c r="G271" s="162">
        <f>IFERROR(__xludf.DUMMYFUNCTION("""COMPUTED_VALUE"""),59.166666666666664)</f>
        <v>59.16666667</v>
      </c>
      <c r="H271" s="163">
        <f>IFERROR(__xludf.DUMMYFUNCTION("""COMPUTED_VALUE"""),40071.0)</f>
        <v>40071</v>
      </c>
      <c r="I271" s="162">
        <f>IFERROR(__xludf.DUMMYFUNCTION("""COMPUTED_VALUE"""),11.152777777777779)</f>
        <v>11.15277778</v>
      </c>
      <c r="J271" s="164">
        <f>IFERROR(__xludf.DUMMYFUNCTION("""COMPUTED_VALUE"""),76.0)</f>
        <v>76</v>
      </c>
      <c r="K271" s="164">
        <f>IFERROR(__xludf.DUMMYFUNCTION("""COMPUTED_VALUE"""),5.0)</f>
        <v>5</v>
      </c>
      <c r="L271" s="158" t="str">
        <f>IFERROR(__xludf.DUMMYFUNCTION("""COMPUTED_VALUE"""),"Puzzle")</f>
        <v>Puzzle</v>
      </c>
      <c r="M271" s="158"/>
      <c r="N271" s="158"/>
      <c r="O271" s="158" t="str">
        <f>IFERROR(__xludf.DUMMYFUNCTION("""COMPUTED_VALUE"""),"E")</f>
        <v>E</v>
      </c>
      <c r="P271" s="158" t="str">
        <f>IFERROR(__xludf.DUMMYFUNCTION("""COMPUTED_VALUE"""),"Mild Cartoon Violence")</f>
        <v>Mild Cartoon Violence</v>
      </c>
      <c r="Q271" s="158" t="str">
        <f>IFERROR(__xludf.DUMMYFUNCTION("""COMPUTED_VALUE"""),"Xbox 360")</f>
        <v>Xbox 360</v>
      </c>
      <c r="R271" s="159" t="str">
        <f>IFERROR(__xludf.DUMMYFUNCTION("""COMPUTED_VALUE"""),"Active")</f>
        <v>Active</v>
      </c>
      <c r="S271" s="160">
        <f>IFERROR(__xludf.DUMMYFUNCTION("""COMPUTED_VALUE"""),45547.0)</f>
        <v>45547</v>
      </c>
      <c r="T271" s="162">
        <f>IFERROR(__xludf.DUMMYFUNCTION("""COMPUTED_VALUE"""),46.06666666666667)</f>
        <v>46.06666667</v>
      </c>
    </row>
    <row r="272">
      <c r="A272" s="158" t="str">
        <f>IFERROR(__xludf.DUMMYFUNCTION("""COMPUTED_VALUE"""),"Deep Rock Galactic")</f>
        <v>Deep Rock Galactic</v>
      </c>
      <c r="B272" s="158" t="str">
        <f>IFERROR(__xludf.DUMMYFUNCTION("""COMPUTED_VALUE"""),"Xbox / PC")</f>
        <v>Xbox / PC</v>
      </c>
      <c r="C272" s="158" t="str">
        <f>IFERROR(__xludf.DUMMYFUNCTION("""COMPUTED_VALUE"""),"M+KB")</f>
        <v>M+KB</v>
      </c>
      <c r="D272" s="159" t="str">
        <f>IFERROR(__xludf.DUMMYFUNCTION("""COMPUTED_VALUE"""),"Active")</f>
        <v>Active</v>
      </c>
      <c r="E272" s="160">
        <f>IFERROR(__xludf.DUMMYFUNCTION("""COMPUTED_VALUE"""),44140.0)</f>
        <v>44140</v>
      </c>
      <c r="F272" s="161"/>
      <c r="G272" s="162">
        <f>IFERROR(__xludf.DUMMYFUNCTION("""COMPUTED_VALUE"""),59.333333333333336)</f>
        <v>59.33333333</v>
      </c>
      <c r="H272" s="163">
        <f>IFERROR(__xludf.DUMMYFUNCTION("""COMPUTED_VALUE"""),43964.0)</f>
        <v>43964</v>
      </c>
      <c r="I272" s="162">
        <f>IFERROR(__xludf.DUMMYFUNCTION("""COMPUTED_VALUE"""),0.4777777777777778)</f>
        <v>0.4777777778</v>
      </c>
      <c r="J272" s="164">
        <f>IFERROR(__xludf.DUMMYFUNCTION("""COMPUTED_VALUE"""),84.0)</f>
        <v>84</v>
      </c>
      <c r="K272" s="164">
        <f>IFERROR(__xludf.DUMMYFUNCTION("""COMPUTED_VALUE"""),119.0)</f>
        <v>119</v>
      </c>
      <c r="L272" s="158" t="str">
        <f>IFERROR(__xludf.DUMMYFUNCTION("""COMPUTED_VALUE"""),"First-Person Shooter")</f>
        <v>First-Person Shooter</v>
      </c>
      <c r="M272" s="158"/>
      <c r="N272" s="158" t="str">
        <f>IFERROR(__xludf.DUMMYFUNCTION("""COMPUTED_VALUE"""),"Game Pass Essential (4/23/24)")</f>
        <v>Game Pass Essential (4/23/24)</v>
      </c>
      <c r="O272" s="158" t="str">
        <f>IFERROR(__xludf.DUMMYFUNCTION("""COMPUTED_VALUE"""),"T")</f>
        <v>T</v>
      </c>
      <c r="P272" s="158" t="str">
        <f>IFERROR(__xludf.DUMMYFUNCTION("""COMPUTED_VALUE"""),"Violence, Blood, Use of Alcohol, Language")</f>
        <v>Violence, Blood, Use of Alcohol, Language</v>
      </c>
      <c r="Q272" s="158"/>
      <c r="R272" s="159" t="str">
        <f>IFERROR(__xludf.DUMMYFUNCTION("""COMPUTED_VALUE"""),"Active")</f>
        <v>Active</v>
      </c>
      <c r="S272" s="160">
        <f>IFERROR(__xludf.DUMMYFUNCTION("""COMPUTED_VALUE"""),45547.0)</f>
        <v>45547</v>
      </c>
      <c r="T272" s="162">
        <f>IFERROR(__xludf.DUMMYFUNCTION("""COMPUTED_VALUE"""),46.233333333333334)</f>
        <v>46.23333333</v>
      </c>
    </row>
    <row r="273">
      <c r="A273" s="158" t="str">
        <f>IFERROR(__xludf.DUMMYFUNCTION("""COMPUTED_VALUE"""),"Day of the Tentacle Remastered")</f>
        <v>Day of the Tentacle Remastered</v>
      </c>
      <c r="B273" s="158" t="str">
        <f>IFERROR(__xludf.DUMMYFUNCTION("""COMPUTED_VALUE"""),"Xbox / PC")</f>
        <v>Xbox / PC</v>
      </c>
      <c r="C273" s="158"/>
      <c r="D273" s="159" t="str">
        <f>IFERROR(__xludf.DUMMYFUNCTION("""COMPUTED_VALUE"""),"Active")</f>
        <v>Active</v>
      </c>
      <c r="E273" s="160">
        <f>IFERROR(__xludf.DUMMYFUNCTION("""COMPUTED_VALUE"""),44133.0)</f>
        <v>44133</v>
      </c>
      <c r="F273" s="161"/>
      <c r="G273" s="162">
        <f>IFERROR(__xludf.DUMMYFUNCTION("""COMPUTED_VALUE"""),59.53333333333333)</f>
        <v>59.53333333</v>
      </c>
      <c r="H273" s="163">
        <f>IFERROR(__xludf.DUMMYFUNCTION("""COMPUTED_VALUE"""),42451.0)</f>
        <v>42451</v>
      </c>
      <c r="I273" s="162">
        <f>IFERROR(__xludf.DUMMYFUNCTION("""COMPUTED_VALUE"""),4.602777777777778)</f>
        <v>4.602777778</v>
      </c>
      <c r="J273" s="164">
        <f>IFERROR(__xludf.DUMMYFUNCTION("""COMPUTED_VALUE"""),84.0)</f>
        <v>84</v>
      </c>
      <c r="K273" s="164">
        <f>IFERROR(__xludf.DUMMYFUNCTION("""COMPUTED_VALUE"""),4.5)</f>
        <v>4.5</v>
      </c>
      <c r="L273" s="158" t="str">
        <f>IFERROR(__xludf.DUMMYFUNCTION("""COMPUTED_VALUE"""),"Adventure")</f>
        <v>Adventure</v>
      </c>
      <c r="M273" s="158"/>
      <c r="N273" s="158"/>
      <c r="O273" s="158" t="str">
        <f>IFERROR(__xludf.DUMMYFUNCTION("""COMPUTED_VALUE"""),"T")</f>
        <v>T</v>
      </c>
      <c r="P273" s="158" t="str">
        <f>IFERROR(__xludf.DUMMYFUNCTION("""COMPUTED_VALUE"""),"Fantasy Violence, Suggestive Themes, Use of Tobacco")</f>
        <v>Fantasy Violence, Suggestive Themes, Use of Tobacco</v>
      </c>
      <c r="Q273" s="158"/>
      <c r="R273" s="159" t="str">
        <f>IFERROR(__xludf.DUMMYFUNCTION("""COMPUTED_VALUE"""),"Active")</f>
        <v>Active</v>
      </c>
      <c r="S273" s="160">
        <f>IFERROR(__xludf.DUMMYFUNCTION("""COMPUTED_VALUE"""),45547.0)</f>
        <v>45547</v>
      </c>
      <c r="T273" s="162">
        <f>IFERROR(__xludf.DUMMYFUNCTION("""COMPUTED_VALUE"""),46.43333333333334)</f>
        <v>46.43333333</v>
      </c>
    </row>
    <row r="274">
      <c r="A274" s="158" t="str">
        <f>IFERROR(__xludf.DUMMYFUNCTION("""COMPUTED_VALUE"""),"Full Throttle Remastered")</f>
        <v>Full Throttle Remastered</v>
      </c>
      <c r="B274" s="158" t="str">
        <f>IFERROR(__xludf.DUMMYFUNCTION("""COMPUTED_VALUE"""),"Xbox / PC")</f>
        <v>Xbox / PC</v>
      </c>
      <c r="C274" s="158"/>
      <c r="D274" s="159" t="str">
        <f>IFERROR(__xludf.DUMMYFUNCTION("""COMPUTED_VALUE"""),"Active")</f>
        <v>Active</v>
      </c>
      <c r="E274" s="160">
        <f>IFERROR(__xludf.DUMMYFUNCTION("""COMPUTED_VALUE"""),44133.0)</f>
        <v>44133</v>
      </c>
      <c r="F274" s="161"/>
      <c r="G274" s="162">
        <f>IFERROR(__xludf.DUMMYFUNCTION("""COMPUTED_VALUE"""),59.53333333333333)</f>
        <v>59.53333333</v>
      </c>
      <c r="H274" s="163">
        <f>IFERROR(__xludf.DUMMYFUNCTION("""COMPUTED_VALUE"""),42843.0)</f>
        <v>42843</v>
      </c>
      <c r="I274" s="162">
        <f>IFERROR(__xludf.DUMMYFUNCTION("""COMPUTED_VALUE"""),3.5305555555555554)</f>
        <v>3.530555556</v>
      </c>
      <c r="J274" s="164">
        <f>IFERROR(__xludf.DUMMYFUNCTION("""COMPUTED_VALUE"""),76.0)</f>
        <v>76</v>
      </c>
      <c r="K274" s="164">
        <f>IFERROR(__xludf.DUMMYFUNCTION("""COMPUTED_VALUE"""),4.0)</f>
        <v>4</v>
      </c>
      <c r="L274" s="158" t="str">
        <f>IFERROR(__xludf.DUMMYFUNCTION("""COMPUTED_VALUE"""),"Adventure")</f>
        <v>Adventure</v>
      </c>
      <c r="M274" s="158"/>
      <c r="N274" s="158"/>
      <c r="O274" s="158" t="str">
        <f>IFERROR(__xludf.DUMMYFUNCTION("""COMPUTED_VALUE"""),"T")</f>
        <v>T</v>
      </c>
      <c r="P274" s="158" t="str">
        <f>IFERROR(__xludf.DUMMYFUNCTION("""COMPUTED_VALUE"""),"Violence, Blood, Mild Language, Use of Alcohol and Tobacco")</f>
        <v>Violence, Blood, Mild Language, Use of Alcohol and Tobacco</v>
      </c>
      <c r="Q274" s="158"/>
      <c r="R274" s="159" t="str">
        <f>IFERROR(__xludf.DUMMYFUNCTION("""COMPUTED_VALUE"""),"Active")</f>
        <v>Active</v>
      </c>
      <c r="S274" s="160">
        <f>IFERROR(__xludf.DUMMYFUNCTION("""COMPUTED_VALUE"""),45547.0)</f>
        <v>45547</v>
      </c>
      <c r="T274" s="162">
        <f>IFERROR(__xludf.DUMMYFUNCTION("""COMPUTED_VALUE"""),46.43333333333334)</f>
        <v>46.43333333</v>
      </c>
    </row>
    <row r="275">
      <c r="A275" s="158" t="str">
        <f>IFERROR(__xludf.DUMMYFUNCTION("""COMPUTED_VALUE"""),"Grim Fandango Remastered")</f>
        <v>Grim Fandango Remastered</v>
      </c>
      <c r="B275" s="158" t="str">
        <f>IFERROR(__xludf.DUMMYFUNCTION("""COMPUTED_VALUE"""),"Xbox / PC")</f>
        <v>Xbox / PC</v>
      </c>
      <c r="C275" s="158"/>
      <c r="D275" s="159" t="str">
        <f>IFERROR(__xludf.DUMMYFUNCTION("""COMPUTED_VALUE"""),"Active")</f>
        <v>Active</v>
      </c>
      <c r="E275" s="160">
        <f>IFERROR(__xludf.DUMMYFUNCTION("""COMPUTED_VALUE"""),44133.0)</f>
        <v>44133</v>
      </c>
      <c r="F275" s="161"/>
      <c r="G275" s="162">
        <f>IFERROR(__xludf.DUMMYFUNCTION("""COMPUTED_VALUE"""),59.53333333333333)</f>
        <v>59.53333333</v>
      </c>
      <c r="H275" s="163">
        <f>IFERROR(__xludf.DUMMYFUNCTION("""COMPUTED_VALUE"""),42031.0)</f>
        <v>42031</v>
      </c>
      <c r="I275" s="162">
        <f>IFERROR(__xludf.DUMMYFUNCTION("""COMPUTED_VALUE"""),5.7555555555555555)</f>
        <v>5.755555556</v>
      </c>
      <c r="J275" s="164">
        <f>IFERROR(__xludf.DUMMYFUNCTION("""COMPUTED_VALUE"""),80.0)</f>
        <v>80</v>
      </c>
      <c r="K275" s="164">
        <f>IFERROR(__xludf.DUMMYFUNCTION("""COMPUTED_VALUE"""),11.0)</f>
        <v>11</v>
      </c>
      <c r="L275" s="158" t="str">
        <f>IFERROR(__xludf.DUMMYFUNCTION("""COMPUTED_VALUE"""),"Adventure")</f>
        <v>Adventure</v>
      </c>
      <c r="M275" s="158"/>
      <c r="N275" s="158"/>
      <c r="O275" s="158" t="str">
        <f>IFERROR(__xludf.DUMMYFUNCTION("""COMPUTED_VALUE"""),"T")</f>
        <v>T</v>
      </c>
      <c r="P275" s="158" t="str">
        <f>IFERROR(__xludf.DUMMYFUNCTION("""COMPUTED_VALUE"""),"Crude Humor, Fantasy Violence, Mild Language, Mild Suggestive Themes, Use of Alcohol and Tobacco")</f>
        <v>Crude Humor, Fantasy Violence, Mild Language, Mild Suggestive Themes, Use of Alcohol and Tobacco</v>
      </c>
      <c r="Q275" s="158"/>
      <c r="R275" s="159" t="str">
        <f>IFERROR(__xludf.DUMMYFUNCTION("""COMPUTED_VALUE"""),"Active")</f>
        <v>Active</v>
      </c>
      <c r="S275" s="160">
        <f>IFERROR(__xludf.DUMMYFUNCTION("""COMPUTED_VALUE"""),45547.0)</f>
        <v>45547</v>
      </c>
      <c r="T275" s="162">
        <f>IFERROR(__xludf.DUMMYFUNCTION("""COMPUTED_VALUE"""),46.43333333333334)</f>
        <v>46.43333333</v>
      </c>
    </row>
    <row r="276">
      <c r="A276" s="158" t="str">
        <f>IFERROR(__xludf.DUMMYFUNCTION("""COMPUTED_VALUE"""),"Tom Clancy's Rainbow Six: Siege - Deluxe Edition")</f>
        <v>Tom Clancy's Rainbow Six: Siege - Deluxe Edition</v>
      </c>
      <c r="B276" s="158" t="str">
        <f>IFERROR(__xludf.DUMMYFUNCTION("""COMPUTED_VALUE"""),"Xbox / PC")</f>
        <v>Xbox / PC</v>
      </c>
      <c r="C276" s="158" t="str">
        <f>IFERROR(__xludf.DUMMYFUNCTION("""COMPUTED_VALUE"""),"Yes")</f>
        <v>Yes</v>
      </c>
      <c r="D276" s="159" t="str">
        <f>IFERROR(__xludf.DUMMYFUNCTION("""COMPUTED_VALUE"""),"Active")</f>
        <v>Active</v>
      </c>
      <c r="E276" s="160">
        <f>IFERROR(__xludf.DUMMYFUNCTION("""COMPUTED_VALUE"""),44126.0)</f>
        <v>44126</v>
      </c>
      <c r="F276" s="161"/>
      <c r="G276" s="162">
        <f>IFERROR(__xludf.DUMMYFUNCTION("""COMPUTED_VALUE"""),59.766666666666666)</f>
        <v>59.76666667</v>
      </c>
      <c r="H276" s="163">
        <f>IFERROR(__xludf.DUMMYFUNCTION("""COMPUTED_VALUE"""),42339.0)</f>
        <v>42339</v>
      </c>
      <c r="I276" s="162">
        <f>IFERROR(__xludf.DUMMYFUNCTION("""COMPUTED_VALUE"""),4.891666666666667)</f>
        <v>4.891666667</v>
      </c>
      <c r="J276" s="164">
        <f>IFERROR(__xludf.DUMMYFUNCTION("""COMPUTED_VALUE"""),74.0)</f>
        <v>74</v>
      </c>
      <c r="K276" s="164">
        <f>IFERROR(__xludf.DUMMYFUNCTION("""COMPUTED_VALUE"""),7.5)</f>
        <v>7.5</v>
      </c>
      <c r="L276" s="158" t="str">
        <f>IFERROR(__xludf.DUMMYFUNCTION("""COMPUTED_VALUE"""),"First-Person Shooter")</f>
        <v>First-Person Shooter</v>
      </c>
      <c r="M276" s="158" t="str">
        <f>IFERROR(__xludf.DUMMYFUNCTION("""COMPUTED_VALUE"""),"Optimized")</f>
        <v>Optimized</v>
      </c>
      <c r="N276" s="158" t="str">
        <f>IFERROR(__xludf.DUMMYFUNCTION("""COMPUTED_VALUE"""),"Ubisoft Connect launcher, joined PC 1/20/21")</f>
        <v>Ubisoft Connect launcher, joined PC 1/20/21</v>
      </c>
      <c r="O276" s="158" t="str">
        <f>IFERROR(__xludf.DUMMYFUNCTION("""COMPUTED_VALUE"""),"M")</f>
        <v>M</v>
      </c>
      <c r="P276" s="158" t="str">
        <f>IFERROR(__xludf.DUMMYFUNCTION("""COMPUTED_VALUE"""),"Blood, Drug Reference, Strong Language, Violence")</f>
        <v>Blood, Drug Reference, Strong Language, Violence</v>
      </c>
      <c r="Q276" s="158"/>
      <c r="R276" s="159" t="str">
        <f>IFERROR(__xludf.DUMMYFUNCTION("""COMPUTED_VALUE"""),"Active")</f>
        <v>Active</v>
      </c>
      <c r="S276" s="160">
        <f>IFERROR(__xludf.DUMMYFUNCTION("""COMPUTED_VALUE"""),45547.0)</f>
        <v>45547</v>
      </c>
      <c r="T276" s="162">
        <f>IFERROR(__xludf.DUMMYFUNCTION("""COMPUTED_VALUE"""),46.666666666666664)</f>
        <v>46.66666667</v>
      </c>
    </row>
    <row r="277">
      <c r="A277" s="158" t="str">
        <f>IFERROR(__xludf.DUMMYFUNCTION("""COMPUTED_VALUE"""),"Brütal Legend")</f>
        <v>Brütal Legend</v>
      </c>
      <c r="B277" s="158" t="str">
        <f>IFERROR(__xludf.DUMMYFUNCTION("""COMPUTED_VALUE"""),"Xbox")</f>
        <v>Xbox</v>
      </c>
      <c r="C277" s="158"/>
      <c r="D277" s="159" t="str">
        <f>IFERROR(__xludf.DUMMYFUNCTION("""COMPUTED_VALUE"""),"Active")</f>
        <v>Active</v>
      </c>
      <c r="E277" s="160">
        <f>IFERROR(__xludf.DUMMYFUNCTION("""COMPUTED_VALUE"""),44112.0)</f>
        <v>44112</v>
      </c>
      <c r="F277" s="161"/>
      <c r="G277" s="162">
        <f>IFERROR(__xludf.DUMMYFUNCTION("""COMPUTED_VALUE"""),60.233333333333334)</f>
        <v>60.23333333</v>
      </c>
      <c r="H277" s="163">
        <f>IFERROR(__xludf.DUMMYFUNCTION("""COMPUTED_VALUE"""),40099.0)</f>
        <v>40099</v>
      </c>
      <c r="I277" s="162">
        <f>IFERROR(__xludf.DUMMYFUNCTION("""COMPUTED_VALUE"""),10.98611111111111)</f>
        <v>10.98611111</v>
      </c>
      <c r="J277" s="164">
        <f>IFERROR(__xludf.DUMMYFUNCTION("""COMPUTED_VALUE"""),82.0)</f>
        <v>82</v>
      </c>
      <c r="K277" s="164">
        <f>IFERROR(__xludf.DUMMYFUNCTION("""COMPUTED_VALUE"""),9.0)</f>
        <v>9</v>
      </c>
      <c r="L277" s="158" t="str">
        <f>IFERROR(__xludf.DUMMYFUNCTION("""COMPUTED_VALUE"""),"Real-Time Strategy / Action-Adventure")</f>
        <v>Real-Time Strategy / Action-Adventure</v>
      </c>
      <c r="M277" s="158"/>
      <c r="N277" s="158"/>
      <c r="O277" s="158" t="str">
        <f>IFERROR(__xludf.DUMMYFUNCTION("""COMPUTED_VALUE"""),"M")</f>
        <v>M</v>
      </c>
      <c r="P277" s="158" t="str">
        <f>IFERROR(__xludf.DUMMYFUNCTION("""COMPUTED_VALUE"""),"Blood and Gore, Intense Violence, Partial Nudity, Strong Language, Suggestive Themes")</f>
        <v>Blood and Gore, Intense Violence, Partial Nudity, Strong Language, Suggestive Themes</v>
      </c>
      <c r="Q277" s="158" t="str">
        <f>IFERROR(__xludf.DUMMYFUNCTION("""COMPUTED_VALUE"""),"Xbox 360")</f>
        <v>Xbox 360</v>
      </c>
      <c r="R277" s="159" t="str">
        <f>IFERROR(__xludf.DUMMYFUNCTION("""COMPUTED_VALUE"""),"Active")</f>
        <v>Active</v>
      </c>
      <c r="S277" s="160">
        <f>IFERROR(__xludf.DUMMYFUNCTION("""COMPUTED_VALUE"""),45547.0)</f>
        <v>45547</v>
      </c>
      <c r="T277" s="162">
        <f>IFERROR(__xludf.DUMMYFUNCTION("""COMPUTED_VALUE"""),47.13333333333333)</f>
        <v>47.13333333</v>
      </c>
    </row>
    <row r="278">
      <c r="A278" s="158" t="str">
        <f>IFERROR(__xludf.DUMMYFUNCTION("""COMPUTED_VALUE"""),"DOOM Eternal")</f>
        <v>DOOM Eternal</v>
      </c>
      <c r="B278" s="158" t="str">
        <f>IFERROR(__xludf.DUMMYFUNCTION("""COMPUTED_VALUE"""),"Xbox / PC")</f>
        <v>Xbox / PC</v>
      </c>
      <c r="C278" s="158" t="str">
        <f>IFERROR(__xludf.DUMMYFUNCTION("""COMPUTED_VALUE"""),"Yes")</f>
        <v>Yes</v>
      </c>
      <c r="D278" s="159" t="str">
        <f>IFERROR(__xludf.DUMMYFUNCTION("""COMPUTED_VALUE"""),"Active")</f>
        <v>Active</v>
      </c>
      <c r="E278" s="160">
        <f>IFERROR(__xludf.DUMMYFUNCTION("""COMPUTED_VALUE"""),44105.0)</f>
        <v>44105</v>
      </c>
      <c r="F278" s="161"/>
      <c r="G278" s="162">
        <f>IFERROR(__xludf.DUMMYFUNCTION("""COMPUTED_VALUE"""),60.46666666666667)</f>
        <v>60.46666667</v>
      </c>
      <c r="H278" s="163">
        <f>IFERROR(__xludf.DUMMYFUNCTION("""COMPUTED_VALUE"""),43910.0)</f>
        <v>43910</v>
      </c>
      <c r="I278" s="162">
        <f>IFERROR(__xludf.DUMMYFUNCTION("""COMPUTED_VALUE"""),0.5305555555555556)</f>
        <v>0.5305555556</v>
      </c>
      <c r="J278" s="164">
        <f>IFERROR(__xludf.DUMMYFUNCTION("""COMPUTED_VALUE"""),88.0)</f>
        <v>88</v>
      </c>
      <c r="K278" s="164">
        <f>IFERROR(__xludf.DUMMYFUNCTION("""COMPUTED_VALUE"""),13.5)</f>
        <v>13.5</v>
      </c>
      <c r="L278" s="158" t="str">
        <f>IFERROR(__xludf.DUMMYFUNCTION("""COMPUTED_VALUE"""),"First-Person Shooter")</f>
        <v>First-Person Shooter</v>
      </c>
      <c r="M278" s="158" t="str">
        <f>IFERROR(__xludf.DUMMYFUNCTION("""COMPUTED_VALUE"""),"Optimized")</f>
        <v>Optimized</v>
      </c>
      <c r="N278" s="158" t="str">
        <f>IFERROR(__xludf.DUMMYFUNCTION("""COMPUTED_VALUE"""),"Game Pass Essential launch title (9/14/23)")</f>
        <v>Game Pass Essential launch title (9/14/23)</v>
      </c>
      <c r="O278" s="158" t="str">
        <f>IFERROR(__xludf.DUMMYFUNCTION("""COMPUTED_VALUE"""),"M")</f>
        <v>M</v>
      </c>
      <c r="P278" s="158" t="str">
        <f>IFERROR(__xludf.DUMMYFUNCTION("""COMPUTED_VALUE"""),"Blood and Gore, Intense Violence")</f>
        <v>Blood and Gore, Intense Violence</v>
      </c>
      <c r="Q278" s="158"/>
      <c r="R278" s="159" t="str">
        <f>IFERROR(__xludf.DUMMYFUNCTION("""COMPUTED_VALUE"""),"Active")</f>
        <v>Active</v>
      </c>
      <c r="S278" s="160">
        <f>IFERROR(__xludf.DUMMYFUNCTION("""COMPUTED_VALUE"""),45547.0)</f>
        <v>45547</v>
      </c>
      <c r="T278" s="162">
        <f>IFERROR(__xludf.DUMMYFUNCTION("""COMPUTED_VALUE"""),47.36666666666667)</f>
        <v>47.36666667</v>
      </c>
    </row>
    <row r="279">
      <c r="A279" s="158" t="str">
        <f>IFERROR(__xludf.DUMMYFUNCTION("""COMPUTED_VALUE"""),"Halo 3: ODST")</f>
        <v>Halo 3: ODST</v>
      </c>
      <c r="B279" s="158" t="str">
        <f>IFERROR(__xludf.DUMMYFUNCTION("""COMPUTED_VALUE"""),"Xbox / PC")</f>
        <v>Xbox / PC</v>
      </c>
      <c r="C279" s="158" t="str">
        <f>IFERROR(__xludf.DUMMYFUNCTION("""COMPUTED_VALUE"""),"Yes")</f>
        <v>Yes</v>
      </c>
      <c r="D279" s="159" t="str">
        <f>IFERROR(__xludf.DUMMYFUNCTION("""COMPUTED_VALUE"""),"Active")</f>
        <v>Active</v>
      </c>
      <c r="E279" s="160">
        <f>IFERROR(__xludf.DUMMYFUNCTION("""COMPUTED_VALUE"""),44096.0)</f>
        <v>44096</v>
      </c>
      <c r="F279" s="161"/>
      <c r="G279" s="162">
        <f>IFERROR(__xludf.DUMMYFUNCTION("""COMPUTED_VALUE"""),60.766666666666666)</f>
        <v>60.76666667</v>
      </c>
      <c r="H279" s="163">
        <f>IFERROR(__xludf.DUMMYFUNCTION("""COMPUTED_VALUE"""),40078.0)</f>
        <v>40078</v>
      </c>
      <c r="I279" s="162">
        <f>IFERROR(__xludf.DUMMYFUNCTION("""COMPUTED_VALUE"""),11.0)</f>
        <v>11</v>
      </c>
      <c r="J279" s="164">
        <f>IFERROR(__xludf.DUMMYFUNCTION("""COMPUTED_VALUE"""),83.0)</f>
        <v>83</v>
      </c>
      <c r="K279" s="164">
        <f>IFERROR(__xludf.DUMMYFUNCTION("""COMPUTED_VALUE"""),7.0)</f>
        <v>7</v>
      </c>
      <c r="L279" s="158" t="str">
        <f>IFERROR(__xludf.DUMMYFUNCTION("""COMPUTED_VALUE"""),"Action / First-Person Shooter")</f>
        <v>Action / First-Person Shooter</v>
      </c>
      <c r="M279" s="158"/>
      <c r="N279" s="158"/>
      <c r="O279" s="158" t="str">
        <f>IFERROR(__xludf.DUMMYFUNCTION("""COMPUTED_VALUE"""),"M")</f>
        <v>M</v>
      </c>
      <c r="P279" s="158" t="str">
        <f>IFERROR(__xludf.DUMMYFUNCTION("""COMPUTED_VALUE"""),"Blood, Language, Violence")</f>
        <v>Blood, Language, Violence</v>
      </c>
      <c r="Q279" s="158" t="str">
        <f>IFERROR(__xludf.DUMMYFUNCTION("""COMPUTED_VALUE"""),"Xbox 360")</f>
        <v>Xbox 360</v>
      </c>
      <c r="R279" s="159" t="str">
        <f>IFERROR(__xludf.DUMMYFUNCTION("""COMPUTED_VALUE"""),"Active")</f>
        <v>Active</v>
      </c>
      <c r="S279" s="160">
        <f>IFERROR(__xludf.DUMMYFUNCTION("""COMPUTED_VALUE"""),45547.0)</f>
        <v>45547</v>
      </c>
      <c r="T279" s="162">
        <f>IFERROR(__xludf.DUMMYFUNCTION("""COMPUTED_VALUE"""),47.66666666666667)</f>
        <v>47.66666667</v>
      </c>
    </row>
    <row r="280">
      <c r="A280" s="158" t="str">
        <f>IFERROR(__xludf.DUMMYFUNCTION("""COMPUTED_VALUE"""),"Crusader Kings III")</f>
        <v>Crusader Kings III</v>
      </c>
      <c r="B280" s="158" t="str">
        <f>IFERROR(__xludf.DUMMYFUNCTION("""COMPUTED_VALUE"""),"Xbox / PC")</f>
        <v>Xbox / PC</v>
      </c>
      <c r="C280" s="158" t="str">
        <f>IFERROR(__xludf.DUMMYFUNCTION("""COMPUTED_VALUE"""),"Yes")</f>
        <v>Yes</v>
      </c>
      <c r="D280" s="159" t="str">
        <f>IFERROR(__xludf.DUMMYFUNCTION("""COMPUTED_VALUE"""),"Active")</f>
        <v>Active</v>
      </c>
      <c r="E280" s="160">
        <f>IFERROR(__xludf.DUMMYFUNCTION("""COMPUTED_VALUE"""),44075.0)</f>
        <v>44075</v>
      </c>
      <c r="F280" s="161"/>
      <c r="G280" s="162">
        <f>IFERROR(__xludf.DUMMYFUNCTION("""COMPUTED_VALUE"""),61.46666666666666)</f>
        <v>61.46666667</v>
      </c>
      <c r="H280" s="163">
        <f>IFERROR(__xludf.DUMMYFUNCTION("""COMPUTED_VALUE"""),44075.0)</f>
        <v>44075</v>
      </c>
      <c r="I280" s="162">
        <f>IFERROR(__xludf.DUMMYFUNCTION("""COMPUTED_VALUE"""),0.0)</f>
        <v>0</v>
      </c>
      <c r="J280" s="164">
        <f>IFERROR(__xludf.DUMMYFUNCTION("""COMPUTED_VALUE"""),91.0)</f>
        <v>91</v>
      </c>
      <c r="K280" s="164">
        <f>IFERROR(__xludf.DUMMYFUNCTION("""COMPUTED_VALUE"""),12.5)</f>
        <v>12.5</v>
      </c>
      <c r="L280" s="158" t="str">
        <f>IFERROR(__xludf.DUMMYFUNCTION("""COMPUTED_VALUE"""),"Strategy")</f>
        <v>Strategy</v>
      </c>
      <c r="M280" s="158" t="str">
        <f>IFERROR(__xludf.DUMMYFUNCTION("""COMPUTED_VALUE"""),"Exclusive")</f>
        <v>Exclusive</v>
      </c>
      <c r="N280" s="158" t="str">
        <f>IFERROR(__xludf.DUMMYFUNCTION("""COMPUTED_VALUE"""),"Joined Xbox 3/29/22")</f>
        <v>Joined Xbox 3/29/22</v>
      </c>
      <c r="O280" s="158" t="str">
        <f>IFERROR(__xludf.DUMMYFUNCTION("""COMPUTED_VALUE"""),"M")</f>
        <v>M</v>
      </c>
      <c r="P280" s="158" t="str">
        <f>IFERROR(__xludf.DUMMYFUNCTION("""COMPUTED_VALUE"""),"Violence, Blood, Sexual Themes, Partial Nudity, Use of Drugs, Language")</f>
        <v>Violence, Blood, Sexual Themes, Partial Nudity, Use of Drugs, Language</v>
      </c>
      <c r="Q280" s="158"/>
      <c r="R280" s="159" t="str">
        <f>IFERROR(__xludf.DUMMYFUNCTION("""COMPUTED_VALUE"""),"Active")</f>
        <v>Active</v>
      </c>
      <c r="S280" s="160">
        <f>IFERROR(__xludf.DUMMYFUNCTION("""COMPUTED_VALUE"""),45547.0)</f>
        <v>45547</v>
      </c>
      <c r="T280" s="162">
        <f>IFERROR(__xludf.DUMMYFUNCTION("""COMPUTED_VALUE"""),48.366666666666674)</f>
        <v>48.36666667</v>
      </c>
    </row>
    <row r="281">
      <c r="A281" s="158" t="str">
        <f>IFERROR(__xludf.DUMMYFUNCTION("""COMPUTED_VALUE"""),"Wasteland 3")</f>
        <v>Wasteland 3</v>
      </c>
      <c r="B281" s="158" t="str">
        <f>IFERROR(__xludf.DUMMYFUNCTION("""COMPUTED_VALUE"""),"Xbox / PC")</f>
        <v>Xbox / PC</v>
      </c>
      <c r="C281" s="158" t="str">
        <f>IFERROR(__xludf.DUMMYFUNCTION("""COMPUTED_VALUE"""),"Touch Controls")</f>
        <v>Touch Controls</v>
      </c>
      <c r="D281" s="159" t="str">
        <f>IFERROR(__xludf.DUMMYFUNCTION("""COMPUTED_VALUE"""),"Active")</f>
        <v>Active</v>
      </c>
      <c r="E281" s="160">
        <f>IFERROR(__xludf.DUMMYFUNCTION("""COMPUTED_VALUE"""),44071.0)</f>
        <v>44071</v>
      </c>
      <c r="F281" s="161"/>
      <c r="G281" s="162">
        <f>IFERROR(__xludf.DUMMYFUNCTION("""COMPUTED_VALUE"""),61.56666666666666)</f>
        <v>61.56666667</v>
      </c>
      <c r="H281" s="163">
        <f>IFERROR(__xludf.DUMMYFUNCTION("""COMPUTED_VALUE"""),44071.0)</f>
        <v>44071</v>
      </c>
      <c r="I281" s="162">
        <f>IFERROR(__xludf.DUMMYFUNCTION("""COMPUTED_VALUE"""),0.0)</f>
        <v>0</v>
      </c>
      <c r="J281" s="164">
        <f>IFERROR(__xludf.DUMMYFUNCTION("""COMPUTED_VALUE"""),86.0)</f>
        <v>86</v>
      </c>
      <c r="K281" s="164">
        <f>IFERROR(__xludf.DUMMYFUNCTION("""COMPUTED_VALUE"""),36.5)</f>
        <v>36.5</v>
      </c>
      <c r="L281" s="158" t="str">
        <f>IFERROR(__xludf.DUMMYFUNCTION("""COMPUTED_VALUE"""),"RPG")</f>
        <v>RPG</v>
      </c>
      <c r="M281" s="158" t="str">
        <f>IFERROR(__xludf.DUMMYFUNCTION("""COMPUTED_VALUE"""),"FPS Boost")</f>
        <v>FPS Boost</v>
      </c>
      <c r="N281" s="158"/>
      <c r="O281" s="158" t="str">
        <f>IFERROR(__xludf.DUMMYFUNCTION("""COMPUTED_VALUE"""),"M")</f>
        <v>M</v>
      </c>
      <c r="P281" s="158" t="str">
        <f>IFERROR(__xludf.DUMMYFUNCTION("""COMPUTED_VALUE"""),"Blood and Gore, Sexual Content, Use of Drugs, Strong Language, Intense Violence")</f>
        <v>Blood and Gore, Sexual Content, Use of Drugs, Strong Language, Intense Violence</v>
      </c>
      <c r="Q281" s="158"/>
      <c r="R281" s="159" t="str">
        <f>IFERROR(__xludf.DUMMYFUNCTION("""COMPUTED_VALUE"""),"Active")</f>
        <v>Active</v>
      </c>
      <c r="S281" s="160">
        <f>IFERROR(__xludf.DUMMYFUNCTION("""COMPUTED_VALUE"""),45547.0)</f>
        <v>45547</v>
      </c>
      <c r="T281" s="162">
        <f>IFERROR(__xludf.DUMMYFUNCTION("""COMPUTED_VALUE"""),48.46666666666667)</f>
        <v>48.46666667</v>
      </c>
    </row>
    <row r="282">
      <c r="A282" s="158" t="str">
        <f>IFERROR(__xludf.DUMMYFUNCTION("""COMPUTED_VALUE"""),"Tell Me Why")</f>
        <v>Tell Me Why</v>
      </c>
      <c r="B282" s="158" t="str">
        <f>IFERROR(__xludf.DUMMYFUNCTION("""COMPUTED_VALUE"""),"Xbox / PC")</f>
        <v>Xbox / PC</v>
      </c>
      <c r="C282" s="158" t="str">
        <f>IFERROR(__xludf.DUMMYFUNCTION("""COMPUTED_VALUE"""),"Touch Controls")</f>
        <v>Touch Controls</v>
      </c>
      <c r="D282" s="159" t="str">
        <f>IFERROR(__xludf.DUMMYFUNCTION("""COMPUTED_VALUE"""),"Active")</f>
        <v>Active</v>
      </c>
      <c r="E282" s="160">
        <f>IFERROR(__xludf.DUMMYFUNCTION("""COMPUTED_VALUE"""),44070.0)</f>
        <v>44070</v>
      </c>
      <c r="F282" s="161"/>
      <c r="G282" s="162">
        <f>IFERROR(__xludf.DUMMYFUNCTION("""COMPUTED_VALUE"""),61.60000000000001)</f>
        <v>61.6</v>
      </c>
      <c r="H282" s="163">
        <f>IFERROR(__xludf.DUMMYFUNCTION("""COMPUTED_VALUE"""),44070.0)</f>
        <v>44070</v>
      </c>
      <c r="I282" s="162">
        <f>IFERROR(__xludf.DUMMYFUNCTION("""COMPUTED_VALUE"""),0.0)</f>
        <v>0</v>
      </c>
      <c r="J282" s="164">
        <f>IFERROR(__xludf.DUMMYFUNCTION("""COMPUTED_VALUE"""),80.0)</f>
        <v>80</v>
      </c>
      <c r="K282" s="164">
        <f>IFERROR(__xludf.DUMMYFUNCTION("""COMPUTED_VALUE"""),9.0)</f>
        <v>9</v>
      </c>
      <c r="L282" s="158" t="str">
        <f>IFERROR(__xludf.DUMMYFUNCTION("""COMPUTED_VALUE"""),"Adventure")</f>
        <v>Adventure</v>
      </c>
      <c r="M282" s="158"/>
      <c r="N282" s="158"/>
      <c r="O282" s="158" t="str">
        <f>IFERROR(__xludf.DUMMYFUNCTION("""COMPUTED_VALUE"""),"M")</f>
        <v>M</v>
      </c>
      <c r="P282" s="158" t="str">
        <f>IFERROR(__xludf.DUMMYFUNCTION("""COMPUTED_VALUE"""),"Mild Blood, Drug Reference, Strong Language, Violence")</f>
        <v>Mild Blood, Drug Reference, Strong Language, Violence</v>
      </c>
      <c r="Q282" s="158"/>
      <c r="R282" s="159" t="str">
        <f>IFERROR(__xludf.DUMMYFUNCTION("""COMPUTED_VALUE"""),"Active")</f>
        <v>Active</v>
      </c>
      <c r="S282" s="160">
        <f>IFERROR(__xludf.DUMMYFUNCTION("""COMPUTED_VALUE"""),45547.0)</f>
        <v>45547</v>
      </c>
      <c r="T282" s="162">
        <f>IFERROR(__xludf.DUMMYFUNCTION("""COMPUTED_VALUE"""),48.5)</f>
        <v>48.5</v>
      </c>
    </row>
    <row r="283">
      <c r="A283" s="158" t="str">
        <f>IFERROR(__xludf.DUMMYFUNCTION("""COMPUTED_VALUE"""),"Battletoads")</f>
        <v>Battletoads</v>
      </c>
      <c r="B283" s="158" t="str">
        <f>IFERROR(__xludf.DUMMYFUNCTION("""COMPUTED_VALUE"""),"Xbox / PC")</f>
        <v>Xbox / PC</v>
      </c>
      <c r="C283" s="158" t="str">
        <f>IFERROR(__xludf.DUMMYFUNCTION("""COMPUTED_VALUE"""),"Yes")</f>
        <v>Yes</v>
      </c>
      <c r="D283" s="159" t="str">
        <f>IFERROR(__xludf.DUMMYFUNCTION("""COMPUTED_VALUE"""),"Active")</f>
        <v>Active</v>
      </c>
      <c r="E283" s="160">
        <f>IFERROR(__xludf.DUMMYFUNCTION("""COMPUTED_VALUE"""),44063.0)</f>
        <v>44063</v>
      </c>
      <c r="F283" s="161"/>
      <c r="G283" s="162">
        <f>IFERROR(__xludf.DUMMYFUNCTION("""COMPUTED_VALUE"""),61.83333333333333)</f>
        <v>61.83333333</v>
      </c>
      <c r="H283" s="163">
        <f>IFERROR(__xludf.DUMMYFUNCTION("""COMPUTED_VALUE"""),44063.0)</f>
        <v>44063</v>
      </c>
      <c r="I283" s="162">
        <f>IFERROR(__xludf.DUMMYFUNCTION("""COMPUTED_VALUE"""),0.0)</f>
        <v>0</v>
      </c>
      <c r="J283" s="164">
        <f>IFERROR(__xludf.DUMMYFUNCTION("""COMPUTED_VALUE"""),72.5)</f>
        <v>72.5</v>
      </c>
      <c r="K283" s="164">
        <f>IFERROR(__xludf.DUMMYFUNCTION("""COMPUTED_VALUE"""),4.0)</f>
        <v>4</v>
      </c>
      <c r="L283" s="158" t="str">
        <f>IFERROR(__xludf.DUMMYFUNCTION("""COMPUTED_VALUE"""),"Brawler")</f>
        <v>Brawler</v>
      </c>
      <c r="M283" s="158"/>
      <c r="N283" s="158"/>
      <c r="O283" s="158" t="str">
        <f>IFERROR(__xludf.DUMMYFUNCTION("""COMPUTED_VALUE"""),"E10+")</f>
        <v>E10+</v>
      </c>
      <c r="P283" s="158" t="str">
        <f>IFERROR(__xludf.DUMMYFUNCTION("""COMPUTED_VALUE"""),"Crude Humor, Mild Language, Animated Blood, Cartoon Violence")</f>
        <v>Crude Humor, Mild Language, Animated Blood, Cartoon Violence</v>
      </c>
      <c r="Q283" s="158"/>
      <c r="R283" s="159" t="str">
        <f>IFERROR(__xludf.DUMMYFUNCTION("""COMPUTED_VALUE"""),"Active")</f>
        <v>Active</v>
      </c>
      <c r="S283" s="160">
        <f>IFERROR(__xludf.DUMMYFUNCTION("""COMPUTED_VALUE"""),45547.0)</f>
        <v>45547</v>
      </c>
      <c r="T283" s="162">
        <f>IFERROR(__xludf.DUMMYFUNCTION("""COMPUTED_VALUE"""),48.733333333333334)</f>
        <v>48.73333333</v>
      </c>
    </row>
    <row r="284">
      <c r="A284" s="158" t="str">
        <f>IFERROR(__xludf.DUMMYFUNCTION("""COMPUTED_VALUE"""),"New Super Lucky's Tale")</f>
        <v>New Super Lucky's Tale</v>
      </c>
      <c r="B284" s="158" t="str">
        <f>IFERROR(__xludf.DUMMYFUNCTION("""COMPUTED_VALUE"""),"Xbox / PC")</f>
        <v>Xbox / PC</v>
      </c>
      <c r="C284" s="158" t="str">
        <f>IFERROR(__xludf.DUMMYFUNCTION("""COMPUTED_VALUE"""),"Touch Controls")</f>
        <v>Touch Controls</v>
      </c>
      <c r="D284" s="159" t="str">
        <f>IFERROR(__xludf.DUMMYFUNCTION("""COMPUTED_VALUE"""),"Active")</f>
        <v>Active</v>
      </c>
      <c r="E284" s="160">
        <f>IFERROR(__xludf.DUMMYFUNCTION("""COMPUTED_VALUE"""),44063.0)</f>
        <v>44063</v>
      </c>
      <c r="F284" s="161"/>
      <c r="G284" s="162">
        <f>IFERROR(__xludf.DUMMYFUNCTION("""COMPUTED_VALUE"""),61.83333333333333)</f>
        <v>61.83333333</v>
      </c>
      <c r="H284" s="163">
        <f>IFERROR(__xludf.DUMMYFUNCTION("""COMPUTED_VALUE"""),43777.0)</f>
        <v>43777</v>
      </c>
      <c r="I284" s="162">
        <f>IFERROR(__xludf.DUMMYFUNCTION("""COMPUTED_VALUE"""),0.7833333333333333)</f>
        <v>0.7833333333</v>
      </c>
      <c r="J284" s="164">
        <f>IFERROR(__xludf.DUMMYFUNCTION("""COMPUTED_VALUE"""),76.0)</f>
        <v>76</v>
      </c>
      <c r="K284" s="164">
        <f>IFERROR(__xludf.DUMMYFUNCTION("""COMPUTED_VALUE"""),7.5)</f>
        <v>7.5</v>
      </c>
      <c r="L284" s="158" t="str">
        <f>IFERROR(__xludf.DUMMYFUNCTION("""COMPUTED_VALUE"""),"Platformer")</f>
        <v>Platformer</v>
      </c>
      <c r="M284" s="158" t="str">
        <f>IFERROR(__xludf.DUMMYFUNCTION("""COMPUTED_VALUE"""),"FPS Boost")</f>
        <v>FPS Boost</v>
      </c>
      <c r="N284" s="158"/>
      <c r="O284" s="158" t="str">
        <f>IFERROR(__xludf.DUMMYFUNCTION("""COMPUTED_VALUE"""),"E")</f>
        <v>E</v>
      </c>
      <c r="P284" s="158" t="str">
        <f>IFERROR(__xludf.DUMMYFUNCTION("""COMPUTED_VALUE"""),"Mild Cartoon Violence")</f>
        <v>Mild Cartoon Violence</v>
      </c>
      <c r="Q284" s="158"/>
      <c r="R284" s="159" t="str">
        <f>IFERROR(__xludf.DUMMYFUNCTION("""COMPUTED_VALUE"""),"Active")</f>
        <v>Active</v>
      </c>
      <c r="S284" s="160">
        <f>IFERROR(__xludf.DUMMYFUNCTION("""COMPUTED_VALUE"""),45547.0)</f>
        <v>45547</v>
      </c>
      <c r="T284" s="162">
        <f>IFERROR(__xludf.DUMMYFUNCTION("""COMPUTED_VALUE"""),48.733333333333334)</f>
        <v>48.73333333</v>
      </c>
    </row>
    <row r="285">
      <c r="A285" s="158" t="str">
        <f>IFERROR(__xludf.DUMMYFUNCTION("""COMPUTED_VALUE"""),"Microsoft Flight Simulator (2020): Game of the Year Edition")</f>
        <v>Microsoft Flight Simulator (2020): Game of the Year Edition</v>
      </c>
      <c r="B285" s="158" t="str">
        <f>IFERROR(__xludf.DUMMYFUNCTION("""COMPUTED_VALUE"""),"Xbox / PC")</f>
        <v>Xbox / PC</v>
      </c>
      <c r="C285" s="158" t="str">
        <f>IFERROR(__xludf.DUMMYFUNCTION("""COMPUTED_VALUE"""),"Yes")</f>
        <v>Yes</v>
      </c>
      <c r="D285" s="159" t="str">
        <f>IFERROR(__xludf.DUMMYFUNCTION("""COMPUTED_VALUE"""),"Active")</f>
        <v>Active</v>
      </c>
      <c r="E285" s="160">
        <f>IFERROR(__xludf.DUMMYFUNCTION("""COMPUTED_VALUE"""),44061.0)</f>
        <v>44061</v>
      </c>
      <c r="F285" s="161"/>
      <c r="G285" s="162">
        <f>IFERROR(__xludf.DUMMYFUNCTION("""COMPUTED_VALUE"""),61.9)</f>
        <v>61.9</v>
      </c>
      <c r="H285" s="163">
        <f>IFERROR(__xludf.DUMMYFUNCTION("""COMPUTED_VALUE"""),44061.0)</f>
        <v>44061</v>
      </c>
      <c r="I285" s="162">
        <f>IFERROR(__xludf.DUMMYFUNCTION("""COMPUTED_VALUE"""),0.0)</f>
        <v>0</v>
      </c>
      <c r="J285" s="164">
        <f>IFERROR(__xludf.DUMMYFUNCTION("""COMPUTED_VALUE"""),92.0)</f>
        <v>92</v>
      </c>
      <c r="K285" s="164">
        <f>IFERROR(__xludf.DUMMYFUNCTION("""COMPUTED_VALUE"""),41.5)</f>
        <v>41.5</v>
      </c>
      <c r="L285" s="158" t="str">
        <f>IFERROR(__xludf.DUMMYFUNCTION("""COMPUTED_VALUE"""),"Simulation / Flight Simulator")</f>
        <v>Simulation / Flight Simulator</v>
      </c>
      <c r="M285" s="158" t="str">
        <f>IFERROR(__xludf.DUMMYFUNCTION("""COMPUTED_VALUE"""),"Exclusive, Optimized")</f>
        <v>Exclusive, Optimized</v>
      </c>
      <c r="N285" s="158" t="str">
        <f>IFERROR(__xludf.DUMMYFUNCTION("""COMPUTED_VALUE"""),"Joining Xbox Series X|S on 7/27/21, PC 3/1/22")</f>
        <v>Joining Xbox Series X|S on 7/27/21, PC 3/1/22</v>
      </c>
      <c r="O285" s="158" t="str">
        <f>IFERROR(__xludf.DUMMYFUNCTION("""COMPUTED_VALUE"""),"E")</f>
        <v>E</v>
      </c>
      <c r="P285" s="158"/>
      <c r="Q285" s="158"/>
      <c r="R285" s="159" t="str">
        <f>IFERROR(__xludf.DUMMYFUNCTION("""COMPUTED_VALUE"""),"Active")</f>
        <v>Active</v>
      </c>
      <c r="S285" s="160">
        <f>IFERROR(__xludf.DUMMYFUNCTION("""COMPUTED_VALUE"""),45547.0)</f>
        <v>45547</v>
      </c>
      <c r="T285" s="162">
        <f>IFERROR(__xludf.DUMMYFUNCTION("""COMPUTED_VALUE"""),48.8)</f>
        <v>48.8</v>
      </c>
    </row>
    <row r="286">
      <c r="A286" s="158" t="str">
        <f>IFERROR(__xludf.DUMMYFUNCTION("""COMPUTED_VALUE"""),"Trailmakers")</f>
        <v>Trailmakers</v>
      </c>
      <c r="B286" s="158" t="str">
        <f>IFERROR(__xludf.DUMMYFUNCTION("""COMPUTED_VALUE"""),"Xbox / PC")</f>
        <v>Xbox / PC</v>
      </c>
      <c r="C286" s="158" t="str">
        <f>IFERROR(__xludf.DUMMYFUNCTION("""COMPUTED_VALUE"""),"Yes")</f>
        <v>Yes</v>
      </c>
      <c r="D286" s="159" t="str">
        <f>IFERROR(__xludf.DUMMYFUNCTION("""COMPUTED_VALUE"""),"Active")</f>
        <v>Active</v>
      </c>
      <c r="E286" s="160">
        <f>IFERROR(__xludf.DUMMYFUNCTION("""COMPUTED_VALUE"""),44049.0)</f>
        <v>44049</v>
      </c>
      <c r="F286" s="161"/>
      <c r="G286" s="162">
        <f>IFERROR(__xludf.DUMMYFUNCTION("""COMPUTED_VALUE"""),62.3)</f>
        <v>62.3</v>
      </c>
      <c r="H286" s="163">
        <f>IFERROR(__xludf.DUMMYFUNCTION("""COMPUTED_VALUE"""),43726.0)</f>
        <v>43726</v>
      </c>
      <c r="I286" s="162">
        <f>IFERROR(__xludf.DUMMYFUNCTION("""COMPUTED_VALUE"""),0.8833333333333333)</f>
        <v>0.8833333333</v>
      </c>
      <c r="J286" s="164">
        <f>IFERROR(__xludf.DUMMYFUNCTION("""COMPUTED_VALUE"""),70.0)</f>
        <v>70</v>
      </c>
      <c r="K286" s="164">
        <f>IFERROR(__xludf.DUMMYFUNCTION("""COMPUTED_VALUE"""),11.5)</f>
        <v>11.5</v>
      </c>
      <c r="L286" s="158" t="str">
        <f>IFERROR(__xludf.DUMMYFUNCTION("""COMPUTED_VALUE"""),"Driving/Racing")</f>
        <v>Driving/Racing</v>
      </c>
      <c r="M286" s="158"/>
      <c r="N286" s="158"/>
      <c r="O286" s="158" t="str">
        <f>IFERROR(__xludf.DUMMYFUNCTION("""COMPUTED_VALUE"""),"E10+")</f>
        <v>E10+</v>
      </c>
      <c r="P286" s="158" t="str">
        <f>IFERROR(__xludf.DUMMYFUNCTION("""COMPUTED_VALUE"""),"Fantasy Violence")</f>
        <v>Fantasy Violence</v>
      </c>
      <c r="Q286" s="158"/>
      <c r="R286" s="159" t="str">
        <f>IFERROR(__xludf.DUMMYFUNCTION("""COMPUTED_VALUE"""),"Active")</f>
        <v>Active</v>
      </c>
      <c r="S286" s="160">
        <f>IFERROR(__xludf.DUMMYFUNCTION("""COMPUTED_VALUE"""),45547.0)</f>
        <v>45547</v>
      </c>
      <c r="T286" s="162">
        <f>IFERROR(__xludf.DUMMYFUNCTION("""COMPUTED_VALUE"""),49.199999999999996)</f>
        <v>49.2</v>
      </c>
    </row>
    <row r="287">
      <c r="A287" s="158" t="str">
        <f>IFERROR(__xludf.DUMMYFUNCTION("""COMPUTED_VALUE"""),"Grounded")</f>
        <v>Grounded</v>
      </c>
      <c r="B287" s="158" t="str">
        <f>IFERROR(__xludf.DUMMYFUNCTION("""COMPUTED_VALUE"""),"Xbox / PC")</f>
        <v>Xbox / PC</v>
      </c>
      <c r="C287" s="158" t="str">
        <f>IFERROR(__xludf.DUMMYFUNCTION("""COMPUTED_VALUE"""),"M+KB")</f>
        <v>M+KB</v>
      </c>
      <c r="D287" s="159" t="str">
        <f>IFERROR(__xludf.DUMMYFUNCTION("""COMPUTED_VALUE"""),"Active")</f>
        <v>Active</v>
      </c>
      <c r="E287" s="160">
        <f>IFERROR(__xludf.DUMMYFUNCTION("""COMPUTED_VALUE"""),44040.0)</f>
        <v>44040</v>
      </c>
      <c r="F287" s="161"/>
      <c r="G287" s="162">
        <f>IFERROR(__xludf.DUMMYFUNCTION("""COMPUTED_VALUE"""),62.56666666666666)</f>
        <v>62.56666667</v>
      </c>
      <c r="H287" s="163">
        <f>IFERROR(__xludf.DUMMYFUNCTION("""COMPUTED_VALUE"""),44040.0)</f>
        <v>44040</v>
      </c>
      <c r="I287" s="162">
        <f>IFERROR(__xludf.DUMMYFUNCTION("""COMPUTED_VALUE"""),0.0)</f>
        <v>0</v>
      </c>
      <c r="J287" s="164">
        <f>IFERROR(__xludf.DUMMYFUNCTION("""COMPUTED_VALUE"""),65.0)</f>
        <v>65</v>
      </c>
      <c r="K287" s="164">
        <f>IFERROR(__xludf.DUMMYFUNCTION("""COMPUTED_VALUE"""),6.5)</f>
        <v>6.5</v>
      </c>
      <c r="L287" s="158" t="str">
        <f>IFERROR(__xludf.DUMMYFUNCTION("""COMPUTED_VALUE"""),"Action-Adventure")</f>
        <v>Action-Adventure</v>
      </c>
      <c r="M287" s="158" t="str">
        <f>IFERROR(__xludf.DUMMYFUNCTION("""COMPUTED_VALUE"""),"Optimized")</f>
        <v>Optimized</v>
      </c>
      <c r="N287" s="158" t="str">
        <f>IFERROR(__xludf.DUMMYFUNCTION("""COMPUTED_VALUE"""),"Game Pass Essential launch title (9/14/23), Game launches with campaign 9/27/22, game preview up until then")</f>
        <v>Game Pass Essential launch title (9/14/23), Game launches with campaign 9/27/22, game preview up until then</v>
      </c>
      <c r="O287" s="158" t="str">
        <f>IFERROR(__xludf.DUMMYFUNCTION("""COMPUTED_VALUE"""),"T")</f>
        <v>T</v>
      </c>
      <c r="P287" s="158" t="str">
        <f>IFERROR(__xludf.DUMMYFUNCTION("""COMPUTED_VALUE"""),"Violence, Blood, Drug Reference, Language")</f>
        <v>Violence, Blood, Drug Reference, Language</v>
      </c>
      <c r="Q287" s="158"/>
      <c r="R287" s="159" t="str">
        <f>IFERROR(__xludf.DUMMYFUNCTION("""COMPUTED_VALUE"""),"Active")</f>
        <v>Active</v>
      </c>
      <c r="S287" s="160">
        <f>IFERROR(__xludf.DUMMYFUNCTION("""COMPUTED_VALUE"""),45547.0)</f>
        <v>45547</v>
      </c>
      <c r="T287" s="162">
        <f>IFERROR(__xludf.DUMMYFUNCTION("""COMPUTED_VALUE"""),49.46666666666666)</f>
        <v>49.46666667</v>
      </c>
    </row>
    <row r="288">
      <c r="A288" s="158" t="str">
        <f>IFERROR(__xludf.DUMMYFUNCTION("""COMPUTED_VALUE"""),"Halo 3")</f>
        <v>Halo 3</v>
      </c>
      <c r="B288" s="158" t="str">
        <f>IFERROR(__xludf.DUMMYFUNCTION("""COMPUTED_VALUE"""),"Xbox / PC")</f>
        <v>Xbox / PC</v>
      </c>
      <c r="C288" s="158"/>
      <c r="D288" s="159" t="str">
        <f>IFERROR(__xludf.DUMMYFUNCTION("""COMPUTED_VALUE"""),"Active")</f>
        <v>Active</v>
      </c>
      <c r="E288" s="160">
        <f>IFERROR(__xludf.DUMMYFUNCTION("""COMPUTED_VALUE"""),44026.0)</f>
        <v>44026</v>
      </c>
      <c r="F288" s="161"/>
      <c r="G288" s="162">
        <f>IFERROR(__xludf.DUMMYFUNCTION("""COMPUTED_VALUE"""),63.03333333333334)</f>
        <v>63.03333333</v>
      </c>
      <c r="H288" s="163">
        <f>IFERROR(__xludf.DUMMYFUNCTION("""COMPUTED_VALUE"""),39350.0)</f>
        <v>39350</v>
      </c>
      <c r="I288" s="162">
        <f>IFERROR(__xludf.DUMMYFUNCTION("""COMPUTED_VALUE"""),12.802777777777777)</f>
        <v>12.80277778</v>
      </c>
      <c r="J288" s="164">
        <f>IFERROR(__xludf.DUMMYFUNCTION("""COMPUTED_VALUE"""),88.0)</f>
        <v>88</v>
      </c>
      <c r="K288" s="164">
        <f>IFERROR(__xludf.DUMMYFUNCTION("""COMPUTED_VALUE"""),9.0)</f>
        <v>9</v>
      </c>
      <c r="L288" s="158" t="str">
        <f>IFERROR(__xludf.DUMMYFUNCTION("""COMPUTED_VALUE"""),"First-Person Shooter")</f>
        <v>First-Person Shooter</v>
      </c>
      <c r="M288" s="158"/>
      <c r="N288" s="158"/>
      <c r="O288" s="158" t="str">
        <f>IFERROR(__xludf.DUMMYFUNCTION("""COMPUTED_VALUE"""),"M")</f>
        <v>M</v>
      </c>
      <c r="P288" s="158" t="str">
        <f>IFERROR(__xludf.DUMMYFUNCTION("""COMPUTED_VALUE"""),"Blood and Gore, Violence, Language")</f>
        <v>Blood and Gore, Violence, Language</v>
      </c>
      <c r="Q288" s="158" t="str">
        <f>IFERROR(__xludf.DUMMYFUNCTION("""COMPUTED_VALUE"""),"Xbox 360")</f>
        <v>Xbox 360</v>
      </c>
      <c r="R288" s="159" t="str">
        <f>IFERROR(__xludf.DUMMYFUNCTION("""COMPUTED_VALUE"""),"Active")</f>
        <v>Active</v>
      </c>
      <c r="S288" s="160">
        <f>IFERROR(__xludf.DUMMYFUNCTION("""COMPUTED_VALUE"""),45547.0)</f>
        <v>45547</v>
      </c>
      <c r="T288" s="162">
        <f>IFERROR(__xludf.DUMMYFUNCTION("""COMPUTED_VALUE"""),49.93333333333334)</f>
        <v>49.93333333</v>
      </c>
    </row>
    <row r="289">
      <c r="A289" s="158" t="str">
        <f>IFERROR(__xludf.DUMMYFUNCTION("""COMPUTED_VALUE"""),"Neon Abyss")</f>
        <v>Neon Abyss</v>
      </c>
      <c r="B289" s="158" t="str">
        <f>IFERROR(__xludf.DUMMYFUNCTION("""COMPUTED_VALUE"""),"Xbox / PC")</f>
        <v>Xbox / PC</v>
      </c>
      <c r="C289" s="158" t="str">
        <f>IFERROR(__xludf.DUMMYFUNCTION("""COMPUTED_VALUE"""),"Yes")</f>
        <v>Yes</v>
      </c>
      <c r="D289" s="159" t="str">
        <f>IFERROR(__xludf.DUMMYFUNCTION("""COMPUTED_VALUE"""),"Active")</f>
        <v>Active</v>
      </c>
      <c r="E289" s="160">
        <f>IFERROR(__xludf.DUMMYFUNCTION("""COMPUTED_VALUE"""),44026.0)</f>
        <v>44026</v>
      </c>
      <c r="F289" s="161"/>
      <c r="G289" s="162">
        <f>IFERROR(__xludf.DUMMYFUNCTION("""COMPUTED_VALUE"""),63.03333333333334)</f>
        <v>63.03333333</v>
      </c>
      <c r="H289" s="163">
        <f>IFERROR(__xludf.DUMMYFUNCTION("""COMPUTED_VALUE"""),44026.0)</f>
        <v>44026</v>
      </c>
      <c r="I289" s="162">
        <f>IFERROR(__xludf.DUMMYFUNCTION("""COMPUTED_VALUE"""),0.0)</f>
        <v>0</v>
      </c>
      <c r="J289" s="164">
        <f>IFERROR(__xludf.DUMMYFUNCTION("""COMPUTED_VALUE"""),77.0)</f>
        <v>77</v>
      </c>
      <c r="K289" s="164">
        <f>IFERROR(__xludf.DUMMYFUNCTION("""COMPUTED_VALUE"""),12.0)</f>
        <v>12</v>
      </c>
      <c r="L289" s="158" t="str">
        <f>IFERROR(__xludf.DUMMYFUNCTION("""COMPUTED_VALUE"""),"Action / Platformer")</f>
        <v>Action / Platformer</v>
      </c>
      <c r="M289" s="158"/>
      <c r="N289" s="158"/>
      <c r="O289" s="158" t="str">
        <f>IFERROR(__xludf.DUMMYFUNCTION("""COMPUTED_VALUE"""),"T")</f>
        <v>T</v>
      </c>
      <c r="P289" s="158" t="str">
        <f>IFERROR(__xludf.DUMMYFUNCTION("""COMPUTED_VALUE"""),"Blood and Gore, Simulated Gambling, Violence, Comic Mischief")</f>
        <v>Blood and Gore, Simulated Gambling, Violence, Comic Mischief</v>
      </c>
      <c r="Q289" s="158"/>
      <c r="R289" s="159" t="str">
        <f>IFERROR(__xludf.DUMMYFUNCTION("""COMPUTED_VALUE"""),"Active")</f>
        <v>Active</v>
      </c>
      <c r="S289" s="160">
        <f>IFERROR(__xludf.DUMMYFUNCTION("""COMPUTED_VALUE"""),45547.0)</f>
        <v>45547</v>
      </c>
      <c r="T289" s="162">
        <f>IFERROR(__xludf.DUMMYFUNCTION("""COMPUTED_VALUE"""),49.93333333333334)</f>
        <v>49.93333333</v>
      </c>
    </row>
    <row r="290">
      <c r="A290" s="158" t="str">
        <f>IFERROR(__xludf.DUMMYFUNCTION("""COMPUTED_VALUE"""),"Fallout 76")</f>
        <v>Fallout 76</v>
      </c>
      <c r="B290" s="158" t="str">
        <f>IFERROR(__xludf.DUMMYFUNCTION("""COMPUTED_VALUE"""),"Xbox / PC")</f>
        <v>Xbox / PC</v>
      </c>
      <c r="C290" s="158" t="str">
        <f>IFERROR(__xludf.DUMMYFUNCTION("""COMPUTED_VALUE"""),"Yes")</f>
        <v>Yes</v>
      </c>
      <c r="D290" s="159" t="str">
        <f>IFERROR(__xludf.DUMMYFUNCTION("""COMPUTED_VALUE"""),"Active")</f>
        <v>Active</v>
      </c>
      <c r="E290" s="160">
        <f>IFERROR(__xludf.DUMMYFUNCTION("""COMPUTED_VALUE"""),44021.0)</f>
        <v>44021</v>
      </c>
      <c r="F290" s="161"/>
      <c r="G290" s="162">
        <f>IFERROR(__xludf.DUMMYFUNCTION("""COMPUTED_VALUE"""),63.2)</f>
        <v>63.2</v>
      </c>
      <c r="H290" s="163">
        <f>IFERROR(__xludf.DUMMYFUNCTION("""COMPUTED_VALUE"""),43418.0)</f>
        <v>43418</v>
      </c>
      <c r="I290" s="162">
        <f>IFERROR(__xludf.DUMMYFUNCTION("""COMPUTED_VALUE"""),1.6527777777777777)</f>
        <v>1.652777778</v>
      </c>
      <c r="J290" s="164">
        <f>IFERROR(__xludf.DUMMYFUNCTION("""COMPUTED_VALUE"""),68.0)</f>
        <v>68</v>
      </c>
      <c r="K290" s="164">
        <f>IFERROR(__xludf.DUMMYFUNCTION("""COMPUTED_VALUE"""),29.5)</f>
        <v>29.5</v>
      </c>
      <c r="L290" s="158" t="str">
        <f>IFERROR(__xludf.DUMMYFUNCTION("""COMPUTED_VALUE"""),"Sci-Fi / Alternate Historical / Post-Apocalyptic")</f>
        <v>Sci-Fi / Alternate Historical / Post-Apocalyptic</v>
      </c>
      <c r="M290" s="158" t="str">
        <f>IFERROR(__xludf.DUMMYFUNCTION("""COMPUTED_VALUE"""),"FPS Boost")</f>
        <v>FPS Boost</v>
      </c>
      <c r="N290" s="158" t="str">
        <f>IFERROR(__xludf.DUMMYFUNCTION("""COMPUTED_VALUE"""),"Game Pass Essential launch title (9/14/23), Official PC Mod Support")</f>
        <v>Game Pass Essential launch title (9/14/23), Official PC Mod Support</v>
      </c>
      <c r="O290" s="158" t="str">
        <f>IFERROR(__xludf.DUMMYFUNCTION("""COMPUTED_VALUE"""),"M")</f>
        <v>M</v>
      </c>
      <c r="P290" s="158" t="str">
        <f>IFERROR(__xludf.DUMMYFUNCTION("""COMPUTED_VALUE"""),"Use of Alcohol, Blood and Gore, Suggestive Themes, Drug Reference, Strong Language, Intense Violence")</f>
        <v>Use of Alcohol, Blood and Gore, Suggestive Themes, Drug Reference, Strong Language, Intense Violence</v>
      </c>
      <c r="Q290" s="158"/>
      <c r="R290" s="159" t="str">
        <f>IFERROR(__xludf.DUMMYFUNCTION("""COMPUTED_VALUE"""),"Active")</f>
        <v>Active</v>
      </c>
      <c r="S290" s="160">
        <f>IFERROR(__xludf.DUMMYFUNCTION("""COMPUTED_VALUE"""),45547.0)</f>
        <v>45547</v>
      </c>
      <c r="T290" s="162">
        <f>IFERROR(__xludf.DUMMYFUNCTION("""COMPUTED_VALUE"""),50.099999999999994)</f>
        <v>50.1</v>
      </c>
    </row>
    <row r="291">
      <c r="A291" s="158" t="str">
        <f>IFERROR(__xludf.DUMMYFUNCTION("""COMPUTED_VALUE"""),"The Bard's Tale ARPG: Remastered and Resnarkled")</f>
        <v>The Bard's Tale ARPG: Remastered and Resnarkled</v>
      </c>
      <c r="B291" s="158" t="str">
        <f>IFERROR(__xludf.DUMMYFUNCTION("""COMPUTED_VALUE"""),"Xbox / PC")</f>
        <v>Xbox / PC</v>
      </c>
      <c r="C291" s="158" t="str">
        <f>IFERROR(__xludf.DUMMYFUNCTION("""COMPUTED_VALUE"""),"Touch Controls")</f>
        <v>Touch Controls</v>
      </c>
      <c r="D291" s="159" t="str">
        <f>IFERROR(__xludf.DUMMYFUNCTION("""COMPUTED_VALUE"""),"Active")</f>
        <v>Active</v>
      </c>
      <c r="E291" s="160">
        <f>IFERROR(__xludf.DUMMYFUNCTION("""COMPUTED_VALUE"""),44000.0)</f>
        <v>44000</v>
      </c>
      <c r="F291" s="161"/>
      <c r="G291" s="162">
        <f>IFERROR(__xludf.DUMMYFUNCTION("""COMPUTED_VALUE"""),63.900000000000006)</f>
        <v>63.9</v>
      </c>
      <c r="H291" s="163">
        <f>IFERROR(__xludf.DUMMYFUNCTION("""COMPUTED_VALUE"""),44000.0)</f>
        <v>44000</v>
      </c>
      <c r="I291" s="162">
        <f>IFERROR(__xludf.DUMMYFUNCTION("""COMPUTED_VALUE"""),0.0)</f>
        <v>0</v>
      </c>
      <c r="J291" s="164">
        <f>IFERROR(__xludf.DUMMYFUNCTION("""COMPUTED_VALUE"""),90.0)</f>
        <v>90</v>
      </c>
      <c r="K291" s="164">
        <f>IFERROR(__xludf.DUMMYFUNCTION("""COMPUTED_VALUE"""),14.0)</f>
        <v>14</v>
      </c>
      <c r="L291" s="158" t="str">
        <f>IFERROR(__xludf.DUMMYFUNCTION("""COMPUTED_VALUE"""),"RPG")</f>
        <v>RPG</v>
      </c>
      <c r="M291" s="158"/>
      <c r="N291" s="158"/>
      <c r="O291" s="158" t="str">
        <f>IFERROR(__xludf.DUMMYFUNCTION("""COMPUTED_VALUE"""),"T")</f>
        <v>T</v>
      </c>
      <c r="P291" s="158" t="str">
        <f>IFERROR(__xludf.DUMMYFUNCTION("""COMPUTED_VALUE"""),"Blood, Mild Language, Suggestive Themes, Use of Alcohol, Violence")</f>
        <v>Blood, Mild Language, Suggestive Themes, Use of Alcohol, Violence</v>
      </c>
      <c r="Q291" s="158"/>
      <c r="R291" s="159" t="str">
        <f>IFERROR(__xludf.DUMMYFUNCTION("""COMPUTED_VALUE"""),"Active")</f>
        <v>Active</v>
      </c>
      <c r="S291" s="160">
        <f>IFERROR(__xludf.DUMMYFUNCTION("""COMPUTED_VALUE"""),45547.0)</f>
        <v>45547</v>
      </c>
      <c r="T291" s="162">
        <f>IFERROR(__xludf.DUMMYFUNCTION("""COMPUTED_VALUE"""),50.8)</f>
        <v>50.8</v>
      </c>
    </row>
    <row r="292">
      <c r="A292" s="158" t="str">
        <f>IFERROR(__xludf.DUMMYFUNCTION("""COMPUTED_VALUE"""),"No Man's Sky")</f>
        <v>No Man's Sky</v>
      </c>
      <c r="B292" s="158" t="str">
        <f>IFERROR(__xludf.DUMMYFUNCTION("""COMPUTED_VALUE"""),"Xbox / PC")</f>
        <v>Xbox / PC</v>
      </c>
      <c r="C292" s="158" t="str">
        <f>IFERROR(__xludf.DUMMYFUNCTION("""COMPUTED_VALUE"""),"Yes")</f>
        <v>Yes</v>
      </c>
      <c r="D292" s="159" t="str">
        <f>IFERROR(__xludf.DUMMYFUNCTION("""COMPUTED_VALUE"""),"Active")</f>
        <v>Active</v>
      </c>
      <c r="E292" s="160">
        <f>IFERROR(__xludf.DUMMYFUNCTION("""COMPUTED_VALUE"""),43993.0)</f>
        <v>43993</v>
      </c>
      <c r="F292" s="161"/>
      <c r="G292" s="162">
        <f>IFERROR(__xludf.DUMMYFUNCTION("""COMPUTED_VALUE"""),64.13333333333333)</f>
        <v>64.13333333</v>
      </c>
      <c r="H292" s="163">
        <f>IFERROR(__xludf.DUMMYFUNCTION("""COMPUTED_VALUE"""),42591.0)</f>
        <v>42591</v>
      </c>
      <c r="I292" s="162">
        <f>IFERROR(__xludf.DUMMYFUNCTION("""COMPUTED_VALUE"""),3.838888888888889)</f>
        <v>3.838888889</v>
      </c>
      <c r="J292" s="164">
        <f>IFERROR(__xludf.DUMMYFUNCTION("""COMPUTED_VALUE"""),69.0)</f>
        <v>69</v>
      </c>
      <c r="K292" s="164">
        <f>IFERROR(__xludf.DUMMYFUNCTION("""COMPUTED_VALUE"""),30.5)</f>
        <v>30.5</v>
      </c>
      <c r="L292" s="158" t="str">
        <f>IFERROR(__xludf.DUMMYFUNCTION("""COMPUTED_VALUE"""),"Simulation / Action-Adventure")</f>
        <v>Simulation / Action-Adventure</v>
      </c>
      <c r="M292" s="158" t="str">
        <f>IFERROR(__xludf.DUMMYFUNCTION("""COMPUTED_VALUE"""),"Optimized")</f>
        <v>Optimized</v>
      </c>
      <c r="N292" s="158"/>
      <c r="O292" s="158" t="str">
        <f>IFERROR(__xludf.DUMMYFUNCTION("""COMPUTED_VALUE"""),"T")</f>
        <v>T</v>
      </c>
      <c r="P292" s="158" t="str">
        <f>IFERROR(__xludf.DUMMYFUNCTION("""COMPUTED_VALUE"""),"Fantasy Violence, Animated Blood")</f>
        <v>Fantasy Violence, Animated Blood</v>
      </c>
      <c r="Q292" s="158"/>
      <c r="R292" s="159" t="str">
        <f>IFERROR(__xludf.DUMMYFUNCTION("""COMPUTED_VALUE"""),"Active")</f>
        <v>Active</v>
      </c>
      <c r="S292" s="160">
        <f>IFERROR(__xludf.DUMMYFUNCTION("""COMPUTED_VALUE"""),45547.0)</f>
        <v>45547</v>
      </c>
      <c r="T292" s="162">
        <f>IFERROR(__xludf.DUMMYFUNCTION("""COMPUTED_VALUE"""),51.03333333333334)</f>
        <v>51.03333333</v>
      </c>
    </row>
    <row r="293">
      <c r="A293" s="158" t="str">
        <f>IFERROR(__xludf.DUMMYFUNCTION("""COMPUTED_VALUE"""),"Minecraft: Dungeons")</f>
        <v>Minecraft: Dungeons</v>
      </c>
      <c r="B293" s="158" t="str">
        <f>IFERROR(__xludf.DUMMYFUNCTION("""COMPUTED_VALUE"""),"Xbox / PC")</f>
        <v>Xbox / PC</v>
      </c>
      <c r="C293" s="158" t="str">
        <f>IFERROR(__xludf.DUMMYFUNCTION("""COMPUTED_VALUE"""),"Touch Controls")</f>
        <v>Touch Controls</v>
      </c>
      <c r="D293" s="159" t="str">
        <f>IFERROR(__xludf.DUMMYFUNCTION("""COMPUTED_VALUE"""),"Active")</f>
        <v>Active</v>
      </c>
      <c r="E293" s="160">
        <f>IFERROR(__xludf.DUMMYFUNCTION("""COMPUTED_VALUE"""),43977.0)</f>
        <v>43977</v>
      </c>
      <c r="F293" s="161"/>
      <c r="G293" s="162">
        <f>IFERROR(__xludf.DUMMYFUNCTION("""COMPUTED_VALUE"""),64.63333333333333)</f>
        <v>64.63333333</v>
      </c>
      <c r="H293" s="163">
        <f>IFERROR(__xludf.DUMMYFUNCTION("""COMPUTED_VALUE"""),43977.0)</f>
        <v>43977</v>
      </c>
      <c r="I293" s="162">
        <f>IFERROR(__xludf.DUMMYFUNCTION("""COMPUTED_VALUE"""),0.0)</f>
        <v>0</v>
      </c>
      <c r="J293" s="164">
        <f>IFERROR(__xludf.DUMMYFUNCTION("""COMPUTED_VALUE"""),72.5)</f>
        <v>72.5</v>
      </c>
      <c r="K293" s="164">
        <f>IFERROR(__xludf.DUMMYFUNCTION("""COMPUTED_VALUE"""),5.0)</f>
        <v>5</v>
      </c>
      <c r="L293" s="158" t="str">
        <f>IFERROR(__xludf.DUMMYFUNCTION("""COMPUTED_VALUE"""),"RPG / Action-Adventure")</f>
        <v>RPG / Action-Adventure</v>
      </c>
      <c r="M293" s="158" t="str">
        <f>IFERROR(__xludf.DUMMYFUNCTION("""COMPUTED_VALUE"""),"Optimized")</f>
        <v>Optimized</v>
      </c>
      <c r="N293" s="158"/>
      <c r="O293" s="158" t="str">
        <f>IFERROR(__xludf.DUMMYFUNCTION("""COMPUTED_VALUE"""),"E10+")</f>
        <v>E10+</v>
      </c>
      <c r="P293" s="158" t="str">
        <f>IFERROR(__xludf.DUMMYFUNCTION("""COMPUTED_VALUE"""),"Fantasy Violence")</f>
        <v>Fantasy Violence</v>
      </c>
      <c r="Q293" s="158"/>
      <c r="R293" s="159" t="str">
        <f>IFERROR(__xludf.DUMMYFUNCTION("""COMPUTED_VALUE"""),"Active")</f>
        <v>Active</v>
      </c>
      <c r="S293" s="160">
        <f>IFERROR(__xludf.DUMMYFUNCTION("""COMPUTED_VALUE"""),45547.0)</f>
        <v>45547</v>
      </c>
      <c r="T293" s="162">
        <f>IFERROR(__xludf.DUMMYFUNCTION("""COMPUTED_VALUE"""),51.53333333333333)</f>
        <v>51.53333333</v>
      </c>
    </row>
    <row r="294">
      <c r="A294" s="158" t="str">
        <f>IFERROR(__xludf.DUMMYFUNCTION("""COMPUTED_VALUE"""),"Golf With Your Friends")</f>
        <v>Golf With Your Friends</v>
      </c>
      <c r="B294" s="158" t="str">
        <f>IFERROR(__xludf.DUMMYFUNCTION("""COMPUTED_VALUE"""),"Xbox / PC")</f>
        <v>Xbox / PC</v>
      </c>
      <c r="C294" s="158" t="str">
        <f>IFERROR(__xludf.DUMMYFUNCTION("""COMPUTED_VALUE"""),"Touch Controls")</f>
        <v>Touch Controls</v>
      </c>
      <c r="D294" s="159" t="str">
        <f>IFERROR(__xludf.DUMMYFUNCTION("""COMPUTED_VALUE"""),"Active")</f>
        <v>Active</v>
      </c>
      <c r="E294" s="160">
        <f>IFERROR(__xludf.DUMMYFUNCTION("""COMPUTED_VALUE"""),43970.0)</f>
        <v>43970</v>
      </c>
      <c r="F294" s="161"/>
      <c r="G294" s="162">
        <f>IFERROR(__xludf.DUMMYFUNCTION("""COMPUTED_VALUE"""),64.86666666666667)</f>
        <v>64.86666667</v>
      </c>
      <c r="H294" s="163">
        <f>IFERROR(__xludf.DUMMYFUNCTION("""COMPUTED_VALUE"""),43970.0)</f>
        <v>43970</v>
      </c>
      <c r="I294" s="162">
        <f>IFERROR(__xludf.DUMMYFUNCTION("""COMPUTED_VALUE"""),0.0)</f>
        <v>0</v>
      </c>
      <c r="J294" s="164">
        <f>IFERROR(__xludf.DUMMYFUNCTION("""COMPUTED_VALUE"""),68.0)</f>
        <v>68</v>
      </c>
      <c r="K294" s="164">
        <f>IFERROR(__xludf.DUMMYFUNCTION("""COMPUTED_VALUE"""),23.5)</f>
        <v>23.5</v>
      </c>
      <c r="L294" s="158" t="str">
        <f>IFERROR(__xludf.DUMMYFUNCTION("""COMPUTED_VALUE"""),"Sports / Golf")</f>
        <v>Sports / Golf</v>
      </c>
      <c r="M294" s="158" t="str">
        <f>IFERROR(__xludf.DUMMYFUNCTION("""COMPUTED_VALUE"""),"FPS Boost")</f>
        <v>FPS Boost</v>
      </c>
      <c r="N294" s="158" t="str">
        <f>IFERROR(__xludf.DUMMYFUNCTION("""COMPUTED_VALUE"""),"Game Pass Essential launch title (9/14/23)")</f>
        <v>Game Pass Essential launch title (9/14/23)</v>
      </c>
      <c r="O294" s="158" t="str">
        <f>IFERROR(__xludf.DUMMYFUNCTION("""COMPUTED_VALUE"""),"E10+")</f>
        <v>E10+</v>
      </c>
      <c r="P294" s="158" t="str">
        <f>IFERROR(__xludf.DUMMYFUNCTION("""COMPUTED_VALUE"""),"Mild Blood, Mild Fantasy Violence")</f>
        <v>Mild Blood, Mild Fantasy Violence</v>
      </c>
      <c r="Q294" s="158"/>
      <c r="R294" s="159" t="str">
        <f>IFERROR(__xludf.DUMMYFUNCTION("""COMPUTED_VALUE"""),"Active")</f>
        <v>Active</v>
      </c>
      <c r="S294" s="160">
        <f>IFERROR(__xludf.DUMMYFUNCTION("""COMPUTED_VALUE"""),45547.0)</f>
        <v>45547</v>
      </c>
      <c r="T294" s="162">
        <f>IFERROR(__xludf.DUMMYFUNCTION("""COMPUTED_VALUE"""),51.766666666666666)</f>
        <v>51.76666667</v>
      </c>
    </row>
    <row r="295">
      <c r="A295" s="158" t="str">
        <f>IFERROR(__xludf.DUMMYFUNCTION("""COMPUTED_VALUE"""),"Halo 2: Anniversary")</f>
        <v>Halo 2: Anniversary</v>
      </c>
      <c r="B295" s="158" t="str">
        <f>IFERROR(__xludf.DUMMYFUNCTION("""COMPUTED_VALUE"""),"Xbox / PC")</f>
        <v>Xbox / PC</v>
      </c>
      <c r="C295" s="158"/>
      <c r="D295" s="159" t="str">
        <f>IFERROR(__xludf.DUMMYFUNCTION("""COMPUTED_VALUE"""),"Active")</f>
        <v>Active</v>
      </c>
      <c r="E295" s="160">
        <f>IFERROR(__xludf.DUMMYFUNCTION("""COMPUTED_VALUE"""),43963.0)</f>
        <v>43963</v>
      </c>
      <c r="F295" s="161"/>
      <c r="G295" s="162">
        <f>IFERROR(__xludf.DUMMYFUNCTION("""COMPUTED_VALUE"""),65.1)</f>
        <v>65.1</v>
      </c>
      <c r="H295" s="163">
        <f>IFERROR(__xludf.DUMMYFUNCTION("""COMPUTED_VALUE"""),38300.0)</f>
        <v>38300</v>
      </c>
      <c r="I295" s="162">
        <f>IFERROR(__xludf.DUMMYFUNCTION("""COMPUTED_VALUE"""),15.508333333333333)</f>
        <v>15.50833333</v>
      </c>
      <c r="J295" s="164">
        <f>IFERROR(__xludf.DUMMYFUNCTION("""COMPUTED_VALUE"""),71.0)</f>
        <v>71</v>
      </c>
      <c r="K295" s="164">
        <f>IFERROR(__xludf.DUMMYFUNCTION("""COMPUTED_VALUE"""),8.0)</f>
        <v>8</v>
      </c>
      <c r="L295" s="158" t="str">
        <f>IFERROR(__xludf.DUMMYFUNCTION("""COMPUTED_VALUE"""),"First-Person Shooter")</f>
        <v>First-Person Shooter</v>
      </c>
      <c r="M295" s="158"/>
      <c r="N295" s="158"/>
      <c r="O295" s="158" t="str">
        <f>IFERROR(__xludf.DUMMYFUNCTION("""COMPUTED_VALUE"""),"M")</f>
        <v>M</v>
      </c>
      <c r="P295" s="158" t="str">
        <f>IFERROR(__xludf.DUMMYFUNCTION("""COMPUTED_VALUE"""),"Blood and Gore, Violence, Language")</f>
        <v>Blood and Gore, Violence, Language</v>
      </c>
      <c r="Q295" s="158"/>
      <c r="R295" s="159" t="str">
        <f>IFERROR(__xludf.DUMMYFUNCTION("""COMPUTED_VALUE"""),"Active")</f>
        <v>Active</v>
      </c>
      <c r="S295" s="160">
        <f>IFERROR(__xludf.DUMMYFUNCTION("""COMPUTED_VALUE"""),45547.0)</f>
        <v>45547</v>
      </c>
      <c r="T295" s="162">
        <f>IFERROR(__xludf.DUMMYFUNCTION("""COMPUTED_VALUE"""),52.0)</f>
        <v>52</v>
      </c>
    </row>
    <row r="296">
      <c r="A296" s="158" t="str">
        <f>IFERROR(__xludf.DUMMYFUNCTION("""COMPUTED_VALUE"""),"DayZ")</f>
        <v>DayZ</v>
      </c>
      <c r="B296" s="158" t="str">
        <f>IFERROR(__xludf.DUMMYFUNCTION("""COMPUTED_VALUE"""),"Xbox")</f>
        <v>Xbox</v>
      </c>
      <c r="C296" s="158" t="str">
        <f>IFERROR(__xludf.DUMMYFUNCTION("""COMPUTED_VALUE"""),"Yes")</f>
        <v>Yes</v>
      </c>
      <c r="D296" s="159" t="str">
        <f>IFERROR(__xludf.DUMMYFUNCTION("""COMPUTED_VALUE"""),"Active")</f>
        <v>Active</v>
      </c>
      <c r="E296" s="160">
        <f>IFERROR(__xludf.DUMMYFUNCTION("""COMPUTED_VALUE"""),43958.0)</f>
        <v>43958</v>
      </c>
      <c r="F296" s="161"/>
      <c r="G296" s="162">
        <f>IFERROR(__xludf.DUMMYFUNCTION("""COMPUTED_VALUE"""),65.26666666666667)</f>
        <v>65.26666667</v>
      </c>
      <c r="H296" s="163">
        <f>IFERROR(__xludf.DUMMYFUNCTION("""COMPUTED_VALUE"""),41621.0)</f>
        <v>41621</v>
      </c>
      <c r="I296" s="162">
        <f>IFERROR(__xludf.DUMMYFUNCTION("""COMPUTED_VALUE"""),6.4)</f>
        <v>6.4</v>
      </c>
      <c r="J296" s="164">
        <f>IFERROR(__xludf.DUMMYFUNCTION("""COMPUTED_VALUE"""),56.0)</f>
        <v>56</v>
      </c>
      <c r="K296" s="164">
        <f>IFERROR(__xludf.DUMMYFUNCTION("""COMPUTED_VALUE"""),65.5)</f>
        <v>65.5</v>
      </c>
      <c r="L296" s="158" t="str">
        <f>IFERROR(__xludf.DUMMYFUNCTION("""COMPUTED_VALUE"""),"RPG / Simulation / First-Person Shooter")</f>
        <v>RPG / Simulation / First-Person Shooter</v>
      </c>
      <c r="M296" s="158"/>
      <c r="N296" s="158" t="str">
        <f>IFERROR(__xludf.DUMMYFUNCTION("""COMPUTED_VALUE"""),"Game Pass Essential (12/4/24)")</f>
        <v>Game Pass Essential (12/4/24)</v>
      </c>
      <c r="O296" s="158" t="str">
        <f>IFERROR(__xludf.DUMMYFUNCTION("""COMPUTED_VALUE"""),"M")</f>
        <v>M</v>
      </c>
      <c r="P296" s="158" t="str">
        <f>IFERROR(__xludf.DUMMYFUNCTION("""COMPUTED_VALUE"""),"Blood, Strong Language, Violence")</f>
        <v>Blood, Strong Language, Violence</v>
      </c>
      <c r="Q296" s="158"/>
      <c r="R296" s="159" t="str">
        <f>IFERROR(__xludf.DUMMYFUNCTION("""COMPUTED_VALUE"""),"Active")</f>
        <v>Active</v>
      </c>
      <c r="S296" s="160">
        <f>IFERROR(__xludf.DUMMYFUNCTION("""COMPUTED_VALUE"""),45547.0)</f>
        <v>45547</v>
      </c>
      <c r="T296" s="162">
        <f>IFERROR(__xludf.DUMMYFUNCTION("""COMPUTED_VALUE"""),52.16666666666667)</f>
        <v>52.16666667</v>
      </c>
    </row>
    <row r="297">
      <c r="A297" s="158" t="str">
        <f>IFERROR(__xludf.DUMMYFUNCTION("""COMPUTED_VALUE"""),"MechWarrior 5: Mercenaries")</f>
        <v>MechWarrior 5: Mercenaries</v>
      </c>
      <c r="B297" s="158" t="str">
        <f>IFERROR(__xludf.DUMMYFUNCTION("""COMPUTED_VALUE"""),"Xbox / PC")</f>
        <v>Xbox / PC</v>
      </c>
      <c r="C297" s="158" t="str">
        <f>IFERROR(__xludf.DUMMYFUNCTION("""COMPUTED_VALUE"""),"Yes")</f>
        <v>Yes</v>
      </c>
      <c r="D297" s="159" t="str">
        <f>IFERROR(__xludf.DUMMYFUNCTION("""COMPUTED_VALUE"""),"Active")</f>
        <v>Active</v>
      </c>
      <c r="E297" s="160">
        <f>IFERROR(__xludf.DUMMYFUNCTION("""COMPUTED_VALUE"""),43958.0)</f>
        <v>43958</v>
      </c>
      <c r="F297" s="161"/>
      <c r="G297" s="162">
        <f>IFERROR(__xludf.DUMMYFUNCTION("""COMPUTED_VALUE"""),65.26666666666667)</f>
        <v>65.26666667</v>
      </c>
      <c r="H297" s="163">
        <f>IFERROR(__xludf.DUMMYFUNCTION("""COMPUTED_VALUE"""),43809.0)</f>
        <v>43809</v>
      </c>
      <c r="I297" s="162">
        <f>IFERROR(__xludf.DUMMYFUNCTION("""COMPUTED_VALUE"""),0.4083333333333333)</f>
        <v>0.4083333333</v>
      </c>
      <c r="J297" s="164">
        <f>IFERROR(__xludf.DUMMYFUNCTION("""COMPUTED_VALUE"""),74.0)</f>
        <v>74</v>
      </c>
      <c r="K297" s="164">
        <f>IFERROR(__xludf.DUMMYFUNCTION("""COMPUTED_VALUE"""),46.5)</f>
        <v>46.5</v>
      </c>
      <c r="L297" s="158" t="str">
        <f>IFERROR(__xludf.DUMMYFUNCTION("""COMPUTED_VALUE"""),"Action / Simulation / Shooter")</f>
        <v>Action / Simulation / Shooter</v>
      </c>
      <c r="M297" s="158"/>
      <c r="N297" s="158"/>
      <c r="O297" s="158" t="str">
        <f>IFERROR(__xludf.DUMMYFUNCTION("""COMPUTED_VALUE"""),"T")</f>
        <v>T</v>
      </c>
      <c r="P297" s="158" t="str">
        <f>IFERROR(__xludf.DUMMYFUNCTION("""COMPUTED_VALUE"""),"Language, Mild Blood, Violence")</f>
        <v>Language, Mild Blood, Violence</v>
      </c>
      <c r="Q297" s="158"/>
      <c r="R297" s="159" t="str">
        <f>IFERROR(__xludf.DUMMYFUNCTION("""COMPUTED_VALUE"""),"Active")</f>
        <v>Active</v>
      </c>
      <c r="S297" s="160">
        <f>IFERROR(__xludf.DUMMYFUNCTION("""COMPUTED_VALUE"""),45547.0)</f>
        <v>45547</v>
      </c>
      <c r="T297" s="162">
        <f>IFERROR(__xludf.DUMMYFUNCTION("""COMPUTED_VALUE"""),52.16666666666667)</f>
        <v>52.16666667</v>
      </c>
    </row>
    <row r="298">
      <c r="A298" s="158" t="str">
        <f>IFERROR(__xludf.DUMMYFUNCTION("""COMPUTED_VALUE"""),"Gears Tactics")</f>
        <v>Gears Tactics</v>
      </c>
      <c r="B298" s="158" t="str">
        <f>IFERROR(__xludf.DUMMYFUNCTION("""COMPUTED_VALUE"""),"Xbox / PC")</f>
        <v>Xbox / PC</v>
      </c>
      <c r="C298" s="158" t="str">
        <f>IFERROR(__xludf.DUMMYFUNCTION("""COMPUTED_VALUE"""),"M+KB")</f>
        <v>M+KB</v>
      </c>
      <c r="D298" s="159" t="str">
        <f>IFERROR(__xludf.DUMMYFUNCTION("""COMPUTED_VALUE"""),"Active")</f>
        <v>Active</v>
      </c>
      <c r="E298" s="160">
        <f>IFERROR(__xludf.DUMMYFUNCTION("""COMPUTED_VALUE"""),43949.0)</f>
        <v>43949</v>
      </c>
      <c r="F298" s="161"/>
      <c r="G298" s="162">
        <f>IFERROR(__xludf.DUMMYFUNCTION("""COMPUTED_VALUE"""),65.56666666666666)</f>
        <v>65.56666667</v>
      </c>
      <c r="H298" s="163">
        <f>IFERROR(__xludf.DUMMYFUNCTION("""COMPUTED_VALUE"""),43949.0)</f>
        <v>43949</v>
      </c>
      <c r="I298" s="162">
        <f>IFERROR(__xludf.DUMMYFUNCTION("""COMPUTED_VALUE"""),0.0)</f>
        <v>0</v>
      </c>
      <c r="J298" s="164">
        <f>IFERROR(__xludf.DUMMYFUNCTION("""COMPUTED_VALUE"""),81.0)</f>
        <v>81</v>
      </c>
      <c r="K298" s="164">
        <f>IFERROR(__xludf.DUMMYFUNCTION("""COMPUTED_VALUE"""),22.5)</f>
        <v>22.5</v>
      </c>
      <c r="L298" s="158" t="str">
        <f>IFERROR(__xludf.DUMMYFUNCTION("""COMPUTED_VALUE"""),"Strategy")</f>
        <v>Strategy</v>
      </c>
      <c r="M298" s="158" t="str">
        <f>IFERROR(__xludf.DUMMYFUNCTION("""COMPUTED_VALUE"""),"Optimized")</f>
        <v>Optimized</v>
      </c>
      <c r="N298" s="158"/>
      <c r="O298" s="158" t="str">
        <f>IFERROR(__xludf.DUMMYFUNCTION("""COMPUTED_VALUE"""),"M")</f>
        <v>M</v>
      </c>
      <c r="P298" s="158" t="str">
        <f>IFERROR(__xludf.DUMMYFUNCTION("""COMPUTED_VALUE"""),"Blood and Gore, Strong Language, Intense Violence")</f>
        <v>Blood and Gore, Strong Language, Intense Violence</v>
      </c>
      <c r="Q298" s="158"/>
      <c r="R298" s="159" t="str">
        <f>IFERROR(__xludf.DUMMYFUNCTION("""COMPUTED_VALUE"""),"Active")</f>
        <v>Active</v>
      </c>
      <c r="S298" s="160">
        <f>IFERROR(__xludf.DUMMYFUNCTION("""COMPUTED_VALUE"""),45547.0)</f>
        <v>45547</v>
      </c>
      <c r="T298" s="162">
        <f>IFERROR(__xludf.DUMMYFUNCTION("""COMPUTED_VALUE"""),52.46666666666666)</f>
        <v>52.46666667</v>
      </c>
    </row>
    <row r="299">
      <c r="A299" s="158" t="str">
        <f>IFERROR(__xludf.DUMMYFUNCTION("""COMPUTED_VALUE"""),"Totally Reliable Delivery Service")</f>
        <v>Totally Reliable Delivery Service</v>
      </c>
      <c r="B299" s="158" t="str">
        <f>IFERROR(__xludf.DUMMYFUNCTION("""COMPUTED_VALUE"""),"Xbox / PC")</f>
        <v>Xbox / PC</v>
      </c>
      <c r="C299" s="158" t="str">
        <f>IFERROR(__xludf.DUMMYFUNCTION("""COMPUTED_VALUE"""),"Yes")</f>
        <v>Yes</v>
      </c>
      <c r="D299" s="159" t="str">
        <f>IFERROR(__xludf.DUMMYFUNCTION("""COMPUTED_VALUE"""),"Active")</f>
        <v>Active</v>
      </c>
      <c r="E299" s="160">
        <f>IFERROR(__xludf.DUMMYFUNCTION("""COMPUTED_VALUE"""),43922.0)</f>
        <v>43922</v>
      </c>
      <c r="F299" s="161"/>
      <c r="G299" s="162">
        <f>IFERROR(__xludf.DUMMYFUNCTION("""COMPUTED_VALUE"""),66.46666666666667)</f>
        <v>66.46666667</v>
      </c>
      <c r="H299" s="163">
        <f>IFERROR(__xludf.DUMMYFUNCTION("""COMPUTED_VALUE"""),43922.0)</f>
        <v>43922</v>
      </c>
      <c r="I299" s="162">
        <f>IFERROR(__xludf.DUMMYFUNCTION("""COMPUTED_VALUE"""),0.0)</f>
        <v>0</v>
      </c>
      <c r="J299" s="164">
        <f>IFERROR(__xludf.DUMMYFUNCTION("""COMPUTED_VALUE"""),60.0)</f>
        <v>60</v>
      </c>
      <c r="K299" s="164">
        <f>IFERROR(__xludf.DUMMYFUNCTION("""COMPUTED_VALUE"""),1.0)</f>
        <v>1</v>
      </c>
      <c r="L299" s="158" t="str">
        <f>IFERROR(__xludf.DUMMYFUNCTION("""COMPUTED_VALUE"""),"Action / Simulation")</f>
        <v>Action / Simulation</v>
      </c>
      <c r="M299" s="158" t="str">
        <f>IFERROR(__xludf.DUMMYFUNCTION("""COMPUTED_VALUE"""),"FPS Boost")</f>
        <v>FPS Boost</v>
      </c>
      <c r="N299" s="158" t="str">
        <f>IFERROR(__xludf.DUMMYFUNCTION("""COMPUTED_VALUE"""),"Game Pass Essential (12/6/23), Joined PC 12/1/22")</f>
        <v>Game Pass Essential (12/6/23), Joined PC 12/1/22</v>
      </c>
      <c r="O299" s="158" t="str">
        <f>IFERROR(__xludf.DUMMYFUNCTION("""COMPUTED_VALUE"""),"E10+")</f>
        <v>E10+</v>
      </c>
      <c r="P299" s="158" t="str">
        <f>IFERROR(__xludf.DUMMYFUNCTION("""COMPUTED_VALUE"""),"Crude Humor, Mild Fantasy Violence")</f>
        <v>Crude Humor, Mild Fantasy Violence</v>
      </c>
      <c r="Q299" s="158"/>
      <c r="R299" s="159" t="str">
        <f>IFERROR(__xludf.DUMMYFUNCTION("""COMPUTED_VALUE"""),"Active")</f>
        <v>Active</v>
      </c>
      <c r="S299" s="160">
        <f>IFERROR(__xludf.DUMMYFUNCTION("""COMPUTED_VALUE"""),45547.0)</f>
        <v>45547</v>
      </c>
      <c r="T299" s="162">
        <f>IFERROR(__xludf.DUMMYFUNCTION("""COMPUTED_VALUE"""),53.36666666666666)</f>
        <v>53.36666667</v>
      </c>
    </row>
    <row r="300">
      <c r="A300" s="158" t="str">
        <f>IFERROR(__xludf.DUMMYFUNCTION("""COMPUTED_VALUE"""),"Bleeding Edge")</f>
        <v>Bleeding Edge</v>
      </c>
      <c r="B300" s="158" t="str">
        <f>IFERROR(__xludf.DUMMYFUNCTION("""COMPUTED_VALUE"""),"Xbox / PC")</f>
        <v>Xbox / PC</v>
      </c>
      <c r="C300" s="158" t="str">
        <f>IFERROR(__xludf.DUMMYFUNCTION("""COMPUTED_VALUE"""),"Yes")</f>
        <v>Yes</v>
      </c>
      <c r="D300" s="159" t="str">
        <f>IFERROR(__xludf.DUMMYFUNCTION("""COMPUTED_VALUE"""),"Active")</f>
        <v>Active</v>
      </c>
      <c r="E300" s="160">
        <f>IFERROR(__xludf.DUMMYFUNCTION("""COMPUTED_VALUE"""),43914.0)</f>
        <v>43914</v>
      </c>
      <c r="F300" s="161"/>
      <c r="G300" s="162">
        <f>IFERROR(__xludf.DUMMYFUNCTION("""COMPUTED_VALUE"""),66.7)</f>
        <v>66.7</v>
      </c>
      <c r="H300" s="163">
        <f>IFERROR(__xludf.DUMMYFUNCTION("""COMPUTED_VALUE"""),43914.0)</f>
        <v>43914</v>
      </c>
      <c r="I300" s="162">
        <f>IFERROR(__xludf.DUMMYFUNCTION("""COMPUTED_VALUE"""),0.0)</f>
        <v>0</v>
      </c>
      <c r="J300" s="164">
        <f>IFERROR(__xludf.DUMMYFUNCTION("""COMPUTED_VALUE"""),70.0)</f>
        <v>70</v>
      </c>
      <c r="K300" s="164">
        <f>IFERROR(__xludf.DUMMYFUNCTION("""COMPUTED_VALUE"""),6.5)</f>
        <v>6.5</v>
      </c>
      <c r="L300" s="158" t="str">
        <f>IFERROR(__xludf.DUMMYFUNCTION("""COMPUTED_VALUE"""),"Action")</f>
        <v>Action</v>
      </c>
      <c r="M300" s="158"/>
      <c r="N300" s="158"/>
      <c r="O300" s="158" t="str">
        <f>IFERROR(__xludf.DUMMYFUNCTION("""COMPUTED_VALUE"""),"T")</f>
        <v>T</v>
      </c>
      <c r="P300" s="158" t="str">
        <f>IFERROR(__xludf.DUMMYFUNCTION("""COMPUTED_VALUE"""),"Blood, Violence")</f>
        <v>Blood, Violence</v>
      </c>
      <c r="Q300" s="158"/>
      <c r="R300" s="159" t="str">
        <f>IFERROR(__xludf.DUMMYFUNCTION("""COMPUTED_VALUE"""),"Active")</f>
        <v>Active</v>
      </c>
      <c r="S300" s="160">
        <f>IFERROR(__xludf.DUMMYFUNCTION("""COMPUTED_VALUE"""),45547.0)</f>
        <v>45547</v>
      </c>
      <c r="T300" s="162">
        <f>IFERROR(__xludf.DUMMYFUNCTION("""COMPUTED_VALUE"""),53.6)</f>
        <v>53.6</v>
      </c>
    </row>
    <row r="301">
      <c r="A301" s="158" t="str">
        <f>IFERROR(__xludf.DUMMYFUNCTION("""COMPUTED_VALUE"""),"Ori and the Will of the Wisps")</f>
        <v>Ori and the Will of the Wisps</v>
      </c>
      <c r="B301" s="158" t="str">
        <f>IFERROR(__xludf.DUMMYFUNCTION("""COMPUTED_VALUE"""),"Xbox / PC")</f>
        <v>Xbox / PC</v>
      </c>
      <c r="C301" s="158" t="str">
        <f>IFERROR(__xludf.DUMMYFUNCTION("""COMPUTED_VALUE"""),"Yes")</f>
        <v>Yes</v>
      </c>
      <c r="D301" s="159" t="str">
        <f>IFERROR(__xludf.DUMMYFUNCTION("""COMPUTED_VALUE"""),"Active")</f>
        <v>Active</v>
      </c>
      <c r="E301" s="160">
        <f>IFERROR(__xludf.DUMMYFUNCTION("""COMPUTED_VALUE"""),43901.0)</f>
        <v>43901</v>
      </c>
      <c r="F301" s="161"/>
      <c r="G301" s="162">
        <f>IFERROR(__xludf.DUMMYFUNCTION("""COMPUTED_VALUE"""),67.13333333333333)</f>
        <v>67.13333333</v>
      </c>
      <c r="H301" s="163">
        <f>IFERROR(__xludf.DUMMYFUNCTION("""COMPUTED_VALUE"""),43901.0)</f>
        <v>43901</v>
      </c>
      <c r="I301" s="162">
        <f>IFERROR(__xludf.DUMMYFUNCTION("""COMPUTED_VALUE"""),0.0)</f>
        <v>0</v>
      </c>
      <c r="J301" s="164">
        <f>IFERROR(__xludf.DUMMYFUNCTION("""COMPUTED_VALUE"""),90.0)</f>
        <v>90</v>
      </c>
      <c r="K301" s="164">
        <f>IFERROR(__xludf.DUMMYFUNCTION("""COMPUTED_VALUE"""),11.0)</f>
        <v>11</v>
      </c>
      <c r="L301" s="158" t="str">
        <f>IFERROR(__xludf.DUMMYFUNCTION("""COMPUTED_VALUE"""),"Action / Platformer")</f>
        <v>Action / Platformer</v>
      </c>
      <c r="M301" s="158" t="str">
        <f>IFERROR(__xludf.DUMMYFUNCTION("""COMPUTED_VALUE"""),"Optimized")</f>
        <v>Optimized</v>
      </c>
      <c r="N301" s="158" t="str">
        <f>IFERROR(__xludf.DUMMYFUNCTION("""COMPUTED_VALUE"""),"Game Pass Essential launch title (9/14/23)")</f>
        <v>Game Pass Essential launch title (9/14/23)</v>
      </c>
      <c r="O301" s="158" t="str">
        <f>IFERROR(__xludf.DUMMYFUNCTION("""COMPUTED_VALUE"""),"E")</f>
        <v>E</v>
      </c>
      <c r="P301" s="158" t="str">
        <f>IFERROR(__xludf.DUMMYFUNCTION("""COMPUTED_VALUE"""),"Mild Fantasy Violence")</f>
        <v>Mild Fantasy Violence</v>
      </c>
      <c r="Q301" s="158"/>
      <c r="R301" s="159" t="str">
        <f>IFERROR(__xludf.DUMMYFUNCTION("""COMPUTED_VALUE"""),"Active")</f>
        <v>Active</v>
      </c>
      <c r="S301" s="160">
        <f>IFERROR(__xludf.DUMMYFUNCTION("""COMPUTED_VALUE"""),45547.0)</f>
        <v>45547</v>
      </c>
      <c r="T301" s="162">
        <f>IFERROR(__xludf.DUMMYFUNCTION("""COMPUTED_VALUE"""),54.03333333333334)</f>
        <v>54.03333333</v>
      </c>
    </row>
    <row r="302">
      <c r="A302" s="158" t="str">
        <f>IFERROR(__xludf.DUMMYFUNCTION("""COMPUTED_VALUE"""),"Halo: Combat Evolved - Anniversary")</f>
        <v>Halo: Combat Evolved - Anniversary</v>
      </c>
      <c r="B302" s="158" t="str">
        <f>IFERROR(__xludf.DUMMYFUNCTION("""COMPUTED_VALUE"""),"Xbox / PC")</f>
        <v>Xbox / PC</v>
      </c>
      <c r="C302" s="158"/>
      <c r="D302" s="159" t="str">
        <f>IFERROR(__xludf.DUMMYFUNCTION("""COMPUTED_VALUE"""),"Active")</f>
        <v>Active</v>
      </c>
      <c r="E302" s="160">
        <f>IFERROR(__xludf.DUMMYFUNCTION("""COMPUTED_VALUE"""),43893.0)</f>
        <v>43893</v>
      </c>
      <c r="F302" s="161"/>
      <c r="G302" s="162">
        <f>IFERROR(__xludf.DUMMYFUNCTION("""COMPUTED_VALUE"""),67.39999999999999)</f>
        <v>67.4</v>
      </c>
      <c r="H302" s="163">
        <f>IFERROR(__xludf.DUMMYFUNCTION("""COMPUTED_VALUE"""),37210.0)</f>
        <v>37210</v>
      </c>
      <c r="I302" s="162">
        <f>IFERROR(__xludf.DUMMYFUNCTION("""COMPUTED_VALUE"""),18.3)</f>
        <v>18.3</v>
      </c>
      <c r="J302" s="164">
        <f>IFERROR(__xludf.DUMMYFUNCTION("""COMPUTED_VALUE"""),79.0)</f>
        <v>79</v>
      </c>
      <c r="K302" s="164">
        <f>IFERROR(__xludf.DUMMYFUNCTION("""COMPUTED_VALUE"""),10.0)</f>
        <v>10</v>
      </c>
      <c r="L302" s="158" t="str">
        <f>IFERROR(__xludf.DUMMYFUNCTION("""COMPUTED_VALUE"""),"First-Person Shooter")</f>
        <v>First-Person Shooter</v>
      </c>
      <c r="M302" s="158"/>
      <c r="N302" s="158"/>
      <c r="O302" s="158" t="str">
        <f>IFERROR(__xludf.DUMMYFUNCTION("""COMPUTED_VALUE"""),"M")</f>
        <v>M</v>
      </c>
      <c r="P302" s="158" t="str">
        <f>IFERROR(__xludf.DUMMYFUNCTION("""COMPUTED_VALUE"""),"Blood and Gore, Violence, Language")</f>
        <v>Blood and Gore, Violence, Language</v>
      </c>
      <c r="Q302" s="158"/>
      <c r="R302" s="159" t="str">
        <f>IFERROR(__xludf.DUMMYFUNCTION("""COMPUTED_VALUE"""),"Active")</f>
        <v>Active</v>
      </c>
      <c r="S302" s="160">
        <f>IFERROR(__xludf.DUMMYFUNCTION("""COMPUTED_VALUE"""),45547.0)</f>
        <v>45547</v>
      </c>
      <c r="T302" s="162">
        <f>IFERROR(__xludf.DUMMYFUNCTION("""COMPUTED_VALUE"""),54.300000000000004)</f>
        <v>54.3</v>
      </c>
    </row>
    <row r="303">
      <c r="A303" s="158" t="str">
        <f>IFERROR(__xludf.DUMMYFUNCTION("""COMPUTED_VALUE"""),"Wasteland Remastered")</f>
        <v>Wasteland Remastered</v>
      </c>
      <c r="B303" s="158" t="str">
        <f>IFERROR(__xludf.DUMMYFUNCTION("""COMPUTED_VALUE"""),"Xbox / PC")</f>
        <v>Xbox / PC</v>
      </c>
      <c r="C303" s="158" t="str">
        <f>IFERROR(__xludf.DUMMYFUNCTION("""COMPUTED_VALUE"""),"Touch Controls")</f>
        <v>Touch Controls</v>
      </c>
      <c r="D303" s="159" t="str">
        <f>IFERROR(__xludf.DUMMYFUNCTION("""COMPUTED_VALUE"""),"Active")</f>
        <v>Active</v>
      </c>
      <c r="E303" s="160">
        <f>IFERROR(__xludf.DUMMYFUNCTION("""COMPUTED_VALUE"""),43886.0)</f>
        <v>43886</v>
      </c>
      <c r="F303" s="161"/>
      <c r="G303" s="162">
        <f>IFERROR(__xludf.DUMMYFUNCTION("""COMPUTED_VALUE"""),67.66666666666667)</f>
        <v>67.66666667</v>
      </c>
      <c r="H303" s="163">
        <f>IFERROR(__xludf.DUMMYFUNCTION("""COMPUTED_VALUE"""),43886.0)</f>
        <v>43886</v>
      </c>
      <c r="I303" s="162">
        <f>IFERROR(__xludf.DUMMYFUNCTION("""COMPUTED_VALUE"""),0.0)</f>
        <v>0</v>
      </c>
      <c r="J303" s="164">
        <f>IFERROR(__xludf.DUMMYFUNCTION("""COMPUTED_VALUE"""),60.0)</f>
        <v>60</v>
      </c>
      <c r="K303" s="164">
        <f>IFERROR(__xludf.DUMMYFUNCTION("""COMPUTED_VALUE"""),18.5)</f>
        <v>18.5</v>
      </c>
      <c r="L303" s="158" t="str">
        <f>IFERROR(__xludf.DUMMYFUNCTION("""COMPUTED_VALUE"""),"Strategy / RPG")</f>
        <v>Strategy / RPG</v>
      </c>
      <c r="M303" s="158"/>
      <c r="N303" s="158"/>
      <c r="O303" s="158" t="str">
        <f>IFERROR(__xludf.DUMMYFUNCTION("""COMPUTED_VALUE"""),"T")</f>
        <v>T</v>
      </c>
      <c r="P303" s="158" t="str">
        <f>IFERROR(__xludf.DUMMYFUNCTION("""COMPUTED_VALUE"""),"Violence, Blood, Sexual Content, Use of Alcohol, Simulated Gambling")</f>
        <v>Violence, Blood, Sexual Content, Use of Alcohol, Simulated Gambling</v>
      </c>
      <c r="Q303" s="158"/>
      <c r="R303" s="159" t="str">
        <f>IFERROR(__xludf.DUMMYFUNCTION("""COMPUTED_VALUE"""),"Active")</f>
        <v>Active</v>
      </c>
      <c r="S303" s="160">
        <f>IFERROR(__xludf.DUMMYFUNCTION("""COMPUTED_VALUE"""),45547.0)</f>
        <v>45547</v>
      </c>
      <c r="T303" s="162">
        <f>IFERROR(__xludf.DUMMYFUNCTION("""COMPUTED_VALUE"""),54.56666666666667)</f>
        <v>54.56666667</v>
      </c>
    </row>
    <row r="304">
      <c r="A304" s="158" t="str">
        <f>IFERROR(__xludf.DUMMYFUNCTION("""COMPUTED_VALUE"""),"Wolfenstein: Youngblood")</f>
        <v>Wolfenstein: Youngblood</v>
      </c>
      <c r="B304" s="158" t="str">
        <f>IFERROR(__xludf.DUMMYFUNCTION("""COMPUTED_VALUE"""),"Xbox / PC")</f>
        <v>Xbox / PC</v>
      </c>
      <c r="C304" s="158" t="str">
        <f>IFERROR(__xludf.DUMMYFUNCTION("""COMPUTED_VALUE"""),"Yes")</f>
        <v>Yes</v>
      </c>
      <c r="D304" s="159" t="str">
        <f>IFERROR(__xludf.DUMMYFUNCTION("""COMPUTED_VALUE"""),"Active")</f>
        <v>Active</v>
      </c>
      <c r="E304" s="160">
        <f>IFERROR(__xludf.DUMMYFUNCTION("""COMPUTED_VALUE"""),43867.0)</f>
        <v>43867</v>
      </c>
      <c r="F304" s="161"/>
      <c r="G304" s="162">
        <f>IFERROR(__xludf.DUMMYFUNCTION("""COMPUTED_VALUE"""),68.3)</f>
        <v>68.3</v>
      </c>
      <c r="H304" s="163">
        <f>IFERROR(__xludf.DUMMYFUNCTION("""COMPUTED_VALUE"""),43671.0)</f>
        <v>43671</v>
      </c>
      <c r="I304" s="162">
        <f>IFERROR(__xludf.DUMMYFUNCTION("""COMPUTED_VALUE"""),0.5305555555555556)</f>
        <v>0.5305555556</v>
      </c>
      <c r="J304" s="164">
        <f>IFERROR(__xludf.DUMMYFUNCTION("""COMPUTED_VALUE"""),68.0)</f>
        <v>68</v>
      </c>
      <c r="K304" s="164">
        <f>IFERROR(__xludf.DUMMYFUNCTION("""COMPUTED_VALUE"""),9.0)</f>
        <v>9</v>
      </c>
      <c r="L304" s="158" t="str">
        <f>IFERROR(__xludf.DUMMYFUNCTION("""COMPUTED_VALUE"""),"First-Person Shooter")</f>
        <v>First-Person Shooter</v>
      </c>
      <c r="M304" s="158"/>
      <c r="N304" s="158"/>
      <c r="O304" s="158" t="str">
        <f>IFERROR(__xludf.DUMMYFUNCTION("""COMPUTED_VALUE"""),"M")</f>
        <v>M</v>
      </c>
      <c r="P304" s="158" t="str">
        <f>IFERROR(__xludf.DUMMYFUNCTION("""COMPUTED_VALUE"""),"Blood and Gore, Strong Language, Intense Violence")</f>
        <v>Blood and Gore, Strong Language, Intense Violence</v>
      </c>
      <c r="Q304" s="158"/>
      <c r="R304" s="159" t="str">
        <f>IFERROR(__xludf.DUMMYFUNCTION("""COMPUTED_VALUE"""),"Active")</f>
        <v>Active</v>
      </c>
      <c r="S304" s="160">
        <f>IFERROR(__xludf.DUMMYFUNCTION("""COMPUTED_VALUE"""),45547.0)</f>
        <v>45547</v>
      </c>
      <c r="T304" s="162">
        <f>IFERROR(__xludf.DUMMYFUNCTION("""COMPUTED_VALUE"""),55.199999999999996)</f>
        <v>55.2</v>
      </c>
    </row>
    <row r="305">
      <c r="A305" s="158" t="str">
        <f>IFERROR(__xludf.DUMMYFUNCTION("""COMPUTED_VALUE"""),"Frostpunk")</f>
        <v>Frostpunk</v>
      </c>
      <c r="B305" s="158" t="str">
        <f>IFERROR(__xludf.DUMMYFUNCTION("""COMPUTED_VALUE"""),"Xbox / PC")</f>
        <v>Xbox / PC</v>
      </c>
      <c r="C305" s="158" t="str">
        <f>IFERROR(__xludf.DUMMYFUNCTION("""COMPUTED_VALUE"""),"Touch Controls")</f>
        <v>Touch Controls</v>
      </c>
      <c r="D305" s="159" t="str">
        <f>IFERROR(__xludf.DUMMYFUNCTION("""COMPUTED_VALUE"""),"Active")</f>
        <v>Active</v>
      </c>
      <c r="E305" s="160">
        <f>IFERROR(__xludf.DUMMYFUNCTION("""COMPUTED_VALUE"""),43839.0)</f>
        <v>43839</v>
      </c>
      <c r="F305" s="161"/>
      <c r="G305" s="162">
        <f>IFERROR(__xludf.DUMMYFUNCTION("""COMPUTED_VALUE"""),69.2)</f>
        <v>69.2</v>
      </c>
      <c r="H305" s="163">
        <f>IFERROR(__xludf.DUMMYFUNCTION("""COMPUTED_VALUE"""),43214.0)</f>
        <v>43214</v>
      </c>
      <c r="I305" s="162">
        <f>IFERROR(__xludf.DUMMYFUNCTION("""COMPUTED_VALUE"""),1.7083333333333333)</f>
        <v>1.708333333</v>
      </c>
      <c r="J305" s="164">
        <f>IFERROR(__xludf.DUMMYFUNCTION("""COMPUTED_VALUE"""),84.0)</f>
        <v>84</v>
      </c>
      <c r="K305" s="164">
        <f>IFERROR(__xludf.DUMMYFUNCTION("""COMPUTED_VALUE"""),10.0)</f>
        <v>10</v>
      </c>
      <c r="L305" s="158" t="str">
        <f>IFERROR(__xludf.DUMMYFUNCTION("""COMPUTED_VALUE"""),"Simulation")</f>
        <v>Simulation</v>
      </c>
      <c r="M305" s="158"/>
      <c r="N305" s="158"/>
      <c r="O305" s="158" t="str">
        <f>IFERROR(__xludf.DUMMYFUNCTION("""COMPUTED_VALUE"""),"M")</f>
        <v>M</v>
      </c>
      <c r="P305" s="158" t="str">
        <f>IFERROR(__xludf.DUMMYFUNCTION("""COMPUTED_VALUE"""),"Mild Violence, Blood, Mild Sexual Themes, Strong Language")</f>
        <v>Mild Violence, Blood, Mild Sexual Themes, Strong Language</v>
      </c>
      <c r="Q305" s="158"/>
      <c r="R305" s="159" t="str">
        <f>IFERROR(__xludf.DUMMYFUNCTION("""COMPUTED_VALUE"""),"Active")</f>
        <v>Active</v>
      </c>
      <c r="S305" s="160">
        <f>IFERROR(__xludf.DUMMYFUNCTION("""COMPUTED_VALUE"""),45547.0)</f>
        <v>45547</v>
      </c>
      <c r="T305" s="162">
        <f>IFERROR(__xludf.DUMMYFUNCTION("""COMPUTED_VALUE"""),56.099999999999994)</f>
        <v>56.1</v>
      </c>
    </row>
    <row r="306">
      <c r="A306" s="158" t="str">
        <f>IFERROR(__xludf.DUMMYFUNCTION("""COMPUTED_VALUE"""),"Phoenix Point")</f>
        <v>Phoenix Point</v>
      </c>
      <c r="B306" s="158" t="str">
        <f>IFERROR(__xludf.DUMMYFUNCTION("""COMPUTED_VALUE"""),"Xbox / PC")</f>
        <v>Xbox / PC</v>
      </c>
      <c r="C306" s="158" t="str">
        <f>IFERROR(__xludf.DUMMYFUNCTION("""COMPUTED_VALUE"""),"Touch Controls")</f>
        <v>Touch Controls</v>
      </c>
      <c r="D306" s="159" t="str">
        <f>IFERROR(__xludf.DUMMYFUNCTION("""COMPUTED_VALUE"""),"Active")</f>
        <v>Active</v>
      </c>
      <c r="E306" s="160">
        <f>IFERROR(__xludf.DUMMYFUNCTION("""COMPUTED_VALUE"""),43819.0)</f>
        <v>43819</v>
      </c>
      <c r="F306" s="161"/>
      <c r="G306" s="162">
        <f>IFERROR(__xludf.DUMMYFUNCTION("""COMPUTED_VALUE"""),69.83333333333334)</f>
        <v>69.83333333</v>
      </c>
      <c r="H306" s="163">
        <f>IFERROR(__xludf.DUMMYFUNCTION("""COMPUTED_VALUE"""),43802.0)</f>
        <v>43802</v>
      </c>
      <c r="I306" s="162">
        <f>IFERROR(__xludf.DUMMYFUNCTION("""COMPUTED_VALUE"""),0.04722222222222222)</f>
        <v>0.04722222222</v>
      </c>
      <c r="J306" s="164">
        <f>IFERROR(__xludf.DUMMYFUNCTION("""COMPUTED_VALUE"""),74.0)</f>
        <v>74</v>
      </c>
      <c r="K306" s="164">
        <f>IFERROR(__xludf.DUMMYFUNCTION("""COMPUTED_VALUE"""),32.0)</f>
        <v>32</v>
      </c>
      <c r="L306" s="158" t="str">
        <f>IFERROR(__xludf.DUMMYFUNCTION("""COMPUTED_VALUE"""),"Strategy")</f>
        <v>Strategy</v>
      </c>
      <c r="M306" s="158"/>
      <c r="N306" s="158" t="str">
        <f>IFERROR(__xludf.DUMMYFUNCTION("""COMPUTED_VALUE"""),"Joined console 10/1/21")</f>
        <v>Joined console 10/1/21</v>
      </c>
      <c r="O306" s="158" t="str">
        <f>IFERROR(__xludf.DUMMYFUNCTION("""COMPUTED_VALUE"""),"T")</f>
        <v>T</v>
      </c>
      <c r="P306" s="158" t="str">
        <f>IFERROR(__xludf.DUMMYFUNCTION("""COMPUTED_VALUE"""),"Blood, Violence, Language")</f>
        <v>Blood, Violence, Language</v>
      </c>
      <c r="Q306" s="158"/>
      <c r="R306" s="159" t="str">
        <f>IFERROR(__xludf.DUMMYFUNCTION("""COMPUTED_VALUE"""),"Active")</f>
        <v>Active</v>
      </c>
      <c r="S306" s="160">
        <f>IFERROR(__xludf.DUMMYFUNCTION("""COMPUTED_VALUE"""),45547.0)</f>
        <v>45547</v>
      </c>
      <c r="T306" s="162">
        <f>IFERROR(__xludf.DUMMYFUNCTION("""COMPUTED_VALUE"""),56.733333333333334)</f>
        <v>56.73333333</v>
      </c>
    </row>
    <row r="307">
      <c r="A307" s="158" t="str">
        <f>IFERROR(__xludf.DUMMYFUNCTION("""COMPUTED_VALUE"""),"Totally Accurate Battle Simulator")</f>
        <v>Totally Accurate Battle Simulator</v>
      </c>
      <c r="B307" s="158" t="str">
        <f>IFERROR(__xludf.DUMMYFUNCTION("""COMPUTED_VALUE"""),"Xbox / PC")</f>
        <v>Xbox / PC</v>
      </c>
      <c r="C307" s="158" t="str">
        <f>IFERROR(__xludf.DUMMYFUNCTION("""COMPUTED_VALUE"""),"Touch Controls")</f>
        <v>Touch Controls</v>
      </c>
      <c r="D307" s="159" t="str">
        <f>IFERROR(__xludf.DUMMYFUNCTION("""COMPUTED_VALUE"""),"Active")</f>
        <v>Active</v>
      </c>
      <c r="E307" s="160">
        <f>IFERROR(__xludf.DUMMYFUNCTION("""COMPUTED_VALUE"""),43819.0)</f>
        <v>43819</v>
      </c>
      <c r="F307" s="161"/>
      <c r="G307" s="162">
        <f>IFERROR(__xludf.DUMMYFUNCTION("""COMPUTED_VALUE"""),69.83333333333334)</f>
        <v>69.83333333</v>
      </c>
      <c r="H307" s="163">
        <f>IFERROR(__xludf.DUMMYFUNCTION("""COMPUTED_VALUE"""),43556.0)</f>
        <v>43556</v>
      </c>
      <c r="I307" s="162">
        <f>IFERROR(__xludf.DUMMYFUNCTION("""COMPUTED_VALUE"""),0.7194444444444444)</f>
        <v>0.7194444444</v>
      </c>
      <c r="J307" s="164">
        <f>IFERROR(__xludf.DUMMYFUNCTION("""COMPUTED_VALUE"""),76.0)</f>
        <v>76</v>
      </c>
      <c r="K307" s="164">
        <f>IFERROR(__xludf.DUMMYFUNCTION("""COMPUTED_VALUE"""),4.5)</f>
        <v>4.5</v>
      </c>
      <c r="L307" s="158" t="str">
        <f>IFERROR(__xludf.DUMMYFUNCTION("""COMPUTED_VALUE"""),"Strategy / Simulation")</f>
        <v>Strategy / Simulation</v>
      </c>
      <c r="M307" s="158"/>
      <c r="N307" s="158"/>
      <c r="O307" s="158" t="str">
        <f>IFERROR(__xludf.DUMMYFUNCTION("""COMPUTED_VALUE"""),"T")</f>
        <v>T</v>
      </c>
      <c r="P307" s="158" t="str">
        <f>IFERROR(__xludf.DUMMYFUNCTION("""COMPUTED_VALUE"""),"Violence")</f>
        <v>Violence</v>
      </c>
      <c r="Q307" s="158"/>
      <c r="R307" s="159" t="str">
        <f>IFERROR(__xludf.DUMMYFUNCTION("""COMPUTED_VALUE"""),"Active")</f>
        <v>Active</v>
      </c>
      <c r="S307" s="160">
        <f>IFERROR(__xludf.DUMMYFUNCTION("""COMPUTED_VALUE"""),45547.0)</f>
        <v>45547</v>
      </c>
      <c r="T307" s="162">
        <f>IFERROR(__xludf.DUMMYFUNCTION("""COMPUTED_VALUE"""),56.733333333333334)</f>
        <v>56.73333333</v>
      </c>
    </row>
    <row r="308">
      <c r="A308" s="158" t="str">
        <f>IFERROR(__xludf.DUMMYFUNCTION("""COMPUTED_VALUE"""),"Pillars of Eternity: Definitive Edition")</f>
        <v>Pillars of Eternity: Definitive Edition</v>
      </c>
      <c r="B308" s="158" t="str">
        <f>IFERROR(__xludf.DUMMYFUNCTION("""COMPUTED_VALUE"""),"Xbox / PC")</f>
        <v>Xbox / PC</v>
      </c>
      <c r="C308" s="158" t="str">
        <f>IFERROR(__xludf.DUMMYFUNCTION("""COMPUTED_VALUE"""),"Touch Controls")</f>
        <v>Touch Controls</v>
      </c>
      <c r="D308" s="159" t="str">
        <f>IFERROR(__xludf.DUMMYFUNCTION("""COMPUTED_VALUE"""),"Active")</f>
        <v>Active</v>
      </c>
      <c r="E308" s="160">
        <f>IFERROR(__xludf.DUMMYFUNCTION("""COMPUTED_VALUE"""),43818.0)</f>
        <v>43818</v>
      </c>
      <c r="F308" s="161"/>
      <c r="G308" s="162">
        <f>IFERROR(__xludf.DUMMYFUNCTION("""COMPUTED_VALUE"""),69.86666666666666)</f>
        <v>69.86666667</v>
      </c>
      <c r="H308" s="163">
        <f>IFERROR(__xludf.DUMMYFUNCTION("""COMPUTED_VALUE"""),42089.0)</f>
        <v>42089</v>
      </c>
      <c r="I308" s="162">
        <f>IFERROR(__xludf.DUMMYFUNCTION("""COMPUTED_VALUE"""),4.730555555555555)</f>
        <v>4.730555556</v>
      </c>
      <c r="J308" s="164">
        <f>IFERROR(__xludf.DUMMYFUNCTION("""COMPUTED_VALUE"""),86.0)</f>
        <v>86</v>
      </c>
      <c r="K308" s="164">
        <f>IFERROR(__xludf.DUMMYFUNCTION("""COMPUTED_VALUE"""),35.5)</f>
        <v>35.5</v>
      </c>
      <c r="L308" s="158" t="str">
        <f>IFERROR(__xludf.DUMMYFUNCTION("""COMPUTED_VALUE"""),"RPG")</f>
        <v>RPG</v>
      </c>
      <c r="M308" s="158"/>
      <c r="N308" s="158" t="str">
        <f>IFERROR(__xludf.DUMMYFUNCTION("""COMPUTED_VALUE"""),"Upgraded from complete to definitive edition on 12/13/23")</f>
        <v>Upgraded from complete to definitive edition on 12/13/23</v>
      </c>
      <c r="O308" s="158" t="str">
        <f>IFERROR(__xludf.DUMMYFUNCTION("""COMPUTED_VALUE"""),"M")</f>
        <v>M</v>
      </c>
      <c r="P308" s="158" t="str">
        <f>IFERROR(__xludf.DUMMYFUNCTION("""COMPUTED_VALUE"""),"Blood, Sexual Themes, Strong Language, Violence")</f>
        <v>Blood, Sexual Themes, Strong Language, Violence</v>
      </c>
      <c r="Q308" s="158"/>
      <c r="R308" s="159" t="str">
        <f>IFERROR(__xludf.DUMMYFUNCTION("""COMPUTED_VALUE"""),"Active")</f>
        <v>Active</v>
      </c>
      <c r="S308" s="160">
        <f>IFERROR(__xludf.DUMMYFUNCTION("""COMPUTED_VALUE"""),45547.0)</f>
        <v>45547</v>
      </c>
      <c r="T308" s="162">
        <f>IFERROR(__xludf.DUMMYFUNCTION("""COMPUTED_VALUE"""),56.766666666666666)</f>
        <v>56.76666667</v>
      </c>
    </row>
    <row r="309">
      <c r="A309" s="158" t="str">
        <f>IFERROR(__xludf.DUMMYFUNCTION("""COMPUTED_VALUE"""),"Overcooked! 2")</f>
        <v>Overcooked! 2</v>
      </c>
      <c r="B309" s="158" t="str">
        <f>IFERROR(__xludf.DUMMYFUNCTION("""COMPUTED_VALUE"""),"Xbox / PC")</f>
        <v>Xbox / PC</v>
      </c>
      <c r="C309" s="158" t="str">
        <f>IFERROR(__xludf.DUMMYFUNCTION("""COMPUTED_VALUE"""),"Touch Controls")</f>
        <v>Touch Controls</v>
      </c>
      <c r="D309" s="159" t="str">
        <f>IFERROR(__xludf.DUMMYFUNCTION("""COMPUTED_VALUE"""),"Active")</f>
        <v>Active</v>
      </c>
      <c r="E309" s="160">
        <f>IFERROR(__xludf.DUMMYFUNCTION("""COMPUTED_VALUE"""),43811.0)</f>
        <v>43811</v>
      </c>
      <c r="F309" s="161"/>
      <c r="G309" s="162">
        <f>IFERROR(__xludf.DUMMYFUNCTION("""COMPUTED_VALUE"""),70.1)</f>
        <v>70.1</v>
      </c>
      <c r="H309" s="163">
        <f>IFERROR(__xludf.DUMMYFUNCTION("""COMPUTED_VALUE"""),43319.0)</f>
        <v>43319</v>
      </c>
      <c r="I309" s="162">
        <f>IFERROR(__xludf.DUMMYFUNCTION("""COMPUTED_VALUE"""),1.3472222222222223)</f>
        <v>1.347222222</v>
      </c>
      <c r="J309" s="164">
        <f>IFERROR(__xludf.DUMMYFUNCTION("""COMPUTED_VALUE"""),83.0)</f>
        <v>83</v>
      </c>
      <c r="K309" s="164">
        <f>IFERROR(__xludf.DUMMYFUNCTION("""COMPUTED_VALUE"""),6.5)</f>
        <v>6.5</v>
      </c>
      <c r="L309" s="158" t="str">
        <f>IFERROR(__xludf.DUMMYFUNCTION("""COMPUTED_VALUE"""),"Simulation")</f>
        <v>Simulation</v>
      </c>
      <c r="M309" s="158" t="str">
        <f>IFERROR(__xludf.DUMMYFUNCTION("""COMPUTED_VALUE"""),"FPS Boost")</f>
        <v>FPS Boost</v>
      </c>
      <c r="N309" s="158" t="str">
        <f>IFERROR(__xludf.DUMMYFUNCTION("""COMPUTED_VALUE"""),"Game Pass Essential launch title (9/14/23)")</f>
        <v>Game Pass Essential launch title (9/14/23)</v>
      </c>
      <c r="O309" s="158" t="str">
        <f>IFERROR(__xludf.DUMMYFUNCTION("""COMPUTED_VALUE"""),"E")</f>
        <v>E</v>
      </c>
      <c r="P309" s="158"/>
      <c r="Q309" s="158"/>
      <c r="R309" s="159" t="str">
        <f>IFERROR(__xludf.DUMMYFUNCTION("""COMPUTED_VALUE"""),"Active")</f>
        <v>Active</v>
      </c>
      <c r="S309" s="160">
        <f>IFERROR(__xludf.DUMMYFUNCTION("""COMPUTED_VALUE"""),45547.0)</f>
        <v>45547</v>
      </c>
      <c r="T309" s="162">
        <f>IFERROR(__xludf.DUMMYFUNCTION("""COMPUTED_VALUE"""),57.0)</f>
        <v>57</v>
      </c>
    </row>
    <row r="310">
      <c r="A310" s="158" t="str">
        <f>IFERROR(__xludf.DUMMYFUNCTION("""COMPUTED_VALUE"""),"Halo: Reach")</f>
        <v>Halo: Reach</v>
      </c>
      <c r="B310" s="158" t="str">
        <f>IFERROR(__xludf.DUMMYFUNCTION("""COMPUTED_VALUE"""),"Xbox / PC")</f>
        <v>Xbox / PC</v>
      </c>
      <c r="C310" s="158"/>
      <c r="D310" s="159" t="str">
        <f>IFERROR(__xludf.DUMMYFUNCTION("""COMPUTED_VALUE"""),"Active")</f>
        <v>Active</v>
      </c>
      <c r="E310" s="160">
        <f>IFERROR(__xludf.DUMMYFUNCTION("""COMPUTED_VALUE"""),43802.0)</f>
        <v>43802</v>
      </c>
      <c r="F310" s="161"/>
      <c r="G310" s="162">
        <f>IFERROR(__xludf.DUMMYFUNCTION("""COMPUTED_VALUE"""),70.39999999999999)</f>
        <v>70.4</v>
      </c>
      <c r="H310" s="163">
        <f>IFERROR(__xludf.DUMMYFUNCTION("""COMPUTED_VALUE"""),40435.0)</f>
        <v>40435</v>
      </c>
      <c r="I310" s="162">
        <f>IFERROR(__xludf.DUMMYFUNCTION("""COMPUTED_VALUE"""),9.219444444444445)</f>
        <v>9.219444444</v>
      </c>
      <c r="J310" s="164">
        <f>IFERROR(__xludf.DUMMYFUNCTION("""COMPUTED_VALUE"""),91.0)</f>
        <v>91</v>
      </c>
      <c r="K310" s="164">
        <f>IFERROR(__xludf.DUMMYFUNCTION("""COMPUTED_VALUE"""),8.0)</f>
        <v>8</v>
      </c>
      <c r="L310" s="158" t="str">
        <f>IFERROR(__xludf.DUMMYFUNCTION("""COMPUTED_VALUE"""),"Action / Shooter / First-Person Shooter")</f>
        <v>Action / Shooter / First-Person Shooter</v>
      </c>
      <c r="M310" s="158"/>
      <c r="N310" s="158"/>
      <c r="O310" s="158" t="str">
        <f>IFERROR(__xludf.DUMMYFUNCTION("""COMPUTED_VALUE"""),"M")</f>
        <v>M</v>
      </c>
      <c r="P310" s="158" t="str">
        <f>IFERROR(__xludf.DUMMYFUNCTION("""COMPUTED_VALUE"""),"Blood and Gore, Violence, Language")</f>
        <v>Blood and Gore, Violence, Language</v>
      </c>
      <c r="Q310" s="158" t="str">
        <f>IFERROR(__xludf.DUMMYFUNCTION("""COMPUTED_VALUE"""),"Xbox 360")</f>
        <v>Xbox 360</v>
      </c>
      <c r="R310" s="159" t="str">
        <f>IFERROR(__xludf.DUMMYFUNCTION("""COMPUTED_VALUE"""),"Active")</f>
        <v>Active</v>
      </c>
      <c r="S310" s="160">
        <f>IFERROR(__xludf.DUMMYFUNCTION("""COMPUTED_VALUE"""),45547.0)</f>
        <v>45547</v>
      </c>
      <c r="T310" s="162">
        <f>IFERROR(__xludf.DUMMYFUNCTION("""COMPUTED_VALUE"""),57.300000000000004)</f>
        <v>57.3</v>
      </c>
    </row>
    <row r="311">
      <c r="A311" s="158" t="str">
        <f>IFERROR(__xludf.DUMMYFUNCTION("""COMPUTED_VALUE"""),"Age of Empires II: Definitive Edition")</f>
        <v>Age of Empires II: Definitive Edition</v>
      </c>
      <c r="B311" s="158" t="str">
        <f>IFERROR(__xludf.DUMMYFUNCTION("""COMPUTED_VALUE"""),"Xbox / PC")</f>
        <v>Xbox / PC</v>
      </c>
      <c r="C311" s="158"/>
      <c r="D311" s="159" t="str">
        <f>IFERROR(__xludf.DUMMYFUNCTION("""COMPUTED_VALUE"""),"Active")</f>
        <v>Active</v>
      </c>
      <c r="E311" s="160">
        <f>IFERROR(__xludf.DUMMYFUNCTION("""COMPUTED_VALUE"""),43783.0)</f>
        <v>43783</v>
      </c>
      <c r="F311" s="161"/>
      <c r="G311" s="162">
        <f>IFERROR(__xludf.DUMMYFUNCTION("""COMPUTED_VALUE"""),71.03333333333333)</f>
        <v>71.03333333</v>
      </c>
      <c r="H311" s="163">
        <f>IFERROR(__xludf.DUMMYFUNCTION("""COMPUTED_VALUE"""),43783.0)</f>
        <v>43783</v>
      </c>
      <c r="I311" s="162">
        <f>IFERROR(__xludf.DUMMYFUNCTION("""COMPUTED_VALUE"""),0.0)</f>
        <v>0</v>
      </c>
      <c r="J311" s="164">
        <f>IFERROR(__xludf.DUMMYFUNCTION("""COMPUTED_VALUE"""),84.0)</f>
        <v>84</v>
      </c>
      <c r="K311" s="164">
        <f>IFERROR(__xludf.DUMMYFUNCTION("""COMPUTED_VALUE"""),35.5)</f>
        <v>35.5</v>
      </c>
      <c r="L311" s="158" t="str">
        <f>IFERROR(__xludf.DUMMYFUNCTION("""COMPUTED_VALUE"""),"Strategy")</f>
        <v>Strategy</v>
      </c>
      <c r="M311" s="158"/>
      <c r="N311" s="158" t="str">
        <f>IFERROR(__xludf.DUMMYFUNCTION("""COMPUTED_VALUE"""),"Joined console 1/31/23")</f>
        <v>Joined console 1/31/23</v>
      </c>
      <c r="O311" s="158" t="str">
        <f>IFERROR(__xludf.DUMMYFUNCTION("""COMPUTED_VALUE"""),"T")</f>
        <v>T</v>
      </c>
      <c r="P311" s="158" t="str">
        <f>IFERROR(__xludf.DUMMYFUNCTION("""COMPUTED_VALUE"""),"Mild Blood, Mild Language, Violence")</f>
        <v>Mild Blood, Mild Language, Violence</v>
      </c>
      <c r="Q311" s="158"/>
      <c r="R311" s="159" t="str">
        <f>IFERROR(__xludf.DUMMYFUNCTION("""COMPUTED_VALUE"""),"Active")</f>
        <v>Active</v>
      </c>
      <c r="S311" s="160">
        <f>IFERROR(__xludf.DUMMYFUNCTION("""COMPUTED_VALUE"""),45547.0)</f>
        <v>45547</v>
      </c>
      <c r="T311" s="162">
        <f>IFERROR(__xludf.DUMMYFUNCTION("""COMPUTED_VALUE"""),57.93333333333333)</f>
        <v>57.93333333</v>
      </c>
    </row>
    <row r="312">
      <c r="A312" s="158" t="str">
        <f>IFERROR(__xludf.DUMMYFUNCTION("""COMPUTED_VALUE"""),"RAGE 2")</f>
        <v>RAGE 2</v>
      </c>
      <c r="B312" s="158" t="str">
        <f>IFERROR(__xludf.DUMMYFUNCTION("""COMPUTED_VALUE"""),"Xbox / PC")</f>
        <v>Xbox / PC</v>
      </c>
      <c r="C312" s="158" t="str">
        <f>IFERROR(__xludf.DUMMYFUNCTION("""COMPUTED_VALUE"""),"Yes")</f>
        <v>Yes</v>
      </c>
      <c r="D312" s="159" t="str">
        <f>IFERROR(__xludf.DUMMYFUNCTION("""COMPUTED_VALUE"""),"Active")</f>
        <v>Active</v>
      </c>
      <c r="E312" s="160">
        <f>IFERROR(__xludf.DUMMYFUNCTION("""COMPUTED_VALUE"""),43783.0)</f>
        <v>43783</v>
      </c>
      <c r="F312" s="161"/>
      <c r="G312" s="162">
        <f>IFERROR(__xludf.DUMMYFUNCTION("""COMPUTED_VALUE"""),71.03333333333333)</f>
        <v>71.03333333</v>
      </c>
      <c r="H312" s="163">
        <f>IFERROR(__xludf.DUMMYFUNCTION("""COMPUTED_VALUE"""),43599.0)</f>
        <v>43599</v>
      </c>
      <c r="I312" s="162">
        <f>IFERROR(__xludf.DUMMYFUNCTION("""COMPUTED_VALUE"""),0.5)</f>
        <v>0.5</v>
      </c>
      <c r="J312" s="164">
        <f>IFERROR(__xludf.DUMMYFUNCTION("""COMPUTED_VALUE"""),72.0)</f>
        <v>72</v>
      </c>
      <c r="K312" s="164">
        <f>IFERROR(__xludf.DUMMYFUNCTION("""COMPUTED_VALUE"""),10.0)</f>
        <v>10</v>
      </c>
      <c r="L312" s="158" t="str">
        <f>IFERROR(__xludf.DUMMYFUNCTION("""COMPUTED_VALUE"""),"First-Person Shooter")</f>
        <v>First-Person Shooter</v>
      </c>
      <c r="M312" s="158"/>
      <c r="N312" s="158"/>
      <c r="O312" s="158" t="str">
        <f>IFERROR(__xludf.DUMMYFUNCTION("""COMPUTED_VALUE"""),"M")</f>
        <v>M</v>
      </c>
      <c r="P312" s="158" t="str">
        <f>IFERROR(__xludf.DUMMYFUNCTION("""COMPUTED_VALUE"""),"Blood and Gore, Suggestive Themes, Strong Language, Intense Violence")</f>
        <v>Blood and Gore, Suggestive Themes, Strong Language, Intense Violence</v>
      </c>
      <c r="Q312" s="158"/>
      <c r="R312" s="159" t="str">
        <f>IFERROR(__xludf.DUMMYFUNCTION("""COMPUTED_VALUE"""),"Active")</f>
        <v>Active</v>
      </c>
      <c r="S312" s="160">
        <f>IFERROR(__xludf.DUMMYFUNCTION("""COMPUTED_VALUE"""),45547.0)</f>
        <v>45547</v>
      </c>
      <c r="T312" s="162">
        <f>IFERROR(__xludf.DUMMYFUNCTION("""COMPUTED_VALUE"""),57.93333333333333)</f>
        <v>57.93333333</v>
      </c>
    </row>
    <row r="313">
      <c r="A313" s="158" t="str">
        <f>IFERROR(__xludf.DUMMYFUNCTION("""COMPUTED_VALUE"""),"The Outer Worlds")</f>
        <v>The Outer Worlds</v>
      </c>
      <c r="B313" s="158" t="str">
        <f>IFERROR(__xludf.DUMMYFUNCTION("""COMPUTED_VALUE"""),"Xbox / PC")</f>
        <v>Xbox / PC</v>
      </c>
      <c r="C313" s="158" t="str">
        <f>IFERROR(__xludf.DUMMYFUNCTION("""COMPUTED_VALUE"""),"Yes")</f>
        <v>Yes</v>
      </c>
      <c r="D313" s="159" t="str">
        <f>IFERROR(__xludf.DUMMYFUNCTION("""COMPUTED_VALUE"""),"Active")</f>
        <v>Active</v>
      </c>
      <c r="E313" s="160">
        <f>IFERROR(__xludf.DUMMYFUNCTION("""COMPUTED_VALUE"""),43763.0)</f>
        <v>43763</v>
      </c>
      <c r="F313" s="161"/>
      <c r="G313" s="162">
        <f>IFERROR(__xludf.DUMMYFUNCTION("""COMPUTED_VALUE"""),71.66666666666667)</f>
        <v>71.66666667</v>
      </c>
      <c r="H313" s="163">
        <f>IFERROR(__xludf.DUMMYFUNCTION("""COMPUTED_VALUE"""),43763.0)</f>
        <v>43763</v>
      </c>
      <c r="I313" s="162">
        <f>IFERROR(__xludf.DUMMYFUNCTION("""COMPUTED_VALUE"""),0.0)</f>
        <v>0</v>
      </c>
      <c r="J313" s="164">
        <f>IFERROR(__xludf.DUMMYFUNCTION("""COMPUTED_VALUE"""),85.0)</f>
        <v>85</v>
      </c>
      <c r="K313" s="164">
        <f>IFERROR(__xludf.DUMMYFUNCTION("""COMPUTED_VALUE"""),12.0)</f>
        <v>12</v>
      </c>
      <c r="L313" s="158" t="str">
        <f>IFERROR(__xludf.DUMMYFUNCTION("""COMPUTED_VALUE"""),"RPG / First-Person Shooter")</f>
        <v>RPG / First-Person Shooter</v>
      </c>
      <c r="M313" s="158"/>
      <c r="N313" s="158"/>
      <c r="O313" s="158" t="str">
        <f>IFERROR(__xludf.DUMMYFUNCTION("""COMPUTED_VALUE"""),"M")</f>
        <v>M</v>
      </c>
      <c r="P313" s="158" t="str">
        <f>IFERROR(__xludf.DUMMYFUNCTION("""COMPUTED_VALUE"""),"Blood and Gore, Strong Language, Intense Violence")</f>
        <v>Blood and Gore, Strong Language, Intense Violence</v>
      </c>
      <c r="Q313" s="158"/>
      <c r="R313" s="159" t="str">
        <f>IFERROR(__xludf.DUMMYFUNCTION("""COMPUTED_VALUE"""),"Active")</f>
        <v>Active</v>
      </c>
      <c r="S313" s="160">
        <f>IFERROR(__xludf.DUMMYFUNCTION("""COMPUTED_VALUE"""),45547.0)</f>
        <v>45547</v>
      </c>
      <c r="T313" s="162">
        <f>IFERROR(__xludf.DUMMYFUNCTION("""COMPUTED_VALUE"""),58.56666666666666)</f>
        <v>58.56666667</v>
      </c>
    </row>
    <row r="314">
      <c r="A314" s="158" t="str">
        <f>IFERROR(__xludf.DUMMYFUNCTION("""COMPUTED_VALUE"""),"Fallout: New Vegas - Ultimate Edition")</f>
        <v>Fallout: New Vegas - Ultimate Edition</v>
      </c>
      <c r="B314" s="158" t="str">
        <f>IFERROR(__xludf.DUMMYFUNCTION("""COMPUTED_VALUE"""),"Xbox / PC")</f>
        <v>Xbox / PC</v>
      </c>
      <c r="C314" s="158" t="str">
        <f>IFERROR(__xludf.DUMMYFUNCTION("""COMPUTED_VALUE"""),"Yes")</f>
        <v>Yes</v>
      </c>
      <c r="D314" s="159" t="str">
        <f>IFERROR(__xludf.DUMMYFUNCTION("""COMPUTED_VALUE"""),"Active")</f>
        <v>Active</v>
      </c>
      <c r="E314" s="160">
        <f>IFERROR(__xludf.DUMMYFUNCTION("""COMPUTED_VALUE"""),43755.0)</f>
        <v>43755</v>
      </c>
      <c r="F314" s="161"/>
      <c r="G314" s="162">
        <f>IFERROR(__xludf.DUMMYFUNCTION("""COMPUTED_VALUE"""),71.93333333333334)</f>
        <v>71.93333333</v>
      </c>
      <c r="H314" s="163">
        <f>IFERROR(__xludf.DUMMYFUNCTION("""COMPUTED_VALUE"""),40470.0)</f>
        <v>40470</v>
      </c>
      <c r="I314" s="162">
        <f>IFERROR(__xludf.DUMMYFUNCTION("""COMPUTED_VALUE"""),8.994444444444444)</f>
        <v>8.994444444</v>
      </c>
      <c r="J314" s="164">
        <f>IFERROR(__xludf.DUMMYFUNCTION("""COMPUTED_VALUE"""),84.0)</f>
        <v>84</v>
      </c>
      <c r="K314" s="164">
        <f>IFERROR(__xludf.DUMMYFUNCTION("""COMPUTED_VALUE"""),27.5)</f>
        <v>27.5</v>
      </c>
      <c r="L314" s="158" t="str">
        <f>IFERROR(__xludf.DUMMYFUNCTION("""COMPUTED_VALUE"""),"RPG / First-Person Shooter")</f>
        <v>RPG / First-Person Shooter</v>
      </c>
      <c r="M314" s="158" t="str">
        <f>IFERROR(__xludf.DUMMYFUNCTION("""COMPUTED_VALUE"""),"FPS Boost")</f>
        <v>FPS Boost</v>
      </c>
      <c r="N314" s="158" t="str">
        <f>IFERROR(__xludf.DUMMYFUNCTION("""COMPUTED_VALUE"""),"Official PC Mod Support, enhanced edition only on PC")</f>
        <v>Official PC Mod Support, enhanced edition only on PC</v>
      </c>
      <c r="O314" s="158" t="str">
        <f>IFERROR(__xludf.DUMMYFUNCTION("""COMPUTED_VALUE"""),"M")</f>
        <v>M</v>
      </c>
      <c r="P314" s="158" t="str">
        <f>IFERROR(__xludf.DUMMYFUNCTION("""COMPUTED_VALUE"""),"Blood and Gore, Intense Violence, Strong Language, Use of Drugs, Sexual Content")</f>
        <v>Blood and Gore, Intense Violence, Strong Language, Use of Drugs, Sexual Content</v>
      </c>
      <c r="Q314" s="158" t="str">
        <f>IFERROR(__xludf.DUMMYFUNCTION("""COMPUTED_VALUE"""),"Xbox 360")</f>
        <v>Xbox 360</v>
      </c>
      <c r="R314" s="159" t="str">
        <f>IFERROR(__xludf.DUMMYFUNCTION("""COMPUTED_VALUE"""),"Active")</f>
        <v>Active</v>
      </c>
      <c r="S314" s="160">
        <f>IFERROR(__xludf.DUMMYFUNCTION("""COMPUTED_VALUE"""),45547.0)</f>
        <v>45547</v>
      </c>
      <c r="T314" s="162">
        <f>IFERROR(__xludf.DUMMYFUNCTION("""COMPUTED_VALUE"""),58.83333333333333)</f>
        <v>58.83333333</v>
      </c>
    </row>
    <row r="315">
      <c r="A315" s="158" t="str">
        <f>IFERROR(__xludf.DUMMYFUNCTION("""COMPUTED_VALUE"""),"Dishonored 2")</f>
        <v>Dishonored 2</v>
      </c>
      <c r="B315" s="158" t="str">
        <f>IFERROR(__xludf.DUMMYFUNCTION("""COMPUTED_VALUE"""),"Xbox / PC")</f>
        <v>Xbox / PC</v>
      </c>
      <c r="C315" s="158" t="str">
        <f>IFERROR(__xludf.DUMMYFUNCTION("""COMPUTED_VALUE"""),"Yes")</f>
        <v>Yes</v>
      </c>
      <c r="D315" s="159" t="str">
        <f>IFERROR(__xludf.DUMMYFUNCTION("""COMPUTED_VALUE"""),"Active")</f>
        <v>Active</v>
      </c>
      <c r="E315" s="160">
        <f>IFERROR(__xludf.DUMMYFUNCTION("""COMPUTED_VALUE"""),43741.0)</f>
        <v>43741</v>
      </c>
      <c r="F315" s="161"/>
      <c r="G315" s="162">
        <f>IFERROR(__xludf.DUMMYFUNCTION("""COMPUTED_VALUE"""),72.4)</f>
        <v>72.4</v>
      </c>
      <c r="H315" s="163">
        <f>IFERROR(__xludf.DUMMYFUNCTION("""COMPUTED_VALUE"""),42685.0)</f>
        <v>42685</v>
      </c>
      <c r="I315" s="162">
        <f>IFERROR(__xludf.DUMMYFUNCTION("""COMPUTED_VALUE"""),2.8944444444444444)</f>
        <v>2.894444444</v>
      </c>
      <c r="J315" s="164">
        <f>IFERROR(__xludf.DUMMYFUNCTION("""COMPUTED_VALUE"""),88.0)</f>
        <v>88</v>
      </c>
      <c r="K315" s="164">
        <f>IFERROR(__xludf.DUMMYFUNCTION("""COMPUTED_VALUE"""),12.5)</f>
        <v>12.5</v>
      </c>
      <c r="L315" s="158" t="str">
        <f>IFERROR(__xludf.DUMMYFUNCTION("""COMPUTED_VALUE"""),"Action-Adventure")</f>
        <v>Action-Adventure</v>
      </c>
      <c r="M315" s="158"/>
      <c r="N315" s="158" t="str">
        <f>IFERROR(__xludf.DUMMYFUNCTION("""COMPUTED_VALUE"""),"Game Pass Essential launch title (9/14/23)")</f>
        <v>Game Pass Essential launch title (9/14/23)</v>
      </c>
      <c r="O315" s="158" t="str">
        <f>IFERROR(__xludf.DUMMYFUNCTION("""COMPUTED_VALUE"""),"M")</f>
        <v>M</v>
      </c>
      <c r="P315" s="158" t="str">
        <f>IFERROR(__xludf.DUMMYFUNCTION("""COMPUTED_VALUE"""),"Blood and Gore, Suggestive Themes, Strong Language, Intense Violence")</f>
        <v>Blood and Gore, Suggestive Themes, Strong Language, Intense Violence</v>
      </c>
      <c r="Q315" s="158"/>
      <c r="R315" s="159" t="str">
        <f>IFERROR(__xludf.DUMMYFUNCTION("""COMPUTED_VALUE"""),"Active")</f>
        <v>Active</v>
      </c>
      <c r="S315" s="160">
        <f>IFERROR(__xludf.DUMMYFUNCTION("""COMPUTED_VALUE"""),45547.0)</f>
        <v>45547</v>
      </c>
      <c r="T315" s="162">
        <f>IFERROR(__xludf.DUMMYFUNCTION("""COMPUTED_VALUE"""),59.3)</f>
        <v>59.3</v>
      </c>
    </row>
    <row r="316">
      <c r="A316" s="158" t="str">
        <f>IFERROR(__xludf.DUMMYFUNCTION("""COMPUTED_VALUE"""),"Gears 5: Game of the Year Edition")</f>
        <v>Gears 5: Game of the Year Edition</v>
      </c>
      <c r="B316" s="158" t="str">
        <f>IFERROR(__xludf.DUMMYFUNCTION("""COMPUTED_VALUE"""),"Xbox / PC")</f>
        <v>Xbox / PC</v>
      </c>
      <c r="C316" s="158" t="str">
        <f>IFERROR(__xludf.DUMMYFUNCTION("""COMPUTED_VALUE"""),"Touch Controls")</f>
        <v>Touch Controls</v>
      </c>
      <c r="D316" s="159" t="str">
        <f>IFERROR(__xludf.DUMMYFUNCTION("""COMPUTED_VALUE"""),"Active")</f>
        <v>Active</v>
      </c>
      <c r="E316" s="160">
        <f>IFERROR(__xludf.DUMMYFUNCTION("""COMPUTED_VALUE"""),43718.0)</f>
        <v>43718</v>
      </c>
      <c r="F316" s="161"/>
      <c r="G316" s="162">
        <f>IFERROR(__xludf.DUMMYFUNCTION("""COMPUTED_VALUE"""),73.16666666666667)</f>
        <v>73.16666667</v>
      </c>
      <c r="H316" s="163">
        <f>IFERROR(__xludf.DUMMYFUNCTION("""COMPUTED_VALUE"""),43718.0)</f>
        <v>43718</v>
      </c>
      <c r="I316" s="162">
        <f>IFERROR(__xludf.DUMMYFUNCTION("""COMPUTED_VALUE"""),0.0)</f>
        <v>0</v>
      </c>
      <c r="J316" s="164">
        <f>IFERROR(__xludf.DUMMYFUNCTION("""COMPUTED_VALUE"""),83.0)</f>
        <v>83</v>
      </c>
      <c r="K316" s="164">
        <f>IFERROR(__xludf.DUMMYFUNCTION("""COMPUTED_VALUE"""),10.5)</f>
        <v>10.5</v>
      </c>
      <c r="L316" s="158" t="str">
        <f>IFERROR(__xludf.DUMMYFUNCTION("""COMPUTED_VALUE"""),"Action")</f>
        <v>Action</v>
      </c>
      <c r="M316" s="158" t="str">
        <f>IFERROR(__xludf.DUMMYFUNCTION("""COMPUTED_VALUE"""),"Optimized")</f>
        <v>Optimized</v>
      </c>
      <c r="N316" s="158" t="str">
        <f>IFERROR(__xludf.DUMMYFUNCTION("""COMPUTED_VALUE"""),"Game Pass Essential launch title (9/14/23)")</f>
        <v>Game Pass Essential launch title (9/14/23)</v>
      </c>
      <c r="O316" s="158" t="str">
        <f>IFERROR(__xludf.DUMMYFUNCTION("""COMPUTED_VALUE"""),"M")</f>
        <v>M</v>
      </c>
      <c r="P316" s="158" t="str">
        <f>IFERROR(__xludf.DUMMYFUNCTION("""COMPUTED_VALUE"""),"Blood and Gore, Strong Language, Intense Violence")</f>
        <v>Blood and Gore, Strong Language, Intense Violence</v>
      </c>
      <c r="Q316" s="158"/>
      <c r="R316" s="159" t="str">
        <f>IFERROR(__xludf.DUMMYFUNCTION("""COMPUTED_VALUE"""),"Active")</f>
        <v>Active</v>
      </c>
      <c r="S316" s="160">
        <f>IFERROR(__xludf.DUMMYFUNCTION("""COMPUTED_VALUE"""),45547.0)</f>
        <v>45547</v>
      </c>
      <c r="T316" s="162">
        <f>IFERROR(__xludf.DUMMYFUNCTION("""COMPUTED_VALUE"""),60.06666666666666)</f>
        <v>60.06666667</v>
      </c>
    </row>
    <row r="317">
      <c r="A317" s="158" t="str">
        <f>IFERROR(__xludf.DUMMYFUNCTION("""COMPUTED_VALUE"""),"Dead Cells")</f>
        <v>Dead Cells</v>
      </c>
      <c r="B317" s="158" t="str">
        <f>IFERROR(__xludf.DUMMYFUNCTION("""COMPUTED_VALUE"""),"Xbox / PC")</f>
        <v>Xbox / PC</v>
      </c>
      <c r="C317" s="158" t="str">
        <f>IFERROR(__xludf.DUMMYFUNCTION("""COMPUTED_VALUE"""),"Touch Controls")</f>
        <v>Touch Controls</v>
      </c>
      <c r="D317" s="159" t="str">
        <f>IFERROR(__xludf.DUMMYFUNCTION("""COMPUTED_VALUE"""),"Active")</f>
        <v>Active</v>
      </c>
      <c r="E317" s="160">
        <f>IFERROR(__xludf.DUMMYFUNCTION("""COMPUTED_VALUE"""),43713.0)</f>
        <v>43713</v>
      </c>
      <c r="F317" s="161"/>
      <c r="G317" s="162">
        <f>IFERROR(__xludf.DUMMYFUNCTION("""COMPUTED_VALUE"""),73.33333333333333)</f>
        <v>73.33333333</v>
      </c>
      <c r="H317" s="163">
        <f>IFERROR(__xludf.DUMMYFUNCTION("""COMPUTED_VALUE"""),42865.0)</f>
        <v>42865</v>
      </c>
      <c r="I317" s="162">
        <f>IFERROR(__xludf.DUMMYFUNCTION("""COMPUTED_VALUE"""),2.3194444444444446)</f>
        <v>2.319444444</v>
      </c>
      <c r="J317" s="164">
        <f>IFERROR(__xludf.DUMMYFUNCTION("""COMPUTED_VALUE"""),91.0)</f>
        <v>91</v>
      </c>
      <c r="K317" s="164">
        <f>IFERROR(__xludf.DUMMYFUNCTION("""COMPUTED_VALUE"""),13.0)</f>
        <v>13</v>
      </c>
      <c r="L317" s="158" t="str">
        <f>IFERROR(__xludf.DUMMYFUNCTION("""COMPUTED_VALUE"""),"Platformer / Action-Adventure")</f>
        <v>Platformer / Action-Adventure</v>
      </c>
      <c r="M317" s="158"/>
      <c r="N317" s="158" t="str">
        <f>IFERROR(__xludf.DUMMYFUNCTION("""COMPUTED_VALUE"""),"Game Pass Essential launch title (9/14/23), Left EA Play 10/23/21")</f>
        <v>Game Pass Essential launch title (9/14/23), Left EA Play 10/23/21</v>
      </c>
      <c r="O317" s="158" t="str">
        <f>IFERROR(__xludf.DUMMYFUNCTION("""COMPUTED_VALUE"""),"T")</f>
        <v>T</v>
      </c>
      <c r="P317" s="158" t="str">
        <f>IFERROR(__xludf.DUMMYFUNCTION("""COMPUTED_VALUE"""),"Blood and Gore, Language, Violence")</f>
        <v>Blood and Gore, Language, Violence</v>
      </c>
      <c r="Q317" s="158"/>
      <c r="R317" s="159" t="str">
        <f>IFERROR(__xludf.DUMMYFUNCTION("""COMPUTED_VALUE"""),"Active")</f>
        <v>Active</v>
      </c>
      <c r="S317" s="160">
        <f>IFERROR(__xludf.DUMMYFUNCTION("""COMPUTED_VALUE"""),45547.0)</f>
        <v>45547</v>
      </c>
      <c r="T317" s="162">
        <f>IFERROR(__xludf.DUMMYFUNCTION("""COMPUTED_VALUE"""),60.233333333333334)</f>
        <v>60.23333333</v>
      </c>
    </row>
    <row r="318">
      <c r="A318" s="158" t="str">
        <f>IFERROR(__xludf.DUMMYFUNCTION("""COMPUTED_VALUE"""),"The Bard's Tale IV: Director's Cut")</f>
        <v>The Bard's Tale IV: Director's Cut</v>
      </c>
      <c r="B318" s="158" t="str">
        <f>IFERROR(__xludf.DUMMYFUNCTION("""COMPUTED_VALUE"""),"Xbox / PC")</f>
        <v>Xbox / PC</v>
      </c>
      <c r="C318" s="158" t="str">
        <f>IFERROR(__xludf.DUMMYFUNCTION("""COMPUTED_VALUE"""),"Touch Controls")</f>
        <v>Touch Controls</v>
      </c>
      <c r="D318" s="159" t="str">
        <f>IFERROR(__xludf.DUMMYFUNCTION("""COMPUTED_VALUE"""),"Active")</f>
        <v>Active</v>
      </c>
      <c r="E318" s="160">
        <f>IFERROR(__xludf.DUMMYFUNCTION("""COMPUTED_VALUE"""),43704.0)</f>
        <v>43704</v>
      </c>
      <c r="F318" s="161"/>
      <c r="G318" s="162">
        <f>IFERROR(__xludf.DUMMYFUNCTION("""COMPUTED_VALUE"""),73.60000000000001)</f>
        <v>73.6</v>
      </c>
      <c r="H318" s="163">
        <f>IFERROR(__xludf.DUMMYFUNCTION("""COMPUTED_VALUE"""),43361.0)</f>
        <v>43361</v>
      </c>
      <c r="I318" s="162">
        <f>IFERROR(__xludf.DUMMYFUNCTION("""COMPUTED_VALUE"""),0.9416666666666667)</f>
        <v>0.9416666667</v>
      </c>
      <c r="J318" s="164">
        <f>IFERROR(__xludf.DUMMYFUNCTION("""COMPUTED_VALUE"""),70.0)</f>
        <v>70</v>
      </c>
      <c r="K318" s="164">
        <f>IFERROR(__xludf.DUMMYFUNCTION("""COMPUTED_VALUE"""),59.5)</f>
        <v>59.5</v>
      </c>
      <c r="L318" s="158" t="str">
        <f>IFERROR(__xludf.DUMMYFUNCTION("""COMPUTED_VALUE"""),"RPG")</f>
        <v>RPG</v>
      </c>
      <c r="M318" s="158"/>
      <c r="N318" s="158"/>
      <c r="O318" s="158" t="str">
        <f>IFERROR(__xludf.DUMMYFUNCTION("""COMPUTED_VALUE"""),"T")</f>
        <v>T</v>
      </c>
      <c r="P318" s="158" t="str">
        <f>IFERROR(__xludf.DUMMYFUNCTION("""COMPUTED_VALUE"""),"Use of Alcohol, Blood, Violence, Language")</f>
        <v>Use of Alcohol, Blood, Violence, Language</v>
      </c>
      <c r="Q318" s="158"/>
      <c r="R318" s="159" t="str">
        <f>IFERROR(__xludf.DUMMYFUNCTION("""COMPUTED_VALUE"""),"Active")</f>
        <v>Active</v>
      </c>
      <c r="S318" s="160">
        <f>IFERROR(__xludf.DUMMYFUNCTION("""COMPUTED_VALUE"""),45547.0)</f>
        <v>45547</v>
      </c>
      <c r="T318" s="162">
        <f>IFERROR(__xludf.DUMMYFUNCTION("""COMPUTED_VALUE"""),60.5)</f>
        <v>60.5</v>
      </c>
    </row>
    <row r="319">
      <c r="A319" s="158" t="str">
        <f>IFERROR(__xludf.DUMMYFUNCTION("""COMPUTED_VALUE"""),"Stellaris")</f>
        <v>Stellaris</v>
      </c>
      <c r="B319" s="158" t="str">
        <f>IFERROR(__xludf.DUMMYFUNCTION("""COMPUTED_VALUE"""),"Xbox / PC")</f>
        <v>Xbox / PC</v>
      </c>
      <c r="C319" s="158" t="str">
        <f>IFERROR(__xludf.DUMMYFUNCTION("""COMPUTED_VALUE"""),"Yes")</f>
        <v>Yes</v>
      </c>
      <c r="D319" s="159" t="str">
        <f>IFERROR(__xludf.DUMMYFUNCTION("""COMPUTED_VALUE"""),"Active")</f>
        <v>Active</v>
      </c>
      <c r="E319" s="160">
        <f>IFERROR(__xludf.DUMMYFUNCTION("""COMPUTED_VALUE"""),43696.0)</f>
        <v>43696</v>
      </c>
      <c r="F319" s="161"/>
      <c r="G319" s="162">
        <f>IFERROR(__xludf.DUMMYFUNCTION("""COMPUTED_VALUE"""),73.86666666666667)</f>
        <v>73.86666667</v>
      </c>
      <c r="H319" s="163">
        <f>IFERROR(__xludf.DUMMYFUNCTION("""COMPUTED_VALUE"""),42499.0)</f>
        <v>42499</v>
      </c>
      <c r="I319" s="162">
        <f>IFERROR(__xludf.DUMMYFUNCTION("""COMPUTED_VALUE"""),3.2777777777777777)</f>
        <v>3.277777778</v>
      </c>
      <c r="J319" s="164">
        <f>IFERROR(__xludf.DUMMYFUNCTION("""COMPUTED_VALUE"""),81.0)</f>
        <v>81</v>
      </c>
      <c r="K319" s="164">
        <f>IFERROR(__xludf.DUMMYFUNCTION("""COMPUTED_VALUE"""),21.0)</f>
        <v>21</v>
      </c>
      <c r="L319" s="158" t="str">
        <f>IFERROR(__xludf.DUMMYFUNCTION("""COMPUTED_VALUE"""),"Strategy")</f>
        <v>Strategy</v>
      </c>
      <c r="M319" s="158" t="str">
        <f>IFERROR(__xludf.DUMMYFUNCTION("""COMPUTED_VALUE"""),"Optimized")</f>
        <v>Optimized</v>
      </c>
      <c r="N319" s="158"/>
      <c r="O319" s="158" t="str">
        <f>IFERROR(__xludf.DUMMYFUNCTION("""COMPUTED_VALUE"""),"E10+")</f>
        <v>E10+</v>
      </c>
      <c r="P319" s="158" t="str">
        <f>IFERROR(__xludf.DUMMYFUNCTION("""COMPUTED_VALUE"""),"Violent References, Mild Language")</f>
        <v>Violent References, Mild Language</v>
      </c>
      <c r="Q319" s="158"/>
      <c r="R319" s="159" t="str">
        <f>IFERROR(__xludf.DUMMYFUNCTION("""COMPUTED_VALUE"""),"Active")</f>
        <v>Active</v>
      </c>
      <c r="S319" s="160">
        <f>IFERROR(__xludf.DUMMYFUNCTION("""COMPUTED_VALUE"""),45547.0)</f>
        <v>45547</v>
      </c>
      <c r="T319" s="162">
        <f>IFERROR(__xludf.DUMMYFUNCTION("""COMPUTED_VALUE"""),60.766666666666666)</f>
        <v>60.76666667</v>
      </c>
    </row>
    <row r="320">
      <c r="A320" s="158" t="str">
        <f>IFERROR(__xludf.DUMMYFUNCTION("""COMPUTED_VALUE"""),"Slay the Spire")</f>
        <v>Slay the Spire</v>
      </c>
      <c r="B320" s="158" t="str">
        <f>IFERROR(__xludf.DUMMYFUNCTION("""COMPUTED_VALUE"""),"Xbox / PC")</f>
        <v>Xbox / PC</v>
      </c>
      <c r="C320" s="158" t="str">
        <f>IFERROR(__xludf.DUMMYFUNCTION("""COMPUTED_VALUE"""),"Touch Controls")</f>
        <v>Touch Controls</v>
      </c>
      <c r="D320" s="159" t="str">
        <f>IFERROR(__xludf.DUMMYFUNCTION("""COMPUTED_VALUE"""),"Active")</f>
        <v>Active</v>
      </c>
      <c r="E320" s="160">
        <f>IFERROR(__xludf.DUMMYFUNCTION("""COMPUTED_VALUE"""),43691.0)</f>
        <v>43691</v>
      </c>
      <c r="F320" s="161"/>
      <c r="G320" s="162">
        <f>IFERROR(__xludf.DUMMYFUNCTION("""COMPUTED_VALUE"""),74.03333333333333)</f>
        <v>74.03333333</v>
      </c>
      <c r="H320" s="163">
        <f>IFERROR(__xludf.DUMMYFUNCTION("""COMPUTED_VALUE"""),43054.0)</f>
        <v>43054</v>
      </c>
      <c r="I320" s="162">
        <f>IFERROR(__xludf.DUMMYFUNCTION("""COMPUTED_VALUE"""),1.7472222222222222)</f>
        <v>1.747222222</v>
      </c>
      <c r="J320" s="164">
        <f>IFERROR(__xludf.DUMMYFUNCTION("""COMPUTED_VALUE"""),88.0)</f>
        <v>88</v>
      </c>
      <c r="K320" s="164">
        <f>IFERROR(__xludf.DUMMYFUNCTION("""COMPUTED_VALUE"""),10.5)</f>
        <v>10.5</v>
      </c>
      <c r="L320" s="158" t="str">
        <f>IFERROR(__xludf.DUMMYFUNCTION("""COMPUTED_VALUE"""),"Strategy / Card Game")</f>
        <v>Strategy / Card Game</v>
      </c>
      <c r="M320" s="158"/>
      <c r="N320" s="158" t="str">
        <f>IFERROR(__xludf.DUMMYFUNCTION("""COMPUTED_VALUE"""),"Game Pass Essential launch title (9/14/23), Left EA Play 10/23/21")</f>
        <v>Game Pass Essential launch title (9/14/23), Left EA Play 10/23/21</v>
      </c>
      <c r="O320" s="158" t="str">
        <f>IFERROR(__xludf.DUMMYFUNCTION("""COMPUTED_VALUE"""),"E10+")</f>
        <v>E10+</v>
      </c>
      <c r="P320" s="158" t="str">
        <f>IFERROR(__xludf.DUMMYFUNCTION("""COMPUTED_VALUE"""),"Fantasy Violence, Mild Blood, Tobacco Reference")</f>
        <v>Fantasy Violence, Mild Blood, Tobacco Reference</v>
      </c>
      <c r="Q320" s="158"/>
      <c r="R320" s="159" t="str">
        <f>IFERROR(__xludf.DUMMYFUNCTION("""COMPUTED_VALUE"""),"Active")</f>
        <v>Active</v>
      </c>
      <c r="S320" s="160">
        <f>IFERROR(__xludf.DUMMYFUNCTION("""COMPUTED_VALUE"""),45547.0)</f>
        <v>45547</v>
      </c>
      <c r="T320" s="162">
        <f>IFERROR(__xludf.DUMMYFUNCTION("""COMPUTED_VALUE"""),60.93333333333333)</f>
        <v>60.93333333</v>
      </c>
    </row>
    <row r="321">
      <c r="A321" s="158" t="str">
        <f>IFERROR(__xludf.DUMMYFUNCTION("""COMPUTED_VALUE"""),"The Bard's Tale Trilogy")</f>
        <v>The Bard's Tale Trilogy</v>
      </c>
      <c r="B321" s="158" t="str">
        <f>IFERROR(__xludf.DUMMYFUNCTION("""COMPUTED_VALUE"""),"Xbox / PC")</f>
        <v>Xbox / PC</v>
      </c>
      <c r="C321" s="158" t="str">
        <f>IFERROR(__xludf.DUMMYFUNCTION("""COMPUTED_VALUE"""),"Touch Controls")</f>
        <v>Touch Controls</v>
      </c>
      <c r="D321" s="159" t="str">
        <f>IFERROR(__xludf.DUMMYFUNCTION("""COMPUTED_VALUE"""),"Active")</f>
        <v>Active</v>
      </c>
      <c r="E321" s="160">
        <f>IFERROR(__xludf.DUMMYFUNCTION("""COMPUTED_VALUE"""),43690.0)</f>
        <v>43690</v>
      </c>
      <c r="F321" s="161"/>
      <c r="G321" s="162">
        <f>IFERROR(__xludf.DUMMYFUNCTION("""COMPUTED_VALUE"""),74.06666666666666)</f>
        <v>74.06666667</v>
      </c>
      <c r="H321" s="163">
        <f>IFERROR(__xludf.DUMMYFUNCTION("""COMPUTED_VALUE"""),43326.0)</f>
        <v>43326</v>
      </c>
      <c r="I321" s="162">
        <f>IFERROR(__xludf.DUMMYFUNCTION("""COMPUTED_VALUE"""),0.9972222222222222)</f>
        <v>0.9972222222</v>
      </c>
      <c r="J321" s="164">
        <f>IFERROR(__xludf.DUMMYFUNCTION("""COMPUTED_VALUE"""),70.0)</f>
        <v>70</v>
      </c>
      <c r="K321" s="164">
        <f>IFERROR(__xludf.DUMMYFUNCTION("""COMPUTED_VALUE"""),24.0)</f>
        <v>24</v>
      </c>
      <c r="L321" s="158" t="str">
        <f>IFERROR(__xludf.DUMMYFUNCTION("""COMPUTED_VALUE"""),"RPG")</f>
        <v>RPG</v>
      </c>
      <c r="M321" s="158"/>
      <c r="N321" s="158"/>
      <c r="O321" s="158" t="str">
        <f>IFERROR(__xludf.DUMMYFUNCTION("""COMPUTED_VALUE"""),"T")</f>
        <v>T</v>
      </c>
      <c r="P321" s="158" t="str">
        <f>IFERROR(__xludf.DUMMYFUNCTION("""COMPUTED_VALUE"""),"Fantasy Violence, Use of Alcohol, Simulated Gambling")</f>
        <v>Fantasy Violence, Use of Alcohol, Simulated Gambling</v>
      </c>
      <c r="Q321" s="158"/>
      <c r="R321" s="159" t="str">
        <f>IFERROR(__xludf.DUMMYFUNCTION("""COMPUTED_VALUE"""),"Active")</f>
        <v>Active</v>
      </c>
      <c r="S321" s="160">
        <f>IFERROR(__xludf.DUMMYFUNCTION("""COMPUTED_VALUE"""),45547.0)</f>
        <v>45547</v>
      </c>
      <c r="T321" s="162">
        <f>IFERROR(__xludf.DUMMYFUNCTION("""COMPUTED_VALUE"""),60.96666666666667)</f>
        <v>60.96666667</v>
      </c>
    </row>
    <row r="322">
      <c r="A322" s="158" t="str">
        <f>IFERROR(__xludf.DUMMYFUNCTION("""COMPUTED_VALUE"""),"Killer Instinct 2 Classic")</f>
        <v>Killer Instinct 2 Classic</v>
      </c>
      <c r="B322" s="158" t="str">
        <f>IFERROR(__xludf.DUMMYFUNCTION("""COMPUTED_VALUE"""),"Xbox")</f>
        <v>Xbox</v>
      </c>
      <c r="C322" s="158"/>
      <c r="D322" s="159" t="str">
        <f>IFERROR(__xludf.DUMMYFUNCTION("""COMPUTED_VALUE"""),"Active")</f>
        <v>Active</v>
      </c>
      <c r="E322" s="160">
        <f>IFERROR(__xludf.DUMMYFUNCTION("""COMPUTED_VALUE"""),43671.0)</f>
        <v>43671</v>
      </c>
      <c r="F322" s="161"/>
      <c r="G322" s="162">
        <f>IFERROR(__xludf.DUMMYFUNCTION("""COMPUTED_VALUE"""),74.66666666666667)</f>
        <v>74.66666667</v>
      </c>
      <c r="H322" s="163">
        <f>IFERROR(__xludf.DUMMYFUNCTION("""COMPUTED_VALUE"""),41600.0)</f>
        <v>41600</v>
      </c>
      <c r="I322" s="162">
        <f>IFERROR(__xludf.DUMMYFUNCTION("""COMPUTED_VALUE"""),5.675)</f>
        <v>5.675</v>
      </c>
      <c r="J322" s="164">
        <f>IFERROR(__xludf.DUMMYFUNCTION("""COMPUTED_VALUE"""),59.0)</f>
        <v>59</v>
      </c>
      <c r="K322" s="164">
        <f>IFERROR(__xludf.DUMMYFUNCTION("""COMPUTED_VALUE"""),1.0)</f>
        <v>1</v>
      </c>
      <c r="L322" s="158" t="str">
        <f>IFERROR(__xludf.DUMMYFUNCTION("""COMPUTED_VALUE"""),"Fighting")</f>
        <v>Fighting</v>
      </c>
      <c r="M322" s="158"/>
      <c r="N322" s="158"/>
      <c r="O322" s="158" t="str">
        <f>IFERROR(__xludf.DUMMYFUNCTION("""COMPUTED_VALUE"""),"M")</f>
        <v>M</v>
      </c>
      <c r="P322" s="158" t="str">
        <f>IFERROR(__xludf.DUMMYFUNCTION("""COMPUTED_VALUE"""),"Blood and Gore, Suggestive Themes, Violence")</f>
        <v>Blood and Gore, Suggestive Themes, Violence</v>
      </c>
      <c r="Q322" s="158"/>
      <c r="R322" s="159" t="str">
        <f>IFERROR(__xludf.DUMMYFUNCTION("""COMPUTED_VALUE"""),"Active")</f>
        <v>Active</v>
      </c>
      <c r="S322" s="160">
        <f>IFERROR(__xludf.DUMMYFUNCTION("""COMPUTED_VALUE"""),45547.0)</f>
        <v>45547</v>
      </c>
      <c r="T322" s="162">
        <f>IFERROR(__xludf.DUMMYFUNCTION("""COMPUTED_VALUE"""),61.56666666666666)</f>
        <v>61.56666667</v>
      </c>
    </row>
    <row r="323">
      <c r="A323" s="158" t="str">
        <f>IFERROR(__xludf.DUMMYFUNCTION("""COMPUTED_VALUE"""),"Killer Instinct Classic")</f>
        <v>Killer Instinct Classic</v>
      </c>
      <c r="B323" s="158" t="str">
        <f>IFERROR(__xludf.DUMMYFUNCTION("""COMPUTED_VALUE"""),"Xbox")</f>
        <v>Xbox</v>
      </c>
      <c r="C323" s="158"/>
      <c r="D323" s="159" t="str">
        <f>IFERROR(__xludf.DUMMYFUNCTION("""COMPUTED_VALUE"""),"Active")</f>
        <v>Active</v>
      </c>
      <c r="E323" s="160">
        <f>IFERROR(__xludf.DUMMYFUNCTION("""COMPUTED_VALUE"""),43671.0)</f>
        <v>43671</v>
      </c>
      <c r="F323" s="161"/>
      <c r="G323" s="162">
        <f>IFERROR(__xludf.DUMMYFUNCTION("""COMPUTED_VALUE"""),74.66666666666667)</f>
        <v>74.66666667</v>
      </c>
      <c r="H323" s="163">
        <f>IFERROR(__xludf.DUMMYFUNCTION("""COMPUTED_VALUE"""),34635.0)</f>
        <v>34635</v>
      </c>
      <c r="I323" s="162">
        <f>IFERROR(__xludf.DUMMYFUNCTION("""COMPUTED_VALUE"""),24.741666666666667)</f>
        <v>24.74166667</v>
      </c>
      <c r="J323" s="164">
        <f>IFERROR(__xludf.DUMMYFUNCTION("""COMPUTED_VALUE"""),85.0)</f>
        <v>85</v>
      </c>
      <c r="K323" s="164">
        <f>IFERROR(__xludf.DUMMYFUNCTION("""COMPUTED_VALUE"""),1.0)</f>
        <v>1</v>
      </c>
      <c r="L323" s="158" t="str">
        <f>IFERROR(__xludf.DUMMYFUNCTION("""COMPUTED_VALUE"""),"Fighting")</f>
        <v>Fighting</v>
      </c>
      <c r="M323" s="158"/>
      <c r="N323" s="158"/>
      <c r="O323" s="158" t="str">
        <f>IFERROR(__xludf.DUMMYFUNCTION("""COMPUTED_VALUE"""),"M")</f>
        <v>M</v>
      </c>
      <c r="P323" s="158" t="str">
        <f>IFERROR(__xludf.DUMMYFUNCTION("""COMPUTED_VALUE"""),"Blood and Gore, Suggestive Themes, Mild Crude Humor, Violence")</f>
        <v>Blood and Gore, Suggestive Themes, Mild Crude Humor, Violence</v>
      </c>
      <c r="Q323" s="158"/>
      <c r="R323" s="159" t="str">
        <f>IFERROR(__xludf.DUMMYFUNCTION("""COMPUTED_VALUE"""),"Active")</f>
        <v>Active</v>
      </c>
      <c r="S323" s="160">
        <f>IFERROR(__xludf.DUMMYFUNCTION("""COMPUTED_VALUE"""),45547.0)</f>
        <v>45547</v>
      </c>
      <c r="T323" s="162">
        <f>IFERROR(__xludf.DUMMYFUNCTION("""COMPUTED_VALUE"""),61.56666666666666)</f>
        <v>61.56666667</v>
      </c>
    </row>
    <row r="324">
      <c r="A324" s="158" t="str">
        <f>IFERROR(__xludf.DUMMYFUNCTION("""COMPUTED_VALUE"""),"Killer Instinct (2013): Anniversary Edition")</f>
        <v>Killer Instinct (2013): Anniversary Edition</v>
      </c>
      <c r="B324" s="158" t="str">
        <f>IFERROR(__xludf.DUMMYFUNCTION("""COMPUTED_VALUE"""),"Xbox / PC")</f>
        <v>Xbox / PC</v>
      </c>
      <c r="C324" s="158" t="str">
        <f>IFERROR(__xludf.DUMMYFUNCTION("""COMPUTED_VALUE"""),"Touch Controls")</f>
        <v>Touch Controls</v>
      </c>
      <c r="D324" s="159" t="str">
        <f>IFERROR(__xludf.DUMMYFUNCTION("""COMPUTED_VALUE"""),"Active")</f>
        <v>Active</v>
      </c>
      <c r="E324" s="160">
        <f>IFERROR(__xludf.DUMMYFUNCTION("""COMPUTED_VALUE"""),43671.0)</f>
        <v>43671</v>
      </c>
      <c r="F324" s="161"/>
      <c r="G324" s="162">
        <f>IFERROR(__xludf.DUMMYFUNCTION("""COMPUTED_VALUE"""),74.66666666666667)</f>
        <v>74.66666667</v>
      </c>
      <c r="H324" s="163">
        <f>IFERROR(__xludf.DUMMYFUNCTION("""COMPUTED_VALUE"""),41600.0)</f>
        <v>41600</v>
      </c>
      <c r="I324" s="162">
        <f>IFERROR(__xludf.DUMMYFUNCTION("""COMPUTED_VALUE"""),5.675)</f>
        <v>5.675</v>
      </c>
      <c r="J324" s="164">
        <f>IFERROR(__xludf.DUMMYFUNCTION("""COMPUTED_VALUE"""),86.0)</f>
        <v>86</v>
      </c>
      <c r="K324" s="164">
        <f>IFERROR(__xludf.DUMMYFUNCTION("""COMPUTED_VALUE"""),2.0)</f>
        <v>2</v>
      </c>
      <c r="L324" s="158" t="str">
        <f>IFERROR(__xludf.DUMMYFUNCTION("""COMPUTED_VALUE"""),"Fighting")</f>
        <v>Fighting</v>
      </c>
      <c r="M324" s="158"/>
      <c r="N324" s="158" t="str">
        <f>IFERROR(__xludf.DUMMYFUNCTION("""COMPUTED_VALUE"""),"Anniversary Edition added 11/28/23")</f>
        <v>Anniversary Edition added 11/28/23</v>
      </c>
      <c r="O324" s="158" t="str">
        <f>IFERROR(__xludf.DUMMYFUNCTION("""COMPUTED_VALUE"""),"M")</f>
        <v>M</v>
      </c>
      <c r="P324" s="158" t="str">
        <f>IFERROR(__xludf.DUMMYFUNCTION("""COMPUTED_VALUE"""),"Blood and Gore, Suggestive Themes, Violence, Mild Language, Mild Crude Humor")</f>
        <v>Blood and Gore, Suggestive Themes, Violence, Mild Language, Mild Crude Humor</v>
      </c>
      <c r="Q324" s="158"/>
      <c r="R324" s="159" t="str">
        <f>IFERROR(__xludf.DUMMYFUNCTION("""COMPUTED_VALUE"""),"Active")</f>
        <v>Active</v>
      </c>
      <c r="S324" s="160">
        <f>IFERROR(__xludf.DUMMYFUNCTION("""COMPUTED_VALUE"""),45547.0)</f>
        <v>45547</v>
      </c>
      <c r="T324" s="162">
        <f>IFERROR(__xludf.DUMMYFUNCTION("""COMPUTED_VALUE"""),61.56666666666666)</f>
        <v>61.56666667</v>
      </c>
    </row>
    <row r="325">
      <c r="A325" s="158" t="str">
        <f>IFERROR(__xludf.DUMMYFUNCTION("""COMPUTED_VALUE"""),"Middle-earth: Shadow of War")</f>
        <v>Middle-earth: Shadow of War</v>
      </c>
      <c r="B325" s="158" t="str">
        <f>IFERROR(__xludf.DUMMYFUNCTION("""COMPUTED_VALUE"""),"Xbox / PC")</f>
        <v>Xbox / PC</v>
      </c>
      <c r="C325" s="158" t="str">
        <f>IFERROR(__xludf.DUMMYFUNCTION("""COMPUTED_VALUE"""),"Yes")</f>
        <v>Yes</v>
      </c>
      <c r="D325" s="159" t="str">
        <f>IFERROR(__xludf.DUMMYFUNCTION("""COMPUTED_VALUE"""),"Active")</f>
        <v>Active</v>
      </c>
      <c r="E325" s="160">
        <f>IFERROR(__xludf.DUMMYFUNCTION("""COMPUTED_VALUE"""),43650.0)</f>
        <v>43650</v>
      </c>
      <c r="F325" s="161"/>
      <c r="G325" s="162">
        <f>IFERROR(__xludf.DUMMYFUNCTION("""COMPUTED_VALUE"""),75.36666666666667)</f>
        <v>75.36666667</v>
      </c>
      <c r="H325" s="163">
        <f>IFERROR(__xludf.DUMMYFUNCTION("""COMPUTED_VALUE"""),43018.0)</f>
        <v>43018</v>
      </c>
      <c r="I325" s="162">
        <f>IFERROR(__xludf.DUMMYFUNCTION("""COMPUTED_VALUE"""),1.7333333333333334)</f>
        <v>1.733333333</v>
      </c>
      <c r="J325" s="164">
        <f>IFERROR(__xludf.DUMMYFUNCTION("""COMPUTED_VALUE"""),81.0)</f>
        <v>81</v>
      </c>
      <c r="K325" s="164">
        <f>IFERROR(__xludf.DUMMYFUNCTION("""COMPUTED_VALUE"""),20.5)</f>
        <v>20.5</v>
      </c>
      <c r="L325" s="158" t="str">
        <f>IFERROR(__xludf.DUMMYFUNCTION("""COMPUTED_VALUE"""),"Action / RPG / Action-Adventure")</f>
        <v>Action / RPG / Action-Adventure</v>
      </c>
      <c r="M325" s="158"/>
      <c r="N325" s="158"/>
      <c r="O325" s="158" t="str">
        <f>IFERROR(__xludf.DUMMYFUNCTION("""COMPUTED_VALUE"""),"M")</f>
        <v>M</v>
      </c>
      <c r="P325" s="158" t="str">
        <f>IFERROR(__xludf.DUMMYFUNCTION("""COMPUTED_VALUE"""),"Blood and Gore, Intense Violence")</f>
        <v>Blood and Gore, Intense Violence</v>
      </c>
      <c r="Q325" s="158"/>
      <c r="R325" s="159" t="str">
        <f>IFERROR(__xludf.DUMMYFUNCTION("""COMPUTED_VALUE"""),"Active")</f>
        <v>Active</v>
      </c>
      <c r="S325" s="160">
        <f>IFERROR(__xludf.DUMMYFUNCTION("""COMPUTED_VALUE"""),45547.0)</f>
        <v>45547</v>
      </c>
      <c r="T325" s="162">
        <f>IFERROR(__xludf.DUMMYFUNCTION("""COMPUTED_VALUE"""),62.266666666666666)</f>
        <v>62.26666667</v>
      </c>
    </row>
    <row r="326">
      <c r="A326" s="158" t="str">
        <f>IFERROR(__xludf.DUMMYFUNCTION("""COMPUTED_VALUE"""),"Torment: Tides of Numenera")</f>
        <v>Torment: Tides of Numenera</v>
      </c>
      <c r="B326" s="158" t="str">
        <f>IFERROR(__xludf.DUMMYFUNCTION("""COMPUTED_VALUE"""),"Xbox / PC")</f>
        <v>Xbox / PC</v>
      </c>
      <c r="C326" s="158" t="str">
        <f>IFERROR(__xludf.DUMMYFUNCTION("""COMPUTED_VALUE"""),"Touch Controls")</f>
        <v>Touch Controls</v>
      </c>
      <c r="D326" s="159" t="str">
        <f>IFERROR(__xludf.DUMMYFUNCTION("""COMPUTED_VALUE"""),"Active")</f>
        <v>Active</v>
      </c>
      <c r="E326" s="160">
        <f>IFERROR(__xludf.DUMMYFUNCTION("""COMPUTED_VALUE"""),43643.0)</f>
        <v>43643</v>
      </c>
      <c r="F326" s="161"/>
      <c r="G326" s="162">
        <f>IFERROR(__xludf.DUMMYFUNCTION("""COMPUTED_VALUE"""),75.6)</f>
        <v>75.6</v>
      </c>
      <c r="H326" s="163">
        <f>IFERROR(__xludf.DUMMYFUNCTION("""COMPUTED_VALUE"""),42794.0)</f>
        <v>42794</v>
      </c>
      <c r="I326" s="162">
        <f>IFERROR(__xludf.DUMMYFUNCTION("""COMPUTED_VALUE"""),2.3305555555555557)</f>
        <v>2.330555556</v>
      </c>
      <c r="J326" s="164">
        <f>IFERROR(__xludf.DUMMYFUNCTION("""COMPUTED_VALUE"""),81.0)</f>
        <v>81</v>
      </c>
      <c r="K326" s="164">
        <f>IFERROR(__xludf.DUMMYFUNCTION("""COMPUTED_VALUE"""),26.0)</f>
        <v>26</v>
      </c>
      <c r="L326" s="158" t="str">
        <f>IFERROR(__xludf.DUMMYFUNCTION("""COMPUTED_VALUE"""),"RPG")</f>
        <v>RPG</v>
      </c>
      <c r="M326" s="158"/>
      <c r="N326" s="158" t="str">
        <f>IFERROR(__xludf.DUMMYFUNCTION("""COMPUTED_VALUE"""),"Joined Xbox and cloud 7/21/22, originally only on PC")</f>
        <v>Joined Xbox and cloud 7/21/22, originally only on PC</v>
      </c>
      <c r="O326" s="158" t="str">
        <f>IFERROR(__xludf.DUMMYFUNCTION("""COMPUTED_VALUE"""),"M")</f>
        <v>M</v>
      </c>
      <c r="P326" s="158" t="str">
        <f>IFERROR(__xludf.DUMMYFUNCTION("""COMPUTED_VALUE"""),"Blood, Sexual Themes, Violence, Language")</f>
        <v>Blood, Sexual Themes, Violence, Language</v>
      </c>
      <c r="Q326" s="158"/>
      <c r="R326" s="159" t="str">
        <f>IFERROR(__xludf.DUMMYFUNCTION("""COMPUTED_VALUE"""),"Active")</f>
        <v>Active</v>
      </c>
      <c r="S326" s="160">
        <f>IFERROR(__xludf.DUMMYFUNCTION("""COMPUTED_VALUE"""),45547.0)</f>
        <v>45547</v>
      </c>
      <c r="T326" s="162">
        <f>IFERROR(__xludf.DUMMYFUNCTION("""COMPUTED_VALUE"""),62.5)</f>
        <v>62.5</v>
      </c>
    </row>
    <row r="327">
      <c r="A327" s="158" t="str">
        <f>IFERROR(__xludf.DUMMYFUNCTION("""COMPUTED_VALUE"""),"Perfect Dark")</f>
        <v>Perfect Dark</v>
      </c>
      <c r="B327" s="158" t="str">
        <f>IFERROR(__xludf.DUMMYFUNCTION("""COMPUTED_VALUE"""),"Xbox")</f>
        <v>Xbox</v>
      </c>
      <c r="C327" s="158" t="str">
        <f>IFERROR(__xludf.DUMMYFUNCTION("""COMPUTED_VALUE"""),"Yes")</f>
        <v>Yes</v>
      </c>
      <c r="D327" s="159" t="str">
        <f>IFERROR(__xludf.DUMMYFUNCTION("""COMPUTED_VALUE"""),"Active")</f>
        <v>Active</v>
      </c>
      <c r="E327" s="160">
        <f>IFERROR(__xludf.DUMMYFUNCTION("""COMPUTED_VALUE"""),43636.0)</f>
        <v>43636</v>
      </c>
      <c r="F327" s="161"/>
      <c r="G327" s="162">
        <f>IFERROR(__xludf.DUMMYFUNCTION("""COMPUTED_VALUE"""),75.83333333333334)</f>
        <v>75.83333333</v>
      </c>
      <c r="H327" s="163">
        <f>IFERROR(__xludf.DUMMYFUNCTION("""COMPUTED_VALUE"""),36766.0)</f>
        <v>36766</v>
      </c>
      <c r="I327" s="162">
        <f>IFERROR(__xludf.DUMMYFUNCTION("""COMPUTED_VALUE"""),18.81111111111111)</f>
        <v>18.81111111</v>
      </c>
      <c r="J327" s="164">
        <f>IFERROR(__xludf.DUMMYFUNCTION("""COMPUTED_VALUE"""),79.0)</f>
        <v>79</v>
      </c>
      <c r="K327" s="164">
        <f>IFERROR(__xludf.DUMMYFUNCTION("""COMPUTED_VALUE"""),9.0)</f>
        <v>9</v>
      </c>
      <c r="L327" s="158" t="str">
        <f>IFERROR(__xludf.DUMMYFUNCTION("""COMPUTED_VALUE"""),"Action / Shooter")</f>
        <v>Action / Shooter</v>
      </c>
      <c r="M327" s="158"/>
      <c r="N327" s="158"/>
      <c r="O327" s="158" t="str">
        <f>IFERROR(__xludf.DUMMYFUNCTION("""COMPUTED_VALUE"""),"M")</f>
        <v>M</v>
      </c>
      <c r="P327" s="158" t="str">
        <f>IFERROR(__xludf.DUMMYFUNCTION("""COMPUTED_VALUE"""),"Blood, Violence")</f>
        <v>Blood, Violence</v>
      </c>
      <c r="Q327" s="158"/>
      <c r="R327" s="159" t="str">
        <f>IFERROR(__xludf.DUMMYFUNCTION("""COMPUTED_VALUE"""),"Active")</f>
        <v>Active</v>
      </c>
      <c r="S327" s="160">
        <f>IFERROR(__xludf.DUMMYFUNCTION("""COMPUTED_VALUE"""),45547.0)</f>
        <v>45547</v>
      </c>
      <c r="T327" s="162">
        <f>IFERROR(__xludf.DUMMYFUNCTION("""COMPUTED_VALUE"""),62.733333333333334)</f>
        <v>62.73333333</v>
      </c>
    </row>
    <row r="328">
      <c r="A328" s="158" t="str">
        <f>IFERROR(__xludf.DUMMYFUNCTION("""COMPUTED_VALUE"""),"Rare Replay")</f>
        <v>Rare Replay</v>
      </c>
      <c r="B328" s="158" t="str">
        <f>IFERROR(__xludf.DUMMYFUNCTION("""COMPUTED_VALUE"""),"Xbox")</f>
        <v>Xbox</v>
      </c>
      <c r="C328" s="158"/>
      <c r="D328" s="159" t="str">
        <f>IFERROR(__xludf.DUMMYFUNCTION("""COMPUTED_VALUE"""),"Active")</f>
        <v>Active</v>
      </c>
      <c r="E328" s="160">
        <f>IFERROR(__xludf.DUMMYFUNCTION("""COMPUTED_VALUE"""),43636.0)</f>
        <v>43636</v>
      </c>
      <c r="F328" s="161"/>
      <c r="G328" s="162">
        <f>IFERROR(__xludf.DUMMYFUNCTION("""COMPUTED_VALUE"""),75.83333333333334)</f>
        <v>75.83333333</v>
      </c>
      <c r="H328" s="163">
        <f>IFERROR(__xludf.DUMMYFUNCTION("""COMPUTED_VALUE"""),42220.0)</f>
        <v>42220</v>
      </c>
      <c r="I328" s="162">
        <f>IFERROR(__xludf.DUMMYFUNCTION("""COMPUTED_VALUE"""),3.8777777777777778)</f>
        <v>3.877777778</v>
      </c>
      <c r="J328" s="164">
        <f>IFERROR(__xludf.DUMMYFUNCTION("""COMPUTED_VALUE"""),84.0)</f>
        <v>84</v>
      </c>
      <c r="K328" s="164">
        <f>IFERROR(__xludf.DUMMYFUNCTION("""COMPUTED_VALUE"""),44.0)</f>
        <v>44</v>
      </c>
      <c r="L328" s="158" t="str">
        <f>IFERROR(__xludf.DUMMYFUNCTION("""COMPUTED_VALUE"""),"Compilation")</f>
        <v>Compilation</v>
      </c>
      <c r="M328" s="158"/>
      <c r="N328" s="158"/>
      <c r="O328" s="158" t="str">
        <f>IFERROR(__xludf.DUMMYFUNCTION("""COMPUTED_VALUE"""),"M")</f>
        <v>M</v>
      </c>
      <c r="P328" s="158" t="str">
        <f>IFERROR(__xludf.DUMMYFUNCTION("""COMPUTED_VALUE"""),"Violence, Blood, Language, Use of Alcohol, Use of Tobacco")</f>
        <v>Violence, Blood, Language, Use of Alcohol, Use of Tobacco</v>
      </c>
      <c r="Q328" s="158"/>
      <c r="R328" s="159" t="str">
        <f>IFERROR(__xludf.DUMMYFUNCTION("""COMPUTED_VALUE"""),"Active")</f>
        <v>Active</v>
      </c>
      <c r="S328" s="160">
        <f>IFERROR(__xludf.DUMMYFUNCTION("""COMPUTED_VALUE"""),45547.0)</f>
        <v>45547</v>
      </c>
      <c r="T328" s="162">
        <f>IFERROR(__xludf.DUMMYFUNCTION("""COMPUTED_VALUE"""),62.733333333333334)</f>
        <v>62.73333333</v>
      </c>
    </row>
    <row r="329">
      <c r="A329" s="158" t="str">
        <f>IFERROR(__xludf.DUMMYFUNCTION("""COMPUTED_VALUE"""),"ASTRONEER")</f>
        <v>ASTRONEER</v>
      </c>
      <c r="B329" s="158" t="str">
        <f>IFERROR(__xludf.DUMMYFUNCTION("""COMPUTED_VALUE"""),"Xbox / PC")</f>
        <v>Xbox / PC</v>
      </c>
      <c r="C329" s="158" t="str">
        <f>IFERROR(__xludf.DUMMYFUNCTION("""COMPUTED_VALUE"""),"Yes")</f>
        <v>Yes</v>
      </c>
      <c r="D329" s="159" t="str">
        <f>IFERROR(__xludf.DUMMYFUNCTION("""COMPUTED_VALUE"""),"Active")</f>
        <v>Active</v>
      </c>
      <c r="E329" s="160">
        <f>IFERROR(__xludf.DUMMYFUNCTION("""COMPUTED_VALUE"""),43625.0)</f>
        <v>43625</v>
      </c>
      <c r="F329" s="161"/>
      <c r="G329" s="162">
        <f>IFERROR(__xludf.DUMMYFUNCTION("""COMPUTED_VALUE"""),76.19999999999999)</f>
        <v>76.2</v>
      </c>
      <c r="H329" s="163">
        <f>IFERROR(__xludf.DUMMYFUNCTION("""COMPUTED_VALUE"""),42720.0)</f>
        <v>42720</v>
      </c>
      <c r="I329" s="162">
        <f>IFERROR(__xludf.DUMMYFUNCTION("""COMPUTED_VALUE"""),2.4805555555555556)</f>
        <v>2.480555556</v>
      </c>
      <c r="J329" s="164">
        <f>IFERROR(__xludf.DUMMYFUNCTION("""COMPUTED_VALUE"""),72.0)</f>
        <v>72</v>
      </c>
      <c r="K329" s="164">
        <f>IFERROR(__xludf.DUMMYFUNCTION("""COMPUTED_VALUE"""),18.5)</f>
        <v>18.5</v>
      </c>
      <c r="L329" s="158" t="str">
        <f>IFERROR(__xludf.DUMMYFUNCTION("""COMPUTED_VALUE"""),"Adventure")</f>
        <v>Adventure</v>
      </c>
      <c r="M329" s="158"/>
      <c r="N329" s="158" t="str">
        <f>IFERROR(__xludf.DUMMYFUNCTION("""COMPUTED_VALUE"""),"Game Pass Essential launch title (9/14/23)")</f>
        <v>Game Pass Essential launch title (9/14/23)</v>
      </c>
      <c r="O329" s="158" t="str">
        <f>IFERROR(__xludf.DUMMYFUNCTION("""COMPUTED_VALUE"""),"E")</f>
        <v>E</v>
      </c>
      <c r="P329" s="158" t="str">
        <f>IFERROR(__xludf.DUMMYFUNCTION("""COMPUTED_VALUE"""),"Mild Fantasy Violence")</f>
        <v>Mild Fantasy Violence</v>
      </c>
      <c r="Q329" s="158"/>
      <c r="R329" s="159" t="str">
        <f>IFERROR(__xludf.DUMMYFUNCTION("""COMPUTED_VALUE"""),"Active")</f>
        <v>Active</v>
      </c>
      <c r="S329" s="160">
        <f>IFERROR(__xludf.DUMMYFUNCTION("""COMPUTED_VALUE"""),45547.0)</f>
        <v>45547</v>
      </c>
      <c r="T329" s="162">
        <f>IFERROR(__xludf.DUMMYFUNCTION("""COMPUTED_VALUE"""),63.10000000000001)</f>
        <v>63.1</v>
      </c>
    </row>
    <row r="330">
      <c r="A330" s="158" t="str">
        <f>IFERROR(__xludf.DUMMYFUNCTION("""COMPUTED_VALUE"""),"Batman: Arkham Knight")</f>
        <v>Batman: Arkham Knight</v>
      </c>
      <c r="B330" s="158" t="str">
        <f>IFERROR(__xludf.DUMMYFUNCTION("""COMPUTED_VALUE"""),"Xbox")</f>
        <v>Xbox</v>
      </c>
      <c r="C330" s="158" t="str">
        <f>IFERROR(__xludf.DUMMYFUNCTION("""COMPUTED_VALUE"""),"Yes")</f>
        <v>Yes</v>
      </c>
      <c r="D330" s="159" t="str">
        <f>IFERROR(__xludf.DUMMYFUNCTION("""COMPUTED_VALUE"""),"Active")</f>
        <v>Active</v>
      </c>
      <c r="E330" s="160">
        <f>IFERROR(__xludf.DUMMYFUNCTION("""COMPUTED_VALUE"""),43625.0)</f>
        <v>43625</v>
      </c>
      <c r="F330" s="161"/>
      <c r="G330" s="162">
        <f>IFERROR(__xludf.DUMMYFUNCTION("""COMPUTED_VALUE"""),76.19999999999999)</f>
        <v>76.2</v>
      </c>
      <c r="H330" s="163">
        <f>IFERROR(__xludf.DUMMYFUNCTION("""COMPUTED_VALUE"""),42178.0)</f>
        <v>42178</v>
      </c>
      <c r="I330" s="162">
        <f>IFERROR(__xludf.DUMMYFUNCTION("""COMPUTED_VALUE"""),3.9611111111111112)</f>
        <v>3.961111111</v>
      </c>
      <c r="J330" s="164">
        <f>IFERROR(__xludf.DUMMYFUNCTION("""COMPUTED_VALUE"""),85.0)</f>
        <v>85</v>
      </c>
      <c r="K330" s="164">
        <f>IFERROR(__xludf.DUMMYFUNCTION("""COMPUTED_VALUE"""),16.5)</f>
        <v>16.5</v>
      </c>
      <c r="L330" s="158" t="str">
        <f>IFERROR(__xludf.DUMMYFUNCTION("""COMPUTED_VALUE"""),"Action-Adventure")</f>
        <v>Action-Adventure</v>
      </c>
      <c r="M330" s="158"/>
      <c r="N330" s="158" t="str">
        <f>IFERROR(__xludf.DUMMYFUNCTION("""COMPUTED_VALUE"""),"Game Pass Essential (3/26/25)")</f>
        <v>Game Pass Essential (3/26/25)</v>
      </c>
      <c r="O330" s="158" t="str">
        <f>IFERROR(__xludf.DUMMYFUNCTION("""COMPUTED_VALUE"""),"M")</f>
        <v>M</v>
      </c>
      <c r="P330" s="158" t="str">
        <f>IFERROR(__xludf.DUMMYFUNCTION("""COMPUTED_VALUE"""),"Blood, Suggestive Themes, Violence, Language")</f>
        <v>Blood, Suggestive Themes, Violence, Language</v>
      </c>
      <c r="Q330" s="158"/>
      <c r="R330" s="159" t="str">
        <f>IFERROR(__xludf.DUMMYFUNCTION("""COMPUTED_VALUE"""),"Active")</f>
        <v>Active</v>
      </c>
      <c r="S330" s="160">
        <f>IFERROR(__xludf.DUMMYFUNCTION("""COMPUTED_VALUE"""),45547.0)</f>
        <v>45547</v>
      </c>
      <c r="T330" s="162">
        <f>IFERROR(__xludf.DUMMYFUNCTION("""COMPUTED_VALUE"""),63.10000000000001)</f>
        <v>63.1</v>
      </c>
    </row>
    <row r="331">
      <c r="A331" s="158" t="str">
        <f>IFERROR(__xludf.DUMMYFUNCTION("""COMPUTED_VALUE"""),"Hollow Knight: Voidheart Edition")</f>
        <v>Hollow Knight: Voidheart Edition</v>
      </c>
      <c r="B331" s="158" t="str">
        <f>IFERROR(__xludf.DUMMYFUNCTION("""COMPUTED_VALUE"""),"Xbox / PC")</f>
        <v>Xbox / PC</v>
      </c>
      <c r="C331" s="158" t="str">
        <f>IFERROR(__xludf.DUMMYFUNCTION("""COMPUTED_VALUE"""),"Yes")</f>
        <v>Yes</v>
      </c>
      <c r="D331" s="159" t="str">
        <f>IFERROR(__xludf.DUMMYFUNCTION("""COMPUTED_VALUE"""),"Active")</f>
        <v>Active</v>
      </c>
      <c r="E331" s="160">
        <f>IFERROR(__xludf.DUMMYFUNCTION("""COMPUTED_VALUE"""),43625.0)</f>
        <v>43625</v>
      </c>
      <c r="F331" s="161"/>
      <c r="G331" s="162">
        <f>IFERROR(__xludf.DUMMYFUNCTION("""COMPUTED_VALUE"""),76.19999999999999)</f>
        <v>76.2</v>
      </c>
      <c r="H331" s="163">
        <f>IFERROR(__xludf.DUMMYFUNCTION("""COMPUTED_VALUE"""),42790.0)</f>
        <v>42790</v>
      </c>
      <c r="I331" s="162">
        <f>IFERROR(__xludf.DUMMYFUNCTION("""COMPUTED_VALUE"""),2.2916666666666665)</f>
        <v>2.291666667</v>
      </c>
      <c r="J331" s="164">
        <f>IFERROR(__xludf.DUMMYFUNCTION("""COMPUTED_VALUE"""),90.0)</f>
        <v>90</v>
      </c>
      <c r="K331" s="164">
        <f>IFERROR(__xludf.DUMMYFUNCTION("""COMPUTED_VALUE"""),25.0)</f>
        <v>25</v>
      </c>
      <c r="L331" s="158" t="str">
        <f>IFERROR(__xludf.DUMMYFUNCTION("""COMPUTED_VALUE"""),"Platformer / Action-Adventure")</f>
        <v>Platformer / Action-Adventure</v>
      </c>
      <c r="M331" s="158" t="str">
        <f>IFERROR(__xludf.DUMMYFUNCTION("""COMPUTED_VALUE"""),"FPS Boost")</f>
        <v>FPS Boost</v>
      </c>
      <c r="N331" s="158"/>
      <c r="O331" s="158" t="str">
        <f>IFERROR(__xludf.DUMMYFUNCTION("""COMPUTED_VALUE"""),"E10+")</f>
        <v>E10+</v>
      </c>
      <c r="P331" s="158" t="str">
        <f>IFERROR(__xludf.DUMMYFUNCTION("""COMPUTED_VALUE"""),"Fantasy Violence, Mild Blood")</f>
        <v>Fantasy Violence, Mild Blood</v>
      </c>
      <c r="Q331" s="158"/>
      <c r="R331" s="159" t="str">
        <f>IFERROR(__xludf.DUMMYFUNCTION("""COMPUTED_VALUE"""),"Active")</f>
        <v>Active</v>
      </c>
      <c r="S331" s="160">
        <f>IFERROR(__xludf.DUMMYFUNCTION("""COMPUTED_VALUE"""),45547.0)</f>
        <v>45547</v>
      </c>
      <c r="T331" s="162">
        <f>IFERROR(__xludf.DUMMYFUNCTION("""COMPUTED_VALUE"""),63.10000000000001)</f>
        <v>63.1</v>
      </c>
    </row>
    <row r="332">
      <c r="A332" s="158" t="str">
        <f>IFERROR(__xludf.DUMMYFUNCTION("""COMPUTED_VALUE"""),"Moonlighter")</f>
        <v>Moonlighter</v>
      </c>
      <c r="B332" s="158" t="str">
        <f>IFERROR(__xludf.DUMMYFUNCTION("""COMPUTED_VALUE"""),"Xbox / PC")</f>
        <v>Xbox / PC</v>
      </c>
      <c r="C332" s="158" t="str">
        <f>IFERROR(__xludf.DUMMYFUNCTION("""COMPUTED_VALUE"""),"Yes")</f>
        <v>Yes</v>
      </c>
      <c r="D332" s="159" t="str">
        <f>IFERROR(__xludf.DUMMYFUNCTION("""COMPUTED_VALUE"""),"Active")</f>
        <v>Active</v>
      </c>
      <c r="E332" s="160">
        <f>IFERROR(__xludf.DUMMYFUNCTION("""COMPUTED_VALUE"""),43625.0)</f>
        <v>43625</v>
      </c>
      <c r="F332" s="161"/>
      <c r="G332" s="162">
        <f>IFERROR(__xludf.DUMMYFUNCTION("""COMPUTED_VALUE"""),76.19999999999999)</f>
        <v>76.2</v>
      </c>
      <c r="H332" s="163">
        <f>IFERROR(__xludf.DUMMYFUNCTION("""COMPUTED_VALUE"""),43249.0)</f>
        <v>43249</v>
      </c>
      <c r="I332" s="162">
        <f>IFERROR(__xludf.DUMMYFUNCTION("""COMPUTED_VALUE"""),1.0277777777777777)</f>
        <v>1.027777778</v>
      </c>
      <c r="J332" s="164">
        <f>IFERROR(__xludf.DUMMYFUNCTION("""COMPUTED_VALUE"""),84.0)</f>
        <v>84</v>
      </c>
      <c r="K332" s="164">
        <f>IFERROR(__xludf.DUMMYFUNCTION("""COMPUTED_VALUE"""),14.0)</f>
        <v>14</v>
      </c>
      <c r="L332" s="158" t="str">
        <f>IFERROR(__xludf.DUMMYFUNCTION("""COMPUTED_VALUE"""),"Action / RPG")</f>
        <v>Action / RPG</v>
      </c>
      <c r="M332" s="158"/>
      <c r="N332" s="158" t="str">
        <f>IFERROR(__xludf.DUMMYFUNCTION("""COMPUTED_VALUE"""),"Left EA Play 10/23/21")</f>
        <v>Left EA Play 10/23/21</v>
      </c>
      <c r="O332" s="158" t="str">
        <f>IFERROR(__xludf.DUMMYFUNCTION("""COMPUTED_VALUE"""),"E10+")</f>
        <v>E10+</v>
      </c>
      <c r="P332" s="158" t="str">
        <f>IFERROR(__xludf.DUMMYFUNCTION("""COMPUTED_VALUE"""),"Fantasy Violence")</f>
        <v>Fantasy Violence</v>
      </c>
      <c r="Q332" s="158"/>
      <c r="R332" s="159" t="str">
        <f>IFERROR(__xludf.DUMMYFUNCTION("""COMPUTED_VALUE"""),"Active")</f>
        <v>Active</v>
      </c>
      <c r="S332" s="160">
        <f>IFERROR(__xludf.DUMMYFUNCTION("""COMPUTED_VALUE"""),45547.0)</f>
        <v>45547</v>
      </c>
      <c r="T332" s="162">
        <f>IFERROR(__xludf.DUMMYFUNCTION("""COMPUTED_VALUE"""),63.10000000000001)</f>
        <v>63.1</v>
      </c>
    </row>
    <row r="333">
      <c r="A333" s="158" t="str">
        <f>IFERROR(__xludf.DUMMYFUNCTION("""COMPUTED_VALUE"""),"Dead by Daylight: Special Edition")</f>
        <v>Dead by Daylight: Special Edition</v>
      </c>
      <c r="B333" s="158" t="str">
        <f>IFERROR(__xludf.DUMMYFUNCTION("""COMPUTED_VALUE"""),"Xbox / PC")</f>
        <v>Xbox / PC</v>
      </c>
      <c r="C333" s="158" t="str">
        <f>IFERROR(__xludf.DUMMYFUNCTION("""COMPUTED_VALUE"""),"Yes")</f>
        <v>Yes</v>
      </c>
      <c r="D333" s="159" t="str">
        <f>IFERROR(__xludf.DUMMYFUNCTION("""COMPUTED_VALUE"""),"Active")</f>
        <v>Active</v>
      </c>
      <c r="E333" s="160">
        <f>IFERROR(__xludf.DUMMYFUNCTION("""COMPUTED_VALUE"""),43615.0)</f>
        <v>43615</v>
      </c>
      <c r="F333" s="161"/>
      <c r="G333" s="162">
        <f>IFERROR(__xludf.DUMMYFUNCTION("""COMPUTED_VALUE"""),76.5)</f>
        <v>76.5</v>
      </c>
      <c r="H333" s="163">
        <f>IFERROR(__xludf.DUMMYFUNCTION("""COMPUTED_VALUE"""),42535.0)</f>
        <v>42535</v>
      </c>
      <c r="I333" s="162">
        <f>IFERROR(__xludf.DUMMYFUNCTION("""COMPUTED_VALUE"""),2.9611111111111112)</f>
        <v>2.961111111</v>
      </c>
      <c r="J333" s="164">
        <f>IFERROR(__xludf.DUMMYFUNCTION("""COMPUTED_VALUE"""),58.0)</f>
        <v>58</v>
      </c>
      <c r="K333" s="164">
        <f>IFERROR(__xludf.DUMMYFUNCTION("""COMPUTED_VALUE"""),608.0)</f>
        <v>608</v>
      </c>
      <c r="L333" s="158" t="str">
        <f>IFERROR(__xludf.DUMMYFUNCTION("""COMPUTED_VALUE"""),"Action")</f>
        <v>Action</v>
      </c>
      <c r="M333" s="158" t="str">
        <f>IFERROR(__xludf.DUMMYFUNCTION("""COMPUTED_VALUE"""),"Optimized")</f>
        <v>Optimized</v>
      </c>
      <c r="N333" s="158"/>
      <c r="O333" s="158" t="str">
        <f>IFERROR(__xludf.DUMMYFUNCTION("""COMPUTED_VALUE"""),"M")</f>
        <v>M</v>
      </c>
      <c r="P333" s="158" t="str">
        <f>IFERROR(__xludf.DUMMYFUNCTION("""COMPUTED_VALUE"""),"Blood and Gore, Strong Language, Intense Violence")</f>
        <v>Blood and Gore, Strong Language, Intense Violence</v>
      </c>
      <c r="Q333" s="158"/>
      <c r="R333" s="159" t="str">
        <f>IFERROR(__xludf.DUMMYFUNCTION("""COMPUTED_VALUE"""),"Active")</f>
        <v>Active</v>
      </c>
      <c r="S333" s="160">
        <f>IFERROR(__xludf.DUMMYFUNCTION("""COMPUTED_VALUE"""),45547.0)</f>
        <v>45547</v>
      </c>
      <c r="T333" s="162">
        <f>IFERROR(__xludf.DUMMYFUNCTION("""COMPUTED_VALUE"""),63.4)</f>
        <v>63.4</v>
      </c>
    </row>
    <row r="334">
      <c r="A334" s="158" t="str">
        <f>IFERROR(__xludf.DUMMYFUNCTION("""COMPUTED_VALUE"""),"Descenders")</f>
        <v>Descenders</v>
      </c>
      <c r="B334" s="158" t="str">
        <f>IFERROR(__xludf.DUMMYFUNCTION("""COMPUTED_VALUE"""),"Xbox / PC")</f>
        <v>Xbox / PC</v>
      </c>
      <c r="C334" s="158" t="str">
        <f>IFERROR(__xludf.DUMMYFUNCTION("""COMPUTED_VALUE"""),"Yes")</f>
        <v>Yes</v>
      </c>
      <c r="D334" s="159" t="str">
        <f>IFERROR(__xludf.DUMMYFUNCTION("""COMPUTED_VALUE"""),"Active")</f>
        <v>Active</v>
      </c>
      <c r="E334" s="160">
        <f>IFERROR(__xludf.DUMMYFUNCTION("""COMPUTED_VALUE"""),43592.0)</f>
        <v>43592</v>
      </c>
      <c r="F334" s="161"/>
      <c r="G334" s="162">
        <f>IFERROR(__xludf.DUMMYFUNCTION("""COMPUTED_VALUE"""),77.26666666666667)</f>
        <v>77.26666667</v>
      </c>
      <c r="H334" s="163">
        <f>IFERROR(__xludf.DUMMYFUNCTION("""COMPUTED_VALUE"""),43140.0)</f>
        <v>43140</v>
      </c>
      <c r="I334" s="162">
        <f>IFERROR(__xludf.DUMMYFUNCTION("""COMPUTED_VALUE"""),1.2444444444444445)</f>
        <v>1.244444444</v>
      </c>
      <c r="J334" s="164">
        <f>IFERROR(__xludf.DUMMYFUNCTION("""COMPUTED_VALUE"""),77.0)</f>
        <v>77</v>
      </c>
      <c r="K334" s="164">
        <f>IFERROR(__xludf.DUMMYFUNCTION("""COMPUTED_VALUE"""),4.0)</f>
        <v>4</v>
      </c>
      <c r="L334" s="158" t="str">
        <f>IFERROR(__xludf.DUMMYFUNCTION("""COMPUTED_VALUE"""),"Sports / Driving/Racing")</f>
        <v>Sports / Driving/Racing</v>
      </c>
      <c r="M334" s="158" t="str">
        <f>IFERROR(__xludf.DUMMYFUNCTION("""COMPUTED_VALUE"""),"Optimized")</f>
        <v>Optimized</v>
      </c>
      <c r="N334" s="158" t="str">
        <f>IFERROR(__xludf.DUMMYFUNCTION("""COMPUTED_VALUE"""),"Game Pass Essential launch title (9/14/23)")</f>
        <v>Game Pass Essential launch title (9/14/23)</v>
      </c>
      <c r="O334" s="158" t="str">
        <f>IFERROR(__xludf.DUMMYFUNCTION("""COMPUTED_VALUE"""),"E")</f>
        <v>E</v>
      </c>
      <c r="P334" s="158"/>
      <c r="Q334" s="158"/>
      <c r="R334" s="159" t="str">
        <f>IFERROR(__xludf.DUMMYFUNCTION("""COMPUTED_VALUE"""),"Active")</f>
        <v>Active</v>
      </c>
      <c r="S334" s="160">
        <f>IFERROR(__xludf.DUMMYFUNCTION("""COMPUTED_VALUE"""),45547.0)</f>
        <v>45547</v>
      </c>
      <c r="T334" s="162">
        <f>IFERROR(__xludf.DUMMYFUNCTION("""COMPUTED_VALUE"""),64.16666666666667)</f>
        <v>64.16666667</v>
      </c>
    </row>
    <row r="335">
      <c r="A335" s="158" t="str">
        <f>IFERROR(__xludf.DUMMYFUNCTION("""COMPUTED_VALUE"""),"Wolfenstein II: The New Colossus")</f>
        <v>Wolfenstein II: The New Colossus</v>
      </c>
      <c r="B335" s="158" t="str">
        <f>IFERROR(__xludf.DUMMYFUNCTION("""COMPUTED_VALUE"""),"Xbox / PC")</f>
        <v>Xbox / PC</v>
      </c>
      <c r="C335" s="158" t="str">
        <f>IFERROR(__xludf.DUMMYFUNCTION("""COMPUTED_VALUE"""),"Yes")</f>
        <v>Yes</v>
      </c>
      <c r="D335" s="159" t="str">
        <f>IFERROR(__xludf.DUMMYFUNCTION("""COMPUTED_VALUE"""),"Active")</f>
        <v>Active</v>
      </c>
      <c r="E335" s="160">
        <f>IFERROR(__xludf.DUMMYFUNCTION("""COMPUTED_VALUE"""),43587.0)</f>
        <v>43587</v>
      </c>
      <c r="F335" s="161"/>
      <c r="G335" s="162">
        <f>IFERROR(__xludf.DUMMYFUNCTION("""COMPUTED_VALUE"""),77.43333333333334)</f>
        <v>77.43333333</v>
      </c>
      <c r="H335" s="163">
        <f>IFERROR(__xludf.DUMMYFUNCTION("""COMPUTED_VALUE"""),43035.0)</f>
        <v>43035</v>
      </c>
      <c r="I335" s="162">
        <f>IFERROR(__xludf.DUMMYFUNCTION("""COMPUTED_VALUE"""),1.5138888888888888)</f>
        <v>1.513888889</v>
      </c>
      <c r="J335" s="164">
        <f>IFERROR(__xludf.DUMMYFUNCTION("""COMPUTED_VALUE"""),88.0)</f>
        <v>88</v>
      </c>
      <c r="K335" s="164">
        <f>IFERROR(__xludf.DUMMYFUNCTION("""COMPUTED_VALUE"""),10.5)</f>
        <v>10.5</v>
      </c>
      <c r="L335" s="158" t="str">
        <f>IFERROR(__xludf.DUMMYFUNCTION("""COMPUTED_VALUE"""),"First-Person Shooter")</f>
        <v>First-Person Shooter</v>
      </c>
      <c r="M335" s="158"/>
      <c r="N335" s="158"/>
      <c r="O335" s="158" t="str">
        <f>IFERROR(__xludf.DUMMYFUNCTION("""COMPUTED_VALUE"""),"M")</f>
        <v>M</v>
      </c>
      <c r="P335" s="158" t="str">
        <f>IFERROR(__xludf.DUMMYFUNCTION("""COMPUTED_VALUE"""),"Blood and Gore, Sexual Content, Partial Nudity, Use of Drugs, Strong Language, Intense Violence")</f>
        <v>Blood and Gore, Sexual Content, Partial Nudity, Use of Drugs, Strong Language, Intense Violence</v>
      </c>
      <c r="Q335" s="158"/>
      <c r="R335" s="159" t="str">
        <f>IFERROR(__xludf.DUMMYFUNCTION("""COMPUTED_VALUE"""),"Active")</f>
        <v>Active</v>
      </c>
      <c r="S335" s="160">
        <f>IFERROR(__xludf.DUMMYFUNCTION("""COMPUTED_VALUE"""),45547.0)</f>
        <v>45547</v>
      </c>
      <c r="T335" s="162">
        <f>IFERROR(__xludf.DUMMYFUNCTION("""COMPUTED_VALUE"""),64.33333333333333)</f>
        <v>64.33333333</v>
      </c>
    </row>
    <row r="336">
      <c r="A336" s="158" t="str">
        <f>IFERROR(__xludf.DUMMYFUNCTION("""COMPUTED_VALUE"""),"The Walking Dead: A New Frontier")</f>
        <v>The Walking Dead: A New Frontier</v>
      </c>
      <c r="B336" s="158" t="str">
        <f>IFERROR(__xludf.DUMMYFUNCTION("""COMPUTED_VALUE"""),"Xbox / PC")</f>
        <v>Xbox / PC</v>
      </c>
      <c r="C336" s="158" t="str">
        <f>IFERROR(__xludf.DUMMYFUNCTION("""COMPUTED_VALUE"""),"Touch Controls")</f>
        <v>Touch Controls</v>
      </c>
      <c r="D336" s="159" t="str">
        <f>IFERROR(__xludf.DUMMYFUNCTION("""COMPUTED_VALUE"""),"Active")</f>
        <v>Active</v>
      </c>
      <c r="E336" s="160">
        <f>IFERROR(__xludf.DUMMYFUNCTION("""COMPUTED_VALUE"""),43573.0)</f>
        <v>43573</v>
      </c>
      <c r="F336" s="161"/>
      <c r="G336" s="162">
        <f>IFERROR(__xludf.DUMMYFUNCTION("""COMPUTED_VALUE"""),77.89999999999999)</f>
        <v>77.9</v>
      </c>
      <c r="H336" s="163">
        <f>IFERROR(__xludf.DUMMYFUNCTION("""COMPUTED_VALUE"""),42724.0)</f>
        <v>42724</v>
      </c>
      <c r="I336" s="162">
        <f>IFERROR(__xludf.DUMMYFUNCTION("""COMPUTED_VALUE"""),2.327777777777778)</f>
        <v>2.327777778</v>
      </c>
      <c r="J336" s="164">
        <f>IFERROR(__xludf.DUMMYFUNCTION("""COMPUTED_VALUE"""),73.0)</f>
        <v>73</v>
      </c>
      <c r="K336" s="164">
        <f>IFERROR(__xludf.DUMMYFUNCTION("""COMPUTED_VALUE"""),8.0)</f>
        <v>8</v>
      </c>
      <c r="L336" s="158" t="str">
        <f>IFERROR(__xludf.DUMMYFUNCTION("""COMPUTED_VALUE"""),"Adventure")</f>
        <v>Adventure</v>
      </c>
      <c r="M336" s="158"/>
      <c r="N336" s="158" t="str">
        <f>IFERROR(__xludf.DUMMYFUNCTION("""COMPUTED_VALUE"""),"Joined PC 11/1/22, left 9/30/24")</f>
        <v>Joined PC 11/1/22, left 9/30/24</v>
      </c>
      <c r="O336" s="158" t="str">
        <f>IFERROR(__xludf.DUMMYFUNCTION("""COMPUTED_VALUE"""),"M")</f>
        <v>M</v>
      </c>
      <c r="P336" s="158" t="str">
        <f>IFERROR(__xludf.DUMMYFUNCTION("""COMPUTED_VALUE"""),"Violence, Blood, Use of Drugs, Strong Language")</f>
        <v>Violence, Blood, Use of Drugs, Strong Language</v>
      </c>
      <c r="Q336" s="158"/>
      <c r="R336" s="159" t="str">
        <f>IFERROR(__xludf.DUMMYFUNCTION("""COMPUTED_VALUE"""),"Active")</f>
        <v>Active</v>
      </c>
      <c r="S336" s="160">
        <f>IFERROR(__xludf.DUMMYFUNCTION("""COMPUTED_VALUE"""),45547.0)</f>
        <v>45547</v>
      </c>
      <c r="T336" s="162">
        <f>IFERROR(__xludf.DUMMYFUNCTION("""COMPUTED_VALUE"""),64.80000000000001)</f>
        <v>64.8</v>
      </c>
    </row>
    <row r="337">
      <c r="A337" s="158" t="str">
        <f>IFERROR(__xludf.DUMMYFUNCTION("""COMPUTED_VALUE"""),"Prey")</f>
        <v>Prey</v>
      </c>
      <c r="B337" s="158" t="str">
        <f>IFERROR(__xludf.DUMMYFUNCTION("""COMPUTED_VALUE"""),"Xbox / PC")</f>
        <v>Xbox / PC</v>
      </c>
      <c r="C337" s="158" t="str">
        <f>IFERROR(__xludf.DUMMYFUNCTION("""COMPUTED_VALUE"""),"Yes")</f>
        <v>Yes</v>
      </c>
      <c r="D337" s="159" t="str">
        <f>IFERROR(__xludf.DUMMYFUNCTION("""COMPUTED_VALUE"""),"Active")</f>
        <v>Active</v>
      </c>
      <c r="E337" s="160">
        <f>IFERROR(__xludf.DUMMYFUNCTION("""COMPUTED_VALUE"""),43566.0)</f>
        <v>43566</v>
      </c>
      <c r="F337" s="161"/>
      <c r="G337" s="162">
        <f>IFERROR(__xludf.DUMMYFUNCTION("""COMPUTED_VALUE"""),78.13333333333333)</f>
        <v>78.13333333</v>
      </c>
      <c r="H337" s="163">
        <f>IFERROR(__xludf.DUMMYFUNCTION("""COMPUTED_VALUE"""),42860.0)</f>
        <v>42860</v>
      </c>
      <c r="I337" s="162">
        <f>IFERROR(__xludf.DUMMYFUNCTION("""COMPUTED_VALUE"""),1.9333333333333333)</f>
        <v>1.933333333</v>
      </c>
      <c r="J337" s="164">
        <f>IFERROR(__xludf.DUMMYFUNCTION("""COMPUTED_VALUE"""),83.0)</f>
        <v>83</v>
      </c>
      <c r="K337" s="164">
        <f>IFERROR(__xludf.DUMMYFUNCTION("""COMPUTED_VALUE"""),16.0)</f>
        <v>16</v>
      </c>
      <c r="L337" s="158" t="str">
        <f>IFERROR(__xludf.DUMMYFUNCTION("""COMPUTED_VALUE"""),"First-Person Shooter / Action-Adventure")</f>
        <v>First-Person Shooter / Action-Adventure</v>
      </c>
      <c r="M337" s="158" t="str">
        <f>IFERROR(__xludf.DUMMYFUNCTION("""COMPUTED_VALUE"""),"FPS Boost")</f>
        <v>FPS Boost</v>
      </c>
      <c r="N337" s="158"/>
      <c r="O337" s="158" t="str">
        <f>IFERROR(__xludf.DUMMYFUNCTION("""COMPUTED_VALUE"""),"M")</f>
        <v>M</v>
      </c>
      <c r="P337" s="158" t="str">
        <f>IFERROR(__xludf.DUMMYFUNCTION("""COMPUTED_VALUE"""),"Use of Alcohol, Blood, Violence, Language")</f>
        <v>Use of Alcohol, Blood, Violence, Language</v>
      </c>
      <c r="Q337" s="158"/>
      <c r="R337" s="159" t="str">
        <f>IFERROR(__xludf.DUMMYFUNCTION("""COMPUTED_VALUE"""),"Active")</f>
        <v>Active</v>
      </c>
      <c r="S337" s="160">
        <f>IFERROR(__xludf.DUMMYFUNCTION("""COMPUTED_VALUE"""),45547.0)</f>
        <v>45547</v>
      </c>
      <c r="T337" s="162">
        <f>IFERROR(__xludf.DUMMYFUNCTION("""COMPUTED_VALUE"""),65.03333333333333)</f>
        <v>65.03333333</v>
      </c>
    </row>
    <row r="338">
      <c r="A338" s="158" t="str">
        <f>IFERROR(__xludf.DUMMYFUNCTION("""COMPUTED_VALUE"""),"Minecraft")</f>
        <v>Minecraft</v>
      </c>
      <c r="B338" s="158" t="str">
        <f>IFERROR(__xludf.DUMMYFUNCTION("""COMPUTED_VALUE"""),"Xbox / PC")</f>
        <v>Xbox / PC</v>
      </c>
      <c r="C338" s="158"/>
      <c r="D338" s="159" t="str">
        <f>IFERROR(__xludf.DUMMYFUNCTION("""COMPUTED_VALUE"""),"Active")</f>
        <v>Active</v>
      </c>
      <c r="E338" s="160">
        <f>IFERROR(__xludf.DUMMYFUNCTION("""COMPUTED_VALUE"""),43559.0)</f>
        <v>43559</v>
      </c>
      <c r="F338" s="161"/>
      <c r="G338" s="162">
        <f>IFERROR(__xludf.DUMMYFUNCTION("""COMPUTED_VALUE"""),78.36666666666667)</f>
        <v>78.36666667</v>
      </c>
      <c r="H338" s="163">
        <f>IFERROR(__xludf.DUMMYFUNCTION("""COMPUTED_VALUE"""),40865.0)</f>
        <v>40865</v>
      </c>
      <c r="I338" s="162">
        <f>IFERROR(__xludf.DUMMYFUNCTION("""COMPUTED_VALUE"""),7.377777777777778)</f>
        <v>7.377777778</v>
      </c>
      <c r="J338" s="164">
        <f>IFERROR(__xludf.DUMMYFUNCTION("""COMPUTED_VALUE"""),88.0)</f>
        <v>88</v>
      </c>
      <c r="K338" s="164">
        <f>IFERROR(__xludf.DUMMYFUNCTION("""COMPUTED_VALUE"""),116.0)</f>
        <v>116</v>
      </c>
      <c r="L338" s="158" t="str">
        <f>IFERROR(__xludf.DUMMYFUNCTION("""COMPUTED_VALUE"""),"Action-Adventure")</f>
        <v>Action-Adventure</v>
      </c>
      <c r="M338" s="158"/>
      <c r="N338" s="158" t="str">
        <f>IFERROR(__xludf.DUMMYFUNCTION("""COMPUTED_VALUE"""),"Joined PC 11/2/21 (Java and Bedrock Editions)")</f>
        <v>Joined PC 11/2/21 (Java and Bedrock Editions)</v>
      </c>
      <c r="O338" s="158" t="str">
        <f>IFERROR(__xludf.DUMMYFUNCTION("""COMPUTED_VALUE"""),"E10+")</f>
        <v>E10+</v>
      </c>
      <c r="P338" s="158" t="str">
        <f>IFERROR(__xludf.DUMMYFUNCTION("""COMPUTED_VALUE"""),"Fantasy Violence")</f>
        <v>Fantasy Violence</v>
      </c>
      <c r="Q338" s="158"/>
      <c r="R338" s="159" t="str">
        <f>IFERROR(__xludf.DUMMYFUNCTION("""COMPUTED_VALUE"""),"Active")</f>
        <v>Active</v>
      </c>
      <c r="S338" s="160">
        <f>IFERROR(__xludf.DUMMYFUNCTION("""COMPUTED_VALUE"""),45547.0)</f>
        <v>45547</v>
      </c>
      <c r="T338" s="162">
        <f>IFERROR(__xludf.DUMMYFUNCTION("""COMPUTED_VALUE"""),65.26666666666667)</f>
        <v>65.26666667</v>
      </c>
    </row>
    <row r="339">
      <c r="A339" s="158" t="str">
        <f>IFERROR(__xludf.DUMMYFUNCTION("""COMPUTED_VALUE"""),"Fallout 4")</f>
        <v>Fallout 4</v>
      </c>
      <c r="B339" s="158" t="str">
        <f>IFERROR(__xludf.DUMMYFUNCTION("""COMPUTED_VALUE"""),"Xbox / PC")</f>
        <v>Xbox / PC</v>
      </c>
      <c r="C339" s="158" t="str">
        <f>IFERROR(__xludf.DUMMYFUNCTION("""COMPUTED_VALUE"""),"Yes")</f>
        <v>Yes</v>
      </c>
      <c r="D339" s="159" t="str">
        <f>IFERROR(__xludf.DUMMYFUNCTION("""COMPUTED_VALUE"""),"Active")</f>
        <v>Active</v>
      </c>
      <c r="E339" s="160">
        <f>IFERROR(__xludf.DUMMYFUNCTION("""COMPUTED_VALUE"""),43538.0)</f>
        <v>43538</v>
      </c>
      <c r="F339" s="161"/>
      <c r="G339" s="162">
        <f>IFERROR(__xludf.DUMMYFUNCTION("""COMPUTED_VALUE"""),79.03333333333333)</f>
        <v>79.03333333</v>
      </c>
      <c r="H339" s="163">
        <f>IFERROR(__xludf.DUMMYFUNCTION("""COMPUTED_VALUE"""),42318.0)</f>
        <v>42318</v>
      </c>
      <c r="I339" s="162">
        <f>IFERROR(__xludf.DUMMYFUNCTION("""COMPUTED_VALUE"""),3.3444444444444446)</f>
        <v>3.344444444</v>
      </c>
      <c r="J339" s="164">
        <f>IFERROR(__xludf.DUMMYFUNCTION("""COMPUTED_VALUE"""),88.0)</f>
        <v>88</v>
      </c>
      <c r="K339" s="164">
        <f>IFERROR(__xludf.DUMMYFUNCTION("""COMPUTED_VALUE"""),26.5)</f>
        <v>26.5</v>
      </c>
      <c r="L339" s="158" t="str">
        <f>IFERROR(__xludf.DUMMYFUNCTION("""COMPUTED_VALUE"""),"RPG / Shooter")</f>
        <v>RPG / Shooter</v>
      </c>
      <c r="M339" s="158" t="str">
        <f>IFERROR(__xludf.DUMMYFUNCTION("""COMPUTED_VALUE"""),"FPS Boost")</f>
        <v>FPS Boost</v>
      </c>
      <c r="N339" s="158" t="str">
        <f>IFERROR(__xludf.DUMMYFUNCTION("""COMPUTED_VALUE"""),"Game Pass Essential launch title (9/14/23), Official PC Mod Support")</f>
        <v>Game Pass Essential launch title (9/14/23), Official PC Mod Support</v>
      </c>
      <c r="O339" s="158" t="str">
        <f>IFERROR(__xludf.DUMMYFUNCTION("""COMPUTED_VALUE"""),"M")</f>
        <v>M</v>
      </c>
      <c r="P339" s="158" t="str">
        <f>IFERROR(__xludf.DUMMYFUNCTION("""COMPUTED_VALUE"""),"Blood and Gore, Use of Drugs, Strong Language, Intense Violence")</f>
        <v>Blood and Gore, Use of Drugs, Strong Language, Intense Violence</v>
      </c>
      <c r="Q339" s="158"/>
      <c r="R339" s="159" t="str">
        <f>IFERROR(__xludf.DUMMYFUNCTION("""COMPUTED_VALUE"""),"Active")</f>
        <v>Active</v>
      </c>
      <c r="S339" s="160">
        <f>IFERROR(__xludf.DUMMYFUNCTION("""COMPUTED_VALUE"""),45547.0)</f>
        <v>45547</v>
      </c>
      <c r="T339" s="162">
        <f>IFERROR(__xludf.DUMMYFUNCTION("""COMPUTED_VALUE"""),65.93333333333334)</f>
        <v>65.93333333</v>
      </c>
    </row>
    <row r="340">
      <c r="A340" s="158" t="str">
        <f>IFERROR(__xludf.DUMMYFUNCTION("""COMPUTED_VALUE"""),"The Walking Dead: Michonne")</f>
        <v>The Walking Dead: Michonne</v>
      </c>
      <c r="B340" s="158" t="str">
        <f>IFERROR(__xludf.DUMMYFUNCTION("""COMPUTED_VALUE"""),"Xbox / PC")</f>
        <v>Xbox / PC</v>
      </c>
      <c r="C340" s="158" t="str">
        <f>IFERROR(__xludf.DUMMYFUNCTION("""COMPUTED_VALUE"""),"Touch Controls")</f>
        <v>Touch Controls</v>
      </c>
      <c r="D340" s="159" t="str">
        <f>IFERROR(__xludf.DUMMYFUNCTION("""COMPUTED_VALUE"""),"Active")</f>
        <v>Active</v>
      </c>
      <c r="E340" s="160">
        <f>IFERROR(__xludf.DUMMYFUNCTION("""COMPUTED_VALUE"""),43552.0)</f>
        <v>43552</v>
      </c>
      <c r="F340" s="161"/>
      <c r="G340" s="162">
        <f>IFERROR(__xludf.DUMMYFUNCTION("""COMPUTED_VALUE"""),78.56666666666666)</f>
        <v>78.56666667</v>
      </c>
      <c r="H340" s="163">
        <f>IFERROR(__xludf.DUMMYFUNCTION("""COMPUTED_VALUE"""),42423.0)</f>
        <v>42423</v>
      </c>
      <c r="I340" s="162">
        <f>IFERROR(__xludf.DUMMYFUNCTION("""COMPUTED_VALUE"""),3.0972222222222223)</f>
        <v>3.097222222</v>
      </c>
      <c r="J340" s="164">
        <f>IFERROR(__xludf.DUMMYFUNCTION("""COMPUTED_VALUE"""),64.0)</f>
        <v>64</v>
      </c>
      <c r="K340" s="164">
        <f>IFERROR(__xludf.DUMMYFUNCTION("""COMPUTED_VALUE"""),4.0)</f>
        <v>4</v>
      </c>
      <c r="L340" s="158" t="str">
        <f>IFERROR(__xludf.DUMMYFUNCTION("""COMPUTED_VALUE"""),"Adventure")</f>
        <v>Adventure</v>
      </c>
      <c r="M340" s="158"/>
      <c r="N340" s="158" t="str">
        <f>IFERROR(__xludf.DUMMYFUNCTION("""COMPUTED_VALUE"""),"Joined PC 11/1/22, left 9/30/24")</f>
        <v>Joined PC 11/1/22, left 9/30/24</v>
      </c>
      <c r="O340" s="158" t="str">
        <f>IFERROR(__xludf.DUMMYFUNCTION("""COMPUTED_VALUE"""),"M")</f>
        <v>M</v>
      </c>
      <c r="P340" s="158" t="str">
        <f>IFERROR(__xludf.DUMMYFUNCTION("""COMPUTED_VALUE"""),"Intense Violence, Blood, Use of Drugs, Language")</f>
        <v>Intense Violence, Blood, Use of Drugs, Language</v>
      </c>
      <c r="Q340" s="158"/>
      <c r="R340" s="159" t="str">
        <f>IFERROR(__xludf.DUMMYFUNCTION("""COMPUTED_VALUE"""),"Active")</f>
        <v>Active</v>
      </c>
      <c r="S340" s="160">
        <f>IFERROR(__xludf.DUMMYFUNCTION("""COMPUTED_VALUE"""),45547.0)</f>
        <v>45547</v>
      </c>
      <c r="T340" s="162">
        <f>IFERROR(__xludf.DUMMYFUNCTION("""COMPUTED_VALUE"""),65.46666666666667)</f>
        <v>65.46666667</v>
      </c>
    </row>
    <row r="341">
      <c r="A341" s="158" t="str">
        <f>IFERROR(__xludf.DUMMYFUNCTION("""COMPUTED_VALUE"""),"Crackdown 3")</f>
        <v>Crackdown 3</v>
      </c>
      <c r="B341" s="158" t="str">
        <f>IFERROR(__xludf.DUMMYFUNCTION("""COMPUTED_VALUE"""),"Xbox / PC")</f>
        <v>Xbox / PC</v>
      </c>
      <c r="C341" s="158" t="str">
        <f>IFERROR(__xludf.DUMMYFUNCTION("""COMPUTED_VALUE"""),"Yes")</f>
        <v>Yes</v>
      </c>
      <c r="D341" s="159" t="str">
        <f>IFERROR(__xludf.DUMMYFUNCTION("""COMPUTED_VALUE"""),"Active")</f>
        <v>Active</v>
      </c>
      <c r="E341" s="160">
        <f>IFERROR(__xludf.DUMMYFUNCTION("""COMPUTED_VALUE"""),43511.0)</f>
        <v>43511</v>
      </c>
      <c r="F341" s="161"/>
      <c r="G341" s="162">
        <f>IFERROR(__xludf.DUMMYFUNCTION("""COMPUTED_VALUE"""),80.0)</f>
        <v>80</v>
      </c>
      <c r="H341" s="163">
        <f>IFERROR(__xludf.DUMMYFUNCTION("""COMPUTED_VALUE"""),43511.0)</f>
        <v>43511</v>
      </c>
      <c r="I341" s="162">
        <f>IFERROR(__xludf.DUMMYFUNCTION("""COMPUTED_VALUE"""),0.0)</f>
        <v>0</v>
      </c>
      <c r="J341" s="164">
        <f>IFERROR(__xludf.DUMMYFUNCTION("""COMPUTED_VALUE"""),60.0)</f>
        <v>60</v>
      </c>
      <c r="K341" s="164">
        <f>IFERROR(__xludf.DUMMYFUNCTION("""COMPUTED_VALUE"""),6.5)</f>
        <v>6.5</v>
      </c>
      <c r="L341" s="158" t="str">
        <f>IFERROR(__xludf.DUMMYFUNCTION("""COMPUTED_VALUE"""),"Action-Adventure")</f>
        <v>Action-Adventure</v>
      </c>
      <c r="M341" s="158"/>
      <c r="N341" s="158"/>
      <c r="O341" s="158" t="str">
        <f>IFERROR(__xludf.DUMMYFUNCTION("""COMPUTED_VALUE"""),"M")</f>
        <v>M</v>
      </c>
      <c r="P341" s="158" t="str">
        <f>IFERROR(__xludf.DUMMYFUNCTION("""COMPUTED_VALUE"""),"Blood, Sexual Themes, Drug Reference, Strong Language, Violence")</f>
        <v>Blood, Sexual Themes, Drug Reference, Strong Language, Violence</v>
      </c>
      <c r="Q341" s="158"/>
      <c r="R341" s="159" t="str">
        <f>IFERROR(__xludf.DUMMYFUNCTION("""COMPUTED_VALUE"""),"Active")</f>
        <v>Active</v>
      </c>
      <c r="S341" s="160">
        <f>IFERROR(__xludf.DUMMYFUNCTION("""COMPUTED_VALUE"""),45547.0)</f>
        <v>45547</v>
      </c>
      <c r="T341" s="162">
        <f>IFERROR(__xludf.DUMMYFUNCTION("""COMPUTED_VALUE"""),66.9)</f>
        <v>66.9</v>
      </c>
    </row>
    <row r="342">
      <c r="A342" s="158" t="str">
        <f>IFERROR(__xludf.DUMMYFUNCTION("""COMPUTED_VALUE"""),"The Walking Dead: The Complete First Season")</f>
        <v>The Walking Dead: The Complete First Season</v>
      </c>
      <c r="B342" s="158" t="str">
        <f>IFERROR(__xludf.DUMMYFUNCTION("""COMPUTED_VALUE"""),"Xbox / PC")</f>
        <v>Xbox / PC</v>
      </c>
      <c r="C342" s="158" t="str">
        <f>IFERROR(__xludf.DUMMYFUNCTION("""COMPUTED_VALUE"""),"Touch Controls")</f>
        <v>Touch Controls</v>
      </c>
      <c r="D342" s="159" t="str">
        <f>IFERROR(__xludf.DUMMYFUNCTION("""COMPUTED_VALUE"""),"Active")</f>
        <v>Active</v>
      </c>
      <c r="E342" s="160">
        <f>IFERROR(__xludf.DUMMYFUNCTION("""COMPUTED_VALUE"""),43503.0)</f>
        <v>43503</v>
      </c>
      <c r="F342" s="161"/>
      <c r="G342" s="162">
        <f>IFERROR(__xludf.DUMMYFUNCTION("""COMPUTED_VALUE"""),80.26666666666667)</f>
        <v>80.26666667</v>
      </c>
      <c r="H342" s="163">
        <f>IFERROR(__xludf.DUMMYFUNCTION("""COMPUTED_VALUE"""),43074.0)</f>
        <v>43074</v>
      </c>
      <c r="I342" s="162">
        <f>IFERROR(__xludf.DUMMYFUNCTION("""COMPUTED_VALUE"""),1.1722222222222223)</f>
        <v>1.172222222</v>
      </c>
      <c r="J342" s="164">
        <f>IFERROR(__xludf.DUMMYFUNCTION("""COMPUTED_VALUE"""),89.0)</f>
        <v>89</v>
      </c>
      <c r="K342" s="164">
        <f>IFERROR(__xludf.DUMMYFUNCTION("""COMPUTED_VALUE"""),13.0)</f>
        <v>13</v>
      </c>
      <c r="L342" s="158" t="str">
        <f>IFERROR(__xludf.DUMMYFUNCTION("""COMPUTED_VALUE"""),"Light-Gun Shooter")</f>
        <v>Light-Gun Shooter</v>
      </c>
      <c r="M342" s="158"/>
      <c r="N342" s="158" t="str">
        <f>IFERROR(__xludf.DUMMYFUNCTION("""COMPUTED_VALUE"""),"Joined PC 10/6/22, leaves PC 9/30/24")</f>
        <v>Joined PC 10/6/22, leaves PC 9/30/24</v>
      </c>
      <c r="O342" s="158" t="str">
        <f>IFERROR(__xludf.DUMMYFUNCTION("""COMPUTED_VALUE"""),"M")</f>
        <v>M</v>
      </c>
      <c r="P342" s="158" t="str">
        <f>IFERROR(__xludf.DUMMYFUNCTION("""COMPUTED_VALUE"""),"Blood and Gore, Sexual Themes, Drug Reference, Strong Language, Intense Violence")</f>
        <v>Blood and Gore, Sexual Themes, Drug Reference, Strong Language, Intense Violence</v>
      </c>
      <c r="Q342" s="158"/>
      <c r="R342" s="159" t="str">
        <f>IFERROR(__xludf.DUMMYFUNCTION("""COMPUTED_VALUE"""),"Active")</f>
        <v>Active</v>
      </c>
      <c r="S342" s="160">
        <f>IFERROR(__xludf.DUMMYFUNCTION("""COMPUTED_VALUE"""),45547.0)</f>
        <v>45547</v>
      </c>
      <c r="T342" s="162">
        <f>IFERROR(__xludf.DUMMYFUNCTION("""COMPUTED_VALUE"""),67.16666666666667)</f>
        <v>67.16666667</v>
      </c>
    </row>
    <row r="343">
      <c r="A343" s="158" t="str">
        <f>IFERROR(__xludf.DUMMYFUNCTION("""COMPUTED_VALUE"""),"The Walking Dead: Season Two")</f>
        <v>The Walking Dead: Season Two</v>
      </c>
      <c r="B343" s="158" t="str">
        <f>IFERROR(__xludf.DUMMYFUNCTION("""COMPUTED_VALUE"""),"Xbox / PC")</f>
        <v>Xbox / PC</v>
      </c>
      <c r="C343" s="158" t="str">
        <f>IFERROR(__xludf.DUMMYFUNCTION("""COMPUTED_VALUE"""),"Touch Controls")</f>
        <v>Touch Controls</v>
      </c>
      <c r="D343" s="159" t="str">
        <f>IFERROR(__xludf.DUMMYFUNCTION("""COMPUTED_VALUE"""),"Active")</f>
        <v>Active</v>
      </c>
      <c r="E343" s="160">
        <f>IFERROR(__xludf.DUMMYFUNCTION("""COMPUTED_VALUE"""),43524.0)</f>
        <v>43524</v>
      </c>
      <c r="F343" s="161"/>
      <c r="G343" s="162">
        <f>IFERROR(__xludf.DUMMYFUNCTION("""COMPUTED_VALUE"""),79.56666666666666)</f>
        <v>79.56666667</v>
      </c>
      <c r="H343" s="163">
        <f>IFERROR(__xludf.DUMMYFUNCTION("""COMPUTED_VALUE"""),41625.0)</f>
        <v>41625</v>
      </c>
      <c r="I343" s="162">
        <f>IFERROR(__xludf.DUMMYFUNCTION("""COMPUTED_VALUE"""),5.197222222222222)</f>
        <v>5.197222222</v>
      </c>
      <c r="J343" s="164">
        <f>IFERROR(__xludf.DUMMYFUNCTION("""COMPUTED_VALUE"""),83.0)</f>
        <v>83</v>
      </c>
      <c r="K343" s="164">
        <f>IFERROR(__xludf.DUMMYFUNCTION("""COMPUTED_VALUE"""),9.5)</f>
        <v>9.5</v>
      </c>
      <c r="L343" s="158" t="str">
        <f>IFERROR(__xludf.DUMMYFUNCTION("""COMPUTED_VALUE"""),"Adventure")</f>
        <v>Adventure</v>
      </c>
      <c r="M343" s="158"/>
      <c r="N343" s="158" t="str">
        <f>IFERROR(__xludf.DUMMYFUNCTION("""COMPUTED_VALUE"""),"Joined PC 10/6/22, leaves PC 9/30/24")</f>
        <v>Joined PC 10/6/22, leaves PC 9/30/24</v>
      </c>
      <c r="O343" s="158" t="str">
        <f>IFERROR(__xludf.DUMMYFUNCTION("""COMPUTED_VALUE"""),"M")</f>
        <v>M</v>
      </c>
      <c r="P343" s="158" t="str">
        <f>IFERROR(__xludf.DUMMYFUNCTION("""COMPUTED_VALUE"""),"Blood and Gore, Intense Violence, Strong Language")</f>
        <v>Blood and Gore, Intense Violence, Strong Language</v>
      </c>
      <c r="Q343" s="158"/>
      <c r="R343" s="159" t="str">
        <f>IFERROR(__xludf.DUMMYFUNCTION("""COMPUTED_VALUE"""),"Active")</f>
        <v>Active</v>
      </c>
      <c r="S343" s="160">
        <f>IFERROR(__xludf.DUMMYFUNCTION("""COMPUTED_VALUE"""),45547.0)</f>
        <v>45547</v>
      </c>
      <c r="T343" s="162">
        <f>IFERROR(__xludf.DUMMYFUNCTION("""COMPUTED_VALUE"""),66.46666666666667)</f>
        <v>66.46666667</v>
      </c>
    </row>
    <row r="344">
      <c r="A344" s="158" t="str">
        <f>IFERROR(__xludf.DUMMYFUNCTION("""COMPUTED_VALUE"""),"ARK: Ultimate Survivor Edition ")</f>
        <v>ARK: Ultimate Survivor Edition </v>
      </c>
      <c r="B344" s="158" t="str">
        <f>IFERROR(__xludf.DUMMYFUNCTION("""COMPUTED_VALUE"""),"Xbox / PC")</f>
        <v>Xbox / PC</v>
      </c>
      <c r="C344" s="158" t="str">
        <f>IFERROR(__xludf.DUMMYFUNCTION("""COMPUTED_VALUE"""),"Yes")</f>
        <v>Yes</v>
      </c>
      <c r="D344" s="159" t="str">
        <f>IFERROR(__xludf.DUMMYFUNCTION("""COMPUTED_VALUE"""),"Active")</f>
        <v>Active</v>
      </c>
      <c r="E344" s="160">
        <f>IFERROR(__xludf.DUMMYFUNCTION("""COMPUTED_VALUE"""),43468.0)</f>
        <v>43468</v>
      </c>
      <c r="F344" s="161"/>
      <c r="G344" s="162">
        <f>IFERROR(__xludf.DUMMYFUNCTION("""COMPUTED_VALUE"""),81.4)</f>
        <v>81.4</v>
      </c>
      <c r="H344" s="163">
        <f>IFERROR(__xludf.DUMMYFUNCTION("""COMPUTED_VALUE"""),42710.0)</f>
        <v>42710</v>
      </c>
      <c r="I344" s="162">
        <f>IFERROR(__xludf.DUMMYFUNCTION("""COMPUTED_VALUE"""),2.075)</f>
        <v>2.075</v>
      </c>
      <c r="J344" s="164">
        <f>IFERROR(__xludf.DUMMYFUNCTION("""COMPUTED_VALUE"""),69.0)</f>
        <v>69</v>
      </c>
      <c r="K344" s="164">
        <f>IFERROR(__xludf.DUMMYFUNCTION("""COMPUTED_VALUE"""),123.0)</f>
        <v>123</v>
      </c>
      <c r="L344" s="158" t="str">
        <f>IFERROR(__xludf.DUMMYFUNCTION("""COMPUTED_VALUE"""),"Action-Adventure")</f>
        <v>Action-Adventure</v>
      </c>
      <c r="M344" s="158" t="str">
        <f>IFERROR(__xludf.DUMMYFUNCTION("""COMPUTED_VALUE"""),"Optimized")</f>
        <v>Optimized</v>
      </c>
      <c r="N344" s="158" t="str">
        <f>IFERROR(__xludf.DUMMYFUNCTION("""COMPUTED_VALUE"""),"New edition joins 2/14/22, Previously ARK: Survival Evolved - Explorer's Edition")</f>
        <v>New edition joins 2/14/22, Previously ARK: Survival Evolved - Explorer's Edition</v>
      </c>
      <c r="O344" s="158" t="str">
        <f>IFERROR(__xludf.DUMMYFUNCTION("""COMPUTED_VALUE"""),"T")</f>
        <v>T</v>
      </c>
      <c r="P344" s="158" t="str">
        <f>IFERROR(__xludf.DUMMYFUNCTION("""COMPUTED_VALUE"""),"Use of Alcohol, Crude Humor, Blood, Violence")</f>
        <v>Use of Alcohol, Crude Humor, Blood, Violence</v>
      </c>
      <c r="Q344" s="158"/>
      <c r="R344" s="159" t="str">
        <f>IFERROR(__xludf.DUMMYFUNCTION("""COMPUTED_VALUE"""),"Active")</f>
        <v>Active</v>
      </c>
      <c r="S344" s="160">
        <f>IFERROR(__xludf.DUMMYFUNCTION("""COMPUTED_VALUE"""),45547.0)</f>
        <v>45547</v>
      </c>
      <c r="T344" s="162">
        <f>IFERROR(__xludf.DUMMYFUNCTION("""COMPUTED_VALUE"""),68.3)</f>
        <v>68.3</v>
      </c>
    </row>
    <row r="345">
      <c r="A345" s="158" t="str">
        <f>IFERROR(__xludf.DUMMYFUNCTION("""COMPUTED_VALUE"""),"Ori and the Blind Forest: Definitive Edition")</f>
        <v>Ori and the Blind Forest: Definitive Edition</v>
      </c>
      <c r="B345" s="158" t="str">
        <f>IFERROR(__xludf.DUMMYFUNCTION("""COMPUTED_VALUE"""),"Xbox / PC")</f>
        <v>Xbox / PC</v>
      </c>
      <c r="C345" s="158" t="str">
        <f>IFERROR(__xludf.DUMMYFUNCTION("""COMPUTED_VALUE"""),"Yes")</f>
        <v>Yes</v>
      </c>
      <c r="D345" s="159" t="str">
        <f>IFERROR(__xludf.DUMMYFUNCTION("""COMPUTED_VALUE"""),"Active")</f>
        <v>Active</v>
      </c>
      <c r="E345" s="160">
        <f>IFERROR(__xludf.DUMMYFUNCTION("""COMPUTED_VALUE"""),43454.0)</f>
        <v>43454</v>
      </c>
      <c r="F345" s="161"/>
      <c r="G345" s="162">
        <f>IFERROR(__xludf.DUMMYFUNCTION("""COMPUTED_VALUE"""),81.83333333333334)</f>
        <v>81.83333333</v>
      </c>
      <c r="H345" s="163">
        <f>IFERROR(__xludf.DUMMYFUNCTION("""COMPUTED_VALUE"""),42074.0)</f>
        <v>42074</v>
      </c>
      <c r="I345" s="162">
        <f>IFERROR(__xludf.DUMMYFUNCTION("""COMPUTED_VALUE"""),3.775)</f>
        <v>3.775</v>
      </c>
      <c r="J345" s="164">
        <f>IFERROR(__xludf.DUMMYFUNCTION("""COMPUTED_VALUE"""),88.0)</f>
        <v>88</v>
      </c>
      <c r="K345" s="164">
        <f>IFERROR(__xludf.DUMMYFUNCTION("""COMPUTED_VALUE"""),8.5)</f>
        <v>8.5</v>
      </c>
      <c r="L345" s="158" t="str">
        <f>IFERROR(__xludf.DUMMYFUNCTION("""COMPUTED_VALUE"""),"Puzzle / Platformer / Action-Adventure")</f>
        <v>Puzzle / Platformer / Action-Adventure</v>
      </c>
      <c r="M345" s="158"/>
      <c r="N345" s="158"/>
      <c r="O345" s="158" t="str">
        <f>IFERROR(__xludf.DUMMYFUNCTION("""COMPUTED_VALUE"""),"E")</f>
        <v>E</v>
      </c>
      <c r="P345" s="158" t="str">
        <f>IFERROR(__xludf.DUMMYFUNCTION("""COMPUTED_VALUE"""),"Mild Fantasy Violence")</f>
        <v>Mild Fantasy Violence</v>
      </c>
      <c r="Q345" s="158"/>
      <c r="R345" s="159" t="str">
        <f>IFERROR(__xludf.DUMMYFUNCTION("""COMPUTED_VALUE"""),"Active")</f>
        <v>Active</v>
      </c>
      <c r="S345" s="160">
        <f>IFERROR(__xludf.DUMMYFUNCTION("""COMPUTED_VALUE"""),45547.0)</f>
        <v>45547</v>
      </c>
      <c r="T345" s="162">
        <f>IFERROR(__xludf.DUMMYFUNCTION("""COMPUTED_VALUE"""),68.73333333333333)</f>
        <v>68.73333333</v>
      </c>
    </row>
    <row r="346">
      <c r="A346" s="158" t="str">
        <f>IFERROR(__xludf.DUMMYFUNCTION("""COMPUTED_VALUE"""),"Hellblade: Senua's Sacrifice")</f>
        <v>Hellblade: Senua's Sacrifice</v>
      </c>
      <c r="B346" s="158" t="str">
        <f>IFERROR(__xludf.DUMMYFUNCTION("""COMPUTED_VALUE"""),"Xbox / PC")</f>
        <v>Xbox / PC</v>
      </c>
      <c r="C346" s="158" t="str">
        <f>IFERROR(__xludf.DUMMYFUNCTION("""COMPUTED_VALUE"""),"Touch Controls")</f>
        <v>Touch Controls</v>
      </c>
      <c r="D346" s="159" t="str">
        <f>IFERROR(__xludf.DUMMYFUNCTION("""COMPUTED_VALUE"""),"Active")</f>
        <v>Active</v>
      </c>
      <c r="E346" s="160">
        <f>IFERROR(__xludf.DUMMYFUNCTION("""COMPUTED_VALUE"""),43451.0)</f>
        <v>43451</v>
      </c>
      <c r="F346" s="161"/>
      <c r="G346" s="162">
        <f>IFERROR(__xludf.DUMMYFUNCTION("""COMPUTED_VALUE"""),81.93333333333334)</f>
        <v>81.93333333</v>
      </c>
      <c r="H346" s="163">
        <f>IFERROR(__xludf.DUMMYFUNCTION("""COMPUTED_VALUE"""),42955.0)</f>
        <v>42955</v>
      </c>
      <c r="I346" s="162">
        <f>IFERROR(__xludf.DUMMYFUNCTION("""COMPUTED_VALUE"""),1.3583333333333334)</f>
        <v>1.358333333</v>
      </c>
      <c r="J346" s="164">
        <f>IFERROR(__xludf.DUMMYFUNCTION("""COMPUTED_VALUE"""),88.0)</f>
        <v>88</v>
      </c>
      <c r="K346" s="164">
        <f>IFERROR(__xludf.DUMMYFUNCTION("""COMPUTED_VALUE"""),7.5)</f>
        <v>7.5</v>
      </c>
      <c r="L346" s="158" t="str">
        <f>IFERROR(__xludf.DUMMYFUNCTION("""COMPUTED_VALUE"""),"Action / Action-Adventure")</f>
        <v>Action / Action-Adventure</v>
      </c>
      <c r="M346" s="158" t="str">
        <f>IFERROR(__xludf.DUMMYFUNCTION("""COMPUTED_VALUE"""),"Optimized")</f>
        <v>Optimized</v>
      </c>
      <c r="N346" s="158" t="str">
        <f>IFERROR(__xludf.DUMMYFUNCTION("""COMPUTED_VALUE"""),"Game Pass Essential launch title (9/14/23)")</f>
        <v>Game Pass Essential launch title (9/14/23)</v>
      </c>
      <c r="O346" s="158" t="str">
        <f>IFERROR(__xludf.DUMMYFUNCTION("""COMPUTED_VALUE"""),"M")</f>
        <v>M</v>
      </c>
      <c r="P346" s="158" t="str">
        <f>IFERROR(__xludf.DUMMYFUNCTION("""COMPUTED_VALUE"""),"Blood and Gore, Strong Language, Intense Violence")</f>
        <v>Blood and Gore, Strong Language, Intense Violence</v>
      </c>
      <c r="Q346" s="158"/>
      <c r="R346" s="159" t="str">
        <f>IFERROR(__xludf.DUMMYFUNCTION("""COMPUTED_VALUE"""),"Active")</f>
        <v>Active</v>
      </c>
      <c r="S346" s="160">
        <f>IFERROR(__xludf.DUMMYFUNCTION("""COMPUTED_VALUE"""),45547.0)</f>
        <v>45547</v>
      </c>
      <c r="T346" s="162">
        <f>IFERROR(__xludf.DUMMYFUNCTION("""COMPUTED_VALUE"""),68.83333333333333)</f>
        <v>68.83333333</v>
      </c>
    </row>
    <row r="347">
      <c r="A347" s="158" t="str">
        <f>IFERROR(__xludf.DUMMYFUNCTION("""COMPUTED_VALUE"""),"Wolfenstein: The New Order")</f>
        <v>Wolfenstein: The New Order</v>
      </c>
      <c r="B347" s="158" t="str">
        <f>IFERROR(__xludf.DUMMYFUNCTION("""COMPUTED_VALUE"""),"Xbox / PC")</f>
        <v>Xbox / PC</v>
      </c>
      <c r="C347" s="158" t="str">
        <f>IFERROR(__xludf.DUMMYFUNCTION("""COMPUTED_VALUE"""),"Yes")</f>
        <v>Yes</v>
      </c>
      <c r="D347" s="159" t="str">
        <f>IFERROR(__xludf.DUMMYFUNCTION("""COMPUTED_VALUE"""),"Active")</f>
        <v>Active</v>
      </c>
      <c r="E347" s="160">
        <f>IFERROR(__xludf.DUMMYFUNCTION("""COMPUTED_VALUE"""),43374.0)</f>
        <v>43374</v>
      </c>
      <c r="F347" s="161"/>
      <c r="G347" s="162">
        <f>IFERROR(__xludf.DUMMYFUNCTION("""COMPUTED_VALUE"""),84.46666666666667)</f>
        <v>84.46666667</v>
      </c>
      <c r="H347" s="163">
        <f>IFERROR(__xludf.DUMMYFUNCTION("""COMPUTED_VALUE"""),41779.0)</f>
        <v>41779</v>
      </c>
      <c r="I347" s="162">
        <f>IFERROR(__xludf.DUMMYFUNCTION("""COMPUTED_VALUE"""),4.363888888888889)</f>
        <v>4.363888889</v>
      </c>
      <c r="J347" s="164">
        <f>IFERROR(__xludf.DUMMYFUNCTION("""COMPUTED_VALUE"""),80.0)</f>
        <v>80</v>
      </c>
      <c r="K347" s="164">
        <f>IFERROR(__xludf.DUMMYFUNCTION("""COMPUTED_VALUE"""),11.5)</f>
        <v>11.5</v>
      </c>
      <c r="L347" s="158" t="str">
        <f>IFERROR(__xludf.DUMMYFUNCTION("""COMPUTED_VALUE"""),"First-Person Shooter")</f>
        <v>First-Person Shooter</v>
      </c>
      <c r="M347" s="158"/>
      <c r="N347" s="158"/>
      <c r="O347" s="158" t="str">
        <f>IFERROR(__xludf.DUMMYFUNCTION("""COMPUTED_VALUE"""),"M")</f>
        <v>M</v>
      </c>
      <c r="P347" s="158" t="str">
        <f>IFERROR(__xludf.DUMMYFUNCTION("""COMPUTED_VALUE"""),"Blood and Gore, Strong Sexual Content, Use of Drugs, Strong Language, Intense Violence")</f>
        <v>Blood and Gore, Strong Sexual Content, Use of Drugs, Strong Language, Intense Violence</v>
      </c>
      <c r="Q347" s="158"/>
      <c r="R347" s="159" t="str">
        <f>IFERROR(__xludf.DUMMYFUNCTION("""COMPUTED_VALUE"""),"Active")</f>
        <v>Active</v>
      </c>
      <c r="S347" s="160">
        <f>IFERROR(__xludf.DUMMYFUNCTION("""COMPUTED_VALUE"""),45547.0)</f>
        <v>45547</v>
      </c>
      <c r="T347" s="162">
        <f>IFERROR(__xludf.DUMMYFUNCTION("""COMPUTED_VALUE"""),71.36666666666666)</f>
        <v>71.36666667</v>
      </c>
    </row>
    <row r="348">
      <c r="A348" s="158" t="str">
        <f>IFERROR(__xludf.DUMMYFUNCTION("""COMPUTED_VALUE"""),"Halo: The Master Chief Collection")</f>
        <v>Halo: The Master Chief Collection</v>
      </c>
      <c r="B348" s="158" t="str">
        <f>IFERROR(__xludf.DUMMYFUNCTION("""COMPUTED_VALUE"""),"Xbox / PC")</f>
        <v>Xbox / PC</v>
      </c>
      <c r="C348" s="158" t="str">
        <f>IFERROR(__xludf.DUMMYFUNCTION("""COMPUTED_VALUE"""),"Yes")</f>
        <v>Yes</v>
      </c>
      <c r="D348" s="159" t="str">
        <f>IFERROR(__xludf.DUMMYFUNCTION("""COMPUTED_VALUE"""),"Active")</f>
        <v>Active</v>
      </c>
      <c r="E348" s="160">
        <f>IFERROR(__xludf.DUMMYFUNCTION("""COMPUTED_VALUE"""),43344.0)</f>
        <v>43344</v>
      </c>
      <c r="F348" s="161"/>
      <c r="G348" s="162">
        <f>IFERROR(__xludf.DUMMYFUNCTION("""COMPUTED_VALUE"""),85.46666666666667)</f>
        <v>85.46666667</v>
      </c>
      <c r="H348" s="163">
        <f>IFERROR(__xludf.DUMMYFUNCTION("""COMPUTED_VALUE"""),41954.0)</f>
        <v>41954</v>
      </c>
      <c r="I348" s="162">
        <f>IFERROR(__xludf.DUMMYFUNCTION("""COMPUTED_VALUE"""),3.8055555555555554)</f>
        <v>3.805555556</v>
      </c>
      <c r="J348" s="164">
        <f>IFERROR(__xludf.DUMMYFUNCTION("""COMPUTED_VALUE"""),85.0)</f>
        <v>85</v>
      </c>
      <c r="K348" s="164">
        <f>IFERROR(__xludf.DUMMYFUNCTION("""COMPUTED_VALUE"""),52.5)</f>
        <v>52.5</v>
      </c>
      <c r="L348" s="158" t="str">
        <f>IFERROR(__xludf.DUMMYFUNCTION("""COMPUTED_VALUE"""),"Compilation / First-Person Shooter")</f>
        <v>Compilation / First-Person Shooter</v>
      </c>
      <c r="M348" s="158" t="str">
        <f>IFERROR(__xludf.DUMMYFUNCTION("""COMPUTED_VALUE"""),"Optimized")</f>
        <v>Optimized</v>
      </c>
      <c r="N348" s="158"/>
      <c r="O348" s="158" t="str">
        <f>IFERROR(__xludf.DUMMYFUNCTION("""COMPUTED_VALUE"""),"M")</f>
        <v>M</v>
      </c>
      <c r="P348" s="158" t="str">
        <f>IFERROR(__xludf.DUMMYFUNCTION("""COMPUTED_VALUE"""),"Blood and Gore, Violence, Language")</f>
        <v>Blood and Gore, Violence, Language</v>
      </c>
      <c r="Q348" s="158"/>
      <c r="R348" s="159" t="str">
        <f>IFERROR(__xludf.DUMMYFUNCTION("""COMPUTED_VALUE"""),"Active")</f>
        <v>Active</v>
      </c>
      <c r="S348" s="160">
        <f>IFERROR(__xludf.DUMMYFUNCTION("""COMPUTED_VALUE"""),45547.0)</f>
        <v>45547</v>
      </c>
      <c r="T348" s="162">
        <f>IFERROR(__xludf.DUMMYFUNCTION("""COMPUTED_VALUE"""),72.36666666666667)</f>
        <v>72.36666667</v>
      </c>
    </row>
    <row r="349">
      <c r="A349" s="158" t="str">
        <f>IFERROR(__xludf.DUMMYFUNCTION("""COMPUTED_VALUE"""),"Quantum Break")</f>
        <v>Quantum Break</v>
      </c>
      <c r="B349" s="158" t="str">
        <f>IFERROR(__xludf.DUMMYFUNCTION("""COMPUTED_VALUE"""),"Xbox / PC")</f>
        <v>Xbox / PC</v>
      </c>
      <c r="C349" s="158"/>
      <c r="D349" s="159" t="str">
        <f>IFERROR(__xludf.DUMMYFUNCTION("""COMPUTED_VALUE"""),"Active")</f>
        <v>Active</v>
      </c>
      <c r="E349" s="160">
        <f>IFERROR(__xludf.DUMMYFUNCTION("""COMPUTED_VALUE"""),43344.0)</f>
        <v>43344</v>
      </c>
      <c r="F349" s="161"/>
      <c r="G349" s="162">
        <f>IFERROR(__xludf.DUMMYFUNCTION("""COMPUTED_VALUE"""),85.46666666666667)</f>
        <v>85.46666667</v>
      </c>
      <c r="H349" s="163">
        <f>IFERROR(__xludf.DUMMYFUNCTION("""COMPUTED_VALUE"""),42465.0)</f>
        <v>42465</v>
      </c>
      <c r="I349" s="162">
        <f>IFERROR(__xludf.DUMMYFUNCTION("""COMPUTED_VALUE"""),2.4055555555555554)</f>
        <v>2.405555556</v>
      </c>
      <c r="J349" s="164">
        <f>IFERROR(__xludf.DUMMYFUNCTION("""COMPUTED_VALUE"""),77.0)</f>
        <v>77</v>
      </c>
      <c r="K349" s="164">
        <f>IFERROR(__xludf.DUMMYFUNCTION("""COMPUTED_VALUE"""),10.0)</f>
        <v>10</v>
      </c>
      <c r="L349" s="158" t="str">
        <f>IFERROR(__xludf.DUMMYFUNCTION("""COMPUTED_VALUE"""),"Shooter")</f>
        <v>Shooter</v>
      </c>
      <c r="M349" s="158"/>
      <c r="N349" s="158" t="str">
        <f>IFERROR(__xludf.DUMMYFUNCTION("""COMPUTED_VALUE"""),"Joined 9/1/18, briefly left 4/15/23 due to licensing issues, PC added when game returned")</f>
        <v>Joined 9/1/18, briefly left 4/15/23 due to licensing issues, PC added when game returned</v>
      </c>
      <c r="O349" s="158" t="str">
        <f>IFERROR(__xludf.DUMMYFUNCTION("""COMPUTED_VALUE"""),"M")</f>
        <v>M</v>
      </c>
      <c r="P349" s="158" t="str">
        <f>IFERROR(__xludf.DUMMYFUNCTION("""COMPUTED_VALUE"""),"Blood, Strong Language, Intense Violence")</f>
        <v>Blood, Strong Language, Intense Violence</v>
      </c>
      <c r="Q349" s="158"/>
      <c r="R349" s="159" t="str">
        <f>IFERROR(__xludf.DUMMYFUNCTION("""COMPUTED_VALUE"""),"Active")</f>
        <v>Active</v>
      </c>
      <c r="S349" s="160">
        <f>IFERROR(__xludf.DUMMYFUNCTION("""COMPUTED_VALUE"""),45547.0)</f>
        <v>45547</v>
      </c>
      <c r="T349" s="162">
        <f>IFERROR(__xludf.DUMMYFUNCTION("""COMPUTED_VALUE"""),72.36666666666667)</f>
        <v>72.36666667</v>
      </c>
    </row>
    <row r="350">
      <c r="A350" s="158" t="str">
        <f>IFERROR(__xludf.DUMMYFUNCTION("""COMPUTED_VALUE"""),"DOOM (2016)")</f>
        <v>DOOM (2016)</v>
      </c>
      <c r="B350" s="158" t="str">
        <f>IFERROR(__xludf.DUMMYFUNCTION("""COMPUTED_VALUE"""),"Xbox")</f>
        <v>Xbox</v>
      </c>
      <c r="C350" s="158" t="str">
        <f>IFERROR(__xludf.DUMMYFUNCTION("""COMPUTED_VALUE"""),"Yes")</f>
        <v>Yes</v>
      </c>
      <c r="D350" s="159" t="str">
        <f>IFERROR(__xludf.DUMMYFUNCTION("""COMPUTED_VALUE"""),"Active")</f>
        <v>Active</v>
      </c>
      <c r="E350" s="160">
        <f>IFERROR(__xludf.DUMMYFUNCTION("""COMPUTED_VALUE"""),43322.0)</f>
        <v>43322</v>
      </c>
      <c r="F350" s="161"/>
      <c r="G350" s="162">
        <f>IFERROR(__xludf.DUMMYFUNCTION("""COMPUTED_VALUE"""),86.16666666666666)</f>
        <v>86.16666667</v>
      </c>
      <c r="H350" s="163">
        <f>IFERROR(__xludf.DUMMYFUNCTION("""COMPUTED_VALUE"""),42503.0)</f>
        <v>42503</v>
      </c>
      <c r="I350" s="162">
        <f>IFERROR(__xludf.DUMMYFUNCTION("""COMPUTED_VALUE"""),2.2416666666666667)</f>
        <v>2.241666667</v>
      </c>
      <c r="J350" s="164">
        <f>IFERROR(__xludf.DUMMYFUNCTION("""COMPUTED_VALUE"""),87.0)</f>
        <v>87</v>
      </c>
      <c r="K350" s="164">
        <f>IFERROR(__xludf.DUMMYFUNCTION("""COMPUTED_VALUE"""),11.5)</f>
        <v>11.5</v>
      </c>
      <c r="L350" s="158" t="str">
        <f>IFERROR(__xludf.DUMMYFUNCTION("""COMPUTED_VALUE"""),"First-Person Shooter")</f>
        <v>First-Person Shooter</v>
      </c>
      <c r="M350" s="158"/>
      <c r="N350" s="158" t="str">
        <f>IFERROR(__xludf.DUMMYFUNCTION("""COMPUTED_VALUE"""),"Game Pass Essential launch title (9/14/23)")</f>
        <v>Game Pass Essential launch title (9/14/23)</v>
      </c>
      <c r="O350" s="158" t="str">
        <f>IFERROR(__xludf.DUMMYFUNCTION("""COMPUTED_VALUE"""),"M")</f>
        <v>M</v>
      </c>
      <c r="P350" s="158" t="str">
        <f>IFERROR(__xludf.DUMMYFUNCTION("""COMPUTED_VALUE"""),"Blood and Gore, Strong Language, Intense Violence")</f>
        <v>Blood and Gore, Strong Language, Intense Violence</v>
      </c>
      <c r="Q350" s="158"/>
      <c r="R350" s="159" t="str">
        <f>IFERROR(__xludf.DUMMYFUNCTION("""COMPUTED_VALUE"""),"Active")</f>
        <v>Active</v>
      </c>
      <c r="S350" s="160">
        <f>IFERROR(__xludf.DUMMYFUNCTION("""COMPUTED_VALUE"""),45547.0)</f>
        <v>45547</v>
      </c>
      <c r="T350" s="162">
        <f>IFERROR(__xludf.DUMMYFUNCTION("""COMPUTED_VALUE"""),73.06666666666666)</f>
        <v>73.06666667</v>
      </c>
    </row>
    <row r="351">
      <c r="A351" s="158" t="str">
        <f>IFERROR(__xludf.DUMMYFUNCTION("""COMPUTED_VALUE"""),"RAGE")</f>
        <v>RAGE</v>
      </c>
      <c r="B351" s="158" t="str">
        <f>IFERROR(__xludf.DUMMYFUNCTION("""COMPUTED_VALUE"""),"Xbox")</f>
        <v>Xbox</v>
      </c>
      <c r="C351" s="158" t="str">
        <f>IFERROR(__xludf.DUMMYFUNCTION("""COMPUTED_VALUE"""),"Yes")</f>
        <v>Yes</v>
      </c>
      <c r="D351" s="159" t="str">
        <f>IFERROR(__xludf.DUMMYFUNCTION("""COMPUTED_VALUE"""),"Active")</f>
        <v>Active</v>
      </c>
      <c r="E351" s="160">
        <f>IFERROR(__xludf.DUMMYFUNCTION("""COMPUTED_VALUE"""),43313.0)</f>
        <v>43313</v>
      </c>
      <c r="F351" s="161"/>
      <c r="G351" s="162">
        <f>IFERROR(__xludf.DUMMYFUNCTION("""COMPUTED_VALUE"""),86.46666666666667)</f>
        <v>86.46666667</v>
      </c>
      <c r="H351" s="163">
        <f>IFERROR(__xludf.DUMMYFUNCTION("""COMPUTED_VALUE"""),40820.0)</f>
        <v>40820</v>
      </c>
      <c r="I351" s="162">
        <f>IFERROR(__xludf.DUMMYFUNCTION("""COMPUTED_VALUE"""),6.825)</f>
        <v>6.825</v>
      </c>
      <c r="J351" s="164">
        <f>IFERROR(__xludf.DUMMYFUNCTION("""COMPUTED_VALUE"""),81.0)</f>
        <v>81</v>
      </c>
      <c r="K351" s="164">
        <f>IFERROR(__xludf.DUMMYFUNCTION("""COMPUTED_VALUE"""),11.0)</f>
        <v>11</v>
      </c>
      <c r="L351" s="158" t="str">
        <f>IFERROR(__xludf.DUMMYFUNCTION("""COMPUTED_VALUE"""),"First-Person Shooter / Vehicular Combat")</f>
        <v>First-Person Shooter / Vehicular Combat</v>
      </c>
      <c r="M351" s="158"/>
      <c r="N351" s="158"/>
      <c r="O351" s="158" t="str">
        <f>IFERROR(__xludf.DUMMYFUNCTION("""COMPUTED_VALUE"""),"M")</f>
        <v>M</v>
      </c>
      <c r="P351" s="158" t="str">
        <f>IFERROR(__xludf.DUMMYFUNCTION("""COMPUTED_VALUE"""),"Blood and Gore, Intense Violence, Strong Language")</f>
        <v>Blood and Gore, Intense Violence, Strong Language</v>
      </c>
      <c r="Q351" s="158" t="str">
        <f>IFERROR(__xludf.DUMMYFUNCTION("""COMPUTED_VALUE"""),"Xbox 360")</f>
        <v>Xbox 360</v>
      </c>
      <c r="R351" s="159" t="str">
        <f>IFERROR(__xludf.DUMMYFUNCTION("""COMPUTED_VALUE"""),"Active")</f>
        <v>Active</v>
      </c>
      <c r="S351" s="160">
        <f>IFERROR(__xludf.DUMMYFUNCTION("""COMPUTED_VALUE"""),45547.0)</f>
        <v>45547</v>
      </c>
      <c r="T351" s="162">
        <f>IFERROR(__xludf.DUMMYFUNCTION("""COMPUTED_VALUE"""),73.36666666666667)</f>
        <v>73.36666667</v>
      </c>
    </row>
    <row r="352">
      <c r="A352" s="158" t="str">
        <f>IFERROR(__xludf.DUMMYFUNCTION("""COMPUTED_VALUE"""),"Rush: A Disney Pixar Adventure")</f>
        <v>Rush: A Disney Pixar Adventure</v>
      </c>
      <c r="B352" s="158" t="str">
        <f>IFERROR(__xludf.DUMMYFUNCTION("""COMPUTED_VALUE"""),"Xbox / PC")</f>
        <v>Xbox / PC</v>
      </c>
      <c r="C352" s="158" t="str">
        <f>IFERROR(__xludf.DUMMYFUNCTION("""COMPUTED_VALUE"""),"Yes")</f>
        <v>Yes</v>
      </c>
      <c r="D352" s="159" t="str">
        <f>IFERROR(__xludf.DUMMYFUNCTION("""COMPUTED_VALUE"""),"Active")</f>
        <v>Active</v>
      </c>
      <c r="E352" s="160">
        <f>IFERROR(__xludf.DUMMYFUNCTION("""COMPUTED_VALUE"""),43313.0)</f>
        <v>43313</v>
      </c>
      <c r="F352" s="161"/>
      <c r="G352" s="162">
        <f>IFERROR(__xludf.DUMMYFUNCTION("""COMPUTED_VALUE"""),86.46666666666667)</f>
        <v>86.46666667</v>
      </c>
      <c r="H352" s="163">
        <f>IFERROR(__xludf.DUMMYFUNCTION("""COMPUTED_VALUE"""),40988.0)</f>
        <v>40988</v>
      </c>
      <c r="I352" s="162">
        <f>IFERROR(__xludf.DUMMYFUNCTION("""COMPUTED_VALUE"""),6.363888888888889)</f>
        <v>6.363888889</v>
      </c>
      <c r="J352" s="164">
        <f>IFERROR(__xludf.DUMMYFUNCTION("""COMPUTED_VALUE"""),68.0)</f>
        <v>68</v>
      </c>
      <c r="K352" s="164">
        <f>IFERROR(__xludf.DUMMYFUNCTION("""COMPUTED_VALUE"""),3.0)</f>
        <v>3</v>
      </c>
      <c r="L352" s="158" t="str">
        <f>IFERROR(__xludf.DUMMYFUNCTION("""COMPUTED_VALUE"""),"Minigame Collection / Platformer")</f>
        <v>Minigame Collection / Platformer</v>
      </c>
      <c r="M352" s="158"/>
      <c r="N352" s="158"/>
      <c r="O352" s="158" t="str">
        <f>IFERROR(__xludf.DUMMYFUNCTION("""COMPUTED_VALUE"""),"E10+")</f>
        <v>E10+</v>
      </c>
      <c r="P352" s="158" t="str">
        <f>IFERROR(__xludf.DUMMYFUNCTION("""COMPUTED_VALUE"""),"Cartoon Violence")</f>
        <v>Cartoon Violence</v>
      </c>
      <c r="Q352" s="158"/>
      <c r="R352" s="159" t="str">
        <f>IFERROR(__xludf.DUMMYFUNCTION("""COMPUTED_VALUE"""),"Active")</f>
        <v>Active</v>
      </c>
      <c r="S352" s="160">
        <f>IFERROR(__xludf.DUMMYFUNCTION("""COMPUTED_VALUE"""),45547.0)</f>
        <v>45547</v>
      </c>
      <c r="T352" s="162">
        <f>IFERROR(__xludf.DUMMYFUNCTION("""COMPUTED_VALUE"""),73.36666666666667)</f>
        <v>73.36666667</v>
      </c>
    </row>
    <row r="353">
      <c r="A353" s="158" t="str">
        <f>IFERROR(__xludf.DUMMYFUNCTION("""COMPUTED_VALUE"""),"Ryse: Son of Rome")</f>
        <v>Ryse: Son of Rome</v>
      </c>
      <c r="B353" s="158" t="str">
        <f>IFERROR(__xludf.DUMMYFUNCTION("""COMPUTED_VALUE"""),"Xbox")</f>
        <v>Xbox</v>
      </c>
      <c r="C353" s="158" t="str">
        <f>IFERROR(__xludf.DUMMYFUNCTION("""COMPUTED_VALUE"""),"Yes")</f>
        <v>Yes</v>
      </c>
      <c r="D353" s="159" t="str">
        <f>IFERROR(__xludf.DUMMYFUNCTION("""COMPUTED_VALUE"""),"Active")</f>
        <v>Active</v>
      </c>
      <c r="E353" s="160">
        <f>IFERROR(__xludf.DUMMYFUNCTION("""COMPUTED_VALUE"""),43313.0)</f>
        <v>43313</v>
      </c>
      <c r="F353" s="161"/>
      <c r="G353" s="162">
        <f>IFERROR(__xludf.DUMMYFUNCTION("""COMPUTED_VALUE"""),86.46666666666667)</f>
        <v>86.46666667</v>
      </c>
      <c r="H353" s="163">
        <f>IFERROR(__xludf.DUMMYFUNCTION("""COMPUTED_VALUE"""),41600.0)</f>
        <v>41600</v>
      </c>
      <c r="I353" s="162">
        <f>IFERROR(__xludf.DUMMYFUNCTION("""COMPUTED_VALUE"""),4.691666666666666)</f>
        <v>4.691666667</v>
      </c>
      <c r="J353" s="164">
        <f>IFERROR(__xludf.DUMMYFUNCTION("""COMPUTED_VALUE"""),60.0)</f>
        <v>60</v>
      </c>
      <c r="K353" s="164">
        <f>IFERROR(__xludf.DUMMYFUNCTION("""COMPUTED_VALUE"""),6.5)</f>
        <v>6.5</v>
      </c>
      <c r="L353" s="158" t="str">
        <f>IFERROR(__xludf.DUMMYFUNCTION("""COMPUTED_VALUE"""),"Action / Brawler")</f>
        <v>Action / Brawler</v>
      </c>
      <c r="M353" s="158"/>
      <c r="N353" s="158" t="str">
        <f>IFERROR(__xludf.DUMMYFUNCTION("""COMPUTED_VALUE"""),"Joined cloud 2/18/25")</f>
        <v>Joined cloud 2/18/25</v>
      </c>
      <c r="O353" s="158" t="str">
        <f>IFERROR(__xludf.DUMMYFUNCTION("""COMPUTED_VALUE"""),"M")</f>
        <v>M</v>
      </c>
      <c r="P353" s="158" t="str">
        <f>IFERROR(__xludf.DUMMYFUNCTION("""COMPUTED_VALUE"""),"Blood and Gore, Sexual Content, Partial Nudity, Strong Language, Intense Violence")</f>
        <v>Blood and Gore, Sexual Content, Partial Nudity, Strong Language, Intense Violence</v>
      </c>
      <c r="Q353" s="158"/>
      <c r="R353" s="159" t="str">
        <f>IFERROR(__xludf.DUMMYFUNCTION("""COMPUTED_VALUE"""),"Active")</f>
        <v>Active</v>
      </c>
      <c r="S353" s="160">
        <f>IFERROR(__xludf.DUMMYFUNCTION("""COMPUTED_VALUE"""),45547.0)</f>
        <v>45547</v>
      </c>
      <c r="T353" s="162">
        <f>IFERROR(__xludf.DUMMYFUNCTION("""COMPUTED_VALUE"""),73.36666666666667)</f>
        <v>73.36666667</v>
      </c>
    </row>
    <row r="354">
      <c r="A354" s="158" t="str">
        <f>IFERROR(__xludf.DUMMYFUNCTION("""COMPUTED_VALUE"""),"Fallout 3: Game of the Year Edition")</f>
        <v>Fallout 3: Game of the Year Edition</v>
      </c>
      <c r="B354" s="158" t="str">
        <f>IFERROR(__xludf.DUMMYFUNCTION("""COMPUTED_VALUE"""),"Xbox / PC")</f>
        <v>Xbox / PC</v>
      </c>
      <c r="C354" s="158" t="str">
        <f>IFERROR(__xludf.DUMMYFUNCTION("""COMPUTED_VALUE"""),"Yes")</f>
        <v>Yes</v>
      </c>
      <c r="D354" s="159" t="str">
        <f>IFERROR(__xludf.DUMMYFUNCTION("""COMPUTED_VALUE"""),"Active")</f>
        <v>Active</v>
      </c>
      <c r="E354" s="160">
        <f>IFERROR(__xludf.DUMMYFUNCTION("""COMPUTED_VALUE"""),43282.0)</f>
        <v>43282</v>
      </c>
      <c r="F354" s="161"/>
      <c r="G354" s="162">
        <f>IFERROR(__xludf.DUMMYFUNCTION("""COMPUTED_VALUE"""),87.46666666666667)</f>
        <v>87.46666667</v>
      </c>
      <c r="H354" s="163">
        <f>IFERROR(__xludf.DUMMYFUNCTION("""COMPUTED_VALUE"""),39749.0)</f>
        <v>39749</v>
      </c>
      <c r="I354" s="162">
        <f>IFERROR(__xludf.DUMMYFUNCTION("""COMPUTED_VALUE"""),9.675)</f>
        <v>9.675</v>
      </c>
      <c r="J354" s="164">
        <f>IFERROR(__xludf.DUMMYFUNCTION("""COMPUTED_VALUE"""),93.0)</f>
        <v>93</v>
      </c>
      <c r="K354" s="164">
        <f>IFERROR(__xludf.DUMMYFUNCTION("""COMPUTED_VALUE"""),22.5)</f>
        <v>22.5</v>
      </c>
      <c r="L354" s="158" t="str">
        <f>IFERROR(__xludf.DUMMYFUNCTION("""COMPUTED_VALUE"""),"RPG / First-Person Shooter")</f>
        <v>RPG / First-Person Shooter</v>
      </c>
      <c r="M354" s="158" t="str">
        <f>IFERROR(__xludf.DUMMYFUNCTION("""COMPUTED_VALUE"""),"FPS Boost")</f>
        <v>FPS Boost</v>
      </c>
      <c r="N354" s="158" t="str">
        <f>IFERROR(__xludf.DUMMYFUNCTION("""COMPUTED_VALUE"""),"Official PC Mod Support, enhanced edition only on PC")</f>
        <v>Official PC Mod Support, enhanced edition only on PC</v>
      </c>
      <c r="O354" s="158" t="str">
        <f>IFERROR(__xludf.DUMMYFUNCTION("""COMPUTED_VALUE"""),"M")</f>
        <v>M</v>
      </c>
      <c r="P354" s="158" t="str">
        <f>IFERROR(__xludf.DUMMYFUNCTION("""COMPUTED_VALUE"""),"Blood and Gore, Intense Violence, Sexual Themes, Strong Language, Use of Drugs")</f>
        <v>Blood and Gore, Intense Violence, Sexual Themes, Strong Language, Use of Drugs</v>
      </c>
      <c r="Q354" s="158" t="str">
        <f>IFERROR(__xludf.DUMMYFUNCTION("""COMPUTED_VALUE"""),"Xbox 360")</f>
        <v>Xbox 360</v>
      </c>
      <c r="R354" s="159" t="str">
        <f>IFERROR(__xludf.DUMMYFUNCTION("""COMPUTED_VALUE"""),"Active")</f>
        <v>Active</v>
      </c>
      <c r="S354" s="160">
        <f>IFERROR(__xludf.DUMMYFUNCTION("""COMPUTED_VALUE"""),45547.0)</f>
        <v>45547</v>
      </c>
      <c r="T354" s="162">
        <f>IFERROR(__xludf.DUMMYFUNCTION("""COMPUTED_VALUE"""),74.36666666666666)</f>
        <v>74.36666667</v>
      </c>
    </row>
    <row r="355">
      <c r="A355" s="158" t="str">
        <f>IFERROR(__xludf.DUMMYFUNCTION("""COMPUTED_VALUE"""),"Human: Fall Flat")</f>
        <v>Human: Fall Flat</v>
      </c>
      <c r="B355" s="158" t="str">
        <f>IFERROR(__xludf.DUMMYFUNCTION("""COMPUTED_VALUE"""),"Xbox / PC")</f>
        <v>Xbox / PC</v>
      </c>
      <c r="C355" s="158" t="str">
        <f>IFERROR(__xludf.DUMMYFUNCTION("""COMPUTED_VALUE"""),"Yes")</f>
        <v>Yes</v>
      </c>
      <c r="D355" s="159" t="str">
        <f>IFERROR(__xludf.DUMMYFUNCTION("""COMPUTED_VALUE"""),"Active")</f>
        <v>Active</v>
      </c>
      <c r="E355" s="160">
        <f>IFERROR(__xludf.DUMMYFUNCTION("""COMPUTED_VALUE"""),43282.0)</f>
        <v>43282</v>
      </c>
      <c r="F355" s="161"/>
      <c r="G355" s="162">
        <f>IFERROR(__xludf.DUMMYFUNCTION("""COMPUTED_VALUE"""),87.46666666666667)</f>
        <v>87.46666667</v>
      </c>
      <c r="H355" s="163">
        <f>IFERROR(__xludf.DUMMYFUNCTION("""COMPUTED_VALUE"""),42573.0)</f>
        <v>42573</v>
      </c>
      <c r="I355" s="162">
        <f>IFERROR(__xludf.DUMMYFUNCTION("""COMPUTED_VALUE"""),1.9416666666666667)</f>
        <v>1.941666667</v>
      </c>
      <c r="J355" s="164">
        <f>IFERROR(__xludf.DUMMYFUNCTION("""COMPUTED_VALUE"""),73.0)</f>
        <v>73</v>
      </c>
      <c r="K355" s="164">
        <f>IFERROR(__xludf.DUMMYFUNCTION("""COMPUTED_VALUE"""),5.5)</f>
        <v>5.5</v>
      </c>
      <c r="L355" s="158" t="str">
        <f>IFERROR(__xludf.DUMMYFUNCTION("""COMPUTED_VALUE"""),"Puzzle")</f>
        <v>Puzzle</v>
      </c>
      <c r="M355" s="158" t="str">
        <f>IFERROR(__xludf.DUMMYFUNCTION("""COMPUTED_VALUE"""),"Optimized")</f>
        <v>Optimized</v>
      </c>
      <c r="N355" s="158" t="str">
        <f>IFERROR(__xludf.DUMMYFUNCTION("""COMPUTED_VALUE"""),"Game Pass Essential launch title (9/14/23)")</f>
        <v>Game Pass Essential launch title (9/14/23)</v>
      </c>
      <c r="O355" s="158" t="str">
        <f>IFERROR(__xludf.DUMMYFUNCTION("""COMPUTED_VALUE"""),"E")</f>
        <v>E</v>
      </c>
      <c r="P355" s="158"/>
      <c r="Q355" s="158"/>
      <c r="R355" s="159" t="str">
        <f>IFERROR(__xludf.DUMMYFUNCTION("""COMPUTED_VALUE"""),"Active")</f>
        <v>Active</v>
      </c>
      <c r="S355" s="160">
        <f>IFERROR(__xludf.DUMMYFUNCTION("""COMPUTED_VALUE"""),45547.0)</f>
        <v>45547</v>
      </c>
      <c r="T355" s="162">
        <f>IFERROR(__xludf.DUMMYFUNCTION("""COMPUTED_VALUE"""),74.36666666666666)</f>
        <v>74.36666667</v>
      </c>
    </row>
    <row r="356">
      <c r="A356" s="158" t="str">
        <f>IFERROR(__xludf.DUMMYFUNCTION("""COMPUTED_VALUE"""),"The Elder Scrolls IV: Oblivion")</f>
        <v>The Elder Scrolls IV: Oblivion</v>
      </c>
      <c r="B356" s="158" t="str">
        <f>IFERROR(__xludf.DUMMYFUNCTION("""COMPUTED_VALUE"""),"Xbox / PC")</f>
        <v>Xbox / PC</v>
      </c>
      <c r="C356" s="158" t="str">
        <f>IFERROR(__xludf.DUMMYFUNCTION("""COMPUTED_VALUE"""),"Yes")</f>
        <v>Yes</v>
      </c>
      <c r="D356" s="159" t="str">
        <f>IFERROR(__xludf.DUMMYFUNCTION("""COMPUTED_VALUE"""),"Active")</f>
        <v>Active</v>
      </c>
      <c r="E356" s="160">
        <f>IFERROR(__xludf.DUMMYFUNCTION("""COMPUTED_VALUE"""),43282.0)</f>
        <v>43282</v>
      </c>
      <c r="F356" s="161"/>
      <c r="G356" s="162">
        <f>IFERROR(__xludf.DUMMYFUNCTION("""COMPUTED_VALUE"""),87.46666666666667)</f>
        <v>87.46666667</v>
      </c>
      <c r="H356" s="163">
        <f>IFERROR(__xludf.DUMMYFUNCTION("""COMPUTED_VALUE"""),38796.0)</f>
        <v>38796</v>
      </c>
      <c r="I356" s="162">
        <f>IFERROR(__xludf.DUMMYFUNCTION("""COMPUTED_VALUE"""),12.280555555555555)</f>
        <v>12.28055556</v>
      </c>
      <c r="J356" s="164">
        <f>IFERROR(__xludf.DUMMYFUNCTION("""COMPUTED_VALUE"""),94.0)</f>
        <v>94</v>
      </c>
      <c r="K356" s="164">
        <f>IFERROR(__xludf.DUMMYFUNCTION("""COMPUTED_VALUE"""),27.5)</f>
        <v>27.5</v>
      </c>
      <c r="L356" s="158" t="str">
        <f>IFERROR(__xludf.DUMMYFUNCTION("""COMPUTED_VALUE"""),"Action / RPG")</f>
        <v>Action / RPG</v>
      </c>
      <c r="M356" s="158" t="str">
        <f>IFERROR(__xludf.DUMMYFUNCTION("""COMPUTED_VALUE"""),"FPS Boost")</f>
        <v>FPS Boost</v>
      </c>
      <c r="N356" s="158" t="str">
        <f>IFERROR(__xludf.DUMMYFUNCTION("""COMPUTED_VALUE"""),"Official PC Mod Support")</f>
        <v>Official PC Mod Support</v>
      </c>
      <c r="O356" s="158" t="str">
        <f>IFERROR(__xludf.DUMMYFUNCTION("""COMPUTED_VALUE"""),"M")</f>
        <v>M</v>
      </c>
      <c r="P356" s="158" t="str">
        <f>IFERROR(__xludf.DUMMYFUNCTION("""COMPUTED_VALUE"""),"Use of Alcohol, Blood and Gore, Sexual Themes, Violence, Language")</f>
        <v>Use of Alcohol, Blood and Gore, Sexual Themes, Violence, Language</v>
      </c>
      <c r="Q356" s="158" t="str">
        <f>IFERROR(__xludf.DUMMYFUNCTION("""COMPUTED_VALUE"""),"Xbox 360")</f>
        <v>Xbox 360</v>
      </c>
      <c r="R356" s="159" t="str">
        <f>IFERROR(__xludf.DUMMYFUNCTION("""COMPUTED_VALUE"""),"Active")</f>
        <v>Active</v>
      </c>
      <c r="S356" s="160">
        <f>IFERROR(__xludf.DUMMYFUNCTION("""COMPUTED_VALUE"""),45547.0)</f>
        <v>45547</v>
      </c>
      <c r="T356" s="162">
        <f>IFERROR(__xludf.DUMMYFUNCTION("""COMPUTED_VALUE"""),74.36666666666666)</f>
        <v>74.36666667</v>
      </c>
    </row>
    <row r="357">
      <c r="A357" s="158" t="str">
        <f>IFERROR(__xludf.DUMMYFUNCTION("""COMPUTED_VALUE"""),"The Elder Scrolls Online")</f>
        <v>The Elder Scrolls Online</v>
      </c>
      <c r="B357" s="158" t="str">
        <f>IFERROR(__xludf.DUMMYFUNCTION("""COMPUTED_VALUE"""),"Xbox")</f>
        <v>Xbox</v>
      </c>
      <c r="C357" s="158"/>
      <c r="D357" s="159" t="str">
        <f>IFERROR(__xludf.DUMMYFUNCTION("""COMPUTED_VALUE"""),"Active")</f>
        <v>Active</v>
      </c>
      <c r="E357" s="160">
        <f>IFERROR(__xludf.DUMMYFUNCTION("""COMPUTED_VALUE"""),43261.0)</f>
        <v>43261</v>
      </c>
      <c r="F357" s="161"/>
      <c r="G357" s="162">
        <f>IFERROR(__xludf.DUMMYFUNCTION("""COMPUTED_VALUE"""),88.16666666666667)</f>
        <v>88.16666667</v>
      </c>
      <c r="H357" s="163">
        <f>IFERROR(__xludf.DUMMYFUNCTION("""COMPUTED_VALUE"""),41733.0)</f>
        <v>41733</v>
      </c>
      <c r="I357" s="162">
        <f>IFERROR(__xludf.DUMMYFUNCTION("""COMPUTED_VALUE"""),4.183333333333334)</f>
        <v>4.183333333</v>
      </c>
      <c r="J357" s="164">
        <f>IFERROR(__xludf.DUMMYFUNCTION("""COMPUTED_VALUE"""),77.0)</f>
        <v>77</v>
      </c>
      <c r="K357" s="164">
        <f>IFERROR(__xludf.DUMMYFUNCTION("""COMPUTED_VALUE"""),87.0)</f>
        <v>87</v>
      </c>
      <c r="L357" s="158" t="str">
        <f>IFERROR(__xludf.DUMMYFUNCTION("""COMPUTED_VALUE"""),"MMORPG")</f>
        <v>MMORPG</v>
      </c>
      <c r="M357" s="158"/>
      <c r="N357" s="158" t="str">
        <f>IFERROR(__xludf.DUMMYFUNCTION("""COMPUTED_VALUE"""),"Game Pass Essential launch title (9/14/23), Temporarily removed from cloud 2/22/22 due to disconnect issues, reinstated 12/20/22")</f>
        <v>Game Pass Essential launch title (9/14/23), Temporarily removed from cloud 2/22/22 due to disconnect issues, reinstated 12/20/22</v>
      </c>
      <c r="O357" s="158" t="str">
        <f>IFERROR(__xludf.DUMMYFUNCTION("""COMPUTED_VALUE"""),"M")</f>
        <v>M</v>
      </c>
      <c r="P357" s="158" t="str">
        <f>IFERROR(__xludf.DUMMYFUNCTION("""COMPUTED_VALUE"""),"Use of Alcohol, Blood and Gore, Sexual Themes, Violence")</f>
        <v>Use of Alcohol, Blood and Gore, Sexual Themes, Violence</v>
      </c>
      <c r="Q357" s="158"/>
      <c r="R357" s="159" t="str">
        <f>IFERROR(__xludf.DUMMYFUNCTION("""COMPUTED_VALUE"""),"Active")</f>
        <v>Active</v>
      </c>
      <c r="S357" s="160">
        <f>IFERROR(__xludf.DUMMYFUNCTION("""COMPUTED_VALUE"""),45547.0)</f>
        <v>45547</v>
      </c>
      <c r="T357" s="162">
        <f>IFERROR(__xludf.DUMMYFUNCTION("""COMPUTED_VALUE"""),75.06666666666666)</f>
        <v>75.06666667</v>
      </c>
    </row>
    <row r="358">
      <c r="A358" s="158" t="str">
        <f>IFERROR(__xludf.DUMMYFUNCTION("""COMPUTED_VALUE"""),"Disneyland Adventures")</f>
        <v>Disneyland Adventures</v>
      </c>
      <c r="B358" s="158" t="str">
        <f>IFERROR(__xludf.DUMMYFUNCTION("""COMPUTED_VALUE"""),"Xbox / PC")</f>
        <v>Xbox / PC</v>
      </c>
      <c r="C358" s="158" t="str">
        <f>IFERROR(__xludf.DUMMYFUNCTION("""COMPUTED_VALUE"""),"Yes")</f>
        <v>Yes</v>
      </c>
      <c r="D358" s="159" t="str">
        <f>IFERROR(__xludf.DUMMYFUNCTION("""COMPUTED_VALUE"""),"Active")</f>
        <v>Active</v>
      </c>
      <c r="E358" s="160">
        <f>IFERROR(__xludf.DUMMYFUNCTION("""COMPUTED_VALUE"""),43252.0)</f>
        <v>43252</v>
      </c>
      <c r="F358" s="161"/>
      <c r="G358" s="162">
        <f>IFERROR(__xludf.DUMMYFUNCTION("""COMPUTED_VALUE"""),88.46666666666667)</f>
        <v>88.46666667</v>
      </c>
      <c r="H358" s="163">
        <f>IFERROR(__xludf.DUMMYFUNCTION("""COMPUTED_VALUE"""),40862.0)</f>
        <v>40862</v>
      </c>
      <c r="I358" s="162">
        <f>IFERROR(__xludf.DUMMYFUNCTION("""COMPUTED_VALUE"""),6.544444444444444)</f>
        <v>6.544444444</v>
      </c>
      <c r="J358" s="164">
        <f>IFERROR(__xludf.DUMMYFUNCTION("""COMPUTED_VALUE"""),67.0)</f>
        <v>67</v>
      </c>
      <c r="K358" s="164">
        <f>IFERROR(__xludf.DUMMYFUNCTION("""COMPUTED_VALUE"""),16.0)</f>
        <v>16</v>
      </c>
      <c r="L358" s="158" t="str">
        <f>IFERROR(__xludf.DUMMYFUNCTION("""COMPUTED_VALUE"""),"Adventure / Minigame Collection")</f>
        <v>Adventure / Minigame Collection</v>
      </c>
      <c r="M358" s="158"/>
      <c r="N358" s="158"/>
      <c r="O358" s="158" t="str">
        <f>IFERROR(__xludf.DUMMYFUNCTION("""COMPUTED_VALUE"""),"E10+")</f>
        <v>E10+</v>
      </c>
      <c r="P358" s="158"/>
      <c r="Q358" s="158"/>
      <c r="R358" s="159" t="str">
        <f>IFERROR(__xludf.DUMMYFUNCTION("""COMPUTED_VALUE"""),"Active")</f>
        <v>Active</v>
      </c>
      <c r="S358" s="160">
        <f>IFERROR(__xludf.DUMMYFUNCTION("""COMPUTED_VALUE"""),45547.0)</f>
        <v>45547</v>
      </c>
      <c r="T358" s="162">
        <f>IFERROR(__xludf.DUMMYFUNCTION("""COMPUTED_VALUE"""),75.36666666666667)</f>
        <v>75.36666667</v>
      </c>
    </row>
    <row r="359">
      <c r="A359" s="158" t="str">
        <f>IFERROR(__xludf.DUMMYFUNCTION("""COMPUTED_VALUE"""),"Wasteland 2: Director's Cut")</f>
        <v>Wasteland 2: Director's Cut</v>
      </c>
      <c r="B359" s="158" t="str">
        <f>IFERROR(__xludf.DUMMYFUNCTION("""COMPUTED_VALUE"""),"Xbox / PC")</f>
        <v>Xbox / PC</v>
      </c>
      <c r="C359" s="158" t="str">
        <f>IFERROR(__xludf.DUMMYFUNCTION("""COMPUTED_VALUE"""),"Touch Controls")</f>
        <v>Touch Controls</v>
      </c>
      <c r="D359" s="159" t="str">
        <f>IFERROR(__xludf.DUMMYFUNCTION("""COMPUTED_VALUE"""),"Active")</f>
        <v>Active</v>
      </c>
      <c r="E359" s="160">
        <f>IFERROR(__xludf.DUMMYFUNCTION("""COMPUTED_VALUE"""),43252.0)</f>
        <v>43252</v>
      </c>
      <c r="F359" s="161"/>
      <c r="G359" s="162">
        <f>IFERROR(__xludf.DUMMYFUNCTION("""COMPUTED_VALUE"""),88.46666666666667)</f>
        <v>88.46666667</v>
      </c>
      <c r="H359" s="163">
        <f>IFERROR(__xludf.DUMMYFUNCTION("""COMPUTED_VALUE"""),41900.0)</f>
        <v>41900</v>
      </c>
      <c r="I359" s="162">
        <f>IFERROR(__xludf.DUMMYFUNCTION("""COMPUTED_VALUE"""),3.702777777777778)</f>
        <v>3.702777778</v>
      </c>
      <c r="J359" s="164">
        <f>IFERROR(__xludf.DUMMYFUNCTION("""COMPUTED_VALUE"""),77.0)</f>
        <v>77</v>
      </c>
      <c r="K359" s="164">
        <f>IFERROR(__xludf.DUMMYFUNCTION("""COMPUTED_VALUE"""),39.5)</f>
        <v>39.5</v>
      </c>
      <c r="L359" s="158" t="str">
        <f>IFERROR(__xludf.DUMMYFUNCTION("""COMPUTED_VALUE"""),"RPG")</f>
        <v>RPG</v>
      </c>
      <c r="M359" s="158"/>
      <c r="N359" s="158"/>
      <c r="O359" s="158" t="str">
        <f>IFERROR(__xludf.DUMMYFUNCTION("""COMPUTED_VALUE"""),"M")</f>
        <v>M</v>
      </c>
      <c r="P359" s="158" t="str">
        <f>IFERROR(__xludf.DUMMYFUNCTION("""COMPUTED_VALUE"""),"Blood and Gore, Sexual Content, Drug Reference, Strong Language, Violence")</f>
        <v>Blood and Gore, Sexual Content, Drug Reference, Strong Language, Violence</v>
      </c>
      <c r="Q359" s="158"/>
      <c r="R359" s="159" t="str">
        <f>IFERROR(__xludf.DUMMYFUNCTION("""COMPUTED_VALUE"""),"Active")</f>
        <v>Active</v>
      </c>
      <c r="S359" s="160">
        <f>IFERROR(__xludf.DUMMYFUNCTION("""COMPUTED_VALUE"""),45547.0)</f>
        <v>45547</v>
      </c>
      <c r="T359" s="162">
        <f>IFERROR(__xludf.DUMMYFUNCTION("""COMPUTED_VALUE"""),75.36666666666667)</f>
        <v>75.36666667</v>
      </c>
    </row>
    <row r="360">
      <c r="A360" s="158" t="str">
        <f>IFERROR(__xludf.DUMMYFUNCTION("""COMPUTED_VALUE"""),"State of Decay 2: Juggernaut Edition")</f>
        <v>State of Decay 2: Juggernaut Edition</v>
      </c>
      <c r="B360" s="158" t="str">
        <f>IFERROR(__xludf.DUMMYFUNCTION("""COMPUTED_VALUE"""),"Xbox / PC")</f>
        <v>Xbox / PC</v>
      </c>
      <c r="C360" s="158" t="str">
        <f>IFERROR(__xludf.DUMMYFUNCTION("""COMPUTED_VALUE"""),"M+KB")</f>
        <v>M+KB</v>
      </c>
      <c r="D360" s="159" t="str">
        <f>IFERROR(__xludf.DUMMYFUNCTION("""COMPUTED_VALUE"""),"Active")</f>
        <v>Active</v>
      </c>
      <c r="E360" s="160">
        <f>IFERROR(__xludf.DUMMYFUNCTION("""COMPUTED_VALUE"""),43242.0)</f>
        <v>43242</v>
      </c>
      <c r="F360" s="161"/>
      <c r="G360" s="162">
        <f>IFERROR(__xludf.DUMMYFUNCTION("""COMPUTED_VALUE"""),88.76666666666667)</f>
        <v>88.76666667</v>
      </c>
      <c r="H360" s="163">
        <f>IFERROR(__xludf.DUMMYFUNCTION("""COMPUTED_VALUE"""),43238.0)</f>
        <v>43238</v>
      </c>
      <c r="I360" s="162">
        <f>IFERROR(__xludf.DUMMYFUNCTION("""COMPUTED_VALUE"""),0.011111111111111112)</f>
        <v>0.01111111111</v>
      </c>
      <c r="J360" s="164">
        <f>IFERROR(__xludf.DUMMYFUNCTION("""COMPUTED_VALUE"""),78.0)</f>
        <v>78</v>
      </c>
      <c r="K360" s="164">
        <f>IFERROR(__xludf.DUMMYFUNCTION("""COMPUTED_VALUE"""),36.5)</f>
        <v>36.5</v>
      </c>
      <c r="L360" s="158" t="str">
        <f>IFERROR(__xludf.DUMMYFUNCTION("""COMPUTED_VALUE"""),"Action-Adventure")</f>
        <v>Action-Adventure</v>
      </c>
      <c r="M360" s="158" t="str">
        <f>IFERROR(__xludf.DUMMYFUNCTION("""COMPUTED_VALUE"""),"Optimized")</f>
        <v>Optimized</v>
      </c>
      <c r="N360" s="158" t="str">
        <f>IFERROR(__xludf.DUMMYFUNCTION("""COMPUTED_VALUE"""),"Game Pass Essential launch title (9/14/23), Official PC Mod Support")</f>
        <v>Game Pass Essential launch title (9/14/23), Official PC Mod Support</v>
      </c>
      <c r="O360" s="158" t="str">
        <f>IFERROR(__xludf.DUMMYFUNCTION("""COMPUTED_VALUE"""),"M")</f>
        <v>M</v>
      </c>
      <c r="P360" s="158" t="str">
        <f>IFERROR(__xludf.DUMMYFUNCTION("""COMPUTED_VALUE"""),"Blood and Gore, Drug Reference, Strong Language, Intense Violence")</f>
        <v>Blood and Gore, Drug Reference, Strong Language, Intense Violence</v>
      </c>
      <c r="Q360" s="158"/>
      <c r="R360" s="159" t="str">
        <f>IFERROR(__xludf.DUMMYFUNCTION("""COMPUTED_VALUE"""),"Active")</f>
        <v>Active</v>
      </c>
      <c r="S360" s="160">
        <f>IFERROR(__xludf.DUMMYFUNCTION("""COMPUTED_VALUE"""),45547.0)</f>
        <v>45547</v>
      </c>
      <c r="T360" s="162">
        <f>IFERROR(__xludf.DUMMYFUNCTION("""COMPUTED_VALUE"""),75.66666666666666)</f>
        <v>75.66666667</v>
      </c>
    </row>
    <row r="361">
      <c r="A361" s="158" t="str">
        <f>IFERROR(__xludf.DUMMYFUNCTION("""COMPUTED_VALUE"""),"Cities: Skylines - Remastered")</f>
        <v>Cities: Skylines - Remastered</v>
      </c>
      <c r="B361" s="158" t="str">
        <f>IFERROR(__xludf.DUMMYFUNCTION("""COMPUTED_VALUE"""),"Xbox / PC")</f>
        <v>Xbox / PC</v>
      </c>
      <c r="C361" s="158" t="str">
        <f>IFERROR(__xludf.DUMMYFUNCTION("""COMPUTED_VALUE"""),"M+KB")</f>
        <v>M+KB</v>
      </c>
      <c r="D361" s="159" t="str">
        <f>IFERROR(__xludf.DUMMYFUNCTION("""COMPUTED_VALUE"""),"Active")</f>
        <v>Active</v>
      </c>
      <c r="E361" s="160">
        <f>IFERROR(__xludf.DUMMYFUNCTION("""COMPUTED_VALUE"""),43191.0)</f>
        <v>43191</v>
      </c>
      <c r="F361" s="161"/>
      <c r="G361" s="162">
        <f>IFERROR(__xludf.DUMMYFUNCTION("""COMPUTED_VALUE"""),90.46666666666667)</f>
        <v>90.46666667</v>
      </c>
      <c r="H361" s="163">
        <f>IFERROR(__xludf.DUMMYFUNCTION("""COMPUTED_VALUE"""),42073.0)</f>
        <v>42073</v>
      </c>
      <c r="I361" s="162">
        <f>IFERROR(__xludf.DUMMYFUNCTION("""COMPUTED_VALUE"""),3.058333333333333)</f>
        <v>3.058333333</v>
      </c>
      <c r="J361" s="164">
        <f>IFERROR(__xludf.DUMMYFUNCTION("""COMPUTED_VALUE"""),83.0)</f>
        <v>83</v>
      </c>
      <c r="K361" s="164">
        <f>IFERROR(__xludf.DUMMYFUNCTION("""COMPUTED_VALUE"""),25.5)</f>
        <v>25.5</v>
      </c>
      <c r="L361" s="158" t="str">
        <f>IFERROR(__xludf.DUMMYFUNCTION("""COMPUTED_VALUE"""),"Simulation")</f>
        <v>Simulation</v>
      </c>
      <c r="M361" s="158"/>
      <c r="N361" s="158" t="str">
        <f>IFERROR(__xludf.DUMMYFUNCTION("""COMPUTED_VALUE"""),"Game Pass Essential (10/1/25). Remasted coming to Xbox Series X|S and cloud exclusively beginning 2/15/23. PC version is not remastered")</f>
        <v>Game Pass Essential (10/1/25). Remasted coming to Xbox Series X|S and cloud exclusively beginning 2/15/23. PC version is not remastered</v>
      </c>
      <c r="O361" s="158" t="str">
        <f>IFERROR(__xludf.DUMMYFUNCTION("""COMPUTED_VALUE"""),"E")</f>
        <v>E</v>
      </c>
      <c r="P361" s="158"/>
      <c r="Q361" s="158"/>
      <c r="R361" s="159" t="str">
        <f>IFERROR(__xludf.DUMMYFUNCTION("""COMPUTED_VALUE"""),"Active")</f>
        <v>Active</v>
      </c>
      <c r="S361" s="160">
        <f>IFERROR(__xludf.DUMMYFUNCTION("""COMPUTED_VALUE"""),45547.0)</f>
        <v>45547</v>
      </c>
      <c r="T361" s="162">
        <f>IFERROR(__xludf.DUMMYFUNCTION("""COMPUTED_VALUE"""),77.36666666666666)</f>
        <v>77.36666667</v>
      </c>
    </row>
    <row r="362">
      <c r="A362" s="158" t="str">
        <f>IFERROR(__xludf.DUMMYFUNCTION("""COMPUTED_VALUE"""),"theHunter: Call of the Wild")</f>
        <v>theHunter: Call of the Wild</v>
      </c>
      <c r="B362" s="158" t="str">
        <f>IFERROR(__xludf.DUMMYFUNCTION("""COMPUTED_VALUE"""),"Xbox / PC")</f>
        <v>Xbox / PC</v>
      </c>
      <c r="C362" s="158" t="str">
        <f>IFERROR(__xludf.DUMMYFUNCTION("""COMPUTED_VALUE"""),"Yes")</f>
        <v>Yes</v>
      </c>
      <c r="D362" s="159" t="str">
        <f>IFERROR(__xludf.DUMMYFUNCTION("""COMPUTED_VALUE"""),"Active")</f>
        <v>Active</v>
      </c>
      <c r="E362" s="160">
        <f>IFERROR(__xludf.DUMMYFUNCTION("""COMPUTED_VALUE"""),43191.0)</f>
        <v>43191</v>
      </c>
      <c r="F362" s="161"/>
      <c r="G362" s="162">
        <f>IFERROR(__xludf.DUMMYFUNCTION("""COMPUTED_VALUE"""),90.46666666666667)</f>
        <v>90.46666667</v>
      </c>
      <c r="H362" s="163">
        <f>IFERROR(__xludf.DUMMYFUNCTION("""COMPUTED_VALUE"""),42781.0)</f>
        <v>42781</v>
      </c>
      <c r="I362" s="162">
        <f>IFERROR(__xludf.DUMMYFUNCTION("""COMPUTED_VALUE"""),1.1277777777777778)</f>
        <v>1.127777778</v>
      </c>
      <c r="J362" s="164">
        <f>IFERROR(__xludf.DUMMYFUNCTION("""COMPUTED_VALUE"""),83.0)</f>
        <v>83</v>
      </c>
      <c r="K362" s="164">
        <f>IFERROR(__xludf.DUMMYFUNCTION("""COMPUTED_VALUE"""),20.5)</f>
        <v>20.5</v>
      </c>
      <c r="L362" s="158" t="str">
        <f>IFERROR(__xludf.DUMMYFUNCTION("""COMPUTED_VALUE"""),"Simulation / First-Person Shooter")</f>
        <v>Simulation / First-Person Shooter</v>
      </c>
      <c r="M362" s="158"/>
      <c r="N362" s="158" t="str">
        <f>IFERROR(__xludf.DUMMYFUNCTION("""COMPUTED_VALUE"""),"Joined PC 12/1/2021")</f>
        <v>Joined PC 12/1/2021</v>
      </c>
      <c r="O362" s="158" t="str">
        <f>IFERROR(__xludf.DUMMYFUNCTION("""COMPUTED_VALUE"""),"T")</f>
        <v>T</v>
      </c>
      <c r="P362" s="158" t="str">
        <f>IFERROR(__xludf.DUMMYFUNCTION("""COMPUTED_VALUE"""),"Blood, Violence")</f>
        <v>Blood, Violence</v>
      </c>
      <c r="Q362" s="158"/>
      <c r="R362" s="159" t="str">
        <f>IFERROR(__xludf.DUMMYFUNCTION("""COMPUTED_VALUE"""),"Active")</f>
        <v>Active</v>
      </c>
      <c r="S362" s="160">
        <f>IFERROR(__xludf.DUMMYFUNCTION("""COMPUTED_VALUE"""),45547.0)</f>
        <v>45547</v>
      </c>
      <c r="T362" s="162">
        <f>IFERROR(__xludf.DUMMYFUNCTION("""COMPUTED_VALUE"""),77.36666666666666)</f>
        <v>77.36666667</v>
      </c>
    </row>
    <row r="363">
      <c r="A363" s="158" t="str">
        <f>IFERROR(__xludf.DUMMYFUNCTION("""COMPUTED_VALUE"""),"Sea of Thieves")</f>
        <v>Sea of Thieves</v>
      </c>
      <c r="B363" s="158" t="str">
        <f>IFERROR(__xludf.DUMMYFUNCTION("""COMPUTED_VALUE"""),"Xbox / PC")</f>
        <v>Xbox / PC</v>
      </c>
      <c r="C363" s="158" t="str">
        <f>IFERROR(__xludf.DUMMYFUNCTION("""COMPUTED_VALUE"""),"Touch Controls, M+KB")</f>
        <v>Touch Controls, M+KB</v>
      </c>
      <c r="D363" s="159" t="str">
        <f>IFERROR(__xludf.DUMMYFUNCTION("""COMPUTED_VALUE"""),"Active")</f>
        <v>Active</v>
      </c>
      <c r="E363" s="160">
        <f>IFERROR(__xludf.DUMMYFUNCTION("""COMPUTED_VALUE"""),43179.0)</f>
        <v>43179</v>
      </c>
      <c r="F363" s="161"/>
      <c r="G363" s="162">
        <f>IFERROR(__xludf.DUMMYFUNCTION("""COMPUTED_VALUE"""),90.83333333333334)</f>
        <v>90.83333333</v>
      </c>
      <c r="H363" s="163">
        <f>IFERROR(__xludf.DUMMYFUNCTION("""COMPUTED_VALUE"""),43179.0)</f>
        <v>43179</v>
      </c>
      <c r="I363" s="162">
        <f>IFERROR(__xludf.DUMMYFUNCTION("""COMPUTED_VALUE"""),0.0)</f>
        <v>0</v>
      </c>
      <c r="J363" s="164">
        <f>IFERROR(__xludf.DUMMYFUNCTION("""COMPUTED_VALUE"""),69.0)</f>
        <v>69</v>
      </c>
      <c r="K363" s="164">
        <f>IFERROR(__xludf.DUMMYFUNCTION("""COMPUTED_VALUE"""),33.5)</f>
        <v>33.5</v>
      </c>
      <c r="L363" s="158" t="str">
        <f>IFERROR(__xludf.DUMMYFUNCTION("""COMPUTED_VALUE"""),"Action-Adventure")</f>
        <v>Action-Adventure</v>
      </c>
      <c r="M363" s="158" t="str">
        <f>IFERROR(__xludf.DUMMYFUNCTION("""COMPUTED_VALUE"""),"Optimized")</f>
        <v>Optimized</v>
      </c>
      <c r="N363" s="158"/>
      <c r="O363" s="158" t="str">
        <f>IFERROR(__xludf.DUMMYFUNCTION("""COMPUTED_VALUE"""),"T")</f>
        <v>T</v>
      </c>
      <c r="P363" s="158" t="str">
        <f>IFERROR(__xludf.DUMMYFUNCTION("""COMPUTED_VALUE"""),"Use of Alcohol, Crude Humor, Violence")</f>
        <v>Use of Alcohol, Crude Humor, Violence</v>
      </c>
      <c r="Q363" s="158"/>
      <c r="R363" s="159" t="str">
        <f>IFERROR(__xludf.DUMMYFUNCTION("""COMPUTED_VALUE"""),"Active")</f>
        <v>Active</v>
      </c>
      <c r="S363" s="160">
        <f>IFERROR(__xludf.DUMMYFUNCTION("""COMPUTED_VALUE"""),45547.0)</f>
        <v>45547</v>
      </c>
      <c r="T363" s="162">
        <f>IFERROR(__xludf.DUMMYFUNCTION("""COMPUTED_VALUE"""),77.73333333333333)</f>
        <v>77.73333333</v>
      </c>
    </row>
    <row r="364">
      <c r="A364" s="158" t="str">
        <f>IFERROR(__xludf.DUMMYFUNCTION("""COMPUTED_VALUE"""),"Super Lucky's Tale")</f>
        <v>Super Lucky's Tale</v>
      </c>
      <c r="B364" s="158" t="str">
        <f>IFERROR(__xludf.DUMMYFUNCTION("""COMPUTED_VALUE"""),"Xbox / PC")</f>
        <v>Xbox / PC</v>
      </c>
      <c r="C364" s="158"/>
      <c r="D364" s="159" t="str">
        <f>IFERROR(__xludf.DUMMYFUNCTION("""COMPUTED_VALUE"""),"Active")</f>
        <v>Active</v>
      </c>
      <c r="E364" s="160">
        <f>IFERROR(__xludf.DUMMYFUNCTION("""COMPUTED_VALUE"""),43160.0)</f>
        <v>43160</v>
      </c>
      <c r="F364" s="161"/>
      <c r="G364" s="162">
        <f>IFERROR(__xludf.DUMMYFUNCTION("""COMPUTED_VALUE"""),91.46666666666667)</f>
        <v>91.46666667</v>
      </c>
      <c r="H364" s="163">
        <f>IFERROR(__xludf.DUMMYFUNCTION("""COMPUTED_VALUE"""),43046.0)</f>
        <v>43046</v>
      </c>
      <c r="I364" s="162">
        <f>IFERROR(__xludf.DUMMYFUNCTION("""COMPUTED_VALUE"""),0.31666666666666665)</f>
        <v>0.3166666667</v>
      </c>
      <c r="J364" s="164">
        <f>IFERROR(__xludf.DUMMYFUNCTION("""COMPUTED_VALUE"""),64.0)</f>
        <v>64</v>
      </c>
      <c r="K364" s="164">
        <f>IFERROR(__xludf.DUMMYFUNCTION("""COMPUTED_VALUE"""),6.0)</f>
        <v>6</v>
      </c>
      <c r="L364" s="158" t="str">
        <f>IFERROR(__xludf.DUMMYFUNCTION("""COMPUTED_VALUE"""),"Platformer")</f>
        <v>Platformer</v>
      </c>
      <c r="M364" s="158" t="str">
        <f>IFERROR(__xludf.DUMMYFUNCTION("""COMPUTED_VALUE"""),"FPS Boost")</f>
        <v>FPS Boost</v>
      </c>
      <c r="N364" s="158"/>
      <c r="O364" s="158" t="str">
        <f>IFERROR(__xludf.DUMMYFUNCTION("""COMPUTED_VALUE"""),"E")</f>
        <v>E</v>
      </c>
      <c r="P364" s="158" t="str">
        <f>IFERROR(__xludf.DUMMYFUNCTION("""COMPUTED_VALUE"""),"Mild Cartoon Violence")</f>
        <v>Mild Cartoon Violence</v>
      </c>
      <c r="Q364" s="158"/>
      <c r="R364" s="159" t="str">
        <f>IFERROR(__xludf.DUMMYFUNCTION("""COMPUTED_VALUE"""),"Active")</f>
        <v>Active</v>
      </c>
      <c r="S364" s="160">
        <f>IFERROR(__xludf.DUMMYFUNCTION("""COMPUTED_VALUE"""),45547.0)</f>
        <v>45547</v>
      </c>
      <c r="T364" s="162">
        <f>IFERROR(__xludf.DUMMYFUNCTION("""COMPUTED_VALUE"""),78.36666666666667)</f>
        <v>78.36666667</v>
      </c>
    </row>
    <row r="365">
      <c r="A365" s="158" t="str">
        <f>IFERROR(__xludf.DUMMYFUNCTION("""COMPUTED_VALUE"""),"Fable Anniversary")</f>
        <v>Fable Anniversary</v>
      </c>
      <c r="B365" s="158" t="str">
        <f>IFERROR(__xludf.DUMMYFUNCTION("""COMPUTED_VALUE"""),"Xbox")</f>
        <v>Xbox</v>
      </c>
      <c r="C365" s="158" t="str">
        <f>IFERROR(__xludf.DUMMYFUNCTION("""COMPUTED_VALUE"""),"Touch Controls")</f>
        <v>Touch Controls</v>
      </c>
      <c r="D365" s="159" t="str">
        <f>IFERROR(__xludf.DUMMYFUNCTION("""COMPUTED_VALUE"""),"Active")</f>
        <v>Active</v>
      </c>
      <c r="E365" s="160">
        <f>IFERROR(__xludf.DUMMYFUNCTION("""COMPUTED_VALUE"""),43132.0)</f>
        <v>43132</v>
      </c>
      <c r="F365" s="161"/>
      <c r="G365" s="162">
        <f>IFERROR(__xludf.DUMMYFUNCTION("""COMPUTED_VALUE"""),92.46666666666667)</f>
        <v>92.46666667</v>
      </c>
      <c r="H365" s="163">
        <f>IFERROR(__xludf.DUMMYFUNCTION("""COMPUTED_VALUE"""),41674.0)</f>
        <v>41674</v>
      </c>
      <c r="I365" s="162">
        <f>IFERROR(__xludf.DUMMYFUNCTION("""COMPUTED_VALUE"""),3.9916666666666667)</f>
        <v>3.991666667</v>
      </c>
      <c r="J365" s="164">
        <f>IFERROR(__xludf.DUMMYFUNCTION("""COMPUTED_VALUE"""),68.0)</f>
        <v>68</v>
      </c>
      <c r="K365" s="164">
        <f>IFERROR(__xludf.DUMMYFUNCTION("""COMPUTED_VALUE"""),14.0)</f>
        <v>14</v>
      </c>
      <c r="L365" s="158" t="str">
        <f>IFERROR(__xludf.DUMMYFUNCTION("""COMPUTED_VALUE"""),"RPG / Action-Adventure")</f>
        <v>RPG / Action-Adventure</v>
      </c>
      <c r="M365" s="158"/>
      <c r="N365" s="158" t="str">
        <f>IFERROR(__xludf.DUMMYFUNCTION("""COMPUTED_VALUE"""),"Game Pass Essential launch title (9/14/23)")</f>
        <v>Game Pass Essential launch title (9/14/23)</v>
      </c>
      <c r="O365" s="158" t="str">
        <f>IFERROR(__xludf.DUMMYFUNCTION("""COMPUTED_VALUE"""),"M")</f>
        <v>M</v>
      </c>
      <c r="P365" s="158" t="str">
        <f>IFERROR(__xludf.DUMMYFUNCTION("""COMPUTED_VALUE"""),"Blood and Gore, Language, Use of Alcohol, Violence, Sexual Content")</f>
        <v>Blood and Gore, Language, Use of Alcohol, Violence, Sexual Content</v>
      </c>
      <c r="Q365" s="158" t="str">
        <f>IFERROR(__xludf.DUMMYFUNCTION("""COMPUTED_VALUE"""),"Xbox 360")</f>
        <v>Xbox 360</v>
      </c>
      <c r="R365" s="159" t="str">
        <f>IFERROR(__xludf.DUMMYFUNCTION("""COMPUTED_VALUE"""),"Active")</f>
        <v>Active</v>
      </c>
      <c r="S365" s="160">
        <f>IFERROR(__xludf.DUMMYFUNCTION("""COMPUTED_VALUE"""),45547.0)</f>
        <v>45547</v>
      </c>
      <c r="T365" s="162">
        <f>IFERROR(__xludf.DUMMYFUNCTION("""COMPUTED_VALUE"""),79.36666666666667)</f>
        <v>79.36666667</v>
      </c>
    </row>
    <row r="366">
      <c r="A366" s="158" t="str">
        <f>IFERROR(__xludf.DUMMYFUNCTION("""COMPUTED_VALUE"""),"Halo Wars 2")</f>
        <v>Halo Wars 2</v>
      </c>
      <c r="B366" s="158" t="str">
        <f>IFERROR(__xludf.DUMMYFUNCTION("""COMPUTED_VALUE"""),"Xbox / PC")</f>
        <v>Xbox / PC</v>
      </c>
      <c r="C366" s="158" t="str">
        <f>IFERROR(__xludf.DUMMYFUNCTION("""COMPUTED_VALUE"""),"Touch Controls")</f>
        <v>Touch Controls</v>
      </c>
      <c r="D366" s="159" t="str">
        <f>IFERROR(__xludf.DUMMYFUNCTION("""COMPUTED_VALUE"""),"Active")</f>
        <v>Active</v>
      </c>
      <c r="E366" s="160">
        <f>IFERROR(__xludf.DUMMYFUNCTION("""COMPUTED_VALUE"""),43132.0)</f>
        <v>43132</v>
      </c>
      <c r="F366" s="161"/>
      <c r="G366" s="162">
        <f>IFERROR(__xludf.DUMMYFUNCTION("""COMPUTED_VALUE"""),92.46666666666667)</f>
        <v>92.46666667</v>
      </c>
      <c r="H366" s="163">
        <f>IFERROR(__xludf.DUMMYFUNCTION("""COMPUTED_VALUE"""),42783.0)</f>
        <v>42783</v>
      </c>
      <c r="I366" s="162">
        <f>IFERROR(__xludf.DUMMYFUNCTION("""COMPUTED_VALUE"""),0.9555555555555556)</f>
        <v>0.9555555556</v>
      </c>
      <c r="J366" s="164">
        <f>IFERROR(__xludf.DUMMYFUNCTION("""COMPUTED_VALUE"""),79.0)</f>
        <v>79</v>
      </c>
      <c r="K366" s="164">
        <f>IFERROR(__xludf.DUMMYFUNCTION("""COMPUTED_VALUE"""),8.0)</f>
        <v>8</v>
      </c>
      <c r="L366" s="158" t="str">
        <f>IFERROR(__xludf.DUMMYFUNCTION("""COMPUTED_VALUE"""),"Real-Time Strategy")</f>
        <v>Real-Time Strategy</v>
      </c>
      <c r="M366" s="158" t="str">
        <f>IFERROR(__xludf.DUMMYFUNCTION("""COMPUTED_VALUE"""),"FPS Boost")</f>
        <v>FPS Boost</v>
      </c>
      <c r="N366" s="158" t="str">
        <f>IFERROR(__xludf.DUMMYFUNCTION("""COMPUTED_VALUE"""),"Game Pass Essential launch title (9/14/23)")</f>
        <v>Game Pass Essential launch title (9/14/23)</v>
      </c>
      <c r="O366" s="158" t="str">
        <f>IFERROR(__xludf.DUMMYFUNCTION("""COMPUTED_VALUE"""),"T")</f>
        <v>T</v>
      </c>
      <c r="P366" s="158" t="str">
        <f>IFERROR(__xludf.DUMMYFUNCTION("""COMPUTED_VALUE"""),"Mild Blood, Mild Language, Violence")</f>
        <v>Mild Blood, Mild Language, Violence</v>
      </c>
      <c r="Q366" s="158"/>
      <c r="R366" s="159" t="str">
        <f>IFERROR(__xludf.DUMMYFUNCTION("""COMPUTED_VALUE"""),"Active")</f>
        <v>Active</v>
      </c>
      <c r="S366" s="160">
        <f>IFERROR(__xludf.DUMMYFUNCTION("""COMPUTED_VALUE"""),45547.0)</f>
        <v>45547</v>
      </c>
      <c r="T366" s="162">
        <f>IFERROR(__xludf.DUMMYFUNCTION("""COMPUTED_VALUE"""),79.36666666666667)</f>
        <v>79.36666667</v>
      </c>
    </row>
    <row r="367">
      <c r="A367" s="158" t="str">
        <f>IFERROR(__xludf.DUMMYFUNCTION("""COMPUTED_VALUE"""),"Zoo Tycoon: Ultimate Animal Collection")</f>
        <v>Zoo Tycoon: Ultimate Animal Collection</v>
      </c>
      <c r="B367" s="158" t="str">
        <f>IFERROR(__xludf.DUMMYFUNCTION("""COMPUTED_VALUE"""),"Xbox / PC")</f>
        <v>Xbox / PC</v>
      </c>
      <c r="C367" s="158"/>
      <c r="D367" s="159" t="str">
        <f>IFERROR(__xludf.DUMMYFUNCTION("""COMPUTED_VALUE"""),"Active")</f>
        <v>Active</v>
      </c>
      <c r="E367" s="160">
        <f>IFERROR(__xludf.DUMMYFUNCTION("""COMPUTED_VALUE"""),43101.0)</f>
        <v>43101</v>
      </c>
      <c r="F367" s="161"/>
      <c r="G367" s="162">
        <f>IFERROR(__xludf.DUMMYFUNCTION("""COMPUTED_VALUE"""),93.46666666666667)</f>
        <v>93.46666667</v>
      </c>
      <c r="H367" s="163">
        <f>IFERROR(__xludf.DUMMYFUNCTION("""COMPUTED_VALUE"""),43039.0)</f>
        <v>43039</v>
      </c>
      <c r="I367" s="162">
        <f>IFERROR(__xludf.DUMMYFUNCTION("""COMPUTED_VALUE"""),0.16944444444444445)</f>
        <v>0.1694444444</v>
      </c>
      <c r="J367" s="164">
        <f>IFERROR(__xludf.DUMMYFUNCTION("""COMPUTED_VALUE"""),68.0)</f>
        <v>68</v>
      </c>
      <c r="K367" s="164">
        <f>IFERROR(__xludf.DUMMYFUNCTION("""COMPUTED_VALUE"""),14.0)</f>
        <v>14</v>
      </c>
      <c r="L367" s="158" t="str">
        <f>IFERROR(__xludf.DUMMYFUNCTION("""COMPUTED_VALUE"""),"Simulation")</f>
        <v>Simulation</v>
      </c>
      <c r="M367" s="158"/>
      <c r="N367" s="158"/>
      <c r="O367" s="158" t="str">
        <f>IFERROR(__xludf.DUMMYFUNCTION("""COMPUTED_VALUE"""),"E")</f>
        <v>E</v>
      </c>
      <c r="P367" s="158"/>
      <c r="Q367" s="158"/>
      <c r="R367" s="159" t="str">
        <f>IFERROR(__xludf.DUMMYFUNCTION("""COMPUTED_VALUE"""),"Active")</f>
        <v>Active</v>
      </c>
      <c r="S367" s="160">
        <f>IFERROR(__xludf.DUMMYFUNCTION("""COMPUTED_VALUE"""),45547.0)</f>
        <v>45547</v>
      </c>
      <c r="T367" s="162">
        <f>IFERROR(__xludf.DUMMYFUNCTION("""COMPUTED_VALUE"""),80.36666666666666)</f>
        <v>80.36666667</v>
      </c>
    </row>
    <row r="368">
      <c r="A368" s="158" t="str">
        <f>IFERROR(__xludf.DUMMYFUNCTION("""COMPUTED_VALUE"""),"Gears of War 4")</f>
        <v>Gears of War 4</v>
      </c>
      <c r="B368" s="158" t="str">
        <f>IFERROR(__xludf.DUMMYFUNCTION("""COMPUTED_VALUE"""),"Xbox / PC")</f>
        <v>Xbox / PC</v>
      </c>
      <c r="C368" s="158" t="str">
        <f>IFERROR(__xludf.DUMMYFUNCTION("""COMPUTED_VALUE"""),"Yes")</f>
        <v>Yes</v>
      </c>
      <c r="D368" s="159" t="str">
        <f>IFERROR(__xludf.DUMMYFUNCTION("""COMPUTED_VALUE"""),"Active")</f>
        <v>Active</v>
      </c>
      <c r="E368" s="160">
        <f>IFERROR(__xludf.DUMMYFUNCTION("""COMPUTED_VALUE"""),43070.0)</f>
        <v>43070</v>
      </c>
      <c r="F368" s="161"/>
      <c r="G368" s="162">
        <f>IFERROR(__xludf.DUMMYFUNCTION("""COMPUTED_VALUE"""),94.46666666666667)</f>
        <v>94.46666667</v>
      </c>
      <c r="H368" s="163">
        <f>IFERROR(__xludf.DUMMYFUNCTION("""COMPUTED_VALUE"""),42650.0)</f>
        <v>42650</v>
      </c>
      <c r="I368" s="162">
        <f>IFERROR(__xludf.DUMMYFUNCTION("""COMPUTED_VALUE"""),1.15)</f>
        <v>1.15</v>
      </c>
      <c r="J368" s="164">
        <f>IFERROR(__xludf.DUMMYFUNCTION("""COMPUTED_VALUE"""),84.0)</f>
        <v>84</v>
      </c>
      <c r="K368" s="164">
        <f>IFERROR(__xludf.DUMMYFUNCTION("""COMPUTED_VALUE"""),9.0)</f>
        <v>9</v>
      </c>
      <c r="L368" s="158" t="str">
        <f>IFERROR(__xludf.DUMMYFUNCTION("""COMPUTED_VALUE"""),"Shooter")</f>
        <v>Shooter</v>
      </c>
      <c r="M368" s="158" t="str">
        <f>IFERROR(__xludf.DUMMYFUNCTION("""COMPUTED_VALUE"""),"FPS Boost")</f>
        <v>FPS Boost</v>
      </c>
      <c r="N368" s="158"/>
      <c r="O368" s="158" t="str">
        <f>IFERROR(__xludf.DUMMYFUNCTION("""COMPUTED_VALUE"""),"M")</f>
        <v>M</v>
      </c>
      <c r="P368" s="158" t="str">
        <f>IFERROR(__xludf.DUMMYFUNCTION("""COMPUTED_VALUE"""),"Blood and Gore, Strong Language, Intense Violence")</f>
        <v>Blood and Gore, Strong Language, Intense Violence</v>
      </c>
      <c r="Q368" s="158"/>
      <c r="R368" s="159" t="str">
        <f>IFERROR(__xludf.DUMMYFUNCTION("""COMPUTED_VALUE"""),"Active")</f>
        <v>Active</v>
      </c>
      <c r="S368" s="160">
        <f>IFERROR(__xludf.DUMMYFUNCTION("""COMPUTED_VALUE"""),45547.0)</f>
        <v>45547</v>
      </c>
      <c r="T368" s="162">
        <f>IFERROR(__xludf.DUMMYFUNCTION("""COMPUTED_VALUE"""),81.36666666666667)</f>
        <v>81.36666667</v>
      </c>
    </row>
    <row r="369">
      <c r="A369" s="158" t="str">
        <f>IFERROR(__xludf.DUMMYFUNCTION("""COMPUTED_VALUE"""),"Mass Effect")</f>
        <v>Mass Effect</v>
      </c>
      <c r="B369" s="158" t="str">
        <f>IFERROR(__xludf.DUMMYFUNCTION("""COMPUTED_VALUE"""),"Xbox / PC")</f>
        <v>Xbox / PC</v>
      </c>
      <c r="C369" s="158"/>
      <c r="D369" s="159" t="str">
        <f>IFERROR(__xludf.DUMMYFUNCTION("""COMPUTED_VALUE"""),"Active")</f>
        <v>Active</v>
      </c>
      <c r="E369" s="160">
        <f>IFERROR(__xludf.DUMMYFUNCTION("""COMPUTED_VALUE"""),43070.0)</f>
        <v>43070</v>
      </c>
      <c r="F369" s="161"/>
      <c r="G369" s="162">
        <f>IFERROR(__xludf.DUMMYFUNCTION("""COMPUTED_VALUE"""),94.46666666666667)</f>
        <v>94.46666667</v>
      </c>
      <c r="H369" s="163">
        <f>IFERROR(__xludf.DUMMYFUNCTION("""COMPUTED_VALUE"""),39406.0)</f>
        <v>39406</v>
      </c>
      <c r="I369" s="162">
        <f>IFERROR(__xludf.DUMMYFUNCTION("""COMPUTED_VALUE"""),10.030555555555555)</f>
        <v>10.03055556</v>
      </c>
      <c r="J369" s="164">
        <f>IFERROR(__xludf.DUMMYFUNCTION("""COMPUTED_VALUE"""),90.0)</f>
        <v>90</v>
      </c>
      <c r="K369" s="164">
        <f>IFERROR(__xludf.DUMMYFUNCTION("""COMPUTED_VALUE"""),17.0)</f>
        <v>17</v>
      </c>
      <c r="L369" s="158" t="str">
        <f>IFERROR(__xludf.DUMMYFUNCTION("""COMPUTED_VALUE"""),"RPG / Shooter")</f>
        <v>RPG / Shooter</v>
      </c>
      <c r="M369" s="158"/>
      <c r="N369" s="158"/>
      <c r="O369" s="158" t="str">
        <f>IFERROR(__xludf.DUMMYFUNCTION("""COMPUTED_VALUE"""),"M")</f>
        <v>M</v>
      </c>
      <c r="P369" s="158" t="str">
        <f>IFERROR(__xludf.DUMMYFUNCTION("""COMPUTED_VALUE"""),"Blood, Sexual Themes, Partial Nudity, Violence, Language")</f>
        <v>Blood, Sexual Themes, Partial Nudity, Violence, Language</v>
      </c>
      <c r="Q369" s="158" t="str">
        <f>IFERROR(__xludf.DUMMYFUNCTION("""COMPUTED_VALUE"""),"Xbox 360")</f>
        <v>Xbox 360</v>
      </c>
      <c r="R369" s="159" t="str">
        <f>IFERROR(__xludf.DUMMYFUNCTION("""COMPUTED_VALUE"""),"Active")</f>
        <v>Active</v>
      </c>
      <c r="S369" s="160">
        <f>IFERROR(__xludf.DUMMYFUNCTION("""COMPUTED_VALUE"""),45547.0)</f>
        <v>45547</v>
      </c>
      <c r="T369" s="162">
        <f>IFERROR(__xludf.DUMMYFUNCTION("""COMPUTED_VALUE"""),81.36666666666667)</f>
        <v>81.36666667</v>
      </c>
    </row>
    <row r="370">
      <c r="A370" s="158" t="str">
        <f>IFERROR(__xludf.DUMMYFUNCTION("""COMPUTED_VALUE"""),"Halo Wars: Definitive Edition")</f>
        <v>Halo Wars: Definitive Edition</v>
      </c>
      <c r="B370" s="158" t="str">
        <f>IFERROR(__xludf.DUMMYFUNCTION("""COMPUTED_VALUE"""),"Xbox / PC")</f>
        <v>Xbox / PC</v>
      </c>
      <c r="C370" s="158" t="str">
        <f>IFERROR(__xludf.DUMMYFUNCTION("""COMPUTED_VALUE"""),"Touch Controls")</f>
        <v>Touch Controls</v>
      </c>
      <c r="D370" s="159" t="str">
        <f>IFERROR(__xludf.DUMMYFUNCTION("""COMPUTED_VALUE"""),"Active")</f>
        <v>Active</v>
      </c>
      <c r="E370" s="160">
        <f>IFERROR(__xludf.DUMMYFUNCTION("""COMPUTED_VALUE"""),43040.0)</f>
        <v>43040</v>
      </c>
      <c r="F370" s="161"/>
      <c r="G370" s="162">
        <f>IFERROR(__xludf.DUMMYFUNCTION("""COMPUTED_VALUE"""),95.46666666666667)</f>
        <v>95.46666667</v>
      </c>
      <c r="H370" s="163">
        <f>IFERROR(__xludf.DUMMYFUNCTION("""COMPUTED_VALUE"""),39870.0)</f>
        <v>39870</v>
      </c>
      <c r="I370" s="162">
        <f>IFERROR(__xludf.DUMMYFUNCTION("""COMPUTED_VALUE"""),8.680555555555555)</f>
        <v>8.680555556</v>
      </c>
      <c r="J370" s="164">
        <f>IFERROR(__xludf.DUMMYFUNCTION("""COMPUTED_VALUE"""),81.0)</f>
        <v>81</v>
      </c>
      <c r="K370" s="164">
        <f>IFERROR(__xludf.DUMMYFUNCTION("""COMPUTED_VALUE"""),9.0)</f>
        <v>9</v>
      </c>
      <c r="L370" s="158" t="str">
        <f>IFERROR(__xludf.DUMMYFUNCTION("""COMPUTED_VALUE"""),"Action / RPG")</f>
        <v>Action / RPG</v>
      </c>
      <c r="M370" s="158"/>
      <c r="N370" s="158"/>
      <c r="O370" s="158" t="str">
        <f>IFERROR(__xludf.DUMMYFUNCTION("""COMPUTED_VALUE"""),"T")</f>
        <v>T</v>
      </c>
      <c r="P370" s="158" t="str">
        <f>IFERROR(__xludf.DUMMYFUNCTION("""COMPUTED_VALUE"""),"Violence, Mild Blood, Mild Language")</f>
        <v>Violence, Mild Blood, Mild Language</v>
      </c>
      <c r="Q370" s="158"/>
      <c r="R370" s="159" t="str">
        <f>IFERROR(__xludf.DUMMYFUNCTION("""COMPUTED_VALUE"""),"Active")</f>
        <v>Active</v>
      </c>
      <c r="S370" s="160">
        <f>IFERROR(__xludf.DUMMYFUNCTION("""COMPUTED_VALUE"""),45547.0)</f>
        <v>45547</v>
      </c>
      <c r="T370" s="162">
        <f>IFERROR(__xludf.DUMMYFUNCTION("""COMPUTED_VALUE"""),82.36666666666667)</f>
        <v>82.36666667</v>
      </c>
    </row>
    <row r="371">
      <c r="A371" s="158" t="str">
        <f>IFERROR(__xludf.DUMMYFUNCTION("""COMPUTED_VALUE"""),"Costume Quest 2")</f>
        <v>Costume Quest 2</v>
      </c>
      <c r="B371" s="158" t="str">
        <f>IFERROR(__xludf.DUMMYFUNCTION("""COMPUTED_VALUE"""),"Xbox")</f>
        <v>Xbox</v>
      </c>
      <c r="C371" s="158"/>
      <c r="D371" s="159" t="str">
        <f>IFERROR(__xludf.DUMMYFUNCTION("""COMPUTED_VALUE"""),"Active")</f>
        <v>Active</v>
      </c>
      <c r="E371" s="160">
        <f>IFERROR(__xludf.DUMMYFUNCTION("""COMPUTED_VALUE"""),43009.0)</f>
        <v>43009</v>
      </c>
      <c r="F371" s="161"/>
      <c r="G371" s="162">
        <f>IFERROR(__xludf.DUMMYFUNCTION("""COMPUTED_VALUE"""),96.46666666666667)</f>
        <v>96.46666667</v>
      </c>
      <c r="H371" s="163">
        <f>IFERROR(__xludf.DUMMYFUNCTION("""COMPUTED_VALUE"""),41919.0)</f>
        <v>41919</v>
      </c>
      <c r="I371" s="162">
        <f>IFERROR(__xludf.DUMMYFUNCTION("""COMPUTED_VALUE"""),2.9833333333333334)</f>
        <v>2.983333333</v>
      </c>
      <c r="J371" s="164">
        <f>IFERROR(__xludf.DUMMYFUNCTION("""COMPUTED_VALUE"""),65.0)</f>
        <v>65</v>
      </c>
      <c r="K371" s="164">
        <f>IFERROR(__xludf.DUMMYFUNCTION("""COMPUTED_VALUE"""),6.5)</f>
        <v>6.5</v>
      </c>
      <c r="L371" s="158" t="str">
        <f>IFERROR(__xludf.DUMMYFUNCTION("""COMPUTED_VALUE"""),"RPG")</f>
        <v>RPG</v>
      </c>
      <c r="M371" s="158"/>
      <c r="N371" s="158"/>
      <c r="O371" s="158" t="str">
        <f>IFERROR(__xludf.DUMMYFUNCTION("""COMPUTED_VALUE"""),"E10+")</f>
        <v>E10+</v>
      </c>
      <c r="P371" s="158" t="str">
        <f>IFERROR(__xludf.DUMMYFUNCTION("""COMPUTED_VALUE"""),"Fantasy Violence")</f>
        <v>Fantasy Violence</v>
      </c>
      <c r="Q371" s="158"/>
      <c r="R371" s="159" t="str">
        <f>IFERROR(__xludf.DUMMYFUNCTION("""COMPUTED_VALUE"""),"Active")</f>
        <v>Active</v>
      </c>
      <c r="S371" s="160">
        <f>IFERROR(__xludf.DUMMYFUNCTION("""COMPUTED_VALUE"""),45547.0)</f>
        <v>45547</v>
      </c>
      <c r="T371" s="162">
        <f>IFERROR(__xludf.DUMMYFUNCTION("""COMPUTED_VALUE"""),83.36666666666666)</f>
        <v>83.36666667</v>
      </c>
    </row>
    <row r="372">
      <c r="A372" s="158" t="str">
        <f>IFERROR(__xludf.DUMMYFUNCTION("""COMPUTED_VALUE"""),"State of Decay: Year One Survival Edition")</f>
        <v>State of Decay: Year One Survival Edition</v>
      </c>
      <c r="B372" s="158" t="str">
        <f>IFERROR(__xludf.DUMMYFUNCTION("""COMPUTED_VALUE"""),"Xbox")</f>
        <v>Xbox</v>
      </c>
      <c r="C372" s="158"/>
      <c r="D372" s="159" t="str">
        <f>IFERROR(__xludf.DUMMYFUNCTION("""COMPUTED_VALUE"""),"Active")</f>
        <v>Active</v>
      </c>
      <c r="E372" s="160">
        <f>IFERROR(__xludf.DUMMYFUNCTION("""COMPUTED_VALUE"""),43009.0)</f>
        <v>43009</v>
      </c>
      <c r="F372" s="161"/>
      <c r="G372" s="162">
        <f>IFERROR(__xludf.DUMMYFUNCTION("""COMPUTED_VALUE"""),96.46666666666667)</f>
        <v>96.46666667</v>
      </c>
      <c r="H372" s="163">
        <f>IFERROR(__xludf.DUMMYFUNCTION("""COMPUTED_VALUE"""),42122.0)</f>
        <v>42122</v>
      </c>
      <c r="I372" s="162">
        <f>IFERROR(__xludf.DUMMYFUNCTION("""COMPUTED_VALUE"""),2.425)</f>
        <v>2.425</v>
      </c>
      <c r="J372" s="164">
        <f>IFERROR(__xludf.DUMMYFUNCTION("""COMPUTED_VALUE"""),72.0)</f>
        <v>72</v>
      </c>
      <c r="K372" s="164">
        <f>IFERROR(__xludf.DUMMYFUNCTION("""COMPUTED_VALUE"""),17.5)</f>
        <v>17.5</v>
      </c>
      <c r="L372" s="158" t="str">
        <f>IFERROR(__xludf.DUMMYFUNCTION("""COMPUTED_VALUE"""),"Strategy / Shooter / Action-Adventure")</f>
        <v>Strategy / Shooter / Action-Adventure</v>
      </c>
      <c r="M372" s="158"/>
      <c r="N372" s="158"/>
      <c r="O372" s="158" t="str">
        <f>IFERROR(__xludf.DUMMYFUNCTION("""COMPUTED_VALUE"""),"M")</f>
        <v>M</v>
      </c>
      <c r="P372" s="158" t="str">
        <f>IFERROR(__xludf.DUMMYFUNCTION("""COMPUTED_VALUE"""),"Blood and Gore, Drug Reference, Strong Language, Intense Violence")</f>
        <v>Blood and Gore, Drug Reference, Strong Language, Intense Violence</v>
      </c>
      <c r="Q372" s="158"/>
      <c r="R372" s="159" t="str">
        <f>IFERROR(__xludf.DUMMYFUNCTION("""COMPUTED_VALUE"""),"Active")</f>
        <v>Active</v>
      </c>
      <c r="S372" s="160">
        <f>IFERROR(__xludf.DUMMYFUNCTION("""COMPUTED_VALUE"""),45547.0)</f>
        <v>45547</v>
      </c>
      <c r="T372" s="162">
        <f>IFERROR(__xludf.DUMMYFUNCTION("""COMPUTED_VALUE"""),83.36666666666666)</f>
        <v>83.36666667</v>
      </c>
    </row>
    <row r="373">
      <c r="A373" s="158" t="str">
        <f>IFERROR(__xludf.DUMMYFUNCTION("""COMPUTED_VALUE"""),"Fable II")</f>
        <v>Fable II</v>
      </c>
      <c r="B373" s="158" t="str">
        <f>IFERROR(__xludf.DUMMYFUNCTION("""COMPUTED_VALUE"""),"Xbox")</f>
        <v>Xbox</v>
      </c>
      <c r="C373" s="158" t="str">
        <f>IFERROR(__xludf.DUMMYFUNCTION("""COMPUTED_VALUE"""),"Touch Controls")</f>
        <v>Touch Controls</v>
      </c>
      <c r="D373" s="159" t="str">
        <f>IFERROR(__xludf.DUMMYFUNCTION("""COMPUTED_VALUE"""),"Active")</f>
        <v>Active</v>
      </c>
      <c r="E373" s="160">
        <f>IFERROR(__xludf.DUMMYFUNCTION("""COMPUTED_VALUE"""),42979.0)</f>
        <v>42979</v>
      </c>
      <c r="F373" s="161"/>
      <c r="G373" s="162">
        <f>IFERROR(__xludf.DUMMYFUNCTION("""COMPUTED_VALUE"""),97.46666666666667)</f>
        <v>97.46666667</v>
      </c>
      <c r="H373" s="163">
        <f>IFERROR(__xludf.DUMMYFUNCTION("""COMPUTED_VALUE"""),39742.0)</f>
        <v>39742</v>
      </c>
      <c r="I373" s="162">
        <f>IFERROR(__xludf.DUMMYFUNCTION("""COMPUTED_VALUE"""),8.86111111111111)</f>
        <v>8.861111111</v>
      </c>
      <c r="J373" s="164">
        <f>IFERROR(__xludf.DUMMYFUNCTION("""COMPUTED_VALUE"""),89.0)</f>
        <v>89</v>
      </c>
      <c r="K373" s="164">
        <f>IFERROR(__xludf.DUMMYFUNCTION("""COMPUTED_VALUE"""),13.0)</f>
        <v>13</v>
      </c>
      <c r="L373" s="158" t="str">
        <f>IFERROR(__xludf.DUMMYFUNCTION("""COMPUTED_VALUE"""),"Adventure")</f>
        <v>Adventure</v>
      </c>
      <c r="M373" s="158"/>
      <c r="N373" s="158"/>
      <c r="O373" s="158" t="str">
        <f>IFERROR(__xludf.DUMMYFUNCTION("""COMPUTED_VALUE"""),"M")</f>
        <v>M</v>
      </c>
      <c r="P373" s="158" t="str">
        <f>IFERROR(__xludf.DUMMYFUNCTION("""COMPUTED_VALUE"""),"Use of Alcohol, Blood, Sexual Themes, Violence, Language")</f>
        <v>Use of Alcohol, Blood, Sexual Themes, Violence, Language</v>
      </c>
      <c r="Q373" s="158" t="str">
        <f>IFERROR(__xludf.DUMMYFUNCTION("""COMPUTED_VALUE"""),"Xbox 360")</f>
        <v>Xbox 360</v>
      </c>
      <c r="R373" s="159" t="str">
        <f>IFERROR(__xludf.DUMMYFUNCTION("""COMPUTED_VALUE"""),"Active")</f>
        <v>Active</v>
      </c>
      <c r="S373" s="160">
        <f>IFERROR(__xludf.DUMMYFUNCTION("""COMPUTED_VALUE"""),45547.0)</f>
        <v>45547</v>
      </c>
      <c r="T373" s="162">
        <f>IFERROR(__xludf.DUMMYFUNCTION("""COMPUTED_VALUE"""),84.36666666666667)</f>
        <v>84.36666667</v>
      </c>
    </row>
    <row r="374">
      <c r="A374" s="158" t="str">
        <f>IFERROR(__xludf.DUMMYFUNCTION("""COMPUTED_VALUE"""),"ReCore: Definitive Edition")</f>
        <v>ReCore: Definitive Edition</v>
      </c>
      <c r="B374" s="158" t="str">
        <f>IFERROR(__xludf.DUMMYFUNCTION("""COMPUTED_VALUE"""),"Xbox / PC")</f>
        <v>Xbox / PC</v>
      </c>
      <c r="C374" s="158" t="str">
        <f>IFERROR(__xludf.DUMMYFUNCTION("""COMPUTED_VALUE"""),"Yes")</f>
        <v>Yes</v>
      </c>
      <c r="D374" s="159" t="str">
        <f>IFERROR(__xludf.DUMMYFUNCTION("""COMPUTED_VALUE"""),"Active")</f>
        <v>Active</v>
      </c>
      <c r="E374" s="160">
        <f>IFERROR(__xludf.DUMMYFUNCTION("""COMPUTED_VALUE"""),42976.0)</f>
        <v>42976</v>
      </c>
      <c r="F374" s="161"/>
      <c r="G374" s="162">
        <f>IFERROR(__xludf.DUMMYFUNCTION("""COMPUTED_VALUE"""),97.53333333333333)</f>
        <v>97.53333333</v>
      </c>
      <c r="H374" s="163">
        <f>IFERROR(__xludf.DUMMYFUNCTION("""COMPUTED_VALUE"""),42626.0)</f>
        <v>42626</v>
      </c>
      <c r="I374" s="162">
        <f>IFERROR(__xludf.DUMMYFUNCTION("""COMPUTED_VALUE"""),0.9611111111111111)</f>
        <v>0.9611111111</v>
      </c>
      <c r="J374" s="164">
        <f>IFERROR(__xludf.DUMMYFUNCTION("""COMPUTED_VALUE"""),61.0)</f>
        <v>61</v>
      </c>
      <c r="K374" s="164">
        <f>IFERROR(__xludf.DUMMYFUNCTION("""COMPUTED_VALUE"""),12.0)</f>
        <v>12</v>
      </c>
      <c r="L374" s="158" t="str">
        <f>IFERROR(__xludf.DUMMYFUNCTION("""COMPUTED_VALUE"""),"Adventure")</f>
        <v>Adventure</v>
      </c>
      <c r="M374" s="158" t="str">
        <f>IFERROR(__xludf.DUMMYFUNCTION("""COMPUTED_VALUE"""),"FPS Boost")</f>
        <v>FPS Boost</v>
      </c>
      <c r="N374" s="158"/>
      <c r="O374" s="158" t="str">
        <f>IFERROR(__xludf.DUMMYFUNCTION("""COMPUTED_VALUE"""),"T")</f>
        <v>T</v>
      </c>
      <c r="P374" s="158" t="str">
        <f>IFERROR(__xludf.DUMMYFUNCTION("""COMPUTED_VALUE"""),"Violence")</f>
        <v>Violence</v>
      </c>
      <c r="Q374" s="158"/>
      <c r="R374" s="159" t="str">
        <f>IFERROR(__xludf.DUMMYFUNCTION("""COMPUTED_VALUE"""),"Active")</f>
        <v>Active</v>
      </c>
      <c r="S374" s="160">
        <f>IFERROR(__xludf.DUMMYFUNCTION("""COMPUTED_VALUE"""),45547.0)</f>
        <v>45547</v>
      </c>
      <c r="T374" s="162">
        <f>IFERROR(__xludf.DUMMYFUNCTION("""COMPUTED_VALUE"""),84.43333333333334)</f>
        <v>84.43333333</v>
      </c>
    </row>
    <row r="375">
      <c r="A375" s="158" t="str">
        <f>IFERROR(__xludf.DUMMYFUNCTION("""COMPUTED_VALUE"""),"Banjo-Kazooie")</f>
        <v>Banjo-Kazooie</v>
      </c>
      <c r="B375" s="158" t="str">
        <f>IFERROR(__xludf.DUMMYFUNCTION("""COMPUTED_VALUE"""),"Xbox")</f>
        <v>Xbox</v>
      </c>
      <c r="C375" s="158" t="str">
        <f>IFERROR(__xludf.DUMMYFUNCTION("""COMPUTED_VALUE"""),"Touch Controls")</f>
        <v>Touch Controls</v>
      </c>
      <c r="D375" s="159" t="str">
        <f>IFERROR(__xludf.DUMMYFUNCTION("""COMPUTED_VALUE"""),"Active")</f>
        <v>Active</v>
      </c>
      <c r="E375" s="160">
        <f>IFERROR(__xludf.DUMMYFUNCTION("""COMPUTED_VALUE"""),42887.0)</f>
        <v>42887</v>
      </c>
      <c r="F375" s="161"/>
      <c r="G375" s="162">
        <f>IFERROR(__xludf.DUMMYFUNCTION("""COMPUTED_VALUE"""),100.46666666666667)</f>
        <v>100.4666667</v>
      </c>
      <c r="H375" s="163">
        <f>IFERROR(__xludf.DUMMYFUNCTION("""COMPUTED_VALUE"""),35975.0)</f>
        <v>35975</v>
      </c>
      <c r="I375" s="162">
        <f>IFERROR(__xludf.DUMMYFUNCTION("""COMPUTED_VALUE"""),18.92222222222222)</f>
        <v>18.92222222</v>
      </c>
      <c r="J375" s="164">
        <f>IFERROR(__xludf.DUMMYFUNCTION("""COMPUTED_VALUE"""),77.0)</f>
        <v>77</v>
      </c>
      <c r="K375" s="164">
        <f>IFERROR(__xludf.DUMMYFUNCTION("""COMPUTED_VALUE"""),11.0)</f>
        <v>11</v>
      </c>
      <c r="L375" s="158" t="str">
        <f>IFERROR(__xludf.DUMMYFUNCTION("""COMPUTED_VALUE"""),"Adventure")</f>
        <v>Adventure</v>
      </c>
      <c r="M375" s="158"/>
      <c r="N375" s="158"/>
      <c r="O375" s="158" t="str">
        <f>IFERROR(__xludf.DUMMYFUNCTION("""COMPUTED_VALUE"""),"E")</f>
        <v>E</v>
      </c>
      <c r="P375" s="158" t="str">
        <f>IFERROR(__xludf.DUMMYFUNCTION("""COMPUTED_VALUE"""),"Violence")</f>
        <v>Violence</v>
      </c>
      <c r="Q375" s="158"/>
      <c r="R375" s="159" t="str">
        <f>IFERROR(__xludf.DUMMYFUNCTION("""COMPUTED_VALUE"""),"Active")</f>
        <v>Active</v>
      </c>
      <c r="S375" s="160">
        <f>IFERROR(__xludf.DUMMYFUNCTION("""COMPUTED_VALUE"""),45547.0)</f>
        <v>45547</v>
      </c>
      <c r="T375" s="162">
        <f>IFERROR(__xludf.DUMMYFUNCTION("""COMPUTED_VALUE"""),87.36666666666667)</f>
        <v>87.36666667</v>
      </c>
    </row>
    <row r="376">
      <c r="A376" s="158" t="str">
        <f>IFERROR(__xludf.DUMMYFUNCTION("""COMPUTED_VALUE"""),"Banjo-Kazooie: Nuts &amp; Bolts")</f>
        <v>Banjo-Kazooie: Nuts &amp; Bolts</v>
      </c>
      <c r="B376" s="158" t="str">
        <f>IFERROR(__xludf.DUMMYFUNCTION("""COMPUTED_VALUE"""),"Xbox")</f>
        <v>Xbox</v>
      </c>
      <c r="C376" s="158" t="str">
        <f>IFERROR(__xludf.DUMMYFUNCTION("""COMPUTED_VALUE"""),"Yes")</f>
        <v>Yes</v>
      </c>
      <c r="D376" s="159" t="str">
        <f>IFERROR(__xludf.DUMMYFUNCTION("""COMPUTED_VALUE"""),"Active")</f>
        <v>Active</v>
      </c>
      <c r="E376" s="160">
        <f>IFERROR(__xludf.DUMMYFUNCTION("""COMPUTED_VALUE"""),42887.0)</f>
        <v>42887</v>
      </c>
      <c r="F376" s="161"/>
      <c r="G376" s="162">
        <f>IFERROR(__xludf.DUMMYFUNCTION("""COMPUTED_VALUE"""),100.46666666666667)</f>
        <v>100.4666667</v>
      </c>
      <c r="H376" s="163">
        <f>IFERROR(__xludf.DUMMYFUNCTION("""COMPUTED_VALUE"""),39763.0)</f>
        <v>39763</v>
      </c>
      <c r="I376" s="162">
        <f>IFERROR(__xludf.DUMMYFUNCTION("""COMPUTED_VALUE"""),8.555555555555555)</f>
        <v>8.555555556</v>
      </c>
      <c r="J376" s="164">
        <f>IFERROR(__xludf.DUMMYFUNCTION("""COMPUTED_VALUE"""),79.0)</f>
        <v>79</v>
      </c>
      <c r="K376" s="164">
        <f>IFERROR(__xludf.DUMMYFUNCTION("""COMPUTED_VALUE"""),15.5)</f>
        <v>15.5</v>
      </c>
      <c r="L376" s="158" t="str">
        <f>IFERROR(__xludf.DUMMYFUNCTION("""COMPUTED_VALUE"""),"Adventure")</f>
        <v>Adventure</v>
      </c>
      <c r="M376" s="158"/>
      <c r="N376" s="158"/>
      <c r="O376" s="158" t="str">
        <f>IFERROR(__xludf.DUMMYFUNCTION("""COMPUTED_VALUE"""),"E10+")</f>
        <v>E10+</v>
      </c>
      <c r="P376" s="158" t="str">
        <f>IFERROR(__xludf.DUMMYFUNCTION("""COMPUTED_VALUE"""),"Crude Humor, Cartoon Violence")</f>
        <v>Crude Humor, Cartoon Violence</v>
      </c>
      <c r="Q376" s="158" t="str">
        <f>IFERROR(__xludf.DUMMYFUNCTION("""COMPUTED_VALUE"""),"Xbox 360")</f>
        <v>Xbox 360</v>
      </c>
      <c r="R376" s="159" t="str">
        <f>IFERROR(__xludf.DUMMYFUNCTION("""COMPUTED_VALUE"""),"Active")</f>
        <v>Active</v>
      </c>
      <c r="S376" s="160">
        <f>IFERROR(__xludf.DUMMYFUNCTION("""COMPUTED_VALUE"""),45547.0)</f>
        <v>45547</v>
      </c>
      <c r="T376" s="162">
        <f>IFERROR(__xludf.DUMMYFUNCTION("""COMPUTED_VALUE"""),87.36666666666667)</f>
        <v>87.36666667</v>
      </c>
    </row>
    <row r="377">
      <c r="A377" s="158" t="str">
        <f>IFERROR(__xludf.DUMMYFUNCTION("""COMPUTED_VALUE"""),"Banjo-Tooie")</f>
        <v>Banjo-Tooie</v>
      </c>
      <c r="B377" s="158" t="str">
        <f>IFERROR(__xludf.DUMMYFUNCTION("""COMPUTED_VALUE"""),"Xbox")</f>
        <v>Xbox</v>
      </c>
      <c r="C377" s="158" t="str">
        <f>IFERROR(__xludf.DUMMYFUNCTION("""COMPUTED_VALUE"""),"Touch Controls")</f>
        <v>Touch Controls</v>
      </c>
      <c r="D377" s="159" t="str">
        <f>IFERROR(__xludf.DUMMYFUNCTION("""COMPUTED_VALUE"""),"Active")</f>
        <v>Active</v>
      </c>
      <c r="E377" s="160">
        <f>IFERROR(__xludf.DUMMYFUNCTION("""COMPUTED_VALUE"""),42887.0)</f>
        <v>42887</v>
      </c>
      <c r="F377" s="161"/>
      <c r="G377" s="162">
        <f>IFERROR(__xludf.DUMMYFUNCTION("""COMPUTED_VALUE"""),100.46666666666667)</f>
        <v>100.4666667</v>
      </c>
      <c r="H377" s="163">
        <f>IFERROR(__xludf.DUMMYFUNCTION("""COMPUTED_VALUE"""),36849.0)</f>
        <v>36849</v>
      </c>
      <c r="I377" s="162">
        <f>IFERROR(__xludf.DUMMYFUNCTION("""COMPUTED_VALUE"""),16.533333333333335)</f>
        <v>16.53333333</v>
      </c>
      <c r="J377" s="164">
        <f>IFERROR(__xludf.DUMMYFUNCTION("""COMPUTED_VALUE"""),73.0)</f>
        <v>73</v>
      </c>
      <c r="K377" s="164">
        <f>IFERROR(__xludf.DUMMYFUNCTION("""COMPUTED_VALUE"""),16.0)</f>
        <v>16</v>
      </c>
      <c r="L377" s="158" t="str">
        <f>IFERROR(__xludf.DUMMYFUNCTION("""COMPUTED_VALUE"""),"Adventure")</f>
        <v>Adventure</v>
      </c>
      <c r="M377" s="158"/>
      <c r="N377" s="158"/>
      <c r="O377" s="158" t="str">
        <f>IFERROR(__xludf.DUMMYFUNCTION("""COMPUTED_VALUE"""),"E")</f>
        <v>E</v>
      </c>
      <c r="P377" s="158"/>
      <c r="Q377" s="158"/>
      <c r="R377" s="159" t="str">
        <f>IFERROR(__xludf.DUMMYFUNCTION("""COMPUTED_VALUE"""),"Active")</f>
        <v>Active</v>
      </c>
      <c r="S377" s="160">
        <f>IFERROR(__xludf.DUMMYFUNCTION("""COMPUTED_VALUE"""),45547.0)</f>
        <v>45547</v>
      </c>
      <c r="T377" s="162">
        <f>IFERROR(__xludf.DUMMYFUNCTION("""COMPUTED_VALUE"""),87.36666666666667)</f>
        <v>87.36666667</v>
      </c>
    </row>
    <row r="378">
      <c r="A378" s="158" t="str">
        <f>IFERROR(__xludf.DUMMYFUNCTION("""COMPUTED_VALUE"""),"Fable III")</f>
        <v>Fable III</v>
      </c>
      <c r="B378" s="158" t="str">
        <f>IFERROR(__xludf.DUMMYFUNCTION("""COMPUTED_VALUE"""),"Xbox")</f>
        <v>Xbox</v>
      </c>
      <c r="C378" s="158" t="str">
        <f>IFERROR(__xludf.DUMMYFUNCTION("""COMPUTED_VALUE"""),"Touch Controls")</f>
        <v>Touch Controls</v>
      </c>
      <c r="D378" s="159" t="str">
        <f>IFERROR(__xludf.DUMMYFUNCTION("""COMPUTED_VALUE"""),"Active")</f>
        <v>Active</v>
      </c>
      <c r="E378" s="160">
        <f>IFERROR(__xludf.DUMMYFUNCTION("""COMPUTED_VALUE"""),42887.0)</f>
        <v>42887</v>
      </c>
      <c r="F378" s="161"/>
      <c r="G378" s="162">
        <f>IFERROR(__xludf.DUMMYFUNCTION("""COMPUTED_VALUE"""),100.46666666666667)</f>
        <v>100.4666667</v>
      </c>
      <c r="H378" s="163">
        <f>IFERROR(__xludf.DUMMYFUNCTION("""COMPUTED_VALUE"""),40477.0)</f>
        <v>40477</v>
      </c>
      <c r="I378" s="162">
        <f>IFERROR(__xludf.DUMMYFUNCTION("""COMPUTED_VALUE"""),6.597222222222222)</f>
        <v>6.597222222</v>
      </c>
      <c r="J378" s="164">
        <f>IFERROR(__xludf.DUMMYFUNCTION("""COMPUTED_VALUE"""),80.0)</f>
        <v>80</v>
      </c>
      <c r="K378" s="164">
        <f>IFERROR(__xludf.DUMMYFUNCTION("""COMPUTED_VALUE"""),12.5)</f>
        <v>12.5</v>
      </c>
      <c r="L378" s="158" t="str">
        <f>IFERROR(__xludf.DUMMYFUNCTION("""COMPUTED_VALUE"""),"Adventure")</f>
        <v>Adventure</v>
      </c>
      <c r="M378" s="158" t="str">
        <f>IFERROR(__xludf.DUMMYFUNCTION("""COMPUTED_VALUE"""),"FPS Boost")</f>
        <v>FPS Boost</v>
      </c>
      <c r="N378" s="158"/>
      <c r="O378" s="158" t="str">
        <f>IFERROR(__xludf.DUMMYFUNCTION("""COMPUTED_VALUE"""),"M")</f>
        <v>M</v>
      </c>
      <c r="P378" s="158" t="str">
        <f>IFERROR(__xludf.DUMMYFUNCTION("""COMPUTED_VALUE"""),"Use of Alcohol, Blood, Sexual Content, Violence, Language")</f>
        <v>Use of Alcohol, Blood, Sexual Content, Violence, Language</v>
      </c>
      <c r="Q378" s="158" t="str">
        <f>IFERROR(__xludf.DUMMYFUNCTION("""COMPUTED_VALUE"""),"Xbox 360")</f>
        <v>Xbox 360</v>
      </c>
      <c r="R378" s="159" t="str">
        <f>IFERROR(__xludf.DUMMYFUNCTION("""COMPUTED_VALUE"""),"Active")</f>
        <v>Active</v>
      </c>
      <c r="S378" s="160">
        <f>IFERROR(__xludf.DUMMYFUNCTION("""COMPUTED_VALUE"""),45547.0)</f>
        <v>45547</v>
      </c>
      <c r="T378" s="162">
        <f>IFERROR(__xludf.DUMMYFUNCTION("""COMPUTED_VALUE"""),87.36666666666667)</f>
        <v>87.36666667</v>
      </c>
    </row>
    <row r="379">
      <c r="A379" s="158" t="str">
        <f>IFERROR(__xludf.DUMMYFUNCTION("""COMPUTED_VALUE"""),"Fuzion Frenzy")</f>
        <v>Fuzion Frenzy</v>
      </c>
      <c r="B379" s="158" t="str">
        <f>IFERROR(__xludf.DUMMYFUNCTION("""COMPUTED_VALUE"""),"Xbox")</f>
        <v>Xbox</v>
      </c>
      <c r="C379" s="158" t="str">
        <f>IFERROR(__xludf.DUMMYFUNCTION("""COMPUTED_VALUE"""),"Touch Controls")</f>
        <v>Touch Controls</v>
      </c>
      <c r="D379" s="159" t="str">
        <f>IFERROR(__xludf.DUMMYFUNCTION("""COMPUTED_VALUE"""),"Active")</f>
        <v>Active</v>
      </c>
      <c r="E379" s="160">
        <f>IFERROR(__xludf.DUMMYFUNCTION("""COMPUTED_VALUE"""),42887.0)</f>
        <v>42887</v>
      </c>
      <c r="F379" s="161"/>
      <c r="G379" s="162">
        <f>IFERROR(__xludf.DUMMYFUNCTION("""COMPUTED_VALUE"""),100.46666666666667)</f>
        <v>100.4666667</v>
      </c>
      <c r="H379" s="163">
        <f>IFERROR(__xludf.DUMMYFUNCTION("""COMPUTED_VALUE"""),37209.0)</f>
        <v>37209</v>
      </c>
      <c r="I379" s="162">
        <f>IFERROR(__xludf.DUMMYFUNCTION("""COMPUTED_VALUE"""),15.547222222222222)</f>
        <v>15.54722222</v>
      </c>
      <c r="J379" s="164">
        <f>IFERROR(__xludf.DUMMYFUNCTION("""COMPUTED_VALUE"""),70.0)</f>
        <v>70</v>
      </c>
      <c r="K379" s="164">
        <f>IFERROR(__xludf.DUMMYFUNCTION("""COMPUTED_VALUE"""),4.0)</f>
        <v>4</v>
      </c>
      <c r="L379" s="158" t="str">
        <f>IFERROR(__xludf.DUMMYFUNCTION("""COMPUTED_VALUE"""),"Minigame Collection")</f>
        <v>Minigame Collection</v>
      </c>
      <c r="M379" s="158"/>
      <c r="N379" s="158"/>
      <c r="O379" s="158" t="str">
        <f>IFERROR(__xludf.DUMMYFUNCTION("""COMPUTED_VALUE"""),"E")</f>
        <v>E</v>
      </c>
      <c r="P379" s="158" t="str">
        <f>IFERROR(__xludf.DUMMYFUNCTION("""COMPUTED_VALUE"""),"Violence")</f>
        <v>Violence</v>
      </c>
      <c r="Q379" s="158" t="str">
        <f>IFERROR(__xludf.DUMMYFUNCTION("""COMPUTED_VALUE"""),"OG Xbox")</f>
        <v>OG Xbox</v>
      </c>
      <c r="R379" s="159" t="str">
        <f>IFERROR(__xludf.DUMMYFUNCTION("""COMPUTED_VALUE"""),"Active")</f>
        <v>Active</v>
      </c>
      <c r="S379" s="160">
        <f>IFERROR(__xludf.DUMMYFUNCTION("""COMPUTED_VALUE"""),45547.0)</f>
        <v>45547</v>
      </c>
      <c r="T379" s="162">
        <f>IFERROR(__xludf.DUMMYFUNCTION("""COMPUTED_VALUE"""),87.36666666666667)</f>
        <v>87.36666667</v>
      </c>
    </row>
    <row r="380">
      <c r="A380" s="158" t="str">
        <f>IFERROR(__xludf.DUMMYFUNCTION("""COMPUTED_VALUE"""),"Gears of War")</f>
        <v>Gears of War</v>
      </c>
      <c r="B380" s="158" t="str">
        <f>IFERROR(__xludf.DUMMYFUNCTION("""COMPUTED_VALUE"""),"Xbox")</f>
        <v>Xbox</v>
      </c>
      <c r="C380" s="158"/>
      <c r="D380" s="159" t="str">
        <f>IFERROR(__xludf.DUMMYFUNCTION("""COMPUTED_VALUE"""),"Active")</f>
        <v>Active</v>
      </c>
      <c r="E380" s="160">
        <f>IFERROR(__xludf.DUMMYFUNCTION("""COMPUTED_VALUE"""),42887.0)</f>
        <v>42887</v>
      </c>
      <c r="F380" s="161"/>
      <c r="G380" s="162">
        <f>IFERROR(__xludf.DUMMYFUNCTION("""COMPUTED_VALUE"""),100.46666666666667)</f>
        <v>100.4666667</v>
      </c>
      <c r="H380" s="163">
        <f>IFERROR(__xludf.DUMMYFUNCTION("""COMPUTED_VALUE"""),39028.0)</f>
        <v>39028</v>
      </c>
      <c r="I380" s="162">
        <f>IFERROR(__xludf.DUMMYFUNCTION("""COMPUTED_VALUE"""),10.566666666666666)</f>
        <v>10.56666667</v>
      </c>
      <c r="J380" s="164">
        <f>IFERROR(__xludf.DUMMYFUNCTION("""COMPUTED_VALUE"""),94.0)</f>
        <v>94</v>
      </c>
      <c r="K380" s="164">
        <f>IFERROR(__xludf.DUMMYFUNCTION("""COMPUTED_VALUE"""),9.0)</f>
        <v>9</v>
      </c>
      <c r="L380" s="158" t="str">
        <f>IFERROR(__xludf.DUMMYFUNCTION("""COMPUTED_VALUE"""),"Shooter")</f>
        <v>Shooter</v>
      </c>
      <c r="M380" s="158" t="str">
        <f>IFERROR(__xludf.DUMMYFUNCTION("""COMPUTED_VALUE"""),"FPS Boost")</f>
        <v>FPS Boost</v>
      </c>
      <c r="N380" s="158"/>
      <c r="O380" s="158" t="str">
        <f>IFERROR(__xludf.DUMMYFUNCTION("""COMPUTED_VALUE"""),"M")</f>
        <v>M</v>
      </c>
      <c r="P380" s="158"/>
      <c r="Q380" s="158" t="str">
        <f>IFERROR(__xludf.DUMMYFUNCTION("""COMPUTED_VALUE"""),"Xbox 360")</f>
        <v>Xbox 360</v>
      </c>
      <c r="R380" s="159" t="str">
        <f>IFERROR(__xludf.DUMMYFUNCTION("""COMPUTED_VALUE"""),"Active")</f>
        <v>Active</v>
      </c>
      <c r="S380" s="160">
        <f>IFERROR(__xludf.DUMMYFUNCTION("""COMPUTED_VALUE"""),45547.0)</f>
        <v>45547</v>
      </c>
      <c r="T380" s="162">
        <f>IFERROR(__xludf.DUMMYFUNCTION("""COMPUTED_VALUE"""),87.36666666666667)</f>
        <v>87.36666667</v>
      </c>
    </row>
    <row r="381">
      <c r="A381" s="158" t="str">
        <f>IFERROR(__xludf.DUMMYFUNCTION("""COMPUTED_VALUE"""),"Gears of War 2")</f>
        <v>Gears of War 2</v>
      </c>
      <c r="B381" s="158" t="str">
        <f>IFERROR(__xludf.DUMMYFUNCTION("""COMPUTED_VALUE"""),"Xbox")</f>
        <v>Xbox</v>
      </c>
      <c r="C381" s="158" t="str">
        <f>IFERROR(__xludf.DUMMYFUNCTION("""COMPUTED_VALUE"""),"Yes")</f>
        <v>Yes</v>
      </c>
      <c r="D381" s="159" t="str">
        <f>IFERROR(__xludf.DUMMYFUNCTION("""COMPUTED_VALUE"""),"Active")</f>
        <v>Active</v>
      </c>
      <c r="E381" s="160">
        <f>IFERROR(__xludf.DUMMYFUNCTION("""COMPUTED_VALUE"""),42887.0)</f>
        <v>42887</v>
      </c>
      <c r="F381" s="161"/>
      <c r="G381" s="162">
        <f>IFERROR(__xludf.DUMMYFUNCTION("""COMPUTED_VALUE"""),100.46666666666667)</f>
        <v>100.4666667</v>
      </c>
      <c r="H381" s="163">
        <f>IFERROR(__xludf.DUMMYFUNCTION("""COMPUTED_VALUE"""),39759.0)</f>
        <v>39759</v>
      </c>
      <c r="I381" s="162">
        <f>IFERROR(__xludf.DUMMYFUNCTION("""COMPUTED_VALUE"""),8.566666666666666)</f>
        <v>8.566666667</v>
      </c>
      <c r="J381" s="164">
        <f>IFERROR(__xludf.DUMMYFUNCTION("""COMPUTED_VALUE"""),93.0)</f>
        <v>93</v>
      </c>
      <c r="K381" s="164">
        <f>IFERROR(__xludf.DUMMYFUNCTION("""COMPUTED_VALUE"""),10.0)</f>
        <v>10</v>
      </c>
      <c r="L381" s="158" t="str">
        <f>IFERROR(__xludf.DUMMYFUNCTION("""COMPUTED_VALUE"""),"Action / Shooter")</f>
        <v>Action / Shooter</v>
      </c>
      <c r="M381" s="158" t="str">
        <f>IFERROR(__xludf.DUMMYFUNCTION("""COMPUTED_VALUE"""),"FPS Boost")</f>
        <v>FPS Boost</v>
      </c>
      <c r="N381" s="158"/>
      <c r="O381" s="158" t="str">
        <f>IFERROR(__xludf.DUMMYFUNCTION("""COMPUTED_VALUE"""),"M")</f>
        <v>M</v>
      </c>
      <c r="P381" s="158" t="str">
        <f>IFERROR(__xludf.DUMMYFUNCTION("""COMPUTED_VALUE"""),"Blood and Gore, Strong Language, Intense Violence")</f>
        <v>Blood and Gore, Strong Language, Intense Violence</v>
      </c>
      <c r="Q381" s="158" t="str">
        <f>IFERROR(__xludf.DUMMYFUNCTION("""COMPUTED_VALUE"""),"Xbox 360")</f>
        <v>Xbox 360</v>
      </c>
      <c r="R381" s="159" t="str">
        <f>IFERROR(__xludf.DUMMYFUNCTION("""COMPUTED_VALUE"""),"Active")</f>
        <v>Active</v>
      </c>
      <c r="S381" s="160">
        <f>IFERROR(__xludf.DUMMYFUNCTION("""COMPUTED_VALUE"""),45547.0)</f>
        <v>45547</v>
      </c>
      <c r="T381" s="162">
        <f>IFERROR(__xludf.DUMMYFUNCTION("""COMPUTED_VALUE"""),87.36666666666667)</f>
        <v>87.36666667</v>
      </c>
    </row>
    <row r="382">
      <c r="A382" s="158" t="str">
        <f>IFERROR(__xludf.DUMMYFUNCTION("""COMPUTED_VALUE"""),"Gears of War 3")</f>
        <v>Gears of War 3</v>
      </c>
      <c r="B382" s="158" t="str">
        <f>IFERROR(__xludf.DUMMYFUNCTION("""COMPUTED_VALUE"""),"Xbox")</f>
        <v>Xbox</v>
      </c>
      <c r="C382" s="158" t="str">
        <f>IFERROR(__xludf.DUMMYFUNCTION("""COMPUTED_VALUE"""),"Yes")</f>
        <v>Yes</v>
      </c>
      <c r="D382" s="159" t="str">
        <f>IFERROR(__xludf.DUMMYFUNCTION("""COMPUTED_VALUE"""),"Active")</f>
        <v>Active</v>
      </c>
      <c r="E382" s="160">
        <f>IFERROR(__xludf.DUMMYFUNCTION("""COMPUTED_VALUE"""),42887.0)</f>
        <v>42887</v>
      </c>
      <c r="F382" s="161"/>
      <c r="G382" s="162">
        <f>IFERROR(__xludf.DUMMYFUNCTION("""COMPUTED_VALUE"""),100.46666666666667)</f>
        <v>100.4666667</v>
      </c>
      <c r="H382" s="163">
        <f>IFERROR(__xludf.DUMMYFUNCTION("""COMPUTED_VALUE"""),40806.0)</f>
        <v>40806</v>
      </c>
      <c r="I382" s="162">
        <f>IFERROR(__xludf.DUMMYFUNCTION("""COMPUTED_VALUE"""),5.697222222222222)</f>
        <v>5.697222222</v>
      </c>
      <c r="J382" s="164">
        <f>IFERROR(__xludf.DUMMYFUNCTION("""COMPUTED_VALUE"""),91.0)</f>
        <v>91</v>
      </c>
      <c r="K382" s="164">
        <f>IFERROR(__xludf.DUMMYFUNCTION("""COMPUTED_VALUE"""),9.5)</f>
        <v>9.5</v>
      </c>
      <c r="L382" s="158" t="str">
        <f>IFERROR(__xludf.DUMMYFUNCTION("""COMPUTED_VALUE"""),"Action / Shooter")</f>
        <v>Action / Shooter</v>
      </c>
      <c r="M382" s="158" t="str">
        <f>IFERROR(__xludf.DUMMYFUNCTION("""COMPUTED_VALUE"""),"FPS Boost")</f>
        <v>FPS Boost</v>
      </c>
      <c r="N382" s="158"/>
      <c r="O382" s="158" t="str">
        <f>IFERROR(__xludf.DUMMYFUNCTION("""COMPUTED_VALUE"""),"M")</f>
        <v>M</v>
      </c>
      <c r="P382" s="158" t="str">
        <f>IFERROR(__xludf.DUMMYFUNCTION("""COMPUTED_VALUE"""),"Blood and Gore, Strong Language, Intense Violence")</f>
        <v>Blood and Gore, Strong Language, Intense Violence</v>
      </c>
      <c r="Q382" s="158" t="str">
        <f>IFERROR(__xludf.DUMMYFUNCTION("""COMPUTED_VALUE"""),"Xbox 360")</f>
        <v>Xbox 360</v>
      </c>
      <c r="R382" s="159" t="str">
        <f>IFERROR(__xludf.DUMMYFUNCTION("""COMPUTED_VALUE"""),"Active")</f>
        <v>Active</v>
      </c>
      <c r="S382" s="160">
        <f>IFERROR(__xludf.DUMMYFUNCTION("""COMPUTED_VALUE"""),45547.0)</f>
        <v>45547</v>
      </c>
      <c r="T382" s="162">
        <f>IFERROR(__xludf.DUMMYFUNCTION("""COMPUTED_VALUE"""),87.36666666666667)</f>
        <v>87.36666667</v>
      </c>
    </row>
    <row r="383">
      <c r="A383" s="158" t="str">
        <f>IFERROR(__xludf.DUMMYFUNCTION("""COMPUTED_VALUE"""),"Gears of War: Judgment")</f>
        <v>Gears of War: Judgment</v>
      </c>
      <c r="B383" s="158" t="str">
        <f>IFERROR(__xludf.DUMMYFUNCTION("""COMPUTED_VALUE"""),"Xbox")</f>
        <v>Xbox</v>
      </c>
      <c r="C383" s="158" t="str">
        <f>IFERROR(__xludf.DUMMYFUNCTION("""COMPUTED_VALUE"""),"Yes")</f>
        <v>Yes</v>
      </c>
      <c r="D383" s="159" t="str">
        <f>IFERROR(__xludf.DUMMYFUNCTION("""COMPUTED_VALUE"""),"Active")</f>
        <v>Active</v>
      </c>
      <c r="E383" s="160">
        <f>IFERROR(__xludf.DUMMYFUNCTION("""COMPUTED_VALUE"""),42887.0)</f>
        <v>42887</v>
      </c>
      <c r="F383" s="161"/>
      <c r="G383" s="162">
        <f>IFERROR(__xludf.DUMMYFUNCTION("""COMPUTED_VALUE"""),100.46666666666667)</f>
        <v>100.4666667</v>
      </c>
      <c r="H383" s="163">
        <f>IFERROR(__xludf.DUMMYFUNCTION("""COMPUTED_VALUE"""),41352.0)</f>
        <v>41352</v>
      </c>
      <c r="I383" s="162">
        <f>IFERROR(__xludf.DUMMYFUNCTION("""COMPUTED_VALUE"""),4.2)</f>
        <v>4.2</v>
      </c>
      <c r="J383" s="164">
        <f>IFERROR(__xludf.DUMMYFUNCTION("""COMPUTED_VALUE"""),79.0)</f>
        <v>79</v>
      </c>
      <c r="K383" s="164">
        <f>IFERROR(__xludf.DUMMYFUNCTION("""COMPUTED_VALUE"""),7.0)</f>
        <v>7</v>
      </c>
      <c r="L383" s="158" t="str">
        <f>IFERROR(__xludf.DUMMYFUNCTION("""COMPUTED_VALUE"""),"Action / Shooter")</f>
        <v>Action / Shooter</v>
      </c>
      <c r="M383" s="158" t="str">
        <f>IFERROR(__xludf.DUMMYFUNCTION("""COMPUTED_VALUE"""),"FPS Boost")</f>
        <v>FPS Boost</v>
      </c>
      <c r="N383" s="158"/>
      <c r="O383" s="158" t="str">
        <f>IFERROR(__xludf.DUMMYFUNCTION("""COMPUTED_VALUE"""),"M")</f>
        <v>M</v>
      </c>
      <c r="P383" s="158" t="str">
        <f>IFERROR(__xludf.DUMMYFUNCTION("""COMPUTED_VALUE"""),"Blood and Gore, Strong Language, Intense Violence")</f>
        <v>Blood and Gore, Strong Language, Intense Violence</v>
      </c>
      <c r="Q383" s="158" t="str">
        <f>IFERROR(__xludf.DUMMYFUNCTION("""COMPUTED_VALUE"""),"Xbox 360")</f>
        <v>Xbox 360</v>
      </c>
      <c r="R383" s="159" t="str">
        <f>IFERROR(__xludf.DUMMYFUNCTION("""COMPUTED_VALUE"""),"Active")</f>
        <v>Active</v>
      </c>
      <c r="S383" s="160">
        <f>IFERROR(__xludf.DUMMYFUNCTION("""COMPUTED_VALUE"""),45547.0)</f>
        <v>45547</v>
      </c>
      <c r="T383" s="162">
        <f>IFERROR(__xludf.DUMMYFUNCTION("""COMPUTED_VALUE"""),87.36666666666667)</f>
        <v>87.36666667</v>
      </c>
    </row>
    <row r="384">
      <c r="A384" s="158" t="str">
        <f>IFERROR(__xludf.DUMMYFUNCTION("""COMPUTED_VALUE"""),"Gears of War: Ultimate Edition")</f>
        <v>Gears of War: Ultimate Edition</v>
      </c>
      <c r="B384" s="158" t="str">
        <f>IFERROR(__xludf.DUMMYFUNCTION("""COMPUTED_VALUE"""),"Xbox / PC")</f>
        <v>Xbox / PC</v>
      </c>
      <c r="C384" s="158" t="str">
        <f>IFERROR(__xludf.DUMMYFUNCTION("""COMPUTED_VALUE"""),"Yes")</f>
        <v>Yes</v>
      </c>
      <c r="D384" s="159" t="str">
        <f>IFERROR(__xludf.DUMMYFUNCTION("""COMPUTED_VALUE"""),"Active")</f>
        <v>Active</v>
      </c>
      <c r="E384" s="160">
        <f>IFERROR(__xludf.DUMMYFUNCTION("""COMPUTED_VALUE"""),42887.0)</f>
        <v>42887</v>
      </c>
      <c r="F384" s="161"/>
      <c r="G384" s="162">
        <f>IFERROR(__xludf.DUMMYFUNCTION("""COMPUTED_VALUE"""),100.46666666666667)</f>
        <v>100.4666667</v>
      </c>
      <c r="H384" s="163">
        <f>IFERROR(__xludf.DUMMYFUNCTION("""COMPUTED_VALUE"""),39028.0)</f>
        <v>39028</v>
      </c>
      <c r="I384" s="162">
        <f>IFERROR(__xludf.DUMMYFUNCTION("""COMPUTED_VALUE"""),10.566666666666666)</f>
        <v>10.56666667</v>
      </c>
      <c r="J384" s="164">
        <f>IFERROR(__xludf.DUMMYFUNCTION("""COMPUTED_VALUE"""),82.0)</f>
        <v>82</v>
      </c>
      <c r="K384" s="164">
        <f>IFERROR(__xludf.DUMMYFUNCTION("""COMPUTED_VALUE"""),9.0)</f>
        <v>9</v>
      </c>
      <c r="L384" s="158" t="str">
        <f>IFERROR(__xludf.DUMMYFUNCTION("""COMPUTED_VALUE"""),"Shooter")</f>
        <v>Shooter</v>
      </c>
      <c r="M384" s="158" t="str">
        <f>IFERROR(__xludf.DUMMYFUNCTION("""COMPUTED_VALUE"""),"FPS Boost")</f>
        <v>FPS Boost</v>
      </c>
      <c r="N384" s="158"/>
      <c r="O384" s="158" t="str">
        <f>IFERROR(__xludf.DUMMYFUNCTION("""COMPUTED_VALUE"""),"M")</f>
        <v>M</v>
      </c>
      <c r="P384" s="158" t="str">
        <f>IFERROR(__xludf.DUMMYFUNCTION("""COMPUTED_VALUE"""),"Blood and Gore, Strong Language, Intense Violence")</f>
        <v>Blood and Gore, Strong Language, Intense Violence</v>
      </c>
      <c r="Q384" s="158"/>
      <c r="R384" s="159" t="str">
        <f>IFERROR(__xludf.DUMMYFUNCTION("""COMPUTED_VALUE"""),"Active")</f>
        <v>Active</v>
      </c>
      <c r="S384" s="160">
        <f>IFERROR(__xludf.DUMMYFUNCTION("""COMPUTED_VALUE"""),45547.0)</f>
        <v>45547</v>
      </c>
      <c r="T384" s="162">
        <f>IFERROR(__xludf.DUMMYFUNCTION("""COMPUTED_VALUE"""),87.36666666666667)</f>
        <v>87.36666667</v>
      </c>
    </row>
    <row r="385">
      <c r="A385" s="158" t="str">
        <f>IFERROR(__xludf.DUMMYFUNCTION("""COMPUTED_VALUE"""),"Halo 5: Guardians")</f>
        <v>Halo 5: Guardians</v>
      </c>
      <c r="B385" s="158" t="str">
        <f>IFERROR(__xludf.DUMMYFUNCTION("""COMPUTED_VALUE"""),"Xbox")</f>
        <v>Xbox</v>
      </c>
      <c r="C385" s="158" t="str">
        <f>IFERROR(__xludf.DUMMYFUNCTION("""COMPUTED_VALUE"""),"Yes")</f>
        <v>Yes</v>
      </c>
      <c r="D385" s="159" t="str">
        <f>IFERROR(__xludf.DUMMYFUNCTION("""COMPUTED_VALUE"""),"Active")</f>
        <v>Active</v>
      </c>
      <c r="E385" s="160">
        <f>IFERROR(__xludf.DUMMYFUNCTION("""COMPUTED_VALUE"""),42887.0)</f>
        <v>42887</v>
      </c>
      <c r="F385" s="161"/>
      <c r="G385" s="162">
        <f>IFERROR(__xludf.DUMMYFUNCTION("""COMPUTED_VALUE"""),100.46666666666667)</f>
        <v>100.4666667</v>
      </c>
      <c r="H385" s="163">
        <f>IFERROR(__xludf.DUMMYFUNCTION("""COMPUTED_VALUE"""),42304.0)</f>
        <v>42304</v>
      </c>
      <c r="I385" s="162">
        <f>IFERROR(__xludf.DUMMYFUNCTION("""COMPUTED_VALUE"""),1.5944444444444446)</f>
        <v>1.594444444</v>
      </c>
      <c r="J385" s="164">
        <f>IFERROR(__xludf.DUMMYFUNCTION("""COMPUTED_VALUE"""),84.0)</f>
        <v>84</v>
      </c>
      <c r="K385" s="164">
        <f>IFERROR(__xludf.DUMMYFUNCTION("""COMPUTED_VALUE"""),8.0)</f>
        <v>8</v>
      </c>
      <c r="L385" s="158" t="str">
        <f>IFERROR(__xludf.DUMMYFUNCTION("""COMPUTED_VALUE"""),"First-Person Shooter")</f>
        <v>First-Person Shooter</v>
      </c>
      <c r="M385" s="158"/>
      <c r="N385" s="158" t="str">
        <f>IFERROR(__xludf.DUMMYFUNCTION("""COMPUTED_VALUE"""),"Game Pass Essential launch title (9/14/23)")</f>
        <v>Game Pass Essential launch title (9/14/23)</v>
      </c>
      <c r="O385" s="158" t="str">
        <f>IFERROR(__xludf.DUMMYFUNCTION("""COMPUTED_VALUE"""),"T")</f>
        <v>T</v>
      </c>
      <c r="P385" s="158" t="str">
        <f>IFERROR(__xludf.DUMMYFUNCTION("""COMPUTED_VALUE"""),"Blood, Mild Language, Violence")</f>
        <v>Blood, Mild Language, Violence</v>
      </c>
      <c r="Q385" s="158"/>
      <c r="R385" s="159" t="str">
        <f>IFERROR(__xludf.DUMMYFUNCTION("""COMPUTED_VALUE"""),"Active")</f>
        <v>Active</v>
      </c>
      <c r="S385" s="160">
        <f>IFERROR(__xludf.DUMMYFUNCTION("""COMPUTED_VALUE"""),45547.0)</f>
        <v>45547</v>
      </c>
      <c r="T385" s="162">
        <f>IFERROR(__xludf.DUMMYFUNCTION("""COMPUTED_VALUE"""),87.36666666666667)</f>
        <v>87.36666667</v>
      </c>
    </row>
    <row r="386">
      <c r="A386" s="158" t="str">
        <f>IFERROR(__xludf.DUMMYFUNCTION("""COMPUTED_VALUE"""),"Halo: Spartan Assault")</f>
        <v>Halo: Spartan Assault</v>
      </c>
      <c r="B386" s="158" t="str">
        <f>IFERROR(__xludf.DUMMYFUNCTION("""COMPUTED_VALUE"""),"Xbox / PC")</f>
        <v>Xbox / PC</v>
      </c>
      <c r="C386" s="158" t="str">
        <f>IFERROR(__xludf.DUMMYFUNCTION("""COMPUTED_VALUE"""),"Touch Controls")</f>
        <v>Touch Controls</v>
      </c>
      <c r="D386" s="159" t="str">
        <f>IFERROR(__xludf.DUMMYFUNCTION("""COMPUTED_VALUE"""),"Active")</f>
        <v>Active</v>
      </c>
      <c r="E386" s="160">
        <f>IFERROR(__xludf.DUMMYFUNCTION("""COMPUTED_VALUE"""),42887.0)</f>
        <v>42887</v>
      </c>
      <c r="F386" s="161"/>
      <c r="G386" s="162">
        <f>IFERROR(__xludf.DUMMYFUNCTION("""COMPUTED_VALUE"""),100.46666666666667)</f>
        <v>100.4666667</v>
      </c>
      <c r="H386" s="163">
        <f>IFERROR(__xludf.DUMMYFUNCTION("""COMPUTED_VALUE"""),41473.0)</f>
        <v>41473</v>
      </c>
      <c r="I386" s="162">
        <f>IFERROR(__xludf.DUMMYFUNCTION("""COMPUTED_VALUE"""),3.8694444444444445)</f>
        <v>3.869444444</v>
      </c>
      <c r="J386" s="164">
        <f>IFERROR(__xludf.DUMMYFUNCTION("""COMPUTED_VALUE"""),53.0)</f>
        <v>53</v>
      </c>
      <c r="K386" s="164">
        <f>IFERROR(__xludf.DUMMYFUNCTION("""COMPUTED_VALUE"""),4.0)</f>
        <v>4</v>
      </c>
      <c r="L386" s="158" t="str">
        <f>IFERROR(__xludf.DUMMYFUNCTION("""COMPUTED_VALUE"""),"Dual-Joystick Shooter")</f>
        <v>Dual-Joystick Shooter</v>
      </c>
      <c r="M386" s="158" t="str">
        <f>IFERROR(__xludf.DUMMYFUNCTION("""COMPUTED_VALUE"""),"FPS Boost")</f>
        <v>FPS Boost</v>
      </c>
      <c r="N386" s="158"/>
      <c r="O386" s="158" t="str">
        <f>IFERROR(__xludf.DUMMYFUNCTION("""COMPUTED_VALUE"""),"T")</f>
        <v>T</v>
      </c>
      <c r="P386" s="158" t="str">
        <f>IFERROR(__xludf.DUMMYFUNCTION("""COMPUTED_VALUE"""),"Blood, Violence")</f>
        <v>Blood, Violence</v>
      </c>
      <c r="Q386" s="158"/>
      <c r="R386" s="159" t="str">
        <f>IFERROR(__xludf.DUMMYFUNCTION("""COMPUTED_VALUE"""),"Active")</f>
        <v>Active</v>
      </c>
      <c r="S386" s="160">
        <f>IFERROR(__xludf.DUMMYFUNCTION("""COMPUTED_VALUE"""),45547.0)</f>
        <v>45547</v>
      </c>
      <c r="T386" s="162">
        <f>IFERROR(__xludf.DUMMYFUNCTION("""COMPUTED_VALUE"""),87.36666666666667)</f>
        <v>87.36666667</v>
      </c>
    </row>
    <row r="387">
      <c r="A387" s="158" t="str">
        <f>IFERROR(__xludf.DUMMYFUNCTION("""COMPUTED_VALUE"""),"Jetpac Refuelled")</f>
        <v>Jetpac Refuelled</v>
      </c>
      <c r="B387" s="158" t="str">
        <f>IFERROR(__xludf.DUMMYFUNCTION("""COMPUTED_VALUE"""),"Xbox")</f>
        <v>Xbox</v>
      </c>
      <c r="C387" s="158" t="str">
        <f>IFERROR(__xludf.DUMMYFUNCTION("""COMPUTED_VALUE"""),"Touch Controls")</f>
        <v>Touch Controls</v>
      </c>
      <c r="D387" s="159" t="str">
        <f>IFERROR(__xludf.DUMMYFUNCTION("""COMPUTED_VALUE"""),"Active")</f>
        <v>Active</v>
      </c>
      <c r="E387" s="160">
        <f>IFERROR(__xludf.DUMMYFUNCTION("""COMPUTED_VALUE"""),42887.0)</f>
        <v>42887</v>
      </c>
      <c r="F387" s="161"/>
      <c r="G387" s="162">
        <f>IFERROR(__xludf.DUMMYFUNCTION("""COMPUTED_VALUE"""),100.46666666666667)</f>
        <v>100.4666667</v>
      </c>
      <c r="H387" s="163">
        <f>IFERROR(__xludf.DUMMYFUNCTION("""COMPUTED_VALUE"""),39169.0)</f>
        <v>39169</v>
      </c>
      <c r="I387" s="162">
        <f>IFERROR(__xludf.DUMMYFUNCTION("""COMPUTED_VALUE"""),10.175)</f>
        <v>10.175</v>
      </c>
      <c r="J387" s="164">
        <f>IFERROR(__xludf.DUMMYFUNCTION("""COMPUTED_VALUE"""),73.0)</f>
        <v>73</v>
      </c>
      <c r="K387" s="164">
        <f>IFERROR(__xludf.DUMMYFUNCTION("""COMPUTED_VALUE"""),4.5)</f>
        <v>4.5</v>
      </c>
      <c r="L387" s="158" t="str">
        <f>IFERROR(__xludf.DUMMYFUNCTION("""COMPUTED_VALUE"""),"Action / Shooter")</f>
        <v>Action / Shooter</v>
      </c>
      <c r="M387" s="158"/>
      <c r="N387" s="158"/>
      <c r="O387" s="158" t="str">
        <f>IFERROR(__xludf.DUMMYFUNCTION("""COMPUTED_VALUE"""),"E")</f>
        <v>E</v>
      </c>
      <c r="P387" s="158" t="str">
        <f>IFERROR(__xludf.DUMMYFUNCTION("""COMPUTED_VALUE"""),"Mild Fantasy Violence")</f>
        <v>Mild Fantasy Violence</v>
      </c>
      <c r="Q387" s="158" t="str">
        <f>IFERROR(__xludf.DUMMYFUNCTION("""COMPUTED_VALUE"""),"Xbox 360")</f>
        <v>Xbox 360</v>
      </c>
      <c r="R387" s="159" t="str">
        <f>IFERROR(__xludf.DUMMYFUNCTION("""COMPUTED_VALUE"""),"Active")</f>
        <v>Active</v>
      </c>
      <c r="S387" s="160">
        <f>IFERROR(__xludf.DUMMYFUNCTION("""COMPUTED_VALUE"""),45547.0)</f>
        <v>45547</v>
      </c>
      <c r="T387" s="162">
        <f>IFERROR(__xludf.DUMMYFUNCTION("""COMPUTED_VALUE"""),87.36666666666667)</f>
        <v>87.36666667</v>
      </c>
    </row>
    <row r="388">
      <c r="A388" s="158" t="str">
        <f>IFERROR(__xludf.DUMMYFUNCTION("""COMPUTED_VALUE"""),"Joy Ride Turbo")</f>
        <v>Joy Ride Turbo</v>
      </c>
      <c r="B388" s="158" t="str">
        <f>IFERROR(__xludf.DUMMYFUNCTION("""COMPUTED_VALUE"""),"Xbox")</f>
        <v>Xbox</v>
      </c>
      <c r="C388" s="158" t="str">
        <f>IFERROR(__xludf.DUMMYFUNCTION("""COMPUTED_VALUE"""),"Touch Controls")</f>
        <v>Touch Controls</v>
      </c>
      <c r="D388" s="159" t="str">
        <f>IFERROR(__xludf.DUMMYFUNCTION("""COMPUTED_VALUE"""),"Active")</f>
        <v>Active</v>
      </c>
      <c r="E388" s="160">
        <f>IFERROR(__xludf.DUMMYFUNCTION("""COMPUTED_VALUE"""),42887.0)</f>
        <v>42887</v>
      </c>
      <c r="F388" s="161"/>
      <c r="G388" s="162">
        <f>IFERROR(__xludf.DUMMYFUNCTION("""COMPUTED_VALUE"""),100.46666666666667)</f>
        <v>100.4666667</v>
      </c>
      <c r="H388" s="163">
        <f>IFERROR(__xludf.DUMMYFUNCTION("""COMPUTED_VALUE"""),41052.0)</f>
        <v>41052</v>
      </c>
      <c r="I388" s="162">
        <f>IFERROR(__xludf.DUMMYFUNCTION("""COMPUTED_VALUE"""),5.022222222222222)</f>
        <v>5.022222222</v>
      </c>
      <c r="J388" s="164">
        <f>IFERROR(__xludf.DUMMYFUNCTION("""COMPUTED_VALUE"""),67.0)</f>
        <v>67</v>
      </c>
      <c r="K388" s="164">
        <f>IFERROR(__xludf.DUMMYFUNCTION("""COMPUTED_VALUE"""),2.0)</f>
        <v>2</v>
      </c>
      <c r="L388" s="158" t="str">
        <f>IFERROR(__xludf.DUMMYFUNCTION("""COMPUTED_VALUE"""),"Driving/Racing")</f>
        <v>Driving/Racing</v>
      </c>
      <c r="M388" s="158"/>
      <c r="N388" s="158"/>
      <c r="O388" s="158" t="str">
        <f>IFERROR(__xludf.DUMMYFUNCTION("""COMPUTED_VALUE"""),"E")</f>
        <v>E</v>
      </c>
      <c r="P388" s="158" t="str">
        <f>IFERROR(__xludf.DUMMYFUNCTION("""COMPUTED_VALUE"""),"Mild Fantasy Violence")</f>
        <v>Mild Fantasy Violence</v>
      </c>
      <c r="Q388" s="158" t="str">
        <f>IFERROR(__xludf.DUMMYFUNCTION("""COMPUTED_VALUE"""),"Xbox 360")</f>
        <v>Xbox 360</v>
      </c>
      <c r="R388" s="159" t="str">
        <f>IFERROR(__xludf.DUMMYFUNCTION("""COMPUTED_VALUE"""),"Active")</f>
        <v>Active</v>
      </c>
      <c r="S388" s="160">
        <f>IFERROR(__xludf.DUMMYFUNCTION("""COMPUTED_VALUE"""),45547.0)</f>
        <v>45547</v>
      </c>
      <c r="T388" s="162">
        <f>IFERROR(__xludf.DUMMYFUNCTION("""COMPUTED_VALUE"""),87.36666666666667)</f>
        <v>87.36666667</v>
      </c>
    </row>
    <row r="389">
      <c r="A389" s="158" t="str">
        <f>IFERROR(__xludf.DUMMYFUNCTION("""COMPUTED_VALUE"""),"Kameo: Elements of Power")</f>
        <v>Kameo: Elements of Power</v>
      </c>
      <c r="B389" s="158" t="str">
        <f>IFERROR(__xludf.DUMMYFUNCTION("""COMPUTED_VALUE"""),"Xbox")</f>
        <v>Xbox</v>
      </c>
      <c r="C389" s="158" t="str">
        <f>IFERROR(__xludf.DUMMYFUNCTION("""COMPUTED_VALUE"""),"Yes")</f>
        <v>Yes</v>
      </c>
      <c r="D389" s="159" t="str">
        <f>IFERROR(__xludf.DUMMYFUNCTION("""COMPUTED_VALUE"""),"Active")</f>
        <v>Active</v>
      </c>
      <c r="E389" s="160">
        <f>IFERROR(__xludf.DUMMYFUNCTION("""COMPUTED_VALUE"""),42887.0)</f>
        <v>42887</v>
      </c>
      <c r="F389" s="161"/>
      <c r="G389" s="162">
        <f>IFERROR(__xludf.DUMMYFUNCTION("""COMPUTED_VALUE"""),100.46666666666667)</f>
        <v>100.4666667</v>
      </c>
      <c r="H389" s="163">
        <f>IFERROR(__xludf.DUMMYFUNCTION("""COMPUTED_VALUE"""),38670.0)</f>
        <v>38670</v>
      </c>
      <c r="I389" s="162">
        <f>IFERROR(__xludf.DUMMYFUNCTION("""COMPUTED_VALUE"""),11.547222222222222)</f>
        <v>11.54722222</v>
      </c>
      <c r="J389" s="164">
        <f>IFERROR(__xludf.DUMMYFUNCTION("""COMPUTED_VALUE"""),79.0)</f>
        <v>79</v>
      </c>
      <c r="K389" s="164">
        <f>IFERROR(__xludf.DUMMYFUNCTION("""COMPUTED_VALUE"""),9.5)</f>
        <v>9.5</v>
      </c>
      <c r="L389" s="158" t="str">
        <f>IFERROR(__xludf.DUMMYFUNCTION("""COMPUTED_VALUE"""),"Action-Adventure")</f>
        <v>Action-Adventure</v>
      </c>
      <c r="M389" s="158" t="str">
        <f>IFERROR(__xludf.DUMMYFUNCTION("""COMPUTED_VALUE"""),"FPS Boost")</f>
        <v>FPS Boost</v>
      </c>
      <c r="N389" s="158"/>
      <c r="O389" s="158" t="str">
        <f>IFERROR(__xludf.DUMMYFUNCTION("""COMPUTED_VALUE"""),"T")</f>
        <v>T</v>
      </c>
      <c r="P389" s="158" t="str">
        <f>IFERROR(__xludf.DUMMYFUNCTION("""COMPUTED_VALUE"""),"Violence")</f>
        <v>Violence</v>
      </c>
      <c r="Q389" s="158" t="str">
        <f>IFERROR(__xludf.DUMMYFUNCTION("""COMPUTED_VALUE"""),"Xbox 360")</f>
        <v>Xbox 360</v>
      </c>
      <c r="R389" s="159" t="str">
        <f>IFERROR(__xludf.DUMMYFUNCTION("""COMPUTED_VALUE"""),"Active")</f>
        <v>Active</v>
      </c>
      <c r="S389" s="160">
        <f>IFERROR(__xludf.DUMMYFUNCTION("""COMPUTED_VALUE"""),45547.0)</f>
        <v>45547</v>
      </c>
      <c r="T389" s="162">
        <f>IFERROR(__xludf.DUMMYFUNCTION("""COMPUTED_VALUE"""),87.36666666666667)</f>
        <v>87.36666667</v>
      </c>
    </row>
    <row r="390">
      <c r="A390" s="158" t="str">
        <f>IFERROR(__xludf.DUMMYFUNCTION("""COMPUTED_VALUE"""),"Max: The Curse of Brotherhood")</f>
        <v>Max: The Curse of Brotherhood</v>
      </c>
      <c r="B390" s="158" t="str">
        <f>IFERROR(__xludf.DUMMYFUNCTION("""COMPUTED_VALUE"""),"Xbox")</f>
        <v>Xbox</v>
      </c>
      <c r="C390" s="158"/>
      <c r="D390" s="159" t="str">
        <f>IFERROR(__xludf.DUMMYFUNCTION("""COMPUTED_VALUE"""),"Active")</f>
        <v>Active</v>
      </c>
      <c r="E390" s="160">
        <f>IFERROR(__xludf.DUMMYFUNCTION("""COMPUTED_VALUE"""),42887.0)</f>
        <v>42887</v>
      </c>
      <c r="F390" s="161"/>
      <c r="G390" s="162">
        <f>IFERROR(__xludf.DUMMYFUNCTION("""COMPUTED_VALUE"""),100.46666666666667)</f>
        <v>100.4666667</v>
      </c>
      <c r="H390" s="163">
        <f>IFERROR(__xludf.DUMMYFUNCTION("""COMPUTED_VALUE"""),41628.0)</f>
        <v>41628</v>
      </c>
      <c r="I390" s="162">
        <f>IFERROR(__xludf.DUMMYFUNCTION("""COMPUTED_VALUE"""),3.4472222222222224)</f>
        <v>3.447222222</v>
      </c>
      <c r="J390" s="164">
        <f>IFERROR(__xludf.DUMMYFUNCTION("""COMPUTED_VALUE"""),72.0)</f>
        <v>72</v>
      </c>
      <c r="K390" s="164">
        <f>IFERROR(__xludf.DUMMYFUNCTION("""COMPUTED_VALUE"""),6.0)</f>
        <v>6</v>
      </c>
      <c r="L390" s="158" t="str">
        <f>IFERROR(__xludf.DUMMYFUNCTION("""COMPUTED_VALUE"""),"Puzzle / Platformer")</f>
        <v>Puzzle / Platformer</v>
      </c>
      <c r="M390" s="158"/>
      <c r="N390" s="158"/>
      <c r="O390" s="158" t="str">
        <f>IFERROR(__xludf.DUMMYFUNCTION("""COMPUTED_VALUE"""),"E10+")</f>
        <v>E10+</v>
      </c>
      <c r="P390" s="158" t="str">
        <f>IFERROR(__xludf.DUMMYFUNCTION("""COMPUTED_VALUE"""),"3")</f>
        <v>3</v>
      </c>
      <c r="Q390" s="158"/>
      <c r="R390" s="159" t="str">
        <f>IFERROR(__xludf.DUMMYFUNCTION("""COMPUTED_VALUE"""),"Active")</f>
        <v>Active</v>
      </c>
      <c r="S390" s="160">
        <f>IFERROR(__xludf.DUMMYFUNCTION("""COMPUTED_VALUE"""),45547.0)</f>
        <v>45547</v>
      </c>
      <c r="T390" s="162">
        <f>IFERROR(__xludf.DUMMYFUNCTION("""COMPUTED_VALUE"""),87.36666666666667)</f>
        <v>87.36666667</v>
      </c>
    </row>
    <row r="391">
      <c r="A391" s="158" t="str">
        <f>IFERROR(__xludf.DUMMYFUNCTION("""COMPUTED_VALUE"""),"Payday 2: Crimewave Edition")</f>
        <v>Payday 2: Crimewave Edition</v>
      </c>
      <c r="B391" s="158" t="str">
        <f>IFERROR(__xludf.DUMMYFUNCTION("""COMPUTED_VALUE"""),"Xbox")</f>
        <v>Xbox</v>
      </c>
      <c r="C391" s="158"/>
      <c r="D391" s="159" t="str">
        <f>IFERROR(__xludf.DUMMYFUNCTION("""COMPUTED_VALUE"""),"Active")</f>
        <v>Active</v>
      </c>
      <c r="E391" s="160">
        <f>IFERROR(__xludf.DUMMYFUNCTION("""COMPUTED_VALUE"""),42887.0)</f>
        <v>42887</v>
      </c>
      <c r="F391" s="161"/>
      <c r="G391" s="162">
        <f>IFERROR(__xludf.DUMMYFUNCTION("""COMPUTED_VALUE"""),100.46666666666667)</f>
        <v>100.4666667</v>
      </c>
      <c r="H391" s="163">
        <f>IFERROR(__xludf.DUMMYFUNCTION("""COMPUTED_VALUE"""),41499.0)</f>
        <v>41499</v>
      </c>
      <c r="I391" s="162">
        <f>IFERROR(__xludf.DUMMYFUNCTION("""COMPUTED_VALUE"""),3.8)</f>
        <v>3.8</v>
      </c>
      <c r="J391" s="164">
        <f>IFERROR(__xludf.DUMMYFUNCTION("""COMPUTED_VALUE"""),65.0)</f>
        <v>65</v>
      </c>
      <c r="K391" s="164">
        <f>IFERROR(__xludf.DUMMYFUNCTION("""COMPUTED_VALUE"""),24.5)</f>
        <v>24.5</v>
      </c>
      <c r="L391" s="158" t="str">
        <f>IFERROR(__xludf.DUMMYFUNCTION("""COMPUTED_VALUE"""),"First-Person Shooter")</f>
        <v>First-Person Shooter</v>
      </c>
      <c r="M391" s="158"/>
      <c r="N391" s="158" t="str">
        <f>IFERROR(__xludf.DUMMYFUNCTION("""COMPUTED_VALUE"""),"Game Pass Essential launch title (9/14/23)")</f>
        <v>Game Pass Essential launch title (9/14/23)</v>
      </c>
      <c r="O391" s="158" t="str">
        <f>IFERROR(__xludf.DUMMYFUNCTION("""COMPUTED_VALUE"""),"M")</f>
        <v>M</v>
      </c>
      <c r="P391" s="158" t="str">
        <f>IFERROR(__xludf.DUMMYFUNCTION("""COMPUTED_VALUE"""),"Blood and Gore, Suggestive Themes, Drug Reference, Strong Language, Intense Violence")</f>
        <v>Blood and Gore, Suggestive Themes, Drug Reference, Strong Language, Intense Violence</v>
      </c>
      <c r="Q391" s="158"/>
      <c r="R391" s="159" t="str">
        <f>IFERROR(__xludf.DUMMYFUNCTION("""COMPUTED_VALUE"""),"Active")</f>
        <v>Active</v>
      </c>
      <c r="S391" s="160">
        <f>IFERROR(__xludf.DUMMYFUNCTION("""COMPUTED_VALUE"""),45547.0)</f>
        <v>45547</v>
      </c>
      <c r="T391" s="162">
        <f>IFERROR(__xludf.DUMMYFUNCTION("""COMPUTED_VALUE"""),87.36666666666667)</f>
        <v>87.36666667</v>
      </c>
    </row>
    <row r="392">
      <c r="A392" s="158" t="str">
        <f>IFERROR(__xludf.DUMMYFUNCTION("""COMPUTED_VALUE"""),"Perfect Dark Zero")</f>
        <v>Perfect Dark Zero</v>
      </c>
      <c r="B392" s="158" t="str">
        <f>IFERROR(__xludf.DUMMYFUNCTION("""COMPUTED_VALUE"""),"Xbox")</f>
        <v>Xbox</v>
      </c>
      <c r="C392" s="158" t="str">
        <f>IFERROR(__xludf.DUMMYFUNCTION("""COMPUTED_VALUE"""),"Yes")</f>
        <v>Yes</v>
      </c>
      <c r="D392" s="159" t="str">
        <f>IFERROR(__xludf.DUMMYFUNCTION("""COMPUTED_VALUE"""),"Active")</f>
        <v>Active</v>
      </c>
      <c r="E392" s="160">
        <f>IFERROR(__xludf.DUMMYFUNCTION("""COMPUTED_VALUE"""),42887.0)</f>
        <v>42887</v>
      </c>
      <c r="F392" s="161"/>
      <c r="G392" s="162">
        <f>IFERROR(__xludf.DUMMYFUNCTION("""COMPUTED_VALUE"""),100.46666666666667)</f>
        <v>100.4666667</v>
      </c>
      <c r="H392" s="163">
        <f>IFERROR(__xludf.DUMMYFUNCTION("""COMPUTED_VALUE"""),38875.0)</f>
        <v>38875</v>
      </c>
      <c r="I392" s="162">
        <f>IFERROR(__xludf.DUMMYFUNCTION("""COMPUTED_VALUE"""),10.983333333333333)</f>
        <v>10.98333333</v>
      </c>
      <c r="J392" s="164">
        <f>IFERROR(__xludf.DUMMYFUNCTION("""COMPUTED_VALUE"""),81.0)</f>
        <v>81</v>
      </c>
      <c r="K392" s="164">
        <f>IFERROR(__xludf.DUMMYFUNCTION("""COMPUTED_VALUE"""),8.0)</f>
        <v>8</v>
      </c>
      <c r="L392" s="158" t="str">
        <f>IFERROR(__xludf.DUMMYFUNCTION("""COMPUTED_VALUE"""),"First-Person Shooter")</f>
        <v>First-Person Shooter</v>
      </c>
      <c r="M392" s="158"/>
      <c r="N392" s="158"/>
      <c r="O392" s="158" t="str">
        <f>IFERROR(__xludf.DUMMYFUNCTION("""COMPUTED_VALUE"""),"M")</f>
        <v>M</v>
      </c>
      <c r="P392" s="158" t="str">
        <f>IFERROR(__xludf.DUMMYFUNCTION("""COMPUTED_VALUE"""),"Blood, Violence, Language")</f>
        <v>Blood, Violence, Language</v>
      </c>
      <c r="Q392" s="158" t="str">
        <f>IFERROR(__xludf.DUMMYFUNCTION("""COMPUTED_VALUE"""),"Xbox 360")</f>
        <v>Xbox 360</v>
      </c>
      <c r="R392" s="159" t="str">
        <f>IFERROR(__xludf.DUMMYFUNCTION("""COMPUTED_VALUE"""),"Active")</f>
        <v>Active</v>
      </c>
      <c r="S392" s="160">
        <f>IFERROR(__xludf.DUMMYFUNCTION("""COMPUTED_VALUE"""),45547.0)</f>
        <v>45547</v>
      </c>
      <c r="T392" s="162">
        <f>IFERROR(__xludf.DUMMYFUNCTION("""COMPUTED_VALUE"""),87.36666666666667)</f>
        <v>87.36666667</v>
      </c>
    </row>
    <row r="393">
      <c r="A393" s="158" t="str">
        <f>IFERROR(__xludf.DUMMYFUNCTION("""COMPUTED_VALUE"""),"ScreamRide")</f>
        <v>ScreamRide</v>
      </c>
      <c r="B393" s="158" t="str">
        <f>IFERROR(__xludf.DUMMYFUNCTION("""COMPUTED_VALUE"""),"Xbox")</f>
        <v>Xbox</v>
      </c>
      <c r="C393" s="158"/>
      <c r="D393" s="159" t="str">
        <f>IFERROR(__xludf.DUMMYFUNCTION("""COMPUTED_VALUE"""),"Active")</f>
        <v>Active</v>
      </c>
      <c r="E393" s="160">
        <f>IFERROR(__xludf.DUMMYFUNCTION("""COMPUTED_VALUE"""),42887.0)</f>
        <v>42887</v>
      </c>
      <c r="F393" s="161"/>
      <c r="G393" s="162">
        <f>IFERROR(__xludf.DUMMYFUNCTION("""COMPUTED_VALUE"""),100.46666666666667)</f>
        <v>100.4666667</v>
      </c>
      <c r="H393" s="163">
        <f>IFERROR(__xludf.DUMMYFUNCTION("""COMPUTED_VALUE"""),42066.0)</f>
        <v>42066</v>
      </c>
      <c r="I393" s="162">
        <f>IFERROR(__xludf.DUMMYFUNCTION("""COMPUTED_VALUE"""),2.2444444444444445)</f>
        <v>2.244444444</v>
      </c>
      <c r="J393" s="164">
        <f>IFERROR(__xludf.DUMMYFUNCTION("""COMPUTED_VALUE"""),71.0)</f>
        <v>71</v>
      </c>
      <c r="K393" s="164">
        <f>IFERROR(__xludf.DUMMYFUNCTION("""COMPUTED_VALUE"""),6.0)</f>
        <v>6</v>
      </c>
      <c r="L393" s="158" t="str">
        <f>IFERROR(__xludf.DUMMYFUNCTION("""COMPUTED_VALUE"""),"Action")</f>
        <v>Action</v>
      </c>
      <c r="M393" s="158"/>
      <c r="N393" s="158"/>
      <c r="O393" s="158" t="str">
        <f>IFERROR(__xludf.DUMMYFUNCTION("""COMPUTED_VALUE"""),"E10+")</f>
        <v>E10+</v>
      </c>
      <c r="P393" s="158" t="str">
        <f>IFERROR(__xludf.DUMMYFUNCTION("""COMPUTED_VALUE"""),"Mild Violence")</f>
        <v>Mild Violence</v>
      </c>
      <c r="Q393" s="158"/>
      <c r="R393" s="159" t="str">
        <f>IFERROR(__xludf.DUMMYFUNCTION("""COMPUTED_VALUE"""),"Active")</f>
        <v>Active</v>
      </c>
      <c r="S393" s="160">
        <f>IFERROR(__xludf.DUMMYFUNCTION("""COMPUTED_VALUE"""),45547.0)</f>
        <v>45547</v>
      </c>
      <c r="T393" s="162">
        <f>IFERROR(__xludf.DUMMYFUNCTION("""COMPUTED_VALUE"""),87.36666666666667)</f>
        <v>87.36666667</v>
      </c>
    </row>
    <row r="394">
      <c r="A394" s="158" t="str">
        <f>IFERROR(__xludf.DUMMYFUNCTION("""COMPUTED_VALUE"""),"Sunset Overdrive")</f>
        <v>Sunset Overdrive</v>
      </c>
      <c r="B394" s="158" t="str">
        <f>IFERROR(__xludf.DUMMYFUNCTION("""COMPUTED_VALUE"""),"Xbox / PC")</f>
        <v>Xbox / PC</v>
      </c>
      <c r="C394" s="158"/>
      <c r="D394" s="159" t="str">
        <f>IFERROR(__xludf.DUMMYFUNCTION("""COMPUTED_VALUE"""),"Active")</f>
        <v>Active</v>
      </c>
      <c r="E394" s="160">
        <f>IFERROR(__xludf.DUMMYFUNCTION("""COMPUTED_VALUE"""),42887.0)</f>
        <v>42887</v>
      </c>
      <c r="F394" s="161"/>
      <c r="G394" s="162">
        <f>IFERROR(__xludf.DUMMYFUNCTION("""COMPUTED_VALUE"""),100.46666666666667)</f>
        <v>100.4666667</v>
      </c>
      <c r="H394" s="163">
        <f>IFERROR(__xludf.DUMMYFUNCTION("""COMPUTED_VALUE"""),41940.0)</f>
        <v>41940</v>
      </c>
      <c r="I394" s="162">
        <f>IFERROR(__xludf.DUMMYFUNCTION("""COMPUTED_VALUE"""),2.591666666666667)</f>
        <v>2.591666667</v>
      </c>
      <c r="J394" s="164">
        <f>IFERROR(__xludf.DUMMYFUNCTION("""COMPUTED_VALUE"""),81.0)</f>
        <v>81</v>
      </c>
      <c r="K394" s="164">
        <f>IFERROR(__xludf.DUMMYFUNCTION("""COMPUTED_VALUE"""),10.0)</f>
        <v>10</v>
      </c>
      <c r="L394" s="158" t="str">
        <f>IFERROR(__xludf.DUMMYFUNCTION("""COMPUTED_VALUE"""),"Shooter / Platformer / Action-Adventure")</f>
        <v>Shooter / Platformer / Action-Adventure</v>
      </c>
      <c r="M394" s="158"/>
      <c r="N394" s="158"/>
      <c r="O394" s="158" t="str">
        <f>IFERROR(__xludf.DUMMYFUNCTION("""COMPUTED_VALUE"""),"M")</f>
        <v>M</v>
      </c>
      <c r="P394" s="158" t="str">
        <f>IFERROR(__xludf.DUMMYFUNCTION("""COMPUTED_VALUE"""),"Blood and Gore, Sexual Themes, Drug Reference, Strong Language, Violence")</f>
        <v>Blood and Gore, Sexual Themes, Drug Reference, Strong Language, Violence</v>
      </c>
      <c r="Q394" s="158"/>
      <c r="R394" s="159" t="str">
        <f>IFERROR(__xludf.DUMMYFUNCTION("""COMPUTED_VALUE"""),"Active")</f>
        <v>Active</v>
      </c>
      <c r="S394" s="160">
        <f>IFERROR(__xludf.DUMMYFUNCTION("""COMPUTED_VALUE"""),45547.0)</f>
        <v>45547</v>
      </c>
      <c r="T394" s="162">
        <f>IFERROR(__xludf.DUMMYFUNCTION("""COMPUTED_VALUE"""),87.36666666666667)</f>
        <v>87.36666667</v>
      </c>
    </row>
    <row r="395">
      <c r="A395" s="158" t="str">
        <f>IFERROR(__xludf.DUMMYFUNCTION("""COMPUTED_VALUE"""),"Terraria")</f>
        <v>Terraria</v>
      </c>
      <c r="B395" s="158" t="str">
        <f>IFERROR(__xludf.DUMMYFUNCTION("""COMPUTED_VALUE"""),"Xbox")</f>
        <v>Xbox</v>
      </c>
      <c r="C395" s="158" t="str">
        <f>IFERROR(__xludf.DUMMYFUNCTION("""COMPUTED_VALUE"""),"M+KB")</f>
        <v>M+KB</v>
      </c>
      <c r="D395" s="159" t="str">
        <f>IFERROR(__xludf.DUMMYFUNCTION("""COMPUTED_VALUE"""),"Active")</f>
        <v>Active</v>
      </c>
      <c r="E395" s="160">
        <f>IFERROR(__xludf.DUMMYFUNCTION("""COMPUTED_VALUE"""),42887.0)</f>
        <v>42887</v>
      </c>
      <c r="F395" s="161"/>
      <c r="G395" s="162">
        <f>IFERROR(__xludf.DUMMYFUNCTION("""COMPUTED_VALUE"""),100.46666666666667)</f>
        <v>100.4666667</v>
      </c>
      <c r="H395" s="163">
        <f>IFERROR(__xludf.DUMMYFUNCTION("""COMPUTED_VALUE"""),40679.0)</f>
        <v>40679</v>
      </c>
      <c r="I395" s="162">
        <f>IFERROR(__xludf.DUMMYFUNCTION("""COMPUTED_VALUE"""),6.041666666666667)</f>
        <v>6.041666667</v>
      </c>
      <c r="J395" s="164">
        <f>IFERROR(__xludf.DUMMYFUNCTION("""COMPUTED_VALUE"""),84.0)</f>
        <v>84</v>
      </c>
      <c r="K395" s="164">
        <f>IFERROR(__xludf.DUMMYFUNCTION("""COMPUTED_VALUE"""),94.0)</f>
        <v>94</v>
      </c>
      <c r="L395" s="158" t="str">
        <f>IFERROR(__xludf.DUMMYFUNCTION("""COMPUTED_VALUE"""),"Platformer / Action-Adventure")</f>
        <v>Platformer / Action-Adventure</v>
      </c>
      <c r="M395" s="158"/>
      <c r="N395" s="158"/>
      <c r="O395" s="158" t="str">
        <f>IFERROR(__xludf.DUMMYFUNCTION("""COMPUTED_VALUE"""),"T")</f>
        <v>T</v>
      </c>
      <c r="P395" s="158" t="str">
        <f>IFERROR(__xludf.DUMMYFUNCTION("""COMPUTED_VALUE"""),"Use of Alcohol, Blood and Gore, Mild Suggestive Themes, Cartoon Violence")</f>
        <v>Use of Alcohol, Blood and Gore, Mild Suggestive Themes, Cartoon Violence</v>
      </c>
      <c r="Q395" s="158"/>
      <c r="R395" s="159" t="str">
        <f>IFERROR(__xludf.DUMMYFUNCTION("""COMPUTED_VALUE"""),"Active")</f>
        <v>Active</v>
      </c>
      <c r="S395" s="160">
        <f>IFERROR(__xludf.DUMMYFUNCTION("""COMPUTED_VALUE"""),45547.0)</f>
        <v>45547</v>
      </c>
      <c r="T395" s="162">
        <f>IFERROR(__xludf.DUMMYFUNCTION("""COMPUTED_VALUE"""),87.36666666666667)</f>
        <v>87.36666667</v>
      </c>
    </row>
    <row r="396">
      <c r="A396" s="158" t="str">
        <f>IFERROR(__xludf.DUMMYFUNCTION("""COMPUTED_VALUE"""),"Viva Piñata")</f>
        <v>Viva Piñata</v>
      </c>
      <c r="B396" s="158" t="str">
        <f>IFERROR(__xludf.DUMMYFUNCTION("""COMPUTED_VALUE"""),"Xbox")</f>
        <v>Xbox</v>
      </c>
      <c r="C396" s="158" t="str">
        <f>IFERROR(__xludf.DUMMYFUNCTION("""COMPUTED_VALUE"""),"Touch Controls")</f>
        <v>Touch Controls</v>
      </c>
      <c r="D396" s="159" t="str">
        <f>IFERROR(__xludf.DUMMYFUNCTION("""COMPUTED_VALUE"""),"Active")</f>
        <v>Active</v>
      </c>
      <c r="E396" s="160">
        <f>IFERROR(__xludf.DUMMYFUNCTION("""COMPUTED_VALUE"""),42887.0)</f>
        <v>42887</v>
      </c>
      <c r="F396" s="161"/>
      <c r="G396" s="162">
        <f>IFERROR(__xludf.DUMMYFUNCTION("""COMPUTED_VALUE"""),100.46666666666667)</f>
        <v>100.4666667</v>
      </c>
      <c r="H396" s="163">
        <f>IFERROR(__xludf.DUMMYFUNCTION("""COMPUTED_VALUE"""),39030.0)</f>
        <v>39030</v>
      </c>
      <c r="I396" s="162">
        <f>IFERROR(__xludf.DUMMYFUNCTION("""COMPUTED_VALUE"""),10.561111111111112)</f>
        <v>10.56111111</v>
      </c>
      <c r="J396" s="164">
        <f>IFERROR(__xludf.DUMMYFUNCTION("""COMPUTED_VALUE"""),84.0)</f>
        <v>84</v>
      </c>
      <c r="K396" s="164">
        <f>IFERROR(__xludf.DUMMYFUNCTION("""COMPUTED_VALUE"""),19.0)</f>
        <v>19</v>
      </c>
      <c r="L396" s="158" t="str">
        <f>IFERROR(__xludf.DUMMYFUNCTION("""COMPUTED_VALUE"""),"Strategy / Simulation")</f>
        <v>Strategy / Simulation</v>
      </c>
      <c r="M396" s="158"/>
      <c r="N396" s="158"/>
      <c r="O396" s="158" t="str">
        <f>IFERROR(__xludf.DUMMYFUNCTION("""COMPUTED_VALUE"""),"E")</f>
        <v>E</v>
      </c>
      <c r="P396" s="158" t="str">
        <f>IFERROR(__xludf.DUMMYFUNCTION("""COMPUTED_VALUE"""),"Crude Humor, Mild Cartoon Violence")</f>
        <v>Crude Humor, Mild Cartoon Violence</v>
      </c>
      <c r="Q396" s="158" t="str">
        <f>IFERROR(__xludf.DUMMYFUNCTION("""COMPUTED_VALUE"""),"Xbox 360")</f>
        <v>Xbox 360</v>
      </c>
      <c r="R396" s="159" t="str">
        <f>IFERROR(__xludf.DUMMYFUNCTION("""COMPUTED_VALUE"""),"Active")</f>
        <v>Active</v>
      </c>
      <c r="S396" s="160">
        <f>IFERROR(__xludf.DUMMYFUNCTION("""COMPUTED_VALUE"""),45547.0)</f>
        <v>45547</v>
      </c>
      <c r="T396" s="162">
        <f>IFERROR(__xludf.DUMMYFUNCTION("""COMPUTED_VALUE"""),87.36666666666667)</f>
        <v>87.36666667</v>
      </c>
    </row>
    <row r="397">
      <c r="A397" s="158" t="str">
        <f>IFERROR(__xludf.DUMMYFUNCTION("""COMPUTED_VALUE"""),"Viva Piñata: Trouble in Paradise")</f>
        <v>Viva Piñata: Trouble in Paradise</v>
      </c>
      <c r="B397" s="158" t="str">
        <f>IFERROR(__xludf.DUMMYFUNCTION("""COMPUTED_VALUE"""),"Xbox")</f>
        <v>Xbox</v>
      </c>
      <c r="C397" s="158" t="str">
        <f>IFERROR(__xludf.DUMMYFUNCTION("""COMPUTED_VALUE"""),"Touch Controls")</f>
        <v>Touch Controls</v>
      </c>
      <c r="D397" s="159" t="str">
        <f>IFERROR(__xludf.DUMMYFUNCTION("""COMPUTED_VALUE"""),"Active")</f>
        <v>Active</v>
      </c>
      <c r="E397" s="160">
        <f>IFERROR(__xludf.DUMMYFUNCTION("""COMPUTED_VALUE"""),42887.0)</f>
        <v>42887</v>
      </c>
      <c r="F397" s="161"/>
      <c r="G397" s="162">
        <f>IFERROR(__xludf.DUMMYFUNCTION("""COMPUTED_VALUE"""),100.46666666666667)</f>
        <v>100.4666667</v>
      </c>
      <c r="H397" s="163">
        <f>IFERROR(__xludf.DUMMYFUNCTION("""COMPUTED_VALUE"""),39693.0)</f>
        <v>39693</v>
      </c>
      <c r="I397" s="162">
        <f>IFERROR(__xludf.DUMMYFUNCTION("""COMPUTED_VALUE"""),8.747222222222222)</f>
        <v>8.747222222</v>
      </c>
      <c r="J397" s="164">
        <f>IFERROR(__xludf.DUMMYFUNCTION("""COMPUTED_VALUE"""),82.0)</f>
        <v>82</v>
      </c>
      <c r="K397" s="164">
        <f>IFERROR(__xludf.DUMMYFUNCTION("""COMPUTED_VALUE"""),26.5)</f>
        <v>26.5</v>
      </c>
      <c r="L397" s="158" t="str">
        <f>IFERROR(__xludf.DUMMYFUNCTION("""COMPUTED_VALUE"""),"Strategy / Simulation")</f>
        <v>Strategy / Simulation</v>
      </c>
      <c r="M397" s="158"/>
      <c r="N397" s="158"/>
      <c r="O397" s="158" t="str">
        <f>IFERROR(__xludf.DUMMYFUNCTION("""COMPUTED_VALUE"""),"E")</f>
        <v>E</v>
      </c>
      <c r="P397" s="158" t="str">
        <f>IFERROR(__xludf.DUMMYFUNCTION("""COMPUTED_VALUE"""),"Crude Humor, Mild Cartoon Violence")</f>
        <v>Crude Humor, Mild Cartoon Violence</v>
      </c>
      <c r="Q397" s="158" t="str">
        <f>IFERROR(__xludf.DUMMYFUNCTION("""COMPUTED_VALUE"""),"Xbox 360")</f>
        <v>Xbox 360</v>
      </c>
      <c r="R397" s="159" t="str">
        <f>IFERROR(__xludf.DUMMYFUNCTION("""COMPUTED_VALUE"""),"Active")</f>
        <v>Active</v>
      </c>
      <c r="S397" s="160">
        <f>IFERROR(__xludf.DUMMYFUNCTION("""COMPUTED_VALUE"""),45547.0)</f>
        <v>45547</v>
      </c>
      <c r="T397" s="162">
        <f>IFERROR(__xludf.DUMMYFUNCTION("""COMPUTED_VALUE"""),87.36666666666667)</f>
        <v>87.36666667</v>
      </c>
    </row>
    <row r="398">
      <c r="A398" s="158"/>
      <c r="B398" s="158"/>
      <c r="C398" s="158"/>
      <c r="D398" s="159"/>
      <c r="E398" s="160"/>
      <c r="F398" s="161"/>
      <c r="G398" s="162"/>
      <c r="H398" s="163"/>
      <c r="I398" s="162"/>
      <c r="J398" s="164"/>
      <c r="K398" s="164"/>
      <c r="L398" s="158"/>
      <c r="M398" s="158"/>
      <c r="N398" s="158"/>
      <c r="O398" s="158"/>
      <c r="P398" s="158"/>
      <c r="Q398" s="158"/>
      <c r="R398" s="159"/>
      <c r="S398" s="160"/>
      <c r="T398" s="162"/>
    </row>
    <row r="399">
      <c r="A399" s="158"/>
      <c r="B399" s="158"/>
      <c r="C399" s="158"/>
      <c r="D399" s="159"/>
      <c r="E399" s="160"/>
      <c r="F399" s="161"/>
      <c r="G399" s="162"/>
      <c r="H399" s="163"/>
      <c r="I399" s="162"/>
      <c r="J399" s="164"/>
      <c r="K399" s="164"/>
      <c r="L399" s="158"/>
      <c r="M399" s="158"/>
      <c r="N399" s="158"/>
      <c r="O399" s="158"/>
      <c r="P399" s="158"/>
      <c r="Q399" s="158"/>
      <c r="R399" s="159"/>
      <c r="S399" s="160"/>
      <c r="T399" s="162"/>
    </row>
    <row r="400">
      <c r="A400" s="158"/>
      <c r="B400" s="158"/>
      <c r="C400" s="158"/>
      <c r="D400" s="159"/>
      <c r="E400" s="160"/>
      <c r="F400" s="161"/>
      <c r="G400" s="162"/>
      <c r="H400" s="163"/>
      <c r="I400" s="162"/>
      <c r="J400" s="164"/>
      <c r="K400" s="164"/>
      <c r="L400" s="158"/>
      <c r="M400" s="158"/>
      <c r="N400" s="158"/>
      <c r="O400" s="158"/>
      <c r="P400" s="158"/>
      <c r="Q400" s="158"/>
      <c r="R400" s="159"/>
      <c r="S400" s="160"/>
      <c r="T400" s="162"/>
    </row>
    <row r="401">
      <c r="A401" s="158"/>
      <c r="B401" s="158"/>
      <c r="C401" s="158"/>
      <c r="D401" s="159"/>
      <c r="E401" s="160"/>
      <c r="F401" s="161"/>
      <c r="G401" s="162"/>
      <c r="H401" s="163"/>
      <c r="I401" s="162"/>
      <c r="J401" s="164"/>
      <c r="K401" s="164"/>
      <c r="L401" s="158"/>
      <c r="M401" s="158"/>
      <c r="N401" s="158"/>
      <c r="O401" s="158"/>
      <c r="P401" s="158"/>
      <c r="Q401" s="158"/>
      <c r="R401" s="159"/>
      <c r="S401" s="160"/>
      <c r="T401" s="162"/>
    </row>
    <row r="402">
      <c r="A402" s="158"/>
      <c r="B402" s="158"/>
      <c r="C402" s="158"/>
      <c r="D402" s="159"/>
      <c r="E402" s="160"/>
      <c r="F402" s="161"/>
      <c r="G402" s="162"/>
      <c r="H402" s="163"/>
      <c r="I402" s="162"/>
      <c r="J402" s="164"/>
      <c r="K402" s="164"/>
      <c r="L402" s="158"/>
      <c r="M402" s="158"/>
      <c r="N402" s="158"/>
      <c r="O402" s="158"/>
      <c r="P402" s="158"/>
      <c r="Q402" s="158"/>
      <c r="R402" s="159"/>
      <c r="S402" s="160"/>
      <c r="T402" s="162"/>
    </row>
    <row r="403">
      <c r="A403" s="158"/>
      <c r="B403" s="158"/>
      <c r="C403" s="158"/>
      <c r="D403" s="159"/>
      <c r="E403" s="160"/>
      <c r="F403" s="161"/>
      <c r="G403" s="162"/>
      <c r="H403" s="163"/>
      <c r="I403" s="162"/>
      <c r="J403" s="164"/>
      <c r="K403" s="164"/>
      <c r="L403" s="158"/>
      <c r="M403" s="158"/>
      <c r="N403" s="158"/>
      <c r="O403" s="158"/>
      <c r="P403" s="158"/>
      <c r="Q403" s="158"/>
      <c r="R403" s="159"/>
      <c r="S403" s="160"/>
      <c r="T403" s="162"/>
    </row>
    <row r="404">
      <c r="A404" s="158"/>
      <c r="B404" s="158"/>
      <c r="C404" s="158"/>
      <c r="D404" s="159"/>
      <c r="E404" s="160"/>
      <c r="F404" s="161"/>
      <c r="G404" s="162"/>
      <c r="H404" s="163"/>
      <c r="I404" s="162"/>
      <c r="J404" s="164"/>
      <c r="K404" s="164"/>
      <c r="L404" s="158"/>
      <c r="M404" s="158"/>
      <c r="N404" s="158"/>
      <c r="O404" s="158"/>
      <c r="P404" s="158"/>
      <c r="Q404" s="158"/>
      <c r="R404" s="159"/>
      <c r="S404" s="160"/>
      <c r="T404" s="162"/>
    </row>
    <row r="405">
      <c r="A405" s="158"/>
      <c r="B405" s="158"/>
      <c r="C405" s="158"/>
      <c r="D405" s="159"/>
      <c r="E405" s="160"/>
      <c r="F405" s="161"/>
      <c r="G405" s="162"/>
      <c r="H405" s="163"/>
      <c r="I405" s="162"/>
      <c r="J405" s="164"/>
      <c r="K405" s="164"/>
      <c r="L405" s="158"/>
      <c r="M405" s="158"/>
      <c r="N405" s="158"/>
      <c r="O405" s="158"/>
      <c r="P405" s="158"/>
      <c r="Q405" s="158"/>
      <c r="R405" s="159"/>
      <c r="S405" s="160"/>
      <c r="T405" s="162"/>
    </row>
    <row r="406">
      <c r="A406" s="158"/>
      <c r="B406" s="158"/>
      <c r="C406" s="158"/>
      <c r="D406" s="159"/>
      <c r="E406" s="160"/>
      <c r="F406" s="161"/>
      <c r="G406" s="162"/>
      <c r="H406" s="163"/>
      <c r="I406" s="162"/>
      <c r="J406" s="164"/>
      <c r="K406" s="164"/>
      <c r="L406" s="158"/>
      <c r="M406" s="158"/>
      <c r="N406" s="158"/>
      <c r="O406" s="158"/>
      <c r="P406" s="158"/>
      <c r="Q406" s="158"/>
      <c r="R406" s="159"/>
      <c r="S406" s="160"/>
      <c r="T406" s="162"/>
    </row>
    <row r="407">
      <c r="A407" s="158"/>
      <c r="B407" s="158"/>
      <c r="C407" s="158"/>
      <c r="D407" s="159"/>
      <c r="E407" s="160"/>
      <c r="F407" s="161"/>
      <c r="G407" s="162"/>
      <c r="H407" s="163"/>
      <c r="I407" s="162"/>
      <c r="J407" s="164"/>
      <c r="K407" s="164"/>
      <c r="L407" s="158"/>
      <c r="M407" s="158"/>
      <c r="N407" s="158"/>
      <c r="O407" s="158"/>
      <c r="P407" s="158"/>
      <c r="Q407" s="158"/>
      <c r="R407" s="159"/>
      <c r="S407" s="160"/>
      <c r="T407" s="162"/>
    </row>
    <row r="408">
      <c r="A408" s="158"/>
      <c r="B408" s="158"/>
      <c r="C408" s="158"/>
      <c r="D408" s="159"/>
      <c r="E408" s="160"/>
      <c r="F408" s="161"/>
      <c r="G408" s="162"/>
      <c r="H408" s="163"/>
      <c r="I408" s="162"/>
      <c r="J408" s="164"/>
      <c r="K408" s="164"/>
      <c r="L408" s="158"/>
      <c r="M408" s="158"/>
      <c r="N408" s="158"/>
      <c r="O408" s="158"/>
      <c r="P408" s="158"/>
      <c r="Q408" s="158"/>
      <c r="R408" s="159"/>
      <c r="S408" s="160"/>
      <c r="T408" s="162"/>
    </row>
    <row r="409">
      <c r="A409" s="158"/>
      <c r="B409" s="158"/>
      <c r="C409" s="158"/>
      <c r="D409" s="159"/>
      <c r="E409" s="160"/>
      <c r="F409" s="161"/>
      <c r="G409" s="162"/>
      <c r="H409" s="163"/>
      <c r="I409" s="162"/>
      <c r="J409" s="164"/>
      <c r="K409" s="164"/>
      <c r="L409" s="158"/>
      <c r="M409" s="158"/>
      <c r="N409" s="158"/>
      <c r="O409" s="158"/>
      <c r="P409" s="158"/>
      <c r="Q409" s="158"/>
      <c r="R409" s="159"/>
      <c r="S409" s="160"/>
      <c r="T409" s="162"/>
    </row>
    <row r="410">
      <c r="A410" s="158"/>
      <c r="B410" s="158"/>
      <c r="C410" s="158"/>
      <c r="D410" s="159"/>
      <c r="E410" s="160"/>
      <c r="F410" s="161"/>
      <c r="G410" s="162"/>
      <c r="H410" s="163"/>
      <c r="I410" s="162"/>
      <c r="J410" s="164"/>
      <c r="K410" s="164"/>
      <c r="L410" s="158"/>
      <c r="M410" s="158"/>
      <c r="N410" s="158"/>
      <c r="O410" s="158"/>
      <c r="P410" s="158"/>
      <c r="Q410" s="158"/>
      <c r="R410" s="159"/>
      <c r="S410" s="160"/>
      <c r="T410" s="162"/>
    </row>
    <row r="411">
      <c r="A411" s="158"/>
      <c r="B411" s="158"/>
      <c r="C411" s="158"/>
      <c r="D411" s="159"/>
      <c r="E411" s="160"/>
      <c r="F411" s="161"/>
      <c r="G411" s="162"/>
      <c r="H411" s="163"/>
      <c r="I411" s="162"/>
      <c r="J411" s="164"/>
      <c r="K411" s="164"/>
      <c r="L411" s="158"/>
      <c r="M411" s="158"/>
      <c r="N411" s="158"/>
      <c r="O411" s="158"/>
      <c r="P411" s="158"/>
      <c r="Q411" s="158"/>
      <c r="R411" s="159"/>
      <c r="S411" s="160"/>
      <c r="T411" s="162"/>
    </row>
    <row r="412">
      <c r="A412" s="158"/>
      <c r="B412" s="158"/>
      <c r="C412" s="158"/>
      <c r="D412" s="159"/>
      <c r="E412" s="160"/>
      <c r="F412" s="161"/>
      <c r="G412" s="162"/>
      <c r="H412" s="163"/>
      <c r="I412" s="162"/>
      <c r="J412" s="164"/>
      <c r="K412" s="164"/>
      <c r="L412" s="158"/>
      <c r="M412" s="158"/>
      <c r="N412" s="158"/>
      <c r="O412" s="158"/>
      <c r="P412" s="158"/>
      <c r="Q412" s="158"/>
      <c r="R412" s="159"/>
      <c r="S412" s="160"/>
      <c r="T412" s="162"/>
    </row>
    <row r="413">
      <c r="A413" s="158"/>
      <c r="B413" s="158"/>
      <c r="C413" s="158"/>
      <c r="D413" s="159"/>
      <c r="E413" s="160"/>
      <c r="F413" s="161"/>
      <c r="G413" s="162"/>
      <c r="H413" s="163"/>
      <c r="I413" s="162"/>
      <c r="J413" s="164"/>
      <c r="K413" s="164"/>
      <c r="L413" s="158"/>
      <c r="M413" s="158"/>
      <c r="N413" s="158"/>
      <c r="O413" s="158"/>
      <c r="P413" s="158"/>
      <c r="Q413" s="158"/>
      <c r="R413" s="159"/>
      <c r="S413" s="160"/>
      <c r="T413" s="162"/>
    </row>
    <row r="414">
      <c r="A414" s="158"/>
      <c r="B414" s="158"/>
      <c r="C414" s="158"/>
      <c r="D414" s="159"/>
      <c r="E414" s="160"/>
      <c r="F414" s="161"/>
      <c r="G414" s="162"/>
      <c r="H414" s="163"/>
      <c r="I414" s="162"/>
      <c r="J414" s="164"/>
      <c r="K414" s="164"/>
      <c r="L414" s="158"/>
      <c r="M414" s="158"/>
      <c r="N414" s="158"/>
      <c r="O414" s="158"/>
      <c r="P414" s="158"/>
      <c r="Q414" s="158"/>
      <c r="R414" s="159"/>
      <c r="S414" s="160"/>
      <c r="T414" s="162"/>
    </row>
    <row r="415">
      <c r="A415" s="158"/>
      <c r="B415" s="158"/>
      <c r="C415" s="158"/>
      <c r="D415" s="159"/>
      <c r="E415" s="160"/>
      <c r="F415" s="161"/>
      <c r="G415" s="162"/>
      <c r="H415" s="163"/>
      <c r="I415" s="162"/>
      <c r="J415" s="164"/>
      <c r="K415" s="164"/>
      <c r="L415" s="158"/>
      <c r="M415" s="158"/>
      <c r="N415" s="158"/>
      <c r="O415" s="158"/>
      <c r="P415" s="158"/>
      <c r="Q415" s="158"/>
      <c r="R415" s="159"/>
      <c r="S415" s="160"/>
      <c r="T415" s="162"/>
    </row>
    <row r="416">
      <c r="A416" s="158"/>
      <c r="B416" s="158"/>
      <c r="C416" s="158"/>
      <c r="D416" s="159"/>
      <c r="E416" s="160"/>
      <c r="F416" s="161"/>
      <c r="G416" s="162"/>
      <c r="H416" s="163"/>
      <c r="I416" s="162"/>
      <c r="J416" s="164"/>
      <c r="K416" s="164"/>
      <c r="L416" s="158"/>
      <c r="M416" s="158"/>
      <c r="N416" s="158"/>
      <c r="O416" s="158"/>
      <c r="P416" s="158"/>
      <c r="Q416" s="158"/>
      <c r="R416" s="159"/>
      <c r="S416" s="160"/>
      <c r="T416" s="162"/>
    </row>
    <row r="417">
      <c r="A417" s="158"/>
      <c r="B417" s="158"/>
      <c r="C417" s="158"/>
      <c r="D417" s="159"/>
      <c r="E417" s="160"/>
      <c r="F417" s="161"/>
      <c r="G417" s="162"/>
      <c r="H417" s="163"/>
      <c r="I417" s="162"/>
      <c r="J417" s="164"/>
      <c r="K417" s="164"/>
      <c r="L417" s="158"/>
      <c r="M417" s="158"/>
      <c r="N417" s="158"/>
      <c r="O417" s="158"/>
      <c r="P417" s="158"/>
      <c r="Q417" s="158"/>
      <c r="R417" s="159"/>
      <c r="S417" s="160"/>
      <c r="T417" s="162"/>
    </row>
    <row r="418">
      <c r="A418" s="158"/>
      <c r="B418" s="158"/>
      <c r="C418" s="158"/>
      <c r="D418" s="159"/>
      <c r="E418" s="160"/>
      <c r="F418" s="161"/>
      <c r="G418" s="162"/>
      <c r="H418" s="163"/>
      <c r="I418" s="162"/>
      <c r="J418" s="164"/>
      <c r="K418" s="164"/>
      <c r="L418" s="158"/>
      <c r="M418" s="158"/>
      <c r="N418" s="158"/>
      <c r="O418" s="158"/>
      <c r="P418" s="158"/>
      <c r="Q418" s="158"/>
      <c r="R418" s="159"/>
      <c r="S418" s="160"/>
      <c r="T418" s="162"/>
    </row>
    <row r="419">
      <c r="A419" s="158"/>
      <c r="B419" s="158"/>
      <c r="C419" s="158"/>
      <c r="D419" s="159"/>
      <c r="E419" s="160"/>
      <c r="F419" s="161"/>
      <c r="G419" s="162"/>
      <c r="H419" s="163"/>
      <c r="I419" s="162"/>
      <c r="J419" s="164"/>
      <c r="K419" s="164"/>
      <c r="L419" s="158"/>
      <c r="M419" s="158"/>
      <c r="N419" s="158"/>
      <c r="O419" s="158"/>
      <c r="P419" s="158"/>
      <c r="Q419" s="158"/>
      <c r="R419" s="159"/>
      <c r="S419" s="160"/>
      <c r="T419" s="162"/>
    </row>
    <row r="420">
      <c r="A420" s="158"/>
      <c r="B420" s="158"/>
      <c r="C420" s="158"/>
      <c r="D420" s="159"/>
      <c r="E420" s="160"/>
      <c r="F420" s="161"/>
      <c r="G420" s="162"/>
      <c r="H420" s="163"/>
      <c r="I420" s="162"/>
      <c r="J420" s="164"/>
      <c r="K420" s="164"/>
      <c r="L420" s="158"/>
      <c r="M420" s="158"/>
      <c r="N420" s="158"/>
      <c r="O420" s="158"/>
      <c r="P420" s="158"/>
      <c r="Q420" s="158"/>
      <c r="R420" s="159"/>
      <c r="S420" s="160"/>
      <c r="T420" s="162"/>
    </row>
    <row r="421">
      <c r="A421" s="158"/>
      <c r="B421" s="158"/>
      <c r="C421" s="158"/>
      <c r="D421" s="159"/>
      <c r="E421" s="160"/>
      <c r="F421" s="161"/>
      <c r="G421" s="162"/>
      <c r="H421" s="163"/>
      <c r="I421" s="162"/>
      <c r="J421" s="164"/>
      <c r="K421" s="164"/>
      <c r="L421" s="158"/>
      <c r="M421" s="158"/>
      <c r="N421" s="158"/>
      <c r="O421" s="158"/>
      <c r="P421" s="158"/>
      <c r="Q421" s="158"/>
      <c r="R421" s="159"/>
      <c r="S421" s="160"/>
      <c r="T421" s="162"/>
    </row>
    <row r="422">
      <c r="A422" s="158"/>
      <c r="B422" s="158"/>
      <c r="C422" s="158"/>
      <c r="D422" s="159"/>
      <c r="E422" s="160"/>
      <c r="F422" s="161"/>
      <c r="G422" s="162"/>
      <c r="H422" s="163"/>
      <c r="I422" s="162"/>
      <c r="J422" s="164"/>
      <c r="K422" s="164"/>
      <c r="L422" s="158"/>
      <c r="M422" s="158"/>
      <c r="N422" s="158"/>
      <c r="O422" s="158"/>
      <c r="P422" s="158"/>
      <c r="Q422" s="158"/>
      <c r="R422" s="159"/>
      <c r="S422" s="160"/>
      <c r="T422" s="162"/>
    </row>
    <row r="423">
      <c r="A423" s="158"/>
      <c r="B423" s="158"/>
      <c r="C423" s="158"/>
      <c r="D423" s="159"/>
      <c r="E423" s="160"/>
      <c r="F423" s="161"/>
      <c r="G423" s="162"/>
      <c r="H423" s="163"/>
      <c r="I423" s="162"/>
      <c r="J423" s="164"/>
      <c r="K423" s="164"/>
      <c r="L423" s="158"/>
      <c r="M423" s="158"/>
      <c r="N423" s="158"/>
      <c r="O423" s="158"/>
      <c r="P423" s="158"/>
      <c r="Q423" s="158"/>
      <c r="R423" s="159"/>
      <c r="S423" s="160"/>
      <c r="T423" s="162"/>
    </row>
    <row r="424">
      <c r="A424" s="158"/>
      <c r="B424" s="158"/>
      <c r="C424" s="158"/>
      <c r="D424" s="159"/>
      <c r="E424" s="160"/>
      <c r="F424" s="161"/>
      <c r="G424" s="162"/>
      <c r="H424" s="163"/>
      <c r="I424" s="162"/>
      <c r="J424" s="164"/>
      <c r="K424" s="164"/>
      <c r="L424" s="158"/>
      <c r="M424" s="158"/>
      <c r="N424" s="158"/>
      <c r="O424" s="158"/>
      <c r="P424" s="158"/>
      <c r="Q424" s="158"/>
      <c r="R424" s="159"/>
      <c r="S424" s="160"/>
      <c r="T424" s="162"/>
    </row>
    <row r="425">
      <c r="A425" s="158"/>
      <c r="B425" s="158"/>
      <c r="C425" s="158"/>
      <c r="D425" s="159"/>
      <c r="E425" s="160"/>
      <c r="F425" s="161"/>
      <c r="G425" s="162"/>
      <c r="H425" s="163"/>
      <c r="I425" s="162"/>
      <c r="J425" s="164"/>
      <c r="K425" s="164"/>
      <c r="L425" s="158"/>
      <c r="M425" s="158"/>
      <c r="N425" s="158"/>
      <c r="O425" s="158"/>
      <c r="P425" s="158"/>
      <c r="Q425" s="158"/>
      <c r="R425" s="159"/>
      <c r="S425" s="160"/>
      <c r="T425" s="162"/>
    </row>
    <row r="426">
      <c r="A426" s="158"/>
      <c r="B426" s="158"/>
      <c r="C426" s="158"/>
      <c r="D426" s="159"/>
      <c r="E426" s="160"/>
      <c r="F426" s="161"/>
      <c r="G426" s="162"/>
      <c r="H426" s="163"/>
      <c r="I426" s="162"/>
      <c r="J426" s="164"/>
      <c r="K426" s="164"/>
      <c r="L426" s="158"/>
      <c r="M426" s="158"/>
      <c r="N426" s="158"/>
      <c r="O426" s="158"/>
      <c r="P426" s="158"/>
      <c r="Q426" s="158"/>
      <c r="R426" s="159"/>
      <c r="S426" s="160"/>
      <c r="T426" s="162"/>
    </row>
    <row r="427">
      <c r="A427" s="158"/>
      <c r="B427" s="158"/>
      <c r="C427" s="158"/>
      <c r="D427" s="159"/>
      <c r="E427" s="160"/>
      <c r="F427" s="161"/>
      <c r="G427" s="162"/>
      <c r="H427" s="163"/>
      <c r="I427" s="162"/>
      <c r="J427" s="164"/>
      <c r="K427" s="164"/>
      <c r="L427" s="158"/>
      <c r="M427" s="158"/>
      <c r="N427" s="158"/>
      <c r="O427" s="158"/>
      <c r="P427" s="158"/>
      <c r="Q427" s="158"/>
      <c r="R427" s="159"/>
      <c r="S427" s="160"/>
      <c r="T427" s="162"/>
    </row>
    <row r="428">
      <c r="A428" s="158"/>
      <c r="B428" s="158"/>
      <c r="C428" s="158"/>
      <c r="D428" s="159"/>
      <c r="E428" s="160"/>
      <c r="F428" s="161"/>
      <c r="G428" s="162"/>
      <c r="H428" s="163"/>
      <c r="I428" s="162"/>
      <c r="J428" s="164"/>
      <c r="K428" s="164"/>
      <c r="L428" s="158"/>
      <c r="M428" s="158"/>
      <c r="N428" s="158"/>
      <c r="O428" s="158"/>
      <c r="P428" s="158"/>
      <c r="Q428" s="158"/>
      <c r="R428" s="159"/>
      <c r="S428" s="160"/>
      <c r="T428" s="162"/>
    </row>
    <row r="429">
      <c r="A429" s="158"/>
      <c r="B429" s="158"/>
      <c r="C429" s="158"/>
      <c r="D429" s="159"/>
      <c r="E429" s="160"/>
      <c r="F429" s="161"/>
      <c r="G429" s="162"/>
      <c r="H429" s="163"/>
      <c r="I429" s="162"/>
      <c r="J429" s="164"/>
      <c r="K429" s="164"/>
      <c r="L429" s="158"/>
      <c r="M429" s="158"/>
      <c r="N429" s="158"/>
      <c r="O429" s="158"/>
      <c r="P429" s="158"/>
      <c r="Q429" s="158"/>
      <c r="R429" s="159"/>
      <c r="S429" s="160"/>
      <c r="T429" s="162"/>
    </row>
    <row r="430">
      <c r="A430" s="158"/>
      <c r="B430" s="158"/>
      <c r="C430" s="158"/>
      <c r="D430" s="159"/>
      <c r="E430" s="160"/>
      <c r="F430" s="161"/>
      <c r="G430" s="162"/>
      <c r="H430" s="163"/>
      <c r="I430" s="162"/>
      <c r="J430" s="164"/>
      <c r="K430" s="164"/>
      <c r="L430" s="158"/>
      <c r="M430" s="158"/>
      <c r="N430" s="158"/>
      <c r="O430" s="158"/>
      <c r="P430" s="158"/>
      <c r="Q430" s="158"/>
      <c r="R430" s="159"/>
      <c r="S430" s="160"/>
      <c r="T430" s="162"/>
    </row>
    <row r="431">
      <c r="A431" s="158"/>
      <c r="B431" s="158"/>
      <c r="C431" s="158"/>
      <c r="D431" s="159"/>
      <c r="E431" s="160"/>
      <c r="F431" s="161"/>
      <c r="G431" s="162"/>
      <c r="H431" s="163"/>
      <c r="I431" s="162"/>
      <c r="J431" s="164"/>
      <c r="K431" s="164"/>
      <c r="L431" s="158"/>
      <c r="M431" s="158"/>
      <c r="N431" s="158"/>
      <c r="O431" s="158"/>
      <c r="P431" s="158"/>
      <c r="Q431" s="158"/>
      <c r="R431" s="159"/>
      <c r="S431" s="160"/>
      <c r="T431" s="162"/>
    </row>
    <row r="432">
      <c r="A432" s="158"/>
      <c r="B432" s="158"/>
      <c r="C432" s="158"/>
      <c r="D432" s="159"/>
      <c r="E432" s="160"/>
      <c r="F432" s="161"/>
      <c r="G432" s="162"/>
      <c r="H432" s="163"/>
      <c r="I432" s="162"/>
      <c r="J432" s="164"/>
      <c r="K432" s="164"/>
      <c r="L432" s="158"/>
      <c r="M432" s="158"/>
      <c r="N432" s="158"/>
      <c r="O432" s="158"/>
      <c r="P432" s="158"/>
      <c r="Q432" s="158"/>
      <c r="R432" s="159"/>
      <c r="S432" s="160"/>
      <c r="T432" s="162"/>
    </row>
    <row r="433">
      <c r="A433" s="158"/>
      <c r="B433" s="158"/>
      <c r="C433" s="158"/>
      <c r="D433" s="159"/>
      <c r="E433" s="160"/>
      <c r="F433" s="161"/>
      <c r="G433" s="162"/>
      <c r="H433" s="163"/>
      <c r="I433" s="162"/>
      <c r="J433" s="164"/>
      <c r="K433" s="164"/>
      <c r="L433" s="158"/>
      <c r="M433" s="158"/>
      <c r="N433" s="158"/>
      <c r="O433" s="158"/>
      <c r="P433" s="158"/>
      <c r="Q433" s="158"/>
      <c r="R433" s="159"/>
      <c r="S433" s="160"/>
      <c r="T433" s="162"/>
    </row>
    <row r="434">
      <c r="A434" s="158"/>
      <c r="B434" s="158"/>
      <c r="C434" s="158"/>
      <c r="D434" s="159"/>
      <c r="E434" s="160"/>
      <c r="F434" s="161"/>
      <c r="G434" s="162"/>
      <c r="H434" s="163"/>
      <c r="I434" s="162"/>
      <c r="J434" s="164"/>
      <c r="K434" s="164"/>
      <c r="L434" s="158"/>
      <c r="M434" s="158"/>
      <c r="N434" s="158"/>
      <c r="O434" s="158"/>
      <c r="P434" s="158"/>
      <c r="Q434" s="158"/>
      <c r="R434" s="159"/>
      <c r="S434" s="160"/>
      <c r="T434" s="162"/>
    </row>
    <row r="435">
      <c r="A435" s="158"/>
      <c r="B435" s="158"/>
      <c r="C435" s="158"/>
      <c r="D435" s="159"/>
      <c r="E435" s="160"/>
      <c r="F435" s="161"/>
      <c r="G435" s="162"/>
      <c r="H435" s="163"/>
      <c r="I435" s="162"/>
      <c r="J435" s="164"/>
      <c r="K435" s="164"/>
      <c r="L435" s="158"/>
      <c r="M435" s="158"/>
      <c r="N435" s="158"/>
      <c r="O435" s="158"/>
      <c r="P435" s="158"/>
      <c r="Q435" s="158"/>
      <c r="R435" s="159"/>
      <c r="S435" s="160"/>
      <c r="T435" s="162"/>
    </row>
    <row r="436">
      <c r="A436" s="158"/>
      <c r="B436" s="158"/>
      <c r="C436" s="158"/>
      <c r="D436" s="159"/>
      <c r="E436" s="160"/>
      <c r="F436" s="161"/>
      <c r="G436" s="162"/>
      <c r="H436" s="163"/>
      <c r="I436" s="162"/>
      <c r="J436" s="164"/>
      <c r="K436" s="164"/>
      <c r="L436" s="158"/>
      <c r="M436" s="158"/>
      <c r="N436" s="158"/>
      <c r="O436" s="158"/>
      <c r="P436" s="158"/>
      <c r="Q436" s="158"/>
      <c r="R436" s="159"/>
      <c r="S436" s="160"/>
      <c r="T436" s="162"/>
    </row>
    <row r="437">
      <c r="A437" s="158"/>
      <c r="B437" s="158"/>
      <c r="C437" s="158"/>
      <c r="D437" s="159"/>
      <c r="E437" s="160"/>
      <c r="F437" s="161"/>
      <c r="G437" s="162"/>
      <c r="H437" s="163"/>
      <c r="I437" s="162"/>
      <c r="J437" s="164"/>
      <c r="K437" s="164"/>
      <c r="L437" s="158"/>
      <c r="M437" s="158"/>
      <c r="N437" s="158"/>
      <c r="O437" s="158"/>
      <c r="P437" s="158"/>
      <c r="Q437" s="158"/>
      <c r="R437" s="159"/>
      <c r="S437" s="160"/>
      <c r="T437" s="162"/>
    </row>
    <row r="438">
      <c r="A438" s="158"/>
      <c r="B438" s="158"/>
      <c r="C438" s="158"/>
      <c r="D438" s="159"/>
      <c r="E438" s="160"/>
      <c r="F438" s="161"/>
      <c r="G438" s="162"/>
      <c r="H438" s="163"/>
      <c r="I438" s="162"/>
      <c r="J438" s="164"/>
      <c r="K438" s="164"/>
      <c r="L438" s="158"/>
      <c r="M438" s="158"/>
      <c r="N438" s="158"/>
      <c r="O438" s="158"/>
      <c r="P438" s="158"/>
      <c r="Q438" s="158"/>
      <c r="R438" s="159"/>
      <c r="S438" s="160"/>
      <c r="T438" s="162"/>
    </row>
    <row r="439">
      <c r="A439" s="158"/>
      <c r="B439" s="158"/>
      <c r="C439" s="158"/>
      <c r="D439" s="159"/>
      <c r="E439" s="160"/>
      <c r="F439" s="161"/>
      <c r="G439" s="162"/>
      <c r="H439" s="163"/>
      <c r="I439" s="162"/>
      <c r="J439" s="164"/>
      <c r="K439" s="164"/>
      <c r="L439" s="158"/>
      <c r="M439" s="158"/>
      <c r="N439" s="158"/>
      <c r="O439" s="158"/>
      <c r="P439" s="158"/>
      <c r="Q439" s="158"/>
      <c r="R439" s="159"/>
      <c r="S439" s="160"/>
      <c r="T439" s="162"/>
    </row>
    <row r="440">
      <c r="A440" s="158"/>
      <c r="B440" s="158"/>
      <c r="C440" s="158"/>
      <c r="D440" s="159"/>
      <c r="E440" s="160"/>
      <c r="F440" s="161"/>
      <c r="G440" s="162"/>
      <c r="H440" s="163"/>
      <c r="I440" s="162"/>
      <c r="J440" s="164"/>
      <c r="K440" s="164"/>
      <c r="L440" s="158"/>
      <c r="M440" s="158"/>
      <c r="N440" s="158"/>
      <c r="O440" s="158"/>
      <c r="P440" s="158"/>
      <c r="Q440" s="158"/>
      <c r="R440" s="159"/>
      <c r="S440" s="160"/>
      <c r="T440" s="162"/>
    </row>
    <row r="441">
      <c r="A441" s="158"/>
      <c r="B441" s="158"/>
      <c r="C441" s="158"/>
      <c r="D441" s="159"/>
      <c r="E441" s="160"/>
      <c r="F441" s="161"/>
      <c r="G441" s="162"/>
      <c r="H441" s="163"/>
      <c r="I441" s="162"/>
      <c r="J441" s="164"/>
      <c r="K441" s="164"/>
      <c r="L441" s="158"/>
      <c r="M441" s="158"/>
      <c r="N441" s="158"/>
      <c r="O441" s="158"/>
      <c r="P441" s="158"/>
      <c r="Q441" s="158"/>
      <c r="R441" s="159"/>
      <c r="S441" s="160"/>
      <c r="T441" s="162"/>
    </row>
    <row r="442">
      <c r="A442" s="158"/>
      <c r="B442" s="158"/>
      <c r="C442" s="158"/>
      <c r="D442" s="159"/>
      <c r="E442" s="160"/>
      <c r="F442" s="161"/>
      <c r="G442" s="162"/>
      <c r="H442" s="163"/>
      <c r="I442" s="162"/>
      <c r="J442" s="164"/>
      <c r="K442" s="164"/>
      <c r="L442" s="158"/>
      <c r="M442" s="158"/>
      <c r="N442" s="158"/>
      <c r="O442" s="158"/>
      <c r="P442" s="158"/>
      <c r="Q442" s="158"/>
      <c r="R442" s="159"/>
      <c r="S442" s="160"/>
      <c r="T442" s="162"/>
    </row>
    <row r="443">
      <c r="A443" s="158"/>
      <c r="B443" s="158"/>
      <c r="C443" s="158"/>
      <c r="D443" s="159"/>
      <c r="E443" s="160"/>
      <c r="F443" s="161"/>
      <c r="G443" s="162"/>
      <c r="H443" s="163"/>
      <c r="I443" s="162"/>
      <c r="J443" s="164"/>
      <c r="K443" s="164"/>
      <c r="L443" s="158"/>
      <c r="M443" s="158"/>
      <c r="N443" s="158"/>
      <c r="O443" s="158"/>
      <c r="P443" s="158"/>
      <c r="Q443" s="158"/>
      <c r="R443" s="159"/>
      <c r="S443" s="160"/>
      <c r="T443" s="162"/>
    </row>
    <row r="444">
      <c r="A444" s="158"/>
      <c r="B444" s="158"/>
      <c r="C444" s="158"/>
      <c r="D444" s="159"/>
      <c r="E444" s="160"/>
      <c r="F444" s="161"/>
      <c r="G444" s="162"/>
      <c r="H444" s="163"/>
      <c r="I444" s="162"/>
      <c r="J444" s="164"/>
      <c r="K444" s="164"/>
      <c r="L444" s="158"/>
      <c r="M444" s="158"/>
      <c r="N444" s="158"/>
      <c r="O444" s="158"/>
      <c r="P444" s="158"/>
      <c r="Q444" s="158"/>
      <c r="R444" s="159"/>
      <c r="S444" s="160"/>
      <c r="T444" s="162"/>
    </row>
    <row r="445">
      <c r="A445" s="158"/>
      <c r="B445" s="158"/>
      <c r="C445" s="158"/>
      <c r="D445" s="159"/>
      <c r="E445" s="160"/>
      <c r="F445" s="161"/>
      <c r="G445" s="162"/>
      <c r="H445" s="163"/>
      <c r="I445" s="162"/>
      <c r="J445" s="164"/>
      <c r="K445" s="164"/>
      <c r="L445" s="158"/>
      <c r="M445" s="158"/>
      <c r="N445" s="158"/>
      <c r="O445" s="158"/>
      <c r="P445" s="158"/>
      <c r="Q445" s="158"/>
      <c r="R445" s="159"/>
      <c r="S445" s="160"/>
      <c r="T445" s="162"/>
    </row>
    <row r="446">
      <c r="A446" s="158"/>
      <c r="B446" s="158"/>
      <c r="C446" s="158"/>
      <c r="D446" s="159"/>
      <c r="E446" s="160"/>
      <c r="F446" s="161"/>
      <c r="G446" s="162"/>
      <c r="H446" s="163"/>
      <c r="I446" s="162"/>
      <c r="J446" s="164"/>
      <c r="K446" s="164"/>
      <c r="L446" s="158"/>
      <c r="M446" s="158"/>
      <c r="N446" s="158"/>
      <c r="O446" s="158"/>
      <c r="P446" s="158"/>
      <c r="Q446" s="158"/>
      <c r="R446" s="159"/>
      <c r="S446" s="160"/>
      <c r="T446" s="162"/>
    </row>
    <row r="447">
      <c r="A447" s="158"/>
      <c r="B447" s="158"/>
      <c r="C447" s="158"/>
      <c r="D447" s="159"/>
      <c r="E447" s="160"/>
      <c r="F447" s="161"/>
      <c r="G447" s="162"/>
      <c r="H447" s="163"/>
      <c r="I447" s="162"/>
      <c r="J447" s="164"/>
      <c r="K447" s="164"/>
      <c r="L447" s="158"/>
      <c r="M447" s="158"/>
      <c r="N447" s="158"/>
      <c r="O447" s="158"/>
      <c r="P447" s="158"/>
      <c r="Q447" s="158"/>
      <c r="R447" s="159"/>
      <c r="S447" s="160"/>
      <c r="T447" s="162"/>
    </row>
    <row r="448">
      <c r="A448" s="158"/>
      <c r="B448" s="158"/>
      <c r="C448" s="158"/>
      <c r="D448" s="159"/>
      <c r="E448" s="160"/>
      <c r="F448" s="161"/>
      <c r="G448" s="162"/>
      <c r="H448" s="163"/>
      <c r="I448" s="162"/>
      <c r="J448" s="164"/>
      <c r="K448" s="164"/>
      <c r="L448" s="158"/>
      <c r="M448" s="158"/>
      <c r="N448" s="158"/>
      <c r="O448" s="158"/>
      <c r="P448" s="158"/>
      <c r="Q448" s="158"/>
      <c r="R448" s="159"/>
      <c r="S448" s="160"/>
      <c r="T448" s="162"/>
    </row>
    <row r="449">
      <c r="A449" s="158"/>
      <c r="B449" s="158"/>
      <c r="C449" s="158"/>
      <c r="D449" s="159"/>
      <c r="E449" s="160"/>
      <c r="F449" s="161"/>
      <c r="G449" s="162"/>
      <c r="H449" s="163"/>
      <c r="I449" s="162"/>
      <c r="J449" s="164"/>
      <c r="K449" s="164"/>
      <c r="L449" s="158"/>
      <c r="M449" s="158"/>
      <c r="N449" s="158"/>
      <c r="O449" s="158"/>
      <c r="P449" s="158"/>
      <c r="Q449" s="158"/>
      <c r="R449" s="159"/>
      <c r="S449" s="160"/>
      <c r="T449" s="162"/>
    </row>
    <row r="450">
      <c r="A450" s="158"/>
      <c r="B450" s="158"/>
      <c r="C450" s="158"/>
      <c r="D450" s="159"/>
      <c r="E450" s="160"/>
      <c r="F450" s="161"/>
      <c r="G450" s="162"/>
      <c r="H450" s="163"/>
      <c r="I450" s="162"/>
      <c r="J450" s="164"/>
      <c r="K450" s="164"/>
      <c r="L450" s="158"/>
      <c r="M450" s="158"/>
      <c r="N450" s="158"/>
      <c r="O450" s="158"/>
      <c r="P450" s="158"/>
      <c r="Q450" s="158"/>
      <c r="R450" s="159"/>
      <c r="S450" s="160"/>
      <c r="T450" s="162"/>
    </row>
    <row r="451">
      <c r="A451" s="158"/>
      <c r="B451" s="158"/>
      <c r="C451" s="158"/>
      <c r="D451" s="159"/>
      <c r="E451" s="160"/>
      <c r="F451" s="161"/>
      <c r="G451" s="162"/>
      <c r="H451" s="163"/>
      <c r="I451" s="162"/>
      <c r="J451" s="164"/>
      <c r="K451" s="164"/>
      <c r="L451" s="158"/>
      <c r="M451" s="158"/>
      <c r="N451" s="158"/>
      <c r="O451" s="158"/>
      <c r="P451" s="158"/>
      <c r="Q451" s="158"/>
      <c r="R451" s="159"/>
      <c r="S451" s="160"/>
      <c r="T451" s="162"/>
    </row>
    <row r="452">
      <c r="A452" s="158"/>
      <c r="B452" s="158"/>
      <c r="C452" s="158"/>
      <c r="D452" s="159"/>
      <c r="E452" s="160"/>
      <c r="F452" s="161"/>
      <c r="G452" s="162"/>
      <c r="H452" s="163"/>
      <c r="I452" s="162"/>
      <c r="J452" s="164"/>
      <c r="K452" s="164"/>
      <c r="L452" s="158"/>
      <c r="M452" s="158"/>
      <c r="N452" s="158"/>
      <c r="O452" s="158"/>
      <c r="P452" s="158"/>
      <c r="Q452" s="158"/>
      <c r="R452" s="159"/>
      <c r="S452" s="160"/>
      <c r="T452" s="162"/>
    </row>
    <row r="453">
      <c r="A453" s="158"/>
      <c r="B453" s="158"/>
      <c r="C453" s="158"/>
      <c r="D453" s="159"/>
      <c r="E453" s="160"/>
      <c r="F453" s="161"/>
      <c r="G453" s="162"/>
      <c r="H453" s="163"/>
      <c r="I453" s="162"/>
      <c r="J453" s="164"/>
      <c r="K453" s="164"/>
      <c r="L453" s="158"/>
      <c r="M453" s="158"/>
      <c r="N453" s="158"/>
      <c r="O453" s="158"/>
      <c r="P453" s="158"/>
      <c r="Q453" s="158"/>
      <c r="R453" s="159"/>
      <c r="S453" s="160"/>
      <c r="T453" s="162"/>
    </row>
    <row r="454">
      <c r="A454" s="158"/>
      <c r="B454" s="158"/>
      <c r="C454" s="158"/>
      <c r="D454" s="159"/>
      <c r="E454" s="160"/>
      <c r="F454" s="161"/>
      <c r="G454" s="162"/>
      <c r="H454" s="163"/>
      <c r="I454" s="162"/>
      <c r="J454" s="164"/>
      <c r="K454" s="164"/>
      <c r="L454" s="158"/>
      <c r="M454" s="158"/>
      <c r="N454" s="158"/>
      <c r="O454" s="158"/>
      <c r="P454" s="158"/>
      <c r="Q454" s="158"/>
      <c r="R454" s="159"/>
      <c r="S454" s="160"/>
      <c r="T454" s="162"/>
    </row>
    <row r="455">
      <c r="A455" s="158"/>
      <c r="B455" s="158"/>
      <c r="C455" s="158"/>
      <c r="D455" s="159"/>
      <c r="E455" s="160"/>
      <c r="F455" s="161"/>
      <c r="G455" s="162"/>
      <c r="H455" s="163"/>
      <c r="I455" s="162"/>
      <c r="J455" s="164"/>
      <c r="K455" s="164"/>
      <c r="L455" s="158"/>
      <c r="M455" s="158"/>
      <c r="N455" s="158"/>
      <c r="O455" s="158"/>
      <c r="P455" s="158"/>
      <c r="Q455" s="158"/>
      <c r="R455" s="159"/>
      <c r="S455" s="160"/>
      <c r="T455" s="162"/>
    </row>
    <row r="456">
      <c r="A456" s="158"/>
      <c r="B456" s="158"/>
      <c r="C456" s="158"/>
      <c r="D456" s="159"/>
      <c r="E456" s="160"/>
      <c r="F456" s="161"/>
      <c r="G456" s="162"/>
      <c r="H456" s="163"/>
      <c r="I456" s="162"/>
      <c r="J456" s="164"/>
      <c r="K456" s="164"/>
      <c r="L456" s="158"/>
      <c r="M456" s="158"/>
      <c r="N456" s="158"/>
      <c r="O456" s="158"/>
      <c r="P456" s="158"/>
      <c r="Q456" s="158"/>
      <c r="R456" s="159"/>
      <c r="S456" s="160"/>
      <c r="T456" s="162"/>
    </row>
    <row r="457">
      <c r="A457" s="158"/>
      <c r="B457" s="158"/>
      <c r="C457" s="158"/>
      <c r="D457" s="159"/>
      <c r="E457" s="160"/>
      <c r="F457" s="161"/>
      <c r="G457" s="162"/>
      <c r="H457" s="163"/>
      <c r="I457" s="162"/>
      <c r="J457" s="164"/>
      <c r="K457" s="164"/>
      <c r="L457" s="158"/>
      <c r="M457" s="158"/>
      <c r="N457" s="158"/>
      <c r="O457" s="158"/>
      <c r="P457" s="158"/>
      <c r="Q457" s="158"/>
      <c r="R457" s="159"/>
      <c r="S457" s="160"/>
      <c r="T457" s="162"/>
    </row>
    <row r="458">
      <c r="A458" s="158"/>
      <c r="B458" s="158"/>
      <c r="C458" s="158"/>
      <c r="D458" s="159"/>
      <c r="E458" s="160"/>
      <c r="F458" s="161"/>
      <c r="G458" s="162"/>
      <c r="H458" s="163"/>
      <c r="I458" s="162"/>
      <c r="J458" s="164"/>
      <c r="K458" s="164"/>
      <c r="L458" s="158"/>
      <c r="M458" s="158"/>
      <c r="N458" s="158"/>
      <c r="O458" s="158"/>
      <c r="P458" s="158"/>
      <c r="Q458" s="158"/>
      <c r="R458" s="159"/>
      <c r="S458" s="160"/>
      <c r="T458" s="162"/>
    </row>
    <row r="459">
      <c r="A459" s="158"/>
      <c r="B459" s="158"/>
      <c r="C459" s="158"/>
      <c r="D459" s="159"/>
      <c r="E459" s="160"/>
      <c r="F459" s="161"/>
      <c r="G459" s="162"/>
      <c r="H459" s="163"/>
      <c r="I459" s="162"/>
      <c r="J459" s="164"/>
      <c r="K459" s="164"/>
      <c r="L459" s="158"/>
      <c r="M459" s="158"/>
      <c r="N459" s="158"/>
      <c r="O459" s="158"/>
      <c r="P459" s="158"/>
      <c r="Q459" s="158"/>
      <c r="R459" s="159"/>
      <c r="S459" s="160"/>
      <c r="T459" s="162"/>
    </row>
    <row r="460">
      <c r="A460" s="158"/>
      <c r="B460" s="158"/>
      <c r="C460" s="158"/>
      <c r="D460" s="159"/>
      <c r="E460" s="160"/>
      <c r="F460" s="161"/>
      <c r="G460" s="162"/>
      <c r="H460" s="163"/>
      <c r="I460" s="162"/>
      <c r="J460" s="164"/>
      <c r="K460" s="164"/>
      <c r="L460" s="158"/>
      <c r="M460" s="158"/>
      <c r="N460" s="158"/>
      <c r="O460" s="158"/>
      <c r="P460" s="158"/>
      <c r="Q460" s="158"/>
      <c r="R460" s="159"/>
      <c r="S460" s="160"/>
      <c r="T460" s="162"/>
    </row>
    <row r="461">
      <c r="A461" s="158"/>
      <c r="B461" s="158"/>
      <c r="C461" s="158"/>
      <c r="D461" s="159"/>
      <c r="E461" s="160"/>
      <c r="F461" s="161"/>
      <c r="G461" s="162"/>
      <c r="H461" s="163"/>
      <c r="I461" s="162"/>
      <c r="J461" s="164"/>
      <c r="K461" s="164"/>
      <c r="L461" s="158"/>
      <c r="M461" s="158"/>
      <c r="N461" s="158"/>
      <c r="O461" s="158"/>
      <c r="P461" s="158"/>
      <c r="Q461" s="158"/>
      <c r="R461" s="159"/>
      <c r="S461" s="160"/>
      <c r="T461" s="162"/>
    </row>
    <row r="462">
      <c r="A462" s="158"/>
      <c r="B462" s="158"/>
      <c r="C462" s="158"/>
      <c r="D462" s="159"/>
      <c r="E462" s="160"/>
      <c r="F462" s="161"/>
      <c r="G462" s="162"/>
      <c r="H462" s="163"/>
      <c r="I462" s="162"/>
      <c r="J462" s="164"/>
      <c r="K462" s="164"/>
      <c r="L462" s="158"/>
      <c r="M462" s="158"/>
      <c r="N462" s="158"/>
      <c r="O462" s="158"/>
      <c r="P462" s="158"/>
      <c r="Q462" s="158"/>
      <c r="R462" s="159"/>
      <c r="S462" s="160"/>
      <c r="T462" s="162"/>
    </row>
    <row r="463">
      <c r="A463" s="158"/>
      <c r="B463" s="158"/>
      <c r="C463" s="158"/>
      <c r="D463" s="159"/>
      <c r="E463" s="160"/>
      <c r="F463" s="161"/>
      <c r="G463" s="162"/>
      <c r="H463" s="163"/>
      <c r="I463" s="162"/>
      <c r="J463" s="164"/>
      <c r="K463" s="164"/>
      <c r="L463" s="158"/>
      <c r="M463" s="158"/>
      <c r="N463" s="158"/>
      <c r="O463" s="158"/>
      <c r="P463" s="158"/>
      <c r="Q463" s="158"/>
      <c r="R463" s="159"/>
      <c r="S463" s="160"/>
      <c r="T463" s="162"/>
    </row>
    <row r="464">
      <c r="A464" s="158"/>
      <c r="B464" s="158"/>
      <c r="C464" s="158"/>
      <c r="D464" s="159"/>
      <c r="E464" s="160"/>
      <c r="F464" s="161"/>
      <c r="G464" s="162"/>
      <c r="H464" s="163"/>
      <c r="I464" s="162"/>
      <c r="J464" s="164"/>
      <c r="K464" s="164"/>
      <c r="L464" s="158"/>
      <c r="M464" s="158"/>
      <c r="N464" s="158"/>
      <c r="O464" s="158"/>
      <c r="P464" s="158"/>
      <c r="Q464" s="158"/>
      <c r="R464" s="159"/>
      <c r="S464" s="160"/>
      <c r="T464" s="162"/>
    </row>
    <row r="465">
      <c r="A465" s="158"/>
      <c r="B465" s="158"/>
      <c r="C465" s="158"/>
      <c r="D465" s="159"/>
      <c r="E465" s="160"/>
      <c r="F465" s="161"/>
      <c r="G465" s="162"/>
      <c r="H465" s="163"/>
      <c r="I465" s="162"/>
      <c r="J465" s="164"/>
      <c r="K465" s="164"/>
      <c r="L465" s="158"/>
      <c r="M465" s="158"/>
      <c r="N465" s="158"/>
      <c r="O465" s="158"/>
      <c r="P465" s="158"/>
      <c r="Q465" s="158"/>
      <c r="R465" s="159"/>
      <c r="S465" s="160"/>
      <c r="T465" s="162"/>
    </row>
    <row r="466">
      <c r="A466" s="158"/>
      <c r="B466" s="158"/>
      <c r="C466" s="158"/>
      <c r="D466" s="159"/>
      <c r="E466" s="160"/>
      <c r="F466" s="161"/>
      <c r="G466" s="162"/>
      <c r="H466" s="163"/>
      <c r="I466" s="162"/>
      <c r="J466" s="164"/>
      <c r="K466" s="164"/>
      <c r="L466" s="158"/>
      <c r="M466" s="158"/>
      <c r="N466" s="158"/>
      <c r="O466" s="158"/>
      <c r="P466" s="158"/>
      <c r="Q466" s="158"/>
      <c r="R466" s="159"/>
      <c r="S466" s="160"/>
      <c r="T466" s="162"/>
    </row>
    <row r="467">
      <c r="A467" s="158"/>
      <c r="B467" s="158"/>
      <c r="C467" s="158"/>
      <c r="D467" s="159"/>
      <c r="E467" s="160"/>
      <c r="F467" s="161"/>
      <c r="G467" s="162"/>
      <c r="H467" s="163"/>
      <c r="I467" s="162"/>
      <c r="J467" s="164"/>
      <c r="K467" s="164"/>
      <c r="L467" s="158"/>
      <c r="M467" s="158"/>
      <c r="N467" s="158"/>
      <c r="O467" s="158"/>
      <c r="P467" s="158"/>
      <c r="Q467" s="158"/>
      <c r="R467" s="159"/>
      <c r="S467" s="160"/>
      <c r="T467" s="162"/>
    </row>
    <row r="468">
      <c r="A468" s="158"/>
      <c r="B468" s="158"/>
      <c r="C468" s="158"/>
      <c r="D468" s="159"/>
      <c r="E468" s="160"/>
      <c r="F468" s="161"/>
      <c r="G468" s="162"/>
      <c r="H468" s="163"/>
      <c r="I468" s="162"/>
      <c r="J468" s="164"/>
      <c r="K468" s="164"/>
      <c r="L468" s="158"/>
      <c r="M468" s="158"/>
      <c r="N468" s="158"/>
      <c r="O468" s="158"/>
      <c r="P468" s="158"/>
      <c r="Q468" s="158"/>
      <c r="R468" s="159"/>
      <c r="S468" s="160"/>
      <c r="T468" s="162"/>
    </row>
    <row r="469">
      <c r="A469" s="158"/>
      <c r="B469" s="158"/>
      <c r="C469" s="158"/>
      <c r="D469" s="159"/>
      <c r="E469" s="160"/>
      <c r="F469" s="161"/>
      <c r="G469" s="162"/>
      <c r="H469" s="163"/>
      <c r="I469" s="162"/>
      <c r="J469" s="164"/>
      <c r="K469" s="164"/>
      <c r="L469" s="158"/>
      <c r="M469" s="158"/>
      <c r="N469" s="158"/>
      <c r="O469" s="158"/>
      <c r="P469" s="158"/>
      <c r="Q469" s="158"/>
      <c r="R469" s="159"/>
      <c r="S469" s="160"/>
      <c r="T469" s="162"/>
    </row>
    <row r="470">
      <c r="A470" s="158"/>
      <c r="B470" s="158"/>
      <c r="C470" s="158"/>
      <c r="D470" s="159"/>
      <c r="E470" s="160"/>
      <c r="F470" s="161"/>
      <c r="G470" s="162"/>
      <c r="H470" s="163"/>
      <c r="I470" s="162"/>
      <c r="J470" s="164"/>
      <c r="K470" s="164"/>
      <c r="L470" s="158"/>
      <c r="M470" s="158"/>
      <c r="N470" s="158"/>
      <c r="O470" s="158"/>
      <c r="P470" s="158"/>
      <c r="Q470" s="158"/>
      <c r="R470" s="159"/>
      <c r="S470" s="160"/>
      <c r="T470" s="162"/>
    </row>
    <row r="471">
      <c r="A471" s="158"/>
      <c r="B471" s="158"/>
      <c r="C471" s="158"/>
      <c r="D471" s="159"/>
      <c r="E471" s="160"/>
      <c r="F471" s="161"/>
      <c r="G471" s="162"/>
      <c r="H471" s="163"/>
      <c r="I471" s="162"/>
      <c r="J471" s="164"/>
      <c r="K471" s="164"/>
      <c r="L471" s="158"/>
      <c r="M471" s="158"/>
      <c r="N471" s="158"/>
      <c r="O471" s="158"/>
      <c r="P471" s="158"/>
      <c r="Q471" s="158"/>
      <c r="R471" s="159"/>
      <c r="S471" s="160"/>
      <c r="T471" s="162"/>
    </row>
    <row r="472">
      <c r="A472" s="158"/>
      <c r="B472" s="158"/>
      <c r="C472" s="158"/>
      <c r="D472" s="159"/>
      <c r="E472" s="160"/>
      <c r="F472" s="161"/>
      <c r="G472" s="162"/>
      <c r="H472" s="163"/>
      <c r="I472" s="162"/>
      <c r="J472" s="164"/>
      <c r="K472" s="164"/>
      <c r="L472" s="158"/>
      <c r="M472" s="158"/>
      <c r="N472" s="158"/>
      <c r="O472" s="158"/>
      <c r="P472" s="158"/>
      <c r="Q472" s="158"/>
      <c r="R472" s="159"/>
      <c r="S472" s="160"/>
      <c r="T472" s="162"/>
    </row>
    <row r="473">
      <c r="A473" s="158"/>
      <c r="B473" s="158"/>
      <c r="C473" s="158"/>
      <c r="D473" s="159"/>
      <c r="E473" s="160"/>
      <c r="F473" s="161"/>
      <c r="G473" s="162"/>
      <c r="H473" s="163"/>
      <c r="I473" s="162"/>
      <c r="J473" s="164"/>
      <c r="K473" s="164"/>
      <c r="L473" s="158"/>
      <c r="M473" s="158"/>
      <c r="N473" s="158"/>
      <c r="O473" s="158"/>
      <c r="P473" s="158"/>
      <c r="Q473" s="158"/>
      <c r="R473" s="159"/>
      <c r="S473" s="160"/>
      <c r="T473" s="162"/>
    </row>
    <row r="474">
      <c r="A474" s="158"/>
      <c r="B474" s="158"/>
      <c r="C474" s="158"/>
      <c r="D474" s="159"/>
      <c r="E474" s="160"/>
      <c r="F474" s="161"/>
      <c r="G474" s="162"/>
      <c r="H474" s="163"/>
      <c r="I474" s="162"/>
      <c r="J474" s="164"/>
      <c r="K474" s="164"/>
      <c r="L474" s="158"/>
      <c r="M474" s="158"/>
      <c r="N474" s="158"/>
      <c r="O474" s="158"/>
      <c r="P474" s="158"/>
      <c r="Q474" s="158"/>
      <c r="R474" s="159"/>
      <c r="S474" s="160"/>
      <c r="T474" s="162"/>
    </row>
    <row r="475">
      <c r="A475" s="158"/>
      <c r="B475" s="158"/>
      <c r="C475" s="158"/>
      <c r="D475" s="159"/>
      <c r="E475" s="160"/>
      <c r="F475" s="161"/>
      <c r="G475" s="162"/>
      <c r="H475" s="163"/>
      <c r="I475" s="162"/>
      <c r="J475" s="164"/>
      <c r="K475" s="164"/>
      <c r="L475" s="158"/>
      <c r="M475" s="158"/>
      <c r="N475" s="158"/>
      <c r="O475" s="158"/>
      <c r="P475" s="158"/>
      <c r="Q475" s="158"/>
      <c r="R475" s="159"/>
      <c r="S475" s="160"/>
      <c r="T475" s="162"/>
    </row>
    <row r="476">
      <c r="A476" s="158"/>
      <c r="B476" s="158"/>
      <c r="C476" s="158"/>
      <c r="D476" s="159"/>
      <c r="E476" s="160"/>
      <c r="F476" s="161"/>
      <c r="G476" s="162"/>
      <c r="H476" s="163"/>
      <c r="I476" s="162"/>
      <c r="J476" s="164"/>
      <c r="K476" s="164"/>
      <c r="L476" s="158"/>
      <c r="M476" s="158"/>
      <c r="N476" s="158"/>
      <c r="O476" s="158"/>
      <c r="P476" s="158"/>
      <c r="Q476" s="158"/>
      <c r="R476" s="159"/>
      <c r="S476" s="160"/>
      <c r="T476" s="162"/>
    </row>
    <row r="477">
      <c r="A477" s="158"/>
      <c r="B477" s="158"/>
      <c r="C477" s="158"/>
      <c r="D477" s="159"/>
      <c r="E477" s="160"/>
      <c r="F477" s="161"/>
      <c r="G477" s="162"/>
      <c r="H477" s="163"/>
      <c r="I477" s="162"/>
      <c r="J477" s="164"/>
      <c r="K477" s="164"/>
      <c r="L477" s="158"/>
      <c r="M477" s="158"/>
      <c r="N477" s="158"/>
      <c r="O477" s="158"/>
      <c r="P477" s="158"/>
      <c r="Q477" s="158"/>
      <c r="R477" s="159"/>
      <c r="S477" s="160"/>
      <c r="T477" s="162"/>
    </row>
    <row r="478">
      <c r="A478" s="158"/>
      <c r="B478" s="158"/>
      <c r="C478" s="158"/>
      <c r="D478" s="159"/>
      <c r="E478" s="160"/>
      <c r="F478" s="161"/>
      <c r="G478" s="162"/>
      <c r="H478" s="163"/>
      <c r="I478" s="162"/>
      <c r="J478" s="164"/>
      <c r="K478" s="164"/>
      <c r="L478" s="158"/>
      <c r="M478" s="158"/>
      <c r="N478" s="158"/>
      <c r="O478" s="158"/>
      <c r="P478" s="158"/>
      <c r="Q478" s="158"/>
      <c r="R478" s="159"/>
      <c r="S478" s="160"/>
      <c r="T478" s="162"/>
    </row>
    <row r="479">
      <c r="A479" s="158"/>
      <c r="B479" s="158"/>
      <c r="C479" s="158"/>
      <c r="D479" s="159"/>
      <c r="E479" s="160"/>
      <c r="F479" s="161"/>
      <c r="G479" s="162"/>
      <c r="H479" s="163"/>
      <c r="I479" s="162"/>
      <c r="J479" s="164"/>
      <c r="K479" s="164"/>
      <c r="L479" s="158"/>
      <c r="M479" s="158"/>
      <c r="N479" s="158"/>
      <c r="O479" s="158"/>
      <c r="P479" s="158"/>
      <c r="Q479" s="158"/>
      <c r="R479" s="159"/>
      <c r="S479" s="160"/>
      <c r="T479" s="162"/>
    </row>
    <row r="480">
      <c r="A480" s="158"/>
      <c r="B480" s="158"/>
      <c r="C480" s="158"/>
      <c r="D480" s="159"/>
      <c r="E480" s="160"/>
      <c r="F480" s="161"/>
      <c r="G480" s="162"/>
      <c r="H480" s="163"/>
      <c r="I480" s="162"/>
      <c r="J480" s="164"/>
      <c r="K480" s="164"/>
      <c r="L480" s="158"/>
      <c r="M480" s="158"/>
      <c r="N480" s="158"/>
      <c r="O480" s="158"/>
      <c r="P480" s="158"/>
      <c r="Q480" s="158"/>
      <c r="R480" s="159"/>
      <c r="S480" s="160"/>
      <c r="T480" s="162"/>
    </row>
    <row r="481">
      <c r="A481" s="158"/>
      <c r="B481" s="158"/>
      <c r="C481" s="158"/>
      <c r="D481" s="159"/>
      <c r="E481" s="160"/>
      <c r="F481" s="161"/>
      <c r="G481" s="162"/>
      <c r="H481" s="163"/>
      <c r="I481" s="162"/>
      <c r="J481" s="164"/>
      <c r="K481" s="164"/>
      <c r="L481" s="158"/>
      <c r="M481" s="158"/>
      <c r="N481" s="158"/>
      <c r="O481" s="158"/>
      <c r="P481" s="158"/>
      <c r="Q481" s="158"/>
      <c r="R481" s="159"/>
      <c r="S481" s="160"/>
      <c r="T481" s="162"/>
    </row>
    <row r="482">
      <c r="A482" s="158"/>
      <c r="B482" s="158"/>
      <c r="C482" s="158"/>
      <c r="D482" s="159"/>
      <c r="E482" s="160"/>
      <c r="F482" s="161"/>
      <c r="G482" s="162"/>
      <c r="H482" s="163"/>
      <c r="I482" s="162"/>
      <c r="J482" s="164"/>
      <c r="K482" s="164"/>
      <c r="L482" s="158"/>
      <c r="M482" s="158"/>
      <c r="N482" s="158"/>
      <c r="O482" s="158"/>
      <c r="P482" s="158"/>
      <c r="Q482" s="158"/>
      <c r="R482" s="159"/>
      <c r="S482" s="160"/>
      <c r="T482" s="162"/>
    </row>
    <row r="483">
      <c r="A483" s="158"/>
      <c r="B483" s="158"/>
      <c r="C483" s="158"/>
      <c r="D483" s="159"/>
      <c r="E483" s="160"/>
      <c r="F483" s="161"/>
      <c r="G483" s="162"/>
      <c r="H483" s="163"/>
      <c r="I483" s="162"/>
      <c r="J483" s="164"/>
      <c r="K483" s="164"/>
      <c r="L483" s="158"/>
      <c r="M483" s="158"/>
      <c r="N483" s="158"/>
      <c r="O483" s="158"/>
      <c r="P483" s="158"/>
      <c r="Q483" s="158"/>
      <c r="R483" s="159"/>
      <c r="S483" s="160"/>
      <c r="T483" s="162"/>
    </row>
    <row r="484">
      <c r="A484" s="158"/>
      <c r="B484" s="158"/>
      <c r="C484" s="158"/>
      <c r="D484" s="159"/>
      <c r="E484" s="160"/>
      <c r="F484" s="161"/>
      <c r="G484" s="162"/>
      <c r="H484" s="163"/>
      <c r="I484" s="162"/>
      <c r="J484" s="164"/>
      <c r="K484" s="164"/>
      <c r="L484" s="158"/>
      <c r="M484" s="158"/>
      <c r="N484" s="158"/>
      <c r="O484" s="158"/>
      <c r="P484" s="158"/>
      <c r="Q484" s="158"/>
      <c r="R484" s="159"/>
      <c r="S484" s="160"/>
      <c r="T484" s="162"/>
    </row>
    <row r="485">
      <c r="A485" s="158"/>
      <c r="B485" s="158"/>
      <c r="C485" s="158"/>
      <c r="D485" s="159"/>
      <c r="E485" s="160"/>
      <c r="F485" s="161"/>
      <c r="G485" s="162"/>
      <c r="H485" s="163"/>
      <c r="I485" s="162"/>
      <c r="J485" s="164"/>
      <c r="K485" s="164"/>
      <c r="L485" s="158"/>
      <c r="M485" s="158"/>
      <c r="N485" s="158"/>
      <c r="O485" s="158"/>
      <c r="P485" s="158"/>
      <c r="Q485" s="158"/>
      <c r="R485" s="159"/>
      <c r="S485" s="160"/>
      <c r="T485" s="162"/>
    </row>
    <row r="486">
      <c r="A486" s="158"/>
      <c r="B486" s="158"/>
      <c r="C486" s="158"/>
      <c r="D486" s="159"/>
      <c r="E486" s="160"/>
      <c r="F486" s="161"/>
      <c r="G486" s="162"/>
      <c r="H486" s="163"/>
      <c r="I486" s="162"/>
      <c r="J486" s="164"/>
      <c r="K486" s="164"/>
      <c r="L486" s="158"/>
      <c r="M486" s="158"/>
      <c r="N486" s="158"/>
      <c r="O486" s="158"/>
      <c r="P486" s="158"/>
      <c r="Q486" s="158"/>
      <c r="R486" s="159"/>
      <c r="S486" s="160"/>
      <c r="T486" s="162"/>
    </row>
    <row r="487">
      <c r="A487" s="158"/>
      <c r="B487" s="158"/>
      <c r="C487" s="158"/>
      <c r="D487" s="159"/>
      <c r="E487" s="160"/>
      <c r="F487" s="161"/>
      <c r="G487" s="162"/>
      <c r="H487" s="163"/>
      <c r="I487" s="162"/>
      <c r="J487" s="164"/>
      <c r="K487" s="164"/>
      <c r="L487" s="158"/>
      <c r="M487" s="158"/>
      <c r="N487" s="158"/>
      <c r="O487" s="158"/>
      <c r="P487" s="158"/>
      <c r="Q487" s="158"/>
      <c r="R487" s="159"/>
      <c r="S487" s="160"/>
      <c r="T487" s="162"/>
    </row>
    <row r="488">
      <c r="A488" s="158"/>
      <c r="B488" s="158"/>
      <c r="C488" s="158"/>
      <c r="D488" s="159"/>
      <c r="E488" s="160"/>
      <c r="F488" s="161"/>
      <c r="G488" s="162"/>
      <c r="H488" s="163"/>
      <c r="I488" s="162"/>
      <c r="J488" s="164"/>
      <c r="K488" s="164"/>
      <c r="L488" s="158"/>
      <c r="M488" s="158"/>
      <c r="N488" s="158"/>
      <c r="O488" s="158"/>
      <c r="P488" s="158"/>
      <c r="Q488" s="158"/>
      <c r="R488" s="159"/>
      <c r="S488" s="160"/>
      <c r="T488" s="162"/>
    </row>
    <row r="489">
      <c r="A489" s="158"/>
      <c r="B489" s="158"/>
      <c r="C489" s="158"/>
      <c r="D489" s="159"/>
      <c r="E489" s="160"/>
      <c r="F489" s="161"/>
      <c r="G489" s="162"/>
      <c r="H489" s="163"/>
      <c r="I489" s="162"/>
      <c r="J489" s="164"/>
      <c r="K489" s="164"/>
      <c r="L489" s="158"/>
      <c r="M489" s="158"/>
      <c r="N489" s="158"/>
      <c r="O489" s="158"/>
      <c r="P489" s="158"/>
      <c r="Q489" s="158"/>
      <c r="R489" s="159"/>
      <c r="S489" s="160"/>
      <c r="T489" s="162"/>
    </row>
    <row r="490">
      <c r="A490" s="158"/>
      <c r="B490" s="158"/>
      <c r="C490" s="158"/>
      <c r="D490" s="159"/>
      <c r="E490" s="160"/>
      <c r="F490" s="161"/>
      <c r="G490" s="162"/>
      <c r="H490" s="163"/>
      <c r="I490" s="162"/>
      <c r="J490" s="164"/>
      <c r="K490" s="164"/>
      <c r="L490" s="158"/>
      <c r="M490" s="158"/>
      <c r="N490" s="158"/>
      <c r="O490" s="158"/>
      <c r="P490" s="158"/>
      <c r="Q490" s="158"/>
      <c r="R490" s="159"/>
      <c r="S490" s="160"/>
      <c r="T490" s="162"/>
    </row>
    <row r="491">
      <c r="A491" s="158"/>
      <c r="B491" s="158"/>
      <c r="C491" s="158"/>
      <c r="D491" s="159"/>
      <c r="E491" s="160"/>
      <c r="F491" s="161"/>
      <c r="G491" s="162"/>
      <c r="H491" s="163"/>
      <c r="I491" s="162"/>
      <c r="J491" s="164"/>
      <c r="K491" s="164"/>
      <c r="L491" s="158"/>
      <c r="M491" s="158"/>
      <c r="N491" s="158"/>
      <c r="O491" s="158"/>
      <c r="P491" s="158"/>
      <c r="Q491" s="158"/>
      <c r="R491" s="159"/>
      <c r="S491" s="160"/>
      <c r="T491" s="162"/>
    </row>
    <row r="492">
      <c r="A492" s="158"/>
      <c r="B492" s="158"/>
      <c r="C492" s="158"/>
      <c r="D492" s="159"/>
      <c r="E492" s="160"/>
      <c r="F492" s="161"/>
      <c r="G492" s="162"/>
      <c r="H492" s="163"/>
      <c r="I492" s="162"/>
      <c r="J492" s="164"/>
      <c r="K492" s="164"/>
      <c r="L492" s="158"/>
      <c r="M492" s="158"/>
      <c r="N492" s="158"/>
      <c r="O492" s="158"/>
      <c r="P492" s="158"/>
      <c r="Q492" s="158"/>
      <c r="R492" s="159"/>
      <c r="S492" s="160"/>
      <c r="T492" s="162"/>
    </row>
    <row r="493">
      <c r="A493" s="158"/>
      <c r="B493" s="158"/>
      <c r="C493" s="158"/>
      <c r="D493" s="159"/>
      <c r="E493" s="160"/>
      <c r="F493" s="161"/>
      <c r="G493" s="162"/>
      <c r="H493" s="163"/>
      <c r="I493" s="162"/>
      <c r="J493" s="164"/>
      <c r="K493" s="164"/>
      <c r="L493" s="158"/>
      <c r="M493" s="158"/>
      <c r="N493" s="158"/>
      <c r="O493" s="158"/>
      <c r="P493" s="158"/>
      <c r="Q493" s="158"/>
      <c r="R493" s="159"/>
      <c r="S493" s="160"/>
      <c r="T493" s="162"/>
    </row>
    <row r="494">
      <c r="A494" s="158"/>
      <c r="B494" s="158"/>
      <c r="C494" s="158"/>
      <c r="D494" s="159"/>
      <c r="E494" s="160"/>
      <c r="F494" s="161"/>
      <c r="G494" s="162"/>
      <c r="H494" s="163"/>
      <c r="I494" s="162"/>
      <c r="J494" s="164"/>
      <c r="K494" s="164"/>
      <c r="L494" s="158"/>
      <c r="M494" s="158"/>
      <c r="N494" s="158"/>
      <c r="O494" s="158"/>
      <c r="P494" s="158"/>
      <c r="Q494" s="158"/>
      <c r="R494" s="159"/>
      <c r="S494" s="160"/>
      <c r="T494" s="162"/>
    </row>
    <row r="495">
      <c r="A495" s="158"/>
      <c r="B495" s="158"/>
      <c r="C495" s="158"/>
      <c r="D495" s="159"/>
      <c r="E495" s="160"/>
      <c r="F495" s="161"/>
      <c r="G495" s="162"/>
      <c r="H495" s="163"/>
      <c r="I495" s="162"/>
      <c r="J495" s="164"/>
      <c r="K495" s="164"/>
      <c r="L495" s="158"/>
      <c r="M495" s="158"/>
      <c r="N495" s="158"/>
      <c r="O495" s="158"/>
      <c r="P495" s="158"/>
      <c r="Q495" s="158"/>
      <c r="R495" s="159"/>
      <c r="S495" s="160"/>
      <c r="T495" s="162"/>
    </row>
    <row r="496">
      <c r="A496" s="158"/>
      <c r="B496" s="158"/>
      <c r="C496" s="158"/>
      <c r="D496" s="159"/>
      <c r="E496" s="160"/>
      <c r="F496" s="161"/>
      <c r="G496" s="162"/>
      <c r="H496" s="163"/>
      <c r="I496" s="162"/>
      <c r="J496" s="164"/>
      <c r="K496" s="164"/>
      <c r="L496" s="158"/>
      <c r="M496" s="158"/>
      <c r="N496" s="158"/>
      <c r="O496" s="158"/>
      <c r="P496" s="158"/>
      <c r="Q496" s="158"/>
      <c r="R496" s="159"/>
      <c r="S496" s="160"/>
      <c r="T496" s="162"/>
    </row>
    <row r="497">
      <c r="A497" s="158"/>
      <c r="B497" s="158"/>
      <c r="C497" s="158"/>
      <c r="D497" s="159"/>
      <c r="E497" s="160"/>
      <c r="F497" s="161"/>
      <c r="G497" s="162"/>
      <c r="H497" s="163"/>
      <c r="I497" s="162"/>
      <c r="J497" s="164"/>
      <c r="K497" s="164"/>
      <c r="L497" s="158"/>
      <c r="M497" s="158"/>
      <c r="N497" s="158"/>
      <c r="O497" s="158"/>
      <c r="P497" s="158"/>
      <c r="Q497" s="158"/>
      <c r="R497" s="159"/>
      <c r="S497" s="160"/>
      <c r="T497" s="162"/>
    </row>
    <row r="498">
      <c r="A498" s="158"/>
      <c r="B498" s="158"/>
      <c r="C498" s="158"/>
      <c r="D498" s="159"/>
      <c r="E498" s="160"/>
      <c r="F498" s="161"/>
      <c r="G498" s="162"/>
      <c r="H498" s="163"/>
      <c r="I498" s="162"/>
      <c r="J498" s="164"/>
      <c r="K498" s="164"/>
      <c r="L498" s="158"/>
      <c r="M498" s="158"/>
      <c r="N498" s="158"/>
      <c r="O498" s="158"/>
      <c r="P498" s="158"/>
      <c r="Q498" s="158"/>
      <c r="R498" s="159"/>
      <c r="S498" s="160"/>
      <c r="T498" s="162"/>
    </row>
    <row r="499">
      <c r="A499" s="158"/>
      <c r="B499" s="158"/>
      <c r="C499" s="158"/>
      <c r="D499" s="159"/>
      <c r="E499" s="160"/>
      <c r="F499" s="161"/>
      <c r="G499" s="162"/>
      <c r="H499" s="163"/>
      <c r="I499" s="162"/>
      <c r="J499" s="164"/>
      <c r="K499" s="164"/>
      <c r="L499" s="158"/>
      <c r="M499" s="158"/>
      <c r="N499" s="158"/>
      <c r="O499" s="158"/>
      <c r="P499" s="158"/>
      <c r="Q499" s="158"/>
      <c r="R499" s="159"/>
      <c r="S499" s="160"/>
      <c r="T499" s="162"/>
    </row>
    <row r="500">
      <c r="A500" s="158"/>
      <c r="B500" s="158"/>
      <c r="C500" s="158"/>
      <c r="D500" s="159"/>
      <c r="E500" s="160"/>
      <c r="F500" s="161"/>
      <c r="G500" s="162"/>
      <c r="H500" s="163"/>
      <c r="I500" s="162"/>
      <c r="J500" s="164"/>
      <c r="K500" s="164"/>
      <c r="L500" s="158"/>
      <c r="M500" s="158"/>
      <c r="N500" s="158"/>
      <c r="O500" s="158"/>
      <c r="P500" s="158"/>
      <c r="Q500" s="158"/>
      <c r="R500" s="159"/>
      <c r="S500" s="160"/>
      <c r="T500" s="162"/>
    </row>
    <row r="501">
      <c r="A501" s="158"/>
      <c r="B501" s="158"/>
      <c r="C501" s="158"/>
      <c r="D501" s="159"/>
      <c r="E501" s="160"/>
      <c r="F501" s="161"/>
      <c r="G501" s="162"/>
      <c r="H501" s="163"/>
      <c r="I501" s="162"/>
      <c r="J501" s="164"/>
      <c r="K501" s="164"/>
      <c r="L501" s="158"/>
      <c r="M501" s="158"/>
      <c r="N501" s="158"/>
      <c r="O501" s="158"/>
      <c r="P501" s="158"/>
      <c r="Q501" s="158"/>
      <c r="R501" s="159"/>
      <c r="S501" s="160"/>
      <c r="T501" s="162"/>
    </row>
    <row r="502">
      <c r="A502" s="158"/>
      <c r="B502" s="158"/>
      <c r="C502" s="158"/>
      <c r="D502" s="159"/>
      <c r="E502" s="160"/>
      <c r="F502" s="161"/>
      <c r="G502" s="162"/>
      <c r="H502" s="163"/>
      <c r="I502" s="162"/>
      <c r="J502" s="164"/>
      <c r="K502" s="164"/>
      <c r="L502" s="158"/>
      <c r="M502" s="158"/>
      <c r="N502" s="158"/>
      <c r="O502" s="158"/>
      <c r="P502" s="158"/>
      <c r="Q502" s="158"/>
      <c r="R502" s="159"/>
      <c r="S502" s="160"/>
      <c r="T502" s="162"/>
    </row>
    <row r="503">
      <c r="A503" s="158"/>
      <c r="B503" s="158"/>
      <c r="C503" s="158"/>
      <c r="D503" s="159"/>
      <c r="E503" s="160"/>
      <c r="F503" s="161"/>
      <c r="G503" s="162"/>
      <c r="H503" s="163"/>
      <c r="I503" s="162"/>
      <c r="J503" s="164"/>
      <c r="K503" s="164"/>
      <c r="L503" s="158"/>
      <c r="M503" s="158"/>
      <c r="N503" s="158"/>
      <c r="O503" s="158"/>
      <c r="P503" s="158"/>
      <c r="Q503" s="158"/>
      <c r="R503" s="159"/>
      <c r="S503" s="160"/>
      <c r="T503" s="162"/>
    </row>
    <row r="504">
      <c r="A504" s="158"/>
      <c r="B504" s="158"/>
      <c r="C504" s="158"/>
      <c r="D504" s="159"/>
      <c r="E504" s="160"/>
      <c r="F504" s="161"/>
      <c r="G504" s="162"/>
      <c r="H504" s="163"/>
      <c r="I504" s="162"/>
      <c r="J504" s="164"/>
      <c r="K504" s="164"/>
      <c r="L504" s="158"/>
      <c r="M504" s="158"/>
      <c r="N504" s="158"/>
      <c r="O504" s="158"/>
      <c r="P504" s="158"/>
      <c r="Q504" s="158"/>
      <c r="R504" s="159"/>
      <c r="S504" s="160"/>
      <c r="T504" s="162"/>
    </row>
    <row r="505">
      <c r="A505" s="158"/>
      <c r="B505" s="158"/>
      <c r="C505" s="158"/>
      <c r="D505" s="159"/>
      <c r="E505" s="160"/>
      <c r="F505" s="161"/>
      <c r="G505" s="162"/>
      <c r="H505" s="163"/>
      <c r="I505" s="162"/>
      <c r="J505" s="164"/>
      <c r="K505" s="164"/>
      <c r="L505" s="158"/>
      <c r="M505" s="158"/>
      <c r="N505" s="158"/>
      <c r="O505" s="158"/>
      <c r="P505" s="158"/>
      <c r="Q505" s="158"/>
      <c r="R505" s="159"/>
      <c r="S505" s="160"/>
      <c r="T505" s="162"/>
    </row>
    <row r="506">
      <c r="A506" s="158"/>
      <c r="B506" s="158"/>
      <c r="C506" s="158"/>
      <c r="D506" s="159"/>
      <c r="E506" s="160"/>
      <c r="F506" s="161"/>
      <c r="G506" s="162"/>
      <c r="H506" s="163"/>
      <c r="I506" s="162"/>
      <c r="J506" s="164"/>
      <c r="K506" s="164"/>
      <c r="L506" s="158"/>
      <c r="M506" s="158"/>
      <c r="N506" s="158"/>
      <c r="O506" s="158"/>
      <c r="P506" s="158"/>
      <c r="Q506" s="158"/>
      <c r="R506" s="159"/>
      <c r="S506" s="160"/>
      <c r="T506" s="162"/>
    </row>
    <row r="507">
      <c r="A507" s="158"/>
      <c r="B507" s="158"/>
      <c r="C507" s="158"/>
      <c r="D507" s="159"/>
      <c r="E507" s="160"/>
      <c r="F507" s="161"/>
      <c r="G507" s="162"/>
      <c r="H507" s="163"/>
      <c r="I507" s="162"/>
      <c r="J507" s="164"/>
      <c r="K507" s="164"/>
      <c r="L507" s="158"/>
      <c r="M507" s="158"/>
      <c r="N507" s="158"/>
      <c r="O507" s="158"/>
      <c r="P507" s="158"/>
      <c r="Q507" s="158"/>
      <c r="R507" s="159"/>
      <c r="S507" s="160"/>
      <c r="T507" s="162"/>
    </row>
    <row r="508">
      <c r="A508" s="158"/>
      <c r="B508" s="158"/>
      <c r="C508" s="158"/>
      <c r="D508" s="159"/>
      <c r="E508" s="160"/>
      <c r="F508" s="161"/>
      <c r="G508" s="162"/>
      <c r="H508" s="163"/>
      <c r="I508" s="162"/>
      <c r="J508" s="164"/>
      <c r="K508" s="164"/>
      <c r="L508" s="158"/>
      <c r="M508" s="158"/>
      <c r="N508" s="158"/>
      <c r="O508" s="158"/>
      <c r="P508" s="158"/>
      <c r="Q508" s="158"/>
      <c r="R508" s="159"/>
      <c r="S508" s="160"/>
      <c r="T508" s="162"/>
    </row>
    <row r="509">
      <c r="A509" s="158"/>
      <c r="B509" s="158"/>
      <c r="C509" s="158"/>
      <c r="D509" s="159"/>
      <c r="E509" s="160"/>
      <c r="F509" s="161"/>
      <c r="G509" s="162"/>
      <c r="H509" s="163"/>
      <c r="I509" s="162"/>
      <c r="J509" s="164"/>
      <c r="K509" s="164"/>
      <c r="L509" s="158"/>
      <c r="M509" s="158"/>
      <c r="N509" s="158"/>
      <c r="O509" s="158"/>
      <c r="P509" s="158"/>
      <c r="Q509" s="158"/>
      <c r="R509" s="159"/>
      <c r="S509" s="160"/>
      <c r="T509" s="162"/>
    </row>
    <row r="510">
      <c r="A510" s="158"/>
      <c r="B510" s="158"/>
      <c r="C510" s="158"/>
      <c r="D510" s="159"/>
      <c r="E510" s="160"/>
      <c r="F510" s="161"/>
      <c r="G510" s="162"/>
      <c r="H510" s="163"/>
      <c r="I510" s="162"/>
      <c r="J510" s="164"/>
      <c r="K510" s="164"/>
      <c r="L510" s="158"/>
      <c r="M510" s="158"/>
      <c r="N510" s="158"/>
      <c r="O510" s="158"/>
      <c r="P510" s="158"/>
      <c r="Q510" s="158"/>
      <c r="R510" s="159"/>
      <c r="S510" s="160"/>
      <c r="T510" s="162"/>
    </row>
    <row r="511">
      <c r="A511" s="158"/>
      <c r="B511" s="158"/>
      <c r="C511" s="158"/>
      <c r="D511" s="159"/>
      <c r="E511" s="160"/>
      <c r="F511" s="161"/>
      <c r="G511" s="162"/>
      <c r="H511" s="163"/>
      <c r="I511" s="162"/>
      <c r="J511" s="164"/>
      <c r="K511" s="164"/>
      <c r="L511" s="158"/>
      <c r="M511" s="158"/>
      <c r="N511" s="158"/>
      <c r="O511" s="158"/>
      <c r="P511" s="158"/>
      <c r="Q511" s="158"/>
      <c r="R511" s="159"/>
      <c r="S511" s="160"/>
      <c r="T511" s="162"/>
    </row>
    <row r="512">
      <c r="A512" s="158"/>
      <c r="B512" s="158"/>
      <c r="C512" s="158"/>
      <c r="D512" s="159"/>
      <c r="E512" s="160"/>
      <c r="F512" s="161"/>
      <c r="G512" s="162"/>
      <c r="H512" s="163"/>
      <c r="I512" s="162"/>
      <c r="J512" s="164"/>
      <c r="K512" s="164"/>
      <c r="L512" s="158"/>
      <c r="M512" s="158"/>
      <c r="N512" s="158"/>
      <c r="O512" s="158"/>
      <c r="P512" s="158"/>
      <c r="Q512" s="158"/>
      <c r="R512" s="159"/>
      <c r="S512" s="160"/>
      <c r="T512" s="162"/>
    </row>
    <row r="513">
      <c r="A513" s="158"/>
      <c r="B513" s="158"/>
      <c r="C513" s="158"/>
      <c r="D513" s="159"/>
      <c r="E513" s="160"/>
      <c r="F513" s="161"/>
      <c r="G513" s="162"/>
      <c r="H513" s="163"/>
      <c r="I513" s="162"/>
      <c r="J513" s="164"/>
      <c r="K513" s="164"/>
      <c r="L513" s="158"/>
      <c r="M513" s="158"/>
      <c r="N513" s="158"/>
      <c r="O513" s="158"/>
      <c r="P513" s="158"/>
      <c r="Q513" s="158"/>
      <c r="R513" s="159"/>
      <c r="S513" s="160"/>
      <c r="T513" s="162"/>
    </row>
    <row r="514">
      <c r="A514" s="158"/>
      <c r="B514" s="158"/>
      <c r="C514" s="158"/>
      <c r="D514" s="159"/>
      <c r="E514" s="160"/>
      <c r="F514" s="161"/>
      <c r="G514" s="162"/>
      <c r="H514" s="163"/>
      <c r="I514" s="162"/>
      <c r="J514" s="164"/>
      <c r="K514" s="164"/>
      <c r="L514" s="158"/>
      <c r="M514" s="158"/>
      <c r="N514" s="158"/>
      <c r="O514" s="158"/>
      <c r="P514" s="158"/>
      <c r="Q514" s="158"/>
      <c r="R514" s="159"/>
      <c r="S514" s="160"/>
      <c r="T514" s="162"/>
    </row>
    <row r="515">
      <c r="A515" s="158"/>
      <c r="B515" s="158"/>
      <c r="C515" s="158"/>
      <c r="D515" s="159"/>
      <c r="E515" s="160"/>
      <c r="F515" s="161"/>
      <c r="G515" s="162"/>
      <c r="H515" s="163"/>
      <c r="I515" s="162"/>
      <c r="J515" s="164"/>
      <c r="K515" s="164"/>
      <c r="L515" s="158"/>
      <c r="M515" s="158"/>
      <c r="N515" s="158"/>
      <c r="O515" s="158"/>
      <c r="P515" s="158"/>
      <c r="Q515" s="158"/>
      <c r="R515" s="159"/>
      <c r="S515" s="160"/>
      <c r="T515" s="162"/>
    </row>
    <row r="516">
      <c r="A516" s="158"/>
      <c r="B516" s="158"/>
      <c r="C516" s="158"/>
      <c r="D516" s="159"/>
      <c r="E516" s="160"/>
      <c r="F516" s="161"/>
      <c r="G516" s="162"/>
      <c r="H516" s="163"/>
      <c r="I516" s="162"/>
      <c r="J516" s="164"/>
      <c r="K516" s="164"/>
      <c r="L516" s="158"/>
      <c r="M516" s="158"/>
      <c r="N516" s="158"/>
      <c r="O516" s="158"/>
      <c r="P516" s="158"/>
      <c r="Q516" s="158"/>
      <c r="R516" s="159"/>
      <c r="S516" s="160"/>
      <c r="T516" s="162"/>
    </row>
    <row r="517">
      <c r="A517" s="158"/>
      <c r="B517" s="158"/>
      <c r="C517" s="158"/>
      <c r="D517" s="159"/>
      <c r="E517" s="160"/>
      <c r="F517" s="161"/>
      <c r="G517" s="162"/>
      <c r="H517" s="163"/>
      <c r="I517" s="162"/>
      <c r="J517" s="164"/>
      <c r="K517" s="164"/>
      <c r="L517" s="158"/>
      <c r="M517" s="158"/>
      <c r="N517" s="158"/>
      <c r="O517" s="158"/>
      <c r="P517" s="158"/>
      <c r="Q517" s="158"/>
      <c r="R517" s="159"/>
      <c r="S517" s="160"/>
      <c r="T517" s="162"/>
    </row>
    <row r="518">
      <c r="A518" s="158"/>
      <c r="B518" s="158"/>
      <c r="C518" s="158"/>
      <c r="D518" s="159"/>
      <c r="E518" s="160"/>
      <c r="F518" s="161"/>
      <c r="G518" s="162"/>
      <c r="H518" s="163"/>
      <c r="I518" s="162"/>
      <c r="J518" s="164"/>
      <c r="K518" s="164"/>
      <c r="L518" s="158"/>
      <c r="M518" s="158"/>
      <c r="N518" s="158"/>
      <c r="O518" s="158"/>
      <c r="P518" s="158"/>
      <c r="Q518" s="158"/>
      <c r="R518" s="159"/>
      <c r="S518" s="160"/>
      <c r="T518" s="162"/>
    </row>
    <row r="519">
      <c r="A519" s="158"/>
      <c r="B519" s="158"/>
      <c r="C519" s="158"/>
      <c r="D519" s="159"/>
      <c r="E519" s="160"/>
      <c r="F519" s="161"/>
      <c r="G519" s="162"/>
      <c r="H519" s="163"/>
      <c r="I519" s="162"/>
      <c r="J519" s="164"/>
      <c r="K519" s="164"/>
      <c r="L519" s="158"/>
      <c r="M519" s="158"/>
      <c r="N519" s="158"/>
      <c r="O519" s="158"/>
      <c r="P519" s="158"/>
      <c r="Q519" s="158"/>
      <c r="R519" s="159"/>
      <c r="S519" s="160"/>
      <c r="T519" s="162"/>
    </row>
    <row r="520">
      <c r="A520" s="158"/>
      <c r="B520" s="158"/>
      <c r="C520" s="158"/>
      <c r="D520" s="159"/>
      <c r="E520" s="160"/>
      <c r="F520" s="161"/>
      <c r="G520" s="162"/>
      <c r="H520" s="163"/>
      <c r="I520" s="162"/>
      <c r="J520" s="164"/>
      <c r="K520" s="164"/>
      <c r="L520" s="158"/>
      <c r="M520" s="158"/>
      <c r="N520" s="158"/>
      <c r="O520" s="158"/>
      <c r="P520" s="158"/>
      <c r="Q520" s="158"/>
      <c r="R520" s="159"/>
      <c r="S520" s="160"/>
      <c r="T520" s="162"/>
    </row>
    <row r="521">
      <c r="A521" s="158"/>
      <c r="B521" s="158"/>
      <c r="C521" s="158"/>
      <c r="D521" s="159"/>
      <c r="E521" s="160"/>
      <c r="F521" s="161"/>
      <c r="G521" s="162"/>
      <c r="H521" s="163"/>
      <c r="I521" s="162"/>
      <c r="J521" s="164"/>
      <c r="K521" s="164"/>
      <c r="L521" s="158"/>
      <c r="M521" s="158"/>
      <c r="N521" s="158"/>
      <c r="O521" s="158"/>
      <c r="P521" s="158"/>
      <c r="Q521" s="158"/>
      <c r="R521" s="159"/>
      <c r="S521" s="160"/>
      <c r="T521" s="162"/>
    </row>
    <row r="522">
      <c r="A522" s="158"/>
      <c r="B522" s="158"/>
      <c r="C522" s="158"/>
      <c r="D522" s="159"/>
      <c r="E522" s="160"/>
      <c r="F522" s="161"/>
      <c r="G522" s="162"/>
      <c r="H522" s="163"/>
      <c r="I522" s="162"/>
      <c r="J522" s="164"/>
      <c r="K522" s="164"/>
      <c r="L522" s="158"/>
      <c r="M522" s="158"/>
      <c r="N522" s="158"/>
      <c r="O522" s="158"/>
      <c r="P522" s="158"/>
      <c r="Q522" s="158"/>
      <c r="R522" s="159"/>
      <c r="S522" s="160"/>
      <c r="T522" s="162"/>
    </row>
    <row r="523">
      <c r="A523" s="158"/>
      <c r="B523" s="158"/>
      <c r="C523" s="158"/>
      <c r="D523" s="159"/>
      <c r="E523" s="160"/>
      <c r="F523" s="161"/>
      <c r="G523" s="162"/>
      <c r="H523" s="163"/>
      <c r="I523" s="162"/>
      <c r="J523" s="164"/>
      <c r="K523" s="164"/>
      <c r="L523" s="158"/>
      <c r="M523" s="158"/>
      <c r="N523" s="158"/>
      <c r="O523" s="158"/>
      <c r="P523" s="158"/>
      <c r="Q523" s="158"/>
      <c r="R523" s="159"/>
      <c r="S523" s="160"/>
      <c r="T523" s="162"/>
    </row>
    <row r="524">
      <c r="A524" s="158"/>
      <c r="B524" s="158"/>
      <c r="C524" s="158"/>
      <c r="D524" s="159"/>
      <c r="E524" s="160"/>
      <c r="F524" s="161"/>
      <c r="G524" s="162"/>
      <c r="H524" s="163"/>
      <c r="I524" s="162"/>
      <c r="J524" s="164"/>
      <c r="K524" s="164"/>
      <c r="L524" s="158"/>
      <c r="M524" s="158"/>
      <c r="N524" s="158"/>
      <c r="O524" s="158"/>
      <c r="P524" s="158"/>
      <c r="Q524" s="158"/>
      <c r="R524" s="159"/>
      <c r="S524" s="160"/>
      <c r="T524" s="162"/>
    </row>
    <row r="525">
      <c r="A525" s="158"/>
      <c r="B525" s="158"/>
      <c r="C525" s="158"/>
      <c r="D525" s="159"/>
      <c r="E525" s="160"/>
      <c r="F525" s="161"/>
      <c r="G525" s="162"/>
      <c r="H525" s="163"/>
      <c r="I525" s="162"/>
      <c r="J525" s="164"/>
      <c r="K525" s="164"/>
      <c r="L525" s="158"/>
      <c r="M525" s="158"/>
      <c r="N525" s="158"/>
      <c r="O525" s="158"/>
      <c r="P525" s="158"/>
      <c r="Q525" s="158"/>
      <c r="R525" s="159"/>
      <c r="S525" s="160"/>
      <c r="T525" s="162"/>
    </row>
    <row r="526">
      <c r="A526" s="158"/>
      <c r="B526" s="158"/>
      <c r="C526" s="158"/>
      <c r="D526" s="159"/>
      <c r="E526" s="160"/>
      <c r="F526" s="161"/>
      <c r="G526" s="162"/>
      <c r="H526" s="163"/>
      <c r="I526" s="162"/>
      <c r="J526" s="164"/>
      <c r="K526" s="164"/>
      <c r="L526" s="158"/>
      <c r="M526" s="158"/>
      <c r="N526" s="158"/>
      <c r="O526" s="158"/>
      <c r="P526" s="158"/>
      <c r="Q526" s="158"/>
      <c r="R526" s="159"/>
      <c r="S526" s="160"/>
      <c r="T526" s="162"/>
    </row>
    <row r="527">
      <c r="A527" s="158"/>
      <c r="B527" s="158"/>
      <c r="C527" s="158"/>
      <c r="D527" s="159"/>
      <c r="E527" s="160"/>
      <c r="F527" s="161"/>
      <c r="G527" s="162"/>
      <c r="H527" s="163"/>
      <c r="I527" s="162"/>
      <c r="J527" s="164"/>
      <c r="K527" s="164"/>
      <c r="L527" s="158"/>
      <c r="M527" s="158"/>
      <c r="N527" s="158"/>
      <c r="O527" s="158"/>
      <c r="P527" s="158"/>
      <c r="Q527" s="158"/>
      <c r="R527" s="159"/>
      <c r="S527" s="160"/>
      <c r="T527" s="162"/>
    </row>
    <row r="528">
      <c r="A528" s="158"/>
      <c r="B528" s="158"/>
      <c r="C528" s="158"/>
      <c r="D528" s="159"/>
      <c r="E528" s="160"/>
      <c r="F528" s="161"/>
      <c r="G528" s="162"/>
      <c r="H528" s="163"/>
      <c r="I528" s="162"/>
      <c r="J528" s="164"/>
      <c r="K528" s="164"/>
      <c r="L528" s="158"/>
      <c r="M528" s="158"/>
      <c r="N528" s="158"/>
      <c r="O528" s="158"/>
      <c r="P528" s="158"/>
      <c r="Q528" s="158"/>
      <c r="R528" s="159"/>
      <c r="S528" s="160"/>
      <c r="T528" s="162"/>
    </row>
    <row r="529">
      <c r="A529" s="158"/>
      <c r="B529" s="158"/>
      <c r="C529" s="158"/>
      <c r="D529" s="159"/>
      <c r="E529" s="160"/>
      <c r="F529" s="161"/>
      <c r="G529" s="162"/>
      <c r="H529" s="163"/>
      <c r="I529" s="162"/>
      <c r="J529" s="164"/>
      <c r="K529" s="164"/>
      <c r="L529" s="158"/>
      <c r="M529" s="158"/>
      <c r="N529" s="158"/>
      <c r="O529" s="158"/>
      <c r="P529" s="158"/>
      <c r="Q529" s="158"/>
      <c r="R529" s="159"/>
      <c r="S529" s="160"/>
      <c r="T529" s="162"/>
    </row>
    <row r="530">
      <c r="A530" s="158"/>
      <c r="B530" s="158"/>
      <c r="C530" s="158"/>
      <c r="D530" s="159"/>
      <c r="E530" s="160"/>
      <c r="F530" s="161"/>
      <c r="G530" s="162"/>
      <c r="H530" s="163"/>
      <c r="I530" s="162"/>
      <c r="J530" s="164"/>
      <c r="K530" s="164"/>
      <c r="L530" s="158"/>
      <c r="M530" s="158"/>
      <c r="N530" s="158"/>
      <c r="O530" s="158"/>
      <c r="P530" s="158"/>
      <c r="Q530" s="158"/>
      <c r="R530" s="159"/>
      <c r="S530" s="160"/>
      <c r="T530" s="162"/>
    </row>
    <row r="531">
      <c r="A531" s="158"/>
      <c r="B531" s="158"/>
      <c r="C531" s="158"/>
      <c r="D531" s="159"/>
      <c r="E531" s="160"/>
      <c r="F531" s="161"/>
      <c r="G531" s="162"/>
      <c r="H531" s="163"/>
      <c r="I531" s="162"/>
      <c r="J531" s="164"/>
      <c r="K531" s="164"/>
      <c r="L531" s="158"/>
      <c r="M531" s="158"/>
      <c r="N531" s="158"/>
      <c r="O531" s="158"/>
      <c r="P531" s="158"/>
      <c r="Q531" s="158"/>
      <c r="R531" s="159"/>
      <c r="S531" s="160"/>
      <c r="T531" s="162"/>
    </row>
    <row r="532">
      <c r="A532" s="158"/>
      <c r="B532" s="158"/>
      <c r="C532" s="158"/>
      <c r="D532" s="159"/>
      <c r="E532" s="160"/>
      <c r="F532" s="161"/>
      <c r="G532" s="162"/>
      <c r="H532" s="163"/>
      <c r="I532" s="162"/>
      <c r="J532" s="164"/>
      <c r="K532" s="164"/>
      <c r="L532" s="158"/>
      <c r="M532" s="158"/>
      <c r="N532" s="158"/>
      <c r="O532" s="158"/>
      <c r="P532" s="158"/>
      <c r="Q532" s="158"/>
      <c r="R532" s="159"/>
      <c r="S532" s="160"/>
      <c r="T532" s="162"/>
    </row>
    <row r="533">
      <c r="A533" s="158"/>
      <c r="B533" s="158"/>
      <c r="C533" s="158"/>
      <c r="D533" s="159"/>
      <c r="E533" s="160"/>
      <c r="F533" s="161"/>
      <c r="G533" s="162"/>
      <c r="H533" s="163"/>
      <c r="I533" s="162"/>
      <c r="J533" s="164"/>
      <c r="K533" s="164"/>
      <c r="L533" s="158"/>
      <c r="M533" s="158"/>
      <c r="N533" s="158"/>
      <c r="O533" s="158"/>
      <c r="P533" s="158"/>
      <c r="Q533" s="158"/>
      <c r="R533" s="159"/>
      <c r="S533" s="160"/>
      <c r="T533" s="162"/>
    </row>
    <row r="534">
      <c r="A534" s="158"/>
      <c r="B534" s="158"/>
      <c r="C534" s="158"/>
      <c r="D534" s="159"/>
      <c r="E534" s="160"/>
      <c r="F534" s="161"/>
      <c r="G534" s="162"/>
      <c r="H534" s="163"/>
      <c r="I534" s="162"/>
      <c r="J534" s="164"/>
      <c r="K534" s="164"/>
      <c r="L534" s="158"/>
      <c r="M534" s="158"/>
      <c r="N534" s="158"/>
      <c r="O534" s="158"/>
      <c r="P534" s="158"/>
      <c r="Q534" s="158"/>
      <c r="R534" s="159"/>
      <c r="S534" s="160"/>
      <c r="T534" s="162"/>
    </row>
    <row r="535">
      <c r="A535" s="158"/>
      <c r="B535" s="158"/>
      <c r="C535" s="158"/>
      <c r="D535" s="159"/>
      <c r="E535" s="160"/>
      <c r="F535" s="161"/>
      <c r="G535" s="162"/>
      <c r="H535" s="163"/>
      <c r="I535" s="162"/>
      <c r="J535" s="164"/>
      <c r="K535" s="164"/>
      <c r="L535" s="158"/>
      <c r="M535" s="158"/>
      <c r="N535" s="158"/>
      <c r="O535" s="158"/>
      <c r="P535" s="158"/>
      <c r="Q535" s="158"/>
      <c r="R535" s="159"/>
      <c r="S535" s="160"/>
      <c r="T535" s="162"/>
    </row>
    <row r="536">
      <c r="A536" s="158"/>
      <c r="B536" s="158"/>
      <c r="C536" s="158"/>
      <c r="D536" s="159"/>
      <c r="E536" s="160"/>
      <c r="F536" s="161"/>
      <c r="G536" s="162"/>
      <c r="H536" s="163"/>
      <c r="I536" s="162"/>
      <c r="J536" s="164"/>
      <c r="K536" s="164"/>
      <c r="L536" s="158"/>
      <c r="M536" s="158"/>
      <c r="N536" s="158"/>
      <c r="O536" s="158"/>
      <c r="P536" s="158"/>
      <c r="Q536" s="158"/>
      <c r="R536" s="159"/>
      <c r="S536" s="160"/>
      <c r="T536" s="162"/>
    </row>
    <row r="537">
      <c r="A537" s="158"/>
      <c r="B537" s="158"/>
      <c r="C537" s="158"/>
      <c r="D537" s="159"/>
      <c r="E537" s="160"/>
      <c r="F537" s="161"/>
      <c r="G537" s="162"/>
      <c r="H537" s="163"/>
      <c r="I537" s="162"/>
      <c r="J537" s="164"/>
      <c r="K537" s="164"/>
      <c r="L537" s="158"/>
      <c r="M537" s="158"/>
      <c r="N537" s="158"/>
      <c r="O537" s="158"/>
      <c r="P537" s="158"/>
      <c r="Q537" s="158"/>
      <c r="R537" s="159"/>
      <c r="S537" s="160"/>
      <c r="T537" s="162"/>
    </row>
    <row r="538">
      <c r="A538" s="158"/>
      <c r="B538" s="158"/>
      <c r="C538" s="158"/>
      <c r="D538" s="159"/>
      <c r="E538" s="160"/>
      <c r="F538" s="161"/>
      <c r="G538" s="162"/>
      <c r="H538" s="163"/>
      <c r="I538" s="162"/>
      <c r="J538" s="164"/>
      <c r="K538" s="164"/>
      <c r="L538" s="158"/>
      <c r="M538" s="158"/>
      <c r="N538" s="158"/>
      <c r="O538" s="158"/>
      <c r="P538" s="158"/>
      <c r="Q538" s="158"/>
      <c r="R538" s="159"/>
      <c r="S538" s="160"/>
      <c r="T538" s="162"/>
    </row>
    <row r="539">
      <c r="A539" s="158"/>
      <c r="B539" s="158"/>
      <c r="C539" s="158"/>
      <c r="D539" s="159"/>
      <c r="E539" s="160"/>
      <c r="F539" s="161"/>
      <c r="G539" s="162"/>
      <c r="H539" s="163"/>
      <c r="I539" s="162"/>
      <c r="J539" s="164"/>
      <c r="K539" s="164"/>
      <c r="L539" s="158"/>
      <c r="M539" s="158"/>
      <c r="N539" s="158"/>
      <c r="O539" s="158"/>
      <c r="P539" s="158"/>
      <c r="Q539" s="158"/>
      <c r="R539" s="159"/>
      <c r="S539" s="160"/>
      <c r="T539" s="162"/>
    </row>
    <row r="540">
      <c r="A540" s="158"/>
      <c r="B540" s="158"/>
      <c r="C540" s="158"/>
      <c r="D540" s="159"/>
      <c r="E540" s="160"/>
      <c r="F540" s="161"/>
      <c r="G540" s="162"/>
      <c r="H540" s="163"/>
      <c r="I540" s="162"/>
      <c r="J540" s="164"/>
      <c r="K540" s="164"/>
      <c r="L540" s="158"/>
      <c r="M540" s="158"/>
      <c r="N540" s="158"/>
      <c r="O540" s="158"/>
      <c r="P540" s="158"/>
      <c r="Q540" s="158"/>
      <c r="R540" s="159"/>
      <c r="S540" s="160"/>
      <c r="T540" s="162"/>
    </row>
    <row r="541">
      <c r="A541" s="158"/>
      <c r="B541" s="158"/>
      <c r="C541" s="158"/>
      <c r="D541" s="159"/>
      <c r="E541" s="160"/>
      <c r="F541" s="161"/>
      <c r="G541" s="162"/>
      <c r="H541" s="163"/>
      <c r="I541" s="162"/>
      <c r="J541" s="164"/>
      <c r="K541" s="164"/>
      <c r="L541" s="158"/>
      <c r="M541" s="158"/>
      <c r="N541" s="158"/>
      <c r="O541" s="158"/>
      <c r="P541" s="158"/>
      <c r="Q541" s="158"/>
      <c r="R541" s="159"/>
      <c r="S541" s="160"/>
      <c r="T541" s="162"/>
    </row>
    <row r="542">
      <c r="A542" s="158"/>
      <c r="B542" s="158"/>
      <c r="C542" s="158"/>
      <c r="D542" s="159"/>
      <c r="E542" s="160"/>
      <c r="F542" s="161"/>
      <c r="G542" s="162"/>
      <c r="H542" s="163"/>
      <c r="I542" s="162"/>
      <c r="J542" s="164"/>
      <c r="K542" s="164"/>
      <c r="L542" s="158"/>
      <c r="M542" s="158"/>
      <c r="N542" s="158"/>
      <c r="O542" s="158"/>
      <c r="P542" s="158"/>
      <c r="Q542" s="158"/>
      <c r="R542" s="159"/>
      <c r="S542" s="160"/>
      <c r="T542" s="162"/>
    </row>
    <row r="543">
      <c r="A543" s="158"/>
      <c r="B543" s="158"/>
      <c r="C543" s="158"/>
      <c r="D543" s="159"/>
      <c r="E543" s="160"/>
      <c r="F543" s="161"/>
      <c r="G543" s="162"/>
      <c r="H543" s="163"/>
      <c r="I543" s="162"/>
      <c r="J543" s="164"/>
      <c r="K543" s="164"/>
      <c r="L543" s="158"/>
      <c r="M543" s="158"/>
      <c r="N543" s="158"/>
      <c r="O543" s="158"/>
      <c r="P543" s="158"/>
      <c r="Q543" s="158"/>
      <c r="R543" s="159"/>
      <c r="S543" s="160"/>
      <c r="T543" s="162"/>
    </row>
    <row r="544">
      <c r="A544" s="158"/>
      <c r="B544" s="158"/>
      <c r="C544" s="158"/>
      <c r="D544" s="159"/>
      <c r="E544" s="160"/>
      <c r="F544" s="161"/>
      <c r="G544" s="162"/>
      <c r="H544" s="163"/>
      <c r="I544" s="162"/>
      <c r="J544" s="164"/>
      <c r="K544" s="164"/>
      <c r="L544" s="158"/>
      <c r="M544" s="158"/>
      <c r="N544" s="158"/>
      <c r="O544" s="158"/>
      <c r="P544" s="158"/>
      <c r="Q544" s="158"/>
      <c r="R544" s="159"/>
      <c r="S544" s="160"/>
      <c r="T544" s="162"/>
    </row>
    <row r="545">
      <c r="A545" s="158"/>
      <c r="B545" s="158"/>
      <c r="C545" s="158"/>
      <c r="D545" s="159"/>
      <c r="E545" s="160"/>
      <c r="F545" s="161"/>
      <c r="G545" s="162"/>
      <c r="H545" s="163"/>
      <c r="I545" s="162"/>
      <c r="J545" s="164"/>
      <c r="K545" s="164"/>
      <c r="L545" s="158"/>
      <c r="M545" s="158"/>
      <c r="N545" s="158"/>
      <c r="O545" s="158"/>
      <c r="P545" s="158"/>
      <c r="Q545" s="158"/>
      <c r="R545" s="159"/>
      <c r="S545" s="160"/>
      <c r="T545" s="162"/>
    </row>
    <row r="546">
      <c r="A546" s="158"/>
      <c r="B546" s="158"/>
      <c r="C546" s="158"/>
      <c r="D546" s="159"/>
      <c r="E546" s="160"/>
      <c r="F546" s="161"/>
      <c r="G546" s="162"/>
      <c r="H546" s="163"/>
      <c r="I546" s="162"/>
      <c r="J546" s="164"/>
      <c r="K546" s="164"/>
      <c r="L546" s="158"/>
      <c r="M546" s="158"/>
      <c r="N546" s="158"/>
      <c r="O546" s="158"/>
      <c r="P546" s="158"/>
      <c r="Q546" s="158"/>
      <c r="R546" s="159"/>
      <c r="S546" s="160"/>
      <c r="T546" s="162"/>
    </row>
    <row r="547">
      <c r="A547" s="158"/>
      <c r="B547" s="158"/>
      <c r="C547" s="158"/>
      <c r="D547" s="159"/>
      <c r="E547" s="160"/>
      <c r="F547" s="161"/>
      <c r="G547" s="162"/>
      <c r="H547" s="163"/>
      <c r="I547" s="162"/>
      <c r="J547" s="164"/>
      <c r="K547" s="164"/>
      <c r="L547" s="158"/>
      <c r="M547" s="158"/>
      <c r="N547" s="158"/>
      <c r="O547" s="158"/>
      <c r="P547" s="158"/>
      <c r="Q547" s="158"/>
      <c r="R547" s="159"/>
      <c r="S547" s="160"/>
      <c r="T547" s="162"/>
    </row>
    <row r="548">
      <c r="A548" s="158"/>
      <c r="B548" s="158"/>
      <c r="C548" s="158"/>
      <c r="D548" s="159"/>
      <c r="E548" s="160"/>
      <c r="F548" s="161"/>
      <c r="G548" s="162"/>
      <c r="H548" s="163"/>
      <c r="I548" s="162"/>
      <c r="J548" s="164"/>
      <c r="K548" s="164"/>
      <c r="L548" s="158"/>
      <c r="M548" s="158"/>
      <c r="N548" s="158"/>
      <c r="O548" s="158"/>
      <c r="P548" s="158"/>
      <c r="Q548" s="158"/>
      <c r="R548" s="159"/>
      <c r="S548" s="160"/>
      <c r="T548" s="162"/>
    </row>
    <row r="549">
      <c r="A549" s="158"/>
      <c r="B549" s="158"/>
      <c r="C549" s="158"/>
      <c r="D549" s="159"/>
      <c r="E549" s="160"/>
      <c r="F549" s="161"/>
      <c r="G549" s="162"/>
      <c r="H549" s="163"/>
      <c r="I549" s="162"/>
      <c r="J549" s="164"/>
      <c r="K549" s="164"/>
      <c r="L549" s="158"/>
      <c r="M549" s="158"/>
      <c r="N549" s="158"/>
      <c r="O549" s="158"/>
      <c r="P549" s="158"/>
      <c r="Q549" s="158"/>
      <c r="R549" s="159"/>
      <c r="S549" s="160"/>
      <c r="T549" s="162"/>
    </row>
    <row r="550">
      <c r="A550" s="158"/>
      <c r="B550" s="158"/>
      <c r="C550" s="158"/>
      <c r="D550" s="159"/>
      <c r="E550" s="160"/>
      <c r="F550" s="161"/>
      <c r="G550" s="162"/>
      <c r="H550" s="163"/>
      <c r="I550" s="162"/>
      <c r="J550" s="164"/>
      <c r="K550" s="164"/>
      <c r="L550" s="158"/>
      <c r="M550" s="158"/>
      <c r="N550" s="158"/>
      <c r="O550" s="158"/>
      <c r="P550" s="158"/>
      <c r="Q550" s="158"/>
      <c r="R550" s="159"/>
      <c r="S550" s="160"/>
      <c r="T550" s="162"/>
    </row>
    <row r="551">
      <c r="A551" s="158"/>
      <c r="B551" s="158"/>
      <c r="C551" s="158"/>
      <c r="D551" s="159"/>
      <c r="E551" s="160"/>
      <c r="F551" s="161"/>
      <c r="G551" s="162"/>
      <c r="H551" s="163"/>
      <c r="I551" s="162"/>
      <c r="J551" s="164"/>
      <c r="K551" s="164"/>
      <c r="L551" s="158"/>
      <c r="M551" s="158"/>
      <c r="N551" s="158"/>
      <c r="O551" s="158"/>
      <c r="P551" s="158"/>
      <c r="Q551" s="158"/>
      <c r="R551" s="159"/>
      <c r="S551" s="160"/>
      <c r="T551" s="162"/>
    </row>
    <row r="552">
      <c r="A552" s="158"/>
      <c r="B552" s="158"/>
      <c r="C552" s="158"/>
      <c r="D552" s="159"/>
      <c r="E552" s="160"/>
      <c r="F552" s="161"/>
      <c r="G552" s="162"/>
      <c r="H552" s="163"/>
      <c r="I552" s="162"/>
      <c r="J552" s="164"/>
      <c r="K552" s="164"/>
      <c r="L552" s="158"/>
      <c r="M552" s="158"/>
      <c r="N552" s="158"/>
      <c r="O552" s="158"/>
      <c r="P552" s="158"/>
      <c r="Q552" s="158"/>
      <c r="R552" s="159"/>
      <c r="S552" s="160"/>
      <c r="T552" s="162"/>
    </row>
    <row r="553">
      <c r="A553" s="158"/>
      <c r="B553" s="158"/>
      <c r="C553" s="158"/>
      <c r="D553" s="159"/>
      <c r="E553" s="160"/>
      <c r="F553" s="161"/>
      <c r="G553" s="162"/>
      <c r="H553" s="163"/>
      <c r="I553" s="162"/>
      <c r="J553" s="164"/>
      <c r="K553" s="164"/>
      <c r="L553" s="158"/>
      <c r="M553" s="158"/>
      <c r="N553" s="158"/>
      <c r="O553" s="158"/>
      <c r="P553" s="158"/>
      <c r="Q553" s="158"/>
      <c r="R553" s="159"/>
      <c r="S553" s="160"/>
      <c r="T553" s="162"/>
    </row>
    <row r="554">
      <c r="A554" s="158"/>
      <c r="B554" s="158"/>
      <c r="C554" s="158"/>
      <c r="D554" s="159"/>
      <c r="E554" s="160"/>
      <c r="F554" s="161"/>
      <c r="G554" s="162"/>
      <c r="H554" s="163"/>
      <c r="I554" s="162"/>
      <c r="J554" s="164"/>
      <c r="K554" s="164"/>
      <c r="L554" s="158"/>
      <c r="M554" s="158"/>
      <c r="N554" s="158"/>
      <c r="O554" s="158"/>
      <c r="P554" s="158"/>
      <c r="Q554" s="158"/>
      <c r="R554" s="159"/>
      <c r="S554" s="160"/>
      <c r="T554" s="162"/>
    </row>
    <row r="555">
      <c r="A555" s="158"/>
      <c r="B555" s="158"/>
      <c r="C555" s="158"/>
      <c r="D555" s="159"/>
      <c r="E555" s="160"/>
      <c r="F555" s="161"/>
      <c r="G555" s="162"/>
      <c r="H555" s="163"/>
      <c r="I555" s="162"/>
      <c r="J555" s="164"/>
      <c r="K555" s="164"/>
      <c r="L555" s="158"/>
      <c r="M555" s="158"/>
      <c r="N555" s="158"/>
      <c r="O555" s="158"/>
      <c r="P555" s="158"/>
      <c r="Q555" s="158"/>
      <c r="R555" s="159"/>
      <c r="S555" s="160"/>
      <c r="T555" s="162"/>
    </row>
    <row r="556">
      <c r="A556" s="158"/>
      <c r="B556" s="158"/>
      <c r="C556" s="158"/>
      <c r="D556" s="159"/>
      <c r="E556" s="160"/>
      <c r="F556" s="161"/>
      <c r="G556" s="162"/>
      <c r="H556" s="163"/>
      <c r="I556" s="162"/>
      <c r="J556" s="164"/>
      <c r="K556" s="164"/>
      <c r="L556" s="158"/>
      <c r="M556" s="158"/>
      <c r="N556" s="158"/>
      <c r="O556" s="158"/>
      <c r="P556" s="158"/>
      <c r="Q556" s="158"/>
      <c r="R556" s="159"/>
      <c r="S556" s="160"/>
      <c r="T556" s="162"/>
    </row>
    <row r="557">
      <c r="A557" s="158"/>
      <c r="B557" s="158"/>
      <c r="C557" s="158"/>
      <c r="D557" s="159"/>
      <c r="E557" s="160"/>
      <c r="F557" s="161"/>
      <c r="G557" s="162"/>
      <c r="H557" s="163"/>
      <c r="I557" s="162"/>
      <c r="J557" s="164"/>
      <c r="K557" s="164"/>
      <c r="L557" s="158"/>
      <c r="M557" s="158"/>
      <c r="N557" s="158"/>
      <c r="O557" s="158"/>
      <c r="P557" s="158"/>
      <c r="Q557" s="158"/>
      <c r="R557" s="159"/>
      <c r="S557" s="160"/>
      <c r="T557" s="162"/>
    </row>
    <row r="558">
      <c r="A558" s="158"/>
      <c r="B558" s="158"/>
      <c r="C558" s="158"/>
      <c r="D558" s="159"/>
      <c r="E558" s="160"/>
      <c r="F558" s="161"/>
      <c r="G558" s="162"/>
      <c r="H558" s="163"/>
      <c r="I558" s="162"/>
      <c r="J558" s="164"/>
      <c r="K558" s="164"/>
      <c r="L558" s="158"/>
      <c r="M558" s="158"/>
      <c r="N558" s="158"/>
      <c r="O558" s="158"/>
      <c r="P558" s="158"/>
      <c r="Q558" s="158"/>
      <c r="R558" s="159"/>
      <c r="S558" s="160"/>
      <c r="T558" s="162"/>
    </row>
    <row r="559">
      <c r="A559" s="158"/>
      <c r="B559" s="158"/>
      <c r="C559" s="158"/>
      <c r="D559" s="159"/>
      <c r="E559" s="160"/>
      <c r="F559" s="161"/>
      <c r="G559" s="162"/>
      <c r="H559" s="163"/>
      <c r="I559" s="162"/>
      <c r="J559" s="164"/>
      <c r="K559" s="164"/>
      <c r="L559" s="158"/>
      <c r="M559" s="158"/>
      <c r="N559" s="158"/>
      <c r="O559" s="158"/>
      <c r="P559" s="158"/>
      <c r="Q559" s="158"/>
      <c r="R559" s="159"/>
      <c r="S559" s="160"/>
      <c r="T559" s="162"/>
    </row>
    <row r="560">
      <c r="A560" s="158"/>
      <c r="B560" s="158"/>
      <c r="C560" s="158"/>
      <c r="D560" s="159"/>
      <c r="E560" s="160"/>
      <c r="F560" s="161"/>
      <c r="G560" s="162"/>
      <c r="H560" s="163"/>
      <c r="I560" s="162"/>
      <c r="J560" s="164"/>
      <c r="K560" s="164"/>
      <c r="L560" s="158"/>
      <c r="M560" s="158"/>
      <c r="N560" s="158"/>
      <c r="O560" s="158"/>
      <c r="P560" s="158"/>
      <c r="Q560" s="158"/>
      <c r="R560" s="159"/>
      <c r="S560" s="160"/>
      <c r="T560" s="162"/>
    </row>
    <row r="561">
      <c r="A561" s="158"/>
      <c r="B561" s="158"/>
      <c r="C561" s="158"/>
      <c r="D561" s="159"/>
      <c r="E561" s="160"/>
      <c r="F561" s="161"/>
      <c r="G561" s="162"/>
      <c r="H561" s="163"/>
      <c r="I561" s="162"/>
      <c r="J561" s="164"/>
      <c r="K561" s="164"/>
      <c r="L561" s="158"/>
      <c r="M561" s="158"/>
      <c r="N561" s="158"/>
      <c r="O561" s="158"/>
      <c r="P561" s="158"/>
      <c r="Q561" s="158"/>
      <c r="R561" s="159"/>
      <c r="S561" s="160"/>
      <c r="T561" s="162"/>
    </row>
    <row r="562">
      <c r="A562" s="158"/>
      <c r="B562" s="158"/>
      <c r="C562" s="158"/>
      <c r="D562" s="159"/>
      <c r="E562" s="160"/>
      <c r="F562" s="161"/>
      <c r="G562" s="162"/>
      <c r="H562" s="163"/>
      <c r="I562" s="162"/>
      <c r="J562" s="164"/>
      <c r="K562" s="164"/>
      <c r="L562" s="158"/>
      <c r="M562" s="158"/>
      <c r="N562" s="158"/>
      <c r="O562" s="158"/>
      <c r="P562" s="158"/>
      <c r="Q562" s="158"/>
      <c r="R562" s="159"/>
      <c r="S562" s="160"/>
      <c r="T562" s="162"/>
    </row>
    <row r="563">
      <c r="A563" s="158"/>
      <c r="B563" s="158"/>
      <c r="C563" s="158"/>
      <c r="D563" s="159"/>
      <c r="E563" s="160"/>
      <c r="F563" s="161"/>
      <c r="G563" s="162"/>
      <c r="H563" s="163"/>
      <c r="I563" s="162"/>
      <c r="J563" s="164"/>
      <c r="K563" s="164"/>
      <c r="L563" s="158"/>
      <c r="M563" s="158"/>
      <c r="N563" s="158"/>
      <c r="O563" s="158"/>
      <c r="P563" s="158"/>
      <c r="Q563" s="158"/>
      <c r="R563" s="159"/>
      <c r="S563" s="160"/>
      <c r="T563" s="162"/>
    </row>
    <row r="564">
      <c r="A564" s="158"/>
      <c r="B564" s="158"/>
      <c r="C564" s="158"/>
      <c r="D564" s="159"/>
      <c r="E564" s="160"/>
      <c r="F564" s="161"/>
      <c r="G564" s="162"/>
      <c r="H564" s="163"/>
      <c r="I564" s="162"/>
      <c r="J564" s="164"/>
      <c r="K564" s="164"/>
      <c r="L564" s="158"/>
      <c r="M564" s="158"/>
      <c r="N564" s="158"/>
      <c r="O564" s="158"/>
      <c r="P564" s="158"/>
      <c r="Q564" s="158"/>
      <c r="R564" s="159"/>
      <c r="S564" s="160"/>
      <c r="T564" s="162"/>
    </row>
    <row r="565">
      <c r="A565" s="158"/>
      <c r="B565" s="158"/>
      <c r="C565" s="158"/>
      <c r="D565" s="159"/>
      <c r="E565" s="160"/>
      <c r="F565" s="161"/>
      <c r="G565" s="162"/>
      <c r="H565" s="163"/>
      <c r="I565" s="162"/>
      <c r="J565" s="164"/>
      <c r="K565" s="164"/>
      <c r="L565" s="158"/>
      <c r="M565" s="158"/>
      <c r="N565" s="158"/>
      <c r="O565" s="158"/>
      <c r="P565" s="158"/>
      <c r="Q565" s="158"/>
      <c r="R565" s="159"/>
      <c r="S565" s="160"/>
      <c r="T565" s="162"/>
    </row>
    <row r="566">
      <c r="A566" s="158"/>
      <c r="B566" s="158"/>
      <c r="C566" s="158"/>
      <c r="D566" s="159"/>
      <c r="E566" s="160"/>
      <c r="F566" s="161"/>
      <c r="G566" s="162"/>
      <c r="H566" s="163"/>
      <c r="I566" s="162"/>
      <c r="J566" s="164"/>
      <c r="K566" s="164"/>
      <c r="L566" s="158"/>
      <c r="M566" s="158"/>
      <c r="N566" s="158"/>
      <c r="O566" s="158"/>
      <c r="P566" s="158"/>
      <c r="Q566" s="158"/>
      <c r="R566" s="159"/>
      <c r="S566" s="160"/>
      <c r="T566" s="162"/>
    </row>
    <row r="567">
      <c r="A567" s="158"/>
      <c r="B567" s="158"/>
      <c r="C567" s="158"/>
      <c r="D567" s="159"/>
      <c r="E567" s="160"/>
      <c r="F567" s="161"/>
      <c r="G567" s="162"/>
      <c r="H567" s="163"/>
      <c r="I567" s="162"/>
      <c r="J567" s="164"/>
      <c r="K567" s="164"/>
      <c r="L567" s="158"/>
      <c r="M567" s="158"/>
      <c r="N567" s="158"/>
      <c r="O567" s="158"/>
      <c r="P567" s="158"/>
      <c r="Q567" s="158"/>
      <c r="R567" s="159"/>
      <c r="S567" s="160"/>
      <c r="T567" s="162"/>
    </row>
    <row r="568">
      <c r="A568" s="158"/>
      <c r="B568" s="158"/>
      <c r="C568" s="158"/>
      <c r="D568" s="159"/>
      <c r="E568" s="160"/>
      <c r="F568" s="161"/>
      <c r="G568" s="162"/>
      <c r="H568" s="163"/>
      <c r="I568" s="162"/>
      <c r="J568" s="164"/>
      <c r="K568" s="164"/>
      <c r="L568" s="158"/>
      <c r="M568" s="158"/>
      <c r="N568" s="158"/>
      <c r="O568" s="158"/>
      <c r="P568" s="158"/>
      <c r="Q568" s="158"/>
      <c r="R568" s="159"/>
      <c r="S568" s="160"/>
      <c r="T568" s="162"/>
    </row>
    <row r="569">
      <c r="A569" s="158"/>
      <c r="B569" s="158"/>
      <c r="C569" s="158"/>
      <c r="D569" s="159"/>
      <c r="E569" s="160"/>
      <c r="F569" s="161"/>
      <c r="G569" s="162"/>
      <c r="H569" s="163"/>
      <c r="I569" s="162"/>
      <c r="J569" s="164"/>
      <c r="K569" s="164"/>
      <c r="L569" s="158"/>
      <c r="M569" s="158"/>
      <c r="N569" s="158"/>
      <c r="O569" s="158"/>
      <c r="P569" s="158"/>
      <c r="Q569" s="158"/>
      <c r="R569" s="159"/>
      <c r="S569" s="160"/>
      <c r="T569" s="162"/>
    </row>
    <row r="570">
      <c r="A570" s="158"/>
      <c r="B570" s="158"/>
      <c r="C570" s="158"/>
      <c r="D570" s="159"/>
      <c r="E570" s="160"/>
      <c r="F570" s="161"/>
      <c r="G570" s="162"/>
      <c r="H570" s="163"/>
      <c r="I570" s="162"/>
      <c r="J570" s="164"/>
      <c r="K570" s="164"/>
      <c r="L570" s="158"/>
      <c r="M570" s="158"/>
      <c r="N570" s="158"/>
      <c r="O570" s="158"/>
      <c r="P570" s="158"/>
      <c r="Q570" s="158"/>
      <c r="R570" s="159"/>
      <c r="S570" s="160"/>
      <c r="T570" s="162"/>
    </row>
    <row r="571">
      <c r="A571" s="158"/>
      <c r="B571" s="158"/>
      <c r="C571" s="158"/>
      <c r="D571" s="159"/>
      <c r="E571" s="160"/>
      <c r="F571" s="161"/>
      <c r="G571" s="162"/>
      <c r="H571" s="163"/>
      <c r="I571" s="162"/>
      <c r="J571" s="164"/>
      <c r="K571" s="164"/>
      <c r="L571" s="158"/>
      <c r="M571" s="158"/>
      <c r="N571" s="158"/>
      <c r="O571" s="158"/>
      <c r="P571" s="158"/>
      <c r="Q571" s="158"/>
      <c r="R571" s="159"/>
      <c r="S571" s="160"/>
      <c r="T571" s="162"/>
    </row>
    <row r="572">
      <c r="A572" s="158"/>
      <c r="B572" s="158"/>
      <c r="C572" s="158"/>
      <c r="D572" s="159"/>
      <c r="E572" s="160"/>
      <c r="F572" s="161"/>
      <c r="G572" s="162"/>
      <c r="H572" s="163"/>
      <c r="I572" s="162"/>
      <c r="J572" s="164"/>
      <c r="K572" s="164"/>
      <c r="L572" s="158"/>
      <c r="M572" s="158"/>
      <c r="N572" s="158"/>
      <c r="O572" s="158"/>
      <c r="P572" s="158"/>
      <c r="Q572" s="158"/>
      <c r="R572" s="159"/>
      <c r="S572" s="160"/>
      <c r="T572" s="162"/>
    </row>
    <row r="573">
      <c r="A573" s="158"/>
      <c r="B573" s="158"/>
      <c r="C573" s="158"/>
      <c r="D573" s="159"/>
      <c r="E573" s="160"/>
      <c r="F573" s="161"/>
      <c r="G573" s="162"/>
      <c r="H573" s="163"/>
      <c r="I573" s="162"/>
      <c r="J573" s="164"/>
      <c r="K573" s="164"/>
      <c r="L573" s="158"/>
      <c r="M573" s="158"/>
      <c r="N573" s="158"/>
      <c r="O573" s="158"/>
      <c r="P573" s="158"/>
      <c r="Q573" s="158"/>
      <c r="R573" s="159"/>
      <c r="S573" s="160"/>
      <c r="T573" s="162"/>
    </row>
    <row r="574">
      <c r="A574" s="158"/>
      <c r="B574" s="158"/>
      <c r="C574" s="158"/>
      <c r="D574" s="159"/>
      <c r="E574" s="160"/>
      <c r="F574" s="161"/>
      <c r="G574" s="162"/>
      <c r="H574" s="163"/>
      <c r="I574" s="162"/>
      <c r="J574" s="164"/>
      <c r="K574" s="164"/>
      <c r="L574" s="158"/>
      <c r="M574" s="158"/>
      <c r="N574" s="158"/>
      <c r="O574" s="158"/>
      <c r="P574" s="158"/>
      <c r="Q574" s="158"/>
      <c r="R574" s="159"/>
      <c r="S574" s="160"/>
      <c r="T574" s="162"/>
    </row>
    <row r="575">
      <c r="A575" s="158"/>
      <c r="B575" s="158"/>
      <c r="C575" s="158"/>
      <c r="D575" s="159"/>
      <c r="E575" s="160"/>
      <c r="F575" s="161"/>
      <c r="G575" s="162"/>
      <c r="H575" s="163"/>
      <c r="I575" s="162"/>
      <c r="J575" s="164"/>
      <c r="K575" s="164"/>
      <c r="L575" s="158"/>
      <c r="M575" s="158"/>
      <c r="N575" s="158"/>
      <c r="O575" s="158"/>
      <c r="P575" s="158"/>
      <c r="Q575" s="158"/>
      <c r="R575" s="159"/>
      <c r="S575" s="160"/>
      <c r="T575" s="162"/>
    </row>
    <row r="576">
      <c r="A576" s="158"/>
      <c r="B576" s="158"/>
      <c r="C576" s="158"/>
      <c r="D576" s="159"/>
      <c r="E576" s="160"/>
      <c r="F576" s="161"/>
      <c r="G576" s="162"/>
      <c r="H576" s="163"/>
      <c r="I576" s="162"/>
      <c r="J576" s="164"/>
      <c r="K576" s="164"/>
      <c r="L576" s="158"/>
      <c r="M576" s="158"/>
      <c r="N576" s="158"/>
      <c r="O576" s="158"/>
      <c r="P576" s="158"/>
      <c r="Q576" s="158"/>
      <c r="R576" s="159"/>
      <c r="S576" s="160"/>
      <c r="T576" s="162"/>
    </row>
    <row r="577">
      <c r="A577" s="158"/>
      <c r="B577" s="158"/>
      <c r="C577" s="158"/>
      <c r="D577" s="159"/>
      <c r="E577" s="160"/>
      <c r="F577" s="161"/>
      <c r="G577" s="162"/>
      <c r="H577" s="163"/>
      <c r="I577" s="162"/>
      <c r="J577" s="164"/>
      <c r="K577" s="164"/>
      <c r="L577" s="158"/>
      <c r="M577" s="158"/>
      <c r="N577" s="158"/>
      <c r="O577" s="158"/>
      <c r="P577" s="158"/>
      <c r="Q577" s="158"/>
      <c r="R577" s="159"/>
      <c r="S577" s="160"/>
      <c r="T577" s="162"/>
    </row>
    <row r="578">
      <c r="A578" s="158"/>
      <c r="B578" s="158"/>
      <c r="C578" s="158"/>
      <c r="D578" s="159"/>
      <c r="E578" s="160"/>
      <c r="F578" s="161"/>
      <c r="G578" s="162"/>
      <c r="H578" s="163"/>
      <c r="I578" s="162"/>
      <c r="J578" s="164"/>
      <c r="K578" s="164"/>
      <c r="L578" s="158"/>
      <c r="M578" s="158"/>
      <c r="N578" s="158"/>
      <c r="O578" s="158"/>
      <c r="P578" s="158"/>
      <c r="Q578" s="158"/>
      <c r="R578" s="159"/>
      <c r="S578" s="160"/>
      <c r="T578" s="162"/>
    </row>
    <row r="579">
      <c r="A579" s="158"/>
      <c r="B579" s="158"/>
      <c r="C579" s="158"/>
      <c r="D579" s="159"/>
      <c r="E579" s="160"/>
      <c r="F579" s="161"/>
      <c r="G579" s="162"/>
      <c r="H579" s="163"/>
      <c r="I579" s="162"/>
      <c r="J579" s="164"/>
      <c r="K579" s="164"/>
      <c r="L579" s="158"/>
      <c r="M579" s="158"/>
      <c r="N579" s="158"/>
      <c r="O579" s="158"/>
      <c r="P579" s="158"/>
      <c r="Q579" s="158"/>
      <c r="R579" s="159"/>
      <c r="S579" s="160"/>
      <c r="T579" s="162"/>
    </row>
    <row r="580">
      <c r="A580" s="158"/>
      <c r="B580" s="158"/>
      <c r="C580" s="158"/>
      <c r="D580" s="159"/>
      <c r="E580" s="160"/>
      <c r="F580" s="161"/>
      <c r="G580" s="162"/>
      <c r="H580" s="163"/>
      <c r="I580" s="162"/>
      <c r="J580" s="164"/>
      <c r="K580" s="164"/>
      <c r="L580" s="158"/>
      <c r="M580" s="158"/>
      <c r="N580" s="158"/>
      <c r="O580" s="158"/>
      <c r="P580" s="158"/>
      <c r="Q580" s="158"/>
      <c r="R580" s="159"/>
      <c r="S580" s="160"/>
      <c r="T580" s="162"/>
    </row>
    <row r="581">
      <c r="A581" s="158"/>
      <c r="B581" s="158"/>
      <c r="C581" s="158"/>
      <c r="D581" s="159"/>
      <c r="E581" s="160"/>
      <c r="F581" s="161"/>
      <c r="G581" s="162"/>
      <c r="H581" s="163"/>
      <c r="I581" s="162"/>
      <c r="J581" s="164"/>
      <c r="K581" s="164"/>
      <c r="L581" s="158"/>
      <c r="M581" s="158"/>
      <c r="N581" s="158"/>
      <c r="O581" s="158"/>
      <c r="P581" s="158"/>
      <c r="Q581" s="158"/>
      <c r="R581" s="159"/>
      <c r="S581" s="160"/>
      <c r="T581" s="162"/>
    </row>
    <row r="582">
      <c r="A582" s="158"/>
      <c r="B582" s="158"/>
      <c r="C582" s="158"/>
      <c r="D582" s="159"/>
      <c r="E582" s="160"/>
      <c r="F582" s="161"/>
      <c r="G582" s="162"/>
      <c r="H582" s="163"/>
      <c r="I582" s="162"/>
      <c r="J582" s="164"/>
      <c r="K582" s="164"/>
      <c r="L582" s="158"/>
      <c r="M582" s="158"/>
      <c r="N582" s="158"/>
      <c r="O582" s="158"/>
      <c r="P582" s="158"/>
      <c r="Q582" s="158"/>
      <c r="R582" s="159"/>
      <c r="S582" s="160"/>
      <c r="T582" s="162"/>
    </row>
    <row r="583">
      <c r="A583" s="158"/>
      <c r="B583" s="158"/>
      <c r="C583" s="158"/>
      <c r="D583" s="159"/>
      <c r="E583" s="160"/>
      <c r="F583" s="161"/>
      <c r="G583" s="162"/>
      <c r="H583" s="163"/>
      <c r="I583" s="162"/>
      <c r="J583" s="164"/>
      <c r="K583" s="164"/>
      <c r="L583" s="158"/>
      <c r="M583" s="158"/>
      <c r="N583" s="158"/>
      <c r="O583" s="158"/>
      <c r="P583" s="158"/>
      <c r="Q583" s="158"/>
      <c r="R583" s="159"/>
      <c r="S583" s="160"/>
      <c r="T583" s="162"/>
    </row>
    <row r="584">
      <c r="A584" s="158"/>
      <c r="B584" s="158"/>
      <c r="C584" s="158"/>
      <c r="D584" s="159"/>
      <c r="E584" s="160"/>
      <c r="F584" s="161"/>
      <c r="G584" s="162"/>
      <c r="H584" s="163"/>
      <c r="I584" s="162"/>
      <c r="J584" s="164"/>
      <c r="K584" s="164"/>
      <c r="L584" s="158"/>
      <c r="M584" s="158"/>
      <c r="N584" s="158"/>
      <c r="O584" s="158"/>
      <c r="P584" s="158"/>
      <c r="Q584" s="158"/>
      <c r="R584" s="159"/>
      <c r="S584" s="160"/>
      <c r="T584" s="162"/>
    </row>
    <row r="585">
      <c r="A585" s="158"/>
      <c r="B585" s="158"/>
      <c r="C585" s="158"/>
      <c r="D585" s="159"/>
      <c r="E585" s="160"/>
      <c r="F585" s="161"/>
      <c r="G585" s="162"/>
      <c r="H585" s="163"/>
      <c r="I585" s="162"/>
      <c r="J585" s="164"/>
      <c r="K585" s="164"/>
      <c r="L585" s="158"/>
      <c r="M585" s="158"/>
      <c r="N585" s="158"/>
      <c r="O585" s="158"/>
      <c r="P585" s="158"/>
      <c r="Q585" s="158"/>
      <c r="R585" s="159"/>
      <c r="S585" s="160"/>
      <c r="T585" s="162"/>
    </row>
    <row r="586">
      <c r="A586" s="158"/>
      <c r="B586" s="158"/>
      <c r="C586" s="158"/>
      <c r="D586" s="159"/>
      <c r="E586" s="160"/>
      <c r="F586" s="161"/>
      <c r="G586" s="162"/>
      <c r="H586" s="163"/>
      <c r="I586" s="162"/>
      <c r="J586" s="164"/>
      <c r="K586" s="164"/>
      <c r="L586" s="158"/>
      <c r="M586" s="158"/>
      <c r="N586" s="158"/>
      <c r="O586" s="158"/>
      <c r="P586" s="158"/>
      <c r="Q586" s="158"/>
      <c r="R586" s="159"/>
      <c r="S586" s="160"/>
      <c r="T586" s="162"/>
    </row>
    <row r="587">
      <c r="A587" s="158"/>
      <c r="B587" s="158"/>
      <c r="C587" s="158"/>
      <c r="D587" s="159"/>
      <c r="E587" s="160"/>
      <c r="F587" s="161"/>
      <c r="G587" s="162"/>
      <c r="H587" s="163"/>
      <c r="I587" s="162"/>
      <c r="J587" s="164"/>
      <c r="K587" s="164"/>
      <c r="L587" s="158"/>
      <c r="M587" s="158"/>
      <c r="N587" s="158"/>
      <c r="O587" s="158"/>
      <c r="P587" s="158"/>
      <c r="Q587" s="158"/>
      <c r="R587" s="159"/>
      <c r="S587" s="160"/>
      <c r="T587" s="162"/>
    </row>
    <row r="588">
      <c r="A588" s="158"/>
      <c r="B588" s="158"/>
      <c r="C588" s="158"/>
      <c r="D588" s="159"/>
      <c r="E588" s="160"/>
      <c r="F588" s="161"/>
      <c r="G588" s="162"/>
      <c r="H588" s="163"/>
      <c r="I588" s="162"/>
      <c r="J588" s="164"/>
      <c r="K588" s="164"/>
      <c r="L588" s="158"/>
      <c r="M588" s="158"/>
      <c r="N588" s="158"/>
      <c r="O588" s="158"/>
      <c r="P588" s="158"/>
      <c r="Q588" s="158"/>
      <c r="R588" s="159"/>
      <c r="S588" s="160"/>
      <c r="T588" s="162"/>
    </row>
    <row r="589">
      <c r="A589" s="158"/>
      <c r="B589" s="158"/>
      <c r="C589" s="158"/>
      <c r="D589" s="159"/>
      <c r="E589" s="160"/>
      <c r="F589" s="161"/>
      <c r="G589" s="162"/>
      <c r="H589" s="163"/>
      <c r="I589" s="162"/>
      <c r="J589" s="164"/>
      <c r="K589" s="164"/>
      <c r="L589" s="158"/>
      <c r="M589" s="158"/>
      <c r="N589" s="158"/>
      <c r="O589" s="158"/>
      <c r="P589" s="158"/>
      <c r="Q589" s="158"/>
      <c r="R589" s="159"/>
      <c r="S589" s="160"/>
      <c r="T589" s="162"/>
    </row>
    <row r="590">
      <c r="A590" s="158"/>
      <c r="B590" s="158"/>
      <c r="C590" s="158"/>
      <c r="D590" s="159"/>
      <c r="E590" s="160"/>
      <c r="F590" s="161"/>
      <c r="G590" s="162"/>
      <c r="H590" s="163"/>
      <c r="I590" s="162"/>
      <c r="J590" s="164"/>
      <c r="K590" s="164"/>
      <c r="L590" s="158"/>
      <c r="M590" s="158"/>
      <c r="N590" s="158"/>
      <c r="O590" s="158"/>
      <c r="P590" s="158"/>
      <c r="Q590" s="158"/>
      <c r="R590" s="159"/>
      <c r="S590" s="160"/>
      <c r="T590" s="162"/>
    </row>
    <row r="591">
      <c r="A591" s="158"/>
      <c r="B591" s="158"/>
      <c r="C591" s="158"/>
      <c r="D591" s="159"/>
      <c r="E591" s="160"/>
      <c r="F591" s="161"/>
      <c r="G591" s="162"/>
      <c r="H591" s="163"/>
      <c r="I591" s="162"/>
      <c r="J591" s="164"/>
      <c r="K591" s="164"/>
      <c r="L591" s="158"/>
      <c r="M591" s="158"/>
      <c r="N591" s="158"/>
      <c r="O591" s="158"/>
      <c r="P591" s="158"/>
      <c r="Q591" s="158"/>
      <c r="R591" s="159"/>
      <c r="S591" s="160"/>
      <c r="T591" s="162"/>
    </row>
    <row r="592">
      <c r="A592" s="158"/>
      <c r="B592" s="158"/>
      <c r="C592" s="158"/>
      <c r="D592" s="159"/>
      <c r="E592" s="160"/>
      <c r="F592" s="161"/>
      <c r="G592" s="162"/>
      <c r="H592" s="163"/>
      <c r="I592" s="162"/>
      <c r="J592" s="164"/>
      <c r="K592" s="164"/>
      <c r="L592" s="158"/>
      <c r="M592" s="158"/>
      <c r="N592" s="158"/>
      <c r="O592" s="158"/>
      <c r="P592" s="158"/>
      <c r="Q592" s="158"/>
      <c r="R592" s="159"/>
      <c r="S592" s="160"/>
      <c r="T592" s="162"/>
    </row>
    <row r="593">
      <c r="A593" s="158"/>
      <c r="B593" s="158"/>
      <c r="C593" s="158"/>
      <c r="D593" s="159"/>
      <c r="E593" s="160"/>
      <c r="F593" s="161"/>
      <c r="G593" s="162"/>
      <c r="H593" s="163"/>
      <c r="I593" s="162"/>
      <c r="J593" s="164"/>
      <c r="K593" s="164"/>
      <c r="L593" s="158"/>
      <c r="M593" s="158"/>
      <c r="N593" s="158"/>
      <c r="O593" s="158"/>
      <c r="P593" s="158"/>
      <c r="Q593" s="158"/>
      <c r="R593" s="159"/>
      <c r="S593" s="160"/>
      <c r="T593" s="162"/>
    </row>
    <row r="594">
      <c r="A594" s="158"/>
      <c r="B594" s="158"/>
      <c r="C594" s="158"/>
      <c r="D594" s="159"/>
      <c r="E594" s="160"/>
      <c r="F594" s="161"/>
      <c r="G594" s="162"/>
      <c r="H594" s="163"/>
      <c r="I594" s="162"/>
      <c r="J594" s="164"/>
      <c r="K594" s="164"/>
      <c r="L594" s="158"/>
      <c r="M594" s="158"/>
      <c r="N594" s="158"/>
      <c r="O594" s="158"/>
      <c r="P594" s="158"/>
      <c r="Q594" s="158"/>
      <c r="R594" s="159"/>
      <c r="S594" s="160"/>
      <c r="T594" s="162"/>
    </row>
    <row r="595">
      <c r="A595" s="158"/>
      <c r="B595" s="158"/>
      <c r="C595" s="158"/>
      <c r="D595" s="159"/>
      <c r="E595" s="160"/>
      <c r="F595" s="161"/>
      <c r="G595" s="162"/>
      <c r="H595" s="163"/>
      <c r="I595" s="162"/>
      <c r="J595" s="164"/>
      <c r="K595" s="164"/>
      <c r="L595" s="158"/>
      <c r="M595" s="158"/>
      <c r="N595" s="158"/>
      <c r="O595" s="158"/>
      <c r="P595" s="158"/>
      <c r="Q595" s="158"/>
      <c r="R595" s="159"/>
      <c r="S595" s="160"/>
      <c r="T595" s="162"/>
    </row>
    <row r="596">
      <c r="A596" s="158"/>
      <c r="B596" s="158"/>
      <c r="C596" s="158"/>
      <c r="D596" s="159"/>
      <c r="E596" s="160"/>
      <c r="F596" s="161"/>
      <c r="G596" s="162"/>
      <c r="H596" s="163"/>
      <c r="I596" s="162"/>
      <c r="J596" s="164"/>
      <c r="K596" s="164"/>
      <c r="L596" s="158"/>
      <c r="M596" s="158"/>
      <c r="N596" s="158"/>
      <c r="O596" s="158"/>
      <c r="P596" s="158"/>
      <c r="Q596" s="158"/>
      <c r="R596" s="159"/>
      <c r="S596" s="160"/>
      <c r="T596" s="162"/>
    </row>
    <row r="597">
      <c r="A597" s="158"/>
      <c r="B597" s="158"/>
      <c r="C597" s="158"/>
      <c r="D597" s="159"/>
      <c r="E597" s="160"/>
      <c r="F597" s="161"/>
      <c r="G597" s="162"/>
      <c r="H597" s="163"/>
      <c r="I597" s="162"/>
      <c r="J597" s="164"/>
      <c r="K597" s="164"/>
      <c r="L597" s="158"/>
      <c r="M597" s="158"/>
      <c r="N597" s="158"/>
      <c r="O597" s="158"/>
      <c r="P597" s="158"/>
      <c r="Q597" s="158"/>
      <c r="R597" s="159"/>
      <c r="S597" s="160"/>
      <c r="T597" s="162"/>
    </row>
    <row r="598">
      <c r="A598" s="158"/>
      <c r="B598" s="158"/>
      <c r="C598" s="158"/>
      <c r="D598" s="159"/>
      <c r="E598" s="160"/>
      <c r="F598" s="161"/>
      <c r="G598" s="162"/>
      <c r="H598" s="163"/>
      <c r="I598" s="162"/>
      <c r="J598" s="164"/>
      <c r="K598" s="164"/>
      <c r="L598" s="158"/>
      <c r="M598" s="158"/>
      <c r="N598" s="158"/>
      <c r="O598" s="158"/>
      <c r="P598" s="158"/>
      <c r="Q598" s="158"/>
      <c r="R598" s="159"/>
      <c r="S598" s="160"/>
      <c r="T598" s="162"/>
    </row>
    <row r="599">
      <c r="A599" s="158"/>
      <c r="B599" s="158"/>
      <c r="C599" s="158"/>
      <c r="D599" s="159"/>
      <c r="E599" s="160"/>
      <c r="F599" s="161"/>
      <c r="G599" s="162"/>
      <c r="H599" s="163"/>
      <c r="I599" s="162"/>
      <c r="J599" s="164"/>
      <c r="K599" s="164"/>
      <c r="L599" s="158"/>
      <c r="M599" s="158"/>
      <c r="N599" s="158"/>
      <c r="O599" s="158"/>
      <c r="P599" s="158"/>
      <c r="Q599" s="158"/>
      <c r="R599" s="159"/>
      <c r="S599" s="160"/>
      <c r="T599" s="162"/>
    </row>
    <row r="600">
      <c r="A600" s="158"/>
      <c r="B600" s="158"/>
      <c r="C600" s="158"/>
      <c r="D600" s="159"/>
      <c r="E600" s="160"/>
      <c r="F600" s="161"/>
      <c r="G600" s="162"/>
      <c r="H600" s="163"/>
      <c r="I600" s="162"/>
      <c r="J600" s="164"/>
      <c r="K600" s="164"/>
      <c r="L600" s="158"/>
      <c r="M600" s="158"/>
      <c r="N600" s="158"/>
      <c r="O600" s="158"/>
      <c r="P600" s="158"/>
      <c r="Q600" s="158"/>
      <c r="R600" s="159"/>
      <c r="S600" s="160"/>
      <c r="T600" s="162"/>
    </row>
    <row r="601">
      <c r="A601" s="158"/>
      <c r="B601" s="158"/>
      <c r="C601" s="158"/>
      <c r="D601" s="159"/>
      <c r="E601" s="160"/>
      <c r="F601" s="161"/>
      <c r="G601" s="162"/>
      <c r="H601" s="163"/>
      <c r="I601" s="162"/>
      <c r="J601" s="164"/>
      <c r="K601" s="164"/>
      <c r="L601" s="158"/>
      <c r="M601" s="158"/>
      <c r="N601" s="158"/>
      <c r="O601" s="158"/>
      <c r="P601" s="158"/>
      <c r="Q601" s="158"/>
      <c r="R601" s="159"/>
      <c r="S601" s="160"/>
      <c r="T601" s="162"/>
    </row>
    <row r="602">
      <c r="A602" s="158"/>
      <c r="B602" s="158"/>
      <c r="C602" s="158"/>
      <c r="D602" s="159"/>
      <c r="E602" s="160"/>
      <c r="F602" s="161"/>
      <c r="G602" s="162"/>
      <c r="H602" s="163"/>
      <c r="I602" s="162"/>
      <c r="J602" s="164"/>
      <c r="K602" s="164"/>
      <c r="L602" s="158"/>
      <c r="M602" s="158"/>
      <c r="N602" s="158"/>
      <c r="O602" s="158"/>
      <c r="P602" s="158"/>
      <c r="Q602" s="158"/>
      <c r="R602" s="159"/>
      <c r="S602" s="160"/>
      <c r="T602" s="162"/>
    </row>
    <row r="603">
      <c r="A603" s="158"/>
      <c r="B603" s="158"/>
      <c r="C603" s="158"/>
      <c r="D603" s="159"/>
      <c r="E603" s="160"/>
      <c r="F603" s="161"/>
      <c r="G603" s="162"/>
      <c r="H603" s="163"/>
      <c r="I603" s="162"/>
      <c r="J603" s="164"/>
      <c r="K603" s="164"/>
      <c r="L603" s="158"/>
      <c r="M603" s="158"/>
      <c r="N603" s="158"/>
      <c r="O603" s="158"/>
      <c r="P603" s="158"/>
      <c r="Q603" s="158"/>
      <c r="R603" s="159"/>
      <c r="S603" s="160"/>
      <c r="T603" s="162"/>
    </row>
    <row r="604">
      <c r="A604" s="158"/>
      <c r="B604" s="158"/>
      <c r="C604" s="158"/>
      <c r="D604" s="159"/>
      <c r="E604" s="160"/>
      <c r="F604" s="161"/>
      <c r="G604" s="162"/>
      <c r="H604" s="163"/>
      <c r="I604" s="162"/>
      <c r="J604" s="164"/>
      <c r="K604" s="164"/>
      <c r="L604" s="158"/>
      <c r="M604" s="158"/>
      <c r="N604" s="158"/>
      <c r="O604" s="158"/>
      <c r="P604" s="158"/>
      <c r="Q604" s="158"/>
      <c r="R604" s="159"/>
      <c r="S604" s="160"/>
      <c r="T604" s="162"/>
    </row>
    <row r="605">
      <c r="A605" s="158"/>
      <c r="B605" s="158"/>
      <c r="C605" s="158"/>
      <c r="D605" s="159"/>
      <c r="E605" s="160"/>
      <c r="F605" s="161"/>
      <c r="G605" s="162"/>
      <c r="H605" s="163"/>
      <c r="I605" s="162"/>
      <c r="J605" s="164"/>
      <c r="K605" s="164"/>
      <c r="L605" s="158"/>
      <c r="M605" s="158"/>
      <c r="N605" s="158"/>
      <c r="O605" s="158"/>
      <c r="P605" s="158"/>
      <c r="Q605" s="158"/>
      <c r="R605" s="159"/>
      <c r="S605" s="160"/>
      <c r="T605" s="162"/>
    </row>
    <row r="606">
      <c r="A606" s="158"/>
      <c r="B606" s="158"/>
      <c r="C606" s="158"/>
      <c r="D606" s="159"/>
      <c r="E606" s="160"/>
      <c r="F606" s="161"/>
      <c r="G606" s="162"/>
      <c r="H606" s="163"/>
      <c r="I606" s="162"/>
      <c r="J606" s="164"/>
      <c r="K606" s="164"/>
      <c r="L606" s="158"/>
      <c r="M606" s="158"/>
      <c r="N606" s="158"/>
      <c r="O606" s="158"/>
      <c r="P606" s="158"/>
      <c r="Q606" s="158"/>
      <c r="R606" s="159"/>
      <c r="S606" s="160"/>
      <c r="T606" s="162"/>
    </row>
    <row r="607">
      <c r="A607" s="158"/>
      <c r="B607" s="158"/>
      <c r="C607" s="158"/>
      <c r="D607" s="159"/>
      <c r="E607" s="160"/>
      <c r="F607" s="161"/>
      <c r="G607" s="162"/>
      <c r="H607" s="163"/>
      <c r="I607" s="162"/>
      <c r="J607" s="164"/>
      <c r="K607" s="164"/>
      <c r="L607" s="158"/>
      <c r="M607" s="158"/>
      <c r="N607" s="158"/>
      <c r="O607" s="158"/>
      <c r="P607" s="158"/>
      <c r="Q607" s="158"/>
      <c r="R607" s="159"/>
      <c r="S607" s="160"/>
      <c r="T607" s="162"/>
    </row>
    <row r="608">
      <c r="A608" s="158"/>
      <c r="B608" s="158"/>
      <c r="C608" s="158"/>
      <c r="D608" s="159"/>
      <c r="E608" s="160"/>
      <c r="F608" s="161"/>
      <c r="G608" s="162"/>
      <c r="H608" s="163"/>
      <c r="I608" s="162"/>
      <c r="J608" s="164"/>
      <c r="K608" s="164"/>
      <c r="L608" s="158"/>
      <c r="M608" s="158"/>
      <c r="N608" s="158"/>
      <c r="O608" s="158"/>
      <c r="P608" s="158"/>
      <c r="Q608" s="158"/>
      <c r="R608" s="159"/>
      <c r="S608" s="160"/>
      <c r="T608" s="162"/>
    </row>
    <row r="609">
      <c r="A609" s="158"/>
      <c r="B609" s="158"/>
      <c r="C609" s="158"/>
      <c r="D609" s="159"/>
      <c r="E609" s="160"/>
      <c r="F609" s="161"/>
      <c r="G609" s="162"/>
      <c r="H609" s="163"/>
      <c r="I609" s="162"/>
      <c r="J609" s="164"/>
      <c r="K609" s="164"/>
      <c r="L609" s="158"/>
      <c r="M609" s="158"/>
      <c r="N609" s="158"/>
      <c r="O609" s="158"/>
      <c r="P609" s="158"/>
      <c r="Q609" s="158"/>
      <c r="R609" s="159"/>
      <c r="S609" s="160"/>
      <c r="T609" s="162"/>
    </row>
    <row r="610">
      <c r="A610" s="158"/>
      <c r="B610" s="158"/>
      <c r="C610" s="158"/>
      <c r="D610" s="159"/>
      <c r="E610" s="160"/>
      <c r="F610" s="161"/>
      <c r="G610" s="162"/>
      <c r="H610" s="163"/>
      <c r="I610" s="162"/>
      <c r="J610" s="164"/>
      <c r="K610" s="164"/>
      <c r="L610" s="158"/>
      <c r="M610" s="158"/>
      <c r="N610" s="158"/>
      <c r="O610" s="158"/>
      <c r="P610" s="158"/>
      <c r="Q610" s="158"/>
      <c r="R610" s="159"/>
      <c r="S610" s="160"/>
      <c r="T610" s="162"/>
    </row>
    <row r="611">
      <c r="A611" s="158"/>
      <c r="B611" s="158"/>
      <c r="C611" s="158"/>
      <c r="D611" s="159"/>
      <c r="E611" s="160"/>
      <c r="F611" s="161"/>
      <c r="G611" s="162"/>
      <c r="H611" s="163"/>
      <c r="I611" s="162"/>
      <c r="J611" s="164"/>
      <c r="K611" s="164"/>
      <c r="L611" s="158"/>
      <c r="M611" s="158"/>
      <c r="N611" s="158"/>
      <c r="O611" s="158"/>
      <c r="P611" s="158"/>
      <c r="Q611" s="158"/>
      <c r="R611" s="159"/>
      <c r="S611" s="160"/>
      <c r="T611" s="162"/>
    </row>
    <row r="612">
      <c r="A612" s="158"/>
      <c r="B612" s="158"/>
      <c r="C612" s="158"/>
      <c r="D612" s="159"/>
      <c r="E612" s="160"/>
      <c r="F612" s="161"/>
      <c r="G612" s="162"/>
      <c r="H612" s="163"/>
      <c r="I612" s="162"/>
      <c r="J612" s="164"/>
      <c r="K612" s="164"/>
      <c r="L612" s="158"/>
      <c r="M612" s="158"/>
      <c r="N612" s="158"/>
      <c r="O612" s="158"/>
      <c r="P612" s="158"/>
      <c r="Q612" s="158"/>
      <c r="R612" s="159"/>
      <c r="S612" s="160"/>
      <c r="T612" s="162"/>
    </row>
    <row r="613">
      <c r="A613" s="158"/>
      <c r="B613" s="158"/>
      <c r="C613" s="158"/>
      <c r="D613" s="159"/>
      <c r="E613" s="160"/>
      <c r="F613" s="161"/>
      <c r="G613" s="162"/>
      <c r="H613" s="163"/>
      <c r="I613" s="162"/>
      <c r="J613" s="164"/>
      <c r="K613" s="164"/>
      <c r="L613" s="158"/>
      <c r="M613" s="158"/>
      <c r="N613" s="158"/>
      <c r="O613" s="158"/>
      <c r="P613" s="158"/>
      <c r="Q613" s="158"/>
      <c r="R613" s="159"/>
      <c r="S613" s="160"/>
      <c r="T613" s="162"/>
    </row>
    <row r="614">
      <c r="A614" s="158"/>
      <c r="B614" s="158"/>
      <c r="C614" s="158"/>
      <c r="D614" s="159"/>
      <c r="E614" s="160"/>
      <c r="F614" s="161"/>
      <c r="G614" s="162"/>
      <c r="H614" s="163"/>
      <c r="I614" s="162"/>
      <c r="J614" s="164"/>
      <c r="K614" s="164"/>
      <c r="L614" s="158"/>
      <c r="M614" s="158"/>
      <c r="N614" s="158"/>
      <c r="O614" s="158"/>
      <c r="P614" s="158"/>
      <c r="Q614" s="158"/>
      <c r="R614" s="159"/>
      <c r="S614" s="160"/>
      <c r="T614" s="162"/>
    </row>
    <row r="615">
      <c r="A615" s="158"/>
      <c r="B615" s="158"/>
      <c r="C615" s="158"/>
      <c r="D615" s="159"/>
      <c r="E615" s="160"/>
      <c r="F615" s="161"/>
      <c r="G615" s="162"/>
      <c r="H615" s="163"/>
      <c r="I615" s="162"/>
      <c r="J615" s="164"/>
      <c r="K615" s="164"/>
      <c r="L615" s="158"/>
      <c r="M615" s="158"/>
      <c r="N615" s="158"/>
      <c r="O615" s="158"/>
      <c r="P615" s="158"/>
      <c r="Q615" s="158"/>
      <c r="R615" s="159"/>
      <c r="S615" s="160"/>
      <c r="T615" s="162"/>
    </row>
    <row r="616">
      <c r="A616" s="158"/>
      <c r="B616" s="158"/>
      <c r="C616" s="158"/>
      <c r="D616" s="159"/>
      <c r="E616" s="160"/>
      <c r="F616" s="161"/>
      <c r="G616" s="162"/>
      <c r="H616" s="163"/>
      <c r="I616" s="162"/>
      <c r="J616" s="164"/>
      <c r="K616" s="164"/>
      <c r="L616" s="158"/>
      <c r="M616" s="158"/>
      <c r="N616" s="158"/>
      <c r="O616" s="158"/>
      <c r="P616" s="158"/>
      <c r="Q616" s="158"/>
      <c r="R616" s="159"/>
      <c r="S616" s="160"/>
      <c r="T616" s="162"/>
    </row>
    <row r="617">
      <c r="A617" s="158"/>
      <c r="B617" s="158"/>
      <c r="C617" s="158"/>
      <c r="D617" s="159"/>
      <c r="E617" s="160"/>
      <c r="F617" s="161"/>
      <c r="G617" s="162"/>
      <c r="H617" s="163"/>
      <c r="I617" s="162"/>
      <c r="J617" s="164"/>
      <c r="K617" s="164"/>
      <c r="L617" s="158"/>
      <c r="M617" s="158"/>
      <c r="N617" s="158"/>
      <c r="O617" s="158"/>
      <c r="P617" s="158"/>
      <c r="Q617" s="158"/>
      <c r="R617" s="159"/>
      <c r="S617" s="160"/>
      <c r="T617" s="162"/>
    </row>
    <row r="618">
      <c r="A618" s="158"/>
      <c r="B618" s="158"/>
      <c r="C618" s="158"/>
      <c r="D618" s="159"/>
      <c r="E618" s="160"/>
      <c r="F618" s="161"/>
      <c r="G618" s="162"/>
      <c r="H618" s="163"/>
      <c r="I618" s="162"/>
      <c r="J618" s="164"/>
      <c r="K618" s="164"/>
      <c r="L618" s="158"/>
      <c r="M618" s="158"/>
      <c r="N618" s="158"/>
      <c r="O618" s="158"/>
      <c r="P618" s="158"/>
      <c r="Q618" s="158"/>
      <c r="R618" s="159"/>
      <c r="S618" s="160"/>
      <c r="T618" s="162"/>
    </row>
    <row r="619">
      <c r="A619" s="158"/>
      <c r="B619" s="158"/>
      <c r="C619" s="158"/>
      <c r="D619" s="159"/>
      <c r="E619" s="160"/>
      <c r="F619" s="161"/>
      <c r="G619" s="162"/>
      <c r="H619" s="163"/>
      <c r="I619" s="162"/>
      <c r="J619" s="164"/>
      <c r="K619" s="164"/>
      <c r="L619" s="158"/>
      <c r="M619" s="158"/>
      <c r="N619" s="158"/>
      <c r="O619" s="158"/>
      <c r="P619" s="158"/>
      <c r="Q619" s="158"/>
      <c r="R619" s="159"/>
      <c r="S619" s="160"/>
      <c r="T619" s="162"/>
    </row>
    <row r="620">
      <c r="A620" s="158"/>
      <c r="B620" s="158"/>
      <c r="C620" s="158"/>
      <c r="D620" s="159"/>
      <c r="E620" s="160"/>
      <c r="F620" s="161"/>
      <c r="G620" s="162"/>
      <c r="H620" s="163"/>
      <c r="I620" s="162"/>
      <c r="J620" s="164"/>
      <c r="K620" s="164"/>
      <c r="L620" s="158"/>
      <c r="M620" s="158"/>
      <c r="N620" s="158"/>
      <c r="O620" s="158"/>
      <c r="P620" s="158"/>
      <c r="Q620" s="158"/>
      <c r="R620" s="159"/>
      <c r="S620" s="160"/>
      <c r="T620" s="162"/>
    </row>
    <row r="621">
      <c r="A621" s="158"/>
      <c r="B621" s="158"/>
      <c r="C621" s="158"/>
      <c r="D621" s="159"/>
      <c r="E621" s="160"/>
      <c r="F621" s="161"/>
      <c r="G621" s="162"/>
      <c r="H621" s="163"/>
      <c r="I621" s="162"/>
      <c r="J621" s="164"/>
      <c r="K621" s="164"/>
      <c r="L621" s="158"/>
      <c r="M621" s="158"/>
      <c r="N621" s="158"/>
      <c r="O621" s="158"/>
      <c r="P621" s="158"/>
      <c r="Q621" s="158"/>
      <c r="R621" s="159"/>
      <c r="S621" s="160"/>
      <c r="T621" s="162"/>
    </row>
    <row r="622">
      <c r="A622" s="158"/>
      <c r="B622" s="158"/>
      <c r="C622" s="158"/>
      <c r="D622" s="159"/>
      <c r="E622" s="160"/>
      <c r="F622" s="161"/>
      <c r="G622" s="162"/>
      <c r="H622" s="163"/>
      <c r="I622" s="162"/>
      <c r="J622" s="164"/>
      <c r="K622" s="164"/>
      <c r="L622" s="158"/>
      <c r="M622" s="158"/>
      <c r="N622" s="158"/>
      <c r="O622" s="158"/>
      <c r="P622" s="158"/>
      <c r="Q622" s="158"/>
      <c r="R622" s="159"/>
      <c r="S622" s="160"/>
      <c r="T622" s="162"/>
    </row>
    <row r="623">
      <c r="A623" s="158"/>
      <c r="B623" s="158"/>
      <c r="C623" s="158"/>
      <c r="D623" s="159"/>
      <c r="E623" s="160"/>
      <c r="F623" s="161"/>
      <c r="G623" s="162"/>
      <c r="H623" s="163"/>
      <c r="I623" s="162"/>
      <c r="J623" s="164"/>
      <c r="K623" s="164"/>
      <c r="L623" s="158"/>
      <c r="M623" s="158"/>
      <c r="N623" s="158"/>
      <c r="O623" s="158"/>
      <c r="P623" s="158"/>
      <c r="Q623" s="158"/>
      <c r="R623" s="159"/>
      <c r="S623" s="160"/>
      <c r="T623" s="162"/>
    </row>
    <row r="624">
      <c r="A624" s="158"/>
      <c r="B624" s="158"/>
      <c r="C624" s="158"/>
      <c r="D624" s="159"/>
      <c r="E624" s="160"/>
      <c r="F624" s="161"/>
      <c r="G624" s="162"/>
      <c r="H624" s="163"/>
      <c r="I624" s="162"/>
      <c r="J624" s="164"/>
      <c r="K624" s="164"/>
      <c r="L624" s="158"/>
      <c r="M624" s="158"/>
      <c r="N624" s="158"/>
      <c r="O624" s="158"/>
      <c r="P624" s="158"/>
      <c r="Q624" s="158"/>
      <c r="R624" s="159"/>
      <c r="S624" s="160"/>
      <c r="T624" s="162"/>
    </row>
    <row r="625">
      <c r="A625" s="158"/>
      <c r="B625" s="158"/>
      <c r="C625" s="158"/>
      <c r="D625" s="159"/>
      <c r="E625" s="160"/>
      <c r="F625" s="161"/>
      <c r="G625" s="162"/>
      <c r="H625" s="163"/>
      <c r="I625" s="162"/>
      <c r="J625" s="164"/>
      <c r="K625" s="164"/>
      <c r="L625" s="158"/>
      <c r="M625" s="158"/>
      <c r="N625" s="158"/>
      <c r="O625" s="158"/>
      <c r="P625" s="158"/>
      <c r="Q625" s="158"/>
      <c r="R625" s="159"/>
      <c r="S625" s="160"/>
      <c r="T625" s="162"/>
    </row>
    <row r="626">
      <c r="A626" s="158"/>
      <c r="B626" s="158"/>
      <c r="C626" s="158"/>
      <c r="D626" s="159"/>
      <c r="E626" s="160"/>
      <c r="F626" s="161"/>
      <c r="G626" s="162"/>
      <c r="H626" s="163"/>
      <c r="I626" s="162"/>
      <c r="J626" s="164"/>
      <c r="K626" s="164"/>
      <c r="L626" s="158"/>
      <c r="M626" s="158"/>
      <c r="N626" s="158"/>
      <c r="O626" s="158"/>
      <c r="P626" s="158"/>
      <c r="Q626" s="158"/>
      <c r="R626" s="159"/>
      <c r="S626" s="160"/>
      <c r="T626" s="162"/>
    </row>
    <row r="627">
      <c r="A627" s="158"/>
      <c r="B627" s="158"/>
      <c r="C627" s="158"/>
      <c r="D627" s="159"/>
      <c r="E627" s="160"/>
      <c r="F627" s="161"/>
      <c r="G627" s="162"/>
      <c r="H627" s="163"/>
      <c r="I627" s="162"/>
      <c r="J627" s="164"/>
      <c r="K627" s="164"/>
      <c r="L627" s="158"/>
      <c r="M627" s="158"/>
      <c r="N627" s="158"/>
      <c r="O627" s="158"/>
      <c r="P627" s="158"/>
      <c r="Q627" s="158"/>
      <c r="R627" s="159"/>
      <c r="S627" s="160"/>
      <c r="T627" s="162"/>
    </row>
    <row r="628">
      <c r="A628" s="158"/>
      <c r="B628" s="158"/>
      <c r="C628" s="158"/>
      <c r="D628" s="159"/>
      <c r="E628" s="160"/>
      <c r="F628" s="161"/>
      <c r="G628" s="162"/>
      <c r="H628" s="163"/>
      <c r="I628" s="162"/>
      <c r="J628" s="164"/>
      <c r="K628" s="164"/>
      <c r="L628" s="158"/>
      <c r="M628" s="158"/>
      <c r="N628" s="158"/>
      <c r="O628" s="158"/>
      <c r="P628" s="158"/>
      <c r="Q628" s="158"/>
      <c r="R628" s="159"/>
      <c r="S628" s="160"/>
      <c r="T628" s="162"/>
    </row>
    <row r="629">
      <c r="A629" s="158"/>
      <c r="B629" s="158"/>
      <c r="C629" s="158"/>
      <c r="D629" s="159"/>
      <c r="E629" s="160"/>
      <c r="F629" s="161"/>
      <c r="G629" s="162"/>
      <c r="H629" s="163"/>
      <c r="I629" s="162"/>
      <c r="J629" s="164"/>
      <c r="K629" s="164"/>
      <c r="L629" s="158"/>
      <c r="M629" s="158"/>
      <c r="N629" s="158"/>
      <c r="O629" s="158"/>
      <c r="P629" s="158"/>
      <c r="Q629" s="158"/>
      <c r="R629" s="159"/>
      <c r="S629" s="160"/>
      <c r="T629" s="162"/>
    </row>
    <row r="630">
      <c r="A630" s="158"/>
      <c r="B630" s="158"/>
      <c r="C630" s="158"/>
      <c r="D630" s="159"/>
      <c r="E630" s="160"/>
      <c r="F630" s="161"/>
      <c r="G630" s="162"/>
      <c r="H630" s="163"/>
      <c r="I630" s="162"/>
      <c r="J630" s="164"/>
      <c r="K630" s="164"/>
      <c r="L630" s="158"/>
      <c r="M630" s="158"/>
      <c r="N630" s="158"/>
      <c r="O630" s="158"/>
      <c r="P630" s="158"/>
      <c r="Q630" s="158"/>
      <c r="R630" s="159"/>
      <c r="S630" s="160"/>
      <c r="T630" s="162"/>
    </row>
    <row r="631">
      <c r="A631" s="158"/>
      <c r="B631" s="158"/>
      <c r="C631" s="158"/>
      <c r="D631" s="159"/>
      <c r="E631" s="160"/>
      <c r="F631" s="161"/>
      <c r="G631" s="162"/>
      <c r="H631" s="163"/>
      <c r="I631" s="162"/>
      <c r="J631" s="164"/>
      <c r="K631" s="164"/>
      <c r="L631" s="158"/>
      <c r="M631" s="158"/>
      <c r="N631" s="158"/>
      <c r="O631" s="158"/>
      <c r="P631" s="158"/>
      <c r="Q631" s="158"/>
      <c r="R631" s="159"/>
      <c r="S631" s="160"/>
      <c r="T631" s="162"/>
    </row>
    <row r="632">
      <c r="A632" s="158"/>
      <c r="B632" s="158"/>
      <c r="C632" s="158"/>
      <c r="D632" s="159"/>
      <c r="E632" s="160"/>
      <c r="F632" s="161"/>
      <c r="G632" s="162"/>
      <c r="H632" s="163"/>
      <c r="I632" s="162"/>
      <c r="J632" s="164"/>
      <c r="K632" s="164"/>
      <c r="L632" s="158"/>
      <c r="M632" s="158"/>
      <c r="N632" s="158"/>
      <c r="O632" s="158"/>
      <c r="P632" s="158"/>
      <c r="Q632" s="158"/>
      <c r="R632" s="159"/>
      <c r="S632" s="160"/>
      <c r="T632" s="162"/>
    </row>
    <row r="633">
      <c r="A633" s="158"/>
      <c r="B633" s="158"/>
      <c r="C633" s="158"/>
      <c r="D633" s="159"/>
      <c r="E633" s="160"/>
      <c r="F633" s="161"/>
      <c r="G633" s="162"/>
      <c r="H633" s="163"/>
      <c r="I633" s="162"/>
      <c r="J633" s="164"/>
      <c r="K633" s="164"/>
      <c r="L633" s="158"/>
      <c r="M633" s="158"/>
      <c r="N633" s="158"/>
      <c r="O633" s="158"/>
      <c r="P633" s="158"/>
      <c r="Q633" s="158"/>
      <c r="R633" s="159"/>
      <c r="S633" s="160"/>
      <c r="T633" s="162"/>
    </row>
    <row r="634">
      <c r="A634" s="158"/>
      <c r="B634" s="158"/>
      <c r="C634" s="158"/>
      <c r="D634" s="159"/>
      <c r="E634" s="160"/>
      <c r="F634" s="161"/>
      <c r="G634" s="162"/>
      <c r="H634" s="163"/>
      <c r="I634" s="162"/>
      <c r="J634" s="164"/>
      <c r="K634" s="164"/>
      <c r="L634" s="158"/>
      <c r="M634" s="158"/>
      <c r="N634" s="158"/>
      <c r="O634" s="158"/>
      <c r="P634" s="158"/>
      <c r="Q634" s="158"/>
      <c r="R634" s="159"/>
      <c r="S634" s="160"/>
      <c r="T634" s="162"/>
    </row>
    <row r="635">
      <c r="A635" s="158"/>
      <c r="B635" s="158"/>
      <c r="C635" s="158"/>
      <c r="D635" s="159"/>
      <c r="E635" s="160"/>
      <c r="F635" s="161"/>
      <c r="G635" s="162"/>
      <c r="H635" s="163"/>
      <c r="I635" s="162"/>
      <c r="J635" s="164"/>
      <c r="K635" s="164"/>
      <c r="L635" s="158"/>
      <c r="M635" s="158"/>
      <c r="N635" s="158"/>
      <c r="O635" s="158"/>
      <c r="P635" s="158"/>
      <c r="Q635" s="158"/>
      <c r="R635" s="159"/>
      <c r="S635" s="160"/>
      <c r="T635" s="162"/>
    </row>
    <row r="636">
      <c r="A636" s="158"/>
      <c r="B636" s="158"/>
      <c r="C636" s="158"/>
      <c r="D636" s="159"/>
      <c r="E636" s="160"/>
      <c r="F636" s="161"/>
      <c r="G636" s="162"/>
      <c r="H636" s="163"/>
      <c r="I636" s="162"/>
      <c r="J636" s="164"/>
      <c r="K636" s="164"/>
      <c r="L636" s="158"/>
      <c r="M636" s="158"/>
      <c r="N636" s="158"/>
      <c r="O636" s="158"/>
      <c r="P636" s="158"/>
      <c r="Q636" s="158"/>
      <c r="R636" s="159"/>
      <c r="S636" s="160"/>
      <c r="T636" s="162"/>
    </row>
    <row r="637">
      <c r="A637" s="158"/>
      <c r="B637" s="158"/>
      <c r="C637" s="158"/>
      <c r="D637" s="159"/>
      <c r="E637" s="160"/>
      <c r="F637" s="161"/>
      <c r="G637" s="162"/>
      <c r="H637" s="163"/>
      <c r="I637" s="162"/>
      <c r="J637" s="164"/>
      <c r="K637" s="164"/>
      <c r="L637" s="158"/>
      <c r="M637" s="158"/>
      <c r="N637" s="158"/>
      <c r="O637" s="158"/>
      <c r="P637" s="158"/>
      <c r="Q637" s="158"/>
      <c r="R637" s="159"/>
      <c r="S637" s="160"/>
      <c r="T637" s="162"/>
    </row>
    <row r="638">
      <c r="A638" s="158"/>
      <c r="B638" s="158"/>
      <c r="C638" s="158"/>
      <c r="D638" s="159"/>
      <c r="E638" s="160"/>
      <c r="F638" s="161"/>
      <c r="G638" s="162"/>
      <c r="H638" s="163"/>
      <c r="I638" s="162"/>
      <c r="J638" s="164"/>
      <c r="K638" s="164"/>
      <c r="L638" s="158"/>
      <c r="M638" s="158"/>
      <c r="N638" s="158"/>
      <c r="O638" s="158"/>
      <c r="P638" s="158"/>
      <c r="Q638" s="158"/>
      <c r="R638" s="159"/>
      <c r="S638" s="160"/>
      <c r="T638" s="162"/>
    </row>
    <row r="639">
      <c r="A639" s="158"/>
      <c r="B639" s="158"/>
      <c r="C639" s="158"/>
      <c r="D639" s="159"/>
      <c r="E639" s="160"/>
      <c r="F639" s="161"/>
      <c r="G639" s="162"/>
      <c r="H639" s="163"/>
      <c r="I639" s="162"/>
      <c r="J639" s="164"/>
      <c r="K639" s="164"/>
      <c r="L639" s="158"/>
      <c r="M639" s="158"/>
      <c r="N639" s="158"/>
      <c r="O639" s="158"/>
      <c r="P639" s="158"/>
      <c r="Q639" s="158"/>
      <c r="R639" s="159"/>
      <c r="S639" s="160"/>
      <c r="T639" s="162"/>
    </row>
    <row r="640">
      <c r="A640" s="158"/>
      <c r="B640" s="158"/>
      <c r="C640" s="158"/>
      <c r="D640" s="159"/>
      <c r="E640" s="160"/>
      <c r="F640" s="161"/>
      <c r="G640" s="162"/>
      <c r="H640" s="163"/>
      <c r="I640" s="162"/>
      <c r="J640" s="164"/>
      <c r="K640" s="164"/>
      <c r="L640" s="158"/>
      <c r="M640" s="158"/>
      <c r="N640" s="158"/>
      <c r="O640" s="158"/>
      <c r="P640" s="158"/>
      <c r="Q640" s="158"/>
      <c r="R640" s="159"/>
      <c r="S640" s="160"/>
      <c r="T640" s="162"/>
    </row>
    <row r="641">
      <c r="A641" s="158"/>
      <c r="B641" s="158"/>
      <c r="C641" s="158"/>
      <c r="D641" s="159"/>
      <c r="E641" s="160"/>
      <c r="F641" s="161"/>
      <c r="G641" s="162"/>
      <c r="H641" s="163"/>
      <c r="I641" s="162"/>
      <c r="J641" s="164"/>
      <c r="K641" s="164"/>
      <c r="L641" s="158"/>
      <c r="M641" s="158"/>
      <c r="N641" s="158"/>
      <c r="O641" s="158"/>
      <c r="P641" s="158"/>
      <c r="Q641" s="158"/>
      <c r="R641" s="159"/>
      <c r="S641" s="160"/>
      <c r="T641" s="162"/>
    </row>
    <row r="642">
      <c r="A642" s="158"/>
      <c r="B642" s="158"/>
      <c r="C642" s="158"/>
      <c r="D642" s="159"/>
      <c r="E642" s="160"/>
      <c r="F642" s="161"/>
      <c r="G642" s="162"/>
      <c r="H642" s="163"/>
      <c r="I642" s="162"/>
      <c r="J642" s="164"/>
      <c r="K642" s="164"/>
      <c r="L642" s="158"/>
      <c r="M642" s="158"/>
      <c r="N642" s="158"/>
      <c r="O642" s="158"/>
      <c r="P642" s="158"/>
      <c r="Q642" s="158"/>
      <c r="R642" s="159"/>
      <c r="S642" s="160"/>
      <c r="T642" s="162"/>
    </row>
    <row r="643">
      <c r="A643" s="158"/>
      <c r="B643" s="158"/>
      <c r="C643" s="158"/>
      <c r="D643" s="159"/>
      <c r="E643" s="160"/>
      <c r="F643" s="161"/>
      <c r="G643" s="162"/>
      <c r="H643" s="163"/>
      <c r="I643" s="162"/>
      <c r="J643" s="164"/>
      <c r="K643" s="164"/>
      <c r="L643" s="158"/>
      <c r="M643" s="158"/>
      <c r="N643" s="158"/>
      <c r="O643" s="158"/>
      <c r="P643" s="158"/>
      <c r="Q643" s="158"/>
      <c r="R643" s="159"/>
      <c r="S643" s="160"/>
      <c r="T643" s="162"/>
    </row>
    <row r="644">
      <c r="A644" s="158"/>
      <c r="B644" s="158"/>
      <c r="C644" s="158"/>
      <c r="D644" s="159"/>
      <c r="E644" s="160"/>
      <c r="F644" s="161"/>
      <c r="G644" s="162"/>
      <c r="H644" s="163"/>
      <c r="I644" s="162"/>
      <c r="J644" s="164"/>
      <c r="K644" s="164"/>
      <c r="L644" s="158"/>
      <c r="M644" s="158"/>
      <c r="N644" s="158"/>
      <c r="O644" s="158"/>
      <c r="P644" s="158"/>
      <c r="Q644" s="158"/>
      <c r="R644" s="159"/>
      <c r="S644" s="160"/>
      <c r="T644" s="162"/>
    </row>
    <row r="645">
      <c r="A645" s="158"/>
      <c r="B645" s="158"/>
      <c r="C645" s="158"/>
      <c r="D645" s="159"/>
      <c r="E645" s="160"/>
      <c r="F645" s="161"/>
      <c r="G645" s="162"/>
      <c r="H645" s="163"/>
      <c r="I645" s="162"/>
      <c r="J645" s="164"/>
      <c r="K645" s="164"/>
      <c r="L645" s="158"/>
      <c r="M645" s="158"/>
      <c r="N645" s="158"/>
      <c r="O645" s="158"/>
      <c r="P645" s="158"/>
      <c r="Q645" s="158"/>
      <c r="R645" s="159"/>
      <c r="S645" s="160"/>
      <c r="T645" s="162"/>
    </row>
    <row r="646">
      <c r="A646" s="158"/>
      <c r="B646" s="158"/>
      <c r="C646" s="158"/>
      <c r="D646" s="159"/>
      <c r="E646" s="160"/>
      <c r="F646" s="161"/>
      <c r="G646" s="162"/>
      <c r="H646" s="163"/>
      <c r="I646" s="162"/>
      <c r="J646" s="164"/>
      <c r="K646" s="164"/>
      <c r="L646" s="158"/>
      <c r="M646" s="158"/>
      <c r="N646" s="158"/>
      <c r="O646" s="158"/>
      <c r="P646" s="158"/>
      <c r="Q646" s="158"/>
      <c r="R646" s="159"/>
      <c r="S646" s="160"/>
      <c r="T646" s="162"/>
    </row>
    <row r="647">
      <c r="A647" s="158"/>
      <c r="B647" s="158"/>
      <c r="C647" s="158"/>
      <c r="D647" s="159"/>
      <c r="E647" s="160"/>
      <c r="F647" s="161"/>
      <c r="G647" s="162"/>
      <c r="H647" s="163"/>
      <c r="I647" s="162"/>
      <c r="J647" s="164"/>
      <c r="K647" s="164"/>
      <c r="L647" s="158"/>
      <c r="M647" s="158"/>
      <c r="N647" s="158"/>
      <c r="O647" s="158"/>
      <c r="P647" s="158"/>
      <c r="Q647" s="158"/>
      <c r="R647" s="159"/>
      <c r="S647" s="160"/>
      <c r="T647" s="162"/>
    </row>
    <row r="648">
      <c r="A648" s="158"/>
      <c r="B648" s="158"/>
      <c r="C648" s="158"/>
      <c r="D648" s="159"/>
      <c r="E648" s="160"/>
      <c r="F648" s="161"/>
      <c r="G648" s="162"/>
      <c r="H648" s="163"/>
      <c r="I648" s="162"/>
      <c r="J648" s="164"/>
      <c r="K648" s="164"/>
      <c r="L648" s="158"/>
      <c r="M648" s="158"/>
      <c r="N648" s="158"/>
      <c r="O648" s="158"/>
      <c r="P648" s="158"/>
      <c r="Q648" s="158"/>
      <c r="R648" s="159"/>
      <c r="S648" s="160"/>
      <c r="T648" s="162"/>
    </row>
    <row r="649">
      <c r="A649" s="158"/>
      <c r="B649" s="158"/>
      <c r="C649" s="158"/>
      <c r="D649" s="159"/>
      <c r="E649" s="160"/>
      <c r="F649" s="161"/>
      <c r="G649" s="162"/>
      <c r="H649" s="163"/>
      <c r="I649" s="162"/>
      <c r="J649" s="164"/>
      <c r="K649" s="164"/>
      <c r="L649" s="158"/>
      <c r="M649" s="158"/>
      <c r="N649" s="158"/>
      <c r="O649" s="158"/>
      <c r="P649" s="158"/>
      <c r="Q649" s="158"/>
      <c r="R649" s="159"/>
      <c r="S649" s="160"/>
      <c r="T649" s="162"/>
    </row>
    <row r="650">
      <c r="A650" s="158"/>
      <c r="B650" s="158"/>
      <c r="C650" s="158"/>
      <c r="D650" s="159"/>
      <c r="E650" s="160"/>
      <c r="F650" s="161"/>
      <c r="G650" s="162"/>
      <c r="H650" s="163"/>
      <c r="I650" s="162"/>
      <c r="J650" s="164"/>
      <c r="K650" s="164"/>
      <c r="L650" s="158"/>
      <c r="M650" s="158"/>
      <c r="N650" s="158"/>
      <c r="O650" s="158"/>
      <c r="P650" s="158"/>
      <c r="Q650" s="158"/>
      <c r="R650" s="159"/>
      <c r="S650" s="160"/>
      <c r="T650" s="162"/>
    </row>
    <row r="651">
      <c r="A651" s="158"/>
      <c r="B651" s="158"/>
      <c r="C651" s="158"/>
      <c r="D651" s="159"/>
      <c r="E651" s="160"/>
      <c r="F651" s="161"/>
      <c r="G651" s="162"/>
      <c r="H651" s="163"/>
      <c r="I651" s="162"/>
      <c r="J651" s="164"/>
      <c r="K651" s="164"/>
      <c r="L651" s="158"/>
      <c r="M651" s="158"/>
      <c r="N651" s="158"/>
      <c r="O651" s="158"/>
      <c r="P651" s="158"/>
      <c r="Q651" s="158"/>
      <c r="R651" s="159"/>
      <c r="S651" s="160"/>
      <c r="T651" s="162"/>
    </row>
    <row r="652">
      <c r="A652" s="158"/>
      <c r="B652" s="158"/>
      <c r="C652" s="158"/>
      <c r="D652" s="159"/>
      <c r="E652" s="160"/>
      <c r="F652" s="161"/>
      <c r="G652" s="162"/>
      <c r="H652" s="163"/>
      <c r="I652" s="162"/>
      <c r="J652" s="164"/>
      <c r="K652" s="164"/>
      <c r="L652" s="158"/>
      <c r="M652" s="158"/>
      <c r="N652" s="158"/>
      <c r="O652" s="158"/>
      <c r="P652" s="158"/>
      <c r="Q652" s="158"/>
      <c r="R652" s="159"/>
      <c r="S652" s="160"/>
      <c r="T652" s="162"/>
    </row>
    <row r="653">
      <c r="A653" s="158"/>
      <c r="B653" s="158"/>
      <c r="C653" s="158"/>
      <c r="D653" s="159"/>
      <c r="E653" s="160"/>
      <c r="F653" s="161"/>
      <c r="G653" s="162"/>
      <c r="H653" s="163"/>
      <c r="I653" s="162"/>
      <c r="J653" s="164"/>
      <c r="K653" s="164"/>
      <c r="L653" s="158"/>
      <c r="M653" s="158"/>
      <c r="N653" s="158"/>
      <c r="O653" s="158"/>
      <c r="P653" s="158"/>
      <c r="Q653" s="158"/>
      <c r="R653" s="159"/>
      <c r="S653" s="160"/>
      <c r="T653" s="162"/>
    </row>
    <row r="654">
      <c r="A654" s="158"/>
      <c r="B654" s="158"/>
      <c r="C654" s="158"/>
      <c r="D654" s="159"/>
      <c r="E654" s="160"/>
      <c r="F654" s="161"/>
      <c r="G654" s="162"/>
      <c r="H654" s="163"/>
      <c r="I654" s="162"/>
      <c r="J654" s="164"/>
      <c r="K654" s="164"/>
      <c r="L654" s="158"/>
      <c r="M654" s="158"/>
      <c r="N654" s="158"/>
      <c r="O654" s="158"/>
      <c r="P654" s="158"/>
      <c r="Q654" s="158"/>
      <c r="R654" s="159"/>
      <c r="S654" s="160"/>
      <c r="T654" s="162"/>
    </row>
    <row r="655">
      <c r="A655" s="158"/>
      <c r="B655" s="158"/>
      <c r="C655" s="158"/>
      <c r="D655" s="159"/>
      <c r="E655" s="160"/>
      <c r="F655" s="161"/>
      <c r="G655" s="162"/>
      <c r="H655" s="163"/>
      <c r="I655" s="162"/>
      <c r="J655" s="164"/>
      <c r="K655" s="164"/>
      <c r="L655" s="158"/>
      <c r="M655" s="158"/>
      <c r="N655" s="158"/>
      <c r="O655" s="158"/>
      <c r="P655" s="158"/>
      <c r="Q655" s="158"/>
      <c r="R655" s="159"/>
      <c r="S655" s="160"/>
      <c r="T655" s="162"/>
    </row>
    <row r="656">
      <c r="A656" s="158"/>
      <c r="B656" s="158"/>
      <c r="C656" s="158"/>
      <c r="D656" s="159"/>
      <c r="E656" s="160"/>
      <c r="F656" s="161"/>
      <c r="G656" s="162"/>
      <c r="H656" s="163"/>
      <c r="I656" s="162"/>
      <c r="J656" s="164"/>
      <c r="K656" s="164"/>
      <c r="L656" s="158"/>
      <c r="M656" s="158"/>
      <c r="N656" s="158"/>
      <c r="O656" s="158"/>
      <c r="P656" s="158"/>
      <c r="Q656" s="158"/>
      <c r="R656" s="159"/>
      <c r="S656" s="160"/>
      <c r="T656" s="162"/>
    </row>
    <row r="657">
      <c r="A657" s="158"/>
      <c r="B657" s="158"/>
      <c r="C657" s="158"/>
      <c r="D657" s="159"/>
      <c r="E657" s="160"/>
      <c r="F657" s="161"/>
      <c r="G657" s="162"/>
      <c r="H657" s="163"/>
      <c r="I657" s="162"/>
      <c r="J657" s="164"/>
      <c r="K657" s="164"/>
      <c r="L657" s="158"/>
      <c r="M657" s="158"/>
      <c r="N657" s="158"/>
      <c r="O657" s="158"/>
      <c r="P657" s="158"/>
      <c r="Q657" s="158"/>
      <c r="R657" s="159"/>
      <c r="S657" s="160"/>
      <c r="T657" s="162"/>
    </row>
    <row r="658">
      <c r="A658" s="158"/>
      <c r="B658" s="158"/>
      <c r="C658" s="158"/>
      <c r="D658" s="159"/>
      <c r="E658" s="160"/>
      <c r="F658" s="161"/>
      <c r="G658" s="162"/>
      <c r="H658" s="163"/>
      <c r="I658" s="162"/>
      <c r="J658" s="164"/>
      <c r="K658" s="164"/>
      <c r="L658" s="158"/>
      <c r="M658" s="158"/>
      <c r="N658" s="158"/>
      <c r="O658" s="158"/>
      <c r="P658" s="158"/>
      <c r="Q658" s="158"/>
      <c r="R658" s="159"/>
      <c r="S658" s="160"/>
      <c r="T658" s="162"/>
    </row>
    <row r="659">
      <c r="A659" s="158"/>
      <c r="B659" s="158"/>
      <c r="C659" s="158"/>
      <c r="D659" s="159"/>
      <c r="E659" s="160"/>
      <c r="F659" s="161"/>
      <c r="G659" s="162"/>
      <c r="H659" s="163"/>
      <c r="I659" s="162"/>
      <c r="J659" s="164"/>
      <c r="K659" s="164"/>
      <c r="L659" s="158"/>
      <c r="M659" s="158"/>
      <c r="N659" s="158"/>
      <c r="O659" s="158"/>
      <c r="P659" s="158"/>
      <c r="Q659" s="158"/>
      <c r="R659" s="159"/>
      <c r="S659" s="160"/>
      <c r="T659" s="162"/>
    </row>
    <row r="660">
      <c r="A660" s="158"/>
      <c r="B660" s="158"/>
      <c r="C660" s="158"/>
      <c r="D660" s="159"/>
      <c r="E660" s="160"/>
      <c r="F660" s="161"/>
      <c r="G660" s="162"/>
      <c r="H660" s="163"/>
      <c r="I660" s="162"/>
      <c r="J660" s="164"/>
      <c r="K660" s="164"/>
      <c r="L660" s="158"/>
      <c r="M660" s="158"/>
      <c r="N660" s="158"/>
      <c r="O660" s="158"/>
      <c r="P660" s="158"/>
      <c r="Q660" s="158"/>
      <c r="R660" s="159"/>
      <c r="S660" s="160"/>
      <c r="T660" s="162"/>
    </row>
    <row r="661">
      <c r="A661" s="158"/>
      <c r="B661" s="158"/>
      <c r="C661" s="158"/>
      <c r="D661" s="159"/>
      <c r="E661" s="160"/>
      <c r="F661" s="161"/>
      <c r="G661" s="162"/>
      <c r="H661" s="163"/>
      <c r="I661" s="162"/>
      <c r="J661" s="164"/>
      <c r="K661" s="164"/>
      <c r="L661" s="158"/>
      <c r="M661" s="158"/>
      <c r="N661" s="158"/>
      <c r="O661" s="158"/>
      <c r="P661" s="158"/>
      <c r="Q661" s="158"/>
      <c r="R661" s="159"/>
      <c r="S661" s="160"/>
      <c r="T661" s="162"/>
    </row>
    <row r="662">
      <c r="A662" s="158"/>
      <c r="B662" s="158"/>
      <c r="C662" s="158"/>
      <c r="D662" s="159"/>
      <c r="E662" s="160"/>
      <c r="F662" s="161"/>
      <c r="G662" s="162"/>
      <c r="H662" s="163"/>
      <c r="I662" s="162"/>
      <c r="J662" s="164"/>
      <c r="K662" s="164"/>
      <c r="L662" s="158"/>
      <c r="M662" s="158"/>
      <c r="N662" s="158"/>
      <c r="O662" s="158"/>
      <c r="P662" s="158"/>
      <c r="Q662" s="158"/>
      <c r="R662" s="159"/>
      <c r="S662" s="160"/>
      <c r="T662" s="162"/>
    </row>
    <row r="663">
      <c r="A663" s="158"/>
      <c r="B663" s="158"/>
      <c r="C663" s="158"/>
      <c r="D663" s="159"/>
      <c r="E663" s="160"/>
      <c r="F663" s="161"/>
      <c r="G663" s="162"/>
      <c r="H663" s="163"/>
      <c r="I663" s="162"/>
      <c r="J663" s="164"/>
      <c r="K663" s="164"/>
      <c r="L663" s="158"/>
      <c r="M663" s="158"/>
      <c r="N663" s="158"/>
      <c r="O663" s="158"/>
      <c r="P663" s="158"/>
      <c r="Q663" s="158"/>
      <c r="R663" s="159"/>
      <c r="S663" s="160"/>
      <c r="T663" s="162"/>
    </row>
    <row r="664">
      <c r="A664" s="158"/>
      <c r="B664" s="158"/>
      <c r="C664" s="158"/>
      <c r="D664" s="159"/>
      <c r="E664" s="160"/>
      <c r="F664" s="161"/>
      <c r="G664" s="162"/>
      <c r="H664" s="163"/>
      <c r="I664" s="162"/>
      <c r="J664" s="164"/>
      <c r="K664" s="164"/>
      <c r="L664" s="158"/>
      <c r="M664" s="158"/>
      <c r="N664" s="158"/>
      <c r="O664" s="158"/>
      <c r="P664" s="158"/>
      <c r="Q664" s="158"/>
      <c r="R664" s="159"/>
      <c r="S664" s="160"/>
      <c r="T664" s="162"/>
    </row>
    <row r="665">
      <c r="A665" s="158"/>
      <c r="B665" s="158"/>
      <c r="C665" s="158"/>
      <c r="D665" s="159"/>
      <c r="E665" s="160"/>
      <c r="F665" s="161"/>
      <c r="G665" s="162"/>
      <c r="H665" s="163"/>
      <c r="I665" s="162"/>
      <c r="J665" s="164"/>
      <c r="K665" s="164"/>
      <c r="L665" s="158"/>
      <c r="M665" s="158"/>
      <c r="N665" s="158"/>
      <c r="O665" s="158"/>
      <c r="P665" s="158"/>
      <c r="Q665" s="158"/>
      <c r="R665" s="159"/>
      <c r="S665" s="160"/>
      <c r="T665" s="162"/>
    </row>
    <row r="666">
      <c r="A666" s="158"/>
      <c r="B666" s="158"/>
      <c r="C666" s="158"/>
      <c r="D666" s="159"/>
      <c r="E666" s="160"/>
      <c r="F666" s="161"/>
      <c r="G666" s="162"/>
      <c r="H666" s="163"/>
      <c r="I666" s="162"/>
      <c r="J666" s="164"/>
      <c r="K666" s="164"/>
      <c r="L666" s="158"/>
      <c r="M666" s="158"/>
      <c r="N666" s="158"/>
      <c r="O666" s="158"/>
      <c r="P666" s="158"/>
      <c r="Q666" s="158"/>
      <c r="R666" s="159"/>
      <c r="S666" s="160"/>
      <c r="T666" s="162"/>
    </row>
    <row r="667">
      <c r="A667" s="158"/>
      <c r="B667" s="158"/>
      <c r="C667" s="158"/>
      <c r="D667" s="159"/>
      <c r="E667" s="160"/>
      <c r="F667" s="161"/>
      <c r="G667" s="162"/>
      <c r="H667" s="163"/>
      <c r="I667" s="162"/>
      <c r="J667" s="164"/>
      <c r="K667" s="164"/>
      <c r="L667" s="158"/>
      <c r="M667" s="158"/>
      <c r="N667" s="158"/>
      <c r="O667" s="158"/>
      <c r="P667" s="158"/>
      <c r="Q667" s="158"/>
      <c r="R667" s="159"/>
      <c r="S667" s="160"/>
      <c r="T667" s="162"/>
    </row>
    <row r="668">
      <c r="A668" s="158"/>
      <c r="B668" s="158"/>
      <c r="C668" s="158"/>
      <c r="D668" s="159"/>
      <c r="E668" s="160"/>
      <c r="F668" s="161"/>
      <c r="G668" s="162"/>
      <c r="H668" s="163"/>
      <c r="I668" s="162"/>
      <c r="J668" s="164"/>
      <c r="K668" s="164"/>
      <c r="L668" s="158"/>
      <c r="M668" s="158"/>
      <c r="N668" s="158"/>
      <c r="O668" s="158"/>
      <c r="P668" s="158"/>
      <c r="Q668" s="158"/>
      <c r="R668" s="159"/>
      <c r="S668" s="160"/>
      <c r="T668" s="162"/>
    </row>
    <row r="669">
      <c r="A669" s="158"/>
      <c r="B669" s="158"/>
      <c r="C669" s="158"/>
      <c r="D669" s="159"/>
      <c r="E669" s="160"/>
      <c r="F669" s="161"/>
      <c r="G669" s="162"/>
      <c r="H669" s="163"/>
      <c r="I669" s="162"/>
      <c r="J669" s="164"/>
      <c r="K669" s="164"/>
      <c r="L669" s="158"/>
      <c r="M669" s="158"/>
      <c r="N669" s="158"/>
      <c r="O669" s="158"/>
      <c r="P669" s="158"/>
      <c r="Q669" s="158"/>
      <c r="R669" s="159"/>
      <c r="S669" s="160"/>
      <c r="T669" s="162"/>
    </row>
    <row r="670">
      <c r="A670" s="158"/>
      <c r="B670" s="158"/>
      <c r="C670" s="158"/>
      <c r="D670" s="159"/>
      <c r="E670" s="160"/>
      <c r="F670" s="161"/>
      <c r="G670" s="162"/>
      <c r="H670" s="163"/>
      <c r="I670" s="162"/>
      <c r="J670" s="164"/>
      <c r="K670" s="164"/>
      <c r="L670" s="158"/>
      <c r="M670" s="158"/>
      <c r="N670" s="158"/>
      <c r="O670" s="158"/>
      <c r="P670" s="158"/>
      <c r="Q670" s="158"/>
      <c r="R670" s="159"/>
      <c r="S670" s="160"/>
      <c r="T670" s="162"/>
    </row>
    <row r="671">
      <c r="A671" s="158"/>
      <c r="B671" s="158"/>
      <c r="C671" s="158"/>
      <c r="D671" s="159"/>
      <c r="E671" s="160"/>
      <c r="F671" s="161"/>
      <c r="G671" s="162"/>
      <c r="H671" s="163"/>
      <c r="I671" s="162"/>
      <c r="J671" s="164"/>
      <c r="K671" s="164"/>
      <c r="L671" s="158"/>
      <c r="M671" s="158"/>
      <c r="N671" s="158"/>
      <c r="O671" s="158"/>
      <c r="P671" s="158"/>
      <c r="Q671" s="158"/>
      <c r="R671" s="159"/>
      <c r="S671" s="160"/>
      <c r="T671" s="162"/>
    </row>
    <row r="672">
      <c r="A672" s="158"/>
      <c r="B672" s="158"/>
      <c r="C672" s="158"/>
      <c r="D672" s="159"/>
      <c r="E672" s="160"/>
      <c r="F672" s="161"/>
      <c r="G672" s="162"/>
      <c r="H672" s="163"/>
      <c r="I672" s="162"/>
      <c r="J672" s="164"/>
      <c r="K672" s="164"/>
      <c r="L672" s="158"/>
      <c r="M672" s="158"/>
      <c r="N672" s="158"/>
      <c r="O672" s="158"/>
      <c r="P672" s="158"/>
      <c r="Q672" s="158"/>
      <c r="R672" s="159"/>
      <c r="S672" s="160"/>
      <c r="T672" s="162"/>
    </row>
    <row r="673">
      <c r="A673" s="158"/>
      <c r="B673" s="158"/>
      <c r="C673" s="158"/>
      <c r="D673" s="159"/>
      <c r="E673" s="160"/>
      <c r="F673" s="161"/>
      <c r="G673" s="162"/>
      <c r="H673" s="163"/>
      <c r="I673" s="162"/>
      <c r="J673" s="164"/>
      <c r="K673" s="164"/>
      <c r="L673" s="158"/>
      <c r="M673" s="158"/>
      <c r="N673" s="158"/>
      <c r="O673" s="158"/>
      <c r="P673" s="158"/>
      <c r="Q673" s="158"/>
      <c r="R673" s="159"/>
      <c r="S673" s="160"/>
      <c r="T673" s="162"/>
    </row>
    <row r="674">
      <c r="A674" s="158"/>
      <c r="B674" s="158"/>
      <c r="C674" s="158"/>
      <c r="D674" s="159"/>
      <c r="E674" s="160"/>
      <c r="F674" s="161"/>
      <c r="G674" s="162"/>
      <c r="H674" s="163"/>
      <c r="I674" s="162"/>
      <c r="J674" s="164"/>
      <c r="K674" s="164"/>
      <c r="L674" s="158"/>
      <c r="M674" s="158"/>
      <c r="N674" s="158"/>
      <c r="O674" s="158"/>
      <c r="P674" s="158"/>
      <c r="Q674" s="158"/>
      <c r="R674" s="159"/>
      <c r="S674" s="160"/>
      <c r="T674" s="162"/>
    </row>
    <row r="675">
      <c r="A675" s="158"/>
      <c r="B675" s="158"/>
      <c r="C675" s="158"/>
      <c r="D675" s="159"/>
      <c r="E675" s="160"/>
      <c r="F675" s="161"/>
      <c r="G675" s="162"/>
      <c r="H675" s="163"/>
      <c r="I675" s="162"/>
      <c r="J675" s="164"/>
      <c r="K675" s="164"/>
      <c r="L675" s="158"/>
      <c r="M675" s="158"/>
      <c r="N675" s="158"/>
      <c r="O675" s="158"/>
      <c r="P675" s="158"/>
      <c r="Q675" s="158"/>
      <c r="R675" s="159"/>
      <c r="S675" s="160"/>
      <c r="T675" s="162"/>
    </row>
    <row r="676">
      <c r="A676" s="158"/>
      <c r="B676" s="158"/>
      <c r="C676" s="158"/>
      <c r="D676" s="159"/>
      <c r="E676" s="160"/>
      <c r="F676" s="161"/>
      <c r="G676" s="162"/>
      <c r="H676" s="163"/>
      <c r="I676" s="162"/>
      <c r="J676" s="164"/>
      <c r="K676" s="164"/>
      <c r="L676" s="158"/>
      <c r="M676" s="158"/>
      <c r="N676" s="158"/>
      <c r="O676" s="158"/>
      <c r="P676" s="158"/>
      <c r="Q676" s="158"/>
      <c r="R676" s="159"/>
      <c r="S676" s="160"/>
      <c r="T676" s="162"/>
    </row>
    <row r="677">
      <c r="A677" s="158"/>
      <c r="B677" s="158"/>
      <c r="C677" s="158"/>
      <c r="D677" s="159"/>
      <c r="E677" s="160"/>
      <c r="F677" s="161"/>
      <c r="G677" s="162"/>
      <c r="H677" s="163"/>
      <c r="I677" s="162"/>
      <c r="J677" s="164"/>
      <c r="K677" s="164"/>
      <c r="L677" s="158"/>
      <c r="M677" s="158"/>
      <c r="N677" s="158"/>
      <c r="O677" s="158"/>
      <c r="P677" s="158"/>
      <c r="Q677" s="158"/>
      <c r="R677" s="159"/>
      <c r="S677" s="160"/>
      <c r="T677" s="162"/>
    </row>
    <row r="678">
      <c r="A678" s="158"/>
      <c r="B678" s="158"/>
      <c r="C678" s="158"/>
      <c r="D678" s="159"/>
      <c r="E678" s="160"/>
      <c r="F678" s="161"/>
      <c r="G678" s="162"/>
      <c r="H678" s="163"/>
      <c r="I678" s="162"/>
      <c r="J678" s="164"/>
      <c r="K678" s="164"/>
      <c r="L678" s="158"/>
      <c r="M678" s="158"/>
      <c r="N678" s="158"/>
      <c r="O678" s="158"/>
      <c r="P678" s="158"/>
      <c r="Q678" s="158"/>
      <c r="R678" s="159"/>
      <c r="S678" s="160"/>
      <c r="T678" s="162"/>
    </row>
    <row r="679">
      <c r="A679" s="158"/>
      <c r="B679" s="158"/>
      <c r="C679" s="158"/>
      <c r="D679" s="159"/>
      <c r="E679" s="160"/>
      <c r="F679" s="161"/>
      <c r="G679" s="162"/>
      <c r="H679" s="163"/>
      <c r="I679" s="162"/>
      <c r="J679" s="164"/>
      <c r="K679" s="164"/>
      <c r="L679" s="158"/>
      <c r="M679" s="158"/>
      <c r="N679" s="158"/>
      <c r="O679" s="158"/>
      <c r="P679" s="158"/>
      <c r="Q679" s="158"/>
      <c r="R679" s="159"/>
      <c r="S679" s="160"/>
      <c r="T679" s="162"/>
    </row>
    <row r="680">
      <c r="A680" s="158"/>
      <c r="B680" s="158"/>
      <c r="C680" s="158"/>
      <c r="D680" s="159"/>
      <c r="E680" s="160"/>
      <c r="F680" s="161"/>
      <c r="G680" s="162"/>
      <c r="H680" s="163"/>
      <c r="I680" s="162"/>
      <c r="J680" s="164"/>
      <c r="K680" s="164"/>
      <c r="L680" s="158"/>
      <c r="M680" s="158"/>
      <c r="N680" s="158"/>
      <c r="O680" s="158"/>
      <c r="P680" s="158"/>
      <c r="Q680" s="158"/>
      <c r="R680" s="159"/>
      <c r="S680" s="160"/>
      <c r="T680" s="162"/>
    </row>
    <row r="681">
      <c r="A681" s="158"/>
      <c r="B681" s="158"/>
      <c r="C681" s="158"/>
      <c r="D681" s="159"/>
      <c r="E681" s="160"/>
      <c r="F681" s="161"/>
      <c r="G681" s="162"/>
      <c r="H681" s="163"/>
      <c r="I681" s="162"/>
      <c r="J681" s="164"/>
      <c r="K681" s="164"/>
      <c r="L681" s="158"/>
      <c r="M681" s="158"/>
      <c r="N681" s="158"/>
      <c r="O681" s="158"/>
      <c r="P681" s="158"/>
      <c r="Q681" s="158"/>
      <c r="R681" s="159"/>
      <c r="S681" s="160"/>
      <c r="T681" s="162"/>
    </row>
    <row r="682">
      <c r="A682" s="158"/>
      <c r="B682" s="158"/>
      <c r="C682" s="158"/>
      <c r="D682" s="159"/>
      <c r="E682" s="160"/>
      <c r="F682" s="161"/>
      <c r="G682" s="162"/>
      <c r="H682" s="163"/>
      <c r="I682" s="162"/>
      <c r="J682" s="164"/>
      <c r="K682" s="164"/>
      <c r="L682" s="158"/>
      <c r="M682" s="158"/>
      <c r="N682" s="158"/>
      <c r="O682" s="158"/>
      <c r="P682" s="158"/>
      <c r="Q682" s="158"/>
      <c r="R682" s="159"/>
      <c r="S682" s="160"/>
      <c r="T682" s="162"/>
    </row>
    <row r="683">
      <c r="A683" s="158"/>
      <c r="B683" s="158"/>
      <c r="C683" s="158"/>
      <c r="D683" s="159"/>
      <c r="E683" s="160"/>
      <c r="F683" s="161"/>
      <c r="G683" s="162"/>
      <c r="H683" s="163"/>
      <c r="I683" s="162"/>
      <c r="J683" s="164"/>
      <c r="K683" s="164"/>
      <c r="L683" s="158"/>
      <c r="M683" s="158"/>
      <c r="N683" s="158"/>
      <c r="O683" s="158"/>
      <c r="P683" s="158"/>
      <c r="Q683" s="158"/>
      <c r="R683" s="159"/>
      <c r="S683" s="160"/>
      <c r="T683" s="162"/>
    </row>
    <row r="684">
      <c r="A684" s="158"/>
      <c r="B684" s="158"/>
      <c r="C684" s="158"/>
      <c r="D684" s="159"/>
      <c r="E684" s="160"/>
      <c r="F684" s="161"/>
      <c r="G684" s="162"/>
      <c r="H684" s="163"/>
      <c r="I684" s="162"/>
      <c r="J684" s="164"/>
      <c r="K684" s="164"/>
      <c r="L684" s="158"/>
      <c r="M684" s="158"/>
      <c r="N684" s="158"/>
      <c r="O684" s="158"/>
      <c r="P684" s="158"/>
      <c r="Q684" s="158"/>
      <c r="R684" s="159"/>
      <c r="S684" s="160"/>
      <c r="T684" s="162"/>
    </row>
    <row r="685">
      <c r="A685" s="158"/>
      <c r="B685" s="158"/>
      <c r="C685" s="158"/>
      <c r="D685" s="159"/>
      <c r="E685" s="160"/>
      <c r="F685" s="161"/>
      <c r="G685" s="162"/>
      <c r="H685" s="163"/>
      <c r="I685" s="162"/>
      <c r="J685" s="164"/>
      <c r="K685" s="164"/>
      <c r="L685" s="158"/>
      <c r="M685" s="158"/>
      <c r="N685" s="158"/>
      <c r="O685" s="158"/>
      <c r="P685" s="158"/>
      <c r="Q685" s="158"/>
      <c r="R685" s="159"/>
      <c r="S685" s="160"/>
      <c r="T685" s="162"/>
    </row>
    <row r="686">
      <c r="A686" s="158"/>
      <c r="B686" s="158"/>
      <c r="C686" s="158"/>
      <c r="D686" s="159"/>
      <c r="E686" s="160"/>
      <c r="F686" s="161"/>
      <c r="G686" s="162"/>
      <c r="H686" s="163"/>
      <c r="I686" s="162"/>
      <c r="J686" s="164"/>
      <c r="K686" s="164"/>
      <c r="L686" s="158"/>
      <c r="M686" s="158"/>
      <c r="N686" s="158"/>
      <c r="O686" s="158"/>
      <c r="P686" s="158"/>
      <c r="Q686" s="158"/>
      <c r="R686" s="159"/>
      <c r="S686" s="160"/>
      <c r="T686" s="162"/>
    </row>
    <row r="687">
      <c r="A687" s="158"/>
      <c r="B687" s="158"/>
      <c r="C687" s="158"/>
      <c r="D687" s="159"/>
      <c r="E687" s="160"/>
      <c r="F687" s="161"/>
      <c r="G687" s="162"/>
      <c r="H687" s="163"/>
      <c r="I687" s="162"/>
      <c r="J687" s="164"/>
      <c r="K687" s="164"/>
      <c r="L687" s="158"/>
      <c r="M687" s="158"/>
      <c r="N687" s="158"/>
      <c r="O687" s="158"/>
      <c r="P687" s="158"/>
      <c r="Q687" s="158"/>
      <c r="R687" s="159"/>
      <c r="S687" s="160"/>
      <c r="T687" s="162"/>
    </row>
    <row r="688">
      <c r="A688" s="158"/>
      <c r="B688" s="158"/>
      <c r="C688" s="158"/>
      <c r="D688" s="159"/>
      <c r="E688" s="160"/>
      <c r="F688" s="161"/>
      <c r="G688" s="162"/>
      <c r="H688" s="163"/>
      <c r="I688" s="162"/>
      <c r="J688" s="164"/>
      <c r="K688" s="164"/>
      <c r="L688" s="158"/>
      <c r="M688" s="158"/>
      <c r="N688" s="158"/>
      <c r="O688" s="158"/>
      <c r="P688" s="158"/>
      <c r="Q688" s="158"/>
      <c r="R688" s="159"/>
      <c r="S688" s="160"/>
      <c r="T688" s="162"/>
    </row>
    <row r="689">
      <c r="A689" s="158"/>
      <c r="B689" s="158"/>
      <c r="C689" s="158"/>
      <c r="D689" s="159"/>
      <c r="E689" s="160"/>
      <c r="F689" s="161"/>
      <c r="G689" s="162"/>
      <c r="H689" s="163"/>
      <c r="I689" s="162"/>
      <c r="J689" s="164"/>
      <c r="K689" s="164"/>
      <c r="L689" s="158"/>
      <c r="M689" s="158"/>
      <c r="N689" s="158"/>
      <c r="O689" s="158"/>
      <c r="P689" s="158"/>
      <c r="Q689" s="158"/>
      <c r="R689" s="159"/>
      <c r="S689" s="160"/>
      <c r="T689" s="162"/>
    </row>
    <row r="690">
      <c r="A690" s="158"/>
      <c r="B690" s="158"/>
      <c r="C690" s="158"/>
      <c r="D690" s="159"/>
      <c r="E690" s="160"/>
      <c r="F690" s="161"/>
      <c r="G690" s="162"/>
      <c r="H690" s="163"/>
      <c r="I690" s="162"/>
      <c r="J690" s="164"/>
      <c r="K690" s="164"/>
      <c r="L690" s="158"/>
      <c r="M690" s="158"/>
      <c r="N690" s="158"/>
      <c r="O690" s="158"/>
      <c r="P690" s="158"/>
      <c r="Q690" s="158"/>
      <c r="R690" s="159"/>
      <c r="S690" s="160"/>
      <c r="T690" s="162"/>
    </row>
    <row r="691">
      <c r="A691" s="158"/>
      <c r="B691" s="158"/>
      <c r="C691" s="158"/>
      <c r="D691" s="159"/>
      <c r="E691" s="160"/>
      <c r="F691" s="161"/>
      <c r="G691" s="162"/>
      <c r="H691" s="163"/>
      <c r="I691" s="162"/>
      <c r="J691" s="164"/>
      <c r="K691" s="164"/>
      <c r="L691" s="158"/>
      <c r="M691" s="158"/>
      <c r="N691" s="158"/>
      <c r="O691" s="158"/>
      <c r="P691" s="158"/>
      <c r="Q691" s="158"/>
      <c r="R691" s="159"/>
      <c r="S691" s="160"/>
      <c r="T691" s="162"/>
    </row>
    <row r="692">
      <c r="A692" s="158"/>
      <c r="B692" s="158"/>
      <c r="C692" s="158"/>
      <c r="D692" s="159"/>
      <c r="E692" s="160"/>
      <c r="F692" s="161"/>
      <c r="G692" s="162"/>
      <c r="H692" s="163"/>
      <c r="I692" s="162"/>
      <c r="J692" s="164"/>
      <c r="K692" s="164"/>
      <c r="L692" s="158"/>
      <c r="M692" s="158"/>
      <c r="N692" s="158"/>
      <c r="O692" s="158"/>
      <c r="P692" s="158"/>
      <c r="Q692" s="158"/>
      <c r="R692" s="159"/>
      <c r="S692" s="160"/>
      <c r="T692" s="162"/>
    </row>
    <row r="693">
      <c r="A693" s="158"/>
      <c r="B693" s="158"/>
      <c r="C693" s="158"/>
      <c r="D693" s="159"/>
      <c r="E693" s="160"/>
      <c r="F693" s="161"/>
      <c r="G693" s="162"/>
      <c r="H693" s="163"/>
      <c r="I693" s="162"/>
      <c r="J693" s="164"/>
      <c r="K693" s="164"/>
      <c r="L693" s="158"/>
      <c r="M693" s="158"/>
      <c r="N693" s="158"/>
      <c r="O693" s="158"/>
      <c r="P693" s="158"/>
      <c r="Q693" s="158"/>
      <c r="R693" s="159"/>
      <c r="S693" s="160"/>
      <c r="T693" s="162"/>
    </row>
    <row r="694">
      <c r="A694" s="158"/>
      <c r="B694" s="158"/>
      <c r="C694" s="158"/>
      <c r="D694" s="159"/>
      <c r="E694" s="160"/>
      <c r="F694" s="161"/>
      <c r="G694" s="162"/>
      <c r="H694" s="163"/>
      <c r="I694" s="162"/>
      <c r="J694" s="164"/>
      <c r="K694" s="164"/>
      <c r="L694" s="158"/>
      <c r="M694" s="158"/>
      <c r="N694" s="158"/>
      <c r="O694" s="158"/>
      <c r="P694" s="158"/>
      <c r="Q694" s="158"/>
      <c r="R694" s="159"/>
      <c r="S694" s="160"/>
      <c r="T694" s="162"/>
    </row>
    <row r="695">
      <c r="A695" s="158"/>
      <c r="B695" s="158"/>
      <c r="C695" s="158"/>
      <c r="D695" s="159"/>
      <c r="E695" s="160"/>
      <c r="F695" s="161"/>
      <c r="G695" s="162"/>
      <c r="H695" s="163"/>
      <c r="I695" s="162"/>
      <c r="J695" s="164"/>
      <c r="K695" s="164"/>
      <c r="L695" s="158"/>
      <c r="M695" s="158"/>
      <c r="N695" s="158"/>
      <c r="O695" s="158"/>
      <c r="P695" s="158"/>
      <c r="Q695" s="158"/>
      <c r="R695" s="159"/>
      <c r="S695" s="160"/>
      <c r="T695" s="162"/>
    </row>
    <row r="696">
      <c r="A696" s="158"/>
      <c r="B696" s="158"/>
      <c r="C696" s="158"/>
      <c r="D696" s="159"/>
      <c r="E696" s="160"/>
      <c r="F696" s="161"/>
      <c r="G696" s="162"/>
      <c r="H696" s="163"/>
      <c r="I696" s="162"/>
      <c r="J696" s="164"/>
      <c r="K696" s="164"/>
      <c r="L696" s="158"/>
      <c r="M696" s="158"/>
      <c r="N696" s="158"/>
      <c r="O696" s="158"/>
      <c r="P696" s="158"/>
      <c r="Q696" s="158"/>
      <c r="R696" s="159"/>
      <c r="S696" s="160"/>
      <c r="T696" s="162"/>
    </row>
    <row r="697">
      <c r="A697" s="158"/>
      <c r="B697" s="158"/>
      <c r="C697" s="158"/>
      <c r="D697" s="159"/>
      <c r="E697" s="160"/>
      <c r="F697" s="161"/>
      <c r="G697" s="162"/>
      <c r="H697" s="163"/>
      <c r="I697" s="162"/>
      <c r="J697" s="164"/>
      <c r="K697" s="164"/>
      <c r="L697" s="158"/>
      <c r="M697" s="158"/>
      <c r="N697" s="158"/>
      <c r="O697" s="158"/>
      <c r="P697" s="158"/>
      <c r="Q697" s="158"/>
      <c r="R697" s="159"/>
      <c r="S697" s="160"/>
      <c r="T697" s="162"/>
    </row>
    <row r="698">
      <c r="A698" s="158"/>
      <c r="B698" s="158"/>
      <c r="C698" s="158"/>
      <c r="D698" s="159"/>
      <c r="E698" s="160"/>
      <c r="F698" s="161"/>
      <c r="G698" s="162"/>
      <c r="H698" s="163"/>
      <c r="I698" s="162"/>
      <c r="J698" s="164"/>
      <c r="K698" s="164"/>
      <c r="L698" s="158"/>
      <c r="M698" s="158"/>
      <c r="N698" s="158"/>
      <c r="O698" s="158"/>
      <c r="P698" s="158"/>
      <c r="Q698" s="158"/>
      <c r="R698" s="159"/>
      <c r="S698" s="160"/>
      <c r="T698" s="162"/>
    </row>
    <row r="699">
      <c r="A699" s="158"/>
      <c r="B699" s="158"/>
      <c r="C699" s="158"/>
      <c r="D699" s="159"/>
      <c r="E699" s="160"/>
      <c r="F699" s="161"/>
      <c r="G699" s="162"/>
      <c r="H699" s="163"/>
      <c r="I699" s="162"/>
      <c r="J699" s="164"/>
      <c r="K699" s="164"/>
      <c r="L699" s="158"/>
      <c r="M699" s="158"/>
      <c r="N699" s="158"/>
      <c r="O699" s="158"/>
      <c r="P699" s="158"/>
      <c r="Q699" s="158"/>
      <c r="R699" s="159"/>
      <c r="S699" s="160"/>
      <c r="T699" s="162"/>
    </row>
    <row r="700">
      <c r="A700" s="158"/>
      <c r="B700" s="158"/>
      <c r="C700" s="158"/>
      <c r="D700" s="159"/>
      <c r="E700" s="160"/>
      <c r="F700" s="161"/>
      <c r="G700" s="162"/>
      <c r="H700" s="163"/>
      <c r="I700" s="162"/>
      <c r="J700" s="164"/>
      <c r="K700" s="164"/>
      <c r="L700" s="158"/>
      <c r="M700" s="158"/>
      <c r="N700" s="158"/>
      <c r="O700" s="158"/>
      <c r="P700" s="158"/>
      <c r="Q700" s="158"/>
      <c r="R700" s="159"/>
      <c r="S700" s="160"/>
      <c r="T700" s="162"/>
    </row>
    <row r="701">
      <c r="A701" s="158"/>
      <c r="B701" s="158"/>
      <c r="C701" s="158"/>
      <c r="D701" s="159"/>
      <c r="E701" s="160"/>
      <c r="F701" s="161"/>
      <c r="G701" s="162"/>
      <c r="H701" s="163"/>
      <c r="I701" s="162"/>
      <c r="J701" s="164"/>
      <c r="K701" s="164"/>
      <c r="L701" s="158"/>
      <c r="M701" s="158"/>
      <c r="N701" s="158"/>
      <c r="O701" s="158"/>
      <c r="P701" s="158"/>
      <c r="Q701" s="158"/>
      <c r="R701" s="159"/>
      <c r="S701" s="160"/>
      <c r="T701" s="162"/>
    </row>
    <row r="702">
      <c r="A702" s="158"/>
      <c r="B702" s="158"/>
      <c r="C702" s="158"/>
      <c r="D702" s="159"/>
      <c r="E702" s="160"/>
      <c r="F702" s="161"/>
      <c r="G702" s="162"/>
      <c r="H702" s="163"/>
      <c r="I702" s="162"/>
      <c r="J702" s="164"/>
      <c r="K702" s="164"/>
      <c r="L702" s="158"/>
      <c r="M702" s="158"/>
      <c r="N702" s="158"/>
      <c r="O702" s="158"/>
      <c r="P702" s="158"/>
      <c r="Q702" s="158"/>
      <c r="R702" s="159"/>
      <c r="S702" s="160"/>
      <c r="T702" s="162"/>
    </row>
    <row r="703">
      <c r="A703" s="158"/>
      <c r="B703" s="158"/>
      <c r="C703" s="158"/>
      <c r="D703" s="159"/>
      <c r="E703" s="160"/>
      <c r="F703" s="161"/>
      <c r="G703" s="162"/>
      <c r="H703" s="163"/>
      <c r="I703" s="162"/>
      <c r="J703" s="164"/>
      <c r="K703" s="164"/>
      <c r="L703" s="158"/>
      <c r="M703" s="158"/>
      <c r="N703" s="158"/>
      <c r="O703" s="158"/>
      <c r="P703" s="158"/>
      <c r="Q703" s="158"/>
      <c r="R703" s="159"/>
      <c r="S703" s="160"/>
      <c r="T703" s="162"/>
    </row>
    <row r="704">
      <c r="A704" s="158"/>
      <c r="B704" s="158"/>
      <c r="C704" s="158"/>
      <c r="D704" s="159"/>
      <c r="E704" s="160"/>
      <c r="F704" s="161"/>
      <c r="G704" s="162"/>
      <c r="H704" s="163"/>
      <c r="I704" s="162"/>
      <c r="J704" s="164"/>
      <c r="K704" s="164"/>
      <c r="L704" s="158"/>
      <c r="M704" s="158"/>
      <c r="N704" s="158"/>
      <c r="O704" s="158"/>
      <c r="P704" s="158"/>
      <c r="Q704" s="158"/>
      <c r="R704" s="159"/>
      <c r="S704" s="160"/>
      <c r="T704" s="162"/>
    </row>
    <row r="705">
      <c r="A705" s="158"/>
      <c r="B705" s="158"/>
      <c r="C705" s="158"/>
      <c r="D705" s="159"/>
      <c r="E705" s="160"/>
      <c r="F705" s="161"/>
      <c r="G705" s="162"/>
      <c r="H705" s="163"/>
      <c r="I705" s="162"/>
      <c r="J705" s="164"/>
      <c r="K705" s="164"/>
      <c r="L705" s="158"/>
      <c r="M705" s="158"/>
      <c r="N705" s="158"/>
      <c r="O705" s="158"/>
      <c r="P705" s="158"/>
      <c r="Q705" s="158"/>
      <c r="R705" s="159"/>
      <c r="S705" s="160"/>
      <c r="T705" s="162"/>
    </row>
    <row r="706">
      <c r="A706" s="158"/>
      <c r="B706" s="158"/>
      <c r="C706" s="158"/>
      <c r="D706" s="159"/>
      <c r="E706" s="160"/>
      <c r="F706" s="161"/>
      <c r="G706" s="162"/>
      <c r="H706" s="163"/>
      <c r="I706" s="162"/>
      <c r="J706" s="164"/>
      <c r="K706" s="164"/>
      <c r="L706" s="158"/>
      <c r="M706" s="158"/>
      <c r="N706" s="158"/>
      <c r="O706" s="158"/>
      <c r="P706" s="158"/>
      <c r="Q706" s="158"/>
      <c r="R706" s="159"/>
      <c r="S706" s="160"/>
      <c r="T706" s="162"/>
    </row>
    <row r="707">
      <c r="A707" s="158"/>
      <c r="B707" s="158"/>
      <c r="C707" s="158"/>
      <c r="D707" s="159"/>
      <c r="E707" s="160"/>
      <c r="F707" s="161"/>
      <c r="G707" s="162"/>
      <c r="H707" s="163"/>
      <c r="I707" s="162"/>
      <c r="J707" s="164"/>
      <c r="K707" s="164"/>
      <c r="L707" s="158"/>
      <c r="M707" s="158"/>
      <c r="N707" s="158"/>
      <c r="O707" s="158"/>
      <c r="P707" s="158"/>
      <c r="Q707" s="158"/>
      <c r="R707" s="159"/>
      <c r="S707" s="160"/>
      <c r="T707" s="162"/>
    </row>
    <row r="708">
      <c r="A708" s="158"/>
      <c r="B708" s="158"/>
      <c r="C708" s="158"/>
      <c r="D708" s="159"/>
      <c r="E708" s="160"/>
      <c r="F708" s="161"/>
      <c r="G708" s="162"/>
      <c r="H708" s="163"/>
      <c r="I708" s="162"/>
      <c r="J708" s="164"/>
      <c r="K708" s="164"/>
      <c r="L708" s="158"/>
      <c r="M708" s="158"/>
      <c r="N708" s="158"/>
      <c r="O708" s="158"/>
      <c r="P708" s="158"/>
      <c r="Q708" s="158"/>
      <c r="R708" s="159"/>
      <c r="S708" s="160"/>
      <c r="T708" s="162"/>
    </row>
    <row r="709">
      <c r="A709" s="158"/>
      <c r="B709" s="158"/>
      <c r="C709" s="158"/>
      <c r="D709" s="159"/>
      <c r="E709" s="160"/>
      <c r="F709" s="161"/>
      <c r="G709" s="162"/>
      <c r="H709" s="163"/>
      <c r="I709" s="162"/>
      <c r="J709" s="164"/>
      <c r="K709" s="164"/>
      <c r="L709" s="158"/>
      <c r="M709" s="158"/>
      <c r="N709" s="158"/>
      <c r="O709" s="158"/>
      <c r="P709" s="158"/>
      <c r="Q709" s="158"/>
      <c r="R709" s="159"/>
      <c r="S709" s="160"/>
      <c r="T709" s="162"/>
    </row>
    <row r="710">
      <c r="A710" s="158"/>
      <c r="B710" s="158"/>
      <c r="C710" s="158"/>
      <c r="D710" s="159"/>
      <c r="E710" s="160"/>
      <c r="F710" s="161"/>
      <c r="G710" s="162"/>
      <c r="H710" s="163"/>
      <c r="I710" s="162"/>
      <c r="J710" s="164"/>
      <c r="K710" s="164"/>
      <c r="L710" s="158"/>
      <c r="M710" s="158"/>
      <c r="N710" s="158"/>
      <c r="O710" s="158"/>
      <c r="P710" s="158"/>
      <c r="Q710" s="158"/>
      <c r="R710" s="159"/>
      <c r="S710" s="160"/>
      <c r="T710" s="162"/>
    </row>
    <row r="711">
      <c r="A711" s="158"/>
      <c r="B711" s="158"/>
      <c r="C711" s="158"/>
      <c r="D711" s="159"/>
      <c r="E711" s="160"/>
      <c r="F711" s="161"/>
      <c r="G711" s="162"/>
      <c r="H711" s="163"/>
      <c r="I711" s="162"/>
      <c r="J711" s="164"/>
      <c r="K711" s="164"/>
      <c r="L711" s="158"/>
      <c r="M711" s="158"/>
      <c r="N711" s="158"/>
      <c r="O711" s="158"/>
      <c r="P711" s="158"/>
      <c r="Q711" s="158"/>
      <c r="R711" s="159"/>
      <c r="S711" s="160"/>
      <c r="T711" s="162"/>
    </row>
    <row r="712">
      <c r="A712" s="158"/>
      <c r="B712" s="158"/>
      <c r="C712" s="158"/>
      <c r="D712" s="159"/>
      <c r="E712" s="160"/>
      <c r="F712" s="161"/>
      <c r="G712" s="162"/>
      <c r="H712" s="163"/>
      <c r="I712" s="162"/>
      <c r="J712" s="164"/>
      <c r="K712" s="164"/>
      <c r="L712" s="158"/>
      <c r="M712" s="158"/>
      <c r="N712" s="158"/>
      <c r="O712" s="158"/>
      <c r="P712" s="158"/>
      <c r="Q712" s="158"/>
      <c r="R712" s="159"/>
      <c r="S712" s="160"/>
      <c r="T712" s="162"/>
    </row>
    <row r="713">
      <c r="A713" s="158"/>
      <c r="B713" s="158"/>
      <c r="C713" s="158"/>
      <c r="D713" s="159"/>
      <c r="E713" s="160"/>
      <c r="F713" s="161"/>
      <c r="G713" s="162"/>
      <c r="H713" s="163"/>
      <c r="I713" s="162"/>
      <c r="J713" s="164"/>
      <c r="K713" s="164"/>
      <c r="L713" s="158"/>
      <c r="M713" s="158"/>
      <c r="N713" s="158"/>
      <c r="O713" s="158"/>
      <c r="P713" s="158"/>
      <c r="Q713" s="158"/>
      <c r="R713" s="159"/>
      <c r="S713" s="160"/>
      <c r="T713" s="162"/>
    </row>
    <row r="714">
      <c r="A714" s="158"/>
      <c r="B714" s="158"/>
      <c r="C714" s="158"/>
      <c r="D714" s="159"/>
      <c r="E714" s="160"/>
      <c r="F714" s="161"/>
      <c r="G714" s="162"/>
      <c r="H714" s="163"/>
      <c r="I714" s="162"/>
      <c r="J714" s="164"/>
      <c r="K714" s="164"/>
      <c r="L714" s="158"/>
      <c r="M714" s="158"/>
      <c r="N714" s="158"/>
      <c r="O714" s="158"/>
      <c r="P714" s="158"/>
      <c r="Q714" s="158"/>
      <c r="R714" s="159"/>
      <c r="S714" s="160"/>
      <c r="T714" s="162"/>
    </row>
    <row r="715">
      <c r="A715" s="158"/>
      <c r="B715" s="158"/>
      <c r="C715" s="158"/>
      <c r="D715" s="159"/>
      <c r="E715" s="160"/>
      <c r="F715" s="161"/>
      <c r="G715" s="162"/>
      <c r="H715" s="163"/>
      <c r="I715" s="162"/>
      <c r="J715" s="164"/>
      <c r="K715" s="164"/>
      <c r="L715" s="158"/>
      <c r="M715" s="158"/>
      <c r="N715" s="158"/>
      <c r="O715" s="158"/>
      <c r="P715" s="158"/>
      <c r="Q715" s="158"/>
      <c r="R715" s="159"/>
      <c r="S715" s="160"/>
      <c r="T715" s="162"/>
    </row>
    <row r="716">
      <c r="A716" s="158"/>
      <c r="B716" s="158"/>
      <c r="C716" s="158"/>
      <c r="D716" s="159"/>
      <c r="E716" s="160"/>
      <c r="F716" s="161"/>
      <c r="G716" s="162"/>
      <c r="H716" s="163"/>
      <c r="I716" s="162"/>
      <c r="J716" s="164"/>
      <c r="K716" s="164"/>
      <c r="L716" s="158"/>
      <c r="M716" s="158"/>
      <c r="N716" s="158"/>
      <c r="O716" s="158"/>
      <c r="P716" s="158"/>
      <c r="Q716" s="158"/>
      <c r="R716" s="159"/>
      <c r="S716" s="160"/>
      <c r="T716" s="162"/>
    </row>
    <row r="717">
      <c r="A717" s="158"/>
      <c r="B717" s="158"/>
      <c r="C717" s="158"/>
      <c r="D717" s="159"/>
      <c r="E717" s="160"/>
      <c r="F717" s="161"/>
      <c r="G717" s="162"/>
      <c r="H717" s="163"/>
      <c r="I717" s="162"/>
      <c r="J717" s="164"/>
      <c r="K717" s="164"/>
      <c r="L717" s="158"/>
      <c r="M717" s="158"/>
      <c r="N717" s="158"/>
      <c r="O717" s="158"/>
      <c r="P717" s="158"/>
      <c r="Q717" s="158"/>
      <c r="R717" s="159"/>
      <c r="S717" s="160"/>
      <c r="T717" s="162"/>
    </row>
    <row r="718">
      <c r="A718" s="158"/>
      <c r="B718" s="158"/>
      <c r="C718" s="158"/>
      <c r="D718" s="159"/>
      <c r="E718" s="160"/>
      <c r="F718" s="161"/>
      <c r="G718" s="162"/>
      <c r="H718" s="163"/>
      <c r="I718" s="162"/>
      <c r="J718" s="164"/>
      <c r="K718" s="164"/>
      <c r="L718" s="158"/>
      <c r="M718" s="158"/>
      <c r="N718" s="158"/>
      <c r="O718" s="158"/>
      <c r="P718" s="158"/>
      <c r="Q718" s="158"/>
      <c r="R718" s="159"/>
      <c r="S718" s="160"/>
      <c r="T718" s="162"/>
    </row>
    <row r="719">
      <c r="A719" s="158"/>
      <c r="B719" s="158"/>
      <c r="C719" s="158"/>
      <c r="D719" s="159"/>
      <c r="E719" s="160"/>
      <c r="F719" s="161"/>
      <c r="G719" s="162"/>
      <c r="H719" s="163"/>
      <c r="I719" s="162"/>
      <c r="J719" s="164"/>
      <c r="K719" s="164"/>
      <c r="L719" s="158"/>
      <c r="M719" s="158"/>
      <c r="N719" s="158"/>
      <c r="O719" s="158"/>
      <c r="P719" s="158"/>
      <c r="Q719" s="158"/>
      <c r="R719" s="159"/>
      <c r="S719" s="160"/>
      <c r="T719" s="162"/>
    </row>
    <row r="720">
      <c r="A720" s="158"/>
      <c r="B720" s="158"/>
      <c r="C720" s="158"/>
      <c r="D720" s="159"/>
      <c r="E720" s="160"/>
      <c r="F720" s="161"/>
      <c r="G720" s="162"/>
      <c r="H720" s="163"/>
      <c r="I720" s="162"/>
      <c r="J720" s="164"/>
      <c r="K720" s="164"/>
      <c r="L720" s="158"/>
      <c r="M720" s="158"/>
      <c r="N720" s="158"/>
      <c r="O720" s="158"/>
      <c r="P720" s="158"/>
      <c r="Q720" s="158"/>
      <c r="R720" s="159"/>
      <c r="S720" s="160"/>
      <c r="T720" s="162"/>
    </row>
    <row r="721">
      <c r="A721" s="158"/>
      <c r="B721" s="158"/>
      <c r="C721" s="158"/>
      <c r="D721" s="159"/>
      <c r="E721" s="160"/>
      <c r="F721" s="161"/>
      <c r="G721" s="162"/>
      <c r="H721" s="163"/>
      <c r="I721" s="162"/>
      <c r="J721" s="164"/>
      <c r="K721" s="164"/>
      <c r="L721" s="158"/>
      <c r="M721" s="158"/>
      <c r="N721" s="158"/>
      <c r="O721" s="158"/>
      <c r="P721" s="158"/>
      <c r="Q721" s="158"/>
      <c r="R721" s="159"/>
      <c r="S721" s="160"/>
      <c r="T721" s="162"/>
    </row>
    <row r="722">
      <c r="A722" s="158"/>
      <c r="B722" s="158"/>
      <c r="C722" s="158"/>
      <c r="D722" s="159"/>
      <c r="E722" s="160"/>
      <c r="F722" s="161"/>
      <c r="G722" s="162"/>
      <c r="H722" s="163"/>
      <c r="I722" s="162"/>
      <c r="J722" s="164"/>
      <c r="K722" s="164"/>
      <c r="L722" s="158"/>
      <c r="M722" s="158"/>
      <c r="N722" s="158"/>
      <c r="O722" s="158"/>
      <c r="P722" s="158"/>
      <c r="Q722" s="158"/>
      <c r="R722" s="159"/>
      <c r="S722" s="160"/>
      <c r="T722" s="162"/>
    </row>
    <row r="723">
      <c r="A723" s="158"/>
      <c r="B723" s="158"/>
      <c r="C723" s="158"/>
      <c r="D723" s="159"/>
      <c r="E723" s="160"/>
      <c r="F723" s="161"/>
      <c r="G723" s="162"/>
      <c r="H723" s="163"/>
      <c r="I723" s="162"/>
      <c r="J723" s="164"/>
      <c r="K723" s="164"/>
      <c r="L723" s="158"/>
      <c r="M723" s="158"/>
      <c r="N723" s="158"/>
      <c r="O723" s="158"/>
      <c r="P723" s="158"/>
      <c r="Q723" s="158"/>
      <c r="R723" s="159"/>
      <c r="S723" s="160"/>
      <c r="T723" s="162"/>
    </row>
    <row r="724">
      <c r="A724" s="158"/>
      <c r="B724" s="158"/>
      <c r="C724" s="158"/>
      <c r="D724" s="159"/>
      <c r="E724" s="160"/>
      <c r="F724" s="161"/>
      <c r="G724" s="162"/>
      <c r="H724" s="163"/>
      <c r="I724" s="162"/>
      <c r="J724" s="164"/>
      <c r="K724" s="164"/>
      <c r="L724" s="158"/>
      <c r="M724" s="158"/>
      <c r="N724" s="158"/>
      <c r="O724" s="158"/>
      <c r="P724" s="158"/>
      <c r="Q724" s="158"/>
      <c r="R724" s="159"/>
      <c r="S724" s="160"/>
      <c r="T724" s="162"/>
    </row>
    <row r="725">
      <c r="A725" s="158"/>
      <c r="B725" s="158"/>
      <c r="C725" s="158"/>
      <c r="D725" s="159"/>
      <c r="E725" s="160"/>
      <c r="F725" s="161"/>
      <c r="G725" s="162"/>
      <c r="H725" s="163"/>
      <c r="I725" s="162"/>
      <c r="J725" s="164"/>
      <c r="K725" s="164"/>
      <c r="L725" s="158"/>
      <c r="M725" s="158"/>
      <c r="N725" s="158"/>
      <c r="O725" s="158"/>
      <c r="P725" s="158"/>
      <c r="Q725" s="158"/>
      <c r="R725" s="159"/>
      <c r="S725" s="160"/>
      <c r="T725" s="162"/>
    </row>
    <row r="726">
      <c r="A726" s="158"/>
      <c r="B726" s="158"/>
      <c r="C726" s="158"/>
      <c r="D726" s="159"/>
      <c r="E726" s="160"/>
      <c r="F726" s="161"/>
      <c r="G726" s="162"/>
      <c r="H726" s="163"/>
      <c r="I726" s="162"/>
      <c r="J726" s="164"/>
      <c r="K726" s="164"/>
      <c r="L726" s="158"/>
      <c r="M726" s="158"/>
      <c r="N726" s="158"/>
      <c r="O726" s="158"/>
      <c r="P726" s="158"/>
      <c r="Q726" s="158"/>
      <c r="R726" s="159"/>
      <c r="S726" s="160"/>
      <c r="T726" s="162"/>
    </row>
    <row r="727">
      <c r="A727" s="158"/>
      <c r="B727" s="158"/>
      <c r="C727" s="158"/>
      <c r="D727" s="159"/>
      <c r="E727" s="160"/>
      <c r="F727" s="161"/>
      <c r="G727" s="162"/>
      <c r="H727" s="163"/>
      <c r="I727" s="162"/>
      <c r="J727" s="164"/>
      <c r="K727" s="164"/>
      <c r="L727" s="158"/>
      <c r="M727" s="158"/>
      <c r="N727" s="158"/>
      <c r="O727" s="158"/>
      <c r="P727" s="158"/>
      <c r="Q727" s="158"/>
      <c r="R727" s="159"/>
      <c r="S727" s="160"/>
      <c r="T727" s="162"/>
    </row>
    <row r="728">
      <c r="A728" s="158"/>
      <c r="B728" s="158"/>
      <c r="C728" s="158"/>
      <c r="D728" s="159"/>
      <c r="E728" s="160"/>
      <c r="F728" s="161"/>
      <c r="G728" s="162"/>
      <c r="H728" s="163"/>
      <c r="I728" s="162"/>
      <c r="J728" s="164"/>
      <c r="K728" s="164"/>
      <c r="L728" s="158"/>
      <c r="M728" s="158"/>
      <c r="N728" s="158"/>
      <c r="O728" s="158"/>
      <c r="P728" s="158"/>
      <c r="Q728" s="158"/>
      <c r="R728" s="159"/>
      <c r="S728" s="160"/>
      <c r="T728" s="162"/>
    </row>
    <row r="729">
      <c r="A729" s="158"/>
      <c r="B729" s="158"/>
      <c r="C729" s="158"/>
      <c r="D729" s="159"/>
      <c r="E729" s="160"/>
      <c r="F729" s="161"/>
      <c r="G729" s="162"/>
      <c r="H729" s="163"/>
      <c r="I729" s="162"/>
      <c r="J729" s="164"/>
      <c r="K729" s="164"/>
      <c r="L729" s="158"/>
      <c r="M729" s="158"/>
      <c r="N729" s="158"/>
      <c r="O729" s="158"/>
      <c r="P729" s="158"/>
      <c r="Q729" s="158"/>
      <c r="R729" s="159"/>
      <c r="S729" s="160"/>
      <c r="T729" s="162"/>
    </row>
    <row r="730">
      <c r="A730" s="158"/>
      <c r="B730" s="158"/>
      <c r="C730" s="158"/>
      <c r="D730" s="159"/>
      <c r="E730" s="160"/>
      <c r="F730" s="161"/>
      <c r="G730" s="162"/>
      <c r="H730" s="163"/>
      <c r="I730" s="162"/>
      <c r="J730" s="164"/>
      <c r="K730" s="164"/>
      <c r="L730" s="158"/>
      <c r="M730" s="158"/>
      <c r="N730" s="158"/>
      <c r="O730" s="158"/>
      <c r="P730" s="158"/>
      <c r="Q730" s="158"/>
      <c r="R730" s="159"/>
      <c r="S730" s="160"/>
      <c r="T730" s="162"/>
    </row>
    <row r="731">
      <c r="A731" s="158"/>
      <c r="B731" s="158"/>
      <c r="C731" s="158"/>
      <c r="D731" s="159"/>
      <c r="E731" s="160"/>
      <c r="F731" s="161"/>
      <c r="G731" s="162"/>
      <c r="H731" s="163"/>
      <c r="I731" s="162"/>
      <c r="J731" s="164"/>
      <c r="K731" s="164"/>
      <c r="L731" s="158"/>
      <c r="M731" s="158"/>
      <c r="N731" s="158"/>
      <c r="O731" s="158"/>
      <c r="P731" s="158"/>
      <c r="Q731" s="158"/>
      <c r="R731" s="159"/>
      <c r="S731" s="160"/>
      <c r="T731" s="162"/>
    </row>
    <row r="732">
      <c r="A732" s="158"/>
      <c r="B732" s="158"/>
      <c r="C732" s="158"/>
      <c r="D732" s="159"/>
      <c r="E732" s="160"/>
      <c r="F732" s="161"/>
      <c r="G732" s="162"/>
      <c r="H732" s="163"/>
      <c r="I732" s="162"/>
      <c r="J732" s="164"/>
      <c r="K732" s="164"/>
      <c r="L732" s="158"/>
      <c r="M732" s="158"/>
      <c r="N732" s="158"/>
      <c r="O732" s="158"/>
      <c r="P732" s="158"/>
      <c r="Q732" s="158"/>
      <c r="R732" s="159"/>
      <c r="S732" s="160"/>
      <c r="T732" s="162"/>
    </row>
    <row r="733">
      <c r="A733" s="158"/>
      <c r="B733" s="158"/>
      <c r="C733" s="158"/>
      <c r="D733" s="159"/>
      <c r="E733" s="160"/>
      <c r="F733" s="161"/>
      <c r="G733" s="162"/>
      <c r="H733" s="163"/>
      <c r="I733" s="162"/>
      <c r="J733" s="164"/>
      <c r="K733" s="164"/>
      <c r="L733" s="158"/>
      <c r="M733" s="158"/>
      <c r="N733" s="158"/>
      <c r="O733" s="158"/>
      <c r="P733" s="158"/>
      <c r="Q733" s="158"/>
      <c r="R733" s="159"/>
      <c r="S733" s="160"/>
      <c r="T733" s="162"/>
    </row>
    <row r="734">
      <c r="A734" s="158"/>
      <c r="B734" s="158"/>
      <c r="C734" s="158"/>
      <c r="D734" s="159"/>
      <c r="E734" s="160"/>
      <c r="F734" s="161"/>
      <c r="G734" s="162"/>
      <c r="H734" s="163"/>
      <c r="I734" s="162"/>
      <c r="J734" s="164"/>
      <c r="K734" s="164"/>
      <c r="L734" s="158"/>
      <c r="M734" s="158"/>
      <c r="N734" s="158"/>
      <c r="O734" s="158"/>
      <c r="P734" s="158"/>
      <c r="Q734" s="158"/>
      <c r="R734" s="159"/>
      <c r="S734" s="160"/>
      <c r="T734" s="162"/>
    </row>
    <row r="735">
      <c r="A735" s="158"/>
      <c r="B735" s="158"/>
      <c r="C735" s="158"/>
      <c r="D735" s="159"/>
      <c r="E735" s="160"/>
      <c r="F735" s="161"/>
      <c r="G735" s="162"/>
      <c r="H735" s="163"/>
      <c r="I735" s="162"/>
      <c r="J735" s="164"/>
      <c r="K735" s="164"/>
      <c r="L735" s="158"/>
      <c r="M735" s="158"/>
      <c r="N735" s="158"/>
      <c r="O735" s="158"/>
      <c r="P735" s="158"/>
      <c r="Q735" s="158"/>
      <c r="R735" s="159"/>
      <c r="S735" s="160"/>
      <c r="T735" s="162"/>
    </row>
    <row r="736">
      <c r="A736" s="158"/>
      <c r="B736" s="158"/>
      <c r="C736" s="158"/>
      <c r="D736" s="159"/>
      <c r="E736" s="160"/>
      <c r="F736" s="161"/>
      <c r="G736" s="162"/>
      <c r="H736" s="163"/>
      <c r="I736" s="162"/>
      <c r="J736" s="164"/>
      <c r="K736" s="164"/>
      <c r="L736" s="158"/>
      <c r="M736" s="158"/>
      <c r="N736" s="158"/>
      <c r="O736" s="158"/>
      <c r="P736" s="158"/>
      <c r="Q736" s="158"/>
      <c r="R736" s="159"/>
      <c r="S736" s="160"/>
      <c r="T736" s="162"/>
    </row>
    <row r="737">
      <c r="A737" s="158"/>
      <c r="B737" s="158"/>
      <c r="C737" s="158"/>
      <c r="D737" s="159"/>
      <c r="E737" s="160"/>
      <c r="F737" s="161"/>
      <c r="G737" s="162"/>
      <c r="H737" s="163"/>
      <c r="I737" s="162"/>
      <c r="J737" s="164"/>
      <c r="K737" s="164"/>
      <c r="L737" s="158"/>
      <c r="M737" s="158"/>
      <c r="N737" s="158"/>
      <c r="O737" s="158"/>
      <c r="P737" s="158"/>
      <c r="Q737" s="158"/>
      <c r="R737" s="159"/>
      <c r="S737" s="160"/>
      <c r="T737" s="162"/>
    </row>
    <row r="738">
      <c r="A738" s="158"/>
      <c r="B738" s="158"/>
      <c r="C738" s="158"/>
      <c r="D738" s="159"/>
      <c r="E738" s="160"/>
      <c r="F738" s="161"/>
      <c r="G738" s="162"/>
      <c r="H738" s="163"/>
      <c r="I738" s="162"/>
      <c r="J738" s="164"/>
      <c r="K738" s="164"/>
      <c r="L738" s="158"/>
      <c r="M738" s="158"/>
      <c r="N738" s="158"/>
      <c r="O738" s="158"/>
      <c r="P738" s="158"/>
      <c r="Q738" s="158"/>
      <c r="R738" s="159"/>
      <c r="S738" s="160"/>
      <c r="T738" s="162"/>
    </row>
    <row r="739">
      <c r="A739" s="158"/>
      <c r="B739" s="158"/>
      <c r="C739" s="158"/>
      <c r="D739" s="159"/>
      <c r="E739" s="160"/>
      <c r="F739" s="161"/>
      <c r="G739" s="162"/>
      <c r="H739" s="163"/>
      <c r="I739" s="162"/>
      <c r="J739" s="164"/>
      <c r="K739" s="164"/>
      <c r="L739" s="158"/>
      <c r="M739" s="158"/>
      <c r="N739" s="158"/>
      <c r="O739" s="158"/>
      <c r="P739" s="158"/>
      <c r="Q739" s="158"/>
      <c r="R739" s="159"/>
      <c r="S739" s="160"/>
      <c r="T739" s="162"/>
    </row>
    <row r="740">
      <c r="A740" s="158"/>
      <c r="B740" s="158"/>
      <c r="C740" s="158"/>
      <c r="D740" s="159"/>
      <c r="E740" s="160"/>
      <c r="F740" s="161"/>
      <c r="G740" s="162"/>
      <c r="H740" s="163"/>
      <c r="I740" s="162"/>
      <c r="J740" s="164"/>
      <c r="K740" s="164"/>
      <c r="L740" s="158"/>
      <c r="M740" s="158"/>
      <c r="N740" s="158"/>
      <c r="O740" s="158"/>
      <c r="P740" s="158"/>
      <c r="Q740" s="158"/>
      <c r="R740" s="159"/>
      <c r="S740" s="160"/>
      <c r="T740" s="162"/>
    </row>
    <row r="741">
      <c r="A741" s="158"/>
      <c r="B741" s="158"/>
      <c r="C741" s="158"/>
      <c r="D741" s="159"/>
      <c r="E741" s="160"/>
      <c r="F741" s="161"/>
      <c r="G741" s="162"/>
      <c r="H741" s="163"/>
      <c r="I741" s="162"/>
      <c r="J741" s="164"/>
      <c r="K741" s="164"/>
      <c r="L741" s="158"/>
      <c r="M741" s="158"/>
      <c r="N741" s="158"/>
      <c r="O741" s="158"/>
      <c r="P741" s="158"/>
      <c r="Q741" s="158"/>
      <c r="R741" s="159"/>
      <c r="S741" s="160"/>
      <c r="T741" s="162"/>
    </row>
    <row r="742">
      <c r="A742" s="158"/>
      <c r="B742" s="158"/>
      <c r="C742" s="158"/>
      <c r="D742" s="159"/>
      <c r="E742" s="160"/>
      <c r="F742" s="161"/>
      <c r="G742" s="162"/>
      <c r="H742" s="163"/>
      <c r="I742" s="162"/>
      <c r="J742" s="164"/>
      <c r="K742" s="164"/>
      <c r="L742" s="158"/>
      <c r="M742" s="158"/>
      <c r="N742" s="158"/>
      <c r="O742" s="158"/>
      <c r="P742" s="158"/>
      <c r="Q742" s="158"/>
      <c r="R742" s="159"/>
      <c r="S742" s="160"/>
      <c r="T742" s="162"/>
    </row>
    <row r="743">
      <c r="A743" s="158"/>
      <c r="B743" s="158"/>
      <c r="C743" s="158"/>
      <c r="D743" s="159"/>
      <c r="E743" s="160"/>
      <c r="F743" s="161"/>
      <c r="G743" s="162"/>
      <c r="H743" s="163"/>
      <c r="I743" s="162"/>
      <c r="J743" s="164"/>
      <c r="K743" s="164"/>
      <c r="L743" s="158"/>
      <c r="M743" s="158"/>
      <c r="N743" s="158"/>
      <c r="O743" s="158"/>
      <c r="P743" s="158"/>
      <c r="Q743" s="158"/>
      <c r="R743" s="159"/>
      <c r="S743" s="160"/>
      <c r="T743" s="162"/>
    </row>
    <row r="744">
      <c r="A744" s="158"/>
      <c r="B744" s="158"/>
      <c r="C744" s="158"/>
      <c r="D744" s="159"/>
      <c r="E744" s="160"/>
      <c r="F744" s="161"/>
      <c r="G744" s="162"/>
      <c r="H744" s="163"/>
      <c r="I744" s="162"/>
      <c r="J744" s="164"/>
      <c r="K744" s="164"/>
      <c r="L744" s="158"/>
      <c r="M744" s="158"/>
      <c r="N744" s="158"/>
      <c r="O744" s="158"/>
      <c r="P744" s="158"/>
      <c r="Q744" s="158"/>
      <c r="R744" s="159"/>
      <c r="S744" s="160"/>
      <c r="T744" s="162"/>
    </row>
    <row r="745">
      <c r="A745" s="158"/>
      <c r="B745" s="158"/>
      <c r="C745" s="158"/>
      <c r="D745" s="159"/>
      <c r="E745" s="160"/>
      <c r="F745" s="161"/>
      <c r="G745" s="162"/>
      <c r="H745" s="163"/>
      <c r="I745" s="162"/>
      <c r="J745" s="164"/>
      <c r="K745" s="164"/>
      <c r="L745" s="158"/>
      <c r="M745" s="158"/>
      <c r="N745" s="158"/>
      <c r="O745" s="158"/>
      <c r="P745" s="158"/>
      <c r="Q745" s="158"/>
      <c r="R745" s="159"/>
      <c r="S745" s="160"/>
      <c r="T745" s="162"/>
    </row>
    <row r="746">
      <c r="A746" s="158"/>
      <c r="B746" s="158"/>
      <c r="C746" s="158"/>
      <c r="D746" s="159"/>
      <c r="E746" s="160"/>
      <c r="F746" s="161"/>
      <c r="G746" s="162"/>
      <c r="H746" s="163"/>
      <c r="I746" s="162"/>
      <c r="J746" s="164"/>
      <c r="K746" s="164"/>
      <c r="L746" s="158"/>
      <c r="M746" s="158"/>
      <c r="N746" s="158"/>
      <c r="O746" s="158"/>
      <c r="P746" s="158"/>
      <c r="Q746" s="158"/>
      <c r="R746" s="159"/>
      <c r="S746" s="160"/>
      <c r="T746" s="162"/>
    </row>
    <row r="747">
      <c r="A747" s="158"/>
      <c r="B747" s="158"/>
      <c r="C747" s="158"/>
      <c r="D747" s="159"/>
      <c r="E747" s="160"/>
      <c r="F747" s="161"/>
      <c r="G747" s="162"/>
      <c r="H747" s="163"/>
      <c r="I747" s="162"/>
      <c r="J747" s="164"/>
      <c r="K747" s="164"/>
      <c r="L747" s="158"/>
      <c r="M747" s="158"/>
      <c r="N747" s="158"/>
      <c r="O747" s="158"/>
      <c r="P747" s="158"/>
      <c r="Q747" s="158"/>
      <c r="R747" s="159"/>
      <c r="S747" s="160"/>
      <c r="T747" s="162"/>
    </row>
    <row r="748">
      <c r="A748" s="158"/>
      <c r="B748" s="158"/>
      <c r="C748" s="158"/>
      <c r="D748" s="159"/>
      <c r="E748" s="160"/>
      <c r="F748" s="161"/>
      <c r="G748" s="162"/>
      <c r="H748" s="163"/>
      <c r="I748" s="162"/>
      <c r="J748" s="164"/>
      <c r="K748" s="164"/>
      <c r="L748" s="158"/>
      <c r="M748" s="158"/>
      <c r="N748" s="158"/>
      <c r="O748" s="158"/>
      <c r="P748" s="158"/>
      <c r="Q748" s="158"/>
      <c r="R748" s="159"/>
      <c r="S748" s="160"/>
      <c r="T748" s="162"/>
    </row>
    <row r="749">
      <c r="A749" s="158"/>
      <c r="B749" s="158"/>
      <c r="C749" s="158"/>
      <c r="D749" s="159"/>
      <c r="E749" s="160"/>
      <c r="F749" s="161"/>
      <c r="G749" s="162"/>
      <c r="H749" s="163"/>
      <c r="I749" s="162"/>
      <c r="J749" s="164"/>
      <c r="K749" s="164"/>
      <c r="L749" s="158"/>
      <c r="M749" s="158"/>
      <c r="N749" s="158"/>
      <c r="O749" s="158"/>
      <c r="P749" s="158"/>
      <c r="Q749" s="158"/>
      <c r="R749" s="159"/>
      <c r="S749" s="160"/>
      <c r="T749" s="162"/>
    </row>
    <row r="750">
      <c r="A750" s="158"/>
      <c r="B750" s="158"/>
      <c r="C750" s="158"/>
      <c r="D750" s="159"/>
      <c r="E750" s="160"/>
      <c r="F750" s="161"/>
      <c r="G750" s="162"/>
      <c r="H750" s="163"/>
      <c r="I750" s="162"/>
      <c r="J750" s="164"/>
      <c r="K750" s="164"/>
      <c r="L750" s="158"/>
      <c r="M750" s="158"/>
      <c r="N750" s="158"/>
      <c r="O750" s="158"/>
      <c r="P750" s="158"/>
      <c r="Q750" s="158"/>
      <c r="R750" s="159"/>
      <c r="S750" s="160"/>
      <c r="T750" s="162"/>
    </row>
    <row r="751">
      <c r="A751" s="158"/>
      <c r="B751" s="158"/>
      <c r="C751" s="158"/>
      <c r="D751" s="159"/>
      <c r="E751" s="160"/>
      <c r="F751" s="161"/>
      <c r="G751" s="162"/>
      <c r="H751" s="163"/>
      <c r="I751" s="162"/>
      <c r="J751" s="164"/>
      <c r="K751" s="164"/>
      <c r="L751" s="158"/>
      <c r="M751" s="158"/>
      <c r="N751" s="158"/>
      <c r="O751" s="158"/>
      <c r="P751" s="158"/>
      <c r="Q751" s="158"/>
      <c r="R751" s="159"/>
      <c r="S751" s="160"/>
      <c r="T751" s="162"/>
    </row>
    <row r="752">
      <c r="A752" s="158"/>
      <c r="B752" s="158"/>
      <c r="C752" s="158"/>
      <c r="D752" s="159"/>
      <c r="E752" s="160"/>
      <c r="F752" s="161"/>
      <c r="G752" s="162"/>
      <c r="H752" s="163"/>
      <c r="I752" s="162"/>
      <c r="J752" s="164"/>
      <c r="K752" s="164"/>
      <c r="L752" s="158"/>
      <c r="M752" s="158"/>
      <c r="N752" s="158"/>
      <c r="O752" s="158"/>
      <c r="P752" s="158"/>
      <c r="Q752" s="158"/>
      <c r="R752" s="159"/>
      <c r="S752" s="160"/>
      <c r="T752" s="162"/>
    </row>
    <row r="753">
      <c r="A753" s="158"/>
      <c r="B753" s="158"/>
      <c r="C753" s="158"/>
      <c r="D753" s="159"/>
      <c r="E753" s="160"/>
      <c r="F753" s="161"/>
      <c r="G753" s="162"/>
      <c r="H753" s="163"/>
      <c r="I753" s="162"/>
      <c r="J753" s="164"/>
      <c r="K753" s="164"/>
      <c r="L753" s="158"/>
      <c r="M753" s="158"/>
      <c r="N753" s="158"/>
      <c r="O753" s="158"/>
      <c r="P753" s="158"/>
      <c r="Q753" s="158"/>
      <c r="R753" s="159"/>
      <c r="S753" s="160"/>
      <c r="T753" s="162"/>
    </row>
    <row r="754">
      <c r="A754" s="158"/>
      <c r="B754" s="158"/>
      <c r="C754" s="158"/>
      <c r="D754" s="159"/>
      <c r="E754" s="160"/>
      <c r="F754" s="161"/>
      <c r="G754" s="162"/>
      <c r="H754" s="163"/>
      <c r="I754" s="162"/>
      <c r="J754" s="164"/>
      <c r="K754" s="164"/>
      <c r="L754" s="158"/>
      <c r="M754" s="158"/>
      <c r="N754" s="158"/>
      <c r="O754" s="158"/>
      <c r="P754" s="158"/>
      <c r="Q754" s="158"/>
      <c r="R754" s="159"/>
      <c r="S754" s="160"/>
      <c r="T754" s="162"/>
    </row>
    <row r="755">
      <c r="A755" s="158"/>
      <c r="B755" s="158"/>
      <c r="C755" s="158"/>
      <c r="D755" s="159"/>
      <c r="E755" s="160"/>
      <c r="F755" s="161"/>
      <c r="G755" s="162"/>
      <c r="H755" s="163"/>
      <c r="I755" s="162"/>
      <c r="J755" s="164"/>
      <c r="K755" s="164"/>
      <c r="L755" s="158"/>
      <c r="M755" s="158"/>
      <c r="N755" s="158"/>
      <c r="O755" s="158"/>
      <c r="P755" s="158"/>
      <c r="Q755" s="158"/>
      <c r="R755" s="159"/>
      <c r="S755" s="160"/>
      <c r="T755" s="162"/>
    </row>
    <row r="756">
      <c r="A756" s="158"/>
      <c r="B756" s="158"/>
      <c r="C756" s="158"/>
      <c r="D756" s="159"/>
      <c r="E756" s="160"/>
      <c r="F756" s="161"/>
      <c r="G756" s="162"/>
      <c r="H756" s="163"/>
      <c r="I756" s="162"/>
      <c r="J756" s="164"/>
      <c r="K756" s="164"/>
      <c r="L756" s="158"/>
      <c r="M756" s="158"/>
      <c r="N756" s="158"/>
      <c r="O756" s="158"/>
      <c r="P756" s="158"/>
      <c r="Q756" s="158"/>
      <c r="R756" s="159"/>
      <c r="S756" s="160"/>
      <c r="T756" s="162"/>
    </row>
    <row r="757">
      <c r="A757" s="158"/>
      <c r="B757" s="158"/>
      <c r="C757" s="158"/>
      <c r="D757" s="159"/>
      <c r="E757" s="160"/>
      <c r="F757" s="161"/>
      <c r="G757" s="162"/>
      <c r="H757" s="163"/>
      <c r="I757" s="162"/>
      <c r="J757" s="164"/>
      <c r="K757" s="164"/>
      <c r="L757" s="158"/>
      <c r="M757" s="158"/>
      <c r="N757" s="158"/>
      <c r="O757" s="158"/>
      <c r="P757" s="158"/>
      <c r="Q757" s="158"/>
      <c r="R757" s="159"/>
      <c r="S757" s="160"/>
      <c r="T757" s="162"/>
    </row>
    <row r="758">
      <c r="A758" s="158"/>
      <c r="B758" s="158"/>
      <c r="C758" s="158"/>
      <c r="D758" s="159"/>
      <c r="E758" s="160"/>
      <c r="F758" s="161"/>
      <c r="G758" s="162"/>
      <c r="H758" s="163"/>
      <c r="I758" s="162"/>
      <c r="J758" s="164"/>
      <c r="K758" s="164"/>
      <c r="L758" s="158"/>
      <c r="M758" s="158"/>
      <c r="N758" s="158"/>
      <c r="O758" s="158"/>
      <c r="P758" s="158"/>
      <c r="Q758" s="158"/>
      <c r="R758" s="159"/>
      <c r="S758" s="160"/>
      <c r="T758" s="162"/>
    </row>
    <row r="759">
      <c r="A759" s="158"/>
      <c r="B759" s="158"/>
      <c r="C759" s="158"/>
      <c r="D759" s="159"/>
      <c r="E759" s="160"/>
      <c r="F759" s="161"/>
      <c r="G759" s="162"/>
      <c r="H759" s="163"/>
      <c r="I759" s="162"/>
      <c r="J759" s="164"/>
      <c r="K759" s="164"/>
      <c r="L759" s="158"/>
      <c r="M759" s="158"/>
      <c r="N759" s="158"/>
      <c r="O759" s="158"/>
      <c r="P759" s="158"/>
      <c r="Q759" s="158"/>
      <c r="R759" s="159"/>
      <c r="S759" s="160"/>
      <c r="T759" s="162"/>
    </row>
    <row r="760">
      <c r="A760" s="158"/>
      <c r="B760" s="158"/>
      <c r="C760" s="158"/>
      <c r="D760" s="159"/>
      <c r="E760" s="160"/>
      <c r="F760" s="161"/>
      <c r="G760" s="162"/>
      <c r="H760" s="163"/>
      <c r="I760" s="162"/>
      <c r="J760" s="164"/>
      <c r="K760" s="164"/>
      <c r="L760" s="158"/>
      <c r="M760" s="158"/>
      <c r="N760" s="158"/>
      <c r="O760" s="158"/>
      <c r="P760" s="158"/>
      <c r="Q760" s="158"/>
      <c r="R760" s="159"/>
      <c r="S760" s="160"/>
      <c r="T760" s="162"/>
    </row>
    <row r="761">
      <c r="A761" s="158"/>
      <c r="B761" s="158"/>
      <c r="C761" s="158"/>
      <c r="D761" s="159"/>
      <c r="E761" s="160"/>
      <c r="F761" s="161"/>
      <c r="G761" s="162"/>
      <c r="H761" s="163"/>
      <c r="I761" s="162"/>
      <c r="J761" s="164"/>
      <c r="K761" s="164"/>
      <c r="L761" s="158"/>
      <c r="M761" s="158"/>
      <c r="N761" s="158"/>
      <c r="O761" s="158"/>
      <c r="P761" s="158"/>
      <c r="Q761" s="158"/>
      <c r="R761" s="159"/>
      <c r="S761" s="160"/>
      <c r="T761" s="162"/>
    </row>
    <row r="762">
      <c r="A762" s="158"/>
      <c r="B762" s="158"/>
      <c r="C762" s="158"/>
      <c r="D762" s="159"/>
      <c r="E762" s="160"/>
      <c r="F762" s="161"/>
      <c r="G762" s="162"/>
      <c r="H762" s="163"/>
      <c r="I762" s="162"/>
      <c r="J762" s="164"/>
      <c r="K762" s="164"/>
      <c r="L762" s="158"/>
      <c r="M762" s="158"/>
      <c r="N762" s="158"/>
      <c r="O762" s="158"/>
      <c r="P762" s="158"/>
      <c r="Q762" s="158"/>
      <c r="R762" s="159"/>
      <c r="S762" s="160"/>
      <c r="T762" s="162"/>
    </row>
    <row r="763">
      <c r="A763" s="158"/>
      <c r="B763" s="158"/>
      <c r="C763" s="158"/>
      <c r="D763" s="159"/>
      <c r="E763" s="160"/>
      <c r="F763" s="161"/>
      <c r="G763" s="162"/>
      <c r="H763" s="163"/>
      <c r="I763" s="162"/>
      <c r="J763" s="164"/>
      <c r="K763" s="164"/>
      <c r="L763" s="158"/>
      <c r="M763" s="158"/>
      <c r="N763" s="158"/>
      <c r="O763" s="158"/>
      <c r="P763" s="158"/>
      <c r="Q763" s="158"/>
      <c r="R763" s="159"/>
      <c r="S763" s="160"/>
      <c r="T763" s="162"/>
    </row>
    <row r="764">
      <c r="A764" s="158"/>
      <c r="B764" s="158"/>
      <c r="C764" s="158"/>
      <c r="D764" s="159"/>
      <c r="E764" s="160"/>
      <c r="F764" s="161"/>
      <c r="G764" s="162"/>
      <c r="H764" s="163"/>
      <c r="I764" s="162"/>
      <c r="J764" s="164"/>
      <c r="K764" s="164"/>
      <c r="L764" s="158"/>
      <c r="M764" s="158"/>
      <c r="N764" s="158"/>
      <c r="O764" s="158"/>
      <c r="P764" s="158"/>
      <c r="Q764" s="158"/>
      <c r="R764" s="159"/>
      <c r="S764" s="160"/>
      <c r="T764" s="162"/>
    </row>
    <row r="765">
      <c r="A765" s="158"/>
      <c r="B765" s="158"/>
      <c r="C765" s="158"/>
      <c r="D765" s="159"/>
      <c r="E765" s="160"/>
      <c r="F765" s="161"/>
      <c r="G765" s="162"/>
      <c r="H765" s="163"/>
      <c r="I765" s="162"/>
      <c r="J765" s="164"/>
      <c r="K765" s="164"/>
      <c r="L765" s="158"/>
      <c r="M765" s="158"/>
      <c r="N765" s="158"/>
      <c r="O765" s="158"/>
      <c r="P765" s="158"/>
      <c r="Q765" s="158"/>
      <c r="R765" s="159"/>
      <c r="S765" s="160"/>
      <c r="T765" s="162"/>
    </row>
    <row r="766">
      <c r="A766" s="158"/>
      <c r="B766" s="158"/>
      <c r="C766" s="158"/>
      <c r="D766" s="159"/>
      <c r="E766" s="160"/>
      <c r="F766" s="161"/>
      <c r="G766" s="162"/>
      <c r="H766" s="163"/>
      <c r="I766" s="162"/>
      <c r="J766" s="164"/>
      <c r="K766" s="164"/>
      <c r="L766" s="158"/>
      <c r="M766" s="158"/>
      <c r="N766" s="158"/>
      <c r="O766" s="158"/>
      <c r="P766" s="158"/>
      <c r="Q766" s="158"/>
      <c r="R766" s="159"/>
      <c r="S766" s="160"/>
      <c r="T766" s="162"/>
    </row>
    <row r="767">
      <c r="A767" s="158"/>
      <c r="B767" s="158"/>
      <c r="C767" s="158"/>
      <c r="D767" s="159"/>
      <c r="E767" s="160"/>
      <c r="F767" s="161"/>
      <c r="G767" s="162"/>
      <c r="H767" s="163"/>
      <c r="I767" s="162"/>
      <c r="J767" s="164"/>
      <c r="K767" s="164"/>
      <c r="L767" s="158"/>
      <c r="M767" s="158"/>
      <c r="N767" s="158"/>
      <c r="O767" s="158"/>
      <c r="P767" s="158"/>
      <c r="Q767" s="158"/>
      <c r="R767" s="159"/>
      <c r="S767" s="160"/>
      <c r="T767" s="162"/>
    </row>
    <row r="768">
      <c r="A768" s="158"/>
      <c r="B768" s="158"/>
      <c r="C768" s="158"/>
      <c r="D768" s="159"/>
      <c r="E768" s="160"/>
      <c r="F768" s="161"/>
      <c r="G768" s="162"/>
      <c r="H768" s="163"/>
      <c r="I768" s="162"/>
      <c r="J768" s="164"/>
      <c r="K768" s="164"/>
      <c r="L768" s="158"/>
      <c r="M768" s="158"/>
      <c r="N768" s="158"/>
      <c r="O768" s="158"/>
      <c r="P768" s="158"/>
      <c r="Q768" s="158"/>
      <c r="R768" s="159"/>
      <c r="S768" s="160"/>
      <c r="T768" s="162"/>
    </row>
    <row r="769">
      <c r="A769" s="158"/>
      <c r="B769" s="158"/>
      <c r="C769" s="158"/>
      <c r="D769" s="159"/>
      <c r="E769" s="160"/>
      <c r="F769" s="161"/>
      <c r="G769" s="162"/>
      <c r="H769" s="163"/>
      <c r="I769" s="162"/>
      <c r="J769" s="164"/>
      <c r="K769" s="164"/>
      <c r="L769" s="158"/>
      <c r="M769" s="158"/>
      <c r="N769" s="158"/>
      <c r="O769" s="158"/>
      <c r="P769" s="158"/>
      <c r="Q769" s="158"/>
      <c r="R769" s="159"/>
      <c r="S769" s="160"/>
      <c r="T769" s="162"/>
    </row>
    <row r="770">
      <c r="A770" s="158"/>
      <c r="B770" s="158"/>
      <c r="C770" s="158"/>
      <c r="D770" s="159"/>
      <c r="E770" s="160"/>
      <c r="F770" s="161"/>
      <c r="G770" s="162"/>
      <c r="H770" s="163"/>
      <c r="I770" s="162"/>
      <c r="J770" s="164"/>
      <c r="K770" s="164"/>
      <c r="L770" s="158"/>
      <c r="M770" s="158"/>
      <c r="N770" s="158"/>
      <c r="O770" s="158"/>
      <c r="P770" s="158"/>
      <c r="Q770" s="158"/>
      <c r="R770" s="159"/>
      <c r="S770" s="160"/>
      <c r="T770" s="162"/>
    </row>
    <row r="771">
      <c r="A771" s="158"/>
      <c r="B771" s="158"/>
      <c r="C771" s="158"/>
      <c r="D771" s="159"/>
      <c r="E771" s="160"/>
      <c r="F771" s="161"/>
      <c r="G771" s="162"/>
      <c r="H771" s="163"/>
      <c r="I771" s="162"/>
      <c r="J771" s="164"/>
      <c r="K771" s="164"/>
      <c r="L771" s="158"/>
      <c r="M771" s="158"/>
      <c r="N771" s="158"/>
      <c r="O771" s="158"/>
      <c r="P771" s="158"/>
      <c r="Q771" s="158"/>
      <c r="R771" s="159"/>
      <c r="S771" s="160"/>
      <c r="T771" s="162"/>
    </row>
    <row r="772">
      <c r="A772" s="158"/>
      <c r="B772" s="158"/>
      <c r="C772" s="158"/>
      <c r="D772" s="159"/>
      <c r="E772" s="160"/>
      <c r="F772" s="161"/>
      <c r="G772" s="162"/>
      <c r="H772" s="163"/>
      <c r="I772" s="162"/>
      <c r="J772" s="164"/>
      <c r="K772" s="164"/>
      <c r="L772" s="158"/>
      <c r="M772" s="158"/>
      <c r="N772" s="158"/>
      <c r="O772" s="158"/>
      <c r="P772" s="158"/>
      <c r="Q772" s="158"/>
      <c r="R772" s="159"/>
      <c r="S772" s="160"/>
      <c r="T772" s="162"/>
    </row>
    <row r="773">
      <c r="A773" s="158"/>
      <c r="B773" s="158"/>
      <c r="C773" s="158"/>
      <c r="D773" s="159"/>
      <c r="E773" s="160"/>
      <c r="F773" s="161"/>
      <c r="G773" s="162"/>
      <c r="H773" s="163"/>
      <c r="I773" s="162"/>
      <c r="J773" s="164"/>
      <c r="K773" s="164"/>
      <c r="L773" s="158"/>
      <c r="M773" s="158"/>
      <c r="N773" s="158"/>
      <c r="O773" s="158"/>
      <c r="P773" s="158"/>
      <c r="Q773" s="158"/>
      <c r="R773" s="159"/>
      <c r="S773" s="160"/>
      <c r="T773" s="162"/>
    </row>
    <row r="774">
      <c r="A774" s="158"/>
      <c r="B774" s="158"/>
      <c r="C774" s="158"/>
      <c r="D774" s="159"/>
      <c r="E774" s="160"/>
      <c r="F774" s="161"/>
      <c r="G774" s="162"/>
      <c r="H774" s="163"/>
      <c r="I774" s="162"/>
      <c r="J774" s="164"/>
      <c r="K774" s="164"/>
      <c r="L774" s="158"/>
      <c r="M774" s="158"/>
      <c r="N774" s="158"/>
      <c r="O774" s="158"/>
      <c r="P774" s="158"/>
      <c r="Q774" s="158"/>
      <c r="R774" s="159"/>
      <c r="S774" s="160"/>
      <c r="T774" s="162"/>
    </row>
    <row r="775">
      <c r="A775" s="158"/>
      <c r="B775" s="158"/>
      <c r="C775" s="158"/>
      <c r="D775" s="159"/>
      <c r="E775" s="160"/>
      <c r="F775" s="161"/>
      <c r="G775" s="162"/>
      <c r="H775" s="163"/>
      <c r="I775" s="162"/>
      <c r="J775" s="164"/>
      <c r="K775" s="164"/>
      <c r="L775" s="158"/>
      <c r="M775" s="158"/>
      <c r="N775" s="158"/>
      <c r="O775" s="158"/>
      <c r="P775" s="158"/>
      <c r="Q775" s="158"/>
      <c r="R775" s="159"/>
      <c r="S775" s="160"/>
      <c r="T775" s="162"/>
    </row>
    <row r="776">
      <c r="A776" s="158"/>
      <c r="B776" s="158"/>
      <c r="C776" s="158"/>
      <c r="D776" s="159"/>
      <c r="E776" s="160"/>
      <c r="F776" s="161"/>
      <c r="G776" s="162"/>
      <c r="H776" s="163"/>
      <c r="I776" s="162"/>
      <c r="J776" s="164"/>
      <c r="K776" s="164"/>
      <c r="L776" s="158"/>
      <c r="M776" s="158"/>
      <c r="N776" s="158"/>
      <c r="O776" s="158"/>
      <c r="P776" s="158"/>
      <c r="Q776" s="158"/>
      <c r="R776" s="159"/>
      <c r="S776" s="160"/>
      <c r="T776" s="162"/>
    </row>
    <row r="777">
      <c r="A777" s="158"/>
      <c r="B777" s="158"/>
      <c r="C777" s="158"/>
      <c r="D777" s="159"/>
      <c r="E777" s="160"/>
      <c r="F777" s="161"/>
      <c r="G777" s="162"/>
      <c r="H777" s="163"/>
      <c r="I777" s="162"/>
      <c r="J777" s="164"/>
      <c r="K777" s="164"/>
      <c r="L777" s="158"/>
      <c r="M777" s="158"/>
      <c r="N777" s="158"/>
      <c r="O777" s="158"/>
      <c r="P777" s="158"/>
      <c r="Q777" s="158"/>
      <c r="R777" s="159"/>
      <c r="S777" s="160"/>
      <c r="T777" s="162"/>
    </row>
    <row r="778">
      <c r="A778" s="158"/>
      <c r="B778" s="158"/>
      <c r="C778" s="158"/>
      <c r="D778" s="159"/>
      <c r="E778" s="160"/>
      <c r="F778" s="161"/>
      <c r="G778" s="162"/>
      <c r="H778" s="163"/>
      <c r="I778" s="162"/>
      <c r="J778" s="164"/>
      <c r="K778" s="164"/>
      <c r="L778" s="158"/>
      <c r="M778" s="158"/>
      <c r="N778" s="158"/>
      <c r="O778" s="158"/>
      <c r="P778" s="158"/>
      <c r="Q778" s="158"/>
      <c r="R778" s="159"/>
      <c r="S778" s="160"/>
      <c r="T778" s="162"/>
    </row>
    <row r="779">
      <c r="A779" s="158"/>
      <c r="B779" s="158"/>
      <c r="C779" s="158"/>
      <c r="D779" s="159"/>
      <c r="E779" s="160"/>
      <c r="F779" s="161"/>
      <c r="G779" s="162"/>
      <c r="H779" s="163"/>
      <c r="I779" s="162"/>
      <c r="J779" s="164"/>
      <c r="K779" s="164"/>
      <c r="L779" s="158"/>
      <c r="M779" s="158"/>
      <c r="N779" s="158"/>
      <c r="O779" s="158"/>
      <c r="P779" s="158"/>
      <c r="Q779" s="158"/>
      <c r="R779" s="159"/>
      <c r="S779" s="160"/>
      <c r="T779" s="162"/>
    </row>
    <row r="780">
      <c r="A780" s="158"/>
      <c r="B780" s="158"/>
      <c r="C780" s="158"/>
      <c r="D780" s="159"/>
      <c r="E780" s="160"/>
      <c r="F780" s="161"/>
      <c r="G780" s="162"/>
      <c r="H780" s="163"/>
      <c r="I780" s="162"/>
      <c r="J780" s="164"/>
      <c r="K780" s="164"/>
      <c r="L780" s="158"/>
      <c r="M780" s="158"/>
      <c r="N780" s="158"/>
      <c r="O780" s="158"/>
      <c r="P780" s="158"/>
      <c r="Q780" s="158"/>
      <c r="R780" s="159"/>
      <c r="S780" s="160"/>
      <c r="T780" s="162"/>
    </row>
    <row r="781">
      <c r="A781" s="158"/>
      <c r="B781" s="158"/>
      <c r="C781" s="158"/>
      <c r="D781" s="159"/>
      <c r="E781" s="160"/>
      <c r="F781" s="161"/>
      <c r="G781" s="162"/>
      <c r="H781" s="163"/>
      <c r="I781" s="162"/>
      <c r="J781" s="164"/>
      <c r="K781" s="164"/>
      <c r="L781" s="158"/>
      <c r="M781" s="158"/>
      <c r="N781" s="158"/>
      <c r="O781" s="158"/>
      <c r="P781" s="158"/>
      <c r="Q781" s="158"/>
      <c r="R781" s="159"/>
      <c r="S781" s="160"/>
      <c r="T781" s="162"/>
    </row>
    <row r="782">
      <c r="A782" s="158"/>
      <c r="B782" s="158"/>
      <c r="C782" s="158"/>
      <c r="D782" s="159"/>
      <c r="E782" s="160"/>
      <c r="F782" s="161"/>
      <c r="G782" s="162"/>
      <c r="H782" s="163"/>
      <c r="I782" s="162"/>
      <c r="J782" s="164"/>
      <c r="K782" s="164"/>
      <c r="L782" s="158"/>
      <c r="M782" s="158"/>
      <c r="N782" s="158"/>
      <c r="O782" s="158"/>
      <c r="P782" s="158"/>
      <c r="Q782" s="158"/>
      <c r="R782" s="159"/>
      <c r="S782" s="160"/>
      <c r="T782" s="162"/>
    </row>
    <row r="783">
      <c r="A783" s="158"/>
      <c r="B783" s="158"/>
      <c r="C783" s="158"/>
      <c r="D783" s="159"/>
      <c r="E783" s="160"/>
      <c r="F783" s="161"/>
      <c r="G783" s="162"/>
      <c r="H783" s="163"/>
      <c r="I783" s="162"/>
      <c r="J783" s="164"/>
      <c r="K783" s="164"/>
      <c r="L783" s="158"/>
      <c r="M783" s="158"/>
      <c r="N783" s="158"/>
      <c r="O783" s="158"/>
      <c r="P783" s="158"/>
      <c r="Q783" s="158"/>
      <c r="R783" s="159"/>
      <c r="S783" s="160"/>
      <c r="T783" s="162"/>
    </row>
    <row r="784">
      <c r="A784" s="158"/>
      <c r="B784" s="158"/>
      <c r="C784" s="158"/>
      <c r="D784" s="159"/>
      <c r="E784" s="160"/>
      <c r="F784" s="161"/>
      <c r="G784" s="162"/>
      <c r="H784" s="163"/>
      <c r="I784" s="162"/>
      <c r="J784" s="164"/>
      <c r="K784" s="164"/>
      <c r="L784" s="158"/>
      <c r="M784" s="158"/>
      <c r="N784" s="158"/>
      <c r="O784" s="158"/>
      <c r="P784" s="158"/>
      <c r="Q784" s="158"/>
      <c r="R784" s="159"/>
      <c r="S784" s="160"/>
      <c r="T784" s="162"/>
    </row>
    <row r="785">
      <c r="A785" s="158"/>
      <c r="B785" s="158"/>
      <c r="C785" s="158"/>
      <c r="D785" s="159"/>
      <c r="E785" s="160"/>
      <c r="F785" s="161"/>
      <c r="G785" s="162"/>
      <c r="H785" s="163"/>
      <c r="I785" s="162"/>
      <c r="J785" s="164"/>
      <c r="K785" s="164"/>
      <c r="L785" s="158"/>
      <c r="M785" s="158"/>
      <c r="N785" s="158"/>
      <c r="O785" s="158"/>
      <c r="P785" s="158"/>
      <c r="Q785" s="158"/>
      <c r="R785" s="159"/>
      <c r="S785" s="160"/>
      <c r="T785" s="162"/>
    </row>
    <row r="786">
      <c r="A786" s="158"/>
      <c r="B786" s="158"/>
      <c r="C786" s="158"/>
      <c r="D786" s="159"/>
      <c r="E786" s="160"/>
      <c r="F786" s="161"/>
      <c r="G786" s="162"/>
      <c r="H786" s="163"/>
      <c r="I786" s="162"/>
      <c r="J786" s="164"/>
      <c r="K786" s="164"/>
      <c r="L786" s="158"/>
      <c r="M786" s="158"/>
      <c r="N786" s="158"/>
      <c r="O786" s="158"/>
      <c r="P786" s="158"/>
      <c r="Q786" s="158"/>
      <c r="R786" s="159"/>
      <c r="S786" s="160"/>
      <c r="T786" s="162"/>
    </row>
    <row r="787">
      <c r="A787" s="158"/>
      <c r="B787" s="158"/>
      <c r="C787" s="158"/>
      <c r="D787" s="159"/>
      <c r="E787" s="160"/>
      <c r="F787" s="161"/>
      <c r="G787" s="162"/>
      <c r="H787" s="163"/>
      <c r="I787" s="162"/>
      <c r="J787" s="164"/>
      <c r="K787" s="164"/>
      <c r="L787" s="158"/>
      <c r="M787" s="158"/>
      <c r="N787" s="158"/>
      <c r="O787" s="158"/>
      <c r="P787" s="158"/>
      <c r="Q787" s="158"/>
      <c r="R787" s="159"/>
      <c r="S787" s="160"/>
      <c r="T787" s="162"/>
    </row>
    <row r="788">
      <c r="A788" s="158"/>
      <c r="B788" s="158"/>
      <c r="C788" s="158"/>
      <c r="D788" s="159"/>
      <c r="E788" s="160"/>
      <c r="F788" s="161"/>
      <c r="G788" s="162"/>
      <c r="H788" s="163"/>
      <c r="I788" s="162"/>
      <c r="J788" s="164"/>
      <c r="K788" s="164"/>
      <c r="L788" s="158"/>
      <c r="M788" s="158"/>
      <c r="N788" s="158"/>
      <c r="O788" s="158"/>
      <c r="P788" s="158"/>
      <c r="Q788" s="158"/>
      <c r="R788" s="159"/>
      <c r="S788" s="160"/>
      <c r="T788" s="162"/>
    </row>
    <row r="789">
      <c r="A789" s="158"/>
      <c r="B789" s="158"/>
      <c r="C789" s="158"/>
      <c r="D789" s="159"/>
      <c r="E789" s="160"/>
      <c r="F789" s="161"/>
      <c r="G789" s="162"/>
      <c r="H789" s="163"/>
      <c r="I789" s="162"/>
      <c r="J789" s="164"/>
      <c r="K789" s="164"/>
      <c r="L789" s="158"/>
      <c r="M789" s="158"/>
      <c r="N789" s="158"/>
      <c r="O789" s="158"/>
      <c r="P789" s="158"/>
      <c r="Q789" s="158"/>
      <c r="R789" s="159"/>
      <c r="S789" s="160"/>
      <c r="T789" s="162"/>
    </row>
    <row r="790">
      <c r="A790" s="158"/>
      <c r="B790" s="158"/>
      <c r="C790" s="158"/>
      <c r="D790" s="159"/>
      <c r="E790" s="160"/>
      <c r="F790" s="161"/>
      <c r="G790" s="162"/>
      <c r="H790" s="163"/>
      <c r="I790" s="162"/>
      <c r="J790" s="164"/>
      <c r="K790" s="164"/>
      <c r="L790" s="158"/>
      <c r="M790" s="158"/>
      <c r="N790" s="158"/>
      <c r="O790" s="158"/>
      <c r="P790" s="158"/>
      <c r="Q790" s="158"/>
      <c r="R790" s="159"/>
      <c r="S790" s="160"/>
      <c r="T790" s="162"/>
    </row>
    <row r="791">
      <c r="A791" s="158"/>
      <c r="B791" s="158"/>
      <c r="C791" s="158"/>
      <c r="D791" s="159"/>
      <c r="E791" s="160"/>
      <c r="F791" s="161"/>
      <c r="G791" s="162"/>
      <c r="H791" s="163"/>
      <c r="I791" s="162"/>
      <c r="J791" s="164"/>
      <c r="K791" s="164"/>
      <c r="L791" s="158"/>
      <c r="M791" s="158"/>
      <c r="N791" s="158"/>
      <c r="O791" s="158"/>
      <c r="P791" s="158"/>
      <c r="Q791" s="158"/>
      <c r="R791" s="159"/>
      <c r="S791" s="160"/>
      <c r="T791" s="162"/>
    </row>
    <row r="792">
      <c r="A792" s="158"/>
      <c r="B792" s="158"/>
      <c r="C792" s="158"/>
      <c r="D792" s="159"/>
      <c r="E792" s="160"/>
      <c r="F792" s="161"/>
      <c r="G792" s="162"/>
      <c r="H792" s="163"/>
      <c r="I792" s="162"/>
      <c r="J792" s="164"/>
      <c r="K792" s="164"/>
      <c r="L792" s="158"/>
      <c r="M792" s="158"/>
      <c r="N792" s="158"/>
      <c r="O792" s="158"/>
      <c r="P792" s="158"/>
      <c r="Q792" s="158"/>
      <c r="R792" s="159"/>
      <c r="S792" s="160"/>
      <c r="T792" s="162"/>
    </row>
    <row r="793">
      <c r="A793" s="158"/>
      <c r="B793" s="158"/>
      <c r="C793" s="158"/>
      <c r="D793" s="159"/>
      <c r="E793" s="160"/>
      <c r="F793" s="161"/>
      <c r="G793" s="162"/>
      <c r="H793" s="163"/>
      <c r="I793" s="162"/>
      <c r="J793" s="164"/>
      <c r="K793" s="164"/>
      <c r="L793" s="158"/>
      <c r="M793" s="158"/>
      <c r="N793" s="158"/>
      <c r="O793" s="158"/>
      <c r="P793" s="158"/>
      <c r="Q793" s="158"/>
      <c r="R793" s="159"/>
      <c r="S793" s="160"/>
      <c r="T793" s="162"/>
    </row>
    <row r="794">
      <c r="A794" s="158"/>
      <c r="B794" s="158"/>
      <c r="C794" s="158"/>
      <c r="D794" s="159"/>
      <c r="E794" s="160"/>
      <c r="F794" s="161"/>
      <c r="G794" s="162"/>
      <c r="H794" s="163"/>
      <c r="I794" s="162"/>
      <c r="J794" s="164"/>
      <c r="K794" s="164"/>
      <c r="L794" s="158"/>
      <c r="M794" s="158"/>
      <c r="N794" s="158"/>
      <c r="O794" s="158"/>
      <c r="P794" s="158"/>
      <c r="Q794" s="158"/>
      <c r="R794" s="159"/>
      <c r="S794" s="160"/>
      <c r="T794" s="162"/>
    </row>
    <row r="795">
      <c r="A795" s="158"/>
      <c r="B795" s="158"/>
      <c r="C795" s="158"/>
      <c r="D795" s="159"/>
      <c r="E795" s="160"/>
      <c r="F795" s="161"/>
      <c r="G795" s="162"/>
      <c r="H795" s="163"/>
      <c r="I795" s="162"/>
      <c r="J795" s="164"/>
      <c r="K795" s="164"/>
      <c r="L795" s="158"/>
      <c r="M795" s="158"/>
      <c r="N795" s="158"/>
      <c r="O795" s="158"/>
      <c r="P795" s="158"/>
      <c r="Q795" s="158"/>
      <c r="R795" s="159"/>
      <c r="S795" s="160"/>
      <c r="T795" s="162"/>
    </row>
    <row r="796">
      <c r="A796" s="158"/>
      <c r="B796" s="158"/>
      <c r="C796" s="158"/>
      <c r="D796" s="159"/>
      <c r="E796" s="160"/>
      <c r="F796" s="161"/>
      <c r="G796" s="162"/>
      <c r="H796" s="163"/>
      <c r="I796" s="162"/>
      <c r="J796" s="164"/>
      <c r="K796" s="164"/>
      <c r="L796" s="158"/>
      <c r="M796" s="158"/>
      <c r="N796" s="158"/>
      <c r="O796" s="158"/>
      <c r="P796" s="158"/>
      <c r="Q796" s="158"/>
      <c r="R796" s="159"/>
      <c r="S796" s="160"/>
      <c r="T796" s="162"/>
    </row>
    <row r="797">
      <c r="A797" s="158"/>
      <c r="B797" s="158"/>
      <c r="C797" s="158"/>
      <c r="D797" s="159"/>
      <c r="E797" s="160"/>
      <c r="F797" s="161"/>
      <c r="G797" s="162"/>
      <c r="H797" s="163"/>
      <c r="I797" s="162"/>
      <c r="J797" s="164"/>
      <c r="K797" s="164"/>
      <c r="L797" s="158"/>
      <c r="M797" s="158"/>
      <c r="N797" s="158"/>
      <c r="O797" s="158"/>
      <c r="P797" s="158"/>
      <c r="Q797" s="158"/>
      <c r="R797" s="159"/>
      <c r="S797" s="160"/>
      <c r="T797" s="162"/>
    </row>
    <row r="798">
      <c r="A798" s="158"/>
      <c r="B798" s="158"/>
      <c r="C798" s="158"/>
      <c r="D798" s="159"/>
      <c r="E798" s="160"/>
      <c r="F798" s="161"/>
      <c r="G798" s="162"/>
      <c r="H798" s="163"/>
      <c r="I798" s="162"/>
      <c r="J798" s="164"/>
      <c r="K798" s="164"/>
      <c r="L798" s="158"/>
      <c r="M798" s="158"/>
      <c r="N798" s="158"/>
      <c r="O798" s="158"/>
      <c r="P798" s="158"/>
      <c r="Q798" s="158"/>
      <c r="R798" s="159"/>
      <c r="S798" s="160"/>
      <c r="T798" s="162"/>
    </row>
    <row r="799">
      <c r="A799" s="158"/>
      <c r="B799" s="158"/>
      <c r="C799" s="158"/>
      <c r="D799" s="159"/>
      <c r="E799" s="160"/>
      <c r="F799" s="161"/>
      <c r="G799" s="162"/>
      <c r="H799" s="163"/>
      <c r="I799" s="162"/>
      <c r="J799" s="164"/>
      <c r="K799" s="164"/>
      <c r="L799" s="158"/>
      <c r="M799" s="158"/>
      <c r="N799" s="158"/>
      <c r="O799" s="158"/>
      <c r="P799" s="158"/>
      <c r="Q799" s="158"/>
      <c r="R799" s="159"/>
      <c r="S799" s="160"/>
      <c r="T799" s="162"/>
    </row>
    <row r="800">
      <c r="A800" s="158"/>
      <c r="B800" s="158"/>
      <c r="C800" s="158"/>
      <c r="D800" s="159"/>
      <c r="E800" s="160"/>
      <c r="F800" s="161"/>
      <c r="G800" s="162"/>
      <c r="H800" s="163"/>
      <c r="I800" s="162"/>
      <c r="J800" s="164"/>
      <c r="K800" s="164"/>
      <c r="L800" s="158"/>
      <c r="M800" s="158"/>
      <c r="N800" s="158"/>
      <c r="O800" s="158"/>
      <c r="P800" s="158"/>
      <c r="Q800" s="158"/>
      <c r="R800" s="159"/>
      <c r="S800" s="160"/>
      <c r="T800" s="162"/>
    </row>
    <row r="801">
      <c r="A801" s="158"/>
      <c r="B801" s="158"/>
      <c r="C801" s="158"/>
      <c r="D801" s="159"/>
      <c r="E801" s="160"/>
      <c r="F801" s="161"/>
      <c r="G801" s="162"/>
      <c r="H801" s="163"/>
      <c r="I801" s="162"/>
      <c r="J801" s="164"/>
      <c r="K801" s="164"/>
      <c r="L801" s="158"/>
      <c r="M801" s="158"/>
      <c r="N801" s="158"/>
      <c r="O801" s="158"/>
      <c r="P801" s="158"/>
      <c r="Q801" s="158"/>
      <c r="R801" s="159"/>
      <c r="S801" s="160"/>
      <c r="T801" s="162"/>
    </row>
    <row r="802">
      <c r="A802" s="158"/>
      <c r="B802" s="158"/>
      <c r="C802" s="158"/>
      <c r="D802" s="159"/>
      <c r="E802" s="160"/>
      <c r="F802" s="161"/>
      <c r="G802" s="162"/>
      <c r="H802" s="163"/>
      <c r="I802" s="162"/>
      <c r="J802" s="164"/>
      <c r="K802" s="164"/>
      <c r="L802" s="158"/>
      <c r="M802" s="158"/>
      <c r="N802" s="158"/>
      <c r="O802" s="158"/>
      <c r="P802" s="158"/>
      <c r="Q802" s="158"/>
      <c r="R802" s="159"/>
      <c r="S802" s="160"/>
      <c r="T802" s="162"/>
    </row>
    <row r="803">
      <c r="A803" s="158"/>
      <c r="B803" s="158"/>
      <c r="C803" s="158"/>
      <c r="D803" s="159"/>
      <c r="E803" s="160"/>
      <c r="F803" s="161"/>
      <c r="G803" s="162"/>
      <c r="H803" s="163"/>
      <c r="I803" s="162"/>
      <c r="J803" s="164"/>
      <c r="K803" s="164"/>
      <c r="L803" s="158"/>
      <c r="M803" s="158"/>
      <c r="N803" s="158"/>
      <c r="O803" s="158"/>
      <c r="P803" s="158"/>
      <c r="Q803" s="158"/>
      <c r="R803" s="159"/>
      <c r="S803" s="160"/>
      <c r="T803" s="162"/>
    </row>
    <row r="804">
      <c r="A804" s="158"/>
      <c r="B804" s="158"/>
      <c r="C804" s="158"/>
      <c r="D804" s="159"/>
      <c r="E804" s="160"/>
      <c r="F804" s="161"/>
      <c r="G804" s="162"/>
      <c r="H804" s="163"/>
      <c r="I804" s="162"/>
      <c r="J804" s="164"/>
      <c r="K804" s="164"/>
      <c r="L804" s="158"/>
      <c r="M804" s="158"/>
      <c r="N804" s="158"/>
      <c r="O804" s="158"/>
      <c r="P804" s="158"/>
      <c r="Q804" s="158"/>
      <c r="R804" s="159"/>
      <c r="S804" s="160"/>
      <c r="T804" s="162"/>
    </row>
    <row r="805">
      <c r="A805" s="158"/>
      <c r="B805" s="158"/>
      <c r="C805" s="158"/>
      <c r="D805" s="159"/>
      <c r="E805" s="160"/>
      <c r="F805" s="161"/>
      <c r="G805" s="162"/>
      <c r="H805" s="163"/>
      <c r="I805" s="162"/>
      <c r="J805" s="164"/>
      <c r="K805" s="164"/>
      <c r="L805" s="158"/>
      <c r="M805" s="158"/>
      <c r="N805" s="158"/>
      <c r="O805" s="158"/>
      <c r="P805" s="158"/>
      <c r="Q805" s="158"/>
      <c r="R805" s="159"/>
      <c r="S805" s="160"/>
      <c r="T805" s="162"/>
    </row>
    <row r="806">
      <c r="A806" s="158"/>
      <c r="B806" s="158"/>
      <c r="C806" s="158"/>
      <c r="D806" s="159"/>
      <c r="E806" s="160"/>
      <c r="F806" s="161"/>
      <c r="G806" s="162"/>
      <c r="H806" s="163"/>
      <c r="I806" s="162"/>
      <c r="J806" s="164"/>
      <c r="K806" s="164"/>
      <c r="L806" s="158"/>
      <c r="M806" s="158"/>
      <c r="N806" s="158"/>
      <c r="O806" s="158"/>
      <c r="P806" s="158"/>
      <c r="Q806" s="158"/>
      <c r="R806" s="159"/>
      <c r="S806" s="160"/>
      <c r="T806" s="162"/>
    </row>
    <row r="807">
      <c r="A807" s="158"/>
      <c r="B807" s="158"/>
      <c r="C807" s="158"/>
      <c r="D807" s="159"/>
      <c r="E807" s="160"/>
      <c r="F807" s="161"/>
      <c r="G807" s="162"/>
      <c r="H807" s="163"/>
      <c r="I807" s="162"/>
      <c r="J807" s="164"/>
      <c r="K807" s="164"/>
      <c r="L807" s="158"/>
      <c r="M807" s="158"/>
      <c r="N807" s="158"/>
      <c r="O807" s="158"/>
      <c r="P807" s="158"/>
      <c r="Q807" s="158"/>
      <c r="R807" s="159"/>
      <c r="S807" s="160"/>
      <c r="T807" s="162"/>
    </row>
    <row r="808">
      <c r="A808" s="158"/>
      <c r="B808" s="158"/>
      <c r="C808" s="158"/>
      <c r="D808" s="159"/>
      <c r="E808" s="160"/>
      <c r="F808" s="161"/>
      <c r="G808" s="162"/>
      <c r="H808" s="163"/>
      <c r="I808" s="162"/>
      <c r="J808" s="164"/>
      <c r="K808" s="164"/>
      <c r="L808" s="158"/>
      <c r="M808" s="158"/>
      <c r="N808" s="158"/>
      <c r="O808" s="158"/>
      <c r="P808" s="158"/>
      <c r="Q808" s="158"/>
      <c r="R808" s="159"/>
      <c r="S808" s="160"/>
      <c r="T808" s="162"/>
    </row>
    <row r="809">
      <c r="A809" s="158"/>
      <c r="B809" s="158"/>
      <c r="C809" s="158"/>
      <c r="D809" s="159"/>
      <c r="E809" s="160"/>
      <c r="F809" s="161"/>
      <c r="G809" s="162"/>
      <c r="H809" s="163"/>
      <c r="I809" s="162"/>
      <c r="J809" s="164"/>
      <c r="K809" s="164"/>
      <c r="L809" s="158"/>
      <c r="M809" s="158"/>
      <c r="N809" s="158"/>
      <c r="O809" s="158"/>
      <c r="P809" s="158"/>
      <c r="Q809" s="158"/>
      <c r="R809" s="159"/>
      <c r="S809" s="160"/>
      <c r="T809" s="162"/>
    </row>
    <row r="810">
      <c r="A810" s="158"/>
      <c r="B810" s="158"/>
      <c r="C810" s="158"/>
      <c r="D810" s="159"/>
      <c r="E810" s="160"/>
      <c r="F810" s="161"/>
      <c r="G810" s="162"/>
      <c r="H810" s="163"/>
      <c r="I810" s="162"/>
      <c r="J810" s="164"/>
      <c r="K810" s="164"/>
      <c r="L810" s="158"/>
      <c r="M810" s="158"/>
      <c r="N810" s="158"/>
      <c r="O810" s="158"/>
      <c r="P810" s="158"/>
      <c r="Q810" s="158"/>
      <c r="R810" s="159"/>
      <c r="S810" s="160"/>
      <c r="T810" s="162"/>
    </row>
    <row r="811">
      <c r="A811" s="158"/>
      <c r="B811" s="158"/>
      <c r="C811" s="158"/>
      <c r="D811" s="159"/>
      <c r="E811" s="160"/>
      <c r="F811" s="161"/>
      <c r="G811" s="162"/>
      <c r="H811" s="163"/>
      <c r="I811" s="162"/>
      <c r="J811" s="164"/>
      <c r="K811" s="164"/>
      <c r="L811" s="158"/>
      <c r="M811" s="158"/>
      <c r="N811" s="158"/>
      <c r="O811" s="158"/>
      <c r="P811" s="158"/>
      <c r="Q811" s="158"/>
      <c r="R811" s="159"/>
      <c r="S811" s="160"/>
      <c r="T811" s="162"/>
    </row>
    <row r="812">
      <c r="A812" s="158"/>
      <c r="B812" s="158"/>
      <c r="C812" s="158"/>
      <c r="D812" s="159"/>
      <c r="E812" s="160"/>
      <c r="F812" s="161"/>
      <c r="G812" s="162"/>
      <c r="H812" s="163"/>
      <c r="I812" s="162"/>
      <c r="J812" s="164"/>
      <c r="K812" s="164"/>
      <c r="L812" s="158"/>
      <c r="M812" s="158"/>
      <c r="N812" s="158"/>
      <c r="O812" s="158"/>
      <c r="P812" s="158"/>
      <c r="Q812" s="158"/>
      <c r="R812" s="159"/>
      <c r="S812" s="160"/>
      <c r="T812" s="162"/>
    </row>
    <row r="813">
      <c r="A813" s="158"/>
      <c r="B813" s="158"/>
      <c r="C813" s="158"/>
      <c r="D813" s="159"/>
      <c r="E813" s="160"/>
      <c r="F813" s="161"/>
      <c r="G813" s="162"/>
      <c r="H813" s="163"/>
      <c r="I813" s="162"/>
      <c r="J813" s="164"/>
      <c r="K813" s="164"/>
      <c r="L813" s="158"/>
      <c r="M813" s="158"/>
      <c r="N813" s="158"/>
      <c r="O813" s="158"/>
      <c r="P813" s="158"/>
      <c r="Q813" s="158"/>
      <c r="R813" s="159"/>
      <c r="S813" s="160"/>
      <c r="T813" s="162"/>
    </row>
    <row r="814">
      <c r="A814" s="158"/>
      <c r="B814" s="158"/>
      <c r="C814" s="158"/>
      <c r="D814" s="159"/>
      <c r="E814" s="160"/>
      <c r="F814" s="161"/>
      <c r="G814" s="162"/>
      <c r="H814" s="163"/>
      <c r="I814" s="162"/>
      <c r="J814" s="164"/>
      <c r="K814" s="164"/>
      <c r="L814" s="158"/>
      <c r="M814" s="158"/>
      <c r="N814" s="158"/>
      <c r="O814" s="158"/>
      <c r="P814" s="158"/>
      <c r="Q814" s="158"/>
      <c r="R814" s="159"/>
      <c r="S814" s="160"/>
      <c r="T814" s="162"/>
    </row>
    <row r="815">
      <c r="A815" s="158"/>
      <c r="B815" s="158"/>
      <c r="C815" s="158"/>
      <c r="D815" s="159"/>
      <c r="E815" s="160"/>
      <c r="F815" s="161"/>
      <c r="G815" s="162"/>
      <c r="H815" s="163"/>
      <c r="I815" s="162"/>
      <c r="J815" s="164"/>
      <c r="K815" s="164"/>
      <c r="L815" s="158"/>
      <c r="M815" s="158"/>
      <c r="N815" s="158"/>
      <c r="O815" s="158"/>
      <c r="P815" s="158"/>
      <c r="Q815" s="158"/>
      <c r="R815" s="159"/>
      <c r="S815" s="160"/>
      <c r="T815" s="162"/>
    </row>
    <row r="816">
      <c r="A816" s="158"/>
      <c r="B816" s="158"/>
      <c r="C816" s="158"/>
      <c r="D816" s="159"/>
      <c r="E816" s="160"/>
      <c r="F816" s="161"/>
      <c r="G816" s="162"/>
      <c r="H816" s="163"/>
      <c r="I816" s="162"/>
      <c r="J816" s="164"/>
      <c r="K816" s="164"/>
      <c r="L816" s="158"/>
      <c r="M816" s="158"/>
      <c r="N816" s="158"/>
      <c r="O816" s="158"/>
      <c r="P816" s="158"/>
      <c r="Q816" s="158"/>
      <c r="R816" s="159"/>
      <c r="S816" s="160"/>
      <c r="T816" s="162"/>
    </row>
    <row r="817">
      <c r="A817" s="158"/>
      <c r="B817" s="158"/>
      <c r="C817" s="158"/>
      <c r="D817" s="159"/>
      <c r="E817" s="160"/>
      <c r="F817" s="161"/>
      <c r="G817" s="162"/>
      <c r="H817" s="163"/>
      <c r="I817" s="162"/>
      <c r="J817" s="164"/>
      <c r="K817" s="164"/>
      <c r="L817" s="158"/>
      <c r="M817" s="158"/>
      <c r="N817" s="158"/>
      <c r="O817" s="158"/>
      <c r="P817" s="158"/>
      <c r="Q817" s="158"/>
      <c r="R817" s="159"/>
      <c r="S817" s="160"/>
      <c r="T817" s="162"/>
    </row>
    <row r="818">
      <c r="A818" s="158"/>
      <c r="B818" s="158"/>
      <c r="C818" s="158"/>
      <c r="D818" s="159"/>
      <c r="E818" s="160"/>
      <c r="F818" s="161"/>
      <c r="G818" s="162"/>
      <c r="H818" s="163"/>
      <c r="I818" s="162"/>
      <c r="J818" s="164"/>
      <c r="K818" s="164"/>
      <c r="L818" s="158"/>
      <c r="M818" s="158"/>
      <c r="N818" s="158"/>
      <c r="O818" s="158"/>
      <c r="P818" s="158"/>
      <c r="Q818" s="158"/>
      <c r="R818" s="159"/>
      <c r="S818" s="160"/>
      <c r="T818" s="162"/>
    </row>
    <row r="819">
      <c r="A819" s="158"/>
      <c r="B819" s="158"/>
      <c r="C819" s="158"/>
      <c r="D819" s="159"/>
      <c r="E819" s="160"/>
      <c r="F819" s="161"/>
      <c r="G819" s="162"/>
      <c r="H819" s="163"/>
      <c r="I819" s="162"/>
      <c r="J819" s="164"/>
      <c r="K819" s="164"/>
      <c r="L819" s="158"/>
      <c r="M819" s="158"/>
      <c r="N819" s="158"/>
      <c r="O819" s="158"/>
      <c r="P819" s="158"/>
      <c r="Q819" s="158"/>
      <c r="R819" s="159"/>
      <c r="S819" s="160"/>
      <c r="T819" s="162"/>
    </row>
    <row r="820">
      <c r="A820" s="158"/>
      <c r="B820" s="158"/>
      <c r="C820" s="158"/>
      <c r="D820" s="159"/>
      <c r="E820" s="160"/>
      <c r="F820" s="161"/>
      <c r="G820" s="162"/>
      <c r="H820" s="163"/>
      <c r="I820" s="162"/>
      <c r="J820" s="164"/>
      <c r="K820" s="164"/>
      <c r="L820" s="158"/>
      <c r="M820" s="158"/>
      <c r="N820" s="158"/>
      <c r="O820" s="158"/>
      <c r="P820" s="158"/>
      <c r="Q820" s="158"/>
      <c r="R820" s="159"/>
      <c r="S820" s="160"/>
      <c r="T820" s="162"/>
    </row>
    <row r="821">
      <c r="A821" s="158"/>
      <c r="B821" s="158"/>
      <c r="C821" s="158"/>
      <c r="D821" s="159"/>
      <c r="E821" s="160"/>
      <c r="F821" s="161"/>
      <c r="G821" s="162"/>
      <c r="H821" s="163"/>
      <c r="I821" s="162"/>
      <c r="J821" s="164"/>
      <c r="K821" s="164"/>
      <c r="L821" s="158"/>
      <c r="M821" s="158"/>
      <c r="N821" s="158"/>
      <c r="O821" s="158"/>
      <c r="P821" s="158"/>
      <c r="Q821" s="158"/>
      <c r="R821" s="159"/>
      <c r="S821" s="160"/>
      <c r="T821" s="162"/>
    </row>
    <row r="822">
      <c r="A822" s="158"/>
      <c r="B822" s="158"/>
      <c r="C822" s="158"/>
      <c r="D822" s="159"/>
      <c r="E822" s="160"/>
      <c r="F822" s="161"/>
      <c r="G822" s="162"/>
      <c r="H822" s="163"/>
      <c r="I822" s="162"/>
      <c r="J822" s="164"/>
      <c r="K822" s="164"/>
      <c r="L822" s="158"/>
      <c r="M822" s="158"/>
      <c r="N822" s="158"/>
      <c r="O822" s="158"/>
      <c r="P822" s="158"/>
      <c r="Q822" s="158"/>
      <c r="R822" s="159"/>
      <c r="S822" s="160"/>
      <c r="T822" s="162"/>
    </row>
    <row r="823">
      <c r="A823" s="158"/>
      <c r="B823" s="158"/>
      <c r="C823" s="158"/>
      <c r="D823" s="159"/>
      <c r="E823" s="160"/>
      <c r="F823" s="161"/>
      <c r="G823" s="162"/>
      <c r="H823" s="163"/>
      <c r="I823" s="162"/>
      <c r="J823" s="164"/>
      <c r="K823" s="164"/>
      <c r="L823" s="158"/>
      <c r="M823" s="158"/>
      <c r="N823" s="158"/>
      <c r="O823" s="158"/>
      <c r="P823" s="158"/>
      <c r="Q823" s="158"/>
      <c r="R823" s="159"/>
      <c r="S823" s="160"/>
      <c r="T823" s="162"/>
    </row>
    <row r="824">
      <c r="A824" s="158"/>
      <c r="B824" s="158"/>
      <c r="C824" s="158"/>
      <c r="D824" s="159"/>
      <c r="E824" s="160"/>
      <c r="F824" s="161"/>
      <c r="G824" s="162"/>
      <c r="H824" s="163"/>
      <c r="I824" s="162"/>
      <c r="J824" s="164"/>
      <c r="K824" s="164"/>
      <c r="L824" s="158"/>
      <c r="M824" s="158"/>
      <c r="N824" s="158"/>
      <c r="O824" s="158"/>
      <c r="P824" s="158"/>
      <c r="Q824" s="158"/>
      <c r="R824" s="159"/>
      <c r="S824" s="160"/>
      <c r="T824" s="162"/>
    </row>
    <row r="825">
      <c r="A825" s="158"/>
      <c r="B825" s="158"/>
      <c r="C825" s="158"/>
      <c r="D825" s="159"/>
      <c r="E825" s="160"/>
      <c r="F825" s="161"/>
      <c r="G825" s="162"/>
      <c r="H825" s="163"/>
      <c r="I825" s="162"/>
      <c r="J825" s="164"/>
      <c r="K825" s="164"/>
      <c r="L825" s="158"/>
      <c r="M825" s="158"/>
      <c r="N825" s="158"/>
      <c r="O825" s="158"/>
      <c r="P825" s="158"/>
      <c r="Q825" s="158"/>
      <c r="R825" s="159"/>
      <c r="S825" s="160"/>
      <c r="T825" s="162"/>
    </row>
    <row r="826">
      <c r="A826" s="158"/>
      <c r="B826" s="158"/>
      <c r="C826" s="158"/>
      <c r="D826" s="159"/>
      <c r="E826" s="160"/>
      <c r="F826" s="161"/>
      <c r="G826" s="162"/>
      <c r="H826" s="163"/>
      <c r="I826" s="162"/>
      <c r="J826" s="164"/>
      <c r="K826" s="164"/>
      <c r="L826" s="158"/>
      <c r="M826" s="158"/>
      <c r="N826" s="158"/>
      <c r="O826" s="158"/>
      <c r="P826" s="158"/>
      <c r="Q826" s="158"/>
      <c r="R826" s="159"/>
      <c r="S826" s="160"/>
      <c r="T826" s="162"/>
    </row>
    <row r="827">
      <c r="A827" s="158"/>
      <c r="B827" s="158"/>
      <c r="C827" s="158"/>
      <c r="D827" s="159"/>
      <c r="E827" s="160"/>
      <c r="F827" s="161"/>
      <c r="G827" s="162"/>
      <c r="H827" s="163"/>
      <c r="I827" s="162"/>
      <c r="J827" s="164"/>
      <c r="K827" s="164"/>
      <c r="L827" s="158"/>
      <c r="M827" s="158"/>
      <c r="N827" s="158"/>
      <c r="O827" s="158"/>
      <c r="P827" s="158"/>
      <c r="Q827" s="158"/>
      <c r="R827" s="159"/>
      <c r="S827" s="160"/>
      <c r="T827" s="162"/>
    </row>
    <row r="828">
      <c r="A828" s="158"/>
      <c r="B828" s="158"/>
      <c r="C828" s="158"/>
      <c r="D828" s="159"/>
      <c r="E828" s="160"/>
      <c r="F828" s="161"/>
      <c r="G828" s="162"/>
      <c r="H828" s="163"/>
      <c r="I828" s="162"/>
      <c r="J828" s="164"/>
      <c r="K828" s="164"/>
      <c r="L828" s="158"/>
      <c r="M828" s="158"/>
      <c r="N828" s="158"/>
      <c r="O828" s="158"/>
      <c r="P828" s="158"/>
      <c r="Q828" s="158"/>
      <c r="R828" s="159"/>
      <c r="S828" s="160"/>
      <c r="T828" s="162"/>
    </row>
    <row r="829">
      <c r="A829" s="158"/>
      <c r="B829" s="158"/>
      <c r="C829" s="158"/>
      <c r="D829" s="159"/>
      <c r="E829" s="160"/>
      <c r="F829" s="161"/>
      <c r="G829" s="162"/>
      <c r="H829" s="163"/>
      <c r="I829" s="162"/>
      <c r="J829" s="164"/>
      <c r="K829" s="164"/>
      <c r="L829" s="158"/>
      <c r="M829" s="158"/>
      <c r="N829" s="158"/>
      <c r="O829" s="158"/>
      <c r="P829" s="158"/>
      <c r="Q829" s="158"/>
      <c r="R829" s="159"/>
      <c r="S829" s="160"/>
      <c r="T829" s="162"/>
    </row>
    <row r="830">
      <c r="A830" s="158"/>
      <c r="B830" s="158"/>
      <c r="C830" s="158"/>
      <c r="D830" s="159"/>
      <c r="E830" s="160"/>
      <c r="F830" s="161"/>
      <c r="G830" s="162"/>
      <c r="H830" s="163"/>
      <c r="I830" s="162"/>
      <c r="J830" s="164"/>
      <c r="K830" s="164"/>
      <c r="L830" s="158"/>
      <c r="M830" s="158"/>
      <c r="N830" s="158"/>
      <c r="O830" s="158"/>
      <c r="P830" s="158"/>
      <c r="Q830" s="158"/>
      <c r="R830" s="159"/>
      <c r="S830" s="160"/>
      <c r="T830" s="162"/>
    </row>
    <row r="831">
      <c r="A831" s="158"/>
      <c r="B831" s="158"/>
      <c r="C831" s="158"/>
      <c r="D831" s="159"/>
      <c r="E831" s="160"/>
      <c r="F831" s="161"/>
      <c r="G831" s="162"/>
      <c r="H831" s="163"/>
      <c r="I831" s="162"/>
      <c r="J831" s="164"/>
      <c r="K831" s="164"/>
      <c r="L831" s="158"/>
      <c r="M831" s="158"/>
      <c r="N831" s="158"/>
      <c r="O831" s="158"/>
      <c r="P831" s="158"/>
      <c r="Q831" s="158"/>
      <c r="R831" s="159"/>
      <c r="S831" s="160"/>
      <c r="T831" s="162"/>
    </row>
    <row r="832">
      <c r="A832" s="158"/>
      <c r="B832" s="158"/>
      <c r="C832" s="158"/>
      <c r="D832" s="159"/>
      <c r="E832" s="160"/>
      <c r="F832" s="161"/>
      <c r="G832" s="162"/>
      <c r="H832" s="163"/>
      <c r="I832" s="162"/>
      <c r="J832" s="164"/>
      <c r="K832" s="164"/>
      <c r="L832" s="158"/>
      <c r="M832" s="158"/>
      <c r="N832" s="158"/>
      <c r="O832" s="158"/>
      <c r="P832" s="158"/>
      <c r="Q832" s="158"/>
      <c r="R832" s="159"/>
      <c r="S832" s="160"/>
      <c r="T832" s="162"/>
    </row>
    <row r="833">
      <c r="A833" s="158"/>
      <c r="B833" s="158"/>
      <c r="C833" s="158"/>
      <c r="D833" s="159"/>
      <c r="E833" s="160"/>
      <c r="F833" s="161"/>
      <c r="G833" s="162"/>
      <c r="H833" s="163"/>
      <c r="I833" s="162"/>
      <c r="J833" s="164"/>
      <c r="K833" s="164"/>
      <c r="L833" s="158"/>
      <c r="M833" s="158"/>
      <c r="N833" s="158"/>
      <c r="O833" s="158"/>
      <c r="P833" s="158"/>
      <c r="Q833" s="158"/>
      <c r="R833" s="159"/>
      <c r="S833" s="160"/>
      <c r="T833" s="162"/>
    </row>
    <row r="834">
      <c r="A834" s="158"/>
      <c r="B834" s="158"/>
      <c r="C834" s="158"/>
      <c r="D834" s="159"/>
      <c r="E834" s="160"/>
      <c r="F834" s="161"/>
      <c r="G834" s="162"/>
      <c r="H834" s="163"/>
      <c r="I834" s="162"/>
      <c r="J834" s="164"/>
      <c r="K834" s="164"/>
      <c r="L834" s="158"/>
      <c r="M834" s="158"/>
      <c r="N834" s="158"/>
      <c r="O834" s="158"/>
      <c r="P834" s="158"/>
      <c r="Q834" s="158"/>
      <c r="R834" s="159"/>
      <c r="S834" s="160"/>
      <c r="T834" s="162"/>
    </row>
    <row r="835">
      <c r="A835" s="158"/>
      <c r="B835" s="158"/>
      <c r="C835" s="158"/>
      <c r="D835" s="159"/>
      <c r="E835" s="160"/>
      <c r="F835" s="161"/>
      <c r="G835" s="162"/>
      <c r="H835" s="163"/>
      <c r="I835" s="162"/>
      <c r="J835" s="164"/>
      <c r="K835" s="164"/>
      <c r="L835" s="158"/>
      <c r="M835" s="158"/>
      <c r="N835" s="158"/>
      <c r="O835" s="158"/>
      <c r="P835" s="158"/>
      <c r="Q835" s="158"/>
      <c r="R835" s="159"/>
      <c r="S835" s="160"/>
      <c r="T835" s="162"/>
    </row>
    <row r="836">
      <c r="A836" s="158"/>
      <c r="B836" s="158"/>
      <c r="C836" s="158"/>
      <c r="D836" s="159"/>
      <c r="E836" s="160"/>
      <c r="F836" s="161"/>
      <c r="G836" s="162"/>
      <c r="H836" s="163"/>
      <c r="I836" s="162"/>
      <c r="J836" s="164"/>
      <c r="K836" s="164"/>
      <c r="L836" s="158"/>
      <c r="M836" s="158"/>
      <c r="N836" s="158"/>
      <c r="O836" s="158"/>
      <c r="P836" s="158"/>
      <c r="Q836" s="158"/>
      <c r="R836" s="159"/>
      <c r="S836" s="160"/>
      <c r="T836" s="162"/>
    </row>
    <row r="837">
      <c r="A837" s="158"/>
      <c r="B837" s="158"/>
      <c r="C837" s="158"/>
      <c r="D837" s="159"/>
      <c r="E837" s="160"/>
      <c r="F837" s="161"/>
      <c r="G837" s="162"/>
      <c r="H837" s="163"/>
      <c r="I837" s="162"/>
      <c r="J837" s="164"/>
      <c r="K837" s="164"/>
      <c r="L837" s="158"/>
      <c r="M837" s="158"/>
      <c r="N837" s="158"/>
      <c r="O837" s="158"/>
      <c r="P837" s="158"/>
      <c r="Q837" s="158"/>
      <c r="R837" s="159"/>
      <c r="S837" s="160"/>
      <c r="T837" s="162"/>
    </row>
    <row r="838">
      <c r="A838" s="158"/>
      <c r="B838" s="158"/>
      <c r="C838" s="158"/>
      <c r="D838" s="159"/>
      <c r="E838" s="160"/>
      <c r="F838" s="161"/>
      <c r="G838" s="162"/>
      <c r="H838" s="163"/>
      <c r="I838" s="162"/>
      <c r="J838" s="164"/>
      <c r="K838" s="164"/>
      <c r="L838" s="158"/>
      <c r="M838" s="158"/>
      <c r="N838" s="158"/>
      <c r="O838" s="158"/>
      <c r="P838" s="158"/>
      <c r="Q838" s="158"/>
      <c r="R838" s="159"/>
      <c r="S838" s="160"/>
      <c r="T838" s="162"/>
    </row>
    <row r="839">
      <c r="A839" s="158"/>
      <c r="B839" s="158"/>
      <c r="C839" s="158"/>
      <c r="D839" s="159"/>
      <c r="E839" s="160"/>
      <c r="F839" s="161"/>
      <c r="G839" s="162"/>
      <c r="H839" s="163"/>
      <c r="I839" s="162"/>
      <c r="J839" s="164"/>
      <c r="K839" s="164"/>
      <c r="L839" s="158"/>
      <c r="M839" s="158"/>
      <c r="N839" s="158"/>
      <c r="O839" s="158"/>
      <c r="P839" s="158"/>
      <c r="Q839" s="158"/>
      <c r="R839" s="159"/>
      <c r="S839" s="160"/>
      <c r="T839" s="162"/>
    </row>
    <row r="840">
      <c r="A840" s="158"/>
      <c r="B840" s="158"/>
      <c r="C840" s="158"/>
      <c r="D840" s="159"/>
      <c r="E840" s="160"/>
      <c r="F840" s="161"/>
      <c r="G840" s="162"/>
      <c r="H840" s="163"/>
      <c r="I840" s="162"/>
      <c r="J840" s="164"/>
      <c r="K840" s="164"/>
      <c r="L840" s="158"/>
      <c r="M840" s="158"/>
      <c r="N840" s="158"/>
      <c r="O840" s="158"/>
      <c r="P840" s="158"/>
      <c r="Q840" s="158"/>
      <c r="R840" s="159"/>
      <c r="S840" s="160"/>
      <c r="T840" s="162"/>
    </row>
    <row r="841">
      <c r="A841" s="158"/>
      <c r="B841" s="158"/>
      <c r="C841" s="158"/>
      <c r="D841" s="159"/>
      <c r="E841" s="160"/>
      <c r="F841" s="161"/>
      <c r="G841" s="162"/>
      <c r="H841" s="163"/>
      <c r="I841" s="162"/>
      <c r="J841" s="164"/>
      <c r="K841" s="164"/>
      <c r="L841" s="158"/>
      <c r="M841" s="158"/>
      <c r="N841" s="158"/>
      <c r="O841" s="158"/>
      <c r="P841" s="158"/>
      <c r="Q841" s="158"/>
      <c r="R841" s="159"/>
      <c r="S841" s="160"/>
      <c r="T841" s="162"/>
    </row>
    <row r="842">
      <c r="A842" s="158"/>
      <c r="B842" s="158"/>
      <c r="C842" s="158"/>
      <c r="D842" s="159"/>
      <c r="E842" s="160"/>
      <c r="F842" s="161"/>
      <c r="G842" s="162"/>
      <c r="H842" s="163"/>
      <c r="I842" s="162"/>
      <c r="J842" s="164"/>
      <c r="K842" s="164"/>
      <c r="L842" s="158"/>
      <c r="M842" s="158"/>
      <c r="N842" s="158"/>
      <c r="O842" s="158"/>
      <c r="P842" s="158"/>
      <c r="Q842" s="158"/>
      <c r="R842" s="159"/>
      <c r="S842" s="160"/>
      <c r="T842" s="162"/>
    </row>
    <row r="843">
      <c r="A843" s="158"/>
      <c r="B843" s="158"/>
      <c r="C843" s="158"/>
      <c r="D843" s="159"/>
      <c r="E843" s="160"/>
      <c r="F843" s="161"/>
      <c r="G843" s="162"/>
      <c r="H843" s="163"/>
      <c r="I843" s="162"/>
      <c r="J843" s="164"/>
      <c r="K843" s="164"/>
      <c r="L843" s="158"/>
      <c r="M843" s="158"/>
      <c r="N843" s="158"/>
      <c r="O843" s="158"/>
      <c r="P843" s="158"/>
      <c r="Q843" s="158"/>
      <c r="R843" s="159"/>
      <c r="S843" s="160"/>
      <c r="T843" s="162"/>
    </row>
    <row r="844">
      <c r="A844" s="158"/>
      <c r="B844" s="158"/>
      <c r="C844" s="158"/>
      <c r="D844" s="159"/>
      <c r="E844" s="160"/>
      <c r="F844" s="161"/>
      <c r="G844" s="162"/>
      <c r="H844" s="163"/>
      <c r="I844" s="162"/>
      <c r="J844" s="164"/>
      <c r="K844" s="164"/>
      <c r="L844" s="158"/>
      <c r="M844" s="158"/>
      <c r="N844" s="158"/>
      <c r="O844" s="158"/>
      <c r="P844" s="158"/>
      <c r="Q844" s="158"/>
      <c r="R844" s="159"/>
      <c r="S844" s="160"/>
      <c r="T844" s="162"/>
    </row>
    <row r="845">
      <c r="A845" s="158"/>
      <c r="B845" s="158"/>
      <c r="C845" s="158"/>
      <c r="D845" s="159"/>
      <c r="E845" s="160"/>
      <c r="F845" s="161"/>
      <c r="G845" s="162"/>
      <c r="H845" s="163"/>
      <c r="I845" s="162"/>
      <c r="J845" s="164"/>
      <c r="K845" s="164"/>
      <c r="L845" s="158"/>
      <c r="M845" s="158"/>
      <c r="N845" s="158"/>
      <c r="O845" s="158"/>
      <c r="P845" s="158"/>
      <c r="Q845" s="158"/>
      <c r="R845" s="159"/>
      <c r="S845" s="160"/>
      <c r="T845" s="162"/>
    </row>
    <row r="846">
      <c r="A846" s="158"/>
      <c r="B846" s="158"/>
      <c r="C846" s="158"/>
      <c r="D846" s="159"/>
      <c r="E846" s="160"/>
      <c r="F846" s="161"/>
      <c r="G846" s="162"/>
      <c r="H846" s="163"/>
      <c r="I846" s="162"/>
      <c r="J846" s="164"/>
      <c r="K846" s="164"/>
      <c r="L846" s="158"/>
      <c r="M846" s="158"/>
      <c r="N846" s="158"/>
      <c r="O846" s="158"/>
      <c r="P846" s="158"/>
      <c r="Q846" s="158"/>
      <c r="R846" s="159"/>
      <c r="S846" s="160"/>
      <c r="T846" s="162"/>
    </row>
    <row r="847">
      <c r="A847" s="158"/>
      <c r="B847" s="158"/>
      <c r="C847" s="158"/>
      <c r="D847" s="159"/>
      <c r="E847" s="160"/>
      <c r="F847" s="161"/>
      <c r="G847" s="162"/>
      <c r="H847" s="163"/>
      <c r="I847" s="162"/>
      <c r="J847" s="164"/>
      <c r="K847" s="164"/>
      <c r="L847" s="158"/>
      <c r="M847" s="158"/>
      <c r="N847" s="158"/>
      <c r="O847" s="158"/>
      <c r="P847" s="158"/>
      <c r="Q847" s="158"/>
      <c r="R847" s="159"/>
      <c r="S847" s="160"/>
      <c r="T847" s="162"/>
    </row>
    <row r="848">
      <c r="A848" s="158"/>
      <c r="B848" s="158"/>
      <c r="C848" s="158"/>
      <c r="D848" s="159"/>
      <c r="E848" s="160"/>
      <c r="F848" s="161"/>
      <c r="G848" s="162"/>
      <c r="H848" s="163"/>
      <c r="I848" s="162"/>
      <c r="J848" s="164"/>
      <c r="K848" s="164"/>
      <c r="L848" s="158"/>
      <c r="M848" s="158"/>
      <c r="N848" s="158"/>
      <c r="O848" s="158"/>
      <c r="P848" s="158"/>
      <c r="Q848" s="158"/>
      <c r="R848" s="159"/>
      <c r="S848" s="160"/>
      <c r="T848" s="162"/>
    </row>
    <row r="849">
      <c r="A849" s="158"/>
      <c r="B849" s="158"/>
      <c r="C849" s="158"/>
      <c r="D849" s="159"/>
      <c r="E849" s="160"/>
      <c r="F849" s="161"/>
      <c r="G849" s="162"/>
      <c r="H849" s="163"/>
      <c r="I849" s="162"/>
      <c r="J849" s="164"/>
      <c r="K849" s="164"/>
      <c r="L849" s="158"/>
      <c r="M849" s="158"/>
      <c r="N849" s="158"/>
      <c r="O849" s="158"/>
      <c r="P849" s="158"/>
      <c r="Q849" s="158"/>
      <c r="R849" s="159"/>
      <c r="S849" s="160"/>
      <c r="T849" s="162"/>
    </row>
    <row r="850">
      <c r="A850" s="158"/>
      <c r="B850" s="158"/>
      <c r="C850" s="158"/>
      <c r="D850" s="159"/>
      <c r="E850" s="160"/>
      <c r="F850" s="161"/>
      <c r="G850" s="162"/>
      <c r="H850" s="163"/>
      <c r="I850" s="162"/>
      <c r="J850" s="164"/>
      <c r="K850" s="164"/>
      <c r="L850" s="158"/>
      <c r="M850" s="158"/>
      <c r="N850" s="158"/>
      <c r="O850" s="158"/>
      <c r="P850" s="158"/>
      <c r="Q850" s="158"/>
      <c r="R850" s="159"/>
      <c r="S850" s="160"/>
      <c r="T850" s="162"/>
    </row>
    <row r="851">
      <c r="A851" s="158"/>
      <c r="B851" s="158"/>
      <c r="C851" s="158"/>
      <c r="D851" s="159"/>
      <c r="E851" s="160"/>
      <c r="F851" s="161"/>
      <c r="G851" s="162"/>
      <c r="H851" s="163"/>
      <c r="I851" s="162"/>
      <c r="J851" s="164"/>
      <c r="K851" s="164"/>
      <c r="L851" s="158"/>
      <c r="M851" s="158"/>
      <c r="N851" s="158"/>
      <c r="O851" s="158"/>
      <c r="P851" s="158"/>
      <c r="Q851" s="158"/>
      <c r="R851" s="159"/>
      <c r="S851" s="160"/>
      <c r="T851" s="162"/>
    </row>
    <row r="852">
      <c r="A852" s="158"/>
      <c r="B852" s="158"/>
      <c r="C852" s="158"/>
      <c r="D852" s="159"/>
      <c r="E852" s="160"/>
      <c r="F852" s="161"/>
      <c r="G852" s="162"/>
      <c r="H852" s="163"/>
      <c r="I852" s="162"/>
      <c r="J852" s="164"/>
      <c r="K852" s="164"/>
      <c r="L852" s="158"/>
      <c r="M852" s="158"/>
      <c r="N852" s="158"/>
      <c r="O852" s="158"/>
      <c r="P852" s="158"/>
      <c r="Q852" s="158"/>
      <c r="R852" s="159"/>
      <c r="S852" s="160"/>
      <c r="T852" s="162"/>
    </row>
    <row r="853">
      <c r="A853" s="158"/>
      <c r="B853" s="158"/>
      <c r="C853" s="158"/>
      <c r="D853" s="159"/>
      <c r="E853" s="160"/>
      <c r="F853" s="161"/>
      <c r="G853" s="162"/>
      <c r="H853" s="163"/>
      <c r="I853" s="162"/>
      <c r="J853" s="164"/>
      <c r="K853" s="164"/>
      <c r="L853" s="158"/>
      <c r="M853" s="158"/>
      <c r="N853" s="158"/>
      <c r="O853" s="158"/>
      <c r="P853" s="158"/>
      <c r="Q853" s="158"/>
      <c r="R853" s="159"/>
      <c r="S853" s="160"/>
      <c r="T853" s="162"/>
    </row>
    <row r="854">
      <c r="A854" s="158"/>
      <c r="B854" s="158"/>
      <c r="C854" s="158"/>
      <c r="D854" s="159"/>
      <c r="E854" s="160"/>
      <c r="F854" s="161"/>
      <c r="G854" s="162"/>
      <c r="H854" s="163"/>
      <c r="I854" s="162"/>
      <c r="J854" s="164"/>
      <c r="K854" s="164"/>
      <c r="L854" s="158"/>
      <c r="M854" s="158"/>
      <c r="N854" s="158"/>
      <c r="O854" s="158"/>
      <c r="P854" s="158"/>
      <c r="Q854" s="158"/>
      <c r="R854" s="159"/>
      <c r="S854" s="160"/>
      <c r="T854" s="162"/>
    </row>
    <row r="855">
      <c r="A855" s="158"/>
      <c r="B855" s="158"/>
      <c r="C855" s="158"/>
      <c r="D855" s="159"/>
      <c r="E855" s="160"/>
      <c r="F855" s="161"/>
      <c r="G855" s="162"/>
      <c r="H855" s="163"/>
      <c r="I855" s="162"/>
      <c r="J855" s="164"/>
      <c r="K855" s="164"/>
      <c r="L855" s="158"/>
      <c r="M855" s="158"/>
      <c r="N855" s="158"/>
      <c r="O855" s="158"/>
      <c r="P855" s="158"/>
      <c r="Q855" s="158"/>
      <c r="R855" s="159"/>
      <c r="S855" s="160"/>
      <c r="T855" s="162"/>
    </row>
    <row r="856">
      <c r="A856" s="158"/>
      <c r="B856" s="158"/>
      <c r="C856" s="158"/>
      <c r="D856" s="159"/>
      <c r="E856" s="160"/>
      <c r="F856" s="161"/>
      <c r="G856" s="162"/>
      <c r="H856" s="163"/>
      <c r="I856" s="162"/>
      <c r="J856" s="164"/>
      <c r="K856" s="164"/>
      <c r="L856" s="158"/>
      <c r="M856" s="158"/>
      <c r="N856" s="158"/>
      <c r="O856" s="158"/>
      <c r="P856" s="158"/>
      <c r="Q856" s="158"/>
      <c r="R856" s="159"/>
      <c r="S856" s="160"/>
      <c r="T856" s="162"/>
    </row>
    <row r="857">
      <c r="A857" s="158"/>
      <c r="B857" s="158"/>
      <c r="C857" s="158"/>
      <c r="D857" s="159"/>
      <c r="E857" s="160"/>
      <c r="F857" s="161"/>
      <c r="G857" s="162"/>
      <c r="H857" s="163"/>
      <c r="I857" s="162"/>
      <c r="J857" s="164"/>
      <c r="K857" s="164"/>
      <c r="L857" s="158"/>
      <c r="M857" s="158"/>
      <c r="N857" s="158"/>
      <c r="O857" s="158"/>
      <c r="P857" s="158"/>
      <c r="Q857" s="158"/>
      <c r="R857" s="159"/>
      <c r="S857" s="160"/>
      <c r="T857" s="162"/>
    </row>
    <row r="858">
      <c r="A858" s="158"/>
      <c r="B858" s="158"/>
      <c r="C858" s="158"/>
      <c r="D858" s="159"/>
      <c r="E858" s="160"/>
      <c r="F858" s="161"/>
      <c r="G858" s="162"/>
      <c r="H858" s="163"/>
      <c r="I858" s="162"/>
      <c r="J858" s="164"/>
      <c r="K858" s="164"/>
      <c r="L858" s="158"/>
      <c r="M858" s="158"/>
      <c r="N858" s="158"/>
      <c r="O858" s="158"/>
      <c r="P858" s="158"/>
      <c r="Q858" s="158"/>
      <c r="R858" s="159"/>
      <c r="S858" s="160"/>
      <c r="T858" s="162"/>
    </row>
    <row r="859">
      <c r="A859" s="158"/>
      <c r="B859" s="158"/>
      <c r="C859" s="158"/>
      <c r="D859" s="159"/>
      <c r="E859" s="160"/>
      <c r="F859" s="161"/>
      <c r="G859" s="162"/>
      <c r="H859" s="163"/>
      <c r="I859" s="162"/>
      <c r="J859" s="164"/>
      <c r="K859" s="164"/>
      <c r="L859" s="158"/>
      <c r="M859" s="158"/>
      <c r="N859" s="158"/>
      <c r="O859" s="158"/>
      <c r="P859" s="158"/>
      <c r="Q859" s="158"/>
      <c r="R859" s="159"/>
      <c r="S859" s="160"/>
      <c r="T859" s="162"/>
    </row>
    <row r="860">
      <c r="A860" s="158"/>
      <c r="B860" s="158"/>
      <c r="C860" s="158"/>
      <c r="D860" s="159"/>
      <c r="E860" s="160"/>
      <c r="F860" s="161"/>
      <c r="G860" s="162"/>
      <c r="H860" s="163"/>
      <c r="I860" s="162"/>
      <c r="J860" s="164"/>
      <c r="K860" s="164"/>
      <c r="L860" s="158"/>
      <c r="M860" s="158"/>
      <c r="N860" s="158"/>
      <c r="O860" s="158"/>
      <c r="P860" s="158"/>
      <c r="Q860" s="158"/>
      <c r="R860" s="159"/>
      <c r="S860" s="160"/>
      <c r="T860" s="162"/>
    </row>
    <row r="861">
      <c r="A861" s="158"/>
      <c r="B861" s="158"/>
      <c r="C861" s="158"/>
      <c r="D861" s="159"/>
      <c r="E861" s="160"/>
      <c r="F861" s="161"/>
      <c r="G861" s="162"/>
      <c r="H861" s="163"/>
      <c r="I861" s="162"/>
      <c r="J861" s="164"/>
      <c r="K861" s="164"/>
      <c r="L861" s="158"/>
      <c r="M861" s="158"/>
      <c r="N861" s="158"/>
      <c r="O861" s="158"/>
      <c r="P861" s="158"/>
      <c r="Q861" s="158"/>
      <c r="R861" s="159"/>
      <c r="S861" s="160"/>
      <c r="T861" s="162"/>
    </row>
    <row r="862">
      <c r="A862" s="158"/>
      <c r="B862" s="158"/>
      <c r="C862" s="158"/>
      <c r="D862" s="159"/>
      <c r="E862" s="160"/>
      <c r="F862" s="161"/>
      <c r="G862" s="162"/>
      <c r="H862" s="163"/>
      <c r="I862" s="162"/>
      <c r="J862" s="164"/>
      <c r="K862" s="164"/>
      <c r="L862" s="158"/>
      <c r="M862" s="158"/>
      <c r="N862" s="158"/>
      <c r="O862" s="158"/>
      <c r="P862" s="158"/>
      <c r="Q862" s="158"/>
      <c r="R862" s="159"/>
      <c r="S862" s="160"/>
      <c r="T862" s="162"/>
    </row>
    <row r="863">
      <c r="A863" s="158"/>
      <c r="B863" s="158"/>
      <c r="C863" s="158"/>
      <c r="D863" s="159"/>
      <c r="E863" s="160"/>
      <c r="F863" s="161"/>
      <c r="G863" s="162"/>
      <c r="H863" s="163"/>
      <c r="I863" s="162"/>
      <c r="J863" s="164"/>
      <c r="K863" s="164"/>
      <c r="L863" s="158"/>
      <c r="M863" s="158"/>
      <c r="N863" s="158"/>
      <c r="O863" s="158"/>
      <c r="P863" s="158"/>
      <c r="Q863" s="158"/>
      <c r="R863" s="159"/>
      <c r="S863" s="160"/>
      <c r="T863" s="162"/>
    </row>
    <row r="864">
      <c r="A864" s="158"/>
      <c r="B864" s="158"/>
      <c r="C864" s="158"/>
      <c r="D864" s="159"/>
      <c r="E864" s="160"/>
      <c r="F864" s="161"/>
      <c r="G864" s="162"/>
      <c r="H864" s="163"/>
      <c r="I864" s="162"/>
      <c r="J864" s="164"/>
      <c r="K864" s="164"/>
      <c r="L864" s="158"/>
      <c r="M864" s="158"/>
      <c r="N864" s="158"/>
      <c r="O864" s="158"/>
      <c r="P864" s="158"/>
      <c r="Q864" s="158"/>
      <c r="R864" s="159"/>
      <c r="S864" s="160"/>
      <c r="T864" s="162"/>
    </row>
    <row r="865">
      <c r="A865" s="158"/>
      <c r="B865" s="158"/>
      <c r="C865" s="158"/>
      <c r="D865" s="159"/>
      <c r="E865" s="160"/>
      <c r="F865" s="161"/>
      <c r="G865" s="162"/>
      <c r="H865" s="163"/>
      <c r="I865" s="162"/>
      <c r="J865" s="164"/>
      <c r="K865" s="164"/>
      <c r="L865" s="158"/>
      <c r="M865" s="158"/>
      <c r="N865" s="158"/>
      <c r="O865" s="158"/>
      <c r="P865" s="158"/>
      <c r="Q865" s="158"/>
      <c r="R865" s="159"/>
      <c r="S865" s="160"/>
      <c r="T865" s="162"/>
    </row>
    <row r="866">
      <c r="A866" s="158"/>
      <c r="B866" s="158"/>
      <c r="C866" s="158"/>
      <c r="D866" s="159"/>
      <c r="E866" s="160"/>
      <c r="F866" s="161"/>
      <c r="G866" s="162"/>
      <c r="H866" s="163"/>
      <c r="I866" s="162"/>
      <c r="J866" s="164"/>
      <c r="K866" s="164"/>
      <c r="L866" s="158"/>
      <c r="M866" s="158"/>
      <c r="N866" s="158"/>
      <c r="O866" s="158"/>
      <c r="P866" s="158"/>
      <c r="Q866" s="158"/>
      <c r="R866" s="159"/>
      <c r="S866" s="160"/>
      <c r="T866" s="162"/>
    </row>
    <row r="867">
      <c r="A867" s="158"/>
      <c r="B867" s="158"/>
      <c r="C867" s="158"/>
      <c r="D867" s="159"/>
      <c r="E867" s="160"/>
      <c r="F867" s="161"/>
      <c r="G867" s="162"/>
      <c r="H867" s="163"/>
      <c r="I867" s="162"/>
      <c r="J867" s="164"/>
      <c r="K867" s="164"/>
      <c r="L867" s="158"/>
      <c r="M867" s="158"/>
      <c r="N867" s="158"/>
      <c r="O867" s="158"/>
      <c r="P867" s="158"/>
      <c r="Q867" s="158"/>
      <c r="R867" s="159"/>
      <c r="S867" s="160"/>
      <c r="T867" s="162"/>
    </row>
    <row r="868">
      <c r="A868" s="158"/>
      <c r="B868" s="158"/>
      <c r="C868" s="158"/>
      <c r="D868" s="159"/>
      <c r="E868" s="160"/>
      <c r="F868" s="161"/>
      <c r="G868" s="162"/>
      <c r="H868" s="163"/>
      <c r="I868" s="162"/>
      <c r="J868" s="164"/>
      <c r="K868" s="164"/>
      <c r="L868" s="158"/>
      <c r="M868" s="158"/>
      <c r="N868" s="158"/>
      <c r="O868" s="158"/>
      <c r="P868" s="158"/>
      <c r="Q868" s="158"/>
      <c r="R868" s="159"/>
      <c r="S868" s="160"/>
      <c r="T868" s="162"/>
    </row>
    <row r="869">
      <c r="A869" s="158"/>
      <c r="B869" s="158"/>
      <c r="C869" s="158"/>
      <c r="D869" s="159"/>
      <c r="E869" s="160"/>
      <c r="F869" s="161"/>
      <c r="G869" s="162"/>
      <c r="H869" s="163"/>
      <c r="I869" s="162"/>
      <c r="J869" s="164"/>
      <c r="K869" s="164"/>
      <c r="L869" s="158"/>
      <c r="M869" s="158"/>
      <c r="N869" s="158"/>
      <c r="O869" s="158"/>
      <c r="P869" s="158"/>
      <c r="Q869" s="158"/>
      <c r="R869" s="159"/>
      <c r="S869" s="160"/>
      <c r="T869" s="162"/>
    </row>
    <row r="870">
      <c r="A870" s="158"/>
      <c r="B870" s="158"/>
      <c r="C870" s="158"/>
      <c r="D870" s="159"/>
      <c r="E870" s="160"/>
      <c r="F870" s="161"/>
      <c r="G870" s="162"/>
      <c r="H870" s="163"/>
      <c r="I870" s="162"/>
      <c r="J870" s="164"/>
      <c r="K870" s="164"/>
      <c r="L870" s="158"/>
      <c r="M870" s="158"/>
      <c r="N870" s="158"/>
      <c r="O870" s="158"/>
      <c r="P870" s="158"/>
      <c r="Q870" s="158"/>
      <c r="R870" s="159"/>
      <c r="S870" s="160"/>
      <c r="T870" s="162"/>
    </row>
    <row r="871">
      <c r="A871" s="158"/>
      <c r="B871" s="158"/>
      <c r="C871" s="158"/>
      <c r="D871" s="159"/>
      <c r="E871" s="160"/>
      <c r="F871" s="161"/>
      <c r="G871" s="162"/>
      <c r="H871" s="163"/>
      <c r="I871" s="162"/>
      <c r="J871" s="164"/>
      <c r="K871" s="164"/>
      <c r="L871" s="158"/>
      <c r="M871" s="158"/>
      <c r="N871" s="158"/>
      <c r="O871" s="158"/>
      <c r="P871" s="158"/>
      <c r="Q871" s="158"/>
      <c r="R871" s="159"/>
      <c r="S871" s="160"/>
      <c r="T871" s="162"/>
    </row>
    <row r="872">
      <c r="A872" s="158"/>
      <c r="B872" s="158"/>
      <c r="C872" s="158"/>
      <c r="D872" s="159"/>
      <c r="E872" s="160"/>
      <c r="F872" s="161"/>
      <c r="G872" s="162"/>
      <c r="H872" s="163"/>
      <c r="I872" s="162"/>
      <c r="J872" s="164"/>
      <c r="K872" s="164"/>
      <c r="L872" s="158"/>
      <c r="M872" s="158"/>
      <c r="N872" s="158"/>
      <c r="O872" s="158"/>
      <c r="P872" s="158"/>
      <c r="Q872" s="158"/>
      <c r="R872" s="159"/>
      <c r="S872" s="160"/>
      <c r="T872" s="162"/>
    </row>
    <row r="873">
      <c r="A873" s="158"/>
      <c r="B873" s="158"/>
      <c r="C873" s="158"/>
      <c r="D873" s="159"/>
      <c r="E873" s="160"/>
      <c r="F873" s="161"/>
      <c r="G873" s="162"/>
      <c r="H873" s="163"/>
      <c r="I873" s="162"/>
      <c r="J873" s="164"/>
      <c r="K873" s="164"/>
      <c r="L873" s="158"/>
      <c r="M873" s="158"/>
      <c r="N873" s="158"/>
      <c r="O873" s="158"/>
      <c r="P873" s="158"/>
      <c r="Q873" s="158"/>
      <c r="R873" s="159"/>
      <c r="S873" s="160"/>
      <c r="T873" s="162"/>
    </row>
    <row r="874">
      <c r="A874" s="158"/>
      <c r="B874" s="158"/>
      <c r="C874" s="158"/>
      <c r="D874" s="159"/>
      <c r="E874" s="160"/>
      <c r="F874" s="161"/>
      <c r="G874" s="162"/>
      <c r="H874" s="163"/>
      <c r="I874" s="162"/>
      <c r="J874" s="164"/>
      <c r="K874" s="164"/>
      <c r="L874" s="158"/>
      <c r="M874" s="158"/>
      <c r="N874" s="158"/>
      <c r="O874" s="158"/>
      <c r="P874" s="158"/>
      <c r="Q874" s="158"/>
      <c r="R874" s="159"/>
      <c r="S874" s="160"/>
      <c r="T874" s="162"/>
    </row>
    <row r="875">
      <c r="A875" s="158"/>
      <c r="B875" s="158"/>
      <c r="C875" s="158"/>
      <c r="D875" s="159"/>
      <c r="E875" s="160"/>
      <c r="F875" s="161"/>
      <c r="G875" s="162"/>
      <c r="H875" s="163"/>
      <c r="I875" s="162"/>
      <c r="J875" s="164"/>
      <c r="K875" s="164"/>
      <c r="L875" s="158"/>
      <c r="M875" s="158"/>
      <c r="N875" s="158"/>
      <c r="O875" s="158"/>
      <c r="P875" s="158"/>
      <c r="Q875" s="158"/>
      <c r="R875" s="159"/>
      <c r="S875" s="160"/>
      <c r="T875" s="162"/>
    </row>
    <row r="876">
      <c r="A876" s="158"/>
      <c r="B876" s="158"/>
      <c r="C876" s="158"/>
      <c r="D876" s="159"/>
      <c r="E876" s="160"/>
      <c r="F876" s="161"/>
      <c r="G876" s="162"/>
      <c r="H876" s="163"/>
      <c r="I876" s="162"/>
      <c r="J876" s="164"/>
      <c r="K876" s="164"/>
      <c r="L876" s="158"/>
      <c r="M876" s="158"/>
      <c r="N876" s="158"/>
      <c r="O876" s="158"/>
      <c r="P876" s="158"/>
      <c r="Q876" s="158"/>
      <c r="R876" s="159"/>
      <c r="S876" s="160"/>
      <c r="T876" s="162"/>
    </row>
    <row r="877">
      <c r="A877" s="158"/>
      <c r="B877" s="158"/>
      <c r="C877" s="158"/>
      <c r="D877" s="159"/>
      <c r="E877" s="160"/>
      <c r="F877" s="161"/>
      <c r="G877" s="162"/>
      <c r="H877" s="163"/>
      <c r="I877" s="162"/>
      <c r="J877" s="164"/>
      <c r="K877" s="164"/>
      <c r="L877" s="158"/>
      <c r="M877" s="158"/>
      <c r="N877" s="158"/>
      <c r="O877" s="158"/>
      <c r="P877" s="158"/>
      <c r="Q877" s="158"/>
      <c r="R877" s="159"/>
      <c r="S877" s="160"/>
      <c r="T877" s="162"/>
    </row>
    <row r="878">
      <c r="A878" s="158"/>
      <c r="B878" s="158"/>
      <c r="C878" s="158"/>
      <c r="D878" s="159"/>
      <c r="E878" s="160"/>
      <c r="F878" s="161"/>
      <c r="G878" s="162"/>
      <c r="H878" s="163"/>
      <c r="I878" s="162"/>
      <c r="J878" s="164"/>
      <c r="K878" s="164"/>
      <c r="L878" s="158"/>
      <c r="M878" s="158"/>
      <c r="N878" s="158"/>
      <c r="O878" s="158"/>
      <c r="P878" s="158"/>
      <c r="Q878" s="158"/>
      <c r="R878" s="159"/>
      <c r="S878" s="160"/>
      <c r="T878" s="162"/>
    </row>
    <row r="879">
      <c r="A879" s="158"/>
      <c r="B879" s="158"/>
      <c r="C879" s="158"/>
      <c r="D879" s="159"/>
      <c r="E879" s="160"/>
      <c r="F879" s="161"/>
      <c r="G879" s="162"/>
      <c r="H879" s="163"/>
      <c r="I879" s="162"/>
      <c r="J879" s="164"/>
      <c r="K879" s="164"/>
      <c r="L879" s="158"/>
      <c r="M879" s="158"/>
      <c r="N879" s="158"/>
      <c r="O879" s="158"/>
      <c r="P879" s="158"/>
      <c r="Q879" s="158"/>
      <c r="R879" s="159"/>
      <c r="S879" s="160"/>
      <c r="T879" s="162"/>
    </row>
    <row r="880">
      <c r="A880" s="158"/>
      <c r="B880" s="158"/>
      <c r="C880" s="158"/>
      <c r="D880" s="159"/>
      <c r="E880" s="160"/>
      <c r="F880" s="161"/>
      <c r="G880" s="162"/>
      <c r="H880" s="163"/>
      <c r="I880" s="162"/>
      <c r="J880" s="164"/>
      <c r="K880" s="164"/>
      <c r="L880" s="158"/>
      <c r="M880" s="158"/>
      <c r="N880" s="158"/>
      <c r="O880" s="158"/>
      <c r="P880" s="158"/>
      <c r="Q880" s="158"/>
      <c r="R880" s="159"/>
      <c r="S880" s="160"/>
      <c r="T880" s="162"/>
    </row>
    <row r="881">
      <c r="A881" s="158"/>
      <c r="B881" s="158"/>
      <c r="C881" s="158"/>
      <c r="D881" s="159"/>
      <c r="E881" s="160"/>
      <c r="F881" s="161"/>
      <c r="G881" s="162"/>
      <c r="H881" s="163"/>
      <c r="I881" s="162"/>
      <c r="J881" s="164"/>
      <c r="K881" s="164"/>
      <c r="L881" s="158"/>
      <c r="M881" s="158"/>
      <c r="N881" s="158"/>
      <c r="O881" s="158"/>
      <c r="P881" s="158"/>
      <c r="Q881" s="158"/>
      <c r="R881" s="159"/>
      <c r="S881" s="160"/>
      <c r="T881" s="162"/>
    </row>
    <row r="882">
      <c r="A882" s="158"/>
      <c r="B882" s="158"/>
      <c r="C882" s="158"/>
      <c r="D882" s="159"/>
      <c r="E882" s="160"/>
      <c r="F882" s="161"/>
      <c r="G882" s="162"/>
      <c r="H882" s="163"/>
      <c r="I882" s="162"/>
      <c r="J882" s="164"/>
      <c r="K882" s="164"/>
      <c r="L882" s="158"/>
      <c r="M882" s="158"/>
      <c r="N882" s="158"/>
      <c r="O882" s="158"/>
      <c r="P882" s="158"/>
      <c r="Q882" s="158"/>
      <c r="R882" s="159"/>
      <c r="S882" s="160"/>
      <c r="T882" s="162"/>
    </row>
    <row r="883">
      <c r="A883" s="158"/>
      <c r="B883" s="158"/>
      <c r="C883" s="158"/>
      <c r="D883" s="159"/>
      <c r="E883" s="160"/>
      <c r="F883" s="161"/>
      <c r="G883" s="162"/>
      <c r="H883" s="163"/>
      <c r="I883" s="162"/>
      <c r="J883" s="164"/>
      <c r="K883" s="164"/>
      <c r="L883" s="158"/>
      <c r="M883" s="158"/>
      <c r="N883" s="158"/>
      <c r="O883" s="158"/>
      <c r="P883" s="158"/>
      <c r="Q883" s="158"/>
      <c r="R883" s="159"/>
      <c r="S883" s="160"/>
      <c r="T883" s="162"/>
    </row>
    <row r="884">
      <c r="A884" s="158"/>
      <c r="B884" s="158"/>
      <c r="C884" s="158"/>
      <c r="D884" s="159"/>
      <c r="E884" s="160"/>
      <c r="F884" s="161"/>
      <c r="G884" s="162"/>
      <c r="H884" s="163"/>
      <c r="I884" s="162"/>
      <c r="J884" s="164"/>
      <c r="K884" s="164"/>
      <c r="L884" s="158"/>
      <c r="M884" s="158"/>
      <c r="N884" s="158"/>
      <c r="O884" s="158"/>
      <c r="P884" s="158"/>
      <c r="Q884" s="158"/>
      <c r="R884" s="159"/>
      <c r="S884" s="160"/>
      <c r="T884" s="162"/>
    </row>
    <row r="885">
      <c r="A885" s="158"/>
      <c r="B885" s="158"/>
      <c r="C885" s="158"/>
      <c r="D885" s="159"/>
      <c r="E885" s="160"/>
      <c r="F885" s="161"/>
      <c r="G885" s="162"/>
      <c r="H885" s="163"/>
      <c r="I885" s="162"/>
      <c r="J885" s="164"/>
      <c r="K885" s="164"/>
      <c r="L885" s="158"/>
      <c r="M885" s="158"/>
      <c r="N885" s="158"/>
      <c r="O885" s="158"/>
      <c r="P885" s="158"/>
      <c r="Q885" s="158"/>
      <c r="R885" s="159"/>
      <c r="S885" s="160"/>
      <c r="T885" s="162"/>
    </row>
    <row r="886">
      <c r="A886" s="158"/>
      <c r="B886" s="158"/>
      <c r="C886" s="158"/>
      <c r="D886" s="159"/>
      <c r="E886" s="160"/>
      <c r="F886" s="161"/>
      <c r="G886" s="162"/>
      <c r="H886" s="163"/>
      <c r="I886" s="162"/>
      <c r="J886" s="164"/>
      <c r="K886" s="164"/>
      <c r="L886" s="158"/>
      <c r="M886" s="158"/>
      <c r="N886" s="158"/>
      <c r="O886" s="158"/>
      <c r="P886" s="158"/>
      <c r="Q886" s="158"/>
      <c r="R886" s="159"/>
      <c r="S886" s="160"/>
      <c r="T886" s="162"/>
    </row>
    <row r="887">
      <c r="A887" s="158"/>
      <c r="B887" s="158"/>
      <c r="C887" s="158"/>
      <c r="D887" s="159"/>
      <c r="E887" s="160"/>
      <c r="F887" s="161"/>
      <c r="G887" s="162"/>
      <c r="H887" s="163"/>
      <c r="I887" s="162"/>
      <c r="J887" s="164"/>
      <c r="K887" s="164"/>
      <c r="L887" s="158"/>
      <c r="M887" s="158"/>
      <c r="N887" s="158"/>
      <c r="O887" s="158"/>
      <c r="P887" s="158"/>
      <c r="Q887" s="158"/>
      <c r="R887" s="159"/>
      <c r="S887" s="160"/>
      <c r="T887" s="162"/>
    </row>
    <row r="888">
      <c r="A888" s="158"/>
      <c r="B888" s="158"/>
      <c r="C888" s="158"/>
      <c r="D888" s="159"/>
      <c r="E888" s="160"/>
      <c r="F888" s="161"/>
      <c r="G888" s="162"/>
      <c r="H888" s="163"/>
      <c r="I888" s="162"/>
      <c r="J888" s="164"/>
      <c r="K888" s="164"/>
      <c r="L888" s="158"/>
      <c r="M888" s="158"/>
      <c r="N888" s="158"/>
      <c r="O888" s="158"/>
      <c r="P888" s="158"/>
      <c r="Q888" s="158"/>
      <c r="R888" s="159"/>
      <c r="S888" s="160"/>
      <c r="T888" s="162"/>
    </row>
    <row r="889">
      <c r="A889" s="158"/>
      <c r="B889" s="158"/>
      <c r="C889" s="158"/>
      <c r="D889" s="159"/>
      <c r="E889" s="160"/>
      <c r="F889" s="161"/>
      <c r="G889" s="162"/>
      <c r="H889" s="163"/>
      <c r="I889" s="162"/>
      <c r="J889" s="164"/>
      <c r="K889" s="164"/>
      <c r="L889" s="158"/>
      <c r="M889" s="158"/>
      <c r="N889" s="158"/>
      <c r="O889" s="158"/>
      <c r="P889" s="158"/>
      <c r="Q889" s="158"/>
      <c r="R889" s="159"/>
      <c r="S889" s="160"/>
      <c r="T889" s="162"/>
    </row>
    <row r="890">
      <c r="A890" s="158"/>
      <c r="B890" s="158"/>
      <c r="C890" s="158"/>
      <c r="D890" s="159"/>
      <c r="E890" s="160"/>
      <c r="F890" s="161"/>
      <c r="G890" s="162"/>
      <c r="H890" s="163"/>
      <c r="I890" s="162"/>
      <c r="J890" s="164"/>
      <c r="K890" s="164"/>
      <c r="L890" s="158"/>
      <c r="M890" s="158"/>
      <c r="N890" s="158"/>
      <c r="O890" s="158"/>
      <c r="P890" s="158"/>
      <c r="Q890" s="158"/>
      <c r="R890" s="159"/>
      <c r="S890" s="160"/>
      <c r="T890" s="162"/>
    </row>
    <row r="891">
      <c r="A891" s="158"/>
      <c r="B891" s="158"/>
      <c r="C891" s="158"/>
      <c r="D891" s="159"/>
      <c r="E891" s="160"/>
      <c r="F891" s="161"/>
      <c r="G891" s="162"/>
      <c r="H891" s="163"/>
      <c r="I891" s="162"/>
      <c r="J891" s="164"/>
      <c r="K891" s="164"/>
      <c r="L891" s="158"/>
      <c r="M891" s="158"/>
      <c r="N891" s="158"/>
      <c r="O891" s="158"/>
      <c r="P891" s="158"/>
      <c r="Q891" s="158"/>
      <c r="R891" s="159"/>
      <c r="S891" s="160"/>
      <c r="T891" s="162"/>
    </row>
    <row r="892">
      <c r="A892" s="158"/>
      <c r="B892" s="158"/>
      <c r="C892" s="158"/>
      <c r="D892" s="159"/>
      <c r="E892" s="160"/>
      <c r="F892" s="161"/>
      <c r="G892" s="162"/>
      <c r="H892" s="163"/>
      <c r="I892" s="162"/>
      <c r="J892" s="164"/>
      <c r="K892" s="164"/>
      <c r="L892" s="158"/>
      <c r="M892" s="158"/>
      <c r="N892" s="158"/>
      <c r="O892" s="158"/>
      <c r="P892" s="158"/>
      <c r="Q892" s="158"/>
      <c r="R892" s="159"/>
      <c r="S892" s="160"/>
      <c r="T892" s="162"/>
    </row>
    <row r="893">
      <c r="A893" s="158"/>
      <c r="B893" s="158"/>
      <c r="C893" s="158"/>
      <c r="D893" s="159"/>
      <c r="E893" s="160"/>
      <c r="F893" s="161"/>
      <c r="G893" s="162"/>
      <c r="H893" s="163"/>
      <c r="I893" s="162"/>
      <c r="J893" s="164"/>
      <c r="K893" s="164"/>
      <c r="L893" s="158"/>
      <c r="M893" s="158"/>
      <c r="N893" s="158"/>
      <c r="O893" s="158"/>
      <c r="P893" s="158"/>
      <c r="Q893" s="158"/>
      <c r="R893" s="159"/>
      <c r="S893" s="160"/>
      <c r="T893" s="162"/>
    </row>
    <row r="894">
      <c r="A894" s="158"/>
      <c r="B894" s="158"/>
      <c r="C894" s="158"/>
      <c r="D894" s="159"/>
      <c r="E894" s="160"/>
      <c r="F894" s="161"/>
      <c r="G894" s="162"/>
      <c r="H894" s="163"/>
      <c r="I894" s="162"/>
      <c r="J894" s="164"/>
      <c r="K894" s="164"/>
      <c r="L894" s="158"/>
      <c r="M894" s="158"/>
      <c r="N894" s="158"/>
      <c r="O894" s="158"/>
      <c r="P894" s="158"/>
      <c r="Q894" s="158"/>
      <c r="R894" s="159"/>
      <c r="S894" s="160"/>
      <c r="T894" s="162"/>
    </row>
    <row r="895">
      <c r="A895" s="158"/>
      <c r="B895" s="158"/>
      <c r="C895" s="158"/>
      <c r="D895" s="159"/>
      <c r="E895" s="160"/>
      <c r="F895" s="161"/>
      <c r="G895" s="162"/>
      <c r="H895" s="163"/>
      <c r="I895" s="162"/>
      <c r="J895" s="164"/>
      <c r="K895" s="164"/>
      <c r="L895" s="158"/>
      <c r="M895" s="158"/>
      <c r="N895" s="158"/>
      <c r="O895" s="158"/>
      <c r="P895" s="158"/>
      <c r="Q895" s="158"/>
      <c r="R895" s="159"/>
      <c r="S895" s="160"/>
      <c r="T895" s="162"/>
    </row>
    <row r="896">
      <c r="A896" s="158"/>
      <c r="B896" s="158"/>
      <c r="C896" s="158"/>
      <c r="D896" s="159"/>
      <c r="E896" s="160"/>
      <c r="F896" s="161"/>
      <c r="G896" s="162"/>
      <c r="H896" s="163"/>
      <c r="I896" s="162"/>
      <c r="J896" s="164"/>
      <c r="K896" s="164"/>
      <c r="L896" s="158"/>
      <c r="M896" s="158"/>
      <c r="N896" s="158"/>
      <c r="O896" s="158"/>
      <c r="P896" s="158"/>
      <c r="Q896" s="158"/>
      <c r="R896" s="159"/>
      <c r="S896" s="160"/>
      <c r="T896" s="162"/>
    </row>
    <row r="897">
      <c r="A897" s="158"/>
      <c r="B897" s="158"/>
      <c r="C897" s="158"/>
      <c r="D897" s="159"/>
      <c r="E897" s="160"/>
      <c r="F897" s="161"/>
      <c r="G897" s="162"/>
      <c r="H897" s="163"/>
      <c r="I897" s="162"/>
      <c r="J897" s="164"/>
      <c r="K897" s="164"/>
      <c r="L897" s="158"/>
      <c r="M897" s="158"/>
      <c r="N897" s="158"/>
      <c r="O897" s="158"/>
      <c r="P897" s="158"/>
      <c r="Q897" s="158"/>
      <c r="R897" s="159"/>
      <c r="S897" s="160"/>
      <c r="T897" s="162"/>
    </row>
    <row r="898">
      <c r="A898" s="158"/>
      <c r="B898" s="158"/>
      <c r="C898" s="158"/>
      <c r="D898" s="159"/>
      <c r="E898" s="160"/>
      <c r="F898" s="161"/>
      <c r="G898" s="162"/>
      <c r="H898" s="163"/>
      <c r="I898" s="162"/>
      <c r="J898" s="164"/>
      <c r="K898" s="164"/>
      <c r="L898" s="158"/>
      <c r="M898" s="158"/>
      <c r="N898" s="158"/>
      <c r="O898" s="158"/>
      <c r="P898" s="158"/>
      <c r="Q898" s="158"/>
      <c r="R898" s="159"/>
      <c r="S898" s="160"/>
      <c r="T898" s="162"/>
    </row>
    <row r="899">
      <c r="A899" s="158"/>
      <c r="B899" s="158"/>
      <c r="C899" s="158"/>
      <c r="D899" s="159"/>
      <c r="E899" s="160"/>
      <c r="F899" s="161"/>
      <c r="G899" s="162"/>
      <c r="H899" s="163"/>
      <c r="I899" s="162"/>
      <c r="J899" s="164"/>
      <c r="K899" s="164"/>
      <c r="L899" s="158"/>
      <c r="M899" s="158"/>
      <c r="N899" s="158"/>
      <c r="O899" s="158"/>
      <c r="P899" s="158"/>
      <c r="Q899" s="158"/>
      <c r="R899" s="159"/>
      <c r="S899" s="160"/>
      <c r="T899" s="162"/>
    </row>
    <row r="900">
      <c r="A900" s="158"/>
      <c r="B900" s="158"/>
      <c r="C900" s="158"/>
      <c r="D900" s="159"/>
      <c r="E900" s="160"/>
      <c r="F900" s="161"/>
      <c r="G900" s="162"/>
      <c r="H900" s="163"/>
      <c r="I900" s="162"/>
      <c r="J900" s="164"/>
      <c r="K900" s="164"/>
      <c r="L900" s="158"/>
      <c r="M900" s="158"/>
      <c r="N900" s="158"/>
      <c r="O900" s="158"/>
      <c r="P900" s="158"/>
      <c r="Q900" s="158"/>
      <c r="R900" s="159"/>
      <c r="S900" s="160"/>
      <c r="T900" s="162"/>
    </row>
    <row r="901">
      <c r="A901" s="158"/>
      <c r="B901" s="158"/>
      <c r="C901" s="158"/>
      <c r="D901" s="159"/>
      <c r="E901" s="160"/>
      <c r="F901" s="161"/>
      <c r="G901" s="162"/>
      <c r="H901" s="163"/>
      <c r="I901" s="162"/>
      <c r="J901" s="164"/>
      <c r="K901" s="164"/>
      <c r="L901" s="158"/>
      <c r="M901" s="158"/>
      <c r="N901" s="158"/>
      <c r="O901" s="158"/>
      <c r="P901" s="158"/>
      <c r="Q901" s="158"/>
      <c r="R901" s="159"/>
      <c r="S901" s="160"/>
      <c r="T901" s="162"/>
    </row>
    <row r="902">
      <c r="A902" s="158"/>
      <c r="B902" s="158"/>
      <c r="C902" s="158"/>
      <c r="D902" s="159"/>
      <c r="E902" s="160"/>
      <c r="F902" s="161"/>
      <c r="G902" s="162"/>
      <c r="H902" s="163"/>
      <c r="I902" s="162"/>
      <c r="J902" s="164"/>
      <c r="K902" s="164"/>
      <c r="L902" s="158"/>
      <c r="M902" s="158"/>
      <c r="N902" s="158"/>
      <c r="O902" s="158"/>
      <c r="P902" s="158"/>
      <c r="Q902" s="158"/>
      <c r="R902" s="159"/>
      <c r="S902" s="160"/>
      <c r="T902" s="162"/>
    </row>
    <row r="903">
      <c r="A903" s="158"/>
      <c r="B903" s="158"/>
      <c r="C903" s="158"/>
      <c r="D903" s="159"/>
      <c r="E903" s="160"/>
      <c r="F903" s="161"/>
      <c r="G903" s="162"/>
      <c r="H903" s="163"/>
      <c r="I903" s="162"/>
      <c r="J903" s="164"/>
      <c r="K903" s="164"/>
      <c r="L903" s="158"/>
      <c r="M903" s="158"/>
      <c r="N903" s="158"/>
      <c r="O903" s="158"/>
      <c r="P903" s="158"/>
      <c r="Q903" s="158"/>
      <c r="R903" s="159"/>
      <c r="S903" s="160"/>
      <c r="T903" s="162"/>
    </row>
    <row r="904">
      <c r="A904" s="158"/>
      <c r="B904" s="158"/>
      <c r="C904" s="158"/>
      <c r="D904" s="159"/>
      <c r="E904" s="160"/>
      <c r="F904" s="161"/>
      <c r="G904" s="162"/>
      <c r="H904" s="163"/>
      <c r="I904" s="162"/>
      <c r="J904" s="164"/>
      <c r="K904" s="164"/>
      <c r="L904" s="158"/>
      <c r="M904" s="158"/>
      <c r="N904" s="158"/>
      <c r="O904" s="158"/>
      <c r="P904" s="158"/>
      <c r="Q904" s="158"/>
      <c r="R904" s="159"/>
      <c r="S904" s="160"/>
      <c r="T904" s="162"/>
    </row>
    <row r="905">
      <c r="A905" s="158"/>
      <c r="B905" s="158"/>
      <c r="C905" s="158"/>
      <c r="D905" s="159"/>
      <c r="E905" s="160"/>
      <c r="F905" s="161"/>
      <c r="G905" s="162"/>
      <c r="H905" s="163"/>
      <c r="I905" s="162"/>
      <c r="J905" s="164"/>
      <c r="K905" s="164"/>
      <c r="L905" s="158"/>
      <c r="M905" s="158"/>
      <c r="N905" s="158"/>
      <c r="O905" s="158"/>
      <c r="P905" s="158"/>
      <c r="Q905" s="158"/>
      <c r="R905" s="159"/>
      <c r="S905" s="160"/>
      <c r="T905" s="162"/>
    </row>
    <row r="906">
      <c r="A906" s="158"/>
      <c r="B906" s="158"/>
      <c r="C906" s="158"/>
      <c r="D906" s="159"/>
      <c r="E906" s="160"/>
      <c r="F906" s="161"/>
      <c r="G906" s="162"/>
      <c r="H906" s="163"/>
      <c r="I906" s="162"/>
      <c r="J906" s="164"/>
      <c r="K906" s="164"/>
      <c r="L906" s="158"/>
      <c r="M906" s="158"/>
      <c r="N906" s="158"/>
      <c r="O906" s="158"/>
      <c r="P906" s="158"/>
      <c r="Q906" s="158"/>
      <c r="R906" s="159"/>
      <c r="S906" s="160"/>
      <c r="T906" s="162"/>
    </row>
    <row r="907">
      <c r="A907" s="158"/>
      <c r="B907" s="158"/>
      <c r="C907" s="158"/>
      <c r="D907" s="159"/>
      <c r="E907" s="160"/>
      <c r="F907" s="161"/>
      <c r="G907" s="162"/>
      <c r="H907" s="163"/>
      <c r="I907" s="162"/>
      <c r="J907" s="164"/>
      <c r="K907" s="164"/>
      <c r="L907" s="158"/>
      <c r="M907" s="158"/>
      <c r="N907" s="158"/>
      <c r="O907" s="158"/>
      <c r="P907" s="158"/>
      <c r="Q907" s="158"/>
      <c r="R907" s="159"/>
      <c r="S907" s="160"/>
      <c r="T907" s="162"/>
    </row>
    <row r="908">
      <c r="A908" s="158"/>
      <c r="B908" s="158"/>
      <c r="C908" s="158"/>
      <c r="D908" s="159"/>
      <c r="E908" s="160"/>
      <c r="F908" s="161"/>
      <c r="G908" s="162"/>
      <c r="H908" s="163"/>
      <c r="I908" s="162"/>
      <c r="J908" s="164"/>
      <c r="K908" s="164"/>
      <c r="L908" s="158"/>
      <c r="M908" s="158"/>
      <c r="N908" s="158"/>
      <c r="O908" s="158"/>
      <c r="P908" s="158"/>
      <c r="Q908" s="158"/>
      <c r="R908" s="159"/>
      <c r="S908" s="160"/>
      <c r="T908" s="162"/>
    </row>
    <row r="909">
      <c r="A909" s="158"/>
      <c r="B909" s="158"/>
      <c r="C909" s="158"/>
      <c r="D909" s="159"/>
      <c r="E909" s="160"/>
      <c r="F909" s="161"/>
      <c r="G909" s="162"/>
      <c r="H909" s="163"/>
      <c r="I909" s="162"/>
      <c r="J909" s="164"/>
      <c r="K909" s="164"/>
      <c r="L909" s="158"/>
      <c r="M909" s="158"/>
      <c r="N909" s="158"/>
      <c r="O909" s="158"/>
      <c r="P909" s="158"/>
      <c r="Q909" s="158"/>
      <c r="R909" s="159"/>
      <c r="S909" s="160"/>
      <c r="T909" s="162"/>
    </row>
    <row r="910">
      <c r="A910" s="158"/>
      <c r="B910" s="158"/>
      <c r="C910" s="158"/>
      <c r="D910" s="159"/>
      <c r="E910" s="160"/>
      <c r="F910" s="161"/>
      <c r="G910" s="162"/>
      <c r="H910" s="163"/>
      <c r="I910" s="162"/>
      <c r="J910" s="164"/>
      <c r="K910" s="164"/>
      <c r="L910" s="158"/>
      <c r="M910" s="158"/>
      <c r="N910" s="158"/>
      <c r="O910" s="158"/>
      <c r="P910" s="158"/>
      <c r="Q910" s="158"/>
      <c r="R910" s="159"/>
      <c r="S910" s="160"/>
      <c r="T910" s="162"/>
    </row>
    <row r="911">
      <c r="A911" s="158"/>
      <c r="B911" s="158"/>
      <c r="C911" s="158"/>
      <c r="D911" s="159"/>
      <c r="E911" s="160"/>
      <c r="F911" s="161"/>
      <c r="G911" s="162"/>
      <c r="H911" s="163"/>
      <c r="I911" s="162"/>
      <c r="J911" s="164"/>
      <c r="K911" s="164"/>
      <c r="L911" s="158"/>
      <c r="M911" s="158"/>
      <c r="N911" s="158"/>
      <c r="O911" s="158"/>
      <c r="P911" s="158"/>
      <c r="Q911" s="158"/>
      <c r="R911" s="159"/>
      <c r="S911" s="160"/>
      <c r="T911" s="162"/>
    </row>
    <row r="912">
      <c r="A912" s="158"/>
      <c r="B912" s="158"/>
      <c r="C912" s="158"/>
      <c r="D912" s="159"/>
      <c r="E912" s="160"/>
      <c r="F912" s="161"/>
      <c r="G912" s="162"/>
      <c r="H912" s="163"/>
      <c r="I912" s="162"/>
      <c r="J912" s="164"/>
      <c r="K912" s="164"/>
      <c r="L912" s="158"/>
      <c r="M912" s="158"/>
      <c r="N912" s="158"/>
      <c r="O912" s="158"/>
      <c r="P912" s="158"/>
      <c r="Q912" s="158"/>
      <c r="R912" s="159"/>
      <c r="S912" s="160"/>
      <c r="T912" s="162"/>
    </row>
    <row r="913">
      <c r="A913" s="158"/>
      <c r="B913" s="158"/>
      <c r="C913" s="158"/>
      <c r="D913" s="159"/>
      <c r="E913" s="160"/>
      <c r="F913" s="161"/>
      <c r="G913" s="162"/>
      <c r="H913" s="163"/>
      <c r="I913" s="162"/>
      <c r="J913" s="164"/>
      <c r="K913" s="164"/>
      <c r="L913" s="158"/>
      <c r="M913" s="158"/>
      <c r="N913" s="158"/>
      <c r="O913" s="158"/>
      <c r="P913" s="158"/>
      <c r="Q913" s="158"/>
      <c r="R913" s="159"/>
      <c r="S913" s="160"/>
      <c r="T913" s="162"/>
    </row>
    <row r="914">
      <c r="A914" s="158"/>
      <c r="B914" s="158"/>
      <c r="C914" s="158"/>
      <c r="D914" s="159"/>
      <c r="E914" s="160"/>
      <c r="F914" s="161"/>
      <c r="G914" s="162"/>
      <c r="H914" s="163"/>
      <c r="I914" s="162"/>
      <c r="J914" s="164"/>
      <c r="K914" s="164"/>
      <c r="L914" s="158"/>
      <c r="M914" s="158"/>
      <c r="N914" s="158"/>
      <c r="O914" s="158"/>
      <c r="P914" s="158"/>
      <c r="Q914" s="158"/>
      <c r="R914" s="159"/>
      <c r="S914" s="160"/>
      <c r="T914" s="162"/>
    </row>
    <row r="915">
      <c r="A915" s="158"/>
      <c r="B915" s="158"/>
      <c r="C915" s="158"/>
      <c r="D915" s="159"/>
      <c r="E915" s="160"/>
      <c r="F915" s="161"/>
      <c r="G915" s="162"/>
      <c r="H915" s="163"/>
      <c r="I915" s="162"/>
      <c r="J915" s="164"/>
      <c r="K915" s="164"/>
      <c r="L915" s="158"/>
      <c r="M915" s="158"/>
      <c r="N915" s="158"/>
      <c r="O915" s="158"/>
      <c r="P915" s="158"/>
      <c r="Q915" s="158"/>
      <c r="R915" s="159"/>
      <c r="S915" s="160"/>
      <c r="T915" s="162"/>
    </row>
    <row r="916">
      <c r="A916" s="158"/>
      <c r="B916" s="158"/>
      <c r="C916" s="158"/>
      <c r="D916" s="159"/>
      <c r="E916" s="160"/>
      <c r="F916" s="161"/>
      <c r="G916" s="162"/>
      <c r="H916" s="163"/>
      <c r="I916" s="162"/>
      <c r="J916" s="164"/>
      <c r="K916" s="164"/>
      <c r="L916" s="158"/>
      <c r="M916" s="158"/>
      <c r="N916" s="158"/>
      <c r="O916" s="158"/>
      <c r="P916" s="158"/>
      <c r="Q916" s="158"/>
      <c r="R916" s="159"/>
      <c r="S916" s="160"/>
      <c r="T916" s="162"/>
    </row>
    <row r="917">
      <c r="A917" s="158"/>
      <c r="B917" s="158"/>
      <c r="C917" s="158"/>
      <c r="D917" s="159"/>
      <c r="E917" s="160"/>
      <c r="F917" s="161"/>
      <c r="G917" s="162"/>
      <c r="H917" s="163"/>
      <c r="I917" s="162"/>
      <c r="J917" s="164"/>
      <c r="K917" s="164"/>
      <c r="L917" s="158"/>
      <c r="M917" s="158"/>
      <c r="N917" s="158"/>
      <c r="O917" s="158"/>
      <c r="P917" s="158"/>
      <c r="Q917" s="158"/>
      <c r="R917" s="159"/>
      <c r="S917" s="160"/>
      <c r="T917" s="162"/>
    </row>
    <row r="918">
      <c r="A918" s="158"/>
      <c r="B918" s="158"/>
      <c r="C918" s="158"/>
      <c r="D918" s="159"/>
      <c r="E918" s="160"/>
      <c r="F918" s="161"/>
      <c r="G918" s="162"/>
      <c r="H918" s="163"/>
      <c r="I918" s="162"/>
      <c r="J918" s="164"/>
      <c r="K918" s="164"/>
      <c r="L918" s="158"/>
      <c r="M918" s="158"/>
      <c r="N918" s="158"/>
      <c r="O918" s="158"/>
      <c r="P918" s="158"/>
      <c r="Q918" s="158"/>
      <c r="R918" s="159"/>
      <c r="S918" s="160"/>
      <c r="T918" s="162"/>
    </row>
    <row r="919">
      <c r="A919" s="158"/>
      <c r="B919" s="158"/>
      <c r="C919" s="158"/>
      <c r="D919" s="159"/>
      <c r="E919" s="160"/>
      <c r="F919" s="161"/>
      <c r="G919" s="162"/>
      <c r="H919" s="163"/>
      <c r="I919" s="162"/>
      <c r="J919" s="164"/>
      <c r="K919" s="164"/>
      <c r="L919" s="158"/>
      <c r="M919" s="158"/>
      <c r="N919" s="158"/>
      <c r="O919" s="158"/>
      <c r="P919" s="158"/>
      <c r="Q919" s="158"/>
      <c r="R919" s="159"/>
      <c r="S919" s="160"/>
      <c r="T919" s="162"/>
    </row>
    <row r="920">
      <c r="A920" s="158"/>
      <c r="B920" s="158"/>
      <c r="C920" s="158"/>
      <c r="D920" s="159"/>
      <c r="E920" s="160"/>
      <c r="F920" s="161"/>
      <c r="G920" s="162"/>
      <c r="H920" s="163"/>
      <c r="I920" s="162"/>
      <c r="J920" s="164"/>
      <c r="K920" s="164"/>
      <c r="L920" s="158"/>
      <c r="M920" s="158"/>
      <c r="N920" s="158"/>
      <c r="O920" s="158"/>
      <c r="P920" s="158"/>
      <c r="Q920" s="158"/>
      <c r="R920" s="159"/>
      <c r="S920" s="160"/>
      <c r="T920" s="162"/>
    </row>
    <row r="921">
      <c r="A921" s="158"/>
      <c r="B921" s="158"/>
      <c r="C921" s="158"/>
      <c r="D921" s="159"/>
      <c r="E921" s="160"/>
      <c r="F921" s="161"/>
      <c r="G921" s="162"/>
      <c r="H921" s="163"/>
      <c r="I921" s="162"/>
      <c r="J921" s="164"/>
      <c r="K921" s="164"/>
      <c r="L921" s="158"/>
      <c r="M921" s="158"/>
      <c r="N921" s="158"/>
      <c r="O921" s="158"/>
      <c r="P921" s="158"/>
      <c r="Q921" s="158"/>
      <c r="R921" s="159"/>
      <c r="S921" s="160"/>
      <c r="T921" s="162"/>
    </row>
    <row r="922">
      <c r="A922" s="158"/>
      <c r="B922" s="158"/>
      <c r="C922" s="158"/>
      <c r="D922" s="159"/>
      <c r="E922" s="160"/>
      <c r="F922" s="161"/>
      <c r="G922" s="162"/>
      <c r="H922" s="163"/>
      <c r="I922" s="162"/>
      <c r="J922" s="164"/>
      <c r="K922" s="164"/>
      <c r="L922" s="158"/>
      <c r="M922" s="158"/>
      <c r="N922" s="158"/>
      <c r="O922" s="158"/>
      <c r="P922" s="158"/>
      <c r="Q922" s="158"/>
      <c r="R922" s="159"/>
      <c r="S922" s="160"/>
      <c r="T922" s="162"/>
    </row>
    <row r="923">
      <c r="A923" s="158"/>
      <c r="B923" s="158"/>
      <c r="C923" s="158"/>
      <c r="D923" s="159"/>
      <c r="E923" s="160"/>
      <c r="F923" s="161"/>
      <c r="G923" s="162"/>
      <c r="H923" s="163"/>
      <c r="I923" s="162"/>
      <c r="J923" s="164"/>
      <c r="K923" s="164"/>
      <c r="L923" s="158"/>
      <c r="M923" s="158"/>
      <c r="N923" s="158"/>
      <c r="O923" s="158"/>
      <c r="P923" s="158"/>
      <c r="Q923" s="158"/>
      <c r="R923" s="159"/>
      <c r="S923" s="160"/>
      <c r="T923" s="162"/>
    </row>
    <row r="924">
      <c r="A924" s="158"/>
      <c r="B924" s="158"/>
      <c r="C924" s="158"/>
      <c r="D924" s="159"/>
      <c r="E924" s="160"/>
      <c r="F924" s="161"/>
      <c r="G924" s="162"/>
      <c r="H924" s="163"/>
      <c r="I924" s="162"/>
      <c r="J924" s="164"/>
      <c r="K924" s="164"/>
      <c r="L924" s="158"/>
      <c r="M924" s="158"/>
      <c r="N924" s="158"/>
      <c r="O924" s="158"/>
      <c r="P924" s="158"/>
      <c r="Q924" s="158"/>
      <c r="R924" s="159"/>
      <c r="S924" s="160"/>
      <c r="T924" s="162"/>
    </row>
    <row r="925">
      <c r="A925" s="158"/>
      <c r="B925" s="158"/>
      <c r="C925" s="158"/>
      <c r="D925" s="159"/>
      <c r="E925" s="160"/>
      <c r="F925" s="161"/>
      <c r="G925" s="162"/>
      <c r="H925" s="163"/>
      <c r="I925" s="162"/>
      <c r="J925" s="164"/>
      <c r="K925" s="164"/>
      <c r="L925" s="158"/>
      <c r="M925" s="158"/>
      <c r="N925" s="158"/>
      <c r="O925" s="158"/>
      <c r="P925" s="158"/>
      <c r="Q925" s="158"/>
      <c r="R925" s="159"/>
      <c r="S925" s="160"/>
      <c r="T925" s="162"/>
    </row>
    <row r="926">
      <c r="A926" s="158"/>
      <c r="B926" s="158"/>
      <c r="C926" s="158"/>
      <c r="D926" s="159"/>
      <c r="E926" s="160"/>
      <c r="F926" s="161"/>
      <c r="G926" s="162"/>
      <c r="H926" s="163"/>
      <c r="I926" s="162"/>
      <c r="J926" s="164"/>
      <c r="K926" s="164"/>
      <c r="L926" s="158"/>
      <c r="M926" s="158"/>
      <c r="N926" s="158"/>
      <c r="O926" s="158"/>
      <c r="P926" s="158"/>
      <c r="Q926" s="158"/>
      <c r="R926" s="159"/>
      <c r="S926" s="160"/>
      <c r="T926" s="162"/>
    </row>
    <row r="927">
      <c r="A927" s="158"/>
      <c r="B927" s="158"/>
      <c r="C927" s="158"/>
      <c r="D927" s="159"/>
      <c r="E927" s="160"/>
      <c r="F927" s="161"/>
      <c r="G927" s="162"/>
      <c r="H927" s="163"/>
      <c r="I927" s="162"/>
      <c r="J927" s="164"/>
      <c r="K927" s="164"/>
      <c r="L927" s="158"/>
      <c r="M927" s="158"/>
      <c r="N927" s="158"/>
      <c r="O927" s="158"/>
      <c r="P927" s="158"/>
      <c r="Q927" s="158"/>
      <c r="R927" s="159"/>
      <c r="S927" s="160"/>
      <c r="T927" s="162"/>
    </row>
    <row r="928">
      <c r="A928" s="158"/>
      <c r="B928" s="158"/>
      <c r="C928" s="158"/>
      <c r="D928" s="159"/>
      <c r="E928" s="160"/>
      <c r="F928" s="161"/>
      <c r="G928" s="162"/>
      <c r="H928" s="163"/>
      <c r="I928" s="162"/>
      <c r="J928" s="164"/>
      <c r="K928" s="164"/>
      <c r="L928" s="158"/>
      <c r="M928" s="158"/>
      <c r="N928" s="158"/>
      <c r="O928" s="158"/>
      <c r="P928" s="158"/>
      <c r="Q928" s="158"/>
      <c r="R928" s="159"/>
      <c r="S928" s="160"/>
      <c r="T928" s="162"/>
    </row>
    <row r="929">
      <c r="A929" s="158"/>
      <c r="B929" s="158"/>
      <c r="C929" s="158"/>
      <c r="D929" s="159"/>
      <c r="E929" s="160"/>
      <c r="F929" s="161"/>
      <c r="G929" s="162"/>
      <c r="H929" s="163"/>
      <c r="I929" s="162"/>
      <c r="J929" s="164"/>
      <c r="K929" s="164"/>
      <c r="L929" s="158"/>
      <c r="M929" s="158"/>
      <c r="N929" s="158"/>
      <c r="O929" s="158"/>
      <c r="P929" s="158"/>
      <c r="Q929" s="158"/>
      <c r="R929" s="159"/>
      <c r="S929" s="160"/>
      <c r="T929" s="162"/>
    </row>
    <row r="930">
      <c r="A930" s="158"/>
      <c r="B930" s="158"/>
      <c r="C930" s="158"/>
      <c r="D930" s="159"/>
      <c r="E930" s="160"/>
      <c r="F930" s="161"/>
      <c r="G930" s="162"/>
      <c r="H930" s="163"/>
      <c r="I930" s="162"/>
      <c r="J930" s="164"/>
      <c r="K930" s="164"/>
      <c r="L930" s="158"/>
      <c r="M930" s="158"/>
      <c r="N930" s="158"/>
      <c r="O930" s="158"/>
      <c r="P930" s="158"/>
      <c r="Q930" s="158"/>
      <c r="R930" s="159"/>
      <c r="S930" s="160"/>
      <c r="T930" s="162"/>
    </row>
    <row r="931">
      <c r="A931" s="158"/>
      <c r="B931" s="158"/>
      <c r="C931" s="158"/>
      <c r="D931" s="159"/>
      <c r="E931" s="160"/>
      <c r="F931" s="161"/>
      <c r="G931" s="162"/>
      <c r="H931" s="163"/>
      <c r="I931" s="162"/>
      <c r="J931" s="164"/>
      <c r="K931" s="164"/>
      <c r="L931" s="158"/>
      <c r="M931" s="158"/>
      <c r="N931" s="158"/>
      <c r="O931" s="158"/>
      <c r="P931" s="158"/>
      <c r="Q931" s="158"/>
      <c r="R931" s="159"/>
      <c r="S931" s="160"/>
      <c r="T931" s="162"/>
    </row>
    <row r="932">
      <c r="A932" s="158"/>
      <c r="B932" s="158"/>
      <c r="C932" s="158"/>
      <c r="D932" s="159"/>
      <c r="E932" s="160"/>
      <c r="F932" s="161"/>
      <c r="G932" s="162"/>
      <c r="H932" s="163"/>
      <c r="I932" s="162"/>
      <c r="J932" s="164"/>
      <c r="K932" s="164"/>
      <c r="L932" s="158"/>
      <c r="M932" s="158"/>
      <c r="N932" s="158"/>
      <c r="O932" s="158"/>
      <c r="P932" s="158"/>
      <c r="Q932" s="158"/>
      <c r="R932" s="159"/>
      <c r="S932" s="160"/>
      <c r="T932" s="162"/>
    </row>
    <row r="933">
      <c r="A933" s="158"/>
      <c r="B933" s="158"/>
      <c r="C933" s="158"/>
      <c r="D933" s="159"/>
      <c r="E933" s="160"/>
      <c r="F933" s="161"/>
      <c r="G933" s="162"/>
      <c r="H933" s="163"/>
      <c r="I933" s="162"/>
      <c r="J933" s="164"/>
      <c r="K933" s="164"/>
      <c r="L933" s="158"/>
      <c r="M933" s="158"/>
      <c r="N933" s="158"/>
      <c r="O933" s="158"/>
      <c r="P933" s="158"/>
      <c r="Q933" s="158"/>
      <c r="R933" s="159"/>
      <c r="S933" s="160"/>
      <c r="T933" s="162"/>
    </row>
    <row r="934">
      <c r="A934" s="158"/>
      <c r="B934" s="158"/>
      <c r="C934" s="158"/>
      <c r="D934" s="159"/>
      <c r="E934" s="160"/>
      <c r="F934" s="161"/>
      <c r="G934" s="162"/>
      <c r="H934" s="163"/>
      <c r="I934" s="162"/>
      <c r="J934" s="164"/>
      <c r="K934" s="164"/>
      <c r="L934" s="158"/>
      <c r="M934" s="158"/>
      <c r="N934" s="158"/>
      <c r="O934" s="158"/>
      <c r="P934" s="158"/>
      <c r="Q934" s="158"/>
      <c r="R934" s="159"/>
      <c r="S934" s="160"/>
      <c r="T934" s="162"/>
    </row>
    <row r="935">
      <c r="A935" s="158"/>
      <c r="B935" s="158"/>
      <c r="C935" s="158"/>
      <c r="D935" s="159"/>
      <c r="E935" s="160"/>
      <c r="F935" s="161"/>
      <c r="G935" s="162"/>
      <c r="H935" s="163"/>
      <c r="I935" s="162"/>
      <c r="J935" s="164"/>
      <c r="K935" s="164"/>
      <c r="L935" s="158"/>
      <c r="M935" s="158"/>
      <c r="N935" s="158"/>
      <c r="O935" s="158"/>
      <c r="P935" s="158"/>
      <c r="Q935" s="158"/>
      <c r="R935" s="159"/>
      <c r="S935" s="160"/>
      <c r="T935" s="162"/>
    </row>
    <row r="936">
      <c r="A936" s="158"/>
      <c r="B936" s="158"/>
      <c r="C936" s="158"/>
      <c r="D936" s="159"/>
      <c r="E936" s="160"/>
      <c r="F936" s="161"/>
      <c r="G936" s="162"/>
      <c r="H936" s="163"/>
      <c r="I936" s="162"/>
      <c r="J936" s="164"/>
      <c r="K936" s="164"/>
      <c r="L936" s="158"/>
      <c r="M936" s="158"/>
      <c r="N936" s="158"/>
      <c r="O936" s="158"/>
      <c r="P936" s="158"/>
      <c r="Q936" s="158"/>
      <c r="R936" s="159"/>
      <c r="S936" s="160"/>
      <c r="T936" s="162"/>
    </row>
    <row r="937">
      <c r="A937" s="158"/>
      <c r="B937" s="158"/>
      <c r="C937" s="158"/>
      <c r="D937" s="159"/>
      <c r="E937" s="160"/>
      <c r="F937" s="161"/>
      <c r="G937" s="162"/>
      <c r="H937" s="163"/>
      <c r="I937" s="162"/>
      <c r="J937" s="164"/>
      <c r="K937" s="164"/>
      <c r="L937" s="158"/>
      <c r="M937" s="158"/>
      <c r="N937" s="158"/>
      <c r="O937" s="158"/>
      <c r="P937" s="158"/>
      <c r="Q937" s="158"/>
      <c r="R937" s="159"/>
      <c r="S937" s="160"/>
      <c r="T937" s="162"/>
    </row>
    <row r="938">
      <c r="A938" s="158"/>
      <c r="B938" s="158"/>
      <c r="C938" s="158"/>
      <c r="D938" s="159"/>
      <c r="E938" s="160"/>
      <c r="F938" s="161"/>
      <c r="G938" s="162"/>
      <c r="H938" s="163"/>
      <c r="I938" s="162"/>
      <c r="J938" s="164"/>
      <c r="K938" s="164"/>
      <c r="L938" s="158"/>
      <c r="M938" s="158"/>
      <c r="N938" s="158"/>
      <c r="O938" s="158"/>
      <c r="P938" s="158"/>
      <c r="Q938" s="158"/>
      <c r="R938" s="159"/>
      <c r="S938" s="160"/>
      <c r="T938" s="162"/>
    </row>
    <row r="939">
      <c r="A939" s="158"/>
      <c r="B939" s="158"/>
      <c r="C939" s="158"/>
      <c r="D939" s="159"/>
      <c r="E939" s="160"/>
      <c r="F939" s="161"/>
      <c r="G939" s="162"/>
      <c r="H939" s="163"/>
      <c r="I939" s="162"/>
      <c r="J939" s="164"/>
      <c r="K939" s="164"/>
      <c r="L939" s="158"/>
      <c r="M939" s="158"/>
      <c r="N939" s="158"/>
      <c r="O939" s="158"/>
      <c r="P939" s="158"/>
      <c r="Q939" s="158"/>
      <c r="R939" s="159"/>
      <c r="S939" s="160"/>
      <c r="T939" s="162"/>
    </row>
    <row r="940">
      <c r="A940" s="158"/>
      <c r="B940" s="158"/>
      <c r="C940" s="158"/>
      <c r="D940" s="159"/>
      <c r="E940" s="160"/>
      <c r="F940" s="161"/>
      <c r="G940" s="162"/>
      <c r="H940" s="163"/>
      <c r="I940" s="162"/>
      <c r="J940" s="164"/>
      <c r="K940" s="164"/>
      <c r="L940" s="158"/>
      <c r="M940" s="158"/>
      <c r="N940" s="158"/>
      <c r="O940" s="158"/>
      <c r="P940" s="158"/>
      <c r="Q940" s="158"/>
      <c r="R940" s="159"/>
      <c r="S940" s="160"/>
      <c r="T940" s="162"/>
    </row>
    <row r="941">
      <c r="A941" s="158"/>
      <c r="B941" s="158"/>
      <c r="C941" s="158"/>
      <c r="D941" s="159"/>
      <c r="E941" s="160"/>
      <c r="F941" s="161"/>
      <c r="G941" s="162"/>
      <c r="H941" s="163"/>
      <c r="I941" s="162"/>
      <c r="J941" s="164"/>
      <c r="K941" s="164"/>
      <c r="L941" s="158"/>
      <c r="M941" s="158"/>
      <c r="N941" s="158"/>
      <c r="O941" s="158"/>
      <c r="P941" s="158"/>
      <c r="Q941" s="158"/>
      <c r="R941" s="159"/>
      <c r="S941" s="160"/>
      <c r="T941" s="162"/>
    </row>
    <row r="942">
      <c r="A942" s="158"/>
      <c r="B942" s="158"/>
      <c r="C942" s="158"/>
      <c r="D942" s="159"/>
      <c r="E942" s="160"/>
      <c r="F942" s="161"/>
      <c r="G942" s="162"/>
      <c r="H942" s="163"/>
      <c r="I942" s="162"/>
      <c r="J942" s="164"/>
      <c r="K942" s="164"/>
      <c r="L942" s="158"/>
      <c r="M942" s="158"/>
      <c r="N942" s="158"/>
      <c r="O942" s="158"/>
      <c r="P942" s="158"/>
      <c r="Q942" s="158"/>
      <c r="R942" s="159"/>
      <c r="S942" s="160"/>
      <c r="T942" s="162"/>
    </row>
    <row r="943">
      <c r="A943" s="158"/>
      <c r="B943" s="158"/>
      <c r="C943" s="158"/>
      <c r="D943" s="159"/>
      <c r="E943" s="160"/>
      <c r="F943" s="161"/>
      <c r="G943" s="162"/>
      <c r="H943" s="163"/>
      <c r="I943" s="162"/>
      <c r="J943" s="164"/>
      <c r="K943" s="164"/>
      <c r="L943" s="158"/>
      <c r="M943" s="158"/>
      <c r="N943" s="158"/>
      <c r="O943" s="158"/>
      <c r="P943" s="158"/>
      <c r="Q943" s="158"/>
      <c r="R943" s="159"/>
      <c r="S943" s="160"/>
      <c r="T943" s="162"/>
    </row>
    <row r="944">
      <c r="A944" s="158"/>
      <c r="B944" s="158"/>
      <c r="C944" s="158"/>
      <c r="D944" s="159"/>
      <c r="E944" s="160"/>
      <c r="F944" s="161"/>
      <c r="G944" s="162"/>
      <c r="H944" s="163"/>
      <c r="I944" s="162"/>
      <c r="J944" s="164"/>
      <c r="K944" s="164"/>
      <c r="L944" s="158"/>
      <c r="M944" s="158"/>
      <c r="N944" s="158"/>
      <c r="O944" s="158"/>
      <c r="P944" s="158"/>
      <c r="Q944" s="158"/>
      <c r="R944" s="159"/>
      <c r="S944" s="160"/>
      <c r="T944" s="162"/>
    </row>
    <row r="945">
      <c r="A945" s="158"/>
      <c r="B945" s="158"/>
      <c r="C945" s="158"/>
      <c r="D945" s="159"/>
      <c r="E945" s="160"/>
      <c r="F945" s="161"/>
      <c r="G945" s="162"/>
      <c r="H945" s="163"/>
      <c r="I945" s="162"/>
      <c r="J945" s="164"/>
      <c r="K945" s="164"/>
      <c r="L945" s="158"/>
      <c r="M945" s="158"/>
      <c r="N945" s="158"/>
      <c r="O945" s="158"/>
      <c r="P945" s="158"/>
      <c r="Q945" s="158"/>
      <c r="R945" s="159"/>
      <c r="S945" s="160"/>
      <c r="T945" s="162"/>
    </row>
    <row r="946">
      <c r="A946" s="158"/>
      <c r="B946" s="158"/>
      <c r="C946" s="158"/>
      <c r="D946" s="159"/>
      <c r="E946" s="160"/>
      <c r="F946" s="161"/>
      <c r="G946" s="162"/>
      <c r="H946" s="163"/>
      <c r="I946" s="162"/>
      <c r="J946" s="164"/>
      <c r="K946" s="164"/>
      <c r="L946" s="158"/>
      <c r="M946" s="158"/>
      <c r="N946" s="158"/>
      <c r="O946" s="158"/>
      <c r="P946" s="158"/>
      <c r="Q946" s="158"/>
      <c r="R946" s="159"/>
      <c r="S946" s="160"/>
      <c r="T946" s="162"/>
    </row>
    <row r="947">
      <c r="A947" s="158"/>
      <c r="B947" s="158"/>
      <c r="C947" s="158"/>
      <c r="D947" s="159"/>
      <c r="E947" s="160"/>
      <c r="F947" s="161"/>
      <c r="G947" s="162"/>
      <c r="H947" s="163"/>
      <c r="I947" s="162"/>
      <c r="J947" s="164"/>
      <c r="K947" s="164"/>
      <c r="L947" s="158"/>
      <c r="M947" s="158"/>
      <c r="N947" s="158"/>
      <c r="O947" s="158"/>
      <c r="P947" s="158"/>
      <c r="Q947" s="158"/>
      <c r="R947" s="159"/>
      <c r="S947" s="160"/>
      <c r="T947" s="162"/>
    </row>
    <row r="948">
      <c r="A948" s="158"/>
      <c r="B948" s="158"/>
      <c r="C948" s="158"/>
      <c r="D948" s="159"/>
      <c r="E948" s="160"/>
      <c r="F948" s="161"/>
      <c r="G948" s="162"/>
      <c r="H948" s="163"/>
      <c r="I948" s="162"/>
      <c r="J948" s="164"/>
      <c r="K948" s="164"/>
      <c r="L948" s="158"/>
      <c r="M948" s="158"/>
      <c r="N948" s="158"/>
      <c r="O948" s="158"/>
      <c r="P948" s="158"/>
      <c r="Q948" s="158"/>
      <c r="R948" s="159"/>
      <c r="S948" s="160"/>
      <c r="T948" s="162"/>
    </row>
    <row r="949">
      <c r="A949" s="158"/>
      <c r="B949" s="158"/>
      <c r="C949" s="158"/>
      <c r="D949" s="159"/>
      <c r="E949" s="160"/>
      <c r="F949" s="161"/>
      <c r="G949" s="162"/>
      <c r="H949" s="163"/>
      <c r="I949" s="162"/>
      <c r="J949" s="164"/>
      <c r="K949" s="164"/>
      <c r="L949" s="158"/>
      <c r="M949" s="158"/>
      <c r="N949" s="158"/>
      <c r="O949" s="158"/>
      <c r="P949" s="158"/>
      <c r="Q949" s="158"/>
      <c r="R949" s="159"/>
      <c r="S949" s="160"/>
      <c r="T949" s="162"/>
    </row>
    <row r="950">
      <c r="A950" s="158"/>
      <c r="B950" s="158"/>
      <c r="C950" s="158"/>
      <c r="D950" s="159"/>
      <c r="E950" s="160"/>
      <c r="F950" s="161"/>
      <c r="G950" s="162"/>
      <c r="H950" s="163"/>
      <c r="I950" s="162"/>
      <c r="J950" s="164"/>
      <c r="K950" s="164"/>
      <c r="L950" s="158"/>
      <c r="M950" s="158"/>
      <c r="N950" s="158"/>
      <c r="O950" s="158"/>
      <c r="P950" s="158"/>
      <c r="Q950" s="158"/>
      <c r="R950" s="159"/>
      <c r="S950" s="160"/>
      <c r="T950" s="162"/>
    </row>
    <row r="951">
      <c r="A951" s="158"/>
      <c r="B951" s="158"/>
      <c r="C951" s="158"/>
      <c r="D951" s="159"/>
      <c r="E951" s="160"/>
      <c r="F951" s="161"/>
      <c r="G951" s="162"/>
      <c r="H951" s="163"/>
      <c r="I951" s="162"/>
      <c r="J951" s="164"/>
      <c r="K951" s="164"/>
      <c r="L951" s="158"/>
      <c r="M951" s="158"/>
      <c r="N951" s="158"/>
      <c r="O951" s="158"/>
      <c r="P951" s="158"/>
      <c r="Q951" s="158"/>
      <c r="R951" s="159"/>
      <c r="S951" s="160"/>
      <c r="T951" s="162"/>
    </row>
    <row r="952">
      <c r="A952" s="158"/>
      <c r="B952" s="158"/>
      <c r="C952" s="158"/>
      <c r="D952" s="159"/>
      <c r="E952" s="160"/>
      <c r="F952" s="161"/>
      <c r="G952" s="162"/>
      <c r="H952" s="163"/>
      <c r="I952" s="162"/>
      <c r="J952" s="164"/>
      <c r="K952" s="164"/>
      <c r="L952" s="158"/>
      <c r="M952" s="158"/>
      <c r="N952" s="158"/>
      <c r="O952" s="158"/>
      <c r="P952" s="158"/>
      <c r="Q952" s="158"/>
      <c r="R952" s="159"/>
      <c r="S952" s="160"/>
      <c r="T952" s="162"/>
    </row>
    <row r="953">
      <c r="A953" s="158"/>
      <c r="B953" s="158"/>
      <c r="C953" s="158"/>
      <c r="D953" s="159"/>
      <c r="E953" s="160"/>
      <c r="F953" s="161"/>
      <c r="G953" s="162"/>
      <c r="H953" s="163"/>
      <c r="I953" s="162"/>
      <c r="J953" s="164"/>
      <c r="K953" s="164"/>
      <c r="L953" s="158"/>
      <c r="M953" s="158"/>
      <c r="N953" s="158"/>
      <c r="O953" s="158"/>
      <c r="P953" s="158"/>
      <c r="Q953" s="158"/>
      <c r="R953" s="159"/>
      <c r="S953" s="160"/>
      <c r="T953" s="162"/>
    </row>
    <row r="954">
      <c r="A954" s="158"/>
      <c r="B954" s="158"/>
      <c r="C954" s="158"/>
      <c r="D954" s="159"/>
      <c r="E954" s="160"/>
      <c r="F954" s="161"/>
      <c r="G954" s="162"/>
      <c r="H954" s="163"/>
      <c r="I954" s="162"/>
      <c r="J954" s="164"/>
      <c r="K954" s="164"/>
      <c r="L954" s="158"/>
      <c r="M954" s="158"/>
      <c r="N954" s="158"/>
      <c r="O954" s="158"/>
      <c r="P954" s="158"/>
      <c r="Q954" s="158"/>
      <c r="R954" s="159"/>
      <c r="S954" s="160"/>
      <c r="T954" s="162"/>
    </row>
    <row r="955">
      <c r="A955" s="158"/>
      <c r="B955" s="158"/>
      <c r="C955" s="158"/>
      <c r="D955" s="159"/>
      <c r="E955" s="160"/>
      <c r="F955" s="161"/>
      <c r="G955" s="162"/>
      <c r="H955" s="163"/>
      <c r="I955" s="162"/>
      <c r="J955" s="164"/>
      <c r="K955" s="164"/>
      <c r="L955" s="158"/>
      <c r="M955" s="158"/>
      <c r="N955" s="158"/>
      <c r="O955" s="158"/>
      <c r="P955" s="158"/>
      <c r="Q955" s="158"/>
      <c r="R955" s="159"/>
      <c r="S955" s="160"/>
      <c r="T955" s="162"/>
    </row>
    <row r="956">
      <c r="A956" s="158"/>
      <c r="B956" s="158"/>
      <c r="C956" s="158"/>
      <c r="D956" s="159"/>
      <c r="E956" s="160"/>
      <c r="F956" s="161"/>
      <c r="G956" s="162"/>
      <c r="H956" s="163"/>
      <c r="I956" s="162"/>
      <c r="J956" s="164"/>
      <c r="K956" s="164"/>
      <c r="L956" s="158"/>
      <c r="M956" s="158"/>
      <c r="N956" s="158"/>
      <c r="O956" s="158"/>
      <c r="P956" s="158"/>
      <c r="Q956" s="158"/>
      <c r="R956" s="159"/>
      <c r="S956" s="160"/>
      <c r="T956" s="162"/>
    </row>
    <row r="957">
      <c r="A957" s="158"/>
      <c r="B957" s="158"/>
      <c r="C957" s="158"/>
      <c r="D957" s="159"/>
      <c r="E957" s="160"/>
      <c r="F957" s="161"/>
      <c r="G957" s="162"/>
      <c r="H957" s="163"/>
      <c r="I957" s="162"/>
      <c r="J957" s="164"/>
      <c r="K957" s="164"/>
      <c r="L957" s="158"/>
      <c r="M957" s="158"/>
      <c r="N957" s="158"/>
      <c r="O957" s="158"/>
      <c r="P957" s="158"/>
      <c r="Q957" s="158"/>
      <c r="R957" s="159"/>
      <c r="S957" s="160"/>
      <c r="T957" s="162"/>
    </row>
    <row r="958">
      <c r="A958" s="158"/>
      <c r="B958" s="158"/>
      <c r="C958" s="158"/>
      <c r="D958" s="159"/>
      <c r="E958" s="160"/>
      <c r="F958" s="161"/>
      <c r="G958" s="162"/>
      <c r="H958" s="163"/>
      <c r="I958" s="162"/>
      <c r="J958" s="164"/>
      <c r="K958" s="164"/>
      <c r="L958" s="158"/>
      <c r="M958" s="158"/>
      <c r="N958" s="158"/>
      <c r="O958" s="158"/>
      <c r="P958" s="158"/>
      <c r="Q958" s="158"/>
      <c r="R958" s="159"/>
      <c r="S958" s="160"/>
      <c r="T958" s="162"/>
    </row>
    <row r="959">
      <c r="A959" s="158"/>
      <c r="B959" s="158"/>
      <c r="C959" s="158"/>
      <c r="D959" s="159"/>
      <c r="E959" s="160"/>
      <c r="F959" s="161"/>
      <c r="G959" s="162"/>
      <c r="H959" s="163"/>
      <c r="I959" s="162"/>
      <c r="J959" s="164"/>
      <c r="K959" s="164"/>
      <c r="L959" s="158"/>
      <c r="M959" s="158"/>
      <c r="N959" s="158"/>
      <c r="O959" s="158"/>
      <c r="P959" s="158"/>
      <c r="Q959" s="158"/>
      <c r="R959" s="159"/>
      <c r="S959" s="160"/>
      <c r="T959" s="162"/>
    </row>
    <row r="960">
      <c r="A960" s="158"/>
      <c r="B960" s="158"/>
      <c r="C960" s="158"/>
      <c r="D960" s="159"/>
      <c r="E960" s="160"/>
      <c r="F960" s="161"/>
      <c r="G960" s="162"/>
      <c r="H960" s="163"/>
      <c r="I960" s="162"/>
      <c r="J960" s="164"/>
      <c r="K960" s="164"/>
      <c r="L960" s="158"/>
      <c r="M960" s="158"/>
      <c r="N960" s="158"/>
      <c r="O960" s="158"/>
      <c r="P960" s="158"/>
      <c r="Q960" s="158"/>
      <c r="R960" s="159"/>
      <c r="S960" s="160"/>
      <c r="T960" s="162"/>
    </row>
    <row r="961">
      <c r="A961" s="158"/>
      <c r="B961" s="158"/>
      <c r="C961" s="158"/>
      <c r="D961" s="159"/>
      <c r="E961" s="160"/>
      <c r="F961" s="161"/>
      <c r="G961" s="162"/>
      <c r="H961" s="163"/>
      <c r="I961" s="162"/>
      <c r="J961" s="164"/>
      <c r="K961" s="164"/>
      <c r="L961" s="158"/>
      <c r="M961" s="158"/>
      <c r="N961" s="158"/>
      <c r="O961" s="158"/>
      <c r="P961" s="158"/>
      <c r="Q961" s="158"/>
      <c r="R961" s="159"/>
      <c r="S961" s="160"/>
      <c r="T961" s="162"/>
    </row>
    <row r="962">
      <c r="A962" s="158"/>
      <c r="B962" s="158"/>
      <c r="C962" s="158"/>
      <c r="D962" s="159"/>
      <c r="E962" s="160"/>
      <c r="F962" s="161"/>
      <c r="G962" s="162"/>
      <c r="H962" s="163"/>
      <c r="I962" s="162"/>
      <c r="J962" s="164"/>
      <c r="K962" s="164"/>
      <c r="L962" s="158"/>
      <c r="M962" s="158"/>
      <c r="N962" s="158"/>
      <c r="O962" s="158"/>
      <c r="P962" s="158"/>
      <c r="Q962" s="158"/>
      <c r="R962" s="159"/>
      <c r="S962" s="160"/>
      <c r="T962" s="162"/>
    </row>
    <row r="963">
      <c r="A963" s="158"/>
      <c r="B963" s="158"/>
      <c r="C963" s="158"/>
      <c r="D963" s="159"/>
      <c r="E963" s="160"/>
      <c r="F963" s="161"/>
      <c r="G963" s="162"/>
      <c r="H963" s="163"/>
      <c r="I963" s="162"/>
      <c r="J963" s="164"/>
      <c r="K963" s="164"/>
      <c r="L963" s="158"/>
      <c r="M963" s="158"/>
      <c r="N963" s="158"/>
      <c r="O963" s="158"/>
      <c r="P963" s="158"/>
      <c r="Q963" s="158"/>
      <c r="R963" s="159"/>
      <c r="S963" s="160"/>
      <c r="T963" s="162"/>
    </row>
    <row r="964">
      <c r="A964" s="158"/>
      <c r="B964" s="158"/>
      <c r="C964" s="158"/>
      <c r="D964" s="159"/>
      <c r="E964" s="160"/>
      <c r="F964" s="161"/>
      <c r="G964" s="162"/>
      <c r="H964" s="163"/>
      <c r="I964" s="162"/>
      <c r="J964" s="164"/>
      <c r="K964" s="164"/>
      <c r="L964" s="158"/>
      <c r="M964" s="158"/>
      <c r="N964" s="158"/>
      <c r="O964" s="158"/>
      <c r="P964" s="158"/>
      <c r="Q964" s="158"/>
      <c r="R964" s="159"/>
      <c r="S964" s="160"/>
      <c r="T964" s="162"/>
    </row>
    <row r="965">
      <c r="A965" s="158"/>
      <c r="B965" s="158"/>
      <c r="C965" s="158"/>
      <c r="D965" s="159"/>
      <c r="E965" s="160"/>
      <c r="F965" s="161"/>
      <c r="G965" s="162"/>
      <c r="H965" s="163"/>
      <c r="I965" s="162"/>
      <c r="J965" s="164"/>
      <c r="K965" s="164"/>
      <c r="L965" s="158"/>
      <c r="M965" s="158"/>
      <c r="N965" s="158"/>
      <c r="O965" s="158"/>
      <c r="P965" s="158"/>
      <c r="Q965" s="158"/>
      <c r="R965" s="159"/>
      <c r="S965" s="160"/>
      <c r="T965" s="162"/>
    </row>
    <row r="966">
      <c r="A966" s="158"/>
      <c r="B966" s="158"/>
      <c r="C966" s="158"/>
      <c r="D966" s="159"/>
      <c r="E966" s="160"/>
      <c r="F966" s="161"/>
      <c r="G966" s="162"/>
      <c r="H966" s="163"/>
      <c r="I966" s="162"/>
      <c r="J966" s="164"/>
      <c r="K966" s="164"/>
      <c r="L966" s="158"/>
      <c r="M966" s="158"/>
      <c r="N966" s="158"/>
      <c r="O966" s="158"/>
      <c r="P966" s="158"/>
      <c r="Q966" s="158"/>
      <c r="R966" s="159"/>
      <c r="S966" s="160"/>
      <c r="T966" s="162"/>
    </row>
    <row r="967">
      <c r="A967" s="158"/>
      <c r="B967" s="158"/>
      <c r="C967" s="158"/>
      <c r="D967" s="159"/>
      <c r="E967" s="160"/>
      <c r="F967" s="161"/>
      <c r="G967" s="162"/>
      <c r="H967" s="163"/>
      <c r="I967" s="162"/>
      <c r="J967" s="164"/>
      <c r="K967" s="164"/>
      <c r="L967" s="158"/>
      <c r="M967" s="158"/>
      <c r="N967" s="158"/>
      <c r="O967" s="158"/>
      <c r="P967" s="158"/>
      <c r="Q967" s="158"/>
      <c r="R967" s="159"/>
      <c r="S967" s="160"/>
      <c r="T967" s="162"/>
    </row>
    <row r="968">
      <c r="A968" s="158"/>
      <c r="B968" s="158"/>
      <c r="C968" s="158"/>
      <c r="D968" s="159"/>
      <c r="E968" s="160"/>
      <c r="F968" s="161"/>
      <c r="G968" s="162"/>
      <c r="H968" s="163"/>
      <c r="I968" s="162"/>
      <c r="J968" s="164"/>
      <c r="K968" s="164"/>
      <c r="L968" s="158"/>
      <c r="M968" s="158"/>
      <c r="N968" s="158"/>
      <c r="O968" s="158"/>
      <c r="P968" s="158"/>
      <c r="Q968" s="158"/>
      <c r="R968" s="159"/>
      <c r="S968" s="160"/>
      <c r="T968" s="162"/>
    </row>
    <row r="969">
      <c r="A969" s="158"/>
      <c r="B969" s="158"/>
      <c r="C969" s="158"/>
      <c r="D969" s="159"/>
      <c r="E969" s="160"/>
      <c r="F969" s="161"/>
      <c r="G969" s="162"/>
      <c r="H969" s="163"/>
      <c r="I969" s="162"/>
      <c r="J969" s="164"/>
      <c r="K969" s="164"/>
      <c r="L969" s="158"/>
      <c r="M969" s="158"/>
      <c r="N969" s="158"/>
      <c r="O969" s="158"/>
      <c r="P969" s="158"/>
      <c r="Q969" s="158"/>
      <c r="R969" s="159"/>
      <c r="S969" s="160"/>
      <c r="T969" s="162"/>
    </row>
    <row r="970">
      <c r="A970" s="158"/>
      <c r="B970" s="158"/>
      <c r="C970" s="158"/>
      <c r="D970" s="159"/>
      <c r="E970" s="160"/>
      <c r="F970" s="161"/>
      <c r="G970" s="162"/>
      <c r="H970" s="163"/>
      <c r="I970" s="162"/>
      <c r="J970" s="164"/>
      <c r="K970" s="164"/>
      <c r="L970" s="158"/>
      <c r="M970" s="158"/>
      <c r="N970" s="158"/>
      <c r="O970" s="158"/>
      <c r="P970" s="158"/>
      <c r="Q970" s="158"/>
      <c r="R970" s="159"/>
      <c r="S970" s="160"/>
      <c r="T970" s="162"/>
    </row>
    <row r="971">
      <c r="A971" s="158"/>
      <c r="B971" s="158"/>
      <c r="C971" s="158"/>
      <c r="D971" s="159"/>
      <c r="E971" s="160"/>
      <c r="F971" s="161"/>
      <c r="G971" s="162"/>
      <c r="H971" s="163"/>
      <c r="I971" s="162"/>
      <c r="J971" s="164"/>
      <c r="K971" s="164"/>
      <c r="L971" s="158"/>
      <c r="M971" s="158"/>
      <c r="N971" s="158"/>
      <c r="O971" s="158"/>
      <c r="P971" s="158"/>
      <c r="Q971" s="158"/>
      <c r="R971" s="159"/>
      <c r="S971" s="160"/>
      <c r="T971" s="162"/>
    </row>
    <row r="972">
      <c r="A972" s="158"/>
      <c r="B972" s="158"/>
      <c r="C972" s="158"/>
      <c r="D972" s="159"/>
      <c r="E972" s="160"/>
      <c r="F972" s="161"/>
      <c r="G972" s="162"/>
      <c r="H972" s="163"/>
      <c r="I972" s="162"/>
      <c r="J972" s="164"/>
      <c r="K972" s="164"/>
      <c r="L972" s="158"/>
      <c r="M972" s="158"/>
      <c r="N972" s="158"/>
      <c r="O972" s="158"/>
      <c r="P972" s="158"/>
      <c r="Q972" s="158"/>
      <c r="R972" s="159"/>
      <c r="S972" s="160"/>
      <c r="T972" s="162"/>
    </row>
    <row r="973">
      <c r="A973" s="158"/>
      <c r="B973" s="158"/>
      <c r="C973" s="158"/>
      <c r="D973" s="159"/>
      <c r="E973" s="160"/>
      <c r="F973" s="161"/>
      <c r="G973" s="162"/>
      <c r="H973" s="163"/>
      <c r="I973" s="162"/>
      <c r="J973" s="164"/>
      <c r="K973" s="164"/>
      <c r="L973" s="158"/>
      <c r="M973" s="158"/>
      <c r="N973" s="158"/>
      <c r="O973" s="158"/>
      <c r="P973" s="158"/>
      <c r="Q973" s="158"/>
      <c r="R973" s="159"/>
      <c r="S973" s="160"/>
      <c r="T973" s="162"/>
    </row>
    <row r="974">
      <c r="A974" s="158"/>
      <c r="B974" s="158"/>
      <c r="C974" s="158"/>
      <c r="D974" s="159"/>
      <c r="E974" s="160"/>
      <c r="F974" s="161"/>
      <c r="G974" s="162"/>
      <c r="H974" s="163"/>
      <c r="I974" s="162"/>
      <c r="J974" s="164"/>
      <c r="K974" s="164"/>
      <c r="L974" s="158"/>
      <c r="M974" s="158"/>
      <c r="N974" s="158"/>
      <c r="O974" s="158"/>
      <c r="P974" s="158"/>
      <c r="Q974" s="158"/>
      <c r="R974" s="159"/>
      <c r="S974" s="160"/>
      <c r="T974" s="162"/>
    </row>
    <row r="975">
      <c r="A975" s="158"/>
      <c r="B975" s="158"/>
      <c r="C975" s="158"/>
      <c r="D975" s="159"/>
      <c r="E975" s="160"/>
      <c r="F975" s="161"/>
      <c r="G975" s="162"/>
      <c r="H975" s="163"/>
      <c r="I975" s="162"/>
      <c r="J975" s="164"/>
      <c r="K975" s="164"/>
      <c r="L975" s="158"/>
      <c r="M975" s="158"/>
      <c r="N975" s="158"/>
      <c r="O975" s="158"/>
      <c r="P975" s="158"/>
      <c r="Q975" s="158"/>
      <c r="R975" s="159"/>
      <c r="S975" s="160"/>
      <c r="T975" s="162"/>
    </row>
    <row r="976">
      <c r="A976" s="158"/>
      <c r="B976" s="158"/>
      <c r="C976" s="158"/>
      <c r="D976" s="159"/>
      <c r="E976" s="160"/>
      <c r="F976" s="161"/>
      <c r="G976" s="162"/>
      <c r="H976" s="163"/>
      <c r="I976" s="162"/>
      <c r="J976" s="164"/>
      <c r="K976" s="164"/>
      <c r="L976" s="158"/>
      <c r="M976" s="158"/>
      <c r="N976" s="158"/>
      <c r="O976" s="158"/>
      <c r="P976" s="158"/>
      <c r="Q976" s="158"/>
      <c r="R976" s="159"/>
      <c r="S976" s="160"/>
      <c r="T976" s="162"/>
    </row>
    <row r="977">
      <c r="A977" s="158"/>
      <c r="B977" s="158"/>
      <c r="C977" s="158"/>
      <c r="D977" s="159"/>
      <c r="E977" s="160"/>
      <c r="F977" s="161"/>
      <c r="G977" s="162"/>
      <c r="H977" s="163"/>
      <c r="I977" s="162"/>
      <c r="J977" s="164"/>
      <c r="K977" s="164"/>
      <c r="L977" s="158"/>
      <c r="M977" s="158"/>
      <c r="N977" s="158"/>
      <c r="O977" s="158"/>
      <c r="P977" s="158"/>
      <c r="Q977" s="158"/>
      <c r="R977" s="159"/>
      <c r="S977" s="160"/>
      <c r="T977" s="162"/>
    </row>
    <row r="978">
      <c r="A978" s="158"/>
      <c r="B978" s="158"/>
      <c r="C978" s="158"/>
      <c r="D978" s="159"/>
      <c r="E978" s="160"/>
      <c r="F978" s="161"/>
      <c r="G978" s="162"/>
      <c r="H978" s="163"/>
      <c r="I978" s="162"/>
      <c r="J978" s="164"/>
      <c r="K978" s="164"/>
      <c r="L978" s="158"/>
      <c r="M978" s="158"/>
      <c r="N978" s="158"/>
      <c r="O978" s="158"/>
      <c r="P978" s="158"/>
      <c r="Q978" s="158"/>
      <c r="R978" s="159"/>
      <c r="S978" s="160"/>
      <c r="T978" s="162"/>
    </row>
    <row r="979">
      <c r="A979" s="158"/>
      <c r="B979" s="158"/>
      <c r="C979" s="158"/>
      <c r="D979" s="159"/>
      <c r="E979" s="160"/>
      <c r="F979" s="161"/>
      <c r="G979" s="162"/>
      <c r="H979" s="163"/>
      <c r="I979" s="162"/>
      <c r="J979" s="164"/>
      <c r="K979" s="164"/>
      <c r="L979" s="158"/>
      <c r="M979" s="158"/>
      <c r="N979" s="158"/>
      <c r="O979" s="158"/>
      <c r="P979" s="158"/>
      <c r="Q979" s="158"/>
      <c r="R979" s="159"/>
      <c r="S979" s="160"/>
      <c r="T979" s="162"/>
    </row>
    <row r="980">
      <c r="A980" s="158"/>
      <c r="B980" s="158"/>
      <c r="C980" s="158"/>
      <c r="D980" s="159"/>
      <c r="E980" s="160"/>
      <c r="F980" s="161"/>
      <c r="G980" s="162"/>
      <c r="H980" s="163"/>
      <c r="I980" s="162"/>
      <c r="J980" s="164"/>
      <c r="K980" s="164"/>
      <c r="L980" s="158"/>
      <c r="M980" s="158"/>
      <c r="N980" s="158"/>
      <c r="O980" s="158"/>
      <c r="P980" s="158"/>
      <c r="Q980" s="158"/>
      <c r="R980" s="159"/>
      <c r="S980" s="160"/>
      <c r="T980" s="162"/>
    </row>
    <row r="981">
      <c r="A981" s="158"/>
      <c r="B981" s="158"/>
      <c r="C981" s="158"/>
      <c r="D981" s="159"/>
      <c r="E981" s="160"/>
      <c r="F981" s="161"/>
      <c r="G981" s="162"/>
      <c r="H981" s="163"/>
      <c r="I981" s="162"/>
      <c r="J981" s="164"/>
      <c r="K981" s="164"/>
      <c r="L981" s="158"/>
      <c r="M981" s="158"/>
      <c r="N981" s="158"/>
      <c r="O981" s="158"/>
      <c r="P981" s="158"/>
      <c r="Q981" s="158"/>
      <c r="R981" s="159"/>
      <c r="S981" s="160"/>
      <c r="T981" s="162"/>
    </row>
    <row r="982">
      <c r="A982" s="158"/>
      <c r="B982" s="158"/>
      <c r="C982" s="158"/>
      <c r="D982" s="159"/>
      <c r="E982" s="160"/>
      <c r="F982" s="161"/>
      <c r="G982" s="162"/>
      <c r="H982" s="163"/>
      <c r="I982" s="162"/>
      <c r="J982" s="164"/>
      <c r="K982" s="164"/>
      <c r="L982" s="158"/>
      <c r="M982" s="158"/>
      <c r="N982" s="158"/>
      <c r="O982" s="158"/>
      <c r="P982" s="158"/>
      <c r="Q982" s="158"/>
      <c r="R982" s="159"/>
      <c r="S982" s="160"/>
      <c r="T982" s="162"/>
    </row>
    <row r="983">
      <c r="A983" s="158"/>
      <c r="B983" s="158"/>
      <c r="C983" s="158"/>
      <c r="D983" s="159"/>
      <c r="E983" s="160"/>
      <c r="F983" s="161"/>
      <c r="G983" s="162"/>
      <c r="H983" s="163"/>
      <c r="I983" s="162"/>
      <c r="J983" s="164"/>
      <c r="K983" s="164"/>
      <c r="L983" s="158"/>
      <c r="M983" s="158"/>
      <c r="N983" s="158"/>
      <c r="O983" s="158"/>
      <c r="P983" s="158"/>
      <c r="Q983" s="158"/>
      <c r="R983" s="159"/>
      <c r="S983" s="160"/>
      <c r="T983" s="162"/>
    </row>
    <row r="984">
      <c r="A984" s="158"/>
      <c r="B984" s="158"/>
      <c r="C984" s="158"/>
      <c r="D984" s="159"/>
      <c r="E984" s="160"/>
      <c r="F984" s="161"/>
      <c r="G984" s="162"/>
      <c r="H984" s="163"/>
      <c r="I984" s="162"/>
      <c r="J984" s="164"/>
      <c r="K984" s="164"/>
      <c r="L984" s="158"/>
      <c r="M984" s="158"/>
      <c r="N984" s="158"/>
      <c r="O984" s="158"/>
      <c r="P984" s="158"/>
      <c r="Q984" s="158"/>
      <c r="R984" s="159"/>
      <c r="S984" s="160"/>
      <c r="T984" s="162"/>
    </row>
    <row r="985">
      <c r="A985" s="158"/>
      <c r="B985" s="158"/>
      <c r="C985" s="158"/>
      <c r="D985" s="159"/>
      <c r="E985" s="160"/>
      <c r="F985" s="161"/>
      <c r="G985" s="162"/>
      <c r="H985" s="163"/>
      <c r="I985" s="162"/>
      <c r="J985" s="164"/>
      <c r="K985" s="164"/>
      <c r="L985" s="158"/>
      <c r="M985" s="158"/>
      <c r="N985" s="158"/>
      <c r="O985" s="158"/>
      <c r="P985" s="158"/>
      <c r="Q985" s="158"/>
      <c r="R985" s="159"/>
      <c r="S985" s="160"/>
      <c r="T985" s="162"/>
    </row>
    <row r="986">
      <c r="A986" s="158"/>
      <c r="B986" s="158"/>
      <c r="C986" s="158"/>
      <c r="D986" s="159"/>
      <c r="E986" s="160"/>
      <c r="F986" s="161"/>
      <c r="G986" s="162"/>
      <c r="H986" s="163"/>
      <c r="I986" s="162"/>
      <c r="J986" s="164"/>
      <c r="K986" s="164"/>
      <c r="L986" s="158"/>
      <c r="M986" s="158"/>
      <c r="N986" s="158"/>
      <c r="O986" s="158"/>
      <c r="P986" s="158"/>
      <c r="Q986" s="158"/>
      <c r="R986" s="159"/>
      <c r="S986" s="160"/>
      <c r="T986" s="162"/>
    </row>
    <row r="987">
      <c r="A987" s="158"/>
      <c r="B987" s="158"/>
      <c r="C987" s="158"/>
      <c r="D987" s="159"/>
      <c r="E987" s="160"/>
      <c r="F987" s="161"/>
      <c r="G987" s="162"/>
      <c r="H987" s="163"/>
      <c r="I987" s="162"/>
      <c r="J987" s="164"/>
      <c r="K987" s="164"/>
      <c r="L987" s="158"/>
      <c r="M987" s="158"/>
      <c r="N987" s="158"/>
      <c r="O987" s="158"/>
      <c r="P987" s="158"/>
      <c r="Q987" s="158"/>
      <c r="R987" s="159"/>
      <c r="S987" s="160"/>
      <c r="T987" s="162"/>
    </row>
    <row r="988">
      <c r="A988" s="158"/>
      <c r="B988" s="158"/>
      <c r="C988" s="158"/>
      <c r="D988" s="159"/>
      <c r="E988" s="160"/>
      <c r="F988" s="161"/>
      <c r="G988" s="162"/>
      <c r="H988" s="163"/>
      <c r="I988" s="162"/>
      <c r="J988" s="164"/>
      <c r="K988" s="164"/>
      <c r="L988" s="158"/>
      <c r="M988" s="158"/>
      <c r="N988" s="158"/>
      <c r="O988" s="158"/>
      <c r="P988" s="158"/>
      <c r="Q988" s="158"/>
      <c r="R988" s="159"/>
      <c r="S988" s="160"/>
      <c r="T988" s="162"/>
    </row>
    <row r="989">
      <c r="A989" s="158"/>
      <c r="B989" s="158"/>
      <c r="C989" s="158"/>
      <c r="D989" s="159"/>
      <c r="E989" s="160"/>
      <c r="F989" s="161"/>
      <c r="G989" s="162"/>
      <c r="H989" s="163"/>
      <c r="I989" s="162"/>
      <c r="J989" s="164"/>
      <c r="K989" s="164"/>
      <c r="L989" s="158"/>
      <c r="M989" s="158"/>
      <c r="N989" s="158"/>
      <c r="O989" s="158"/>
      <c r="P989" s="158"/>
      <c r="Q989" s="158"/>
      <c r="R989" s="159"/>
      <c r="S989" s="160"/>
      <c r="T989" s="162"/>
    </row>
    <row r="990">
      <c r="A990" s="158"/>
      <c r="B990" s="158"/>
      <c r="C990" s="158"/>
      <c r="D990" s="159"/>
      <c r="E990" s="160"/>
      <c r="F990" s="161"/>
      <c r="G990" s="162"/>
      <c r="H990" s="163"/>
      <c r="I990" s="162"/>
      <c r="J990" s="164"/>
      <c r="K990" s="164"/>
      <c r="L990" s="158"/>
      <c r="M990" s="158"/>
      <c r="N990" s="158"/>
      <c r="O990" s="158"/>
      <c r="P990" s="158"/>
      <c r="Q990" s="158"/>
      <c r="R990" s="159"/>
      <c r="S990" s="160"/>
      <c r="T990" s="162"/>
    </row>
    <row r="991">
      <c r="A991" s="158"/>
      <c r="B991" s="158"/>
      <c r="C991" s="158"/>
      <c r="D991" s="159"/>
      <c r="E991" s="160"/>
      <c r="F991" s="161"/>
      <c r="G991" s="162"/>
      <c r="H991" s="163"/>
      <c r="I991" s="162"/>
      <c r="J991" s="164"/>
      <c r="K991" s="164"/>
      <c r="L991" s="158"/>
      <c r="M991" s="158"/>
      <c r="N991" s="158"/>
      <c r="O991" s="158"/>
      <c r="P991" s="158"/>
      <c r="Q991" s="158"/>
      <c r="R991" s="159"/>
      <c r="S991" s="160"/>
      <c r="T991" s="162"/>
    </row>
    <row r="992">
      <c r="A992" s="158"/>
      <c r="B992" s="158"/>
      <c r="C992" s="158"/>
      <c r="D992" s="159"/>
      <c r="E992" s="160"/>
      <c r="F992" s="161"/>
      <c r="G992" s="162"/>
      <c r="H992" s="163"/>
      <c r="I992" s="162"/>
      <c r="J992" s="164"/>
      <c r="K992" s="164"/>
      <c r="L992" s="158"/>
      <c r="M992" s="158"/>
      <c r="N992" s="158"/>
      <c r="O992" s="158"/>
      <c r="P992" s="158"/>
      <c r="Q992" s="158"/>
      <c r="R992" s="159"/>
      <c r="S992" s="160"/>
      <c r="T992" s="162"/>
    </row>
    <row r="993">
      <c r="A993" s="158"/>
      <c r="B993" s="158"/>
      <c r="C993" s="158"/>
      <c r="D993" s="159"/>
      <c r="E993" s="160"/>
      <c r="F993" s="161"/>
      <c r="G993" s="162"/>
      <c r="H993" s="163"/>
      <c r="I993" s="162"/>
      <c r="J993" s="164"/>
      <c r="K993" s="164"/>
      <c r="L993" s="158"/>
      <c r="M993" s="158"/>
      <c r="N993" s="158"/>
      <c r="O993" s="158"/>
      <c r="P993" s="158"/>
      <c r="Q993" s="158"/>
      <c r="R993" s="159"/>
      <c r="S993" s="160"/>
      <c r="T993" s="162"/>
    </row>
    <row r="994">
      <c r="A994" s="158"/>
      <c r="B994" s="158"/>
      <c r="C994" s="158"/>
      <c r="D994" s="159"/>
      <c r="E994" s="160"/>
      <c r="F994" s="161"/>
      <c r="G994" s="162"/>
      <c r="H994" s="163"/>
      <c r="I994" s="162"/>
      <c r="J994" s="164"/>
      <c r="K994" s="164"/>
      <c r="L994" s="158"/>
      <c r="M994" s="158"/>
      <c r="N994" s="158"/>
      <c r="O994" s="158"/>
      <c r="P994" s="158"/>
      <c r="Q994" s="158"/>
      <c r="R994" s="159"/>
      <c r="S994" s="160"/>
      <c r="T994" s="162"/>
    </row>
    <row r="995">
      <c r="A995" s="158"/>
      <c r="B995" s="158"/>
      <c r="C995" s="158"/>
      <c r="D995" s="159"/>
      <c r="E995" s="160"/>
      <c r="F995" s="161"/>
      <c r="G995" s="162"/>
      <c r="H995" s="163"/>
      <c r="I995" s="162"/>
      <c r="J995" s="164"/>
      <c r="K995" s="164"/>
      <c r="L995" s="158"/>
      <c r="M995" s="158"/>
      <c r="N995" s="158"/>
      <c r="O995" s="158"/>
      <c r="P995" s="158"/>
      <c r="Q995" s="158"/>
      <c r="R995" s="159"/>
      <c r="S995" s="160"/>
      <c r="T995" s="162"/>
    </row>
    <row r="996">
      <c r="A996" s="158"/>
      <c r="B996" s="158"/>
      <c r="C996" s="158"/>
      <c r="D996" s="159"/>
      <c r="E996" s="160"/>
      <c r="F996" s="161"/>
      <c r="G996" s="162"/>
      <c r="H996" s="163"/>
      <c r="I996" s="162"/>
      <c r="J996" s="164"/>
      <c r="K996" s="164"/>
      <c r="L996" s="158"/>
      <c r="M996" s="158"/>
      <c r="N996" s="158"/>
      <c r="O996" s="158"/>
      <c r="P996" s="158"/>
      <c r="Q996" s="158"/>
      <c r="R996" s="159"/>
      <c r="S996" s="160"/>
      <c r="T996" s="162"/>
    </row>
    <row r="997">
      <c r="A997" s="158"/>
      <c r="B997" s="158"/>
      <c r="C997" s="158"/>
      <c r="D997" s="159"/>
      <c r="E997" s="160"/>
      <c r="F997" s="161"/>
      <c r="G997" s="162"/>
      <c r="H997" s="163"/>
      <c r="I997" s="162"/>
      <c r="J997" s="164"/>
      <c r="K997" s="164"/>
      <c r="L997" s="158"/>
      <c r="M997" s="158"/>
      <c r="N997" s="158"/>
      <c r="O997" s="158"/>
      <c r="P997" s="158"/>
      <c r="Q997" s="158"/>
      <c r="R997" s="159"/>
      <c r="S997" s="160"/>
      <c r="T997" s="162"/>
    </row>
    <row r="998">
      <c r="A998" s="158"/>
      <c r="B998" s="158"/>
      <c r="C998" s="158"/>
      <c r="D998" s="159"/>
      <c r="E998" s="160"/>
      <c r="F998" s="161"/>
      <c r="G998" s="162"/>
      <c r="H998" s="163"/>
      <c r="I998" s="162"/>
      <c r="J998" s="164"/>
      <c r="K998" s="164"/>
      <c r="L998" s="158"/>
      <c r="M998" s="158"/>
      <c r="N998" s="158"/>
      <c r="O998" s="158"/>
      <c r="P998" s="158"/>
      <c r="Q998" s="158"/>
      <c r="R998" s="159"/>
      <c r="S998" s="160"/>
      <c r="T998" s="162"/>
    </row>
    <row r="999">
      <c r="A999" s="158"/>
      <c r="B999" s="158"/>
      <c r="C999" s="158"/>
      <c r="D999" s="159"/>
      <c r="E999" s="160"/>
      <c r="F999" s="161"/>
      <c r="G999" s="162"/>
      <c r="H999" s="163"/>
      <c r="I999" s="162"/>
      <c r="J999" s="164"/>
      <c r="K999" s="164"/>
      <c r="L999" s="158"/>
      <c r="M999" s="158"/>
      <c r="N999" s="158"/>
      <c r="O999" s="158"/>
      <c r="P999" s="158"/>
      <c r="Q999" s="158"/>
      <c r="R999" s="159"/>
      <c r="S999" s="160"/>
      <c r="T999" s="162"/>
    </row>
    <row r="1000">
      <c r="A1000" s="158"/>
      <c r="B1000" s="158"/>
      <c r="C1000" s="158"/>
      <c r="D1000" s="159"/>
      <c r="E1000" s="160"/>
      <c r="F1000" s="161"/>
      <c r="G1000" s="162"/>
      <c r="H1000" s="163"/>
      <c r="I1000" s="162"/>
      <c r="J1000" s="164"/>
      <c r="K1000" s="164"/>
      <c r="L1000" s="158"/>
      <c r="M1000" s="158"/>
      <c r="N1000" s="158"/>
      <c r="O1000" s="158"/>
      <c r="P1000" s="158"/>
      <c r="Q1000" s="158"/>
      <c r="R1000" s="159"/>
      <c r="S1000" s="160"/>
      <c r="T1000" s="162"/>
    </row>
    <row r="1001">
      <c r="A1001" s="158"/>
      <c r="B1001" s="158"/>
      <c r="C1001" s="158"/>
      <c r="D1001" s="159"/>
      <c r="E1001" s="160"/>
      <c r="F1001" s="161"/>
      <c r="G1001" s="162"/>
      <c r="H1001" s="163"/>
      <c r="I1001" s="162"/>
      <c r="J1001" s="164"/>
      <c r="K1001" s="164"/>
      <c r="L1001" s="158"/>
      <c r="M1001" s="158"/>
      <c r="N1001" s="158"/>
      <c r="O1001" s="158"/>
      <c r="P1001" s="158"/>
      <c r="Q1001" s="158"/>
      <c r="R1001" s="159"/>
      <c r="S1001" s="160"/>
      <c r="T1001" s="162"/>
    </row>
    <row r="1002">
      <c r="A1002" s="158"/>
      <c r="B1002" s="158"/>
      <c r="C1002" s="158"/>
      <c r="D1002" s="159"/>
      <c r="E1002" s="160"/>
      <c r="F1002" s="161"/>
      <c r="G1002" s="162"/>
      <c r="H1002" s="163"/>
      <c r="I1002" s="162"/>
      <c r="J1002" s="164"/>
      <c r="K1002" s="164"/>
      <c r="L1002" s="158"/>
      <c r="M1002" s="158"/>
      <c r="N1002" s="158"/>
      <c r="O1002" s="158"/>
      <c r="P1002" s="158"/>
      <c r="Q1002" s="158"/>
      <c r="R1002" s="159"/>
      <c r="S1002" s="160"/>
      <c r="T1002" s="162"/>
    </row>
    <row r="1003">
      <c r="A1003" s="158"/>
      <c r="B1003" s="158"/>
      <c r="C1003" s="158"/>
      <c r="D1003" s="159"/>
      <c r="E1003" s="160"/>
      <c r="F1003" s="161"/>
      <c r="G1003" s="162"/>
      <c r="H1003" s="163"/>
      <c r="I1003" s="162"/>
      <c r="J1003" s="164"/>
      <c r="K1003" s="164"/>
      <c r="L1003" s="158"/>
      <c r="M1003" s="158"/>
      <c r="N1003" s="158"/>
      <c r="O1003" s="158"/>
      <c r="P1003" s="158"/>
      <c r="Q1003" s="158"/>
      <c r="R1003" s="159"/>
      <c r="S1003" s="160"/>
      <c r="T1003" s="162"/>
    </row>
    <row r="1004">
      <c r="A1004" s="158"/>
      <c r="B1004" s="158"/>
      <c r="C1004" s="158"/>
      <c r="D1004" s="159"/>
      <c r="E1004" s="160"/>
      <c r="F1004" s="161"/>
      <c r="G1004" s="162"/>
      <c r="H1004" s="163"/>
      <c r="I1004" s="162"/>
      <c r="J1004" s="164"/>
      <c r="K1004" s="164"/>
      <c r="L1004" s="158"/>
      <c r="M1004" s="158"/>
      <c r="N1004" s="158"/>
      <c r="O1004" s="158"/>
      <c r="P1004" s="158"/>
      <c r="Q1004" s="158"/>
      <c r="R1004" s="159"/>
      <c r="S1004" s="160"/>
      <c r="T1004" s="162"/>
    </row>
    <row r="1005">
      <c r="A1005" s="158"/>
      <c r="B1005" s="158"/>
      <c r="C1005" s="158"/>
      <c r="D1005" s="159"/>
      <c r="E1005" s="160"/>
      <c r="F1005" s="161"/>
      <c r="G1005" s="162"/>
      <c r="H1005" s="163"/>
      <c r="I1005" s="162"/>
      <c r="J1005" s="164"/>
      <c r="K1005" s="164"/>
      <c r="L1005" s="158"/>
      <c r="M1005" s="158"/>
      <c r="N1005" s="158"/>
      <c r="O1005" s="158"/>
      <c r="P1005" s="158"/>
      <c r="Q1005" s="158"/>
      <c r="R1005" s="159"/>
      <c r="S1005" s="160"/>
      <c r="T1005" s="162"/>
    </row>
    <row r="1006">
      <c r="A1006" s="158"/>
      <c r="B1006" s="158"/>
      <c r="C1006" s="158"/>
      <c r="D1006" s="159"/>
      <c r="E1006" s="160"/>
      <c r="F1006" s="161"/>
      <c r="G1006" s="162"/>
      <c r="H1006" s="163"/>
      <c r="I1006" s="162"/>
      <c r="J1006" s="164"/>
      <c r="K1006" s="164"/>
      <c r="L1006" s="158"/>
      <c r="M1006" s="158"/>
      <c r="N1006" s="158"/>
      <c r="O1006" s="158"/>
      <c r="P1006" s="158"/>
      <c r="Q1006" s="158"/>
      <c r="R1006" s="159"/>
      <c r="S1006" s="160"/>
      <c r="T1006" s="162"/>
    </row>
    <row r="1007">
      <c r="A1007" s="158"/>
      <c r="B1007" s="158"/>
      <c r="C1007" s="158"/>
      <c r="D1007" s="159"/>
      <c r="E1007" s="160"/>
      <c r="F1007" s="161"/>
      <c r="G1007" s="162"/>
      <c r="H1007" s="163"/>
      <c r="I1007" s="162"/>
      <c r="J1007" s="164"/>
      <c r="K1007" s="164"/>
      <c r="L1007" s="158"/>
      <c r="M1007" s="158"/>
      <c r="N1007" s="158"/>
      <c r="O1007" s="158"/>
      <c r="P1007" s="158"/>
      <c r="Q1007" s="158"/>
      <c r="R1007" s="159"/>
      <c r="S1007" s="160"/>
      <c r="T1007" s="162"/>
    </row>
    <row r="1008">
      <c r="A1008" s="158"/>
      <c r="B1008" s="158"/>
      <c r="C1008" s="158"/>
      <c r="D1008" s="159"/>
      <c r="E1008" s="160"/>
      <c r="F1008" s="161"/>
      <c r="G1008" s="162"/>
      <c r="H1008" s="163"/>
      <c r="I1008" s="162"/>
      <c r="J1008" s="164"/>
      <c r="K1008" s="164"/>
      <c r="L1008" s="158"/>
      <c r="M1008" s="158"/>
      <c r="N1008" s="158"/>
      <c r="O1008" s="158"/>
      <c r="P1008" s="158"/>
      <c r="Q1008" s="158"/>
      <c r="R1008" s="159"/>
      <c r="S1008" s="160"/>
      <c r="T1008" s="162"/>
    </row>
    <row r="1009">
      <c r="A1009" s="158"/>
      <c r="B1009" s="158"/>
      <c r="C1009" s="158"/>
      <c r="D1009" s="159"/>
      <c r="E1009" s="160"/>
      <c r="F1009" s="161"/>
      <c r="G1009" s="162"/>
      <c r="H1009" s="163"/>
      <c r="I1009" s="162"/>
      <c r="J1009" s="164"/>
      <c r="K1009" s="164"/>
      <c r="L1009" s="158"/>
      <c r="M1009" s="158"/>
      <c r="N1009" s="158"/>
      <c r="O1009" s="158"/>
      <c r="P1009" s="158"/>
      <c r="Q1009" s="158"/>
      <c r="R1009" s="159"/>
      <c r="S1009" s="160"/>
      <c r="T1009" s="162"/>
    </row>
    <row r="1010">
      <c r="A1010" s="158"/>
      <c r="B1010" s="158"/>
      <c r="C1010" s="158"/>
      <c r="D1010" s="159"/>
      <c r="E1010" s="160"/>
      <c r="F1010" s="161"/>
      <c r="G1010" s="162"/>
      <c r="H1010" s="163"/>
      <c r="I1010" s="162"/>
      <c r="J1010" s="164"/>
      <c r="K1010" s="164"/>
      <c r="L1010" s="158"/>
      <c r="M1010" s="158"/>
      <c r="N1010" s="158"/>
      <c r="O1010" s="158"/>
      <c r="P1010" s="158"/>
      <c r="Q1010" s="158"/>
      <c r="R1010" s="159"/>
      <c r="S1010" s="160"/>
      <c r="T1010" s="162"/>
    </row>
    <row r="1011">
      <c r="A1011" s="158"/>
      <c r="B1011" s="158"/>
      <c r="C1011" s="158"/>
      <c r="D1011" s="159"/>
      <c r="E1011" s="160"/>
      <c r="F1011" s="161"/>
      <c r="G1011" s="162"/>
      <c r="H1011" s="163"/>
      <c r="I1011" s="162"/>
      <c r="J1011" s="164"/>
      <c r="K1011" s="164"/>
      <c r="L1011" s="158"/>
      <c r="M1011" s="158"/>
      <c r="N1011" s="158"/>
      <c r="O1011" s="158"/>
      <c r="P1011" s="158"/>
      <c r="Q1011" s="158"/>
      <c r="R1011" s="159"/>
      <c r="S1011" s="160"/>
      <c r="T1011" s="162"/>
    </row>
    <row r="1012">
      <c r="A1012" s="158"/>
      <c r="B1012" s="158"/>
      <c r="C1012" s="158"/>
      <c r="D1012" s="159"/>
      <c r="E1012" s="160"/>
      <c r="F1012" s="161"/>
      <c r="G1012" s="162"/>
      <c r="H1012" s="163"/>
      <c r="I1012" s="162"/>
      <c r="J1012" s="164"/>
      <c r="K1012" s="164"/>
      <c r="L1012" s="158"/>
      <c r="M1012" s="158"/>
      <c r="N1012" s="158"/>
      <c r="O1012" s="158"/>
      <c r="P1012" s="158"/>
      <c r="Q1012" s="158"/>
      <c r="R1012" s="159"/>
      <c r="S1012" s="160"/>
      <c r="T1012" s="162"/>
    </row>
    <row r="1013">
      <c r="A1013" s="158"/>
      <c r="B1013" s="158"/>
      <c r="C1013" s="158"/>
      <c r="D1013" s="159"/>
      <c r="E1013" s="160"/>
      <c r="F1013" s="161"/>
      <c r="G1013" s="162"/>
      <c r="H1013" s="163"/>
      <c r="I1013" s="162"/>
      <c r="J1013" s="164"/>
      <c r="K1013" s="164"/>
      <c r="L1013" s="158"/>
      <c r="M1013" s="158"/>
      <c r="N1013" s="158"/>
      <c r="O1013" s="158"/>
      <c r="P1013" s="158"/>
      <c r="Q1013" s="158"/>
      <c r="R1013" s="159"/>
      <c r="S1013" s="160"/>
      <c r="T1013" s="162"/>
    </row>
    <row r="1014">
      <c r="A1014" s="158"/>
      <c r="B1014" s="158"/>
      <c r="C1014" s="158"/>
      <c r="D1014" s="159"/>
      <c r="E1014" s="160"/>
      <c r="F1014" s="161"/>
      <c r="G1014" s="162"/>
      <c r="H1014" s="163"/>
      <c r="I1014" s="162"/>
      <c r="J1014" s="164"/>
      <c r="K1014" s="164"/>
      <c r="L1014" s="158"/>
      <c r="M1014" s="158"/>
      <c r="N1014" s="158"/>
      <c r="O1014" s="158"/>
      <c r="P1014" s="158"/>
      <c r="Q1014" s="158"/>
      <c r="R1014" s="159"/>
      <c r="S1014" s="160"/>
      <c r="T1014" s="162"/>
    </row>
    <row r="1015">
      <c r="A1015" s="158"/>
      <c r="B1015" s="158"/>
      <c r="C1015" s="158"/>
      <c r="D1015" s="159"/>
      <c r="E1015" s="160"/>
      <c r="F1015" s="161"/>
      <c r="G1015" s="162"/>
      <c r="H1015" s="163"/>
      <c r="I1015" s="162"/>
      <c r="J1015" s="164"/>
      <c r="K1015" s="164"/>
      <c r="L1015" s="158"/>
      <c r="M1015" s="158"/>
      <c r="N1015" s="158"/>
      <c r="O1015" s="158"/>
      <c r="P1015" s="158"/>
      <c r="Q1015" s="158"/>
      <c r="R1015" s="159"/>
      <c r="S1015" s="160"/>
      <c r="T1015" s="162"/>
    </row>
    <row r="1016">
      <c r="A1016" s="158"/>
      <c r="B1016" s="158"/>
      <c r="C1016" s="158"/>
      <c r="D1016" s="159"/>
      <c r="E1016" s="160"/>
      <c r="F1016" s="161"/>
      <c r="G1016" s="162"/>
      <c r="H1016" s="163"/>
      <c r="I1016" s="162"/>
      <c r="J1016" s="164"/>
      <c r="K1016" s="164"/>
      <c r="L1016" s="158"/>
      <c r="M1016" s="158"/>
      <c r="N1016" s="158"/>
      <c r="O1016" s="158"/>
      <c r="P1016" s="158"/>
      <c r="Q1016" s="158"/>
      <c r="R1016" s="159"/>
      <c r="S1016" s="160"/>
      <c r="T1016" s="162"/>
    </row>
    <row r="1017">
      <c r="A1017" s="158"/>
      <c r="B1017" s="158"/>
      <c r="C1017" s="158"/>
      <c r="D1017" s="159"/>
      <c r="E1017" s="160"/>
      <c r="F1017" s="161"/>
      <c r="G1017" s="162"/>
      <c r="H1017" s="163"/>
      <c r="I1017" s="162"/>
      <c r="J1017" s="164"/>
      <c r="K1017" s="164"/>
      <c r="L1017" s="158"/>
      <c r="M1017" s="158"/>
      <c r="N1017" s="158"/>
      <c r="O1017" s="158"/>
      <c r="P1017" s="158"/>
      <c r="Q1017" s="158"/>
      <c r="R1017" s="159"/>
      <c r="S1017" s="160"/>
      <c r="T1017" s="162"/>
    </row>
    <row r="1018">
      <c r="A1018" s="158"/>
      <c r="B1018" s="158"/>
      <c r="C1018" s="158"/>
      <c r="D1018" s="159"/>
      <c r="E1018" s="160"/>
      <c r="F1018" s="161"/>
      <c r="G1018" s="162"/>
      <c r="H1018" s="163"/>
      <c r="I1018" s="162"/>
      <c r="J1018" s="164"/>
      <c r="K1018" s="164"/>
      <c r="L1018" s="158"/>
      <c r="M1018" s="158"/>
      <c r="N1018" s="158"/>
      <c r="O1018" s="158"/>
      <c r="P1018" s="158"/>
      <c r="Q1018" s="158"/>
      <c r="R1018" s="159"/>
      <c r="S1018" s="160"/>
      <c r="T1018" s="162"/>
    </row>
    <row r="1019">
      <c r="A1019" s="158"/>
      <c r="B1019" s="158"/>
      <c r="C1019" s="158"/>
      <c r="D1019" s="159"/>
      <c r="E1019" s="160"/>
      <c r="F1019" s="161"/>
      <c r="G1019" s="162"/>
      <c r="H1019" s="163"/>
      <c r="I1019" s="162"/>
      <c r="J1019" s="164"/>
      <c r="K1019" s="164"/>
      <c r="L1019" s="158"/>
      <c r="M1019" s="158"/>
      <c r="N1019" s="158"/>
      <c r="O1019" s="158"/>
      <c r="P1019" s="158"/>
      <c r="Q1019" s="158"/>
      <c r="R1019" s="159"/>
      <c r="S1019" s="160"/>
      <c r="T1019" s="162"/>
    </row>
    <row r="1020">
      <c r="A1020" s="158"/>
      <c r="B1020" s="158"/>
      <c r="C1020" s="158"/>
      <c r="D1020" s="159"/>
      <c r="E1020" s="160"/>
      <c r="F1020" s="161"/>
      <c r="G1020" s="162"/>
      <c r="H1020" s="163"/>
      <c r="I1020" s="162"/>
      <c r="J1020" s="164"/>
      <c r="K1020" s="164"/>
      <c r="L1020" s="158"/>
      <c r="M1020" s="158"/>
      <c r="N1020" s="158"/>
      <c r="O1020" s="158"/>
      <c r="P1020" s="158"/>
      <c r="Q1020" s="158"/>
      <c r="R1020" s="159"/>
      <c r="S1020" s="160"/>
      <c r="T1020" s="162"/>
    </row>
    <row r="1021">
      <c r="A1021" s="158"/>
      <c r="B1021" s="158"/>
      <c r="C1021" s="158"/>
      <c r="D1021" s="159"/>
      <c r="E1021" s="160"/>
      <c r="F1021" s="161"/>
      <c r="G1021" s="162"/>
      <c r="H1021" s="163"/>
      <c r="I1021" s="162"/>
      <c r="J1021" s="164"/>
      <c r="K1021" s="164"/>
      <c r="L1021" s="158"/>
      <c r="M1021" s="158"/>
      <c r="N1021" s="158"/>
      <c r="O1021" s="158"/>
      <c r="P1021" s="158"/>
      <c r="Q1021" s="158"/>
      <c r="R1021" s="159"/>
      <c r="S1021" s="160"/>
      <c r="T1021" s="162"/>
    </row>
    <row r="1022">
      <c r="A1022" s="158"/>
      <c r="B1022" s="158"/>
      <c r="C1022" s="158"/>
      <c r="D1022" s="159"/>
      <c r="E1022" s="160"/>
      <c r="F1022" s="161"/>
      <c r="G1022" s="162"/>
      <c r="H1022" s="163"/>
      <c r="I1022" s="162"/>
      <c r="J1022" s="164"/>
      <c r="K1022" s="164"/>
      <c r="L1022" s="158"/>
      <c r="M1022" s="158"/>
      <c r="N1022" s="158"/>
      <c r="O1022" s="158"/>
      <c r="P1022" s="158"/>
      <c r="Q1022" s="158"/>
      <c r="R1022" s="159"/>
      <c r="S1022" s="160"/>
      <c r="T1022" s="162"/>
    </row>
    <row r="1023">
      <c r="A1023" s="158"/>
      <c r="B1023" s="158"/>
      <c r="C1023" s="158"/>
      <c r="D1023" s="159"/>
      <c r="E1023" s="160"/>
      <c r="F1023" s="161"/>
      <c r="G1023" s="162"/>
      <c r="H1023" s="163"/>
      <c r="I1023" s="162"/>
      <c r="J1023" s="164"/>
      <c r="K1023" s="164"/>
      <c r="L1023" s="158"/>
      <c r="M1023" s="158"/>
      <c r="N1023" s="158"/>
      <c r="O1023" s="158"/>
      <c r="P1023" s="158"/>
      <c r="Q1023" s="158"/>
      <c r="R1023" s="159"/>
      <c r="S1023" s="160"/>
      <c r="T1023" s="162"/>
    </row>
    <row r="1024">
      <c r="A1024" s="158"/>
      <c r="B1024" s="158"/>
      <c r="C1024" s="158"/>
      <c r="D1024" s="159"/>
      <c r="E1024" s="160"/>
      <c r="F1024" s="161"/>
      <c r="G1024" s="162"/>
      <c r="H1024" s="163"/>
      <c r="I1024" s="162"/>
      <c r="J1024" s="164"/>
      <c r="K1024" s="164"/>
      <c r="L1024" s="158"/>
      <c r="M1024" s="158"/>
      <c r="N1024" s="158"/>
      <c r="O1024" s="158"/>
      <c r="P1024" s="158"/>
      <c r="Q1024" s="158"/>
      <c r="R1024" s="159"/>
      <c r="S1024" s="160"/>
      <c r="T1024" s="162"/>
    </row>
    <row r="1025">
      <c r="A1025" s="158"/>
      <c r="B1025" s="158"/>
      <c r="C1025" s="158"/>
      <c r="D1025" s="159"/>
      <c r="E1025" s="160"/>
      <c r="F1025" s="161"/>
      <c r="G1025" s="162"/>
      <c r="H1025" s="163"/>
      <c r="I1025" s="162"/>
      <c r="J1025" s="164"/>
      <c r="K1025" s="164"/>
      <c r="L1025" s="158"/>
      <c r="M1025" s="158"/>
      <c r="N1025" s="158"/>
      <c r="O1025" s="158"/>
      <c r="P1025" s="158"/>
      <c r="Q1025" s="158"/>
      <c r="R1025" s="159"/>
      <c r="S1025" s="160"/>
      <c r="T1025" s="162"/>
    </row>
    <row r="1026">
      <c r="A1026" s="158"/>
      <c r="B1026" s="158"/>
      <c r="C1026" s="158"/>
      <c r="D1026" s="159"/>
      <c r="E1026" s="160"/>
      <c r="F1026" s="161"/>
      <c r="G1026" s="162"/>
      <c r="H1026" s="163"/>
      <c r="I1026" s="162"/>
      <c r="J1026" s="164"/>
      <c r="K1026" s="164"/>
      <c r="L1026" s="158"/>
      <c r="M1026" s="158"/>
      <c r="N1026" s="158"/>
      <c r="O1026" s="158"/>
      <c r="P1026" s="158"/>
      <c r="Q1026" s="158"/>
      <c r="R1026" s="159"/>
      <c r="S1026" s="160"/>
      <c r="T1026" s="162"/>
    </row>
    <row r="1027">
      <c r="A1027" s="158"/>
      <c r="B1027" s="158"/>
      <c r="C1027" s="158"/>
      <c r="D1027" s="159"/>
      <c r="E1027" s="160"/>
      <c r="F1027" s="161"/>
      <c r="G1027" s="162"/>
      <c r="H1027" s="163"/>
      <c r="I1027" s="162"/>
      <c r="J1027" s="164"/>
      <c r="K1027" s="164"/>
      <c r="L1027" s="158"/>
      <c r="M1027" s="158"/>
      <c r="N1027" s="158"/>
      <c r="O1027" s="158"/>
      <c r="P1027" s="158"/>
      <c r="Q1027" s="158"/>
      <c r="R1027" s="159"/>
      <c r="S1027" s="160"/>
      <c r="T1027" s="162"/>
    </row>
    <row r="1028">
      <c r="A1028" s="158"/>
      <c r="B1028" s="158"/>
      <c r="C1028" s="158"/>
      <c r="D1028" s="159"/>
      <c r="E1028" s="160"/>
      <c r="F1028" s="161"/>
      <c r="G1028" s="162"/>
      <c r="H1028" s="163"/>
      <c r="I1028" s="162"/>
      <c r="J1028" s="164"/>
      <c r="K1028" s="164"/>
      <c r="L1028" s="158"/>
      <c r="M1028" s="158"/>
      <c r="N1028" s="158"/>
      <c r="O1028" s="158"/>
      <c r="P1028" s="158"/>
      <c r="Q1028" s="158"/>
      <c r="R1028" s="159"/>
      <c r="S1028" s="160"/>
      <c r="T1028" s="162"/>
    </row>
    <row r="1029">
      <c r="A1029" s="158"/>
      <c r="B1029" s="158"/>
      <c r="C1029" s="158"/>
      <c r="D1029" s="159"/>
      <c r="E1029" s="160"/>
      <c r="F1029" s="161"/>
      <c r="G1029" s="162"/>
      <c r="H1029" s="163"/>
      <c r="I1029" s="162"/>
      <c r="J1029" s="164"/>
      <c r="K1029" s="164"/>
      <c r="L1029" s="158"/>
      <c r="M1029" s="158"/>
      <c r="N1029" s="158"/>
      <c r="O1029" s="158"/>
      <c r="P1029" s="158"/>
      <c r="Q1029" s="158"/>
      <c r="R1029" s="159"/>
      <c r="S1029" s="160"/>
      <c r="T1029" s="162"/>
    </row>
    <row r="1030">
      <c r="A1030" s="158"/>
      <c r="B1030" s="158"/>
      <c r="C1030" s="158"/>
      <c r="D1030" s="159"/>
      <c r="E1030" s="160"/>
      <c r="F1030" s="161"/>
      <c r="G1030" s="162"/>
      <c r="H1030" s="163"/>
      <c r="I1030" s="162"/>
      <c r="J1030" s="164"/>
      <c r="K1030" s="164"/>
      <c r="L1030" s="158"/>
      <c r="M1030" s="158"/>
      <c r="N1030" s="158"/>
      <c r="O1030" s="158"/>
      <c r="P1030" s="158"/>
      <c r="Q1030" s="158"/>
      <c r="R1030" s="159"/>
      <c r="S1030" s="160"/>
      <c r="T1030" s="162"/>
    </row>
    <row r="1031">
      <c r="A1031" s="158"/>
      <c r="B1031" s="158"/>
      <c r="C1031" s="158"/>
      <c r="D1031" s="159"/>
      <c r="E1031" s="160"/>
      <c r="F1031" s="161"/>
      <c r="G1031" s="162"/>
      <c r="H1031" s="163"/>
      <c r="I1031" s="162"/>
      <c r="J1031" s="164"/>
      <c r="K1031" s="164"/>
      <c r="L1031" s="158"/>
      <c r="M1031" s="158"/>
      <c r="N1031" s="158"/>
      <c r="O1031" s="158"/>
      <c r="P1031" s="158"/>
      <c r="Q1031" s="158"/>
      <c r="R1031" s="159"/>
      <c r="S1031" s="160"/>
      <c r="T1031" s="162"/>
    </row>
    <row r="1032">
      <c r="A1032" s="158"/>
      <c r="B1032" s="158"/>
      <c r="C1032" s="158"/>
      <c r="D1032" s="159"/>
      <c r="E1032" s="160"/>
      <c r="F1032" s="161"/>
      <c r="G1032" s="162"/>
      <c r="H1032" s="163"/>
      <c r="I1032" s="162"/>
      <c r="J1032" s="164"/>
      <c r="K1032" s="164"/>
      <c r="L1032" s="158"/>
      <c r="M1032" s="158"/>
      <c r="N1032" s="158"/>
      <c r="O1032" s="158"/>
      <c r="P1032" s="158"/>
      <c r="Q1032" s="158"/>
      <c r="R1032" s="159"/>
      <c r="S1032" s="160"/>
      <c r="T1032" s="162"/>
    </row>
    <row r="1033">
      <c r="A1033" s="158"/>
      <c r="B1033" s="158"/>
      <c r="C1033" s="158"/>
      <c r="D1033" s="159"/>
      <c r="E1033" s="160"/>
      <c r="F1033" s="161"/>
      <c r="G1033" s="162"/>
      <c r="H1033" s="163"/>
      <c r="I1033" s="162"/>
      <c r="J1033" s="164"/>
      <c r="K1033" s="164"/>
      <c r="L1033" s="158"/>
      <c r="M1033" s="158"/>
      <c r="N1033" s="158"/>
      <c r="O1033" s="158"/>
      <c r="P1033" s="158"/>
      <c r="Q1033" s="158"/>
      <c r="R1033" s="159"/>
      <c r="S1033" s="160"/>
      <c r="T1033" s="162"/>
    </row>
    <row r="1034">
      <c r="A1034" s="158"/>
      <c r="B1034" s="158"/>
      <c r="C1034" s="158"/>
      <c r="D1034" s="159"/>
      <c r="E1034" s="160"/>
      <c r="F1034" s="161"/>
      <c r="G1034" s="162"/>
      <c r="H1034" s="163"/>
      <c r="I1034" s="162"/>
      <c r="J1034" s="164"/>
      <c r="K1034" s="164"/>
      <c r="L1034" s="158"/>
      <c r="M1034" s="158"/>
      <c r="N1034" s="158"/>
      <c r="O1034" s="158"/>
      <c r="P1034" s="158"/>
      <c r="Q1034" s="158"/>
      <c r="R1034" s="159"/>
      <c r="S1034" s="160"/>
      <c r="T1034" s="162"/>
    </row>
    <row r="1035">
      <c r="A1035" s="158"/>
      <c r="B1035" s="158"/>
      <c r="C1035" s="158"/>
      <c r="D1035" s="159"/>
      <c r="E1035" s="160"/>
      <c r="F1035" s="161"/>
      <c r="G1035" s="162"/>
      <c r="H1035" s="163"/>
      <c r="I1035" s="162"/>
      <c r="J1035" s="164"/>
      <c r="K1035" s="164"/>
      <c r="L1035" s="158"/>
      <c r="M1035" s="158"/>
      <c r="N1035" s="158"/>
      <c r="O1035" s="158"/>
      <c r="P1035" s="158"/>
      <c r="Q1035" s="158"/>
      <c r="R1035" s="159"/>
      <c r="S1035" s="160"/>
      <c r="T1035" s="162"/>
    </row>
    <row r="1036">
      <c r="A1036" s="158"/>
      <c r="B1036" s="158"/>
      <c r="C1036" s="158"/>
      <c r="D1036" s="159"/>
      <c r="E1036" s="160"/>
      <c r="F1036" s="161"/>
      <c r="G1036" s="162"/>
      <c r="H1036" s="163"/>
      <c r="I1036" s="162"/>
      <c r="J1036" s="164"/>
      <c r="K1036" s="164"/>
      <c r="L1036" s="158"/>
      <c r="M1036" s="158"/>
      <c r="N1036" s="158"/>
      <c r="O1036" s="158"/>
      <c r="P1036" s="158"/>
      <c r="Q1036" s="158"/>
      <c r="R1036" s="159"/>
      <c r="S1036" s="160"/>
      <c r="T1036" s="162"/>
    </row>
    <row r="1037">
      <c r="A1037" s="158"/>
      <c r="B1037" s="158"/>
      <c r="C1037" s="158"/>
      <c r="D1037" s="159"/>
      <c r="E1037" s="160"/>
      <c r="F1037" s="161"/>
      <c r="G1037" s="162"/>
      <c r="H1037" s="163"/>
      <c r="I1037" s="162"/>
      <c r="J1037" s="164"/>
      <c r="K1037" s="164"/>
      <c r="L1037" s="158"/>
      <c r="M1037" s="158"/>
      <c r="N1037" s="158"/>
      <c r="O1037" s="158"/>
      <c r="P1037" s="158"/>
      <c r="Q1037" s="158"/>
      <c r="R1037" s="159"/>
      <c r="S1037" s="160"/>
      <c r="T1037" s="162"/>
    </row>
    <row r="1038">
      <c r="A1038" s="158"/>
      <c r="B1038" s="158"/>
      <c r="C1038" s="158"/>
      <c r="D1038" s="159"/>
      <c r="E1038" s="160"/>
      <c r="F1038" s="161"/>
      <c r="G1038" s="162"/>
      <c r="H1038" s="163"/>
      <c r="I1038" s="162"/>
      <c r="J1038" s="164"/>
      <c r="K1038" s="164"/>
      <c r="L1038" s="158"/>
      <c r="M1038" s="158"/>
      <c r="N1038" s="158"/>
      <c r="O1038" s="158"/>
      <c r="P1038" s="158"/>
      <c r="Q1038" s="158"/>
      <c r="R1038" s="159"/>
      <c r="S1038" s="160"/>
      <c r="T1038" s="162"/>
    </row>
    <row r="1039">
      <c r="A1039" s="158"/>
      <c r="B1039" s="158"/>
      <c r="C1039" s="158"/>
      <c r="D1039" s="159"/>
      <c r="E1039" s="160"/>
      <c r="F1039" s="161"/>
      <c r="G1039" s="162"/>
      <c r="H1039" s="163"/>
      <c r="I1039" s="162"/>
      <c r="J1039" s="164"/>
      <c r="K1039" s="164"/>
      <c r="L1039" s="158"/>
      <c r="M1039" s="158"/>
      <c r="N1039" s="158"/>
      <c r="O1039" s="158"/>
      <c r="P1039" s="158"/>
      <c r="Q1039" s="158"/>
      <c r="R1039" s="159"/>
      <c r="S1039" s="160"/>
      <c r="T1039" s="162"/>
    </row>
    <row r="1040">
      <c r="A1040" s="158"/>
      <c r="B1040" s="158"/>
      <c r="C1040" s="158"/>
      <c r="D1040" s="159"/>
      <c r="E1040" s="160"/>
      <c r="F1040" s="161"/>
      <c r="G1040" s="162"/>
      <c r="H1040" s="163"/>
      <c r="I1040" s="162"/>
      <c r="J1040" s="164"/>
      <c r="K1040" s="164"/>
      <c r="L1040" s="158"/>
      <c r="M1040" s="158"/>
      <c r="N1040" s="158"/>
      <c r="O1040" s="158"/>
      <c r="P1040" s="158"/>
      <c r="Q1040" s="158"/>
      <c r="R1040" s="159"/>
      <c r="S1040" s="160"/>
      <c r="T1040" s="162"/>
    </row>
    <row r="1041">
      <c r="A1041" s="158"/>
      <c r="B1041" s="158"/>
      <c r="C1041" s="158"/>
      <c r="D1041" s="159"/>
      <c r="E1041" s="160"/>
      <c r="F1041" s="161"/>
      <c r="G1041" s="162"/>
      <c r="H1041" s="163"/>
      <c r="I1041" s="162"/>
      <c r="J1041" s="164"/>
      <c r="K1041" s="164"/>
      <c r="L1041" s="158"/>
      <c r="M1041" s="158"/>
      <c r="N1041" s="158"/>
      <c r="O1041" s="158"/>
      <c r="P1041" s="158"/>
      <c r="Q1041" s="158"/>
      <c r="R1041" s="159"/>
      <c r="S1041" s="160"/>
      <c r="T1041" s="162"/>
    </row>
    <row r="1042">
      <c r="A1042" s="158"/>
      <c r="B1042" s="158"/>
      <c r="C1042" s="158"/>
      <c r="D1042" s="159"/>
      <c r="E1042" s="160"/>
      <c r="F1042" s="161"/>
      <c r="G1042" s="162"/>
      <c r="H1042" s="163"/>
      <c r="I1042" s="162"/>
      <c r="J1042" s="164"/>
      <c r="K1042" s="164"/>
      <c r="L1042" s="158"/>
      <c r="M1042" s="158"/>
      <c r="N1042" s="158"/>
      <c r="O1042" s="158"/>
      <c r="P1042" s="158"/>
      <c r="Q1042" s="158"/>
      <c r="R1042" s="159"/>
      <c r="S1042" s="160"/>
      <c r="T1042" s="162"/>
    </row>
    <row r="1043">
      <c r="A1043" s="158"/>
      <c r="B1043" s="158"/>
      <c r="C1043" s="158"/>
      <c r="D1043" s="159"/>
      <c r="E1043" s="160"/>
      <c r="F1043" s="161"/>
      <c r="G1043" s="162"/>
      <c r="H1043" s="163"/>
      <c r="I1043" s="162"/>
      <c r="J1043" s="164"/>
      <c r="K1043" s="164"/>
      <c r="L1043" s="158"/>
      <c r="M1043" s="158"/>
      <c r="N1043" s="158"/>
      <c r="O1043" s="158"/>
      <c r="P1043" s="158"/>
      <c r="Q1043" s="158"/>
      <c r="R1043" s="159"/>
      <c r="S1043" s="160"/>
      <c r="T1043" s="162"/>
    </row>
    <row r="1044">
      <c r="A1044" s="158"/>
      <c r="B1044" s="158"/>
      <c r="C1044" s="158"/>
      <c r="D1044" s="159"/>
      <c r="E1044" s="160"/>
      <c r="F1044" s="161"/>
      <c r="G1044" s="162"/>
      <c r="H1044" s="163"/>
      <c r="I1044" s="162"/>
      <c r="J1044" s="164"/>
      <c r="K1044" s="164"/>
      <c r="L1044" s="158"/>
      <c r="M1044" s="158"/>
      <c r="N1044" s="158"/>
      <c r="O1044" s="158"/>
      <c r="P1044" s="158"/>
      <c r="Q1044" s="158"/>
      <c r="R1044" s="159"/>
      <c r="S1044" s="160"/>
      <c r="T1044" s="162"/>
    </row>
    <row r="1045">
      <c r="A1045" s="158"/>
      <c r="B1045" s="158"/>
      <c r="C1045" s="158"/>
      <c r="D1045" s="159"/>
      <c r="E1045" s="160"/>
      <c r="F1045" s="161"/>
      <c r="G1045" s="162"/>
      <c r="H1045" s="163"/>
      <c r="I1045" s="162"/>
      <c r="J1045" s="164"/>
      <c r="K1045" s="164"/>
      <c r="L1045" s="158"/>
      <c r="M1045" s="158"/>
      <c r="N1045" s="158"/>
      <c r="O1045" s="158"/>
      <c r="P1045" s="158"/>
      <c r="Q1045" s="158"/>
      <c r="R1045" s="159"/>
      <c r="S1045" s="160"/>
      <c r="T1045" s="162"/>
    </row>
    <row r="1046">
      <c r="A1046" s="158"/>
      <c r="B1046" s="158"/>
      <c r="C1046" s="158"/>
      <c r="D1046" s="159"/>
      <c r="E1046" s="160"/>
      <c r="F1046" s="161"/>
      <c r="G1046" s="162"/>
      <c r="H1046" s="163"/>
      <c r="I1046" s="162"/>
      <c r="J1046" s="164"/>
      <c r="K1046" s="164"/>
      <c r="L1046" s="158"/>
      <c r="M1046" s="158"/>
      <c r="N1046" s="158"/>
      <c r="O1046" s="158"/>
      <c r="P1046" s="158"/>
      <c r="Q1046" s="158"/>
      <c r="R1046" s="159"/>
      <c r="S1046" s="160"/>
      <c r="T1046" s="162"/>
    </row>
    <row r="1047">
      <c r="A1047" s="158"/>
      <c r="B1047" s="158"/>
      <c r="C1047" s="158"/>
      <c r="D1047" s="159"/>
      <c r="E1047" s="160"/>
      <c r="F1047" s="161"/>
      <c r="G1047" s="162"/>
      <c r="H1047" s="163"/>
      <c r="I1047" s="162"/>
      <c r="J1047" s="164"/>
      <c r="K1047" s="164"/>
      <c r="L1047" s="158"/>
      <c r="M1047" s="158"/>
      <c r="N1047" s="158"/>
      <c r="O1047" s="158"/>
      <c r="P1047" s="158"/>
      <c r="Q1047" s="158"/>
      <c r="R1047" s="159"/>
      <c r="S1047" s="160"/>
      <c r="T1047" s="162"/>
    </row>
    <row r="1048">
      <c r="A1048" s="158"/>
      <c r="B1048" s="158"/>
      <c r="C1048" s="158"/>
      <c r="D1048" s="159"/>
      <c r="E1048" s="160"/>
      <c r="F1048" s="161"/>
      <c r="G1048" s="162"/>
      <c r="H1048" s="163"/>
      <c r="I1048" s="162"/>
      <c r="J1048" s="164"/>
      <c r="K1048" s="164"/>
      <c r="L1048" s="158"/>
      <c r="M1048" s="158"/>
      <c r="N1048" s="158"/>
      <c r="O1048" s="158"/>
      <c r="P1048" s="158"/>
      <c r="Q1048" s="158"/>
      <c r="R1048" s="159"/>
      <c r="S1048" s="160"/>
      <c r="T1048" s="162"/>
    </row>
    <row r="1049">
      <c r="A1049" s="158"/>
      <c r="B1049" s="158"/>
      <c r="C1049" s="158"/>
      <c r="D1049" s="159"/>
      <c r="E1049" s="160"/>
      <c r="F1049" s="161"/>
      <c r="G1049" s="162"/>
      <c r="H1049" s="163"/>
      <c r="I1049" s="162"/>
      <c r="J1049" s="164"/>
      <c r="K1049" s="164"/>
      <c r="L1049" s="158"/>
      <c r="M1049" s="158"/>
      <c r="N1049" s="158"/>
      <c r="O1049" s="158"/>
      <c r="P1049" s="158"/>
      <c r="Q1049" s="158"/>
      <c r="R1049" s="159"/>
      <c r="S1049" s="160"/>
      <c r="T1049" s="162"/>
    </row>
    <row r="1050">
      <c r="A1050" s="158"/>
      <c r="B1050" s="158"/>
      <c r="C1050" s="158"/>
      <c r="D1050" s="159"/>
      <c r="E1050" s="160"/>
      <c r="F1050" s="161"/>
      <c r="G1050" s="162"/>
      <c r="H1050" s="163"/>
      <c r="I1050" s="162"/>
      <c r="J1050" s="164"/>
      <c r="K1050" s="164"/>
      <c r="L1050" s="158"/>
      <c r="M1050" s="158"/>
      <c r="N1050" s="158"/>
      <c r="O1050" s="158"/>
      <c r="P1050" s="158"/>
      <c r="Q1050" s="158"/>
      <c r="R1050" s="159"/>
      <c r="S1050" s="160"/>
      <c r="T1050" s="162"/>
    </row>
    <row r="1051">
      <c r="A1051" s="158"/>
      <c r="B1051" s="158"/>
      <c r="C1051" s="158"/>
      <c r="D1051" s="159"/>
      <c r="E1051" s="160"/>
      <c r="F1051" s="161"/>
      <c r="G1051" s="162"/>
      <c r="H1051" s="163"/>
      <c r="I1051" s="162"/>
      <c r="J1051" s="164"/>
      <c r="K1051" s="164"/>
      <c r="L1051" s="158"/>
      <c r="M1051" s="158"/>
      <c r="N1051" s="158"/>
      <c r="O1051" s="158"/>
      <c r="P1051" s="158"/>
      <c r="Q1051" s="158"/>
      <c r="R1051" s="159"/>
      <c r="S1051" s="160"/>
      <c r="T1051" s="162"/>
    </row>
    <row r="1052">
      <c r="A1052" s="158"/>
      <c r="B1052" s="158"/>
      <c r="C1052" s="158"/>
      <c r="D1052" s="159"/>
      <c r="E1052" s="160"/>
      <c r="F1052" s="161"/>
      <c r="G1052" s="162"/>
      <c r="H1052" s="163"/>
      <c r="I1052" s="162"/>
      <c r="J1052" s="164"/>
      <c r="K1052" s="164"/>
      <c r="L1052" s="158"/>
      <c r="M1052" s="158"/>
      <c r="N1052" s="158"/>
      <c r="O1052" s="158"/>
      <c r="P1052" s="158"/>
      <c r="Q1052" s="158"/>
      <c r="R1052" s="159"/>
      <c r="S1052" s="160"/>
      <c r="T1052" s="162"/>
    </row>
    <row r="1053">
      <c r="A1053" s="158"/>
      <c r="B1053" s="158"/>
      <c r="C1053" s="158"/>
      <c r="D1053" s="159"/>
      <c r="E1053" s="160"/>
      <c r="F1053" s="161"/>
      <c r="G1053" s="162"/>
      <c r="H1053" s="163"/>
      <c r="I1053" s="162"/>
      <c r="J1053" s="164"/>
      <c r="K1053" s="164"/>
      <c r="L1053" s="158"/>
      <c r="M1053" s="158"/>
      <c r="N1053" s="158"/>
      <c r="O1053" s="158"/>
      <c r="P1053" s="158"/>
      <c r="Q1053" s="158"/>
      <c r="R1053" s="159"/>
      <c r="S1053" s="160"/>
      <c r="T1053" s="162"/>
    </row>
    <row r="1054">
      <c r="A1054" s="158"/>
      <c r="B1054" s="158"/>
      <c r="C1054" s="158"/>
      <c r="D1054" s="159"/>
      <c r="E1054" s="160"/>
      <c r="F1054" s="161"/>
      <c r="G1054" s="162"/>
      <c r="H1054" s="163"/>
      <c r="I1054" s="162"/>
      <c r="J1054" s="164"/>
      <c r="K1054" s="164"/>
      <c r="L1054" s="158"/>
      <c r="M1054" s="158"/>
      <c r="N1054" s="158"/>
      <c r="O1054" s="158"/>
      <c r="P1054" s="158"/>
      <c r="Q1054" s="158"/>
      <c r="R1054" s="159"/>
      <c r="S1054" s="160"/>
      <c r="T1054" s="162"/>
    </row>
    <row r="1055">
      <c r="A1055" s="158"/>
      <c r="B1055" s="158"/>
      <c r="C1055" s="158"/>
      <c r="D1055" s="159"/>
      <c r="E1055" s="160"/>
      <c r="F1055" s="161"/>
      <c r="G1055" s="162"/>
      <c r="H1055" s="163"/>
      <c r="I1055" s="162"/>
      <c r="J1055" s="164"/>
      <c r="K1055" s="164"/>
      <c r="L1055" s="158"/>
      <c r="M1055" s="158"/>
      <c r="N1055" s="158"/>
      <c r="O1055" s="158"/>
      <c r="P1055" s="158"/>
      <c r="Q1055" s="158"/>
      <c r="R1055" s="159"/>
      <c r="S1055" s="160"/>
      <c r="T1055" s="162"/>
    </row>
    <row r="1056">
      <c r="A1056" s="158"/>
      <c r="B1056" s="158"/>
      <c r="C1056" s="158"/>
      <c r="D1056" s="159"/>
      <c r="E1056" s="160"/>
      <c r="F1056" s="161"/>
      <c r="G1056" s="162"/>
      <c r="H1056" s="163"/>
      <c r="I1056" s="162"/>
      <c r="J1056" s="164"/>
      <c r="K1056" s="164"/>
      <c r="L1056" s="158"/>
      <c r="M1056" s="158"/>
      <c r="N1056" s="158"/>
      <c r="O1056" s="158"/>
      <c r="P1056" s="158"/>
      <c r="Q1056" s="158"/>
      <c r="R1056" s="159"/>
      <c r="S1056" s="160"/>
      <c r="T1056" s="162"/>
    </row>
    <row r="1057">
      <c r="A1057" s="158"/>
      <c r="B1057" s="158"/>
      <c r="C1057" s="158"/>
      <c r="D1057" s="159"/>
      <c r="E1057" s="160"/>
      <c r="F1057" s="161"/>
      <c r="G1057" s="162"/>
      <c r="H1057" s="163"/>
      <c r="I1057" s="162"/>
      <c r="J1057" s="164"/>
      <c r="K1057" s="164"/>
      <c r="L1057" s="158"/>
      <c r="M1057" s="158"/>
      <c r="N1057" s="158"/>
      <c r="O1057" s="158"/>
      <c r="P1057" s="158"/>
      <c r="Q1057" s="158"/>
      <c r="R1057" s="159"/>
      <c r="S1057" s="160"/>
      <c r="T1057" s="162"/>
    </row>
    <row r="1058">
      <c r="A1058" s="158"/>
      <c r="B1058" s="158"/>
      <c r="C1058" s="158"/>
      <c r="D1058" s="159"/>
      <c r="E1058" s="160"/>
      <c r="F1058" s="161"/>
      <c r="G1058" s="162"/>
      <c r="H1058" s="163"/>
      <c r="I1058" s="162"/>
      <c r="J1058" s="164"/>
      <c r="K1058" s="164"/>
      <c r="L1058" s="158"/>
      <c r="M1058" s="158"/>
      <c r="N1058" s="158"/>
      <c r="O1058" s="158"/>
      <c r="P1058" s="158"/>
      <c r="Q1058" s="158"/>
      <c r="R1058" s="159"/>
      <c r="S1058" s="160"/>
      <c r="T1058" s="162"/>
    </row>
    <row r="1059">
      <c r="A1059" s="158"/>
      <c r="B1059" s="158"/>
      <c r="C1059" s="158"/>
      <c r="D1059" s="159"/>
      <c r="E1059" s="160"/>
      <c r="F1059" s="161"/>
      <c r="G1059" s="162"/>
      <c r="H1059" s="163"/>
      <c r="I1059" s="162"/>
      <c r="J1059" s="164"/>
      <c r="K1059" s="164"/>
      <c r="L1059" s="158"/>
      <c r="M1059" s="158"/>
      <c r="N1059" s="158"/>
      <c r="O1059" s="158"/>
      <c r="P1059" s="158"/>
      <c r="Q1059" s="158"/>
      <c r="R1059" s="159"/>
      <c r="S1059" s="160"/>
      <c r="T1059" s="162"/>
    </row>
    <row r="1060">
      <c r="A1060" s="158"/>
      <c r="B1060" s="158"/>
      <c r="C1060" s="158"/>
      <c r="D1060" s="159"/>
      <c r="E1060" s="160"/>
      <c r="F1060" s="161"/>
      <c r="G1060" s="162"/>
      <c r="H1060" s="163"/>
      <c r="I1060" s="162"/>
      <c r="J1060" s="164"/>
      <c r="K1060" s="164"/>
      <c r="L1060" s="158"/>
      <c r="M1060" s="158"/>
      <c r="N1060" s="158"/>
      <c r="O1060" s="158"/>
      <c r="P1060" s="158"/>
      <c r="Q1060" s="158"/>
      <c r="R1060" s="159"/>
      <c r="S1060" s="160"/>
      <c r="T1060" s="162"/>
    </row>
    <row r="1061">
      <c r="A1061" s="158"/>
      <c r="B1061" s="158"/>
      <c r="C1061" s="158"/>
      <c r="D1061" s="159"/>
      <c r="E1061" s="160"/>
      <c r="F1061" s="161"/>
      <c r="G1061" s="162"/>
      <c r="H1061" s="163"/>
      <c r="I1061" s="162"/>
      <c r="J1061" s="164"/>
      <c r="K1061" s="164"/>
      <c r="L1061" s="158"/>
      <c r="M1061" s="158"/>
      <c r="N1061" s="158"/>
      <c r="O1061" s="158"/>
      <c r="P1061" s="158"/>
      <c r="Q1061" s="158"/>
      <c r="R1061" s="159"/>
      <c r="S1061" s="160"/>
      <c r="T1061" s="162"/>
    </row>
    <row r="1062">
      <c r="A1062" s="158"/>
      <c r="B1062" s="158"/>
      <c r="C1062" s="158"/>
      <c r="D1062" s="159"/>
      <c r="E1062" s="160"/>
      <c r="F1062" s="161"/>
      <c r="G1062" s="162"/>
      <c r="H1062" s="163"/>
      <c r="I1062" s="162"/>
      <c r="J1062" s="164"/>
      <c r="K1062" s="164"/>
      <c r="L1062" s="158"/>
      <c r="M1062" s="158"/>
      <c r="N1062" s="158"/>
      <c r="O1062" s="158"/>
      <c r="P1062" s="158"/>
      <c r="Q1062" s="158"/>
      <c r="R1062" s="159"/>
      <c r="S1062" s="160"/>
      <c r="T1062" s="162"/>
    </row>
    <row r="1063">
      <c r="A1063" s="158"/>
      <c r="B1063" s="158"/>
      <c r="C1063" s="158"/>
      <c r="D1063" s="159"/>
      <c r="E1063" s="160"/>
      <c r="F1063" s="161"/>
      <c r="G1063" s="162"/>
      <c r="H1063" s="163"/>
      <c r="I1063" s="162"/>
      <c r="J1063" s="164"/>
      <c r="K1063" s="164"/>
      <c r="L1063" s="158"/>
      <c r="M1063" s="158"/>
      <c r="N1063" s="158"/>
      <c r="O1063" s="158"/>
      <c r="P1063" s="158"/>
      <c r="Q1063" s="158"/>
      <c r="R1063" s="159"/>
      <c r="S1063" s="160"/>
      <c r="T1063" s="162"/>
    </row>
    <row r="1064">
      <c r="A1064" s="158"/>
      <c r="B1064" s="158"/>
      <c r="C1064" s="158"/>
      <c r="D1064" s="159"/>
      <c r="E1064" s="160"/>
      <c r="F1064" s="161"/>
      <c r="G1064" s="162"/>
      <c r="H1064" s="163"/>
      <c r="I1064" s="162"/>
      <c r="J1064" s="164"/>
      <c r="K1064" s="164"/>
      <c r="L1064" s="158"/>
      <c r="M1064" s="158"/>
      <c r="N1064" s="158"/>
      <c r="O1064" s="158"/>
      <c r="P1064" s="158"/>
      <c r="Q1064" s="158"/>
      <c r="R1064" s="159"/>
      <c r="S1064" s="160"/>
      <c r="T1064" s="162"/>
    </row>
    <row r="1065">
      <c r="A1065" s="158"/>
      <c r="B1065" s="158"/>
      <c r="C1065" s="158"/>
      <c r="D1065" s="159"/>
      <c r="E1065" s="160"/>
      <c r="F1065" s="161"/>
      <c r="G1065" s="162"/>
      <c r="H1065" s="163"/>
      <c r="I1065" s="162"/>
      <c r="J1065" s="164"/>
      <c r="K1065" s="164"/>
      <c r="L1065" s="158"/>
      <c r="M1065" s="158"/>
      <c r="N1065" s="158"/>
      <c r="O1065" s="158"/>
      <c r="P1065" s="158"/>
      <c r="Q1065" s="158"/>
      <c r="R1065" s="159"/>
      <c r="S1065" s="160"/>
      <c r="T1065" s="162"/>
    </row>
    <row r="1066">
      <c r="A1066" s="158"/>
      <c r="B1066" s="158"/>
      <c r="C1066" s="158"/>
      <c r="D1066" s="159"/>
      <c r="E1066" s="160"/>
      <c r="F1066" s="161"/>
      <c r="G1066" s="162"/>
      <c r="H1066" s="163"/>
      <c r="I1066" s="162"/>
      <c r="J1066" s="164"/>
      <c r="K1066" s="164"/>
      <c r="L1066" s="158"/>
      <c r="M1066" s="158"/>
      <c r="N1066" s="158"/>
      <c r="O1066" s="158"/>
      <c r="P1066" s="158"/>
      <c r="Q1066" s="158"/>
      <c r="R1066" s="159"/>
      <c r="S1066" s="160"/>
      <c r="T1066" s="162"/>
    </row>
    <row r="1067">
      <c r="A1067" s="158"/>
      <c r="B1067" s="158"/>
      <c r="C1067" s="158"/>
      <c r="D1067" s="159"/>
      <c r="E1067" s="160"/>
      <c r="F1067" s="161"/>
      <c r="G1067" s="162"/>
      <c r="H1067" s="163"/>
      <c r="I1067" s="162"/>
      <c r="J1067" s="164"/>
      <c r="K1067" s="164"/>
      <c r="L1067" s="158"/>
      <c r="M1067" s="158"/>
      <c r="N1067" s="158"/>
      <c r="O1067" s="158"/>
      <c r="P1067" s="158"/>
      <c r="Q1067" s="158"/>
      <c r="R1067" s="159"/>
      <c r="S1067" s="160"/>
      <c r="T1067" s="162"/>
    </row>
    <row r="1068">
      <c r="A1068" s="158"/>
      <c r="B1068" s="158"/>
      <c r="C1068" s="158"/>
      <c r="D1068" s="159"/>
      <c r="E1068" s="160"/>
      <c r="F1068" s="161"/>
      <c r="G1068" s="162"/>
      <c r="H1068" s="163"/>
      <c r="I1068" s="162"/>
      <c r="J1068" s="164"/>
      <c r="K1068" s="164"/>
      <c r="L1068" s="158"/>
      <c r="M1068" s="158"/>
      <c r="N1068" s="158"/>
      <c r="O1068" s="158"/>
      <c r="P1068" s="158"/>
      <c r="Q1068" s="158"/>
      <c r="R1068" s="159"/>
      <c r="S1068" s="160"/>
      <c r="T1068" s="162"/>
    </row>
    <row r="1069">
      <c r="A1069" s="158"/>
      <c r="B1069" s="158"/>
      <c r="C1069" s="158"/>
      <c r="D1069" s="159"/>
      <c r="E1069" s="160"/>
      <c r="F1069" s="161"/>
      <c r="G1069" s="162"/>
      <c r="H1069" s="163"/>
      <c r="I1069" s="162"/>
      <c r="J1069" s="164"/>
      <c r="K1069" s="164"/>
      <c r="L1069" s="158"/>
      <c r="M1069" s="158"/>
      <c r="N1069" s="158"/>
      <c r="O1069" s="158"/>
      <c r="P1069" s="158"/>
      <c r="Q1069" s="158"/>
      <c r="R1069" s="159"/>
      <c r="S1069" s="160"/>
      <c r="T1069" s="162"/>
    </row>
    <row r="1070">
      <c r="A1070" s="158"/>
      <c r="B1070" s="158"/>
      <c r="C1070" s="158"/>
      <c r="D1070" s="159"/>
      <c r="E1070" s="160"/>
      <c r="F1070" s="161"/>
      <c r="G1070" s="162"/>
      <c r="H1070" s="163"/>
      <c r="I1070" s="162"/>
      <c r="J1070" s="164"/>
      <c r="K1070" s="164"/>
      <c r="L1070" s="158"/>
      <c r="M1070" s="158"/>
      <c r="N1070" s="158"/>
      <c r="O1070" s="158"/>
      <c r="P1070" s="158"/>
      <c r="Q1070" s="158"/>
      <c r="R1070" s="159"/>
      <c r="S1070" s="160"/>
      <c r="T1070" s="162"/>
    </row>
    <row r="1071">
      <c r="A1071" s="158"/>
      <c r="B1071" s="158"/>
      <c r="C1071" s="158"/>
      <c r="D1071" s="159"/>
      <c r="E1071" s="160"/>
      <c r="F1071" s="161"/>
      <c r="G1071" s="162"/>
      <c r="H1071" s="163"/>
      <c r="I1071" s="162"/>
      <c r="J1071" s="164"/>
      <c r="K1071" s="164"/>
      <c r="L1071" s="158"/>
      <c r="M1071" s="158"/>
      <c r="N1071" s="158"/>
      <c r="O1071" s="158"/>
      <c r="P1071" s="158"/>
      <c r="Q1071" s="158"/>
      <c r="R1071" s="159"/>
      <c r="S1071" s="160"/>
      <c r="T1071" s="162"/>
    </row>
    <row r="1072">
      <c r="A1072" s="158"/>
      <c r="B1072" s="158"/>
      <c r="C1072" s="158"/>
      <c r="D1072" s="159"/>
      <c r="E1072" s="160"/>
      <c r="F1072" s="161"/>
      <c r="G1072" s="162"/>
      <c r="H1072" s="163"/>
      <c r="I1072" s="162"/>
      <c r="J1072" s="164"/>
      <c r="K1072" s="164"/>
      <c r="L1072" s="158"/>
      <c r="M1072" s="158"/>
      <c r="N1072" s="158"/>
      <c r="O1072" s="158"/>
      <c r="P1072" s="158"/>
      <c r="Q1072" s="158"/>
      <c r="R1072" s="159"/>
      <c r="S1072" s="160"/>
      <c r="T1072" s="162"/>
    </row>
    <row r="1073">
      <c r="A1073" s="158"/>
      <c r="B1073" s="158"/>
      <c r="C1073" s="158"/>
      <c r="D1073" s="159"/>
      <c r="E1073" s="160"/>
      <c r="F1073" s="161"/>
      <c r="G1073" s="162"/>
      <c r="H1073" s="163"/>
      <c r="I1073" s="162"/>
      <c r="J1073" s="164"/>
      <c r="K1073" s="164"/>
      <c r="L1073" s="158"/>
      <c r="M1073" s="158"/>
      <c r="N1073" s="158"/>
      <c r="O1073" s="158"/>
      <c r="P1073" s="158"/>
      <c r="Q1073" s="158"/>
      <c r="R1073" s="159"/>
      <c r="S1073" s="160"/>
      <c r="T1073" s="162"/>
    </row>
    <row r="1074">
      <c r="A1074" s="158"/>
      <c r="B1074" s="158"/>
      <c r="C1074" s="158"/>
      <c r="D1074" s="159"/>
      <c r="E1074" s="160"/>
      <c r="F1074" s="161"/>
      <c r="G1074" s="162"/>
      <c r="H1074" s="163"/>
      <c r="I1074" s="162"/>
      <c r="J1074" s="164"/>
      <c r="K1074" s="164"/>
      <c r="L1074" s="158"/>
      <c r="M1074" s="158"/>
      <c r="N1074" s="158"/>
      <c r="O1074" s="158"/>
      <c r="P1074" s="158"/>
      <c r="Q1074" s="158"/>
      <c r="R1074" s="159"/>
      <c r="S1074" s="160"/>
      <c r="T1074" s="162"/>
    </row>
    <row r="1075">
      <c r="A1075" s="158"/>
      <c r="B1075" s="158"/>
      <c r="C1075" s="158"/>
      <c r="D1075" s="159"/>
      <c r="E1075" s="160"/>
      <c r="F1075" s="161"/>
      <c r="G1075" s="162"/>
      <c r="H1075" s="163"/>
      <c r="I1075" s="162"/>
      <c r="J1075" s="164"/>
      <c r="K1075" s="164"/>
      <c r="L1075" s="158"/>
      <c r="M1075" s="158"/>
      <c r="N1075" s="158"/>
      <c r="O1075" s="158"/>
      <c r="P1075" s="158"/>
      <c r="Q1075" s="158"/>
      <c r="R1075" s="159"/>
      <c r="S1075" s="160"/>
      <c r="T1075" s="162"/>
    </row>
    <row r="1076">
      <c r="A1076" s="158"/>
      <c r="B1076" s="158"/>
      <c r="C1076" s="158"/>
      <c r="D1076" s="159"/>
      <c r="E1076" s="160"/>
      <c r="F1076" s="161"/>
      <c r="G1076" s="162"/>
      <c r="H1076" s="163"/>
      <c r="I1076" s="162"/>
      <c r="J1076" s="164"/>
      <c r="K1076" s="164"/>
      <c r="L1076" s="158"/>
      <c r="M1076" s="158"/>
      <c r="N1076" s="158"/>
      <c r="O1076" s="158"/>
      <c r="P1076" s="158"/>
      <c r="Q1076" s="158"/>
      <c r="R1076" s="159"/>
      <c r="S1076" s="160"/>
      <c r="T1076" s="162"/>
    </row>
    <row r="1077">
      <c r="A1077" s="158"/>
      <c r="B1077" s="158"/>
      <c r="C1077" s="158"/>
      <c r="D1077" s="159"/>
      <c r="E1077" s="160"/>
      <c r="F1077" s="161"/>
      <c r="G1077" s="162"/>
      <c r="H1077" s="163"/>
      <c r="I1077" s="162"/>
      <c r="J1077" s="164"/>
      <c r="K1077" s="164"/>
      <c r="L1077" s="158"/>
      <c r="M1077" s="158"/>
      <c r="N1077" s="158"/>
      <c r="O1077" s="158"/>
      <c r="P1077" s="158"/>
      <c r="Q1077" s="158"/>
      <c r="R1077" s="159"/>
      <c r="S1077" s="160"/>
      <c r="T1077" s="162"/>
    </row>
    <row r="1078">
      <c r="A1078" s="158"/>
      <c r="B1078" s="158"/>
      <c r="C1078" s="158"/>
      <c r="D1078" s="159"/>
      <c r="E1078" s="160"/>
      <c r="F1078" s="161"/>
      <c r="G1078" s="162"/>
      <c r="H1078" s="163"/>
      <c r="I1078" s="162"/>
      <c r="J1078" s="164"/>
      <c r="K1078" s="164"/>
      <c r="L1078" s="158"/>
      <c r="M1078" s="158"/>
      <c r="N1078" s="158"/>
      <c r="O1078" s="158"/>
      <c r="P1078" s="158"/>
      <c r="Q1078" s="158"/>
      <c r="R1078" s="159"/>
      <c r="S1078" s="160"/>
      <c r="T1078" s="162"/>
    </row>
    <row r="1079">
      <c r="A1079" s="158"/>
      <c r="B1079" s="158"/>
      <c r="C1079" s="158"/>
      <c r="D1079" s="159"/>
      <c r="E1079" s="160"/>
      <c r="F1079" s="161"/>
      <c r="G1079" s="162"/>
      <c r="H1079" s="163"/>
      <c r="I1079" s="162"/>
      <c r="J1079" s="164"/>
      <c r="K1079" s="164"/>
      <c r="L1079" s="158"/>
      <c r="M1079" s="158"/>
      <c r="N1079" s="158"/>
      <c r="O1079" s="158"/>
      <c r="P1079" s="158"/>
      <c r="Q1079" s="158"/>
      <c r="R1079" s="159"/>
      <c r="S1079" s="160"/>
      <c r="T1079" s="162"/>
    </row>
    <row r="1080">
      <c r="A1080" s="158"/>
      <c r="B1080" s="158"/>
      <c r="C1080" s="158"/>
      <c r="D1080" s="159"/>
      <c r="E1080" s="160"/>
      <c r="F1080" s="161"/>
      <c r="G1080" s="162"/>
      <c r="H1080" s="163"/>
      <c r="I1080" s="162"/>
      <c r="J1080" s="164"/>
      <c r="K1080" s="164"/>
      <c r="L1080" s="158"/>
      <c r="M1080" s="158"/>
      <c r="N1080" s="158"/>
      <c r="O1080" s="158"/>
      <c r="P1080" s="158"/>
      <c r="Q1080" s="158"/>
      <c r="R1080" s="159"/>
      <c r="S1080" s="160"/>
      <c r="T1080" s="162"/>
    </row>
    <row r="1081">
      <c r="A1081" s="158"/>
      <c r="B1081" s="158"/>
      <c r="C1081" s="158"/>
      <c r="D1081" s="159"/>
      <c r="E1081" s="160"/>
      <c r="F1081" s="161"/>
      <c r="G1081" s="162"/>
      <c r="H1081" s="163"/>
      <c r="I1081" s="162"/>
      <c r="J1081" s="164"/>
      <c r="K1081" s="164"/>
      <c r="L1081" s="158"/>
      <c r="M1081" s="158"/>
      <c r="N1081" s="158"/>
      <c r="O1081" s="158"/>
      <c r="P1081" s="158"/>
      <c r="Q1081" s="158"/>
      <c r="R1081" s="159"/>
      <c r="S1081" s="160"/>
      <c r="T1081" s="162"/>
    </row>
    <row r="1082">
      <c r="A1082" s="158"/>
      <c r="B1082" s="158"/>
      <c r="C1082" s="158"/>
      <c r="D1082" s="159"/>
      <c r="E1082" s="160"/>
      <c r="F1082" s="161"/>
      <c r="G1082" s="162"/>
      <c r="H1082" s="163"/>
      <c r="I1082" s="162"/>
      <c r="J1082" s="164"/>
      <c r="K1082" s="164"/>
      <c r="L1082" s="158"/>
      <c r="M1082" s="158"/>
      <c r="N1082" s="158"/>
      <c r="O1082" s="158"/>
      <c r="P1082" s="158"/>
      <c r="Q1082" s="158"/>
      <c r="R1082" s="159"/>
      <c r="S1082" s="160"/>
      <c r="T1082" s="162"/>
    </row>
    <row r="1083">
      <c r="A1083" s="158"/>
      <c r="B1083" s="158"/>
      <c r="C1083" s="158"/>
      <c r="D1083" s="159"/>
      <c r="E1083" s="160"/>
      <c r="F1083" s="161"/>
      <c r="G1083" s="162"/>
      <c r="H1083" s="163"/>
      <c r="I1083" s="162"/>
      <c r="J1083" s="164"/>
      <c r="K1083" s="164"/>
      <c r="L1083" s="158"/>
      <c r="M1083" s="158"/>
      <c r="N1083" s="158"/>
      <c r="O1083" s="158"/>
      <c r="P1083" s="158"/>
      <c r="Q1083" s="158"/>
      <c r="R1083" s="159"/>
      <c r="S1083" s="160"/>
      <c r="T1083" s="162"/>
    </row>
    <row r="1084">
      <c r="A1084" s="158"/>
      <c r="B1084" s="158"/>
      <c r="C1084" s="158"/>
      <c r="D1084" s="159"/>
      <c r="E1084" s="160"/>
      <c r="F1084" s="161"/>
      <c r="G1084" s="162"/>
      <c r="H1084" s="163"/>
      <c r="I1084" s="162"/>
      <c r="J1084" s="164"/>
      <c r="K1084" s="164"/>
      <c r="L1084" s="158"/>
      <c r="M1084" s="158"/>
      <c r="N1084" s="158"/>
      <c r="O1084" s="158"/>
      <c r="P1084" s="158"/>
      <c r="Q1084" s="158"/>
      <c r="R1084" s="159"/>
      <c r="S1084" s="160"/>
      <c r="T1084" s="162"/>
    </row>
    <row r="1085">
      <c r="A1085" s="158"/>
      <c r="B1085" s="158"/>
      <c r="C1085" s="158"/>
      <c r="D1085" s="159"/>
      <c r="E1085" s="160"/>
      <c r="F1085" s="161"/>
      <c r="G1085" s="162"/>
      <c r="H1085" s="163"/>
      <c r="I1085" s="162"/>
      <c r="J1085" s="164"/>
      <c r="K1085" s="164"/>
      <c r="L1085" s="158"/>
      <c r="M1085" s="158"/>
      <c r="N1085" s="158"/>
      <c r="O1085" s="158"/>
      <c r="P1085" s="158"/>
      <c r="Q1085" s="158"/>
      <c r="R1085" s="159"/>
      <c r="S1085" s="160"/>
      <c r="T1085" s="162"/>
    </row>
    <row r="1086">
      <c r="A1086" s="158"/>
      <c r="B1086" s="158"/>
      <c r="C1086" s="158"/>
      <c r="D1086" s="159"/>
      <c r="E1086" s="160"/>
      <c r="F1086" s="161"/>
      <c r="G1086" s="162"/>
      <c r="H1086" s="163"/>
      <c r="I1086" s="162"/>
      <c r="J1086" s="164"/>
      <c r="K1086" s="164"/>
      <c r="L1086" s="158"/>
      <c r="M1086" s="158"/>
      <c r="N1086" s="158"/>
      <c r="O1086" s="158"/>
      <c r="P1086" s="158"/>
      <c r="Q1086" s="158"/>
      <c r="R1086" s="159"/>
      <c r="S1086" s="160"/>
      <c r="T1086" s="162"/>
    </row>
    <row r="1087">
      <c r="A1087" s="158"/>
      <c r="B1087" s="158"/>
      <c r="C1087" s="158"/>
      <c r="D1087" s="159"/>
      <c r="E1087" s="160"/>
      <c r="F1087" s="161"/>
      <c r="G1087" s="162"/>
      <c r="H1087" s="163"/>
      <c r="I1087" s="162"/>
      <c r="J1087" s="164"/>
      <c r="K1087" s="164"/>
      <c r="L1087" s="158"/>
      <c r="M1087" s="158"/>
      <c r="N1087" s="158"/>
      <c r="O1087" s="158"/>
      <c r="P1087" s="158"/>
      <c r="Q1087" s="158"/>
      <c r="R1087" s="159"/>
      <c r="S1087" s="160"/>
      <c r="T1087" s="162"/>
    </row>
    <row r="1088">
      <c r="A1088" s="158"/>
      <c r="B1088" s="158"/>
      <c r="C1088" s="158"/>
      <c r="D1088" s="159"/>
      <c r="E1088" s="160"/>
      <c r="F1088" s="161"/>
      <c r="G1088" s="162"/>
      <c r="H1088" s="163"/>
      <c r="I1088" s="162"/>
      <c r="J1088" s="164"/>
      <c r="K1088" s="164"/>
      <c r="L1088" s="158"/>
      <c r="M1088" s="158"/>
      <c r="N1088" s="158"/>
      <c r="O1088" s="158"/>
      <c r="P1088" s="158"/>
      <c r="Q1088" s="158"/>
      <c r="R1088" s="159"/>
      <c r="S1088" s="160"/>
      <c r="T1088" s="162"/>
    </row>
    <row r="1089">
      <c r="A1089" s="158"/>
      <c r="B1089" s="158"/>
      <c r="C1089" s="158"/>
      <c r="D1089" s="159"/>
      <c r="E1089" s="160"/>
      <c r="F1089" s="161"/>
      <c r="G1089" s="162"/>
      <c r="H1089" s="163"/>
      <c r="I1089" s="162"/>
      <c r="J1089" s="164"/>
      <c r="K1089" s="164"/>
      <c r="L1089" s="158"/>
      <c r="M1089" s="158"/>
      <c r="N1089" s="158"/>
      <c r="O1089" s="158"/>
      <c r="P1089" s="158"/>
      <c r="Q1089" s="158"/>
      <c r="R1089" s="159"/>
      <c r="S1089" s="160"/>
      <c r="T1089" s="162"/>
    </row>
    <row r="1090">
      <c r="A1090" s="158"/>
      <c r="B1090" s="158"/>
      <c r="C1090" s="158"/>
      <c r="D1090" s="159"/>
      <c r="E1090" s="160"/>
      <c r="F1090" s="161"/>
      <c r="G1090" s="162"/>
      <c r="H1090" s="163"/>
      <c r="I1090" s="162"/>
      <c r="J1090" s="164"/>
      <c r="K1090" s="164"/>
      <c r="L1090" s="158"/>
      <c r="M1090" s="158"/>
      <c r="N1090" s="158"/>
      <c r="O1090" s="158"/>
      <c r="P1090" s="158"/>
      <c r="Q1090" s="158"/>
      <c r="R1090" s="159"/>
      <c r="S1090" s="160"/>
      <c r="T1090" s="162"/>
    </row>
    <row r="1091">
      <c r="A1091" s="158"/>
      <c r="B1091" s="158"/>
      <c r="C1091" s="158"/>
      <c r="D1091" s="159"/>
      <c r="E1091" s="160"/>
      <c r="F1091" s="161"/>
      <c r="G1091" s="162"/>
      <c r="H1091" s="163"/>
      <c r="I1091" s="162"/>
      <c r="J1091" s="164"/>
      <c r="K1091" s="164"/>
      <c r="L1091" s="158"/>
      <c r="M1091" s="158"/>
      <c r="N1091" s="158"/>
      <c r="O1091" s="158"/>
      <c r="P1091" s="158"/>
      <c r="Q1091" s="158"/>
      <c r="R1091" s="159"/>
      <c r="S1091" s="160"/>
      <c r="T1091" s="162"/>
    </row>
    <row r="1092">
      <c r="A1092" s="158"/>
      <c r="B1092" s="158"/>
      <c r="C1092" s="158"/>
      <c r="D1092" s="159"/>
      <c r="E1092" s="160"/>
      <c r="F1092" s="161"/>
      <c r="G1092" s="162"/>
      <c r="H1092" s="163"/>
      <c r="I1092" s="162"/>
      <c r="J1092" s="164"/>
      <c r="K1092" s="164"/>
      <c r="L1092" s="158"/>
      <c r="M1092" s="158"/>
      <c r="N1092" s="158"/>
      <c r="O1092" s="158"/>
      <c r="P1092" s="158"/>
      <c r="Q1092" s="158"/>
      <c r="R1092" s="159"/>
      <c r="S1092" s="160"/>
      <c r="T1092" s="162"/>
    </row>
    <row r="1093">
      <c r="A1093" s="158"/>
      <c r="B1093" s="158"/>
      <c r="C1093" s="158"/>
      <c r="D1093" s="159"/>
      <c r="E1093" s="160"/>
      <c r="F1093" s="161"/>
      <c r="G1093" s="162"/>
      <c r="H1093" s="163"/>
      <c r="I1093" s="162"/>
      <c r="J1093" s="164"/>
      <c r="K1093" s="164"/>
      <c r="L1093" s="158"/>
      <c r="M1093" s="158"/>
      <c r="N1093" s="158"/>
      <c r="O1093" s="158"/>
      <c r="P1093" s="158"/>
      <c r="Q1093" s="158"/>
      <c r="R1093" s="159"/>
      <c r="S1093" s="160"/>
      <c r="T1093" s="162"/>
    </row>
    <row r="1094">
      <c r="A1094" s="158"/>
      <c r="B1094" s="158"/>
      <c r="C1094" s="158"/>
      <c r="D1094" s="159"/>
      <c r="E1094" s="160"/>
      <c r="F1094" s="161"/>
      <c r="G1094" s="162"/>
      <c r="H1094" s="163"/>
      <c r="I1094" s="162"/>
      <c r="J1094" s="164"/>
      <c r="K1094" s="164"/>
      <c r="L1094" s="158"/>
      <c r="M1094" s="158"/>
      <c r="N1094" s="158"/>
      <c r="O1094" s="158"/>
      <c r="P1094" s="158"/>
      <c r="Q1094" s="158"/>
      <c r="R1094" s="159"/>
      <c r="S1094" s="160"/>
      <c r="T1094" s="162"/>
    </row>
    <row r="1095">
      <c r="A1095" s="158"/>
      <c r="B1095" s="158"/>
      <c r="C1095" s="158"/>
      <c r="D1095" s="159"/>
      <c r="E1095" s="160"/>
      <c r="F1095" s="161"/>
      <c r="G1095" s="162"/>
      <c r="H1095" s="163"/>
      <c r="I1095" s="162"/>
      <c r="J1095" s="164"/>
      <c r="K1095" s="164"/>
      <c r="L1095" s="158"/>
      <c r="M1095" s="158"/>
      <c r="N1095" s="158"/>
      <c r="O1095" s="158"/>
      <c r="P1095" s="158"/>
      <c r="Q1095" s="158"/>
      <c r="R1095" s="159"/>
      <c r="S1095" s="160"/>
      <c r="T1095" s="162"/>
    </row>
    <row r="1096">
      <c r="A1096" s="158"/>
      <c r="B1096" s="158"/>
      <c r="C1096" s="158"/>
      <c r="D1096" s="159"/>
      <c r="E1096" s="160"/>
      <c r="F1096" s="161"/>
      <c r="G1096" s="162"/>
      <c r="H1096" s="163"/>
      <c r="I1096" s="162"/>
      <c r="J1096" s="164"/>
      <c r="K1096" s="164"/>
      <c r="L1096" s="158"/>
      <c r="M1096" s="158"/>
      <c r="N1096" s="158"/>
      <c r="O1096" s="158"/>
      <c r="P1096" s="158"/>
      <c r="Q1096" s="158"/>
      <c r="R1096" s="159"/>
      <c r="S1096" s="160"/>
      <c r="T1096" s="162"/>
    </row>
    <row r="1097">
      <c r="A1097" s="158"/>
      <c r="B1097" s="158"/>
      <c r="C1097" s="158"/>
      <c r="D1097" s="159"/>
      <c r="E1097" s="160"/>
      <c r="F1097" s="161"/>
      <c r="G1097" s="162"/>
      <c r="H1097" s="163"/>
      <c r="I1097" s="162"/>
      <c r="J1097" s="164"/>
      <c r="K1097" s="164"/>
      <c r="L1097" s="158"/>
      <c r="M1097" s="158"/>
      <c r="N1097" s="158"/>
      <c r="O1097" s="158"/>
      <c r="P1097" s="158"/>
      <c r="Q1097" s="158"/>
      <c r="R1097" s="159"/>
      <c r="S1097" s="160"/>
      <c r="T1097" s="162"/>
    </row>
    <row r="1098">
      <c r="A1098" s="158"/>
      <c r="B1098" s="158"/>
      <c r="C1098" s="158"/>
      <c r="D1098" s="159"/>
      <c r="E1098" s="160"/>
      <c r="F1098" s="161"/>
      <c r="G1098" s="162"/>
      <c r="H1098" s="163"/>
      <c r="I1098" s="162"/>
      <c r="J1098" s="164"/>
      <c r="K1098" s="164"/>
      <c r="L1098" s="158"/>
      <c r="M1098" s="158"/>
      <c r="N1098" s="158"/>
      <c r="O1098" s="158"/>
      <c r="P1098" s="158"/>
      <c r="Q1098" s="158"/>
      <c r="R1098" s="159"/>
      <c r="S1098" s="160"/>
      <c r="T1098" s="162"/>
    </row>
    <row r="1099">
      <c r="A1099" s="158"/>
      <c r="B1099" s="158"/>
      <c r="C1099" s="158"/>
      <c r="D1099" s="159"/>
      <c r="E1099" s="160"/>
      <c r="F1099" s="161"/>
      <c r="G1099" s="162"/>
      <c r="H1099" s="163"/>
      <c r="I1099" s="162"/>
      <c r="J1099" s="164"/>
      <c r="K1099" s="164"/>
      <c r="L1099" s="158"/>
      <c r="M1099" s="158"/>
      <c r="N1099" s="158"/>
      <c r="O1099" s="158"/>
      <c r="P1099" s="158"/>
      <c r="Q1099" s="158"/>
      <c r="R1099" s="159"/>
      <c r="S1099" s="160"/>
      <c r="T1099" s="162"/>
    </row>
    <row r="1100">
      <c r="A1100" s="158"/>
      <c r="B1100" s="158"/>
      <c r="C1100" s="158"/>
      <c r="D1100" s="159"/>
      <c r="E1100" s="160"/>
      <c r="F1100" s="161"/>
      <c r="G1100" s="162"/>
      <c r="H1100" s="163"/>
      <c r="I1100" s="162"/>
      <c r="J1100" s="164"/>
      <c r="K1100" s="164"/>
      <c r="L1100" s="158"/>
      <c r="M1100" s="158"/>
      <c r="N1100" s="158"/>
      <c r="O1100" s="158"/>
      <c r="P1100" s="158"/>
      <c r="Q1100" s="158"/>
      <c r="R1100" s="159"/>
      <c r="S1100" s="160"/>
      <c r="T1100" s="162"/>
    </row>
    <row r="1101">
      <c r="A1101" s="158"/>
      <c r="B1101" s="158"/>
      <c r="C1101" s="158"/>
      <c r="D1101" s="159"/>
      <c r="E1101" s="160"/>
      <c r="F1101" s="161"/>
      <c r="G1101" s="162"/>
      <c r="H1101" s="163"/>
      <c r="I1101" s="162"/>
      <c r="J1101" s="164"/>
      <c r="K1101" s="164"/>
      <c r="L1101" s="158"/>
      <c r="M1101" s="158"/>
      <c r="N1101" s="158"/>
      <c r="O1101" s="158"/>
      <c r="P1101" s="158"/>
      <c r="Q1101" s="158"/>
      <c r="R1101" s="159"/>
      <c r="S1101" s="160"/>
      <c r="T1101" s="162"/>
    </row>
    <row r="1102">
      <c r="A1102" s="158"/>
      <c r="B1102" s="158"/>
      <c r="C1102" s="158"/>
      <c r="D1102" s="159"/>
      <c r="E1102" s="160"/>
      <c r="F1102" s="161"/>
      <c r="G1102" s="162"/>
      <c r="H1102" s="163"/>
      <c r="I1102" s="162"/>
      <c r="J1102" s="164"/>
      <c r="K1102" s="164"/>
      <c r="L1102" s="158"/>
      <c r="M1102" s="158"/>
      <c r="N1102" s="158"/>
      <c r="O1102" s="158"/>
      <c r="P1102" s="158"/>
      <c r="Q1102" s="158"/>
      <c r="R1102" s="159"/>
      <c r="S1102" s="160"/>
      <c r="T1102" s="162"/>
    </row>
    <row r="1103">
      <c r="A1103" s="158"/>
      <c r="B1103" s="158"/>
      <c r="C1103" s="158"/>
      <c r="D1103" s="159"/>
      <c r="E1103" s="160"/>
      <c r="F1103" s="161"/>
      <c r="G1103" s="162"/>
      <c r="H1103" s="163"/>
      <c r="I1103" s="162"/>
      <c r="J1103" s="164"/>
      <c r="K1103" s="164"/>
      <c r="L1103" s="158"/>
      <c r="M1103" s="158"/>
      <c r="N1103" s="158"/>
      <c r="O1103" s="158"/>
      <c r="P1103" s="158"/>
      <c r="Q1103" s="158"/>
      <c r="R1103" s="159"/>
      <c r="S1103" s="160"/>
      <c r="T1103" s="162"/>
    </row>
    <row r="1104">
      <c r="A1104" s="158"/>
      <c r="B1104" s="158"/>
      <c r="C1104" s="158"/>
      <c r="D1104" s="159"/>
      <c r="E1104" s="160"/>
      <c r="F1104" s="161"/>
      <c r="G1104" s="162"/>
      <c r="H1104" s="163"/>
      <c r="I1104" s="162"/>
      <c r="J1104" s="164"/>
      <c r="K1104" s="164"/>
      <c r="L1104" s="158"/>
      <c r="M1104" s="158"/>
      <c r="N1104" s="158"/>
      <c r="O1104" s="158"/>
      <c r="P1104" s="158"/>
      <c r="Q1104" s="158"/>
      <c r="R1104" s="159"/>
      <c r="S1104" s="160"/>
      <c r="T1104" s="162"/>
    </row>
    <row r="1105">
      <c r="A1105" s="158"/>
      <c r="B1105" s="158"/>
      <c r="C1105" s="158"/>
      <c r="D1105" s="159"/>
      <c r="E1105" s="160"/>
      <c r="F1105" s="161"/>
      <c r="G1105" s="162"/>
      <c r="H1105" s="163"/>
      <c r="I1105" s="162"/>
      <c r="J1105" s="164"/>
      <c r="K1105" s="164"/>
      <c r="L1105" s="158"/>
      <c r="M1105" s="158"/>
      <c r="N1105" s="158"/>
      <c r="O1105" s="158"/>
      <c r="P1105" s="158"/>
      <c r="Q1105" s="158"/>
      <c r="R1105" s="159"/>
      <c r="S1105" s="160"/>
      <c r="T1105" s="162"/>
    </row>
    <row r="1106">
      <c r="A1106" s="158"/>
      <c r="B1106" s="158"/>
      <c r="C1106" s="158"/>
      <c r="D1106" s="159"/>
      <c r="E1106" s="160"/>
      <c r="F1106" s="161"/>
      <c r="G1106" s="162"/>
      <c r="H1106" s="163"/>
      <c r="I1106" s="162"/>
      <c r="J1106" s="164"/>
      <c r="K1106" s="164"/>
      <c r="L1106" s="158"/>
      <c r="M1106" s="158"/>
      <c r="N1106" s="158"/>
      <c r="O1106" s="158"/>
      <c r="P1106" s="158"/>
      <c r="Q1106" s="158"/>
      <c r="R1106" s="159"/>
      <c r="S1106" s="160"/>
      <c r="T1106" s="162"/>
    </row>
    <row r="1107">
      <c r="A1107" s="158"/>
      <c r="B1107" s="158"/>
      <c r="C1107" s="158"/>
      <c r="D1107" s="159"/>
      <c r="E1107" s="160"/>
      <c r="F1107" s="161"/>
      <c r="G1107" s="162"/>
      <c r="H1107" s="163"/>
      <c r="I1107" s="162"/>
      <c r="J1107" s="164"/>
      <c r="K1107" s="164"/>
      <c r="L1107" s="158"/>
      <c r="M1107" s="158"/>
      <c r="N1107" s="158"/>
      <c r="O1107" s="158"/>
      <c r="P1107" s="158"/>
      <c r="Q1107" s="158"/>
      <c r="R1107" s="159"/>
      <c r="S1107" s="160"/>
      <c r="T1107" s="162"/>
    </row>
    <row r="1108">
      <c r="A1108" s="158"/>
      <c r="B1108" s="158"/>
      <c r="C1108" s="158"/>
      <c r="D1108" s="159"/>
      <c r="E1108" s="160"/>
      <c r="F1108" s="161"/>
      <c r="G1108" s="162"/>
      <c r="H1108" s="163"/>
      <c r="I1108" s="162"/>
      <c r="J1108" s="164"/>
      <c r="K1108" s="164"/>
      <c r="L1108" s="158"/>
      <c r="M1108" s="158"/>
      <c r="N1108" s="158"/>
      <c r="O1108" s="158"/>
      <c r="P1108" s="158"/>
      <c r="Q1108" s="158"/>
      <c r="R1108" s="159"/>
      <c r="S1108" s="160"/>
      <c r="T1108" s="162"/>
    </row>
    <row r="1109">
      <c r="A1109" s="158"/>
      <c r="B1109" s="158"/>
      <c r="C1109" s="158"/>
      <c r="D1109" s="159"/>
      <c r="E1109" s="160"/>
      <c r="F1109" s="161"/>
      <c r="G1109" s="162"/>
      <c r="H1109" s="163"/>
      <c r="I1109" s="162"/>
      <c r="J1109" s="164"/>
      <c r="K1109" s="164"/>
      <c r="L1109" s="158"/>
      <c r="M1109" s="158"/>
      <c r="N1109" s="158"/>
      <c r="O1109" s="158"/>
      <c r="P1109" s="158"/>
      <c r="Q1109" s="158"/>
      <c r="R1109" s="159"/>
      <c r="S1109" s="160"/>
      <c r="T1109" s="162"/>
    </row>
    <row r="1110">
      <c r="A1110" s="158"/>
      <c r="B1110" s="158"/>
      <c r="C1110" s="158"/>
      <c r="D1110" s="159"/>
      <c r="E1110" s="160"/>
      <c r="F1110" s="161"/>
      <c r="G1110" s="162"/>
      <c r="H1110" s="163"/>
      <c r="I1110" s="162"/>
      <c r="J1110" s="164"/>
      <c r="K1110" s="164"/>
      <c r="L1110" s="158"/>
      <c r="M1110" s="158"/>
      <c r="N1110" s="158"/>
      <c r="O1110" s="158"/>
      <c r="P1110" s="158"/>
      <c r="Q1110" s="158"/>
      <c r="R1110" s="159"/>
      <c r="S1110" s="160"/>
      <c r="T1110" s="162"/>
    </row>
    <row r="1111">
      <c r="A1111" s="158"/>
      <c r="B1111" s="158"/>
      <c r="C1111" s="158"/>
      <c r="D1111" s="159"/>
      <c r="E1111" s="160"/>
      <c r="F1111" s="161"/>
      <c r="G1111" s="162"/>
      <c r="H1111" s="163"/>
      <c r="I1111" s="162"/>
      <c r="J1111" s="164"/>
      <c r="K1111" s="164"/>
      <c r="L1111" s="158"/>
      <c r="M1111" s="158"/>
      <c r="N1111" s="158"/>
      <c r="O1111" s="158"/>
      <c r="P1111" s="158"/>
      <c r="Q1111" s="158"/>
      <c r="R1111" s="159"/>
      <c r="S1111" s="160"/>
      <c r="T1111" s="162"/>
    </row>
    <row r="1112">
      <c r="A1112" s="158"/>
      <c r="B1112" s="158"/>
      <c r="C1112" s="158"/>
      <c r="D1112" s="159"/>
      <c r="E1112" s="160"/>
      <c r="F1112" s="161"/>
      <c r="G1112" s="162"/>
      <c r="H1112" s="163"/>
      <c r="I1112" s="162"/>
      <c r="J1112" s="164"/>
      <c r="K1112" s="164"/>
      <c r="L1112" s="158"/>
      <c r="M1112" s="158"/>
      <c r="N1112" s="158"/>
      <c r="O1112" s="158"/>
      <c r="P1112" s="158"/>
      <c r="Q1112" s="158"/>
      <c r="R1112" s="159"/>
      <c r="S1112" s="160"/>
      <c r="T1112" s="162"/>
    </row>
    <row r="1113">
      <c r="A1113" s="158"/>
      <c r="B1113" s="158"/>
      <c r="C1113" s="158"/>
      <c r="D1113" s="159"/>
      <c r="E1113" s="160"/>
      <c r="F1113" s="161"/>
      <c r="G1113" s="162"/>
      <c r="H1113" s="163"/>
      <c r="I1113" s="162"/>
      <c r="J1113" s="164"/>
      <c r="K1113" s="164"/>
      <c r="L1113" s="158"/>
      <c r="M1113" s="158"/>
      <c r="N1113" s="158"/>
      <c r="O1113" s="158"/>
      <c r="P1113" s="158"/>
      <c r="Q1113" s="158"/>
      <c r="R1113" s="159"/>
      <c r="S1113" s="160"/>
      <c r="T1113" s="162"/>
    </row>
    <row r="1114">
      <c r="A1114" s="158"/>
      <c r="B1114" s="158"/>
      <c r="C1114" s="158"/>
      <c r="D1114" s="159"/>
      <c r="E1114" s="160"/>
      <c r="F1114" s="161"/>
      <c r="G1114" s="162"/>
      <c r="H1114" s="163"/>
      <c r="I1114" s="162"/>
      <c r="J1114" s="164"/>
      <c r="K1114" s="164"/>
      <c r="L1114" s="158"/>
      <c r="M1114" s="158"/>
      <c r="N1114" s="158"/>
      <c r="O1114" s="158"/>
      <c r="P1114" s="158"/>
      <c r="Q1114" s="158"/>
      <c r="R1114" s="159"/>
      <c r="S1114" s="160"/>
      <c r="T1114" s="162"/>
    </row>
    <row r="1115">
      <c r="A1115" s="158"/>
      <c r="B1115" s="158"/>
      <c r="C1115" s="158"/>
      <c r="D1115" s="159"/>
      <c r="E1115" s="160"/>
      <c r="F1115" s="161"/>
      <c r="G1115" s="162"/>
      <c r="H1115" s="163"/>
      <c r="I1115" s="162"/>
      <c r="J1115" s="164"/>
      <c r="K1115" s="164"/>
      <c r="L1115" s="158"/>
      <c r="M1115" s="158"/>
      <c r="N1115" s="158"/>
      <c r="O1115" s="158"/>
      <c r="P1115" s="158"/>
      <c r="Q1115" s="158"/>
      <c r="R1115" s="159"/>
      <c r="S1115" s="160"/>
      <c r="T1115" s="162"/>
    </row>
    <row r="1116">
      <c r="A1116" s="158"/>
      <c r="B1116" s="158"/>
      <c r="C1116" s="158"/>
      <c r="D1116" s="159"/>
      <c r="E1116" s="160"/>
      <c r="F1116" s="161"/>
      <c r="G1116" s="162"/>
      <c r="H1116" s="163"/>
      <c r="I1116" s="162"/>
      <c r="J1116" s="164"/>
      <c r="K1116" s="164"/>
      <c r="L1116" s="158"/>
      <c r="M1116" s="158"/>
      <c r="N1116" s="158"/>
      <c r="O1116" s="158"/>
      <c r="P1116" s="158"/>
      <c r="Q1116" s="158"/>
      <c r="R1116" s="159"/>
      <c r="S1116" s="160"/>
      <c r="T1116" s="162"/>
    </row>
    <row r="1117">
      <c r="A1117" s="158"/>
      <c r="B1117" s="158"/>
      <c r="C1117" s="158"/>
      <c r="D1117" s="159"/>
      <c r="E1117" s="160"/>
      <c r="F1117" s="161"/>
      <c r="G1117" s="162"/>
      <c r="H1117" s="163"/>
      <c r="I1117" s="162"/>
      <c r="J1117" s="164"/>
      <c r="K1117" s="164"/>
      <c r="L1117" s="158"/>
      <c r="M1117" s="158"/>
      <c r="N1117" s="158"/>
      <c r="O1117" s="158"/>
      <c r="P1117" s="158"/>
      <c r="Q1117" s="158"/>
      <c r="R1117" s="159"/>
      <c r="S1117" s="160"/>
      <c r="T1117" s="162"/>
    </row>
    <row r="1118">
      <c r="A1118" s="158"/>
      <c r="B1118" s="158"/>
      <c r="C1118" s="158"/>
      <c r="D1118" s="159"/>
      <c r="E1118" s="160"/>
      <c r="F1118" s="161"/>
      <c r="G1118" s="162"/>
      <c r="H1118" s="163"/>
      <c r="I1118" s="162"/>
      <c r="J1118" s="164"/>
      <c r="K1118" s="164"/>
      <c r="L1118" s="158"/>
      <c r="M1118" s="158"/>
      <c r="N1118" s="158"/>
      <c r="O1118" s="158"/>
      <c r="P1118" s="158"/>
      <c r="Q1118" s="158"/>
      <c r="R1118" s="159"/>
      <c r="S1118" s="160"/>
      <c r="T1118" s="162"/>
    </row>
    <row r="1119">
      <c r="A1119" s="158"/>
      <c r="B1119" s="158"/>
      <c r="C1119" s="158"/>
      <c r="D1119" s="159"/>
      <c r="E1119" s="160"/>
      <c r="F1119" s="161"/>
      <c r="G1119" s="162"/>
      <c r="H1119" s="163"/>
      <c r="I1119" s="162"/>
      <c r="J1119" s="164"/>
      <c r="K1119" s="164"/>
      <c r="L1119" s="158"/>
      <c r="M1119" s="158"/>
      <c r="N1119" s="158"/>
      <c r="O1119" s="158"/>
      <c r="P1119" s="158"/>
      <c r="Q1119" s="158"/>
      <c r="R1119" s="159"/>
      <c r="S1119" s="160"/>
      <c r="T1119" s="162"/>
    </row>
    <row r="1120">
      <c r="A1120" s="158"/>
      <c r="B1120" s="158"/>
      <c r="C1120" s="158"/>
      <c r="D1120" s="159"/>
      <c r="E1120" s="160"/>
      <c r="F1120" s="161"/>
      <c r="G1120" s="162"/>
      <c r="H1120" s="163"/>
      <c r="I1120" s="162"/>
      <c r="J1120" s="164"/>
      <c r="K1120" s="164"/>
      <c r="L1120" s="158"/>
      <c r="M1120" s="158"/>
      <c r="N1120" s="158"/>
      <c r="O1120" s="158"/>
      <c r="P1120" s="158"/>
      <c r="Q1120" s="158"/>
      <c r="R1120" s="159"/>
      <c r="S1120" s="160"/>
      <c r="T1120" s="162"/>
    </row>
    <row r="1121">
      <c r="A1121" s="158"/>
      <c r="B1121" s="158"/>
      <c r="C1121" s="158"/>
      <c r="D1121" s="159"/>
      <c r="E1121" s="160"/>
      <c r="F1121" s="161"/>
      <c r="G1121" s="162"/>
      <c r="H1121" s="163"/>
      <c r="I1121" s="162"/>
      <c r="J1121" s="164"/>
      <c r="K1121" s="164"/>
      <c r="L1121" s="158"/>
      <c r="M1121" s="158"/>
      <c r="N1121" s="158"/>
      <c r="O1121" s="158"/>
      <c r="P1121" s="158"/>
      <c r="Q1121" s="158"/>
      <c r="R1121" s="159"/>
      <c r="S1121" s="160"/>
      <c r="T1121" s="162"/>
    </row>
    <row r="1122">
      <c r="A1122" s="158"/>
      <c r="B1122" s="158"/>
      <c r="C1122" s="158"/>
      <c r="D1122" s="159"/>
      <c r="E1122" s="160"/>
      <c r="F1122" s="161"/>
      <c r="G1122" s="162"/>
      <c r="H1122" s="163"/>
      <c r="I1122" s="162"/>
      <c r="J1122" s="164"/>
      <c r="K1122" s="164"/>
      <c r="L1122" s="158"/>
      <c r="M1122" s="158"/>
      <c r="N1122" s="158"/>
      <c r="O1122" s="158"/>
      <c r="P1122" s="158"/>
      <c r="Q1122" s="158"/>
      <c r="R1122" s="159"/>
      <c r="S1122" s="160"/>
      <c r="T1122" s="162"/>
    </row>
    <row r="1123">
      <c r="A1123" s="158"/>
      <c r="B1123" s="158"/>
      <c r="C1123" s="158"/>
      <c r="D1123" s="159"/>
      <c r="E1123" s="160"/>
      <c r="F1123" s="161"/>
      <c r="G1123" s="162"/>
      <c r="H1123" s="163"/>
      <c r="I1123" s="162"/>
      <c r="J1123" s="164"/>
      <c r="K1123" s="164"/>
      <c r="L1123" s="158"/>
      <c r="M1123" s="158"/>
      <c r="N1123" s="158"/>
      <c r="O1123" s="158"/>
      <c r="P1123" s="158"/>
      <c r="Q1123" s="158"/>
      <c r="R1123" s="159"/>
      <c r="S1123" s="160"/>
      <c r="T1123" s="162"/>
    </row>
    <row r="1124">
      <c r="A1124" s="158"/>
      <c r="B1124" s="158"/>
      <c r="C1124" s="158"/>
      <c r="D1124" s="159"/>
      <c r="E1124" s="160"/>
      <c r="F1124" s="161"/>
      <c r="G1124" s="162"/>
      <c r="H1124" s="163"/>
      <c r="I1124" s="162"/>
      <c r="J1124" s="164"/>
      <c r="K1124" s="164"/>
      <c r="L1124" s="158"/>
      <c r="M1124" s="158"/>
      <c r="N1124" s="158"/>
      <c r="O1124" s="158"/>
      <c r="P1124" s="158"/>
      <c r="Q1124" s="158"/>
      <c r="R1124" s="159"/>
      <c r="S1124" s="160"/>
      <c r="T1124" s="162"/>
    </row>
    <row r="1125">
      <c r="A1125" s="158"/>
      <c r="B1125" s="158"/>
      <c r="C1125" s="158"/>
      <c r="D1125" s="159"/>
      <c r="E1125" s="160"/>
      <c r="F1125" s="161"/>
      <c r="G1125" s="162"/>
      <c r="H1125" s="163"/>
      <c r="I1125" s="162"/>
      <c r="J1125" s="164"/>
      <c r="K1125" s="164"/>
      <c r="L1125" s="158"/>
      <c r="M1125" s="158"/>
      <c r="N1125" s="158"/>
      <c r="O1125" s="158"/>
      <c r="P1125" s="158"/>
      <c r="Q1125" s="158"/>
      <c r="R1125" s="159"/>
      <c r="S1125" s="160"/>
      <c r="T1125" s="162"/>
    </row>
    <row r="1126">
      <c r="A1126" s="158"/>
      <c r="B1126" s="158"/>
      <c r="C1126" s="158"/>
      <c r="D1126" s="159"/>
      <c r="E1126" s="160"/>
      <c r="F1126" s="161"/>
      <c r="G1126" s="162"/>
      <c r="H1126" s="163"/>
      <c r="I1126" s="162"/>
      <c r="J1126" s="164"/>
      <c r="K1126" s="164"/>
      <c r="L1126" s="158"/>
      <c r="M1126" s="158"/>
      <c r="N1126" s="158"/>
      <c r="O1126" s="158"/>
      <c r="P1126" s="158"/>
      <c r="Q1126" s="158"/>
      <c r="R1126" s="159"/>
      <c r="S1126" s="160"/>
      <c r="T1126" s="162"/>
    </row>
    <row r="1127">
      <c r="A1127" s="158"/>
      <c r="B1127" s="158"/>
      <c r="C1127" s="158"/>
      <c r="D1127" s="159"/>
      <c r="E1127" s="160"/>
      <c r="F1127" s="161"/>
      <c r="G1127" s="162"/>
      <c r="H1127" s="163"/>
      <c r="I1127" s="162"/>
      <c r="J1127" s="164"/>
      <c r="K1127" s="164"/>
      <c r="L1127" s="158"/>
      <c r="M1127" s="158"/>
      <c r="N1127" s="158"/>
      <c r="O1127" s="158"/>
      <c r="P1127" s="158"/>
      <c r="Q1127" s="158"/>
      <c r="R1127" s="159"/>
      <c r="S1127" s="160"/>
      <c r="T1127" s="162"/>
    </row>
    <row r="1128">
      <c r="A1128" s="158"/>
      <c r="B1128" s="158"/>
      <c r="C1128" s="158"/>
      <c r="D1128" s="159"/>
      <c r="E1128" s="160"/>
      <c r="F1128" s="161"/>
      <c r="G1128" s="162"/>
      <c r="H1128" s="163"/>
      <c r="I1128" s="162"/>
      <c r="J1128" s="164"/>
      <c r="K1128" s="164"/>
      <c r="L1128" s="158"/>
      <c r="M1128" s="158"/>
      <c r="N1128" s="158"/>
      <c r="O1128" s="158"/>
      <c r="P1128" s="158"/>
      <c r="Q1128" s="158"/>
      <c r="R1128" s="159"/>
      <c r="S1128" s="160"/>
      <c r="T1128" s="162"/>
    </row>
    <row r="1129">
      <c r="A1129" s="158"/>
      <c r="B1129" s="158"/>
      <c r="C1129" s="158"/>
      <c r="D1129" s="159"/>
      <c r="E1129" s="160"/>
      <c r="F1129" s="161"/>
      <c r="G1129" s="162"/>
      <c r="H1129" s="163"/>
      <c r="I1129" s="162"/>
      <c r="J1129" s="164"/>
      <c r="K1129" s="164"/>
      <c r="L1129" s="158"/>
      <c r="M1129" s="158"/>
      <c r="N1129" s="158"/>
      <c r="O1129" s="158"/>
      <c r="P1129" s="158"/>
      <c r="Q1129" s="158"/>
      <c r="R1129" s="159"/>
      <c r="S1129" s="160"/>
      <c r="T1129" s="162"/>
    </row>
    <row r="1130">
      <c r="A1130" s="158"/>
      <c r="B1130" s="158"/>
      <c r="C1130" s="158"/>
      <c r="D1130" s="159"/>
      <c r="E1130" s="160"/>
      <c r="F1130" s="161"/>
      <c r="G1130" s="162"/>
      <c r="H1130" s="163"/>
      <c r="I1130" s="162"/>
      <c r="J1130" s="164"/>
      <c r="K1130" s="164"/>
      <c r="L1130" s="158"/>
      <c r="M1130" s="158"/>
      <c r="N1130" s="158"/>
      <c r="O1130" s="158"/>
      <c r="P1130" s="158"/>
      <c r="Q1130" s="158"/>
      <c r="R1130" s="159"/>
      <c r="S1130" s="160"/>
      <c r="T1130" s="162"/>
    </row>
    <row r="1131">
      <c r="A1131" s="158"/>
      <c r="B1131" s="158"/>
      <c r="C1131" s="158"/>
      <c r="D1131" s="159"/>
      <c r="E1131" s="160"/>
      <c r="F1131" s="161"/>
      <c r="G1131" s="162"/>
      <c r="H1131" s="163"/>
      <c r="I1131" s="162"/>
      <c r="J1131" s="164"/>
      <c r="K1131" s="164"/>
      <c r="L1131" s="158"/>
      <c r="M1131" s="158"/>
      <c r="N1131" s="158"/>
      <c r="O1131" s="158"/>
      <c r="P1131" s="158"/>
      <c r="Q1131" s="158"/>
      <c r="R1131" s="159"/>
      <c r="S1131" s="160"/>
      <c r="T1131" s="162"/>
    </row>
    <row r="1132">
      <c r="A1132" s="158"/>
      <c r="B1132" s="158"/>
      <c r="C1132" s="158"/>
      <c r="D1132" s="159"/>
      <c r="E1132" s="160"/>
      <c r="F1132" s="161"/>
      <c r="G1132" s="162"/>
      <c r="H1132" s="163"/>
      <c r="I1132" s="162"/>
      <c r="J1132" s="164"/>
      <c r="K1132" s="164"/>
      <c r="L1132" s="158"/>
      <c r="M1132" s="158"/>
      <c r="N1132" s="158"/>
      <c r="O1132" s="158"/>
      <c r="P1132" s="158"/>
      <c r="Q1132" s="158"/>
      <c r="R1132" s="159"/>
      <c r="S1132" s="160"/>
      <c r="T1132" s="162"/>
    </row>
    <row r="1133">
      <c r="A1133" s="158"/>
      <c r="B1133" s="158"/>
      <c r="C1133" s="158"/>
      <c r="D1133" s="159"/>
      <c r="E1133" s="160"/>
      <c r="F1133" s="161"/>
      <c r="G1133" s="162"/>
      <c r="H1133" s="163"/>
      <c r="I1133" s="162"/>
      <c r="J1133" s="164"/>
      <c r="K1133" s="164"/>
      <c r="L1133" s="158"/>
      <c r="M1133" s="158"/>
      <c r="N1133" s="158"/>
      <c r="O1133" s="158"/>
      <c r="P1133" s="158"/>
      <c r="Q1133" s="158"/>
      <c r="R1133" s="159"/>
      <c r="S1133" s="160"/>
      <c r="T1133" s="162"/>
    </row>
    <row r="1134">
      <c r="A1134" s="158"/>
      <c r="B1134" s="158"/>
      <c r="C1134" s="158"/>
      <c r="D1134" s="159"/>
      <c r="E1134" s="160"/>
      <c r="F1134" s="161"/>
      <c r="G1134" s="162"/>
      <c r="H1134" s="163"/>
      <c r="I1134" s="162"/>
      <c r="J1134" s="164"/>
      <c r="K1134" s="164"/>
      <c r="L1134" s="158"/>
      <c r="M1134" s="158"/>
      <c r="N1134" s="158"/>
      <c r="O1134" s="158"/>
      <c r="P1134" s="158"/>
      <c r="Q1134" s="158"/>
      <c r="R1134" s="159"/>
      <c r="S1134" s="160"/>
      <c r="T1134" s="162"/>
    </row>
    <row r="1135">
      <c r="A1135" s="158"/>
      <c r="B1135" s="158"/>
      <c r="C1135" s="158"/>
      <c r="D1135" s="159"/>
      <c r="E1135" s="160"/>
      <c r="F1135" s="161"/>
      <c r="G1135" s="162"/>
      <c r="H1135" s="163"/>
      <c r="I1135" s="162"/>
      <c r="J1135" s="164"/>
      <c r="K1135" s="164"/>
      <c r="L1135" s="158"/>
      <c r="M1135" s="158"/>
      <c r="N1135" s="158"/>
      <c r="O1135" s="158"/>
      <c r="P1135" s="158"/>
      <c r="Q1135" s="158"/>
      <c r="R1135" s="159"/>
      <c r="S1135" s="160"/>
      <c r="T1135" s="162"/>
    </row>
    <row r="1136">
      <c r="A1136" s="158"/>
      <c r="B1136" s="158"/>
      <c r="C1136" s="158"/>
      <c r="D1136" s="159"/>
      <c r="E1136" s="160"/>
      <c r="F1136" s="161"/>
      <c r="G1136" s="162"/>
      <c r="H1136" s="163"/>
      <c r="I1136" s="162"/>
      <c r="J1136" s="164"/>
      <c r="K1136" s="164"/>
      <c r="L1136" s="158"/>
      <c r="M1136" s="158"/>
      <c r="N1136" s="158"/>
      <c r="O1136" s="158"/>
      <c r="P1136" s="158"/>
      <c r="Q1136" s="158"/>
      <c r="R1136" s="159"/>
      <c r="S1136" s="160"/>
      <c r="T1136" s="162"/>
    </row>
    <row r="1137">
      <c r="A1137" s="158"/>
      <c r="B1137" s="158"/>
      <c r="C1137" s="158"/>
      <c r="D1137" s="159"/>
      <c r="E1137" s="160"/>
      <c r="F1137" s="161"/>
      <c r="G1137" s="162"/>
      <c r="H1137" s="163"/>
      <c r="I1137" s="162"/>
      <c r="J1137" s="164"/>
      <c r="K1137" s="164"/>
      <c r="L1137" s="158"/>
      <c r="M1137" s="158"/>
      <c r="N1137" s="158"/>
      <c r="O1137" s="158"/>
      <c r="P1137" s="158"/>
      <c r="Q1137" s="158"/>
      <c r="R1137" s="159"/>
      <c r="S1137" s="160"/>
      <c r="T1137" s="162"/>
    </row>
    <row r="1138">
      <c r="A1138" s="158"/>
      <c r="B1138" s="158"/>
      <c r="C1138" s="158"/>
      <c r="D1138" s="159"/>
      <c r="E1138" s="160"/>
      <c r="F1138" s="161"/>
      <c r="G1138" s="162"/>
      <c r="H1138" s="163"/>
      <c r="I1138" s="162"/>
      <c r="J1138" s="164"/>
      <c r="K1138" s="164"/>
      <c r="L1138" s="158"/>
      <c r="M1138" s="158"/>
      <c r="N1138" s="158"/>
      <c r="O1138" s="158"/>
      <c r="P1138" s="158"/>
      <c r="Q1138" s="158"/>
      <c r="R1138" s="159"/>
      <c r="S1138" s="160"/>
      <c r="T1138" s="162"/>
    </row>
    <row r="1139">
      <c r="A1139" s="158"/>
      <c r="B1139" s="158"/>
      <c r="C1139" s="158"/>
      <c r="D1139" s="159"/>
      <c r="E1139" s="160"/>
      <c r="F1139" s="161"/>
      <c r="G1139" s="162"/>
      <c r="H1139" s="163"/>
      <c r="I1139" s="162"/>
      <c r="J1139" s="164"/>
      <c r="K1139" s="164"/>
      <c r="L1139" s="158"/>
      <c r="M1139" s="158"/>
      <c r="N1139" s="158"/>
      <c r="O1139" s="158"/>
      <c r="P1139" s="158"/>
      <c r="Q1139" s="158"/>
      <c r="R1139" s="159"/>
      <c r="S1139" s="160"/>
      <c r="T1139" s="162"/>
    </row>
    <row r="1140">
      <c r="A1140" s="158"/>
      <c r="B1140" s="158"/>
      <c r="C1140" s="158"/>
      <c r="D1140" s="159"/>
      <c r="E1140" s="160"/>
      <c r="F1140" s="161"/>
      <c r="G1140" s="162"/>
      <c r="H1140" s="163"/>
      <c r="I1140" s="162"/>
      <c r="J1140" s="164"/>
      <c r="K1140" s="164"/>
      <c r="L1140" s="158"/>
      <c r="M1140" s="158"/>
      <c r="N1140" s="158"/>
      <c r="O1140" s="158"/>
      <c r="P1140" s="158"/>
      <c r="Q1140" s="158"/>
      <c r="R1140" s="159"/>
      <c r="S1140" s="160"/>
      <c r="T1140" s="162"/>
    </row>
    <row r="1141">
      <c r="A1141" s="158"/>
      <c r="B1141" s="158"/>
      <c r="C1141" s="158"/>
      <c r="D1141" s="159"/>
      <c r="E1141" s="160"/>
      <c r="F1141" s="161"/>
      <c r="G1141" s="162"/>
      <c r="H1141" s="163"/>
      <c r="I1141" s="162"/>
      <c r="J1141" s="164"/>
      <c r="K1141" s="164"/>
      <c r="L1141" s="158"/>
      <c r="M1141" s="158"/>
      <c r="N1141" s="158"/>
      <c r="O1141" s="158"/>
      <c r="P1141" s="158"/>
      <c r="Q1141" s="158"/>
      <c r="R1141" s="159"/>
      <c r="S1141" s="160"/>
      <c r="T1141" s="162"/>
    </row>
    <row r="1142">
      <c r="A1142" s="158"/>
      <c r="B1142" s="158"/>
      <c r="C1142" s="158"/>
      <c r="D1142" s="159"/>
      <c r="E1142" s="160"/>
      <c r="F1142" s="161"/>
      <c r="G1142" s="162"/>
      <c r="H1142" s="163"/>
      <c r="I1142" s="162"/>
      <c r="J1142" s="164"/>
      <c r="K1142" s="164"/>
      <c r="L1142" s="158"/>
      <c r="M1142" s="158"/>
      <c r="N1142" s="158"/>
      <c r="O1142" s="158"/>
      <c r="P1142" s="158"/>
      <c r="Q1142" s="158"/>
      <c r="R1142" s="159"/>
      <c r="S1142" s="160"/>
      <c r="T1142" s="162"/>
    </row>
    <row r="1143">
      <c r="A1143" s="158"/>
      <c r="B1143" s="158"/>
      <c r="C1143" s="158"/>
      <c r="D1143" s="159"/>
      <c r="E1143" s="160"/>
      <c r="F1143" s="161"/>
      <c r="G1143" s="162"/>
      <c r="H1143" s="163"/>
      <c r="I1143" s="162"/>
      <c r="J1143" s="164"/>
      <c r="K1143" s="164"/>
      <c r="L1143" s="158"/>
      <c r="M1143" s="158"/>
      <c r="N1143" s="158"/>
      <c r="O1143" s="158"/>
      <c r="P1143" s="158"/>
      <c r="Q1143" s="158"/>
      <c r="R1143" s="159"/>
      <c r="S1143" s="160"/>
      <c r="T1143" s="162"/>
    </row>
    <row r="1144">
      <c r="A1144" s="158"/>
      <c r="B1144" s="158"/>
      <c r="C1144" s="158"/>
      <c r="D1144" s="159"/>
      <c r="E1144" s="160"/>
      <c r="F1144" s="161"/>
      <c r="G1144" s="162"/>
      <c r="H1144" s="163"/>
      <c r="I1144" s="162"/>
      <c r="J1144" s="164"/>
      <c r="K1144" s="164"/>
      <c r="L1144" s="158"/>
      <c r="M1144" s="158"/>
      <c r="N1144" s="158"/>
      <c r="O1144" s="158"/>
      <c r="P1144" s="158"/>
      <c r="Q1144" s="158"/>
      <c r="R1144" s="159"/>
      <c r="S1144" s="160"/>
      <c r="T1144" s="162"/>
    </row>
    <row r="1145">
      <c r="A1145" s="158"/>
      <c r="B1145" s="158"/>
      <c r="C1145" s="158"/>
      <c r="D1145" s="159"/>
      <c r="E1145" s="160"/>
      <c r="F1145" s="161"/>
      <c r="G1145" s="162"/>
      <c r="H1145" s="163"/>
      <c r="I1145" s="162"/>
      <c r="J1145" s="164"/>
      <c r="K1145" s="164"/>
      <c r="L1145" s="158"/>
      <c r="M1145" s="158"/>
      <c r="N1145" s="158"/>
      <c r="O1145" s="158"/>
      <c r="P1145" s="158"/>
      <c r="Q1145" s="158"/>
      <c r="R1145" s="159"/>
      <c r="S1145" s="160"/>
      <c r="T1145" s="162"/>
    </row>
    <row r="1146">
      <c r="A1146" s="158"/>
      <c r="B1146" s="158"/>
      <c r="C1146" s="158"/>
      <c r="D1146" s="159"/>
      <c r="E1146" s="160"/>
      <c r="F1146" s="161"/>
      <c r="G1146" s="162"/>
      <c r="H1146" s="163"/>
      <c r="I1146" s="162"/>
      <c r="J1146" s="164"/>
      <c r="K1146" s="164"/>
      <c r="L1146" s="158"/>
      <c r="M1146" s="158"/>
      <c r="N1146" s="158"/>
      <c r="O1146" s="158"/>
      <c r="P1146" s="158"/>
      <c r="Q1146" s="158"/>
      <c r="R1146" s="159"/>
      <c r="S1146" s="160"/>
      <c r="T1146" s="162"/>
    </row>
    <row r="1147">
      <c r="A1147" s="158"/>
      <c r="B1147" s="158"/>
      <c r="C1147" s="158"/>
      <c r="D1147" s="159"/>
      <c r="E1147" s="160"/>
      <c r="F1147" s="161"/>
      <c r="G1147" s="162"/>
      <c r="H1147" s="163"/>
      <c r="I1147" s="162"/>
      <c r="J1147" s="164"/>
      <c r="K1147" s="164"/>
      <c r="L1147" s="158"/>
      <c r="M1147" s="158"/>
      <c r="N1147" s="158"/>
      <c r="O1147" s="158"/>
      <c r="P1147" s="158"/>
      <c r="Q1147" s="158"/>
      <c r="R1147" s="159"/>
      <c r="S1147" s="160"/>
      <c r="T1147" s="162"/>
    </row>
    <row r="1148">
      <c r="A1148" s="158"/>
      <c r="B1148" s="158"/>
      <c r="C1148" s="158"/>
      <c r="D1148" s="159"/>
      <c r="E1148" s="160"/>
      <c r="F1148" s="161"/>
      <c r="G1148" s="162"/>
      <c r="H1148" s="163"/>
      <c r="I1148" s="162"/>
      <c r="J1148" s="164"/>
      <c r="K1148" s="164"/>
      <c r="L1148" s="158"/>
      <c r="M1148" s="158"/>
      <c r="N1148" s="158"/>
      <c r="O1148" s="158"/>
      <c r="P1148" s="158"/>
      <c r="Q1148" s="158"/>
      <c r="R1148" s="159"/>
      <c r="S1148" s="160"/>
      <c r="T1148" s="162"/>
    </row>
    <row r="1149">
      <c r="A1149" s="158"/>
      <c r="B1149" s="158"/>
      <c r="C1149" s="158"/>
      <c r="D1149" s="159"/>
      <c r="E1149" s="160"/>
      <c r="F1149" s="161"/>
      <c r="G1149" s="162"/>
      <c r="H1149" s="163"/>
      <c r="I1149" s="162"/>
      <c r="J1149" s="164"/>
      <c r="K1149" s="164"/>
      <c r="L1149" s="158"/>
      <c r="M1149" s="158"/>
      <c r="N1149" s="158"/>
      <c r="O1149" s="158"/>
      <c r="P1149" s="158"/>
      <c r="Q1149" s="158"/>
      <c r="R1149" s="159"/>
      <c r="S1149" s="160"/>
      <c r="T1149" s="162"/>
    </row>
    <row r="1150">
      <c r="A1150" s="158"/>
      <c r="B1150" s="158"/>
      <c r="C1150" s="158"/>
      <c r="D1150" s="159"/>
      <c r="E1150" s="160"/>
      <c r="F1150" s="161"/>
      <c r="G1150" s="162"/>
      <c r="H1150" s="163"/>
      <c r="I1150" s="162"/>
      <c r="J1150" s="164"/>
      <c r="K1150" s="164"/>
      <c r="L1150" s="158"/>
      <c r="M1150" s="158"/>
      <c r="N1150" s="158"/>
      <c r="O1150" s="158"/>
      <c r="P1150" s="158"/>
      <c r="Q1150" s="158"/>
      <c r="R1150" s="159"/>
      <c r="S1150" s="160"/>
      <c r="T1150" s="162"/>
    </row>
    <row r="1151">
      <c r="A1151" s="158"/>
      <c r="B1151" s="158"/>
      <c r="C1151" s="158"/>
      <c r="D1151" s="159"/>
      <c r="E1151" s="160"/>
      <c r="F1151" s="161"/>
      <c r="G1151" s="162"/>
      <c r="H1151" s="163"/>
      <c r="I1151" s="162"/>
      <c r="J1151" s="164"/>
      <c r="K1151" s="164"/>
      <c r="L1151" s="158"/>
      <c r="M1151" s="158"/>
      <c r="N1151" s="158"/>
      <c r="O1151" s="158"/>
      <c r="P1151" s="158"/>
      <c r="Q1151" s="158"/>
      <c r="R1151" s="159"/>
      <c r="S1151" s="160"/>
      <c r="T1151" s="162"/>
    </row>
    <row r="1152">
      <c r="A1152" s="158"/>
      <c r="B1152" s="158"/>
      <c r="C1152" s="158"/>
      <c r="D1152" s="159"/>
      <c r="E1152" s="160"/>
      <c r="F1152" s="161"/>
      <c r="G1152" s="162"/>
      <c r="H1152" s="163"/>
      <c r="I1152" s="162"/>
      <c r="J1152" s="164"/>
      <c r="K1152" s="164"/>
      <c r="L1152" s="158"/>
      <c r="M1152" s="158"/>
      <c r="N1152" s="158"/>
      <c r="O1152" s="158"/>
      <c r="P1152" s="158"/>
      <c r="Q1152" s="158"/>
      <c r="R1152" s="159"/>
      <c r="S1152" s="160"/>
      <c r="T1152" s="162"/>
    </row>
    <row r="1153">
      <c r="A1153" s="158"/>
      <c r="B1153" s="158"/>
      <c r="C1153" s="158"/>
      <c r="D1153" s="159"/>
      <c r="E1153" s="160"/>
      <c r="F1153" s="161"/>
      <c r="G1153" s="162"/>
      <c r="H1153" s="163"/>
      <c r="I1153" s="162"/>
      <c r="J1153" s="164"/>
      <c r="K1153" s="164"/>
      <c r="L1153" s="158"/>
      <c r="M1153" s="158"/>
      <c r="N1153" s="158"/>
      <c r="O1153" s="158"/>
      <c r="P1153" s="158"/>
      <c r="Q1153" s="158"/>
      <c r="R1153" s="159"/>
      <c r="S1153" s="160"/>
      <c r="T1153" s="162"/>
    </row>
    <row r="1154">
      <c r="A1154" s="158"/>
      <c r="B1154" s="158"/>
      <c r="C1154" s="158"/>
      <c r="D1154" s="159"/>
      <c r="E1154" s="160"/>
      <c r="F1154" s="161"/>
      <c r="G1154" s="162"/>
      <c r="H1154" s="163"/>
      <c r="I1154" s="162"/>
      <c r="J1154" s="164"/>
      <c r="K1154" s="164"/>
      <c r="L1154" s="158"/>
      <c r="M1154" s="158"/>
      <c r="N1154" s="158"/>
      <c r="O1154" s="158"/>
      <c r="P1154" s="158"/>
      <c r="Q1154" s="158"/>
      <c r="R1154" s="159"/>
      <c r="S1154" s="160"/>
      <c r="T1154" s="162"/>
    </row>
    <row r="1155">
      <c r="A1155" s="158"/>
      <c r="B1155" s="158"/>
      <c r="C1155" s="158"/>
      <c r="D1155" s="159"/>
      <c r="E1155" s="160"/>
      <c r="F1155" s="161"/>
      <c r="G1155" s="162"/>
      <c r="H1155" s="163"/>
      <c r="I1155" s="162"/>
      <c r="J1155" s="164"/>
      <c r="K1155" s="164"/>
      <c r="L1155" s="158"/>
      <c r="M1155" s="158"/>
      <c r="N1155" s="158"/>
      <c r="O1155" s="158"/>
      <c r="P1155" s="158"/>
      <c r="Q1155" s="158"/>
      <c r="R1155" s="159"/>
      <c r="S1155" s="160"/>
      <c r="T1155" s="162"/>
    </row>
    <row r="1156">
      <c r="A1156" s="158"/>
      <c r="B1156" s="158"/>
      <c r="C1156" s="158"/>
      <c r="D1156" s="159"/>
      <c r="E1156" s="160"/>
      <c r="F1156" s="161"/>
      <c r="G1156" s="162"/>
      <c r="H1156" s="163"/>
      <c r="I1156" s="162"/>
      <c r="J1156" s="164"/>
      <c r="K1156" s="164"/>
      <c r="L1156" s="158"/>
      <c r="M1156" s="158"/>
      <c r="N1156" s="158"/>
      <c r="O1156" s="158"/>
      <c r="P1156" s="158"/>
      <c r="Q1156" s="158"/>
      <c r="R1156" s="159"/>
      <c r="S1156" s="160"/>
      <c r="T1156" s="162"/>
    </row>
    <row r="1157">
      <c r="A1157" s="158"/>
      <c r="B1157" s="158"/>
      <c r="C1157" s="158"/>
      <c r="D1157" s="159"/>
      <c r="E1157" s="160"/>
      <c r="F1157" s="161"/>
      <c r="G1157" s="162"/>
      <c r="H1157" s="163"/>
      <c r="I1157" s="162"/>
      <c r="J1157" s="164"/>
      <c r="K1157" s="164"/>
      <c r="L1157" s="158"/>
      <c r="M1157" s="158"/>
      <c r="N1157" s="158"/>
      <c r="O1157" s="158"/>
      <c r="P1157" s="158"/>
      <c r="Q1157" s="158"/>
      <c r="R1157" s="159"/>
      <c r="S1157" s="160"/>
      <c r="T1157" s="162"/>
    </row>
    <row r="1158">
      <c r="A1158" s="158"/>
      <c r="B1158" s="158"/>
      <c r="C1158" s="158"/>
      <c r="D1158" s="159"/>
      <c r="E1158" s="160"/>
      <c r="F1158" s="161"/>
      <c r="G1158" s="162"/>
      <c r="H1158" s="163"/>
      <c r="I1158" s="162"/>
      <c r="J1158" s="164"/>
      <c r="K1158" s="164"/>
      <c r="L1158" s="158"/>
      <c r="M1158" s="158"/>
      <c r="N1158" s="158"/>
      <c r="O1158" s="158"/>
      <c r="P1158" s="158"/>
      <c r="Q1158" s="158"/>
      <c r="R1158" s="159"/>
      <c r="S1158" s="160"/>
      <c r="T1158" s="162"/>
    </row>
    <row r="1159">
      <c r="A1159" s="158"/>
      <c r="B1159" s="158"/>
      <c r="C1159" s="158"/>
      <c r="D1159" s="159"/>
      <c r="E1159" s="160"/>
      <c r="F1159" s="161"/>
      <c r="G1159" s="162"/>
      <c r="H1159" s="163"/>
      <c r="I1159" s="162"/>
      <c r="J1159" s="164"/>
      <c r="K1159" s="164"/>
      <c r="L1159" s="158"/>
      <c r="M1159" s="158"/>
      <c r="N1159" s="158"/>
      <c r="O1159" s="158"/>
      <c r="P1159" s="158"/>
      <c r="Q1159" s="158"/>
      <c r="R1159" s="159"/>
      <c r="S1159" s="160"/>
      <c r="T1159" s="162"/>
    </row>
    <row r="1160">
      <c r="A1160" s="158"/>
      <c r="B1160" s="158"/>
      <c r="C1160" s="158"/>
      <c r="D1160" s="159"/>
      <c r="E1160" s="160"/>
      <c r="F1160" s="161"/>
      <c r="G1160" s="162"/>
      <c r="H1160" s="163"/>
      <c r="I1160" s="162"/>
      <c r="J1160" s="164"/>
      <c r="K1160" s="164"/>
      <c r="L1160" s="158"/>
      <c r="M1160" s="158"/>
      <c r="N1160" s="158"/>
      <c r="O1160" s="158"/>
      <c r="P1160" s="158"/>
      <c r="Q1160" s="158"/>
      <c r="R1160" s="159"/>
      <c r="S1160" s="160"/>
      <c r="T1160" s="162"/>
    </row>
    <row r="1161">
      <c r="A1161" s="158"/>
      <c r="B1161" s="158"/>
      <c r="C1161" s="158"/>
      <c r="D1161" s="159"/>
      <c r="E1161" s="160"/>
      <c r="F1161" s="161"/>
      <c r="G1161" s="162"/>
      <c r="H1161" s="163"/>
      <c r="I1161" s="162"/>
      <c r="J1161" s="164"/>
      <c r="K1161" s="164"/>
      <c r="L1161" s="158"/>
      <c r="M1161" s="158"/>
      <c r="N1161" s="158"/>
      <c r="O1161" s="158"/>
      <c r="P1161" s="158"/>
      <c r="Q1161" s="158"/>
      <c r="R1161" s="159"/>
      <c r="S1161" s="160"/>
      <c r="T1161" s="162"/>
    </row>
    <row r="1162">
      <c r="A1162" s="158"/>
      <c r="B1162" s="158"/>
      <c r="C1162" s="158"/>
      <c r="D1162" s="159"/>
      <c r="E1162" s="160"/>
      <c r="F1162" s="161"/>
      <c r="G1162" s="162"/>
      <c r="H1162" s="163"/>
      <c r="I1162" s="162"/>
      <c r="J1162" s="164"/>
      <c r="K1162" s="164"/>
      <c r="L1162" s="158"/>
      <c r="M1162" s="158"/>
      <c r="N1162" s="158"/>
      <c r="O1162" s="158"/>
      <c r="P1162" s="158"/>
      <c r="Q1162" s="158"/>
      <c r="R1162" s="159"/>
      <c r="S1162" s="160"/>
      <c r="T1162" s="162"/>
    </row>
    <row r="1163">
      <c r="A1163" s="158"/>
      <c r="B1163" s="158"/>
      <c r="C1163" s="158"/>
      <c r="D1163" s="159"/>
      <c r="E1163" s="160"/>
      <c r="F1163" s="161"/>
      <c r="G1163" s="162"/>
      <c r="H1163" s="163"/>
      <c r="I1163" s="162"/>
      <c r="J1163" s="164"/>
      <c r="K1163" s="164"/>
      <c r="L1163" s="158"/>
      <c r="M1163" s="158"/>
      <c r="N1163" s="158"/>
      <c r="O1163" s="158"/>
      <c r="P1163" s="158"/>
      <c r="Q1163" s="158"/>
      <c r="R1163" s="159"/>
      <c r="S1163" s="160"/>
      <c r="T1163" s="162"/>
    </row>
    <row r="1164">
      <c r="A1164" s="158"/>
      <c r="B1164" s="158"/>
      <c r="C1164" s="158"/>
      <c r="D1164" s="159"/>
      <c r="E1164" s="160"/>
      <c r="F1164" s="161"/>
      <c r="G1164" s="162"/>
      <c r="H1164" s="163"/>
      <c r="I1164" s="162"/>
      <c r="J1164" s="164"/>
      <c r="K1164" s="164"/>
      <c r="L1164" s="158"/>
      <c r="M1164" s="158"/>
      <c r="N1164" s="158"/>
      <c r="O1164" s="158"/>
      <c r="P1164" s="158"/>
      <c r="Q1164" s="158"/>
      <c r="R1164" s="159"/>
      <c r="S1164" s="160"/>
      <c r="T1164" s="162"/>
    </row>
    <row r="1165">
      <c r="A1165" s="158"/>
      <c r="B1165" s="158"/>
      <c r="C1165" s="158"/>
      <c r="D1165" s="159"/>
      <c r="E1165" s="160"/>
      <c r="F1165" s="161"/>
      <c r="G1165" s="162"/>
      <c r="H1165" s="163"/>
      <c r="I1165" s="162"/>
      <c r="J1165" s="164"/>
      <c r="K1165" s="164"/>
      <c r="L1165" s="158"/>
      <c r="M1165" s="158"/>
      <c r="N1165" s="158"/>
      <c r="O1165" s="158"/>
      <c r="P1165" s="158"/>
      <c r="Q1165" s="158"/>
      <c r="R1165" s="159"/>
      <c r="S1165" s="160"/>
      <c r="T1165" s="162"/>
    </row>
    <row r="1166">
      <c r="A1166" s="158"/>
      <c r="B1166" s="158"/>
      <c r="C1166" s="158"/>
      <c r="D1166" s="159"/>
      <c r="E1166" s="160"/>
      <c r="F1166" s="161"/>
      <c r="G1166" s="162"/>
      <c r="H1166" s="163"/>
      <c r="I1166" s="162"/>
      <c r="J1166" s="164"/>
      <c r="K1166" s="164"/>
      <c r="L1166" s="158"/>
      <c r="M1166" s="158"/>
      <c r="N1166" s="158"/>
      <c r="O1166" s="158"/>
      <c r="P1166" s="158"/>
      <c r="Q1166" s="158"/>
      <c r="R1166" s="159"/>
      <c r="S1166" s="160"/>
      <c r="T1166" s="162"/>
    </row>
    <row r="1167">
      <c r="A1167" s="158"/>
      <c r="B1167" s="158"/>
      <c r="C1167" s="158"/>
      <c r="D1167" s="159"/>
      <c r="E1167" s="160"/>
      <c r="F1167" s="161"/>
      <c r="G1167" s="162"/>
      <c r="H1167" s="163"/>
      <c r="I1167" s="162"/>
      <c r="J1167" s="164"/>
      <c r="K1167" s="164"/>
      <c r="L1167" s="158"/>
      <c r="M1167" s="158"/>
      <c r="N1167" s="158"/>
      <c r="O1167" s="158"/>
      <c r="P1167" s="158"/>
      <c r="Q1167" s="158"/>
      <c r="R1167" s="159"/>
      <c r="S1167" s="160"/>
      <c r="T1167" s="162"/>
    </row>
    <row r="1168">
      <c r="A1168" s="158"/>
      <c r="B1168" s="158"/>
      <c r="C1168" s="158"/>
      <c r="D1168" s="159"/>
      <c r="E1168" s="160"/>
      <c r="F1168" s="161"/>
      <c r="G1168" s="162"/>
      <c r="H1168" s="163"/>
      <c r="I1168" s="162"/>
      <c r="J1168" s="164"/>
      <c r="K1168" s="164"/>
      <c r="L1168" s="158"/>
      <c r="M1168" s="158"/>
      <c r="N1168" s="158"/>
      <c r="O1168" s="158"/>
      <c r="P1168" s="158"/>
      <c r="Q1168" s="158"/>
      <c r="R1168" s="159"/>
      <c r="S1168" s="160"/>
      <c r="T1168" s="162"/>
    </row>
    <row r="1169">
      <c r="A1169" s="158"/>
      <c r="B1169" s="158"/>
      <c r="C1169" s="158"/>
      <c r="D1169" s="159"/>
      <c r="E1169" s="160"/>
      <c r="F1169" s="161"/>
      <c r="G1169" s="162"/>
      <c r="H1169" s="163"/>
      <c r="I1169" s="162"/>
      <c r="J1169" s="164"/>
      <c r="K1169" s="164"/>
      <c r="L1169" s="158"/>
      <c r="M1169" s="158"/>
      <c r="N1169" s="158"/>
      <c r="O1169" s="158"/>
      <c r="P1169" s="158"/>
      <c r="Q1169" s="158"/>
      <c r="R1169" s="159"/>
      <c r="S1169" s="160"/>
      <c r="T1169" s="162"/>
    </row>
    <row r="1170">
      <c r="A1170" s="158"/>
      <c r="B1170" s="158"/>
      <c r="C1170" s="158"/>
      <c r="D1170" s="159"/>
      <c r="E1170" s="160"/>
      <c r="F1170" s="161"/>
      <c r="G1170" s="162"/>
      <c r="H1170" s="163"/>
      <c r="I1170" s="162"/>
      <c r="J1170" s="164"/>
      <c r="K1170" s="164"/>
      <c r="L1170" s="158"/>
      <c r="M1170" s="158"/>
      <c r="N1170" s="158"/>
      <c r="O1170" s="158"/>
      <c r="P1170" s="158"/>
      <c r="Q1170" s="158"/>
      <c r="R1170" s="159"/>
      <c r="S1170" s="160"/>
      <c r="T1170" s="162"/>
    </row>
    <row r="1171">
      <c r="A1171" s="158"/>
      <c r="B1171" s="158"/>
      <c r="C1171" s="158"/>
      <c r="D1171" s="159"/>
      <c r="E1171" s="160"/>
      <c r="F1171" s="161"/>
      <c r="G1171" s="162"/>
      <c r="H1171" s="163"/>
      <c r="I1171" s="162"/>
      <c r="J1171" s="164"/>
      <c r="K1171" s="164"/>
      <c r="L1171" s="158"/>
      <c r="M1171" s="158"/>
      <c r="N1171" s="158"/>
      <c r="O1171" s="158"/>
      <c r="P1171" s="158"/>
      <c r="Q1171" s="158"/>
      <c r="R1171" s="159"/>
      <c r="S1171" s="160"/>
      <c r="T1171" s="162"/>
    </row>
    <row r="1172">
      <c r="A1172" s="158"/>
      <c r="B1172" s="158"/>
      <c r="C1172" s="158"/>
      <c r="D1172" s="159"/>
      <c r="E1172" s="160"/>
      <c r="F1172" s="161"/>
      <c r="G1172" s="162"/>
      <c r="H1172" s="163"/>
      <c r="I1172" s="162"/>
      <c r="J1172" s="164"/>
      <c r="K1172" s="164"/>
      <c r="L1172" s="158"/>
      <c r="M1172" s="158"/>
      <c r="N1172" s="158"/>
      <c r="O1172" s="158"/>
      <c r="P1172" s="158"/>
      <c r="Q1172" s="158"/>
      <c r="R1172" s="159"/>
      <c r="S1172" s="160"/>
      <c r="T1172" s="162"/>
    </row>
    <row r="1173">
      <c r="A1173" s="158"/>
      <c r="B1173" s="158"/>
      <c r="C1173" s="158"/>
      <c r="D1173" s="159"/>
      <c r="E1173" s="160"/>
      <c r="F1173" s="161"/>
      <c r="G1173" s="162"/>
      <c r="H1173" s="163"/>
      <c r="I1173" s="162"/>
      <c r="J1173" s="164"/>
      <c r="K1173" s="164"/>
      <c r="L1173" s="158"/>
      <c r="M1173" s="158"/>
      <c r="N1173" s="158"/>
      <c r="O1173" s="158"/>
      <c r="P1173" s="158"/>
      <c r="Q1173" s="158"/>
      <c r="R1173" s="159"/>
      <c r="S1173" s="160"/>
      <c r="T1173" s="162"/>
    </row>
    <row r="1174">
      <c r="A1174" s="158"/>
      <c r="B1174" s="158"/>
      <c r="C1174" s="158"/>
      <c r="D1174" s="159"/>
      <c r="E1174" s="160"/>
      <c r="F1174" s="161"/>
      <c r="G1174" s="162"/>
      <c r="H1174" s="163"/>
      <c r="I1174" s="162"/>
      <c r="J1174" s="164"/>
      <c r="K1174" s="164"/>
      <c r="L1174" s="158"/>
      <c r="M1174" s="158"/>
      <c r="N1174" s="158"/>
      <c r="O1174" s="158"/>
      <c r="P1174" s="158"/>
      <c r="Q1174" s="158"/>
      <c r="R1174" s="159"/>
      <c r="S1174" s="160"/>
      <c r="T1174" s="162"/>
    </row>
    <row r="1175">
      <c r="A1175" s="158"/>
      <c r="B1175" s="158"/>
      <c r="C1175" s="158"/>
      <c r="D1175" s="159"/>
      <c r="E1175" s="160"/>
      <c r="F1175" s="161"/>
      <c r="G1175" s="162"/>
      <c r="H1175" s="163"/>
      <c r="I1175" s="162"/>
      <c r="J1175" s="164"/>
      <c r="K1175" s="164"/>
      <c r="L1175" s="158"/>
      <c r="M1175" s="158"/>
      <c r="N1175" s="158"/>
      <c r="O1175" s="158"/>
      <c r="P1175" s="158"/>
      <c r="Q1175" s="158"/>
      <c r="R1175" s="159"/>
      <c r="S1175" s="160"/>
      <c r="T1175" s="162"/>
    </row>
    <row r="1176">
      <c r="A1176" s="158"/>
      <c r="B1176" s="158"/>
      <c r="C1176" s="158"/>
      <c r="D1176" s="159"/>
      <c r="E1176" s="160"/>
      <c r="F1176" s="161"/>
      <c r="G1176" s="162"/>
      <c r="H1176" s="163"/>
      <c r="I1176" s="162"/>
      <c r="J1176" s="164"/>
      <c r="K1176" s="164"/>
      <c r="L1176" s="158"/>
      <c r="M1176" s="158"/>
      <c r="N1176" s="158"/>
      <c r="O1176" s="158"/>
      <c r="P1176" s="158"/>
      <c r="Q1176" s="158"/>
      <c r="R1176" s="159"/>
      <c r="S1176" s="160"/>
      <c r="T1176" s="162"/>
    </row>
    <row r="1177">
      <c r="A1177" s="158"/>
      <c r="B1177" s="158"/>
      <c r="C1177" s="158"/>
      <c r="D1177" s="159"/>
      <c r="E1177" s="160"/>
      <c r="F1177" s="161"/>
      <c r="G1177" s="162"/>
      <c r="H1177" s="163"/>
      <c r="I1177" s="162"/>
      <c r="J1177" s="164"/>
      <c r="K1177" s="164"/>
      <c r="L1177" s="158"/>
      <c r="M1177" s="158"/>
      <c r="N1177" s="158"/>
      <c r="O1177" s="158"/>
      <c r="P1177" s="158"/>
      <c r="Q1177" s="158"/>
      <c r="R1177" s="159"/>
      <c r="S1177" s="160"/>
      <c r="T1177" s="162"/>
    </row>
    <row r="1178">
      <c r="A1178" s="158"/>
      <c r="B1178" s="158"/>
      <c r="C1178" s="158"/>
      <c r="D1178" s="159"/>
      <c r="E1178" s="160"/>
      <c r="F1178" s="161"/>
      <c r="G1178" s="162"/>
      <c r="H1178" s="163"/>
      <c r="I1178" s="162"/>
      <c r="J1178" s="164"/>
      <c r="K1178" s="164"/>
      <c r="L1178" s="158"/>
      <c r="M1178" s="158"/>
      <c r="N1178" s="158"/>
      <c r="O1178" s="158"/>
      <c r="P1178" s="158"/>
      <c r="Q1178" s="158"/>
      <c r="R1178" s="159"/>
      <c r="S1178" s="160"/>
      <c r="T1178" s="162"/>
    </row>
    <row r="1179">
      <c r="A1179" s="158"/>
      <c r="B1179" s="158"/>
      <c r="C1179" s="158"/>
      <c r="D1179" s="159"/>
      <c r="E1179" s="160"/>
      <c r="F1179" s="161"/>
      <c r="G1179" s="162"/>
      <c r="H1179" s="163"/>
      <c r="I1179" s="162"/>
      <c r="J1179" s="164"/>
      <c r="K1179" s="164"/>
      <c r="L1179" s="158"/>
      <c r="M1179" s="158"/>
      <c r="N1179" s="158"/>
      <c r="O1179" s="158"/>
      <c r="P1179" s="158"/>
      <c r="Q1179" s="158"/>
      <c r="R1179" s="159"/>
      <c r="S1179" s="160"/>
      <c r="T1179" s="162"/>
    </row>
    <row r="1180">
      <c r="A1180" s="158"/>
      <c r="B1180" s="158"/>
      <c r="C1180" s="158"/>
      <c r="D1180" s="159"/>
      <c r="E1180" s="160"/>
      <c r="F1180" s="161"/>
      <c r="G1180" s="162"/>
      <c r="H1180" s="163"/>
      <c r="I1180" s="162"/>
      <c r="J1180" s="164"/>
      <c r="K1180" s="164"/>
      <c r="L1180" s="158"/>
      <c r="M1180" s="158"/>
      <c r="N1180" s="158"/>
      <c r="O1180" s="158"/>
      <c r="P1180" s="158"/>
      <c r="Q1180" s="158"/>
      <c r="R1180" s="159"/>
      <c r="S1180" s="160"/>
      <c r="T1180" s="162"/>
    </row>
    <row r="1181">
      <c r="A1181" s="158"/>
      <c r="B1181" s="158"/>
      <c r="C1181" s="158"/>
      <c r="D1181" s="159"/>
      <c r="E1181" s="160"/>
      <c r="F1181" s="161"/>
      <c r="G1181" s="162"/>
      <c r="H1181" s="163"/>
      <c r="I1181" s="162"/>
      <c r="J1181" s="164"/>
      <c r="K1181" s="164"/>
      <c r="L1181" s="158"/>
      <c r="M1181" s="158"/>
      <c r="N1181" s="158"/>
      <c r="O1181" s="158"/>
      <c r="P1181" s="158"/>
      <c r="Q1181" s="158"/>
      <c r="R1181" s="159"/>
      <c r="S1181" s="160"/>
      <c r="T1181" s="162"/>
    </row>
    <row r="1182">
      <c r="A1182" s="158"/>
      <c r="B1182" s="158"/>
      <c r="C1182" s="158"/>
      <c r="D1182" s="159"/>
      <c r="E1182" s="160"/>
      <c r="F1182" s="161"/>
      <c r="G1182" s="162"/>
      <c r="H1182" s="163"/>
      <c r="I1182" s="162"/>
      <c r="J1182" s="164"/>
      <c r="K1182" s="164"/>
      <c r="L1182" s="158"/>
      <c r="M1182" s="158"/>
      <c r="N1182" s="158"/>
      <c r="O1182" s="158"/>
      <c r="P1182" s="158"/>
      <c r="Q1182" s="158"/>
      <c r="R1182" s="159"/>
      <c r="S1182" s="160"/>
      <c r="T1182" s="162"/>
    </row>
    <row r="1183">
      <c r="A1183" s="158"/>
      <c r="B1183" s="158"/>
      <c r="C1183" s="158"/>
      <c r="D1183" s="159"/>
      <c r="E1183" s="160"/>
      <c r="F1183" s="161"/>
      <c r="G1183" s="162"/>
      <c r="H1183" s="163"/>
      <c r="I1183" s="162"/>
      <c r="J1183" s="164"/>
      <c r="K1183" s="164"/>
      <c r="L1183" s="158"/>
      <c r="M1183" s="158"/>
      <c r="N1183" s="158"/>
      <c r="O1183" s="158"/>
      <c r="P1183" s="158"/>
      <c r="Q1183" s="158"/>
      <c r="R1183" s="159"/>
      <c r="S1183" s="160"/>
      <c r="T1183" s="162"/>
    </row>
    <row r="1184">
      <c r="A1184" s="158"/>
      <c r="B1184" s="158"/>
      <c r="C1184" s="158"/>
      <c r="D1184" s="159"/>
      <c r="E1184" s="160"/>
      <c r="F1184" s="161"/>
      <c r="G1184" s="162"/>
      <c r="H1184" s="163"/>
      <c r="I1184" s="162"/>
      <c r="J1184" s="164"/>
      <c r="K1184" s="164"/>
      <c r="L1184" s="158"/>
      <c r="M1184" s="158"/>
      <c r="N1184" s="158"/>
      <c r="O1184" s="158"/>
      <c r="P1184" s="158"/>
      <c r="Q1184" s="158"/>
      <c r="R1184" s="159"/>
      <c r="S1184" s="160"/>
      <c r="T1184" s="162"/>
    </row>
    <row r="1185">
      <c r="A1185" s="158"/>
      <c r="B1185" s="158"/>
      <c r="C1185" s="158"/>
      <c r="D1185" s="159"/>
      <c r="E1185" s="160"/>
      <c r="F1185" s="161"/>
      <c r="G1185" s="162"/>
      <c r="H1185" s="163"/>
      <c r="I1185" s="162"/>
      <c r="J1185" s="164"/>
      <c r="K1185" s="164"/>
      <c r="L1185" s="158"/>
      <c r="M1185" s="158"/>
      <c r="N1185" s="158"/>
      <c r="O1185" s="158"/>
      <c r="P1185" s="158"/>
      <c r="Q1185" s="158"/>
      <c r="R1185" s="159"/>
      <c r="S1185" s="160"/>
      <c r="T1185" s="162"/>
    </row>
    <row r="1186">
      <c r="A1186" s="158"/>
      <c r="B1186" s="158"/>
      <c r="C1186" s="158"/>
      <c r="D1186" s="159"/>
      <c r="E1186" s="160"/>
      <c r="F1186" s="161"/>
      <c r="G1186" s="162"/>
      <c r="H1186" s="163"/>
      <c r="I1186" s="162"/>
      <c r="J1186" s="164"/>
      <c r="K1186" s="164"/>
      <c r="L1186" s="158"/>
      <c r="M1186" s="158"/>
      <c r="N1186" s="158"/>
      <c r="O1186" s="158"/>
      <c r="P1186" s="158"/>
      <c r="Q1186" s="158"/>
      <c r="R1186" s="159"/>
      <c r="S1186" s="160"/>
      <c r="T1186" s="162"/>
    </row>
    <row r="1187">
      <c r="A1187" s="158"/>
      <c r="B1187" s="158"/>
      <c r="C1187" s="158"/>
      <c r="D1187" s="159"/>
      <c r="E1187" s="160"/>
      <c r="F1187" s="161"/>
      <c r="G1187" s="162"/>
      <c r="H1187" s="163"/>
      <c r="I1187" s="162"/>
      <c r="J1187" s="164"/>
      <c r="K1187" s="164"/>
      <c r="L1187" s="158"/>
      <c r="M1187" s="158"/>
      <c r="N1187" s="158"/>
      <c r="O1187" s="158"/>
      <c r="P1187" s="158"/>
      <c r="Q1187" s="158"/>
      <c r="R1187" s="159"/>
      <c r="S1187" s="160"/>
      <c r="T1187" s="162"/>
    </row>
    <row r="1188">
      <c r="A1188" s="158"/>
      <c r="B1188" s="158"/>
      <c r="C1188" s="158"/>
      <c r="D1188" s="159"/>
      <c r="E1188" s="160"/>
      <c r="F1188" s="161"/>
      <c r="G1188" s="162"/>
      <c r="H1188" s="163"/>
      <c r="I1188" s="162"/>
      <c r="J1188" s="164"/>
      <c r="K1188" s="164"/>
      <c r="L1188" s="158"/>
      <c r="M1188" s="158"/>
      <c r="N1188" s="158"/>
      <c r="O1188" s="158"/>
      <c r="P1188" s="158"/>
      <c r="Q1188" s="158"/>
      <c r="R1188" s="159"/>
      <c r="S1188" s="160"/>
      <c r="T1188" s="162"/>
    </row>
    <row r="1189">
      <c r="A1189" s="158"/>
      <c r="B1189" s="158"/>
      <c r="C1189" s="158"/>
      <c r="D1189" s="159"/>
      <c r="E1189" s="160"/>
      <c r="F1189" s="161"/>
      <c r="G1189" s="162"/>
      <c r="H1189" s="163"/>
      <c r="I1189" s="162"/>
      <c r="J1189" s="164"/>
      <c r="K1189" s="164"/>
      <c r="L1189" s="158"/>
      <c r="M1189" s="158"/>
      <c r="N1189" s="158"/>
      <c r="O1189" s="158"/>
      <c r="P1189" s="158"/>
      <c r="Q1189" s="158"/>
      <c r="R1189" s="159"/>
      <c r="S1189" s="160"/>
      <c r="T1189" s="162"/>
    </row>
    <row r="1190">
      <c r="A1190" s="158"/>
      <c r="B1190" s="158"/>
      <c r="C1190" s="158"/>
      <c r="D1190" s="159"/>
      <c r="E1190" s="160"/>
      <c r="F1190" s="161"/>
      <c r="G1190" s="162"/>
      <c r="H1190" s="163"/>
      <c r="I1190" s="162"/>
      <c r="J1190" s="164"/>
      <c r="K1190" s="164"/>
      <c r="L1190" s="158"/>
      <c r="M1190" s="158"/>
      <c r="N1190" s="158"/>
      <c r="O1190" s="158"/>
      <c r="P1190" s="158"/>
      <c r="Q1190" s="158"/>
      <c r="R1190" s="159"/>
      <c r="S1190" s="160"/>
      <c r="T1190" s="162"/>
    </row>
    <row r="1191">
      <c r="A1191" s="158"/>
      <c r="B1191" s="158"/>
      <c r="C1191" s="158"/>
      <c r="D1191" s="159"/>
      <c r="E1191" s="160"/>
      <c r="F1191" s="161"/>
      <c r="G1191" s="162"/>
      <c r="H1191" s="163"/>
      <c r="I1191" s="162"/>
      <c r="J1191" s="164"/>
      <c r="K1191" s="164"/>
      <c r="L1191" s="158"/>
      <c r="M1191" s="158"/>
      <c r="N1191" s="158"/>
      <c r="O1191" s="158"/>
      <c r="P1191" s="158"/>
      <c r="Q1191" s="158"/>
      <c r="R1191" s="159"/>
      <c r="S1191" s="160"/>
      <c r="T1191" s="162"/>
    </row>
    <row r="1192">
      <c r="A1192" s="158"/>
      <c r="B1192" s="158"/>
      <c r="C1192" s="158"/>
      <c r="D1192" s="159"/>
      <c r="E1192" s="160"/>
      <c r="F1192" s="161"/>
      <c r="G1192" s="162"/>
      <c r="H1192" s="163"/>
      <c r="I1192" s="162"/>
      <c r="J1192" s="164"/>
      <c r="K1192" s="164"/>
      <c r="L1192" s="158"/>
      <c r="M1192" s="158"/>
      <c r="N1192" s="158"/>
      <c r="O1192" s="158"/>
      <c r="P1192" s="158"/>
      <c r="Q1192" s="158"/>
      <c r="R1192" s="159"/>
      <c r="S1192" s="160"/>
      <c r="T1192" s="162"/>
    </row>
    <row r="1193">
      <c r="A1193" s="158"/>
      <c r="B1193" s="158"/>
      <c r="C1193" s="158"/>
      <c r="D1193" s="159"/>
      <c r="E1193" s="160"/>
      <c r="F1193" s="161"/>
      <c r="G1193" s="162"/>
      <c r="H1193" s="163"/>
      <c r="I1193" s="162"/>
      <c r="J1193" s="164"/>
      <c r="K1193" s="164"/>
      <c r="L1193" s="158"/>
      <c r="M1193" s="158"/>
      <c r="N1193" s="158"/>
      <c r="O1193" s="158"/>
      <c r="P1193" s="158"/>
      <c r="Q1193" s="158"/>
      <c r="R1193" s="159"/>
      <c r="S1193" s="160"/>
      <c r="T1193" s="162"/>
    </row>
    <row r="1194">
      <c r="A1194" s="158"/>
      <c r="B1194" s="158"/>
      <c r="C1194" s="158"/>
      <c r="D1194" s="159"/>
      <c r="E1194" s="160"/>
      <c r="F1194" s="161"/>
      <c r="G1194" s="162"/>
      <c r="H1194" s="163"/>
      <c r="I1194" s="162"/>
      <c r="J1194" s="164"/>
      <c r="K1194" s="164"/>
      <c r="L1194" s="158"/>
      <c r="M1194" s="158"/>
      <c r="N1194" s="158"/>
      <c r="O1194" s="158"/>
      <c r="P1194" s="158"/>
      <c r="Q1194" s="158"/>
      <c r="R1194" s="159"/>
      <c r="S1194" s="160"/>
      <c r="T1194" s="162"/>
    </row>
    <row r="1195">
      <c r="A1195" s="158"/>
      <c r="B1195" s="158"/>
      <c r="C1195" s="158"/>
      <c r="D1195" s="159"/>
      <c r="E1195" s="160"/>
      <c r="F1195" s="161"/>
      <c r="G1195" s="162"/>
      <c r="H1195" s="163"/>
      <c r="I1195" s="162"/>
      <c r="J1195" s="164"/>
      <c r="K1195" s="164"/>
      <c r="L1195" s="158"/>
      <c r="M1195" s="158"/>
      <c r="N1195" s="158"/>
      <c r="O1195" s="158"/>
      <c r="P1195" s="158"/>
      <c r="Q1195" s="158"/>
      <c r="R1195" s="159"/>
      <c r="S1195" s="160"/>
      <c r="T1195" s="162"/>
    </row>
    <row r="1196">
      <c r="A1196" s="158"/>
      <c r="B1196" s="158"/>
      <c r="C1196" s="158"/>
      <c r="D1196" s="159"/>
      <c r="E1196" s="160"/>
      <c r="F1196" s="161"/>
      <c r="G1196" s="162"/>
      <c r="H1196" s="163"/>
      <c r="I1196" s="162"/>
      <c r="J1196" s="164"/>
      <c r="K1196" s="164"/>
      <c r="L1196" s="158"/>
      <c r="M1196" s="158"/>
      <c r="N1196" s="158"/>
      <c r="O1196" s="158"/>
      <c r="P1196" s="158"/>
      <c r="Q1196" s="158"/>
      <c r="R1196" s="159"/>
      <c r="S1196" s="160"/>
      <c r="T1196" s="162"/>
    </row>
    <row r="1197">
      <c r="A1197" s="158"/>
      <c r="B1197" s="158"/>
      <c r="C1197" s="158"/>
      <c r="D1197" s="159"/>
      <c r="E1197" s="160"/>
      <c r="F1197" s="161"/>
      <c r="G1197" s="162"/>
      <c r="H1197" s="163"/>
      <c r="I1197" s="162"/>
      <c r="J1197" s="164"/>
      <c r="K1197" s="164"/>
      <c r="L1197" s="158"/>
      <c r="M1197" s="158"/>
      <c r="N1197" s="158"/>
      <c r="O1197" s="158"/>
      <c r="P1197" s="158"/>
      <c r="Q1197" s="158"/>
      <c r="R1197" s="159"/>
      <c r="S1197" s="160"/>
      <c r="T1197" s="162"/>
    </row>
    <row r="1198">
      <c r="A1198" s="158"/>
      <c r="B1198" s="158"/>
      <c r="C1198" s="158"/>
      <c r="D1198" s="159"/>
      <c r="E1198" s="160"/>
      <c r="F1198" s="161"/>
      <c r="G1198" s="162"/>
      <c r="H1198" s="163"/>
      <c r="I1198" s="162"/>
      <c r="J1198" s="164"/>
      <c r="K1198" s="164"/>
      <c r="L1198" s="158"/>
      <c r="M1198" s="158"/>
      <c r="N1198" s="158"/>
      <c r="O1198" s="158"/>
      <c r="P1198" s="158"/>
      <c r="Q1198" s="158"/>
      <c r="R1198" s="159"/>
      <c r="S1198" s="160"/>
      <c r="T1198" s="162"/>
    </row>
    <row r="1199">
      <c r="A1199" s="158"/>
      <c r="B1199" s="158"/>
      <c r="C1199" s="158"/>
      <c r="D1199" s="159"/>
      <c r="E1199" s="160"/>
      <c r="F1199" s="161"/>
      <c r="G1199" s="162"/>
      <c r="H1199" s="163"/>
      <c r="I1199" s="162"/>
      <c r="J1199" s="164"/>
      <c r="K1199" s="164"/>
      <c r="L1199" s="158"/>
      <c r="M1199" s="158"/>
      <c r="N1199" s="158"/>
      <c r="O1199" s="158"/>
      <c r="P1199" s="158"/>
      <c r="Q1199" s="158"/>
      <c r="R1199" s="159"/>
      <c r="S1199" s="160"/>
      <c r="T1199" s="162"/>
    </row>
    <row r="1200">
      <c r="A1200" s="158"/>
      <c r="B1200" s="158"/>
      <c r="C1200" s="158"/>
      <c r="D1200" s="159"/>
      <c r="E1200" s="160"/>
      <c r="F1200" s="161"/>
      <c r="G1200" s="162"/>
      <c r="H1200" s="163"/>
      <c r="I1200" s="162"/>
      <c r="J1200" s="164"/>
      <c r="K1200" s="164"/>
      <c r="L1200" s="158"/>
      <c r="M1200" s="158"/>
      <c r="N1200" s="158"/>
      <c r="O1200" s="158"/>
      <c r="P1200" s="158"/>
      <c r="Q1200" s="158"/>
      <c r="R1200" s="159"/>
      <c r="S1200" s="160"/>
      <c r="T1200" s="162"/>
    </row>
    <row r="1201">
      <c r="A1201" s="158"/>
      <c r="B1201" s="158"/>
      <c r="C1201" s="158"/>
      <c r="D1201" s="159"/>
      <c r="E1201" s="160"/>
      <c r="F1201" s="161"/>
      <c r="G1201" s="162"/>
      <c r="H1201" s="163"/>
      <c r="I1201" s="162"/>
      <c r="J1201" s="164"/>
      <c r="K1201" s="164"/>
      <c r="L1201" s="158"/>
      <c r="M1201" s="158"/>
      <c r="N1201" s="158"/>
      <c r="O1201" s="158"/>
      <c r="P1201" s="158"/>
      <c r="Q1201" s="158"/>
      <c r="R1201" s="159"/>
      <c r="S1201" s="160"/>
      <c r="T1201" s="162"/>
    </row>
    <row r="1202">
      <c r="A1202" s="158"/>
      <c r="B1202" s="158"/>
      <c r="C1202" s="158"/>
      <c r="D1202" s="159"/>
      <c r="E1202" s="160"/>
      <c r="F1202" s="161"/>
      <c r="G1202" s="162"/>
      <c r="H1202" s="163"/>
      <c r="I1202" s="162"/>
      <c r="J1202" s="164"/>
      <c r="K1202" s="164"/>
      <c r="L1202" s="158"/>
      <c r="M1202" s="158"/>
      <c r="N1202" s="158"/>
      <c r="O1202" s="158"/>
      <c r="P1202" s="158"/>
      <c r="Q1202" s="158"/>
      <c r="R1202" s="159"/>
      <c r="S1202" s="160"/>
      <c r="T1202" s="162"/>
    </row>
    <row r="1203">
      <c r="A1203" s="158"/>
      <c r="B1203" s="158"/>
      <c r="C1203" s="158"/>
      <c r="D1203" s="159"/>
      <c r="E1203" s="160"/>
      <c r="F1203" s="161"/>
      <c r="G1203" s="162"/>
      <c r="H1203" s="163"/>
      <c r="I1203" s="162"/>
      <c r="J1203" s="164"/>
      <c r="K1203" s="164"/>
      <c r="L1203" s="158"/>
      <c r="M1203" s="158"/>
      <c r="N1203" s="158"/>
      <c r="O1203" s="158"/>
      <c r="P1203" s="158"/>
      <c r="Q1203" s="158"/>
      <c r="R1203" s="159"/>
      <c r="S1203" s="160"/>
      <c r="T1203" s="162"/>
    </row>
    <row r="1204">
      <c r="A1204" s="158"/>
      <c r="B1204" s="158"/>
      <c r="C1204" s="158"/>
      <c r="D1204" s="159"/>
      <c r="E1204" s="160"/>
      <c r="F1204" s="161"/>
      <c r="G1204" s="162"/>
      <c r="H1204" s="163"/>
      <c r="I1204" s="162"/>
      <c r="J1204" s="164"/>
      <c r="K1204" s="164"/>
      <c r="L1204" s="158"/>
      <c r="M1204" s="158"/>
      <c r="N1204" s="158"/>
      <c r="O1204" s="158"/>
      <c r="P1204" s="158"/>
      <c r="Q1204" s="158"/>
      <c r="R1204" s="159"/>
      <c r="S1204" s="160"/>
      <c r="T1204" s="162"/>
    </row>
    <row r="1205">
      <c r="A1205" s="158"/>
      <c r="B1205" s="158"/>
      <c r="C1205" s="158"/>
      <c r="D1205" s="159"/>
      <c r="E1205" s="160"/>
      <c r="F1205" s="161"/>
      <c r="G1205" s="162"/>
      <c r="H1205" s="163"/>
      <c r="I1205" s="162"/>
      <c r="J1205" s="164"/>
      <c r="K1205" s="164"/>
      <c r="L1205" s="158"/>
      <c r="M1205" s="158"/>
      <c r="N1205" s="158"/>
      <c r="O1205" s="158"/>
      <c r="P1205" s="158"/>
      <c r="Q1205" s="158"/>
      <c r="R1205" s="159"/>
      <c r="S1205" s="160"/>
      <c r="T1205" s="162"/>
    </row>
    <row r="1206">
      <c r="A1206" s="158"/>
      <c r="B1206" s="158"/>
      <c r="C1206" s="158"/>
      <c r="D1206" s="159"/>
      <c r="E1206" s="160"/>
      <c r="F1206" s="161"/>
      <c r="G1206" s="162"/>
      <c r="H1206" s="163"/>
      <c r="I1206" s="162"/>
      <c r="J1206" s="164"/>
      <c r="K1206" s="164"/>
      <c r="L1206" s="158"/>
      <c r="M1206" s="158"/>
      <c r="N1206" s="158"/>
      <c r="O1206" s="158"/>
      <c r="P1206" s="158"/>
      <c r="Q1206" s="158"/>
      <c r="R1206" s="159"/>
      <c r="S1206" s="160"/>
      <c r="T1206" s="162"/>
    </row>
    <row r="1207">
      <c r="A1207" s="158"/>
      <c r="B1207" s="158"/>
      <c r="C1207" s="158"/>
      <c r="D1207" s="159"/>
      <c r="E1207" s="160"/>
      <c r="F1207" s="161"/>
      <c r="G1207" s="162"/>
      <c r="H1207" s="163"/>
      <c r="I1207" s="162"/>
      <c r="J1207" s="164"/>
      <c r="K1207" s="164"/>
      <c r="L1207" s="158"/>
      <c r="M1207" s="158"/>
      <c r="N1207" s="158"/>
      <c r="O1207" s="158"/>
      <c r="P1207" s="158"/>
      <c r="Q1207" s="158"/>
      <c r="R1207" s="159"/>
      <c r="S1207" s="160"/>
      <c r="T1207" s="162"/>
    </row>
    <row r="1208">
      <c r="A1208" s="158"/>
      <c r="B1208" s="158"/>
      <c r="C1208" s="158"/>
      <c r="D1208" s="159"/>
      <c r="E1208" s="160"/>
      <c r="F1208" s="161"/>
      <c r="G1208" s="162"/>
      <c r="H1208" s="163"/>
      <c r="I1208" s="162"/>
      <c r="J1208" s="164"/>
      <c r="K1208" s="164"/>
      <c r="L1208" s="158"/>
      <c r="M1208" s="158"/>
      <c r="N1208" s="158"/>
      <c r="O1208" s="158"/>
      <c r="P1208" s="158"/>
      <c r="Q1208" s="158"/>
      <c r="R1208" s="159"/>
      <c r="S1208" s="160"/>
      <c r="T1208" s="162"/>
    </row>
    <row r="1209">
      <c r="A1209" s="158"/>
      <c r="B1209" s="158"/>
      <c r="C1209" s="158"/>
      <c r="D1209" s="159"/>
      <c r="E1209" s="160"/>
      <c r="F1209" s="161"/>
      <c r="G1209" s="162"/>
      <c r="H1209" s="163"/>
      <c r="I1209" s="162"/>
      <c r="J1209" s="164"/>
      <c r="K1209" s="164"/>
      <c r="L1209" s="158"/>
      <c r="M1209" s="158"/>
      <c r="N1209" s="158"/>
      <c r="O1209" s="158"/>
      <c r="P1209" s="158"/>
      <c r="Q1209" s="158"/>
      <c r="R1209" s="159"/>
      <c r="S1209" s="160"/>
      <c r="T1209" s="162"/>
    </row>
    <row r="1210">
      <c r="A1210" s="158"/>
      <c r="B1210" s="158"/>
      <c r="C1210" s="158"/>
      <c r="D1210" s="159"/>
      <c r="E1210" s="160"/>
      <c r="F1210" s="161"/>
      <c r="G1210" s="162"/>
      <c r="H1210" s="163"/>
      <c r="I1210" s="162"/>
      <c r="J1210" s="164"/>
      <c r="K1210" s="164"/>
      <c r="L1210" s="158"/>
      <c r="M1210" s="158"/>
      <c r="N1210" s="158"/>
      <c r="O1210" s="158"/>
      <c r="P1210" s="158"/>
      <c r="Q1210" s="158"/>
      <c r="R1210" s="159"/>
      <c r="S1210" s="160"/>
      <c r="T1210" s="162"/>
    </row>
    <row r="1211">
      <c r="A1211" s="158"/>
      <c r="B1211" s="158"/>
      <c r="C1211" s="158"/>
      <c r="D1211" s="159"/>
      <c r="E1211" s="160"/>
      <c r="F1211" s="161"/>
      <c r="G1211" s="162"/>
      <c r="H1211" s="163"/>
      <c r="I1211" s="162"/>
      <c r="J1211" s="164"/>
      <c r="K1211" s="164"/>
      <c r="L1211" s="158"/>
      <c r="M1211" s="158"/>
      <c r="N1211" s="158"/>
      <c r="O1211" s="158"/>
      <c r="P1211" s="158"/>
      <c r="Q1211" s="158"/>
      <c r="R1211" s="159"/>
      <c r="S1211" s="160"/>
      <c r="T1211" s="162"/>
    </row>
    <row r="1212">
      <c r="A1212" s="158"/>
      <c r="B1212" s="158"/>
      <c r="C1212" s="158"/>
      <c r="D1212" s="159"/>
      <c r="E1212" s="160"/>
      <c r="F1212" s="161"/>
      <c r="G1212" s="162"/>
      <c r="H1212" s="163"/>
      <c r="I1212" s="162"/>
      <c r="J1212" s="164"/>
      <c r="K1212" s="164"/>
      <c r="L1212" s="158"/>
      <c r="M1212" s="158"/>
      <c r="N1212" s="158"/>
      <c r="O1212" s="158"/>
      <c r="P1212" s="158"/>
      <c r="Q1212" s="158"/>
      <c r="R1212" s="159"/>
      <c r="S1212" s="160"/>
      <c r="T1212" s="162"/>
    </row>
    <row r="1213">
      <c r="A1213" s="158"/>
      <c r="B1213" s="158"/>
      <c r="C1213" s="158"/>
      <c r="D1213" s="159"/>
      <c r="E1213" s="160"/>
      <c r="F1213" s="161"/>
      <c r="G1213" s="162"/>
      <c r="H1213" s="163"/>
      <c r="I1213" s="162"/>
      <c r="J1213" s="164"/>
      <c r="K1213" s="164"/>
      <c r="L1213" s="158"/>
      <c r="M1213" s="158"/>
      <c r="N1213" s="158"/>
      <c r="O1213" s="158"/>
      <c r="P1213" s="158"/>
      <c r="Q1213" s="158"/>
      <c r="R1213" s="159"/>
      <c r="S1213" s="160"/>
      <c r="T1213" s="162"/>
    </row>
    <row r="1214">
      <c r="A1214" s="158"/>
      <c r="B1214" s="158"/>
      <c r="C1214" s="158"/>
      <c r="D1214" s="159"/>
      <c r="E1214" s="160"/>
      <c r="F1214" s="161"/>
      <c r="G1214" s="162"/>
      <c r="H1214" s="163"/>
      <c r="I1214" s="162"/>
      <c r="J1214" s="164"/>
      <c r="K1214" s="164"/>
      <c r="L1214" s="158"/>
      <c r="M1214" s="158"/>
      <c r="N1214" s="158"/>
      <c r="O1214" s="158"/>
      <c r="P1214" s="158"/>
      <c r="Q1214" s="158"/>
      <c r="R1214" s="159"/>
      <c r="S1214" s="160"/>
      <c r="T1214" s="162"/>
    </row>
    <row r="1215">
      <c r="A1215" s="158"/>
      <c r="B1215" s="158"/>
      <c r="C1215" s="158"/>
      <c r="D1215" s="159"/>
      <c r="E1215" s="160"/>
      <c r="F1215" s="161"/>
      <c r="G1215" s="162"/>
      <c r="H1215" s="163"/>
      <c r="I1215" s="162"/>
      <c r="J1215" s="164"/>
      <c r="K1215" s="164"/>
      <c r="L1215" s="158"/>
      <c r="M1215" s="158"/>
      <c r="N1215" s="158"/>
      <c r="O1215" s="158"/>
      <c r="P1215" s="158"/>
      <c r="Q1215" s="158"/>
      <c r="R1215" s="159"/>
      <c r="S1215" s="160"/>
      <c r="T1215" s="162"/>
    </row>
    <row r="1216">
      <c r="A1216" s="158"/>
      <c r="B1216" s="158"/>
      <c r="C1216" s="158"/>
      <c r="D1216" s="159"/>
      <c r="E1216" s="160"/>
      <c r="F1216" s="161"/>
      <c r="G1216" s="162"/>
      <c r="H1216" s="163"/>
      <c r="I1216" s="162"/>
      <c r="J1216" s="164"/>
      <c r="K1216" s="164"/>
      <c r="L1216" s="158"/>
      <c r="M1216" s="158"/>
      <c r="N1216" s="158"/>
      <c r="O1216" s="158"/>
      <c r="P1216" s="158"/>
      <c r="Q1216" s="158"/>
      <c r="R1216" s="159"/>
      <c r="S1216" s="160"/>
      <c r="T1216" s="162"/>
    </row>
    <row r="1217">
      <c r="A1217" s="158"/>
      <c r="B1217" s="158"/>
      <c r="C1217" s="158"/>
      <c r="D1217" s="159"/>
      <c r="E1217" s="160"/>
      <c r="F1217" s="161"/>
      <c r="G1217" s="162"/>
      <c r="H1217" s="163"/>
      <c r="I1217" s="162"/>
      <c r="J1217" s="164"/>
      <c r="K1217" s="164"/>
      <c r="L1217" s="158"/>
      <c r="M1217" s="158"/>
      <c r="N1217" s="158"/>
      <c r="O1217" s="158"/>
      <c r="P1217" s="158"/>
      <c r="Q1217" s="158"/>
      <c r="R1217" s="159"/>
      <c r="S1217" s="160"/>
      <c r="T1217" s="162"/>
    </row>
    <row r="1218">
      <c r="A1218" s="158"/>
      <c r="B1218" s="158"/>
      <c r="C1218" s="158"/>
      <c r="D1218" s="159"/>
      <c r="E1218" s="160"/>
      <c r="F1218" s="161"/>
      <c r="G1218" s="162"/>
      <c r="H1218" s="163"/>
      <c r="I1218" s="162"/>
      <c r="J1218" s="164"/>
      <c r="K1218" s="164"/>
      <c r="L1218" s="158"/>
      <c r="M1218" s="158"/>
      <c r="N1218" s="158"/>
      <c r="O1218" s="158"/>
      <c r="P1218" s="158"/>
      <c r="Q1218" s="158"/>
      <c r="R1218" s="159"/>
      <c r="S1218" s="160"/>
      <c r="T1218" s="162"/>
    </row>
    <row r="1219">
      <c r="A1219" s="158"/>
      <c r="B1219" s="158"/>
      <c r="C1219" s="158"/>
      <c r="D1219" s="159"/>
      <c r="E1219" s="160"/>
      <c r="F1219" s="161"/>
      <c r="G1219" s="162"/>
      <c r="H1219" s="163"/>
      <c r="I1219" s="162"/>
      <c r="J1219" s="164"/>
      <c r="K1219" s="164"/>
      <c r="L1219" s="158"/>
      <c r="M1219" s="158"/>
      <c r="N1219" s="158"/>
      <c r="O1219" s="158"/>
      <c r="P1219" s="158"/>
      <c r="Q1219" s="158"/>
      <c r="R1219" s="159"/>
      <c r="S1219" s="160"/>
      <c r="T1219" s="162"/>
    </row>
    <row r="1220">
      <c r="A1220" s="158"/>
      <c r="B1220" s="158"/>
      <c r="C1220" s="158"/>
      <c r="D1220" s="159"/>
      <c r="E1220" s="160"/>
      <c r="F1220" s="161"/>
      <c r="G1220" s="162"/>
      <c r="H1220" s="163"/>
      <c r="I1220" s="162"/>
      <c r="J1220" s="164"/>
      <c r="K1220" s="164"/>
      <c r="L1220" s="158"/>
      <c r="M1220" s="158"/>
      <c r="N1220" s="158"/>
      <c r="O1220" s="158"/>
      <c r="P1220" s="158"/>
      <c r="Q1220" s="158"/>
      <c r="R1220" s="159"/>
      <c r="S1220" s="160"/>
      <c r="T1220" s="162"/>
    </row>
    <row r="1221">
      <c r="A1221" s="158"/>
      <c r="B1221" s="158"/>
      <c r="C1221" s="158"/>
      <c r="D1221" s="159"/>
      <c r="E1221" s="160"/>
      <c r="F1221" s="161"/>
      <c r="G1221" s="162"/>
      <c r="H1221" s="163"/>
      <c r="I1221" s="162"/>
      <c r="J1221" s="164"/>
      <c r="K1221" s="164"/>
      <c r="L1221" s="158"/>
      <c r="M1221" s="158"/>
      <c r="N1221" s="158"/>
      <c r="O1221" s="158"/>
      <c r="P1221" s="158"/>
      <c r="Q1221" s="158"/>
      <c r="R1221" s="159"/>
      <c r="S1221" s="160"/>
      <c r="T1221" s="162"/>
    </row>
    <row r="1222">
      <c r="A1222" s="158"/>
      <c r="B1222" s="158"/>
      <c r="C1222" s="158"/>
      <c r="D1222" s="159"/>
      <c r="E1222" s="160"/>
      <c r="F1222" s="161"/>
      <c r="G1222" s="162"/>
      <c r="H1222" s="163"/>
      <c r="I1222" s="162"/>
      <c r="J1222" s="164"/>
      <c r="K1222" s="164"/>
      <c r="L1222" s="158"/>
      <c r="M1222" s="158"/>
      <c r="N1222" s="158"/>
      <c r="O1222" s="158"/>
      <c r="P1222" s="158"/>
      <c r="Q1222" s="158"/>
      <c r="R1222" s="159"/>
      <c r="S1222" s="160"/>
      <c r="T1222" s="162"/>
    </row>
    <row r="1223">
      <c r="A1223" s="158"/>
      <c r="B1223" s="158"/>
      <c r="C1223" s="158"/>
      <c r="D1223" s="159"/>
      <c r="E1223" s="160"/>
      <c r="F1223" s="161"/>
      <c r="G1223" s="162"/>
      <c r="H1223" s="163"/>
      <c r="I1223" s="162"/>
      <c r="J1223" s="164"/>
      <c r="K1223" s="164"/>
      <c r="L1223" s="158"/>
      <c r="M1223" s="158"/>
      <c r="N1223" s="158"/>
      <c r="O1223" s="158"/>
      <c r="P1223" s="158"/>
      <c r="Q1223" s="158"/>
      <c r="R1223" s="159"/>
      <c r="S1223" s="160"/>
      <c r="T1223" s="162"/>
    </row>
    <row r="1224">
      <c r="A1224" s="158"/>
      <c r="B1224" s="158"/>
      <c r="C1224" s="158"/>
      <c r="D1224" s="159"/>
      <c r="E1224" s="160"/>
      <c r="F1224" s="161"/>
      <c r="G1224" s="162"/>
      <c r="H1224" s="163"/>
      <c r="I1224" s="162"/>
      <c r="J1224" s="164"/>
      <c r="K1224" s="164"/>
      <c r="L1224" s="158"/>
      <c r="M1224" s="158"/>
      <c r="N1224" s="158"/>
      <c r="O1224" s="158"/>
      <c r="P1224" s="158"/>
      <c r="Q1224" s="158"/>
      <c r="R1224" s="159"/>
      <c r="S1224" s="160"/>
      <c r="T1224" s="162"/>
    </row>
    <row r="1225">
      <c r="A1225" s="158"/>
      <c r="B1225" s="158"/>
      <c r="C1225" s="158"/>
      <c r="D1225" s="159"/>
      <c r="E1225" s="160"/>
      <c r="F1225" s="161"/>
      <c r="G1225" s="162"/>
      <c r="H1225" s="163"/>
      <c r="I1225" s="162"/>
      <c r="J1225" s="164"/>
      <c r="K1225" s="164"/>
      <c r="L1225" s="158"/>
      <c r="M1225" s="158"/>
      <c r="N1225" s="158"/>
      <c r="O1225" s="158"/>
      <c r="P1225" s="158"/>
      <c r="Q1225" s="158"/>
      <c r="R1225" s="159"/>
      <c r="S1225" s="160"/>
      <c r="T1225" s="162"/>
    </row>
    <row r="1226">
      <c r="A1226" s="158"/>
      <c r="B1226" s="158"/>
      <c r="C1226" s="158"/>
      <c r="D1226" s="159"/>
      <c r="E1226" s="160"/>
      <c r="F1226" s="161"/>
      <c r="G1226" s="162"/>
      <c r="H1226" s="163"/>
      <c r="I1226" s="162"/>
      <c r="J1226" s="164"/>
      <c r="K1226" s="164"/>
      <c r="L1226" s="158"/>
      <c r="M1226" s="158"/>
      <c r="N1226" s="158"/>
      <c r="O1226" s="158"/>
      <c r="P1226" s="158"/>
      <c r="Q1226" s="158"/>
      <c r="R1226" s="159"/>
      <c r="S1226" s="160"/>
      <c r="T1226" s="162"/>
    </row>
    <row r="1227">
      <c r="A1227" s="158"/>
      <c r="B1227" s="158"/>
      <c r="C1227" s="158"/>
      <c r="D1227" s="159"/>
      <c r="E1227" s="160"/>
      <c r="F1227" s="161"/>
      <c r="G1227" s="162"/>
      <c r="H1227" s="163"/>
      <c r="I1227" s="162"/>
      <c r="J1227" s="164"/>
      <c r="K1227" s="164"/>
      <c r="L1227" s="158"/>
      <c r="M1227" s="158"/>
      <c r="N1227" s="158"/>
      <c r="O1227" s="158"/>
      <c r="P1227" s="158"/>
      <c r="Q1227" s="158"/>
      <c r="R1227" s="159"/>
      <c r="S1227" s="160"/>
      <c r="T1227" s="162"/>
    </row>
    <row r="1228">
      <c r="A1228" s="158"/>
      <c r="B1228" s="158"/>
      <c r="C1228" s="158"/>
      <c r="D1228" s="159"/>
      <c r="E1228" s="160"/>
      <c r="F1228" s="161"/>
      <c r="G1228" s="162"/>
      <c r="H1228" s="163"/>
      <c r="I1228" s="162"/>
      <c r="J1228" s="164"/>
      <c r="K1228" s="164"/>
      <c r="L1228" s="158"/>
      <c r="M1228" s="158"/>
      <c r="N1228" s="158"/>
      <c r="O1228" s="158"/>
      <c r="P1228" s="158"/>
      <c r="Q1228" s="158"/>
      <c r="R1228" s="159"/>
      <c r="S1228" s="160"/>
      <c r="T1228" s="162"/>
    </row>
    <row r="1229">
      <c r="A1229" s="158"/>
      <c r="B1229" s="158"/>
      <c r="C1229" s="158"/>
      <c r="D1229" s="159"/>
      <c r="E1229" s="160"/>
      <c r="F1229" s="161"/>
      <c r="G1229" s="162"/>
      <c r="H1229" s="163"/>
      <c r="I1229" s="162"/>
      <c r="J1229" s="164"/>
      <c r="K1229" s="164"/>
      <c r="L1229" s="158"/>
      <c r="M1229" s="158"/>
      <c r="N1229" s="158"/>
      <c r="O1229" s="158"/>
      <c r="P1229" s="158"/>
      <c r="Q1229" s="158"/>
      <c r="R1229" s="159"/>
      <c r="S1229" s="160"/>
      <c r="T1229" s="162"/>
    </row>
    <row r="1230">
      <c r="A1230" s="158"/>
      <c r="B1230" s="158"/>
      <c r="C1230" s="158"/>
      <c r="D1230" s="159"/>
      <c r="E1230" s="160"/>
      <c r="F1230" s="161"/>
      <c r="G1230" s="162"/>
      <c r="H1230" s="163"/>
      <c r="I1230" s="162"/>
      <c r="J1230" s="164"/>
      <c r="K1230" s="164"/>
      <c r="L1230" s="158"/>
      <c r="M1230" s="158"/>
      <c r="N1230" s="158"/>
      <c r="O1230" s="158"/>
      <c r="P1230" s="158"/>
      <c r="Q1230" s="158"/>
      <c r="R1230" s="159"/>
      <c r="S1230" s="160"/>
      <c r="T1230" s="162"/>
    </row>
    <row r="1231">
      <c r="A1231" s="158"/>
      <c r="B1231" s="158"/>
      <c r="C1231" s="158"/>
      <c r="D1231" s="159"/>
      <c r="E1231" s="160"/>
      <c r="F1231" s="161"/>
      <c r="G1231" s="162"/>
      <c r="H1231" s="163"/>
      <c r="I1231" s="162"/>
      <c r="J1231" s="164"/>
      <c r="K1231" s="164"/>
      <c r="L1231" s="158"/>
      <c r="M1231" s="158"/>
      <c r="N1231" s="158"/>
      <c r="O1231" s="158"/>
      <c r="P1231" s="158"/>
      <c r="Q1231" s="158"/>
      <c r="R1231" s="159"/>
      <c r="S1231" s="160"/>
      <c r="T1231" s="162"/>
    </row>
    <row r="1232">
      <c r="A1232" s="158"/>
      <c r="B1232" s="158"/>
      <c r="C1232" s="158"/>
      <c r="D1232" s="159"/>
      <c r="E1232" s="160"/>
      <c r="F1232" s="161"/>
      <c r="G1232" s="162"/>
      <c r="H1232" s="163"/>
      <c r="I1232" s="162"/>
      <c r="J1232" s="164"/>
      <c r="K1232" s="164"/>
      <c r="L1232" s="158"/>
      <c r="M1232" s="158"/>
      <c r="N1232" s="158"/>
      <c r="O1232" s="158"/>
      <c r="P1232" s="158"/>
      <c r="Q1232" s="158"/>
      <c r="R1232" s="159"/>
      <c r="S1232" s="160"/>
      <c r="T1232" s="162"/>
    </row>
    <row r="1233">
      <c r="A1233" s="158"/>
      <c r="B1233" s="158"/>
      <c r="C1233" s="158"/>
      <c r="D1233" s="159"/>
      <c r="E1233" s="160"/>
      <c r="F1233" s="161"/>
      <c r="G1233" s="162"/>
      <c r="H1233" s="163"/>
      <c r="I1233" s="162"/>
      <c r="J1233" s="164"/>
      <c r="K1233" s="164"/>
      <c r="L1233" s="158"/>
      <c r="M1233" s="158"/>
      <c r="N1233" s="158"/>
      <c r="O1233" s="158"/>
      <c r="P1233" s="158"/>
      <c r="Q1233" s="158"/>
      <c r="R1233" s="159"/>
      <c r="S1233" s="160"/>
      <c r="T1233" s="162"/>
    </row>
    <row r="1234">
      <c r="A1234" s="158"/>
      <c r="B1234" s="158"/>
      <c r="C1234" s="158"/>
      <c r="D1234" s="159"/>
      <c r="E1234" s="160"/>
      <c r="F1234" s="161"/>
      <c r="G1234" s="162"/>
      <c r="H1234" s="163"/>
      <c r="I1234" s="162"/>
      <c r="J1234" s="164"/>
      <c r="K1234" s="164"/>
      <c r="L1234" s="158"/>
      <c r="M1234" s="158"/>
      <c r="N1234" s="158"/>
      <c r="O1234" s="158"/>
      <c r="P1234" s="158"/>
      <c r="Q1234" s="158"/>
      <c r="R1234" s="159"/>
      <c r="S1234" s="160"/>
      <c r="T1234" s="162"/>
    </row>
    <row r="1235">
      <c r="A1235" s="158"/>
      <c r="B1235" s="158"/>
      <c r="C1235" s="158"/>
      <c r="D1235" s="159"/>
      <c r="E1235" s="160"/>
      <c r="F1235" s="161"/>
      <c r="G1235" s="162"/>
      <c r="H1235" s="163"/>
      <c r="I1235" s="162"/>
      <c r="J1235" s="164"/>
      <c r="K1235" s="164"/>
      <c r="L1235" s="158"/>
      <c r="M1235" s="158"/>
      <c r="N1235" s="158"/>
      <c r="O1235" s="158"/>
      <c r="P1235" s="158"/>
      <c r="Q1235" s="158"/>
      <c r="R1235" s="159"/>
      <c r="S1235" s="160"/>
      <c r="T1235" s="162"/>
    </row>
    <row r="1236">
      <c r="A1236" s="158"/>
      <c r="B1236" s="158"/>
      <c r="C1236" s="158"/>
      <c r="D1236" s="159"/>
      <c r="E1236" s="160"/>
      <c r="F1236" s="161"/>
      <c r="G1236" s="162"/>
      <c r="H1236" s="163"/>
      <c r="I1236" s="162"/>
      <c r="J1236" s="164"/>
      <c r="K1236" s="164"/>
      <c r="L1236" s="158"/>
      <c r="M1236" s="158"/>
      <c r="N1236" s="158"/>
      <c r="O1236" s="158"/>
      <c r="P1236" s="158"/>
      <c r="Q1236" s="158"/>
      <c r="R1236" s="159"/>
      <c r="S1236" s="160"/>
      <c r="T1236" s="162"/>
    </row>
    <row r="1237">
      <c r="A1237" s="158"/>
      <c r="B1237" s="158"/>
      <c r="C1237" s="158"/>
      <c r="D1237" s="159"/>
      <c r="E1237" s="160"/>
      <c r="F1237" s="161"/>
      <c r="G1237" s="162"/>
      <c r="H1237" s="163"/>
      <c r="I1237" s="162"/>
      <c r="J1237" s="164"/>
      <c r="K1237" s="164"/>
      <c r="L1237" s="158"/>
      <c r="M1237" s="158"/>
      <c r="N1237" s="158"/>
      <c r="O1237" s="158"/>
      <c r="P1237" s="158"/>
      <c r="Q1237" s="158"/>
      <c r="R1237" s="159"/>
      <c r="S1237" s="160"/>
      <c r="T1237" s="162"/>
    </row>
    <row r="1238">
      <c r="A1238" s="158"/>
      <c r="B1238" s="158"/>
      <c r="C1238" s="158"/>
      <c r="D1238" s="159"/>
      <c r="E1238" s="160"/>
      <c r="F1238" s="161"/>
      <c r="G1238" s="162"/>
      <c r="H1238" s="163"/>
      <c r="I1238" s="162"/>
      <c r="J1238" s="164"/>
      <c r="K1238" s="164"/>
      <c r="L1238" s="158"/>
      <c r="M1238" s="158"/>
      <c r="N1238" s="158"/>
      <c r="O1238" s="158"/>
      <c r="P1238" s="158"/>
      <c r="Q1238" s="158"/>
      <c r="R1238" s="159"/>
      <c r="S1238" s="160"/>
      <c r="T1238" s="162"/>
    </row>
    <row r="1239">
      <c r="A1239" s="158"/>
      <c r="B1239" s="158"/>
      <c r="C1239" s="158"/>
      <c r="D1239" s="159"/>
      <c r="E1239" s="160"/>
      <c r="F1239" s="161"/>
      <c r="G1239" s="162"/>
      <c r="H1239" s="163"/>
      <c r="I1239" s="162"/>
      <c r="J1239" s="164"/>
      <c r="K1239" s="164"/>
      <c r="L1239" s="158"/>
      <c r="M1239" s="158"/>
      <c r="N1239" s="158"/>
      <c r="O1239" s="158"/>
      <c r="P1239" s="158"/>
      <c r="Q1239" s="158"/>
      <c r="R1239" s="159"/>
      <c r="S1239" s="160"/>
      <c r="T1239" s="162"/>
    </row>
    <row r="1240">
      <c r="A1240" s="158"/>
      <c r="B1240" s="158"/>
      <c r="C1240" s="158"/>
      <c r="D1240" s="159"/>
      <c r="E1240" s="160"/>
      <c r="F1240" s="161"/>
      <c r="G1240" s="162"/>
      <c r="H1240" s="163"/>
      <c r="I1240" s="162"/>
      <c r="J1240" s="164"/>
      <c r="K1240" s="164"/>
      <c r="L1240" s="158"/>
      <c r="M1240" s="158"/>
      <c r="N1240" s="158"/>
      <c r="O1240" s="158"/>
      <c r="P1240" s="158"/>
      <c r="Q1240" s="158"/>
      <c r="R1240" s="159"/>
      <c r="S1240" s="160"/>
      <c r="T1240" s="162"/>
    </row>
    <row r="1241">
      <c r="A1241" s="158"/>
      <c r="B1241" s="158"/>
      <c r="C1241" s="158"/>
      <c r="D1241" s="159"/>
      <c r="E1241" s="160"/>
      <c r="F1241" s="161"/>
      <c r="G1241" s="162"/>
      <c r="H1241" s="163"/>
      <c r="I1241" s="162"/>
      <c r="J1241" s="164"/>
      <c r="K1241" s="164"/>
      <c r="L1241" s="158"/>
      <c r="M1241" s="158"/>
      <c r="N1241" s="158"/>
      <c r="O1241" s="158"/>
      <c r="P1241" s="158"/>
      <c r="Q1241" s="158"/>
      <c r="R1241" s="159"/>
      <c r="S1241" s="160"/>
      <c r="T1241" s="162"/>
    </row>
    <row r="1242">
      <c r="A1242" s="158"/>
      <c r="B1242" s="158"/>
      <c r="C1242" s="158"/>
      <c r="D1242" s="159"/>
      <c r="E1242" s="160"/>
      <c r="F1242" s="161"/>
      <c r="G1242" s="162"/>
      <c r="H1242" s="163"/>
      <c r="I1242" s="162"/>
      <c r="J1242" s="164"/>
      <c r="K1242" s="164"/>
      <c r="L1242" s="158"/>
      <c r="M1242" s="158"/>
      <c r="N1242" s="158"/>
      <c r="O1242" s="158"/>
      <c r="P1242" s="158"/>
      <c r="Q1242" s="158"/>
      <c r="R1242" s="159"/>
      <c r="S1242" s="160"/>
      <c r="T1242" s="162"/>
    </row>
    <row r="1243">
      <c r="A1243" s="158"/>
      <c r="B1243" s="158"/>
      <c r="C1243" s="158"/>
      <c r="D1243" s="159"/>
      <c r="E1243" s="160"/>
      <c r="F1243" s="161"/>
      <c r="G1243" s="162"/>
      <c r="H1243" s="163"/>
      <c r="I1243" s="162"/>
      <c r="J1243" s="164"/>
      <c r="K1243" s="164"/>
      <c r="L1243" s="158"/>
      <c r="M1243" s="158"/>
      <c r="N1243" s="158"/>
      <c r="O1243" s="158"/>
      <c r="P1243" s="158"/>
      <c r="Q1243" s="158"/>
      <c r="R1243" s="159"/>
      <c r="S1243" s="160"/>
      <c r="T1243" s="162"/>
    </row>
    <row r="1244">
      <c r="A1244" s="158"/>
      <c r="B1244" s="158"/>
      <c r="C1244" s="158"/>
      <c r="D1244" s="159"/>
      <c r="E1244" s="160"/>
      <c r="F1244" s="161"/>
      <c r="G1244" s="162"/>
      <c r="H1244" s="163"/>
      <c r="I1244" s="162"/>
      <c r="J1244" s="164"/>
      <c r="K1244" s="164"/>
      <c r="L1244" s="158"/>
      <c r="M1244" s="158"/>
      <c r="N1244" s="158"/>
      <c r="O1244" s="158"/>
      <c r="P1244" s="158"/>
      <c r="Q1244" s="158"/>
      <c r="R1244" s="159"/>
      <c r="S1244" s="160"/>
      <c r="T1244" s="162"/>
    </row>
    <row r="1245">
      <c r="A1245" s="158"/>
      <c r="B1245" s="158"/>
      <c r="C1245" s="158"/>
      <c r="D1245" s="159"/>
      <c r="E1245" s="160"/>
      <c r="F1245" s="161"/>
      <c r="G1245" s="162"/>
      <c r="H1245" s="163"/>
      <c r="I1245" s="162"/>
      <c r="J1245" s="164"/>
      <c r="K1245" s="164"/>
      <c r="L1245" s="158"/>
      <c r="M1245" s="158"/>
      <c r="N1245" s="158"/>
      <c r="O1245" s="158"/>
      <c r="P1245" s="158"/>
      <c r="Q1245" s="158"/>
      <c r="R1245" s="159"/>
      <c r="S1245" s="160"/>
      <c r="T1245" s="162"/>
    </row>
    <row r="1246">
      <c r="A1246" s="158"/>
      <c r="B1246" s="158"/>
      <c r="C1246" s="158"/>
      <c r="D1246" s="159"/>
      <c r="E1246" s="160"/>
      <c r="F1246" s="161"/>
      <c r="G1246" s="162"/>
      <c r="H1246" s="163"/>
      <c r="I1246" s="162"/>
      <c r="J1246" s="164"/>
      <c r="K1246" s="164"/>
      <c r="L1246" s="158"/>
      <c r="M1246" s="158"/>
      <c r="N1246" s="158"/>
      <c r="O1246" s="158"/>
      <c r="P1246" s="158"/>
      <c r="Q1246" s="158"/>
      <c r="R1246" s="159"/>
      <c r="S1246" s="160"/>
      <c r="T1246" s="162"/>
    </row>
    <row r="1247">
      <c r="A1247" s="158"/>
      <c r="B1247" s="158"/>
      <c r="C1247" s="158"/>
      <c r="D1247" s="159"/>
      <c r="E1247" s="160"/>
      <c r="F1247" s="161"/>
      <c r="G1247" s="162"/>
      <c r="H1247" s="163"/>
      <c r="I1247" s="162"/>
      <c r="J1247" s="164"/>
      <c r="K1247" s="164"/>
      <c r="L1247" s="158"/>
      <c r="M1247" s="158"/>
      <c r="N1247" s="158"/>
      <c r="O1247" s="158"/>
      <c r="P1247" s="158"/>
      <c r="Q1247" s="158"/>
      <c r="R1247" s="159"/>
      <c r="S1247" s="160"/>
      <c r="T1247" s="162"/>
    </row>
    <row r="1248">
      <c r="A1248" s="158"/>
      <c r="B1248" s="158"/>
      <c r="C1248" s="158"/>
      <c r="D1248" s="159"/>
      <c r="E1248" s="160"/>
      <c r="F1248" s="161"/>
      <c r="G1248" s="162"/>
      <c r="H1248" s="163"/>
      <c r="I1248" s="162"/>
      <c r="J1248" s="164"/>
      <c r="K1248" s="164"/>
      <c r="L1248" s="158"/>
      <c r="M1248" s="158"/>
      <c r="N1248" s="158"/>
      <c r="O1248" s="158"/>
      <c r="P1248" s="158"/>
      <c r="Q1248" s="158"/>
      <c r="R1248" s="159"/>
      <c r="S1248" s="160"/>
      <c r="T1248" s="162"/>
    </row>
    <row r="1249">
      <c r="A1249" s="158"/>
      <c r="B1249" s="158"/>
      <c r="C1249" s="158"/>
      <c r="D1249" s="159"/>
      <c r="E1249" s="160"/>
      <c r="F1249" s="161"/>
      <c r="G1249" s="162"/>
      <c r="H1249" s="163"/>
      <c r="I1249" s="162"/>
      <c r="J1249" s="164"/>
      <c r="K1249" s="164"/>
      <c r="L1249" s="158"/>
      <c r="M1249" s="158"/>
      <c r="N1249" s="158"/>
      <c r="O1249" s="158"/>
      <c r="P1249" s="158"/>
      <c r="Q1249" s="158"/>
      <c r="R1249" s="159"/>
      <c r="S1249" s="160"/>
      <c r="T1249" s="162"/>
    </row>
    <row r="1250">
      <c r="A1250" s="158"/>
      <c r="B1250" s="158"/>
      <c r="C1250" s="158"/>
      <c r="D1250" s="159"/>
      <c r="E1250" s="160"/>
      <c r="F1250" s="161"/>
      <c r="G1250" s="162"/>
      <c r="H1250" s="163"/>
      <c r="I1250" s="162"/>
      <c r="J1250" s="164"/>
      <c r="K1250" s="164"/>
      <c r="L1250" s="158"/>
      <c r="M1250" s="158"/>
      <c r="N1250" s="158"/>
      <c r="O1250" s="158"/>
      <c r="P1250" s="158"/>
      <c r="Q1250" s="158"/>
      <c r="R1250" s="159"/>
      <c r="S1250" s="160"/>
      <c r="T1250" s="162"/>
    </row>
    <row r="1251">
      <c r="A1251" s="158"/>
      <c r="B1251" s="158"/>
      <c r="C1251" s="158"/>
      <c r="D1251" s="159"/>
      <c r="E1251" s="160"/>
      <c r="F1251" s="161"/>
      <c r="G1251" s="162"/>
      <c r="H1251" s="163"/>
      <c r="I1251" s="162"/>
      <c r="J1251" s="164"/>
      <c r="K1251" s="164"/>
      <c r="L1251" s="158"/>
      <c r="M1251" s="158"/>
      <c r="N1251" s="158"/>
      <c r="O1251" s="158"/>
      <c r="P1251" s="158"/>
      <c r="Q1251" s="158"/>
      <c r="R1251" s="159"/>
      <c r="S1251" s="160"/>
      <c r="T1251" s="162"/>
    </row>
    <row r="1252">
      <c r="A1252" s="158"/>
      <c r="B1252" s="158"/>
      <c r="C1252" s="158"/>
      <c r="D1252" s="159"/>
      <c r="E1252" s="160"/>
      <c r="F1252" s="161"/>
      <c r="G1252" s="162"/>
      <c r="H1252" s="163"/>
      <c r="I1252" s="162"/>
      <c r="J1252" s="164"/>
      <c r="K1252" s="164"/>
      <c r="L1252" s="158"/>
      <c r="M1252" s="158"/>
      <c r="N1252" s="158"/>
      <c r="O1252" s="158"/>
      <c r="P1252" s="158"/>
      <c r="Q1252" s="158"/>
      <c r="R1252" s="159"/>
      <c r="S1252" s="160"/>
      <c r="T1252" s="162"/>
    </row>
    <row r="1253">
      <c r="A1253" s="158"/>
      <c r="B1253" s="158"/>
      <c r="C1253" s="158"/>
      <c r="D1253" s="159"/>
      <c r="E1253" s="160"/>
      <c r="F1253" s="161"/>
      <c r="G1253" s="162"/>
      <c r="H1253" s="163"/>
      <c r="I1253" s="162"/>
      <c r="J1253" s="164"/>
      <c r="K1253" s="164"/>
      <c r="L1253" s="158"/>
      <c r="M1253" s="158"/>
      <c r="N1253" s="158"/>
      <c r="O1253" s="158"/>
      <c r="P1253" s="158"/>
      <c r="Q1253" s="158"/>
      <c r="R1253" s="159"/>
      <c r="S1253" s="160"/>
      <c r="T1253" s="162"/>
    </row>
    <row r="1254">
      <c r="A1254" s="158"/>
      <c r="B1254" s="158"/>
      <c r="C1254" s="158"/>
      <c r="D1254" s="159"/>
      <c r="E1254" s="160"/>
      <c r="F1254" s="161"/>
      <c r="G1254" s="162"/>
      <c r="H1254" s="163"/>
      <c r="I1254" s="162"/>
      <c r="J1254" s="164"/>
      <c r="K1254" s="164"/>
      <c r="L1254" s="158"/>
      <c r="M1254" s="158"/>
      <c r="N1254" s="158"/>
      <c r="O1254" s="158"/>
      <c r="P1254" s="158"/>
      <c r="Q1254" s="158"/>
      <c r="R1254" s="159"/>
      <c r="S1254" s="160"/>
      <c r="T1254" s="162"/>
    </row>
    <row r="1255">
      <c r="A1255" s="158"/>
      <c r="B1255" s="158"/>
      <c r="C1255" s="158"/>
      <c r="D1255" s="159"/>
      <c r="E1255" s="160"/>
      <c r="F1255" s="161"/>
      <c r="G1255" s="162"/>
      <c r="H1255" s="163"/>
      <c r="I1255" s="162"/>
      <c r="J1255" s="164"/>
      <c r="K1255" s="164"/>
      <c r="L1255" s="158"/>
      <c r="M1255" s="158"/>
      <c r="N1255" s="158"/>
      <c r="O1255" s="158"/>
      <c r="P1255" s="158"/>
      <c r="Q1255" s="158"/>
      <c r="R1255" s="159"/>
      <c r="S1255" s="160"/>
      <c r="T1255" s="162"/>
    </row>
    <row r="1256">
      <c r="A1256" s="158"/>
      <c r="B1256" s="158"/>
      <c r="C1256" s="158"/>
      <c r="D1256" s="159"/>
      <c r="E1256" s="160"/>
      <c r="F1256" s="161"/>
      <c r="G1256" s="162"/>
      <c r="H1256" s="163"/>
      <c r="I1256" s="162"/>
      <c r="J1256" s="164"/>
      <c r="K1256" s="164"/>
      <c r="L1256" s="158"/>
      <c r="M1256" s="158"/>
      <c r="N1256" s="158"/>
      <c r="O1256" s="158"/>
      <c r="P1256" s="158"/>
      <c r="Q1256" s="158"/>
      <c r="R1256" s="159"/>
      <c r="S1256" s="160"/>
      <c r="T1256" s="162"/>
    </row>
    <row r="1257">
      <c r="A1257" s="158"/>
      <c r="B1257" s="158"/>
      <c r="C1257" s="158"/>
      <c r="D1257" s="159"/>
      <c r="E1257" s="160"/>
      <c r="F1257" s="161"/>
      <c r="G1257" s="162"/>
      <c r="H1257" s="163"/>
      <c r="I1257" s="162"/>
      <c r="J1257" s="164"/>
      <c r="K1257" s="164"/>
      <c r="L1257" s="158"/>
      <c r="M1257" s="158"/>
      <c r="N1257" s="158"/>
      <c r="O1257" s="158"/>
      <c r="P1257" s="158"/>
      <c r="Q1257" s="158"/>
      <c r="R1257" s="159"/>
      <c r="S1257" s="160"/>
      <c r="T1257" s="162"/>
    </row>
    <row r="1258">
      <c r="A1258" s="158"/>
      <c r="B1258" s="158"/>
      <c r="C1258" s="158"/>
      <c r="D1258" s="159"/>
      <c r="E1258" s="160"/>
      <c r="F1258" s="161"/>
      <c r="G1258" s="162"/>
      <c r="H1258" s="163"/>
      <c r="I1258" s="162"/>
      <c r="J1258" s="164"/>
      <c r="K1258" s="164"/>
      <c r="L1258" s="158"/>
      <c r="M1258" s="158"/>
      <c r="N1258" s="158"/>
      <c r="O1258" s="158"/>
      <c r="P1258" s="158"/>
      <c r="Q1258" s="158"/>
      <c r="R1258" s="159"/>
      <c r="S1258" s="160"/>
      <c r="T1258" s="162"/>
    </row>
    <row r="1259">
      <c r="A1259" s="158"/>
      <c r="B1259" s="158"/>
      <c r="C1259" s="158"/>
      <c r="D1259" s="159"/>
      <c r="E1259" s="160"/>
      <c r="F1259" s="161"/>
      <c r="G1259" s="162"/>
      <c r="H1259" s="163"/>
      <c r="I1259" s="162"/>
      <c r="J1259" s="164"/>
      <c r="K1259" s="164"/>
      <c r="L1259" s="158"/>
      <c r="M1259" s="158"/>
      <c r="N1259" s="158"/>
      <c r="O1259" s="158"/>
      <c r="P1259" s="158"/>
      <c r="Q1259" s="158"/>
      <c r="R1259" s="159"/>
      <c r="S1259" s="160"/>
      <c r="T1259" s="162"/>
    </row>
    <row r="1260">
      <c r="A1260" s="158"/>
      <c r="B1260" s="158"/>
      <c r="C1260" s="158"/>
      <c r="D1260" s="159"/>
      <c r="E1260" s="160"/>
      <c r="F1260" s="161"/>
      <c r="G1260" s="162"/>
      <c r="H1260" s="163"/>
      <c r="I1260" s="162"/>
      <c r="J1260" s="164"/>
      <c r="K1260" s="164"/>
      <c r="L1260" s="158"/>
      <c r="M1260" s="158"/>
      <c r="N1260" s="158"/>
      <c r="O1260" s="158"/>
      <c r="P1260" s="158"/>
      <c r="Q1260" s="158"/>
      <c r="R1260" s="159"/>
      <c r="S1260" s="160"/>
      <c r="T1260" s="162"/>
    </row>
    <row r="1261">
      <c r="A1261" s="158"/>
      <c r="B1261" s="158"/>
      <c r="C1261" s="158"/>
      <c r="D1261" s="159"/>
      <c r="E1261" s="160"/>
      <c r="F1261" s="161"/>
      <c r="G1261" s="162"/>
      <c r="H1261" s="163"/>
      <c r="I1261" s="162"/>
      <c r="J1261" s="164"/>
      <c r="K1261" s="164"/>
      <c r="L1261" s="158"/>
      <c r="M1261" s="158"/>
      <c r="N1261" s="158"/>
      <c r="O1261" s="158"/>
      <c r="P1261" s="158"/>
      <c r="Q1261" s="158"/>
      <c r="R1261" s="159"/>
      <c r="S1261" s="160"/>
      <c r="T1261" s="162"/>
    </row>
    <row r="1262">
      <c r="A1262" s="158"/>
      <c r="B1262" s="158"/>
      <c r="C1262" s="158"/>
      <c r="D1262" s="159"/>
      <c r="E1262" s="160"/>
      <c r="F1262" s="161"/>
      <c r="G1262" s="162"/>
      <c r="H1262" s="163"/>
      <c r="I1262" s="162"/>
      <c r="J1262" s="164"/>
      <c r="K1262" s="164"/>
      <c r="L1262" s="158"/>
      <c r="M1262" s="158"/>
      <c r="N1262" s="158"/>
      <c r="O1262" s="158"/>
      <c r="P1262" s="158"/>
      <c r="Q1262" s="158"/>
      <c r="R1262" s="159"/>
      <c r="S1262" s="160"/>
      <c r="T1262" s="162"/>
    </row>
    <row r="1263">
      <c r="A1263" s="158"/>
      <c r="B1263" s="158"/>
      <c r="C1263" s="158"/>
      <c r="D1263" s="159"/>
      <c r="E1263" s="160"/>
      <c r="F1263" s="161"/>
      <c r="G1263" s="162"/>
      <c r="H1263" s="163"/>
      <c r="I1263" s="162"/>
      <c r="J1263" s="164"/>
      <c r="K1263" s="164"/>
      <c r="L1263" s="158"/>
      <c r="M1263" s="158"/>
      <c r="N1263" s="158"/>
      <c r="O1263" s="158"/>
      <c r="P1263" s="158"/>
      <c r="Q1263" s="158"/>
      <c r="R1263" s="159"/>
      <c r="S1263" s="160"/>
      <c r="T1263" s="162"/>
    </row>
    <row r="1264">
      <c r="A1264" s="158"/>
      <c r="B1264" s="158"/>
      <c r="C1264" s="158"/>
      <c r="D1264" s="159"/>
      <c r="E1264" s="160"/>
      <c r="F1264" s="161"/>
      <c r="G1264" s="162"/>
      <c r="H1264" s="163"/>
      <c r="I1264" s="162"/>
      <c r="J1264" s="164"/>
      <c r="K1264" s="164"/>
      <c r="L1264" s="158"/>
      <c r="M1264" s="158"/>
      <c r="N1264" s="158"/>
      <c r="O1264" s="158"/>
      <c r="P1264" s="158"/>
      <c r="Q1264" s="158"/>
      <c r="R1264" s="159"/>
      <c r="S1264" s="160"/>
      <c r="T1264" s="162"/>
    </row>
    <row r="1265">
      <c r="A1265" s="158"/>
      <c r="B1265" s="158"/>
      <c r="C1265" s="158"/>
      <c r="D1265" s="159"/>
      <c r="E1265" s="160"/>
      <c r="F1265" s="161"/>
      <c r="G1265" s="162"/>
      <c r="H1265" s="163"/>
      <c r="I1265" s="162"/>
      <c r="J1265" s="164"/>
      <c r="K1265" s="164"/>
      <c r="L1265" s="158"/>
      <c r="M1265" s="158"/>
      <c r="N1265" s="158"/>
      <c r="O1265" s="158"/>
      <c r="P1265" s="158"/>
      <c r="Q1265" s="158"/>
      <c r="R1265" s="159"/>
      <c r="S1265" s="160"/>
      <c r="T1265" s="162"/>
    </row>
    <row r="1266">
      <c r="A1266" s="158"/>
      <c r="B1266" s="158"/>
      <c r="C1266" s="158"/>
      <c r="D1266" s="159"/>
      <c r="E1266" s="160"/>
      <c r="F1266" s="161"/>
      <c r="G1266" s="162"/>
      <c r="H1266" s="163"/>
      <c r="I1266" s="162"/>
      <c r="J1266" s="164"/>
      <c r="K1266" s="164"/>
      <c r="L1266" s="158"/>
      <c r="M1266" s="158"/>
      <c r="N1266" s="158"/>
      <c r="O1266" s="158"/>
      <c r="P1266" s="158"/>
      <c r="Q1266" s="158"/>
      <c r="R1266" s="159"/>
      <c r="S1266" s="160"/>
      <c r="T1266" s="162"/>
    </row>
    <row r="1267">
      <c r="A1267" s="158"/>
      <c r="B1267" s="158"/>
      <c r="C1267" s="158"/>
      <c r="D1267" s="159"/>
      <c r="E1267" s="160"/>
      <c r="F1267" s="161"/>
      <c r="G1267" s="162"/>
      <c r="H1267" s="163"/>
      <c r="I1267" s="162"/>
      <c r="J1267" s="164"/>
      <c r="K1267" s="164"/>
      <c r="L1267" s="158"/>
      <c r="M1267" s="158"/>
      <c r="N1267" s="158"/>
      <c r="O1267" s="158"/>
      <c r="P1267" s="158"/>
      <c r="Q1267" s="158"/>
      <c r="R1267" s="159"/>
      <c r="S1267" s="160"/>
      <c r="T1267" s="162"/>
    </row>
    <row r="1268">
      <c r="A1268" s="158"/>
      <c r="B1268" s="158"/>
      <c r="C1268" s="158"/>
      <c r="D1268" s="159"/>
      <c r="E1268" s="160"/>
      <c r="F1268" s="161"/>
      <c r="G1268" s="162"/>
      <c r="H1268" s="163"/>
      <c r="I1268" s="162"/>
      <c r="J1268" s="164"/>
      <c r="K1268" s="164"/>
      <c r="L1268" s="158"/>
      <c r="M1268" s="158"/>
      <c r="N1268" s="158"/>
      <c r="O1268" s="158"/>
      <c r="P1268" s="158"/>
      <c r="Q1268" s="158"/>
      <c r="R1268" s="159"/>
      <c r="S1268" s="160"/>
      <c r="T1268" s="162"/>
    </row>
    <row r="1269">
      <c r="A1269" s="158"/>
      <c r="B1269" s="158"/>
      <c r="C1269" s="158"/>
      <c r="D1269" s="159"/>
      <c r="E1269" s="160"/>
      <c r="F1269" s="161"/>
      <c r="G1269" s="162"/>
      <c r="H1269" s="163"/>
      <c r="I1269" s="162"/>
      <c r="J1269" s="164"/>
      <c r="K1269" s="164"/>
      <c r="L1269" s="158"/>
      <c r="M1269" s="158"/>
      <c r="N1269" s="158"/>
      <c r="O1269" s="158"/>
      <c r="P1269" s="158"/>
      <c r="Q1269" s="158"/>
      <c r="R1269" s="159"/>
      <c r="S1269" s="160"/>
      <c r="T1269" s="162"/>
    </row>
    <row r="1270">
      <c r="A1270" s="158"/>
      <c r="B1270" s="158"/>
      <c r="C1270" s="158"/>
      <c r="D1270" s="159"/>
      <c r="E1270" s="160"/>
      <c r="F1270" s="161"/>
      <c r="G1270" s="162"/>
      <c r="H1270" s="163"/>
      <c r="I1270" s="162"/>
      <c r="J1270" s="164"/>
      <c r="K1270" s="164"/>
      <c r="L1270" s="158"/>
      <c r="M1270" s="158"/>
      <c r="N1270" s="158"/>
      <c r="O1270" s="158"/>
      <c r="P1270" s="158"/>
      <c r="Q1270" s="158"/>
      <c r="R1270" s="159"/>
      <c r="S1270" s="160"/>
      <c r="T1270" s="162"/>
    </row>
    <row r="1271">
      <c r="A1271" s="158"/>
      <c r="B1271" s="158"/>
      <c r="C1271" s="158"/>
      <c r="D1271" s="159"/>
      <c r="E1271" s="160"/>
      <c r="F1271" s="161"/>
      <c r="G1271" s="162"/>
      <c r="H1271" s="163"/>
      <c r="I1271" s="162"/>
      <c r="J1271" s="164"/>
      <c r="K1271" s="164"/>
      <c r="L1271" s="158"/>
      <c r="M1271" s="158"/>
      <c r="N1271" s="158"/>
      <c r="O1271" s="158"/>
      <c r="P1271" s="158"/>
      <c r="Q1271" s="158"/>
      <c r="R1271" s="159"/>
      <c r="S1271" s="160"/>
      <c r="T1271" s="162"/>
    </row>
    <row r="1272">
      <c r="A1272" s="158"/>
      <c r="B1272" s="158"/>
      <c r="C1272" s="158"/>
      <c r="D1272" s="159"/>
      <c r="E1272" s="160"/>
      <c r="F1272" s="161"/>
      <c r="G1272" s="162"/>
      <c r="H1272" s="163"/>
      <c r="I1272" s="162"/>
      <c r="J1272" s="164"/>
      <c r="K1272" s="164"/>
      <c r="L1272" s="158"/>
      <c r="M1272" s="158"/>
      <c r="N1272" s="158"/>
      <c r="O1272" s="158"/>
      <c r="P1272" s="158"/>
      <c r="Q1272" s="158"/>
      <c r="R1272" s="159"/>
      <c r="S1272" s="160"/>
      <c r="T1272" s="162"/>
    </row>
    <row r="1273">
      <c r="A1273" s="158"/>
      <c r="B1273" s="158"/>
      <c r="C1273" s="158"/>
      <c r="D1273" s="159"/>
      <c r="E1273" s="160"/>
      <c r="F1273" s="161"/>
      <c r="G1273" s="162"/>
      <c r="H1273" s="163"/>
      <c r="I1273" s="162"/>
      <c r="J1273" s="164"/>
      <c r="K1273" s="164"/>
      <c r="L1273" s="158"/>
      <c r="M1273" s="158"/>
      <c r="N1273" s="158"/>
      <c r="O1273" s="158"/>
      <c r="P1273" s="158"/>
      <c r="Q1273" s="158"/>
      <c r="R1273" s="159"/>
      <c r="S1273" s="160"/>
      <c r="T1273" s="162"/>
    </row>
    <row r="1274">
      <c r="A1274" s="158"/>
      <c r="B1274" s="158"/>
      <c r="C1274" s="158"/>
      <c r="D1274" s="159"/>
      <c r="E1274" s="160"/>
      <c r="F1274" s="161"/>
      <c r="G1274" s="162"/>
      <c r="H1274" s="163"/>
      <c r="I1274" s="162"/>
      <c r="J1274" s="164"/>
      <c r="K1274" s="164"/>
      <c r="L1274" s="158"/>
      <c r="M1274" s="158"/>
      <c r="N1274" s="158"/>
      <c r="O1274" s="158"/>
      <c r="P1274" s="158"/>
      <c r="Q1274" s="158"/>
      <c r="R1274" s="159"/>
      <c r="S1274" s="160"/>
      <c r="T1274" s="162"/>
    </row>
    <row r="1275">
      <c r="A1275" s="158"/>
      <c r="B1275" s="158"/>
      <c r="C1275" s="158"/>
      <c r="D1275" s="159"/>
      <c r="E1275" s="160"/>
      <c r="F1275" s="161"/>
      <c r="G1275" s="162"/>
      <c r="H1275" s="163"/>
      <c r="I1275" s="162"/>
      <c r="J1275" s="164"/>
      <c r="K1275" s="164"/>
      <c r="L1275" s="158"/>
      <c r="M1275" s="158"/>
      <c r="N1275" s="158"/>
      <c r="O1275" s="158"/>
      <c r="P1275" s="158"/>
      <c r="Q1275" s="158"/>
      <c r="R1275" s="159"/>
      <c r="S1275" s="160"/>
      <c r="T1275" s="162"/>
    </row>
    <row r="1276">
      <c r="A1276" s="158"/>
      <c r="B1276" s="158"/>
      <c r="C1276" s="158"/>
      <c r="D1276" s="159"/>
      <c r="E1276" s="160"/>
      <c r="F1276" s="161"/>
      <c r="G1276" s="162"/>
      <c r="H1276" s="163"/>
      <c r="I1276" s="162"/>
      <c r="J1276" s="164"/>
      <c r="K1276" s="164"/>
      <c r="L1276" s="158"/>
      <c r="M1276" s="158"/>
      <c r="N1276" s="158"/>
      <c r="O1276" s="158"/>
      <c r="P1276" s="158"/>
      <c r="Q1276" s="158"/>
      <c r="R1276" s="159"/>
      <c r="S1276" s="160"/>
      <c r="T1276" s="162"/>
    </row>
    <row r="1277">
      <c r="A1277" s="158"/>
      <c r="B1277" s="158"/>
      <c r="C1277" s="158"/>
      <c r="D1277" s="159"/>
      <c r="E1277" s="160"/>
      <c r="F1277" s="161"/>
      <c r="G1277" s="162"/>
      <c r="H1277" s="163"/>
      <c r="I1277" s="162"/>
      <c r="J1277" s="164"/>
      <c r="K1277" s="164"/>
      <c r="L1277" s="158"/>
      <c r="M1277" s="158"/>
      <c r="N1277" s="158"/>
      <c r="O1277" s="158"/>
      <c r="P1277" s="158"/>
      <c r="Q1277" s="158"/>
      <c r="R1277" s="159"/>
      <c r="S1277" s="160"/>
      <c r="T1277" s="162"/>
    </row>
    <row r="1278">
      <c r="A1278" s="158"/>
      <c r="B1278" s="158"/>
      <c r="C1278" s="158"/>
      <c r="D1278" s="159"/>
      <c r="E1278" s="160"/>
      <c r="F1278" s="161"/>
      <c r="G1278" s="162"/>
      <c r="H1278" s="163"/>
      <c r="I1278" s="162"/>
      <c r="J1278" s="164"/>
      <c r="K1278" s="164"/>
      <c r="L1278" s="158"/>
      <c r="M1278" s="158"/>
      <c r="N1278" s="158"/>
      <c r="O1278" s="158"/>
      <c r="P1278" s="158"/>
      <c r="Q1278" s="158"/>
      <c r="R1278" s="159"/>
      <c r="S1278" s="160"/>
      <c r="T1278" s="162"/>
    </row>
    <row r="1279">
      <c r="A1279" s="158"/>
      <c r="B1279" s="158"/>
      <c r="C1279" s="158"/>
      <c r="D1279" s="159"/>
      <c r="E1279" s="160"/>
      <c r="F1279" s="161"/>
      <c r="G1279" s="162"/>
      <c r="H1279" s="163"/>
      <c r="I1279" s="162"/>
      <c r="J1279" s="164"/>
      <c r="K1279" s="164"/>
      <c r="L1279" s="158"/>
      <c r="M1279" s="158"/>
      <c r="N1279" s="158"/>
      <c r="O1279" s="158"/>
      <c r="P1279" s="158"/>
      <c r="Q1279" s="158"/>
      <c r="R1279" s="159"/>
      <c r="S1279" s="160"/>
      <c r="T1279" s="162"/>
    </row>
    <row r="1280">
      <c r="A1280" s="158"/>
      <c r="B1280" s="158"/>
      <c r="C1280" s="158"/>
      <c r="D1280" s="159"/>
      <c r="E1280" s="160"/>
      <c r="F1280" s="161"/>
      <c r="G1280" s="162"/>
      <c r="H1280" s="163"/>
      <c r="I1280" s="162"/>
      <c r="J1280" s="164"/>
      <c r="K1280" s="164"/>
      <c r="L1280" s="158"/>
      <c r="M1280" s="158"/>
      <c r="N1280" s="158"/>
      <c r="O1280" s="158"/>
      <c r="P1280" s="158"/>
      <c r="Q1280" s="158"/>
      <c r="R1280" s="159"/>
      <c r="S1280" s="160"/>
      <c r="T1280" s="162"/>
    </row>
    <row r="1281">
      <c r="A1281" s="158"/>
      <c r="B1281" s="158"/>
      <c r="C1281" s="158"/>
      <c r="D1281" s="159"/>
      <c r="E1281" s="160"/>
      <c r="F1281" s="161"/>
      <c r="G1281" s="162"/>
      <c r="H1281" s="163"/>
      <c r="I1281" s="162"/>
      <c r="J1281" s="164"/>
      <c r="K1281" s="164"/>
      <c r="L1281" s="158"/>
      <c r="M1281" s="158"/>
      <c r="N1281" s="158"/>
      <c r="O1281" s="158"/>
      <c r="P1281" s="158"/>
      <c r="Q1281" s="158"/>
      <c r="R1281" s="159"/>
      <c r="S1281" s="160"/>
      <c r="T1281" s="162"/>
    </row>
    <row r="1282">
      <c r="A1282" s="158"/>
      <c r="B1282" s="158"/>
      <c r="C1282" s="158"/>
      <c r="D1282" s="159"/>
      <c r="E1282" s="160"/>
      <c r="F1282" s="161"/>
      <c r="G1282" s="162"/>
      <c r="H1282" s="163"/>
      <c r="I1282" s="162"/>
      <c r="J1282" s="164"/>
      <c r="K1282" s="164"/>
      <c r="L1282" s="158"/>
      <c r="M1282" s="158"/>
      <c r="N1282" s="158"/>
      <c r="O1282" s="158"/>
      <c r="P1282" s="158"/>
      <c r="Q1282" s="158"/>
      <c r="R1282" s="159"/>
      <c r="S1282" s="160"/>
      <c r="T1282" s="162"/>
    </row>
    <row r="1283">
      <c r="A1283" s="158"/>
      <c r="B1283" s="158"/>
      <c r="C1283" s="158"/>
      <c r="D1283" s="159"/>
      <c r="E1283" s="160"/>
      <c r="F1283" s="161"/>
      <c r="G1283" s="162"/>
      <c r="H1283" s="163"/>
      <c r="I1283" s="162"/>
      <c r="J1283" s="164"/>
      <c r="K1283" s="164"/>
      <c r="L1283" s="158"/>
      <c r="M1283" s="158"/>
      <c r="N1283" s="158"/>
      <c r="O1283" s="158"/>
      <c r="P1283" s="158"/>
      <c r="Q1283" s="158"/>
      <c r="R1283" s="159"/>
      <c r="S1283" s="160"/>
      <c r="T1283" s="162"/>
    </row>
    <row r="1284">
      <c r="A1284" s="158"/>
      <c r="B1284" s="158"/>
      <c r="C1284" s="158"/>
      <c r="D1284" s="159"/>
      <c r="E1284" s="160"/>
      <c r="F1284" s="161"/>
      <c r="G1284" s="162"/>
      <c r="H1284" s="163"/>
      <c r="I1284" s="162"/>
      <c r="J1284" s="164"/>
      <c r="K1284" s="164"/>
      <c r="L1284" s="158"/>
      <c r="M1284" s="158"/>
      <c r="N1284" s="158"/>
      <c r="O1284" s="158"/>
      <c r="P1284" s="158"/>
      <c r="Q1284" s="158"/>
      <c r="R1284" s="159"/>
      <c r="S1284" s="160"/>
      <c r="T1284" s="162"/>
    </row>
    <row r="1285">
      <c r="A1285" s="158"/>
      <c r="B1285" s="158"/>
      <c r="C1285" s="158"/>
      <c r="D1285" s="159"/>
      <c r="E1285" s="160"/>
      <c r="F1285" s="161"/>
      <c r="G1285" s="162"/>
      <c r="H1285" s="163"/>
      <c r="I1285" s="162"/>
      <c r="J1285" s="164"/>
      <c r="K1285" s="164"/>
      <c r="L1285" s="158"/>
      <c r="M1285" s="158"/>
      <c r="N1285" s="158"/>
      <c r="O1285" s="158"/>
      <c r="P1285" s="158"/>
      <c r="Q1285" s="158"/>
      <c r="R1285" s="159"/>
      <c r="S1285" s="160"/>
      <c r="T1285" s="162"/>
    </row>
    <row r="1286">
      <c r="A1286" s="158"/>
      <c r="B1286" s="158"/>
      <c r="C1286" s="158"/>
      <c r="D1286" s="159"/>
      <c r="E1286" s="160"/>
      <c r="F1286" s="161"/>
      <c r="G1286" s="162"/>
      <c r="H1286" s="163"/>
      <c r="I1286" s="162"/>
      <c r="J1286" s="164"/>
      <c r="K1286" s="164"/>
      <c r="L1286" s="158"/>
      <c r="M1286" s="158"/>
      <c r="N1286" s="158"/>
      <c r="O1286" s="158"/>
      <c r="P1286" s="158"/>
      <c r="Q1286" s="158"/>
      <c r="R1286" s="159"/>
      <c r="S1286" s="160"/>
      <c r="T1286" s="162"/>
    </row>
    <row r="1287">
      <c r="A1287" s="158"/>
      <c r="B1287" s="158"/>
      <c r="C1287" s="158"/>
      <c r="D1287" s="159"/>
      <c r="E1287" s="160"/>
      <c r="F1287" s="161"/>
      <c r="G1287" s="162"/>
      <c r="H1287" s="163"/>
      <c r="I1287" s="162"/>
      <c r="J1287" s="164"/>
      <c r="K1287" s="164"/>
      <c r="L1287" s="158"/>
      <c r="M1287" s="158"/>
      <c r="N1287" s="158"/>
      <c r="O1287" s="158"/>
      <c r="P1287" s="158"/>
      <c r="Q1287" s="158"/>
      <c r="R1287" s="159"/>
      <c r="S1287" s="160"/>
      <c r="T1287" s="162"/>
    </row>
    <row r="1288">
      <c r="A1288" s="158"/>
      <c r="B1288" s="158"/>
      <c r="C1288" s="158"/>
      <c r="D1288" s="159"/>
      <c r="E1288" s="160"/>
      <c r="F1288" s="161"/>
      <c r="G1288" s="162"/>
      <c r="H1288" s="163"/>
      <c r="I1288" s="162"/>
      <c r="J1288" s="164"/>
      <c r="K1288" s="164"/>
      <c r="L1288" s="158"/>
      <c r="M1288" s="158"/>
      <c r="N1288" s="158"/>
      <c r="O1288" s="158"/>
      <c r="P1288" s="158"/>
      <c r="Q1288" s="158"/>
      <c r="R1288" s="159"/>
      <c r="S1288" s="160"/>
      <c r="T1288" s="162"/>
    </row>
    <row r="1289">
      <c r="A1289" s="158"/>
      <c r="B1289" s="158"/>
      <c r="C1289" s="158"/>
      <c r="D1289" s="159"/>
      <c r="E1289" s="160"/>
      <c r="F1289" s="161"/>
      <c r="G1289" s="162"/>
      <c r="H1289" s="163"/>
      <c r="I1289" s="162"/>
      <c r="J1289" s="164"/>
      <c r="K1289" s="164"/>
      <c r="L1289" s="158"/>
      <c r="M1289" s="158"/>
      <c r="N1289" s="158"/>
      <c r="O1289" s="158"/>
      <c r="P1289" s="158"/>
      <c r="Q1289" s="158"/>
      <c r="R1289" s="159"/>
      <c r="S1289" s="160"/>
      <c r="T1289" s="162"/>
    </row>
    <row r="1290">
      <c r="A1290" s="158"/>
      <c r="B1290" s="158"/>
      <c r="C1290" s="158"/>
      <c r="D1290" s="159"/>
      <c r="E1290" s="160"/>
      <c r="F1290" s="161"/>
      <c r="G1290" s="162"/>
      <c r="H1290" s="163"/>
      <c r="I1290" s="162"/>
      <c r="J1290" s="164"/>
      <c r="K1290" s="164"/>
      <c r="L1290" s="158"/>
      <c r="M1290" s="158"/>
      <c r="N1290" s="158"/>
      <c r="O1290" s="158"/>
      <c r="P1290" s="158"/>
      <c r="Q1290" s="158"/>
      <c r="R1290" s="159"/>
      <c r="S1290" s="160"/>
      <c r="T1290" s="162"/>
    </row>
    <row r="1291">
      <c r="A1291" s="158"/>
      <c r="B1291" s="158"/>
      <c r="C1291" s="158"/>
      <c r="D1291" s="159"/>
      <c r="E1291" s="160"/>
      <c r="F1291" s="161"/>
      <c r="G1291" s="162"/>
      <c r="H1291" s="163"/>
      <c r="I1291" s="162"/>
      <c r="J1291" s="164"/>
      <c r="K1291" s="164"/>
      <c r="L1291" s="158"/>
      <c r="M1291" s="158"/>
      <c r="N1291" s="158"/>
      <c r="O1291" s="158"/>
      <c r="P1291" s="158"/>
      <c r="Q1291" s="158"/>
      <c r="R1291" s="159"/>
      <c r="S1291" s="160"/>
      <c r="T1291" s="162"/>
    </row>
    <row r="1292">
      <c r="A1292" s="158"/>
      <c r="B1292" s="158"/>
      <c r="C1292" s="158"/>
      <c r="D1292" s="159"/>
      <c r="E1292" s="160"/>
      <c r="F1292" s="161"/>
      <c r="G1292" s="162"/>
      <c r="H1292" s="163"/>
      <c r="I1292" s="162"/>
      <c r="J1292" s="164"/>
      <c r="K1292" s="164"/>
      <c r="L1292" s="158"/>
      <c r="M1292" s="158"/>
      <c r="N1292" s="158"/>
      <c r="O1292" s="158"/>
      <c r="P1292" s="158"/>
      <c r="Q1292" s="158"/>
      <c r="R1292" s="159"/>
      <c r="S1292" s="160"/>
      <c r="T1292" s="162"/>
    </row>
    <row r="1293">
      <c r="A1293" s="158"/>
      <c r="B1293" s="158"/>
      <c r="C1293" s="158"/>
      <c r="D1293" s="159"/>
      <c r="E1293" s="160"/>
      <c r="F1293" s="161"/>
      <c r="G1293" s="162"/>
      <c r="H1293" s="163"/>
      <c r="I1293" s="162"/>
      <c r="J1293" s="164"/>
      <c r="K1293" s="164"/>
      <c r="L1293" s="158"/>
      <c r="M1293" s="158"/>
      <c r="N1293" s="158"/>
      <c r="O1293" s="158"/>
      <c r="P1293" s="158"/>
      <c r="Q1293" s="158"/>
      <c r="R1293" s="159"/>
      <c r="S1293" s="160"/>
      <c r="T1293" s="162"/>
    </row>
    <row r="1294">
      <c r="A1294" s="158"/>
      <c r="B1294" s="158"/>
      <c r="C1294" s="158"/>
      <c r="D1294" s="159"/>
      <c r="E1294" s="160"/>
      <c r="F1294" s="161"/>
      <c r="G1294" s="162"/>
      <c r="H1294" s="163"/>
      <c r="I1294" s="162"/>
      <c r="J1294" s="164"/>
      <c r="K1294" s="164"/>
      <c r="L1294" s="158"/>
      <c r="M1294" s="158"/>
      <c r="N1294" s="158"/>
      <c r="O1294" s="158"/>
      <c r="P1294" s="158"/>
      <c r="Q1294" s="158"/>
      <c r="R1294" s="159"/>
      <c r="S1294" s="160"/>
      <c r="T1294" s="162"/>
    </row>
    <row r="1295">
      <c r="A1295" s="158"/>
      <c r="B1295" s="158"/>
      <c r="C1295" s="158"/>
      <c r="D1295" s="159"/>
      <c r="E1295" s="160"/>
      <c r="F1295" s="161"/>
      <c r="G1295" s="162"/>
      <c r="H1295" s="163"/>
      <c r="I1295" s="162"/>
      <c r="J1295" s="164"/>
      <c r="K1295" s="164"/>
      <c r="L1295" s="158"/>
      <c r="M1295" s="158"/>
      <c r="N1295" s="158"/>
      <c r="O1295" s="158"/>
      <c r="P1295" s="158"/>
      <c r="Q1295" s="158"/>
      <c r="R1295" s="159"/>
      <c r="S1295" s="160"/>
      <c r="T1295" s="162"/>
    </row>
    <row r="1296">
      <c r="A1296" s="158"/>
      <c r="B1296" s="158"/>
      <c r="C1296" s="158"/>
      <c r="D1296" s="159"/>
      <c r="E1296" s="160"/>
      <c r="F1296" s="161"/>
      <c r="G1296" s="162"/>
      <c r="H1296" s="163"/>
      <c r="I1296" s="162"/>
      <c r="J1296" s="164"/>
      <c r="K1296" s="164"/>
      <c r="L1296" s="158"/>
      <c r="M1296" s="158"/>
      <c r="N1296" s="158"/>
      <c r="O1296" s="158"/>
      <c r="P1296" s="158"/>
      <c r="Q1296" s="158"/>
      <c r="R1296" s="159"/>
      <c r="S1296" s="160"/>
      <c r="T1296" s="162"/>
    </row>
    <row r="1297">
      <c r="A1297" s="158"/>
      <c r="B1297" s="158"/>
      <c r="C1297" s="158"/>
      <c r="D1297" s="159"/>
      <c r="E1297" s="160"/>
      <c r="F1297" s="161"/>
      <c r="G1297" s="162"/>
      <c r="H1297" s="163"/>
      <c r="I1297" s="162"/>
      <c r="J1297" s="164"/>
      <c r="K1297" s="164"/>
      <c r="L1297" s="158"/>
      <c r="M1297" s="158"/>
      <c r="N1297" s="158"/>
      <c r="O1297" s="158"/>
      <c r="P1297" s="158"/>
      <c r="Q1297" s="158"/>
      <c r="R1297" s="159"/>
      <c r="S1297" s="160"/>
      <c r="T1297" s="162"/>
    </row>
    <row r="1298">
      <c r="A1298" s="158"/>
      <c r="B1298" s="158"/>
      <c r="C1298" s="158"/>
      <c r="D1298" s="159"/>
      <c r="E1298" s="160"/>
      <c r="F1298" s="161"/>
      <c r="G1298" s="162"/>
      <c r="H1298" s="163"/>
      <c r="I1298" s="162"/>
      <c r="J1298" s="164"/>
      <c r="K1298" s="164"/>
      <c r="L1298" s="158"/>
      <c r="M1298" s="158"/>
      <c r="N1298" s="158"/>
      <c r="O1298" s="158"/>
      <c r="P1298" s="158"/>
      <c r="Q1298" s="158"/>
      <c r="R1298" s="159"/>
      <c r="S1298" s="160"/>
      <c r="T1298" s="162"/>
    </row>
    <row r="1299">
      <c r="A1299" s="158"/>
      <c r="B1299" s="158"/>
      <c r="C1299" s="158"/>
      <c r="D1299" s="159"/>
      <c r="E1299" s="160"/>
      <c r="F1299" s="161"/>
      <c r="G1299" s="162"/>
      <c r="H1299" s="163"/>
      <c r="I1299" s="162"/>
      <c r="J1299" s="164"/>
      <c r="K1299" s="164"/>
      <c r="L1299" s="158"/>
      <c r="M1299" s="158"/>
      <c r="N1299" s="158"/>
      <c r="O1299" s="158"/>
      <c r="P1299" s="158"/>
      <c r="Q1299" s="158"/>
      <c r="R1299" s="159"/>
      <c r="S1299" s="160"/>
      <c r="T1299" s="162"/>
    </row>
    <row r="1300">
      <c r="A1300" s="158"/>
      <c r="B1300" s="158"/>
      <c r="C1300" s="158"/>
      <c r="D1300" s="159"/>
      <c r="E1300" s="160"/>
      <c r="F1300" s="161"/>
      <c r="G1300" s="162"/>
      <c r="H1300" s="163"/>
      <c r="I1300" s="162"/>
      <c r="J1300" s="164"/>
      <c r="K1300" s="164"/>
      <c r="L1300" s="158"/>
      <c r="M1300" s="158"/>
      <c r="N1300" s="158"/>
      <c r="O1300" s="158"/>
      <c r="P1300" s="158"/>
      <c r="Q1300" s="158"/>
      <c r="R1300" s="159"/>
      <c r="S1300" s="160"/>
      <c r="T1300" s="162"/>
    </row>
    <row r="1301">
      <c r="A1301" s="158"/>
      <c r="B1301" s="158"/>
      <c r="C1301" s="158"/>
      <c r="D1301" s="159"/>
      <c r="E1301" s="160"/>
      <c r="F1301" s="161"/>
      <c r="G1301" s="162"/>
      <c r="H1301" s="163"/>
      <c r="I1301" s="162"/>
      <c r="J1301" s="164"/>
      <c r="K1301" s="164"/>
      <c r="L1301" s="158"/>
      <c r="M1301" s="158"/>
      <c r="N1301" s="158"/>
      <c r="O1301" s="158"/>
      <c r="P1301" s="158"/>
      <c r="Q1301" s="158"/>
      <c r="R1301" s="159"/>
      <c r="S1301" s="160"/>
      <c r="T1301" s="162"/>
    </row>
    <row r="1302">
      <c r="A1302" s="158"/>
      <c r="B1302" s="158"/>
      <c r="C1302" s="158"/>
      <c r="D1302" s="159"/>
      <c r="E1302" s="160"/>
      <c r="F1302" s="161"/>
      <c r="G1302" s="162"/>
      <c r="H1302" s="163"/>
      <c r="I1302" s="162"/>
      <c r="J1302" s="164"/>
      <c r="K1302" s="164"/>
      <c r="L1302" s="158"/>
      <c r="M1302" s="158"/>
      <c r="N1302" s="158"/>
      <c r="O1302" s="158"/>
      <c r="P1302" s="158"/>
      <c r="Q1302" s="158"/>
      <c r="R1302" s="159"/>
      <c r="S1302" s="160"/>
      <c r="T1302" s="162"/>
    </row>
    <row r="1303">
      <c r="A1303" s="158"/>
      <c r="B1303" s="158"/>
      <c r="C1303" s="158"/>
      <c r="D1303" s="159"/>
      <c r="E1303" s="160"/>
      <c r="F1303" s="161"/>
      <c r="G1303" s="162"/>
      <c r="H1303" s="163"/>
      <c r="I1303" s="162"/>
      <c r="J1303" s="164"/>
      <c r="K1303" s="164"/>
      <c r="L1303" s="158"/>
      <c r="M1303" s="158"/>
      <c r="N1303" s="158"/>
      <c r="O1303" s="158"/>
      <c r="P1303" s="158"/>
      <c r="Q1303" s="158"/>
      <c r="R1303" s="159"/>
      <c r="S1303" s="160"/>
      <c r="T1303" s="162"/>
    </row>
    <row r="1304">
      <c r="A1304" s="158"/>
      <c r="B1304" s="158"/>
      <c r="C1304" s="158"/>
      <c r="D1304" s="159"/>
      <c r="E1304" s="160"/>
      <c r="F1304" s="161"/>
      <c r="G1304" s="162"/>
      <c r="H1304" s="163"/>
      <c r="I1304" s="162"/>
      <c r="J1304" s="164"/>
      <c r="K1304" s="164"/>
      <c r="L1304" s="158"/>
      <c r="M1304" s="158"/>
      <c r="N1304" s="158"/>
      <c r="O1304" s="158"/>
      <c r="P1304" s="158"/>
      <c r="Q1304" s="158"/>
      <c r="R1304" s="159"/>
      <c r="S1304" s="160"/>
      <c r="T1304" s="162"/>
    </row>
    <row r="1305">
      <c r="A1305" s="158"/>
      <c r="B1305" s="158"/>
      <c r="C1305" s="158"/>
      <c r="D1305" s="159"/>
      <c r="E1305" s="160"/>
      <c r="F1305" s="161"/>
      <c r="G1305" s="162"/>
      <c r="H1305" s="163"/>
      <c r="I1305" s="162"/>
      <c r="J1305" s="164"/>
      <c r="K1305" s="164"/>
      <c r="L1305" s="158"/>
      <c r="M1305" s="158"/>
      <c r="N1305" s="158"/>
      <c r="O1305" s="158"/>
      <c r="P1305" s="158"/>
      <c r="Q1305" s="158"/>
      <c r="R1305" s="159"/>
      <c r="S1305" s="160"/>
      <c r="T1305" s="162"/>
    </row>
    <row r="1306">
      <c r="A1306" s="158"/>
      <c r="B1306" s="158"/>
      <c r="C1306" s="158"/>
      <c r="D1306" s="159"/>
      <c r="E1306" s="160"/>
      <c r="F1306" s="161"/>
      <c r="G1306" s="162"/>
      <c r="H1306" s="163"/>
      <c r="I1306" s="162"/>
      <c r="J1306" s="164"/>
      <c r="K1306" s="164"/>
      <c r="L1306" s="158"/>
      <c r="M1306" s="158"/>
      <c r="N1306" s="158"/>
      <c r="O1306" s="158"/>
      <c r="P1306" s="158"/>
      <c r="Q1306" s="158"/>
      <c r="R1306" s="159"/>
      <c r="S1306" s="160"/>
      <c r="T1306" s="162"/>
    </row>
    <row r="1307">
      <c r="A1307" s="158"/>
      <c r="B1307" s="158"/>
      <c r="C1307" s="158"/>
      <c r="D1307" s="159"/>
      <c r="E1307" s="160"/>
      <c r="F1307" s="161"/>
      <c r="G1307" s="162"/>
      <c r="H1307" s="163"/>
      <c r="I1307" s="162"/>
      <c r="J1307" s="164"/>
      <c r="K1307" s="164"/>
      <c r="L1307" s="158"/>
      <c r="M1307" s="158"/>
      <c r="N1307" s="158"/>
      <c r="O1307" s="158"/>
      <c r="P1307" s="158"/>
      <c r="Q1307" s="158"/>
      <c r="R1307" s="159"/>
      <c r="S1307" s="160"/>
      <c r="T1307" s="162"/>
    </row>
    <row r="1308">
      <c r="A1308" s="158"/>
      <c r="B1308" s="158"/>
      <c r="C1308" s="158"/>
      <c r="D1308" s="159"/>
      <c r="E1308" s="160"/>
      <c r="F1308" s="161"/>
      <c r="G1308" s="162"/>
      <c r="H1308" s="163"/>
      <c r="I1308" s="162"/>
      <c r="J1308" s="164"/>
      <c r="K1308" s="164"/>
      <c r="L1308" s="158"/>
      <c r="M1308" s="158"/>
      <c r="N1308" s="158"/>
      <c r="O1308" s="158"/>
      <c r="P1308" s="158"/>
      <c r="Q1308" s="158"/>
      <c r="R1308" s="159"/>
      <c r="S1308" s="160"/>
      <c r="T1308" s="162"/>
    </row>
    <row r="1309">
      <c r="A1309" s="158"/>
      <c r="B1309" s="158"/>
      <c r="C1309" s="158"/>
      <c r="D1309" s="159"/>
      <c r="E1309" s="160"/>
      <c r="F1309" s="161"/>
      <c r="G1309" s="162"/>
      <c r="H1309" s="163"/>
      <c r="I1309" s="162"/>
      <c r="J1309" s="164"/>
      <c r="K1309" s="164"/>
      <c r="L1309" s="158"/>
      <c r="M1309" s="158"/>
      <c r="N1309" s="158"/>
      <c r="O1309" s="158"/>
      <c r="P1309" s="158"/>
      <c r="Q1309" s="158"/>
      <c r="R1309" s="159"/>
      <c r="S1309" s="160"/>
      <c r="T1309" s="162"/>
    </row>
    <row r="1310">
      <c r="A1310" s="158"/>
      <c r="B1310" s="158"/>
      <c r="C1310" s="158"/>
      <c r="D1310" s="159"/>
      <c r="E1310" s="160"/>
      <c r="F1310" s="161"/>
      <c r="G1310" s="162"/>
      <c r="H1310" s="163"/>
      <c r="I1310" s="162"/>
      <c r="J1310" s="164"/>
      <c r="K1310" s="164"/>
      <c r="L1310" s="158"/>
      <c r="M1310" s="158"/>
      <c r="N1310" s="158"/>
      <c r="O1310" s="158"/>
      <c r="P1310" s="158"/>
      <c r="Q1310" s="158"/>
      <c r="R1310" s="159"/>
      <c r="S1310" s="160"/>
      <c r="T1310" s="162"/>
    </row>
    <row r="1311">
      <c r="A1311" s="158"/>
      <c r="B1311" s="158"/>
      <c r="C1311" s="158"/>
      <c r="D1311" s="159"/>
      <c r="E1311" s="160"/>
      <c r="F1311" s="161"/>
      <c r="G1311" s="162"/>
      <c r="H1311" s="163"/>
      <c r="I1311" s="162"/>
      <c r="J1311" s="164"/>
      <c r="K1311" s="164"/>
      <c r="L1311" s="158"/>
      <c r="M1311" s="158"/>
      <c r="N1311" s="158"/>
      <c r="O1311" s="158"/>
      <c r="P1311" s="158"/>
      <c r="Q1311" s="158"/>
      <c r="R1311" s="159"/>
      <c r="S1311" s="160"/>
      <c r="T1311" s="162"/>
    </row>
    <row r="1312">
      <c r="A1312" s="158"/>
      <c r="B1312" s="158"/>
      <c r="C1312" s="158"/>
      <c r="D1312" s="159"/>
      <c r="E1312" s="160"/>
      <c r="F1312" s="161"/>
      <c r="G1312" s="162"/>
      <c r="H1312" s="163"/>
      <c r="I1312" s="162"/>
      <c r="J1312" s="164"/>
      <c r="K1312" s="164"/>
      <c r="L1312" s="158"/>
      <c r="M1312" s="158"/>
      <c r="N1312" s="158"/>
      <c r="O1312" s="158"/>
      <c r="P1312" s="158"/>
      <c r="Q1312" s="158"/>
      <c r="R1312" s="159"/>
      <c r="S1312" s="160"/>
      <c r="T1312" s="162"/>
    </row>
    <row r="1313">
      <c r="A1313" s="158"/>
      <c r="B1313" s="158"/>
      <c r="C1313" s="158"/>
      <c r="D1313" s="159"/>
      <c r="E1313" s="160"/>
      <c r="F1313" s="161"/>
      <c r="G1313" s="162"/>
      <c r="H1313" s="163"/>
      <c r="I1313" s="162"/>
      <c r="J1313" s="164"/>
      <c r="K1313" s="164"/>
      <c r="L1313" s="158"/>
      <c r="M1313" s="158"/>
      <c r="N1313" s="158"/>
      <c r="O1313" s="158"/>
      <c r="P1313" s="158"/>
      <c r="Q1313" s="158"/>
      <c r="R1313" s="159"/>
      <c r="S1313" s="160"/>
      <c r="T1313" s="162"/>
    </row>
    <row r="1314">
      <c r="A1314" s="158"/>
      <c r="B1314" s="158"/>
      <c r="C1314" s="158"/>
      <c r="D1314" s="159"/>
      <c r="E1314" s="160"/>
      <c r="F1314" s="161"/>
      <c r="G1314" s="162"/>
      <c r="H1314" s="163"/>
      <c r="I1314" s="162"/>
      <c r="J1314" s="164"/>
      <c r="K1314" s="164"/>
      <c r="L1314" s="158"/>
      <c r="M1314" s="158"/>
      <c r="N1314" s="158"/>
      <c r="O1314" s="158"/>
      <c r="P1314" s="158"/>
      <c r="Q1314" s="158"/>
      <c r="R1314" s="159"/>
      <c r="S1314" s="160"/>
      <c r="T1314" s="162"/>
    </row>
    <row r="1315">
      <c r="A1315" s="158"/>
      <c r="B1315" s="158"/>
      <c r="C1315" s="158"/>
      <c r="D1315" s="159"/>
      <c r="E1315" s="160"/>
      <c r="F1315" s="161"/>
      <c r="G1315" s="162"/>
      <c r="H1315" s="163"/>
      <c r="I1315" s="162"/>
      <c r="J1315" s="164"/>
      <c r="K1315" s="164"/>
      <c r="L1315" s="158"/>
      <c r="M1315" s="158"/>
      <c r="N1315" s="158"/>
      <c r="O1315" s="158"/>
      <c r="P1315" s="158"/>
      <c r="Q1315" s="158"/>
      <c r="R1315" s="159"/>
      <c r="S1315" s="160"/>
      <c r="T1315" s="162"/>
    </row>
    <row r="1316">
      <c r="A1316" s="158"/>
      <c r="B1316" s="158"/>
      <c r="C1316" s="158"/>
      <c r="D1316" s="159"/>
      <c r="E1316" s="160"/>
      <c r="F1316" s="161"/>
      <c r="G1316" s="162"/>
      <c r="H1316" s="163"/>
      <c r="I1316" s="162"/>
      <c r="J1316" s="164"/>
      <c r="K1316" s="164"/>
      <c r="L1316" s="158"/>
      <c r="M1316" s="158"/>
      <c r="N1316" s="158"/>
      <c r="O1316" s="158"/>
      <c r="P1316" s="158"/>
      <c r="Q1316" s="158"/>
      <c r="R1316" s="159"/>
      <c r="S1316" s="160"/>
      <c r="T1316" s="162"/>
    </row>
    <row r="1317">
      <c r="A1317" s="158"/>
      <c r="B1317" s="158"/>
      <c r="C1317" s="158"/>
      <c r="D1317" s="159"/>
      <c r="E1317" s="160"/>
      <c r="F1317" s="161"/>
      <c r="G1317" s="162"/>
      <c r="H1317" s="163"/>
      <c r="I1317" s="162"/>
      <c r="J1317" s="164"/>
      <c r="K1317" s="164"/>
      <c r="L1317" s="158"/>
      <c r="M1317" s="158"/>
      <c r="N1317" s="158"/>
      <c r="O1317" s="158"/>
      <c r="P1317" s="158"/>
      <c r="Q1317" s="158"/>
      <c r="R1317" s="159"/>
      <c r="S1317" s="160"/>
      <c r="T1317" s="162"/>
    </row>
    <row r="1318">
      <c r="A1318" s="158"/>
      <c r="B1318" s="158"/>
      <c r="C1318" s="158"/>
      <c r="D1318" s="159"/>
      <c r="E1318" s="160"/>
      <c r="F1318" s="161"/>
      <c r="G1318" s="162"/>
      <c r="H1318" s="163"/>
      <c r="I1318" s="162"/>
      <c r="J1318" s="164"/>
      <c r="K1318" s="164"/>
      <c r="L1318" s="158"/>
      <c r="M1318" s="158"/>
      <c r="N1318" s="158"/>
      <c r="O1318" s="158"/>
      <c r="P1318" s="158"/>
      <c r="Q1318" s="158"/>
      <c r="R1318" s="159"/>
      <c r="S1318" s="160"/>
      <c r="T1318" s="162"/>
    </row>
    <row r="1319">
      <c r="A1319" s="158"/>
      <c r="B1319" s="158"/>
      <c r="C1319" s="158"/>
      <c r="D1319" s="159"/>
      <c r="E1319" s="160"/>
      <c r="F1319" s="161"/>
      <c r="G1319" s="162"/>
      <c r="H1319" s="163"/>
      <c r="I1319" s="162"/>
      <c r="J1319" s="164"/>
      <c r="K1319" s="164"/>
      <c r="L1319" s="158"/>
      <c r="M1319" s="158"/>
      <c r="N1319" s="158"/>
      <c r="O1319" s="158"/>
      <c r="P1319" s="158"/>
      <c r="Q1319" s="158"/>
      <c r="R1319" s="159"/>
      <c r="S1319" s="160"/>
      <c r="T1319" s="162"/>
    </row>
    <row r="1320">
      <c r="A1320" s="158"/>
      <c r="B1320" s="158"/>
      <c r="C1320" s="158"/>
      <c r="D1320" s="159"/>
      <c r="E1320" s="160"/>
      <c r="F1320" s="161"/>
      <c r="G1320" s="162"/>
      <c r="H1320" s="163"/>
      <c r="I1320" s="162"/>
      <c r="J1320" s="164"/>
      <c r="K1320" s="164"/>
      <c r="L1320" s="158"/>
      <c r="M1320" s="158"/>
      <c r="N1320" s="158"/>
      <c r="O1320" s="158"/>
      <c r="P1320" s="158"/>
      <c r="Q1320" s="158"/>
      <c r="R1320" s="159"/>
      <c r="S1320" s="160"/>
      <c r="T1320" s="162"/>
    </row>
    <row r="1321">
      <c r="A1321" s="158"/>
      <c r="B1321" s="158"/>
      <c r="C1321" s="158"/>
      <c r="D1321" s="159"/>
      <c r="E1321" s="160"/>
      <c r="F1321" s="161"/>
      <c r="G1321" s="162"/>
      <c r="H1321" s="163"/>
      <c r="I1321" s="162"/>
      <c r="J1321" s="164"/>
      <c r="K1321" s="164"/>
      <c r="L1321" s="158"/>
      <c r="M1321" s="158"/>
      <c r="N1321" s="158"/>
      <c r="O1321" s="158"/>
      <c r="P1321" s="158"/>
      <c r="Q1321" s="158"/>
      <c r="R1321" s="159"/>
      <c r="S1321" s="160"/>
      <c r="T1321" s="162"/>
    </row>
    <row r="1322">
      <c r="A1322" s="158"/>
      <c r="B1322" s="158"/>
      <c r="C1322" s="158"/>
      <c r="D1322" s="159"/>
      <c r="E1322" s="160"/>
      <c r="F1322" s="161"/>
      <c r="G1322" s="162"/>
      <c r="H1322" s="163"/>
      <c r="I1322" s="162"/>
      <c r="J1322" s="164"/>
      <c r="K1322" s="164"/>
      <c r="L1322" s="158"/>
      <c r="M1322" s="158"/>
      <c r="N1322" s="158"/>
      <c r="O1322" s="158"/>
      <c r="P1322" s="158"/>
      <c r="Q1322" s="158"/>
      <c r="R1322" s="159"/>
      <c r="S1322" s="160"/>
      <c r="T1322" s="162"/>
    </row>
    <row r="1323">
      <c r="A1323" s="158"/>
      <c r="B1323" s="158"/>
      <c r="C1323" s="158"/>
      <c r="D1323" s="159"/>
      <c r="E1323" s="160"/>
      <c r="F1323" s="161"/>
      <c r="G1323" s="162"/>
      <c r="H1323" s="163"/>
      <c r="I1323" s="162"/>
      <c r="J1323" s="164"/>
      <c r="K1323" s="164"/>
      <c r="L1323" s="158"/>
      <c r="M1323" s="158"/>
      <c r="N1323" s="158"/>
      <c r="O1323" s="158"/>
      <c r="P1323" s="158"/>
      <c r="Q1323" s="158"/>
      <c r="R1323" s="159"/>
      <c r="S1323" s="160"/>
      <c r="T1323" s="162"/>
    </row>
    <row r="1324">
      <c r="A1324" s="158"/>
      <c r="B1324" s="158"/>
      <c r="C1324" s="158"/>
      <c r="D1324" s="159"/>
      <c r="E1324" s="160"/>
      <c r="F1324" s="161"/>
      <c r="G1324" s="162"/>
      <c r="H1324" s="163"/>
      <c r="I1324" s="162"/>
      <c r="J1324" s="164"/>
      <c r="K1324" s="164"/>
      <c r="L1324" s="158"/>
      <c r="M1324" s="158"/>
      <c r="N1324" s="158"/>
      <c r="O1324" s="158"/>
      <c r="P1324" s="158"/>
      <c r="Q1324" s="158"/>
      <c r="R1324" s="159"/>
      <c r="S1324" s="160"/>
      <c r="T1324" s="162"/>
    </row>
    <row r="1325">
      <c r="A1325" s="158"/>
      <c r="B1325" s="158"/>
      <c r="C1325" s="158"/>
      <c r="D1325" s="159"/>
      <c r="E1325" s="160"/>
      <c r="F1325" s="161"/>
      <c r="G1325" s="162"/>
      <c r="H1325" s="163"/>
      <c r="I1325" s="162"/>
      <c r="J1325" s="164"/>
      <c r="K1325" s="164"/>
      <c r="L1325" s="158"/>
      <c r="M1325" s="158"/>
      <c r="N1325" s="158"/>
      <c r="O1325" s="158"/>
      <c r="P1325" s="158"/>
      <c r="Q1325" s="158"/>
      <c r="R1325" s="159"/>
      <c r="S1325" s="160"/>
      <c r="T1325" s="162"/>
    </row>
    <row r="1326">
      <c r="A1326" s="158"/>
      <c r="B1326" s="158"/>
      <c r="C1326" s="158"/>
      <c r="D1326" s="159"/>
      <c r="E1326" s="160"/>
      <c r="F1326" s="161"/>
      <c r="G1326" s="162"/>
      <c r="H1326" s="163"/>
      <c r="I1326" s="162"/>
      <c r="J1326" s="164"/>
      <c r="K1326" s="164"/>
      <c r="L1326" s="158"/>
      <c r="M1326" s="158"/>
      <c r="N1326" s="158"/>
      <c r="O1326" s="158"/>
      <c r="P1326" s="158"/>
      <c r="Q1326" s="158"/>
      <c r="R1326" s="159"/>
      <c r="S1326" s="160"/>
      <c r="T1326" s="162"/>
    </row>
    <row r="1327">
      <c r="A1327" s="158"/>
      <c r="B1327" s="158"/>
      <c r="C1327" s="158"/>
      <c r="D1327" s="159"/>
      <c r="E1327" s="160"/>
      <c r="F1327" s="161"/>
      <c r="G1327" s="162"/>
      <c r="H1327" s="163"/>
      <c r="I1327" s="162"/>
      <c r="J1327" s="164"/>
      <c r="K1327" s="164"/>
      <c r="L1327" s="158"/>
      <c r="M1327" s="158"/>
      <c r="N1327" s="158"/>
      <c r="O1327" s="158"/>
      <c r="P1327" s="158"/>
      <c r="Q1327" s="158"/>
      <c r="R1327" s="159"/>
      <c r="S1327" s="160"/>
      <c r="T1327" s="162"/>
    </row>
    <row r="1328">
      <c r="A1328" s="158"/>
      <c r="B1328" s="158"/>
      <c r="C1328" s="158"/>
      <c r="D1328" s="159"/>
      <c r="E1328" s="160"/>
      <c r="F1328" s="161"/>
      <c r="G1328" s="162"/>
      <c r="H1328" s="163"/>
      <c r="I1328" s="162"/>
      <c r="J1328" s="164"/>
      <c r="K1328" s="164"/>
      <c r="L1328" s="158"/>
      <c r="M1328" s="158"/>
      <c r="N1328" s="158"/>
      <c r="O1328" s="158"/>
      <c r="P1328" s="158"/>
      <c r="Q1328" s="158"/>
      <c r="R1328" s="159"/>
      <c r="S1328" s="160"/>
      <c r="T1328" s="162"/>
    </row>
    <row r="1329">
      <c r="A1329" s="158"/>
      <c r="B1329" s="158"/>
      <c r="C1329" s="158"/>
      <c r="D1329" s="159"/>
      <c r="E1329" s="160"/>
      <c r="F1329" s="161"/>
      <c r="G1329" s="162"/>
      <c r="H1329" s="163"/>
      <c r="I1329" s="162"/>
      <c r="J1329" s="164"/>
      <c r="K1329" s="164"/>
      <c r="L1329" s="158"/>
      <c r="M1329" s="158"/>
      <c r="N1329" s="158"/>
      <c r="O1329" s="158"/>
      <c r="P1329" s="158"/>
      <c r="Q1329" s="158"/>
      <c r="R1329" s="159"/>
      <c r="S1329" s="160"/>
      <c r="T1329" s="162"/>
    </row>
    <row r="1330">
      <c r="A1330" s="158"/>
      <c r="B1330" s="158"/>
      <c r="C1330" s="158"/>
      <c r="D1330" s="159"/>
      <c r="E1330" s="160"/>
      <c r="F1330" s="161"/>
      <c r="G1330" s="162"/>
      <c r="H1330" s="163"/>
      <c r="I1330" s="162"/>
      <c r="J1330" s="164"/>
      <c r="K1330" s="164"/>
      <c r="L1330" s="158"/>
      <c r="M1330" s="158"/>
      <c r="N1330" s="158"/>
      <c r="O1330" s="158"/>
      <c r="P1330" s="158"/>
      <c r="Q1330" s="158"/>
      <c r="R1330" s="159"/>
      <c r="S1330" s="160"/>
      <c r="T1330" s="162"/>
    </row>
    <row r="1331">
      <c r="A1331" s="158"/>
      <c r="B1331" s="158"/>
      <c r="C1331" s="158"/>
      <c r="D1331" s="159"/>
      <c r="E1331" s="160"/>
      <c r="F1331" s="161"/>
      <c r="G1331" s="162"/>
      <c r="H1331" s="163"/>
      <c r="I1331" s="162"/>
      <c r="J1331" s="164"/>
      <c r="K1331" s="164"/>
      <c r="L1331" s="158"/>
      <c r="M1331" s="158"/>
      <c r="N1331" s="158"/>
      <c r="O1331" s="158"/>
      <c r="P1331" s="158"/>
      <c r="Q1331" s="158"/>
      <c r="R1331" s="159"/>
      <c r="S1331" s="160"/>
      <c r="T1331" s="162"/>
    </row>
    <row r="1332">
      <c r="A1332" s="158"/>
      <c r="B1332" s="158"/>
      <c r="C1332" s="158"/>
      <c r="D1332" s="159"/>
      <c r="E1332" s="160"/>
      <c r="F1332" s="161"/>
      <c r="G1332" s="162"/>
      <c r="H1332" s="163"/>
      <c r="I1332" s="162"/>
      <c r="J1332" s="164"/>
      <c r="K1332" s="164"/>
      <c r="L1332" s="158"/>
      <c r="M1332" s="158"/>
      <c r="N1332" s="158"/>
      <c r="O1332" s="158"/>
      <c r="P1332" s="158"/>
      <c r="Q1332" s="158"/>
      <c r="R1332" s="159"/>
      <c r="S1332" s="160"/>
      <c r="T1332" s="162"/>
    </row>
    <row r="1333">
      <c r="A1333" s="158"/>
      <c r="B1333" s="158"/>
      <c r="C1333" s="158"/>
      <c r="D1333" s="159"/>
      <c r="E1333" s="160"/>
      <c r="F1333" s="161"/>
      <c r="G1333" s="162"/>
      <c r="H1333" s="163"/>
      <c r="I1333" s="162"/>
      <c r="J1333" s="164"/>
      <c r="K1333" s="164"/>
      <c r="L1333" s="158"/>
      <c r="M1333" s="158"/>
      <c r="N1333" s="158"/>
      <c r="O1333" s="158"/>
      <c r="P1333" s="158"/>
      <c r="Q1333" s="158"/>
      <c r="R1333" s="159"/>
      <c r="S1333" s="160"/>
      <c r="T1333" s="162"/>
    </row>
    <row r="1334">
      <c r="A1334" s="158"/>
      <c r="B1334" s="158"/>
      <c r="C1334" s="158"/>
      <c r="D1334" s="159"/>
      <c r="E1334" s="160"/>
      <c r="F1334" s="161"/>
      <c r="G1334" s="162"/>
      <c r="H1334" s="163"/>
      <c r="I1334" s="162"/>
      <c r="J1334" s="164"/>
      <c r="K1334" s="164"/>
      <c r="L1334" s="158"/>
      <c r="M1334" s="158"/>
      <c r="N1334" s="158"/>
      <c r="O1334" s="158"/>
      <c r="P1334" s="158"/>
      <c r="Q1334" s="158"/>
      <c r="R1334" s="159"/>
      <c r="S1334" s="160"/>
      <c r="T1334" s="162"/>
    </row>
    <row r="1335">
      <c r="A1335" s="158"/>
      <c r="B1335" s="158"/>
      <c r="C1335" s="158"/>
      <c r="D1335" s="159"/>
      <c r="E1335" s="160"/>
      <c r="F1335" s="161"/>
      <c r="G1335" s="162"/>
      <c r="H1335" s="163"/>
      <c r="I1335" s="162"/>
      <c r="J1335" s="164"/>
      <c r="K1335" s="164"/>
      <c r="L1335" s="158"/>
      <c r="M1335" s="158"/>
      <c r="N1335" s="158"/>
      <c r="O1335" s="158"/>
      <c r="P1335" s="158"/>
      <c r="Q1335" s="158"/>
      <c r="R1335" s="159"/>
      <c r="S1335" s="160"/>
      <c r="T1335" s="162"/>
    </row>
    <row r="1336">
      <c r="A1336" s="158"/>
      <c r="B1336" s="158"/>
      <c r="C1336" s="158"/>
      <c r="D1336" s="159"/>
      <c r="E1336" s="160"/>
      <c r="F1336" s="161"/>
      <c r="G1336" s="162"/>
      <c r="H1336" s="163"/>
      <c r="I1336" s="162"/>
      <c r="J1336" s="164"/>
      <c r="K1336" s="164"/>
      <c r="L1336" s="158"/>
      <c r="M1336" s="158"/>
      <c r="N1336" s="158"/>
      <c r="O1336" s="158"/>
      <c r="P1336" s="158"/>
      <c r="Q1336" s="158"/>
      <c r="R1336" s="159"/>
      <c r="S1336" s="160"/>
      <c r="T1336" s="162"/>
    </row>
    <row r="1337">
      <c r="A1337" s="158"/>
      <c r="B1337" s="158"/>
      <c r="C1337" s="158"/>
      <c r="D1337" s="159"/>
      <c r="E1337" s="160"/>
      <c r="F1337" s="161"/>
      <c r="G1337" s="162"/>
      <c r="H1337" s="163"/>
      <c r="I1337" s="162"/>
      <c r="J1337" s="164"/>
      <c r="K1337" s="164"/>
      <c r="L1337" s="158"/>
      <c r="M1337" s="158"/>
      <c r="N1337" s="158"/>
      <c r="O1337" s="158"/>
      <c r="P1337" s="158"/>
      <c r="Q1337" s="158"/>
      <c r="R1337" s="159"/>
      <c r="S1337" s="160"/>
      <c r="T1337" s="162"/>
    </row>
    <row r="1338">
      <c r="A1338" s="158"/>
      <c r="B1338" s="158"/>
      <c r="C1338" s="158"/>
      <c r="D1338" s="159"/>
      <c r="E1338" s="160"/>
      <c r="F1338" s="161"/>
      <c r="G1338" s="162"/>
      <c r="H1338" s="163"/>
      <c r="I1338" s="162"/>
      <c r="J1338" s="164"/>
      <c r="K1338" s="164"/>
      <c r="L1338" s="158"/>
      <c r="M1338" s="158"/>
      <c r="N1338" s="158"/>
      <c r="O1338" s="158"/>
      <c r="P1338" s="158"/>
      <c r="Q1338" s="158"/>
      <c r="R1338" s="159"/>
      <c r="S1338" s="160"/>
      <c r="T1338" s="162"/>
    </row>
    <row r="1339">
      <c r="A1339" s="158"/>
      <c r="B1339" s="158"/>
      <c r="C1339" s="158"/>
      <c r="D1339" s="159"/>
      <c r="E1339" s="160"/>
      <c r="F1339" s="161"/>
      <c r="G1339" s="162"/>
      <c r="H1339" s="163"/>
      <c r="I1339" s="162"/>
      <c r="J1339" s="164"/>
      <c r="K1339" s="164"/>
      <c r="L1339" s="158"/>
      <c r="M1339" s="158"/>
      <c r="N1339" s="158"/>
      <c r="O1339" s="158"/>
      <c r="P1339" s="158"/>
      <c r="Q1339" s="158"/>
      <c r="R1339" s="159"/>
      <c r="S1339" s="160"/>
      <c r="T1339" s="162"/>
    </row>
    <row r="1340">
      <c r="A1340" s="158"/>
      <c r="B1340" s="158"/>
      <c r="C1340" s="158"/>
      <c r="D1340" s="159"/>
      <c r="E1340" s="160"/>
      <c r="F1340" s="161"/>
      <c r="G1340" s="162"/>
      <c r="H1340" s="163"/>
      <c r="I1340" s="162"/>
      <c r="J1340" s="164"/>
      <c r="K1340" s="164"/>
      <c r="L1340" s="158"/>
      <c r="M1340" s="158"/>
      <c r="N1340" s="158"/>
      <c r="O1340" s="158"/>
      <c r="P1340" s="158"/>
      <c r="Q1340" s="158"/>
      <c r="R1340" s="159"/>
      <c r="S1340" s="160"/>
      <c r="T1340" s="162"/>
    </row>
    <row r="1341">
      <c r="A1341" s="158"/>
      <c r="B1341" s="158"/>
      <c r="C1341" s="158"/>
      <c r="D1341" s="159"/>
      <c r="E1341" s="160"/>
      <c r="F1341" s="161"/>
      <c r="G1341" s="162"/>
      <c r="H1341" s="163"/>
      <c r="I1341" s="162"/>
      <c r="J1341" s="164"/>
      <c r="K1341" s="164"/>
      <c r="L1341" s="158"/>
      <c r="M1341" s="158"/>
      <c r="N1341" s="158"/>
      <c r="O1341" s="158"/>
      <c r="P1341" s="158"/>
      <c r="Q1341" s="158"/>
      <c r="R1341" s="159"/>
      <c r="S1341" s="160"/>
      <c r="T1341" s="162"/>
    </row>
    <row r="1342">
      <c r="A1342" s="158"/>
      <c r="B1342" s="158"/>
      <c r="C1342" s="158"/>
      <c r="D1342" s="159"/>
      <c r="E1342" s="160"/>
      <c r="F1342" s="161"/>
      <c r="G1342" s="162"/>
      <c r="H1342" s="163"/>
      <c r="I1342" s="162"/>
      <c r="J1342" s="164"/>
      <c r="K1342" s="164"/>
      <c r="L1342" s="158"/>
      <c r="M1342" s="158"/>
      <c r="N1342" s="158"/>
      <c r="O1342" s="158"/>
      <c r="P1342" s="158"/>
      <c r="Q1342" s="158"/>
      <c r="R1342" s="159"/>
      <c r="S1342" s="160"/>
      <c r="T1342" s="162"/>
    </row>
    <row r="1343">
      <c r="A1343" s="158"/>
      <c r="B1343" s="158"/>
      <c r="C1343" s="158"/>
      <c r="D1343" s="159"/>
      <c r="E1343" s="160"/>
      <c r="F1343" s="161"/>
      <c r="G1343" s="162"/>
      <c r="H1343" s="163"/>
      <c r="I1343" s="162"/>
      <c r="J1343" s="164"/>
      <c r="K1343" s="164"/>
      <c r="L1343" s="158"/>
      <c r="M1343" s="158"/>
      <c r="N1343" s="158"/>
      <c r="O1343" s="158"/>
      <c r="P1343" s="158"/>
      <c r="Q1343" s="158"/>
      <c r="R1343" s="159"/>
      <c r="S1343" s="160"/>
      <c r="T1343" s="162"/>
    </row>
    <row r="1344">
      <c r="A1344" s="158"/>
      <c r="B1344" s="158"/>
      <c r="C1344" s="158"/>
      <c r="D1344" s="159"/>
      <c r="E1344" s="160"/>
      <c r="F1344" s="161"/>
      <c r="G1344" s="162"/>
      <c r="H1344" s="163"/>
      <c r="I1344" s="162"/>
      <c r="J1344" s="164"/>
      <c r="K1344" s="164"/>
      <c r="L1344" s="158"/>
      <c r="M1344" s="158"/>
      <c r="N1344" s="158"/>
      <c r="O1344" s="158"/>
      <c r="P1344" s="158"/>
      <c r="Q1344" s="158"/>
      <c r="R1344" s="159"/>
      <c r="S1344" s="160"/>
      <c r="T1344" s="162"/>
    </row>
    <row r="1345">
      <c r="A1345" s="158"/>
      <c r="B1345" s="158"/>
      <c r="C1345" s="158"/>
      <c r="D1345" s="159"/>
      <c r="E1345" s="160"/>
      <c r="F1345" s="161"/>
      <c r="G1345" s="162"/>
      <c r="H1345" s="163"/>
      <c r="I1345" s="162"/>
      <c r="J1345" s="164"/>
      <c r="K1345" s="164"/>
      <c r="L1345" s="158"/>
      <c r="M1345" s="158"/>
      <c r="N1345" s="158"/>
      <c r="O1345" s="158"/>
      <c r="P1345" s="158"/>
      <c r="Q1345" s="158"/>
      <c r="R1345" s="159"/>
      <c r="S1345" s="160"/>
      <c r="T1345" s="162"/>
    </row>
    <row r="1346">
      <c r="A1346" s="158"/>
      <c r="B1346" s="158"/>
      <c r="C1346" s="158"/>
      <c r="D1346" s="159"/>
      <c r="E1346" s="160"/>
      <c r="F1346" s="161"/>
      <c r="G1346" s="162"/>
      <c r="H1346" s="163"/>
      <c r="I1346" s="162"/>
      <c r="J1346" s="164"/>
      <c r="K1346" s="164"/>
      <c r="L1346" s="158"/>
      <c r="M1346" s="158"/>
      <c r="N1346" s="158"/>
      <c r="O1346" s="158"/>
      <c r="P1346" s="158"/>
      <c r="Q1346" s="158"/>
      <c r="R1346" s="159"/>
      <c r="S1346" s="160"/>
      <c r="T1346" s="162"/>
    </row>
    <row r="1347">
      <c r="A1347" s="158"/>
      <c r="B1347" s="158"/>
      <c r="C1347" s="158"/>
      <c r="D1347" s="159"/>
      <c r="E1347" s="160"/>
      <c r="F1347" s="161"/>
      <c r="G1347" s="162"/>
      <c r="H1347" s="163"/>
      <c r="I1347" s="162"/>
      <c r="J1347" s="164"/>
      <c r="K1347" s="164"/>
      <c r="L1347" s="158"/>
      <c r="M1347" s="158"/>
      <c r="N1347" s="158"/>
      <c r="O1347" s="158"/>
      <c r="P1347" s="158"/>
      <c r="Q1347" s="158"/>
      <c r="R1347" s="159"/>
      <c r="S1347" s="160"/>
      <c r="T1347" s="162"/>
    </row>
    <row r="1348">
      <c r="A1348" s="158"/>
      <c r="B1348" s="158"/>
      <c r="C1348" s="158"/>
      <c r="D1348" s="159"/>
      <c r="E1348" s="160"/>
      <c r="F1348" s="161"/>
      <c r="G1348" s="162"/>
      <c r="H1348" s="163"/>
      <c r="I1348" s="162"/>
      <c r="J1348" s="164"/>
      <c r="K1348" s="164"/>
      <c r="L1348" s="158"/>
      <c r="M1348" s="158"/>
      <c r="N1348" s="158"/>
      <c r="O1348" s="158"/>
      <c r="P1348" s="158"/>
      <c r="Q1348" s="158"/>
      <c r="R1348" s="159"/>
      <c r="S1348" s="160"/>
      <c r="T1348" s="162"/>
    </row>
    <row r="1349">
      <c r="A1349" s="158"/>
      <c r="B1349" s="158"/>
      <c r="C1349" s="158"/>
      <c r="D1349" s="159"/>
      <c r="E1349" s="160"/>
      <c r="F1349" s="161"/>
      <c r="G1349" s="162"/>
      <c r="H1349" s="163"/>
      <c r="I1349" s="162"/>
      <c r="J1349" s="164"/>
      <c r="K1349" s="164"/>
      <c r="L1349" s="158"/>
      <c r="M1349" s="158"/>
      <c r="N1349" s="158"/>
      <c r="O1349" s="158"/>
      <c r="P1349" s="158"/>
      <c r="Q1349" s="158"/>
      <c r="R1349" s="159"/>
      <c r="S1349" s="160"/>
      <c r="T1349" s="162"/>
    </row>
    <row r="1350">
      <c r="A1350" s="158"/>
      <c r="B1350" s="158"/>
      <c r="C1350" s="158"/>
      <c r="D1350" s="159"/>
      <c r="E1350" s="160"/>
      <c r="F1350" s="161"/>
      <c r="G1350" s="162"/>
      <c r="H1350" s="163"/>
      <c r="I1350" s="162"/>
      <c r="J1350" s="164"/>
      <c r="K1350" s="164"/>
      <c r="L1350" s="158"/>
      <c r="M1350" s="158"/>
      <c r="N1350" s="158"/>
      <c r="O1350" s="158"/>
      <c r="P1350" s="158"/>
      <c r="Q1350" s="158"/>
      <c r="R1350" s="159"/>
      <c r="S1350" s="160"/>
      <c r="T1350" s="162"/>
    </row>
    <row r="1351">
      <c r="A1351" s="158"/>
      <c r="B1351" s="158"/>
      <c r="C1351" s="158"/>
      <c r="D1351" s="159"/>
      <c r="E1351" s="160"/>
      <c r="F1351" s="161"/>
      <c r="G1351" s="162"/>
      <c r="H1351" s="163"/>
      <c r="I1351" s="162"/>
      <c r="J1351" s="164"/>
      <c r="K1351" s="164"/>
      <c r="L1351" s="158"/>
      <c r="M1351" s="158"/>
      <c r="N1351" s="158"/>
      <c r="O1351" s="158"/>
      <c r="P1351" s="158"/>
      <c r="Q1351" s="158"/>
      <c r="R1351" s="159"/>
      <c r="S1351" s="160"/>
      <c r="T1351" s="162"/>
    </row>
    <row r="1352">
      <c r="A1352" s="158"/>
      <c r="B1352" s="158"/>
      <c r="C1352" s="158"/>
      <c r="D1352" s="159"/>
      <c r="E1352" s="160"/>
      <c r="F1352" s="161"/>
      <c r="G1352" s="162"/>
      <c r="H1352" s="163"/>
      <c r="I1352" s="162"/>
      <c r="J1352" s="164"/>
      <c r="K1352" s="164"/>
      <c r="L1352" s="158"/>
      <c r="M1352" s="158"/>
      <c r="N1352" s="158"/>
      <c r="O1352" s="158"/>
      <c r="P1352" s="158"/>
      <c r="Q1352" s="158"/>
      <c r="R1352" s="159"/>
      <c r="S1352" s="160"/>
      <c r="T1352" s="162"/>
    </row>
    <row r="1353">
      <c r="A1353" s="158"/>
      <c r="B1353" s="158"/>
      <c r="C1353" s="158"/>
      <c r="D1353" s="159"/>
      <c r="E1353" s="160"/>
      <c r="F1353" s="161"/>
      <c r="G1353" s="162"/>
      <c r="H1353" s="163"/>
      <c r="I1353" s="162"/>
      <c r="J1353" s="164"/>
      <c r="K1353" s="164"/>
      <c r="L1353" s="158"/>
      <c r="M1353" s="158"/>
      <c r="N1353" s="158"/>
      <c r="O1353" s="158"/>
      <c r="P1353" s="158"/>
      <c r="Q1353" s="158"/>
      <c r="R1353" s="159"/>
      <c r="S1353" s="160"/>
      <c r="T1353" s="162"/>
    </row>
    <row r="1354">
      <c r="A1354" s="158"/>
      <c r="B1354" s="158"/>
      <c r="C1354" s="158"/>
      <c r="D1354" s="159"/>
      <c r="E1354" s="160"/>
      <c r="F1354" s="161"/>
      <c r="G1354" s="162"/>
      <c r="H1354" s="163"/>
      <c r="I1354" s="162"/>
      <c r="J1354" s="164"/>
      <c r="K1354" s="164"/>
      <c r="L1354" s="158"/>
      <c r="M1354" s="158"/>
      <c r="N1354" s="158"/>
      <c r="O1354" s="158"/>
      <c r="P1354" s="158"/>
      <c r="Q1354" s="158"/>
      <c r="R1354" s="159"/>
      <c r="S1354" s="160"/>
      <c r="T1354" s="162"/>
    </row>
    <row r="1355">
      <c r="A1355" s="158"/>
      <c r="B1355" s="158"/>
      <c r="C1355" s="158"/>
      <c r="D1355" s="159"/>
      <c r="E1355" s="160"/>
      <c r="F1355" s="161"/>
      <c r="G1355" s="162"/>
      <c r="H1355" s="163"/>
      <c r="I1355" s="162"/>
      <c r="J1355" s="164"/>
      <c r="K1355" s="164"/>
      <c r="L1355" s="158"/>
      <c r="M1355" s="158"/>
      <c r="N1355" s="158"/>
      <c r="O1355" s="158"/>
      <c r="P1355" s="158"/>
      <c r="Q1355" s="158"/>
      <c r="R1355" s="159"/>
      <c r="S1355" s="160"/>
      <c r="T1355" s="162"/>
    </row>
    <row r="1356">
      <c r="A1356" s="158"/>
      <c r="B1356" s="158"/>
      <c r="C1356" s="158"/>
      <c r="D1356" s="159"/>
      <c r="E1356" s="160"/>
      <c r="F1356" s="161"/>
      <c r="G1356" s="162"/>
      <c r="H1356" s="163"/>
      <c r="I1356" s="162"/>
      <c r="J1356" s="164"/>
      <c r="K1356" s="164"/>
      <c r="L1356" s="158"/>
      <c r="M1356" s="158"/>
      <c r="N1356" s="158"/>
      <c r="O1356" s="158"/>
      <c r="P1356" s="158"/>
      <c r="Q1356" s="158"/>
      <c r="R1356" s="159"/>
      <c r="S1356" s="160"/>
      <c r="T1356" s="162"/>
    </row>
    <row r="1357">
      <c r="A1357" s="158"/>
      <c r="B1357" s="158"/>
      <c r="C1357" s="158"/>
      <c r="D1357" s="159"/>
      <c r="E1357" s="160"/>
      <c r="F1357" s="161"/>
      <c r="G1357" s="162"/>
      <c r="H1357" s="163"/>
      <c r="I1357" s="162"/>
      <c r="J1357" s="164"/>
      <c r="K1357" s="164"/>
      <c r="L1357" s="158"/>
      <c r="M1357" s="158"/>
      <c r="N1357" s="158"/>
      <c r="O1357" s="158"/>
      <c r="P1357" s="158"/>
      <c r="Q1357" s="158"/>
      <c r="R1357" s="159"/>
      <c r="S1357" s="160"/>
      <c r="T1357" s="162"/>
    </row>
    <row r="1358">
      <c r="A1358" s="158"/>
      <c r="B1358" s="158"/>
      <c r="C1358" s="158"/>
      <c r="D1358" s="159"/>
      <c r="E1358" s="160"/>
      <c r="F1358" s="161"/>
      <c r="G1358" s="162"/>
      <c r="H1358" s="163"/>
      <c r="I1358" s="162"/>
      <c r="J1358" s="164"/>
      <c r="K1358" s="164"/>
      <c r="L1358" s="158"/>
      <c r="M1358" s="158"/>
      <c r="N1358" s="158"/>
      <c r="O1358" s="158"/>
      <c r="P1358" s="158"/>
      <c r="Q1358" s="158"/>
      <c r="R1358" s="159"/>
      <c r="S1358" s="160"/>
      <c r="T1358" s="162"/>
    </row>
    <row r="1359">
      <c r="A1359" s="158"/>
      <c r="B1359" s="158"/>
      <c r="C1359" s="158"/>
      <c r="D1359" s="159"/>
      <c r="E1359" s="160"/>
      <c r="F1359" s="161"/>
      <c r="G1359" s="162"/>
      <c r="H1359" s="163"/>
      <c r="I1359" s="162"/>
      <c r="J1359" s="164"/>
      <c r="K1359" s="164"/>
      <c r="L1359" s="158"/>
      <c r="M1359" s="158"/>
      <c r="N1359" s="158"/>
      <c r="O1359" s="158"/>
      <c r="P1359" s="158"/>
      <c r="Q1359" s="158"/>
      <c r="R1359" s="159"/>
      <c r="S1359" s="160"/>
      <c r="T1359" s="162"/>
    </row>
    <row r="1360">
      <c r="A1360" s="158"/>
      <c r="B1360" s="158"/>
      <c r="C1360" s="158"/>
      <c r="D1360" s="159"/>
      <c r="E1360" s="160"/>
      <c r="F1360" s="161"/>
      <c r="G1360" s="162"/>
      <c r="H1360" s="163"/>
      <c r="I1360" s="162"/>
      <c r="J1360" s="164"/>
      <c r="K1360" s="164"/>
      <c r="L1360" s="158"/>
      <c r="M1360" s="158"/>
      <c r="N1360" s="158"/>
      <c r="O1360" s="158"/>
      <c r="P1360" s="158"/>
      <c r="Q1360" s="158"/>
      <c r="R1360" s="159"/>
      <c r="S1360" s="160"/>
      <c r="T1360" s="162"/>
    </row>
    <row r="1361">
      <c r="A1361" s="158"/>
      <c r="B1361" s="158"/>
      <c r="C1361" s="158"/>
      <c r="D1361" s="159"/>
      <c r="E1361" s="160"/>
      <c r="F1361" s="161"/>
      <c r="G1361" s="162"/>
      <c r="H1361" s="163"/>
      <c r="I1361" s="162"/>
      <c r="J1361" s="164"/>
      <c r="K1361" s="164"/>
      <c r="L1361" s="158"/>
      <c r="M1361" s="158"/>
      <c r="N1361" s="158"/>
      <c r="O1361" s="158"/>
      <c r="P1361" s="158"/>
      <c r="Q1361" s="158"/>
      <c r="R1361" s="159"/>
      <c r="S1361" s="160"/>
      <c r="T1361" s="162"/>
    </row>
    <row r="1362">
      <c r="A1362" s="158"/>
      <c r="B1362" s="158"/>
      <c r="C1362" s="158"/>
      <c r="D1362" s="159"/>
      <c r="E1362" s="160"/>
      <c r="F1362" s="161"/>
      <c r="G1362" s="162"/>
      <c r="H1362" s="163"/>
      <c r="I1362" s="162"/>
      <c r="J1362" s="164"/>
      <c r="K1362" s="164"/>
      <c r="L1362" s="158"/>
      <c r="M1362" s="158"/>
      <c r="N1362" s="158"/>
      <c r="O1362" s="158"/>
      <c r="P1362" s="158"/>
      <c r="Q1362" s="158"/>
      <c r="R1362" s="159"/>
      <c r="S1362" s="160"/>
      <c r="T1362" s="162"/>
    </row>
    <row r="1363">
      <c r="A1363" s="158"/>
      <c r="B1363" s="158"/>
      <c r="C1363" s="158"/>
      <c r="D1363" s="159"/>
      <c r="E1363" s="160"/>
      <c r="F1363" s="161"/>
      <c r="G1363" s="162"/>
      <c r="H1363" s="163"/>
      <c r="I1363" s="162"/>
      <c r="J1363" s="164"/>
      <c r="K1363" s="164"/>
      <c r="L1363" s="158"/>
      <c r="M1363" s="158"/>
      <c r="N1363" s="158"/>
      <c r="O1363" s="158"/>
      <c r="P1363" s="158"/>
      <c r="Q1363" s="158"/>
      <c r="R1363" s="159"/>
      <c r="S1363" s="160"/>
      <c r="T1363" s="162"/>
    </row>
    <row r="1364">
      <c r="A1364" s="158"/>
      <c r="B1364" s="158"/>
      <c r="C1364" s="158"/>
      <c r="D1364" s="159"/>
      <c r="E1364" s="160"/>
      <c r="F1364" s="161"/>
      <c r="G1364" s="162"/>
      <c r="H1364" s="163"/>
      <c r="I1364" s="162"/>
      <c r="J1364" s="164"/>
      <c r="K1364" s="164"/>
      <c r="L1364" s="158"/>
      <c r="M1364" s="158"/>
      <c r="N1364" s="158"/>
      <c r="O1364" s="158"/>
      <c r="P1364" s="158"/>
      <c r="Q1364" s="158"/>
      <c r="R1364" s="159"/>
      <c r="S1364" s="160"/>
      <c r="T1364" s="162"/>
    </row>
    <row r="1365">
      <c r="A1365" s="158"/>
      <c r="B1365" s="158"/>
      <c r="C1365" s="158"/>
      <c r="D1365" s="159"/>
      <c r="E1365" s="160"/>
      <c r="F1365" s="161"/>
      <c r="G1365" s="162"/>
      <c r="H1365" s="163"/>
      <c r="I1365" s="162"/>
      <c r="J1365" s="164"/>
      <c r="K1365" s="164"/>
      <c r="L1365" s="158"/>
      <c r="M1365" s="158"/>
      <c r="N1365" s="158"/>
      <c r="O1365" s="158"/>
      <c r="P1365" s="158"/>
      <c r="Q1365" s="158"/>
      <c r="R1365" s="159"/>
      <c r="S1365" s="160"/>
      <c r="T1365" s="162"/>
    </row>
    <row r="1366">
      <c r="A1366" s="158"/>
      <c r="B1366" s="158"/>
      <c r="C1366" s="158"/>
      <c r="D1366" s="159"/>
      <c r="E1366" s="160"/>
      <c r="F1366" s="161"/>
      <c r="G1366" s="162"/>
      <c r="H1366" s="163"/>
      <c r="I1366" s="162"/>
      <c r="J1366" s="164"/>
      <c r="K1366" s="164"/>
      <c r="L1366" s="158"/>
      <c r="M1366" s="158"/>
      <c r="N1366" s="158"/>
      <c r="O1366" s="158"/>
      <c r="P1366" s="158"/>
      <c r="Q1366" s="158"/>
      <c r="R1366" s="159"/>
      <c r="S1366" s="160"/>
      <c r="T1366" s="162"/>
    </row>
    <row r="1367">
      <c r="A1367" s="158"/>
      <c r="B1367" s="158"/>
      <c r="C1367" s="158"/>
      <c r="D1367" s="159"/>
      <c r="E1367" s="160"/>
      <c r="F1367" s="161"/>
      <c r="G1367" s="162"/>
      <c r="H1367" s="163"/>
      <c r="I1367" s="162"/>
      <c r="J1367" s="164"/>
      <c r="K1367" s="164"/>
      <c r="L1367" s="158"/>
      <c r="M1367" s="158"/>
      <c r="N1367" s="158"/>
      <c r="O1367" s="158"/>
      <c r="P1367" s="158"/>
      <c r="Q1367" s="158"/>
      <c r="R1367" s="159"/>
      <c r="S1367" s="160"/>
      <c r="T1367" s="162"/>
    </row>
    <row r="1368">
      <c r="A1368" s="158"/>
      <c r="B1368" s="158"/>
      <c r="C1368" s="158"/>
      <c r="D1368" s="159"/>
      <c r="E1368" s="160"/>
      <c r="F1368" s="161"/>
      <c r="G1368" s="162"/>
      <c r="H1368" s="163"/>
      <c r="I1368" s="162"/>
      <c r="J1368" s="164"/>
      <c r="K1368" s="164"/>
      <c r="L1368" s="158"/>
      <c r="M1368" s="158"/>
      <c r="N1368" s="158"/>
      <c r="O1368" s="158"/>
      <c r="P1368" s="158"/>
      <c r="Q1368" s="158"/>
      <c r="R1368" s="159"/>
      <c r="S1368" s="160"/>
      <c r="T1368" s="162"/>
    </row>
    <row r="1369">
      <c r="A1369" s="158"/>
      <c r="B1369" s="158"/>
      <c r="C1369" s="158"/>
      <c r="D1369" s="159"/>
      <c r="E1369" s="160"/>
      <c r="F1369" s="161"/>
      <c r="G1369" s="162"/>
      <c r="H1369" s="163"/>
      <c r="I1369" s="162"/>
      <c r="J1369" s="164"/>
      <c r="K1369" s="164"/>
      <c r="L1369" s="158"/>
      <c r="M1369" s="158"/>
      <c r="N1369" s="158"/>
      <c r="O1369" s="158"/>
      <c r="P1369" s="158"/>
      <c r="Q1369" s="158"/>
      <c r="R1369" s="159"/>
      <c r="S1369" s="160"/>
      <c r="T1369" s="162"/>
    </row>
    <row r="1370">
      <c r="A1370" s="158"/>
      <c r="B1370" s="158"/>
      <c r="C1370" s="158"/>
      <c r="D1370" s="159"/>
      <c r="E1370" s="160"/>
      <c r="F1370" s="161"/>
      <c r="G1370" s="162"/>
      <c r="H1370" s="163"/>
      <c r="I1370" s="162"/>
      <c r="J1370" s="164"/>
      <c r="K1370" s="164"/>
      <c r="L1370" s="158"/>
      <c r="M1370" s="158"/>
      <c r="N1370" s="158"/>
      <c r="O1370" s="158"/>
      <c r="P1370" s="158"/>
      <c r="Q1370" s="158"/>
      <c r="R1370" s="159"/>
      <c r="S1370" s="160"/>
      <c r="T1370" s="162"/>
    </row>
    <row r="1371">
      <c r="A1371" s="158"/>
      <c r="B1371" s="158"/>
      <c r="C1371" s="158"/>
      <c r="D1371" s="159"/>
      <c r="E1371" s="160"/>
      <c r="F1371" s="161"/>
      <c r="G1371" s="162"/>
      <c r="H1371" s="163"/>
      <c r="I1371" s="162"/>
      <c r="J1371" s="164"/>
      <c r="K1371" s="164"/>
      <c r="L1371" s="158"/>
      <c r="M1371" s="158"/>
      <c r="N1371" s="158"/>
      <c r="O1371" s="158"/>
      <c r="P1371" s="158"/>
      <c r="Q1371" s="158"/>
      <c r="R1371" s="159"/>
      <c r="S1371" s="160"/>
      <c r="T1371" s="162"/>
    </row>
    <row r="1372">
      <c r="A1372" s="158"/>
      <c r="B1372" s="158"/>
      <c r="C1372" s="158"/>
      <c r="D1372" s="159"/>
      <c r="E1372" s="160"/>
      <c r="F1372" s="161"/>
      <c r="G1372" s="162"/>
      <c r="H1372" s="163"/>
      <c r="I1372" s="162"/>
      <c r="J1372" s="164"/>
      <c r="K1372" s="164"/>
      <c r="L1372" s="158"/>
      <c r="M1372" s="158"/>
      <c r="N1372" s="158"/>
      <c r="O1372" s="158"/>
      <c r="P1372" s="158"/>
      <c r="Q1372" s="158"/>
      <c r="R1372" s="159"/>
      <c r="S1372" s="160"/>
      <c r="T1372" s="162"/>
    </row>
    <row r="1373">
      <c r="A1373" s="158"/>
      <c r="B1373" s="158"/>
      <c r="C1373" s="158"/>
      <c r="D1373" s="159"/>
      <c r="E1373" s="160"/>
      <c r="F1373" s="161"/>
      <c r="G1373" s="162"/>
      <c r="H1373" s="163"/>
      <c r="I1373" s="162"/>
      <c r="J1373" s="164"/>
      <c r="K1373" s="164"/>
      <c r="L1373" s="158"/>
      <c r="M1373" s="158"/>
      <c r="N1373" s="158"/>
      <c r="O1373" s="158"/>
      <c r="P1373" s="158"/>
      <c r="Q1373" s="158"/>
      <c r="R1373" s="159"/>
      <c r="S1373" s="160"/>
      <c r="T1373" s="162"/>
    </row>
    <row r="1374">
      <c r="A1374" s="158"/>
      <c r="B1374" s="158"/>
      <c r="C1374" s="158"/>
      <c r="D1374" s="159"/>
      <c r="E1374" s="160"/>
      <c r="F1374" s="161"/>
      <c r="G1374" s="162"/>
      <c r="H1374" s="163"/>
      <c r="I1374" s="162"/>
      <c r="J1374" s="164"/>
      <c r="K1374" s="164"/>
      <c r="L1374" s="158"/>
      <c r="M1374" s="158"/>
      <c r="N1374" s="158"/>
      <c r="O1374" s="158"/>
      <c r="P1374" s="158"/>
      <c r="Q1374" s="158"/>
      <c r="R1374" s="159"/>
      <c r="S1374" s="160"/>
      <c r="T1374" s="162"/>
    </row>
    <row r="1375">
      <c r="A1375" s="158"/>
      <c r="B1375" s="158"/>
      <c r="C1375" s="158"/>
      <c r="D1375" s="159"/>
      <c r="E1375" s="160"/>
      <c r="F1375" s="161"/>
      <c r="G1375" s="162"/>
      <c r="H1375" s="163"/>
      <c r="I1375" s="162"/>
      <c r="J1375" s="164"/>
      <c r="K1375" s="164"/>
      <c r="L1375" s="158"/>
      <c r="M1375" s="158"/>
      <c r="N1375" s="158"/>
      <c r="O1375" s="158"/>
      <c r="P1375" s="158"/>
      <c r="Q1375" s="158"/>
      <c r="R1375" s="159"/>
      <c r="S1375" s="160"/>
      <c r="T1375" s="162"/>
    </row>
    <row r="1376">
      <c r="A1376" s="158"/>
      <c r="B1376" s="158"/>
      <c r="C1376" s="158"/>
      <c r="D1376" s="159"/>
      <c r="E1376" s="160"/>
      <c r="F1376" s="161"/>
      <c r="G1376" s="162"/>
      <c r="H1376" s="163"/>
      <c r="I1376" s="162"/>
      <c r="J1376" s="164"/>
      <c r="K1376" s="164"/>
      <c r="L1376" s="158"/>
      <c r="M1376" s="158"/>
      <c r="N1376" s="158"/>
      <c r="O1376" s="158"/>
      <c r="P1376" s="158"/>
      <c r="Q1376" s="158"/>
      <c r="R1376" s="159"/>
      <c r="S1376" s="160"/>
      <c r="T1376" s="162"/>
    </row>
    <row r="1377">
      <c r="A1377" s="158"/>
      <c r="B1377" s="158"/>
      <c r="C1377" s="158"/>
      <c r="D1377" s="159"/>
      <c r="E1377" s="160"/>
      <c r="F1377" s="161"/>
      <c r="G1377" s="162"/>
      <c r="H1377" s="163"/>
      <c r="I1377" s="162"/>
      <c r="J1377" s="164"/>
      <c r="K1377" s="164"/>
      <c r="L1377" s="158"/>
      <c r="M1377" s="158"/>
      <c r="N1377" s="158"/>
      <c r="O1377" s="158"/>
      <c r="P1377" s="158"/>
      <c r="Q1377" s="158"/>
      <c r="R1377" s="159"/>
      <c r="S1377" s="160"/>
      <c r="T1377" s="162"/>
    </row>
    <row r="1378">
      <c r="A1378" s="158"/>
      <c r="B1378" s="158"/>
      <c r="C1378" s="158"/>
      <c r="D1378" s="159"/>
      <c r="E1378" s="160"/>
      <c r="F1378" s="161"/>
      <c r="G1378" s="162"/>
      <c r="H1378" s="163"/>
      <c r="I1378" s="162"/>
      <c r="J1378" s="164"/>
      <c r="K1378" s="164"/>
      <c r="L1378" s="158"/>
      <c r="M1378" s="158"/>
      <c r="N1378" s="158"/>
      <c r="O1378" s="158"/>
      <c r="P1378" s="158"/>
      <c r="Q1378" s="158"/>
      <c r="R1378" s="159"/>
      <c r="S1378" s="160"/>
      <c r="T1378" s="162"/>
    </row>
    <row r="1379">
      <c r="A1379" s="158"/>
      <c r="B1379" s="158"/>
      <c r="C1379" s="158"/>
      <c r="D1379" s="159"/>
      <c r="E1379" s="160"/>
      <c r="F1379" s="161"/>
      <c r="G1379" s="162"/>
      <c r="H1379" s="163"/>
      <c r="I1379" s="162"/>
      <c r="J1379" s="164"/>
      <c r="K1379" s="164"/>
      <c r="L1379" s="158"/>
      <c r="M1379" s="158"/>
      <c r="N1379" s="158"/>
      <c r="O1379" s="158"/>
      <c r="P1379" s="158"/>
      <c r="Q1379" s="158"/>
      <c r="R1379" s="159"/>
      <c r="S1379" s="160"/>
      <c r="T1379" s="162"/>
    </row>
    <row r="1380">
      <c r="A1380" s="158"/>
      <c r="B1380" s="158"/>
      <c r="C1380" s="158"/>
      <c r="D1380" s="159"/>
      <c r="E1380" s="160"/>
      <c r="F1380" s="161"/>
      <c r="G1380" s="162"/>
      <c r="H1380" s="163"/>
      <c r="I1380" s="162"/>
      <c r="J1380" s="164"/>
      <c r="K1380" s="164"/>
      <c r="L1380" s="158"/>
      <c r="M1380" s="158"/>
      <c r="N1380" s="158"/>
      <c r="O1380" s="158"/>
      <c r="P1380" s="158"/>
      <c r="Q1380" s="158"/>
      <c r="R1380" s="159"/>
      <c r="S1380" s="160"/>
      <c r="T1380" s="162"/>
    </row>
    <row r="1381">
      <c r="A1381" s="158"/>
      <c r="B1381" s="158"/>
      <c r="C1381" s="158"/>
      <c r="D1381" s="159"/>
      <c r="E1381" s="160"/>
      <c r="F1381" s="161"/>
      <c r="G1381" s="162"/>
      <c r="H1381" s="163"/>
      <c r="I1381" s="162"/>
      <c r="J1381" s="164"/>
      <c r="K1381" s="164"/>
      <c r="L1381" s="158"/>
      <c r="M1381" s="158"/>
      <c r="N1381" s="158"/>
      <c r="O1381" s="158"/>
      <c r="P1381" s="158"/>
      <c r="Q1381" s="158"/>
      <c r="R1381" s="159"/>
      <c r="S1381" s="160"/>
      <c r="T1381" s="162"/>
    </row>
    <row r="1382">
      <c r="A1382" s="158"/>
      <c r="B1382" s="158"/>
      <c r="C1382" s="158"/>
      <c r="D1382" s="159"/>
      <c r="E1382" s="160"/>
      <c r="F1382" s="161"/>
      <c r="G1382" s="162"/>
      <c r="H1382" s="163"/>
      <c r="I1382" s="162"/>
      <c r="J1382" s="164"/>
      <c r="K1382" s="164"/>
      <c r="L1382" s="158"/>
      <c r="M1382" s="158"/>
      <c r="N1382" s="158"/>
      <c r="O1382" s="158"/>
      <c r="P1382" s="158"/>
      <c r="Q1382" s="158"/>
      <c r="R1382" s="159"/>
      <c r="S1382" s="160"/>
      <c r="T1382" s="162"/>
    </row>
    <row r="1383">
      <c r="A1383" s="158"/>
      <c r="B1383" s="158"/>
      <c r="C1383" s="158"/>
      <c r="D1383" s="159"/>
      <c r="E1383" s="160"/>
      <c r="F1383" s="161"/>
      <c r="G1383" s="162"/>
      <c r="H1383" s="163"/>
      <c r="I1383" s="162"/>
      <c r="J1383" s="164"/>
      <c r="K1383" s="164"/>
      <c r="L1383" s="158"/>
      <c r="M1383" s="158"/>
      <c r="N1383" s="158"/>
      <c r="O1383" s="158"/>
      <c r="P1383" s="158"/>
      <c r="Q1383" s="158"/>
      <c r="R1383" s="159"/>
      <c r="S1383" s="160"/>
      <c r="T1383" s="162"/>
    </row>
    <row r="1384">
      <c r="A1384" s="158"/>
      <c r="B1384" s="158"/>
      <c r="C1384" s="158"/>
      <c r="D1384" s="159"/>
      <c r="E1384" s="160"/>
      <c r="F1384" s="161"/>
      <c r="G1384" s="162"/>
      <c r="H1384" s="163"/>
      <c r="I1384" s="162"/>
      <c r="J1384" s="164"/>
      <c r="K1384" s="164"/>
      <c r="L1384" s="158"/>
      <c r="M1384" s="158"/>
      <c r="N1384" s="158"/>
      <c r="O1384" s="158"/>
      <c r="P1384" s="158"/>
      <c r="Q1384" s="158"/>
      <c r="R1384" s="159"/>
      <c r="S1384" s="160"/>
      <c r="T1384" s="162"/>
    </row>
    <row r="1385">
      <c r="A1385" s="158"/>
      <c r="B1385" s="158"/>
      <c r="C1385" s="158"/>
      <c r="D1385" s="159"/>
      <c r="E1385" s="160"/>
      <c r="F1385" s="161"/>
      <c r="G1385" s="162"/>
      <c r="H1385" s="163"/>
      <c r="I1385" s="162"/>
      <c r="J1385" s="164"/>
      <c r="K1385" s="164"/>
      <c r="L1385" s="158"/>
      <c r="M1385" s="158"/>
      <c r="N1385" s="158"/>
      <c r="O1385" s="158"/>
      <c r="P1385" s="158"/>
      <c r="Q1385" s="158"/>
      <c r="R1385" s="159"/>
      <c r="S1385" s="160"/>
      <c r="T1385" s="162"/>
    </row>
    <row r="1386">
      <c r="A1386" s="158"/>
      <c r="B1386" s="158"/>
      <c r="C1386" s="158"/>
      <c r="D1386" s="159"/>
      <c r="E1386" s="160"/>
      <c r="F1386" s="161"/>
      <c r="G1386" s="162"/>
      <c r="H1386" s="163"/>
      <c r="I1386" s="162"/>
      <c r="J1386" s="164"/>
      <c r="K1386" s="164"/>
      <c r="L1386" s="158"/>
      <c r="M1386" s="158"/>
      <c r="N1386" s="158"/>
      <c r="O1386" s="158"/>
      <c r="P1386" s="158"/>
      <c r="Q1386" s="158"/>
      <c r="R1386" s="159"/>
      <c r="S1386" s="160"/>
      <c r="T1386" s="162"/>
    </row>
    <row r="1387">
      <c r="A1387" s="158"/>
      <c r="B1387" s="158"/>
      <c r="C1387" s="158"/>
      <c r="D1387" s="159"/>
      <c r="E1387" s="160"/>
      <c r="F1387" s="161"/>
      <c r="G1387" s="162"/>
      <c r="H1387" s="163"/>
      <c r="I1387" s="162"/>
      <c r="J1387" s="164"/>
      <c r="K1387" s="164"/>
      <c r="L1387" s="158"/>
      <c r="M1387" s="158"/>
      <c r="N1387" s="158"/>
      <c r="O1387" s="158"/>
      <c r="P1387" s="158"/>
      <c r="Q1387" s="158"/>
      <c r="R1387" s="159"/>
      <c r="S1387" s="160"/>
      <c r="T1387" s="162"/>
    </row>
    <row r="1388">
      <c r="A1388" s="158"/>
      <c r="B1388" s="158"/>
      <c r="C1388" s="158"/>
      <c r="D1388" s="159"/>
      <c r="E1388" s="160"/>
      <c r="F1388" s="161"/>
      <c r="G1388" s="162"/>
      <c r="H1388" s="163"/>
      <c r="I1388" s="162"/>
      <c r="J1388" s="164"/>
      <c r="K1388" s="164"/>
      <c r="L1388" s="158"/>
      <c r="M1388" s="158"/>
      <c r="N1388" s="158"/>
      <c r="O1388" s="158"/>
      <c r="P1388" s="158"/>
      <c r="Q1388" s="158"/>
      <c r="R1388" s="159"/>
      <c r="S1388" s="160"/>
      <c r="T1388" s="162"/>
    </row>
    <row r="1389">
      <c r="A1389" s="158"/>
      <c r="B1389" s="158"/>
      <c r="C1389" s="158"/>
      <c r="D1389" s="159"/>
      <c r="E1389" s="160"/>
      <c r="F1389" s="161"/>
      <c r="G1389" s="162"/>
      <c r="H1389" s="163"/>
      <c r="I1389" s="162"/>
      <c r="J1389" s="164"/>
      <c r="K1389" s="164"/>
      <c r="L1389" s="158"/>
      <c r="M1389" s="158"/>
      <c r="N1389" s="158"/>
      <c r="O1389" s="158"/>
      <c r="P1389" s="158"/>
      <c r="Q1389" s="158"/>
      <c r="R1389" s="159"/>
      <c r="S1389" s="160"/>
      <c r="T1389" s="162"/>
    </row>
    <row r="1390">
      <c r="A1390" s="158"/>
      <c r="B1390" s="158"/>
      <c r="C1390" s="158"/>
      <c r="D1390" s="159"/>
      <c r="E1390" s="160"/>
      <c r="F1390" s="161"/>
      <c r="G1390" s="162"/>
      <c r="H1390" s="163"/>
      <c r="I1390" s="162"/>
      <c r="J1390" s="164"/>
      <c r="K1390" s="164"/>
      <c r="L1390" s="158"/>
      <c r="M1390" s="158"/>
      <c r="N1390" s="158"/>
      <c r="O1390" s="158"/>
      <c r="P1390" s="158"/>
      <c r="Q1390" s="158"/>
      <c r="R1390" s="159"/>
      <c r="S1390" s="160"/>
      <c r="T1390" s="162"/>
    </row>
    <row r="1391">
      <c r="A1391" s="158"/>
      <c r="B1391" s="158"/>
      <c r="C1391" s="158"/>
      <c r="D1391" s="159"/>
      <c r="E1391" s="160"/>
      <c r="F1391" s="161"/>
      <c r="G1391" s="162"/>
      <c r="H1391" s="163"/>
      <c r="I1391" s="162"/>
      <c r="J1391" s="164"/>
      <c r="K1391" s="164"/>
      <c r="L1391" s="158"/>
      <c r="M1391" s="158"/>
      <c r="N1391" s="158"/>
      <c r="O1391" s="158"/>
      <c r="P1391" s="158"/>
      <c r="Q1391" s="158"/>
      <c r="R1391" s="159"/>
      <c r="S1391" s="160"/>
      <c r="T1391" s="162"/>
    </row>
    <row r="1392">
      <c r="A1392" s="158"/>
      <c r="B1392" s="158"/>
      <c r="C1392" s="158"/>
      <c r="D1392" s="159"/>
      <c r="E1392" s="160"/>
      <c r="F1392" s="161"/>
      <c r="G1392" s="162"/>
      <c r="H1392" s="163"/>
      <c r="I1392" s="162"/>
      <c r="J1392" s="164"/>
      <c r="K1392" s="164"/>
      <c r="L1392" s="158"/>
      <c r="M1392" s="158"/>
      <c r="N1392" s="158"/>
      <c r="O1392" s="158"/>
      <c r="P1392" s="158"/>
      <c r="Q1392" s="158"/>
      <c r="R1392" s="159"/>
      <c r="S1392" s="160"/>
      <c r="T1392" s="162"/>
    </row>
    <row r="1393">
      <c r="A1393" s="158"/>
      <c r="B1393" s="158"/>
      <c r="C1393" s="158"/>
      <c r="D1393" s="159"/>
      <c r="E1393" s="160"/>
      <c r="F1393" s="161"/>
      <c r="G1393" s="162"/>
      <c r="H1393" s="163"/>
      <c r="I1393" s="162"/>
      <c r="J1393" s="164"/>
      <c r="K1393" s="164"/>
      <c r="L1393" s="158"/>
      <c r="M1393" s="158"/>
      <c r="N1393" s="158"/>
      <c r="O1393" s="158"/>
      <c r="P1393" s="158"/>
      <c r="Q1393" s="158"/>
      <c r="R1393" s="159"/>
      <c r="S1393" s="160"/>
      <c r="T1393" s="162"/>
    </row>
    <row r="1394">
      <c r="A1394" s="158"/>
      <c r="B1394" s="158"/>
      <c r="C1394" s="158"/>
      <c r="D1394" s="159"/>
      <c r="E1394" s="160"/>
      <c r="F1394" s="161"/>
      <c r="G1394" s="162"/>
      <c r="H1394" s="163"/>
      <c r="I1394" s="162"/>
      <c r="J1394" s="164"/>
      <c r="K1394" s="164"/>
      <c r="L1394" s="158"/>
      <c r="M1394" s="158"/>
      <c r="N1394" s="158"/>
      <c r="O1394" s="158"/>
      <c r="P1394" s="158"/>
      <c r="Q1394" s="158"/>
      <c r="R1394" s="159"/>
      <c r="S1394" s="160"/>
      <c r="T1394" s="162"/>
    </row>
    <row r="1395">
      <c r="A1395" s="158"/>
      <c r="B1395" s="158"/>
      <c r="C1395" s="158"/>
      <c r="D1395" s="159"/>
      <c r="E1395" s="160"/>
      <c r="F1395" s="161"/>
      <c r="G1395" s="162"/>
      <c r="H1395" s="163"/>
      <c r="I1395" s="162"/>
      <c r="J1395" s="164"/>
      <c r="K1395" s="164"/>
      <c r="L1395" s="158"/>
      <c r="M1395" s="158"/>
      <c r="N1395" s="158"/>
      <c r="O1395" s="158"/>
      <c r="P1395" s="158"/>
      <c r="Q1395" s="158"/>
      <c r="R1395" s="159"/>
      <c r="S1395" s="160"/>
      <c r="T1395" s="162"/>
    </row>
    <row r="1396">
      <c r="A1396" s="158"/>
      <c r="B1396" s="158"/>
      <c r="C1396" s="158"/>
      <c r="D1396" s="159"/>
      <c r="E1396" s="160"/>
      <c r="F1396" s="161"/>
      <c r="G1396" s="162"/>
      <c r="H1396" s="163"/>
      <c r="I1396" s="162"/>
      <c r="J1396" s="164"/>
      <c r="K1396" s="164"/>
      <c r="L1396" s="158"/>
      <c r="M1396" s="158"/>
      <c r="N1396" s="158"/>
      <c r="O1396" s="158"/>
      <c r="P1396" s="158"/>
      <c r="Q1396" s="158"/>
      <c r="R1396" s="159"/>
      <c r="S1396" s="160"/>
      <c r="T1396" s="162"/>
    </row>
    <row r="1397">
      <c r="A1397" s="158"/>
      <c r="B1397" s="158"/>
      <c r="C1397" s="158"/>
      <c r="D1397" s="159"/>
      <c r="E1397" s="160"/>
      <c r="F1397" s="161"/>
      <c r="G1397" s="162"/>
      <c r="H1397" s="163"/>
      <c r="I1397" s="162"/>
      <c r="J1397" s="164"/>
      <c r="K1397" s="164"/>
      <c r="L1397" s="158"/>
      <c r="M1397" s="158"/>
      <c r="N1397" s="158"/>
      <c r="O1397" s="158"/>
      <c r="P1397" s="158"/>
      <c r="Q1397" s="158"/>
      <c r="R1397" s="159"/>
      <c r="S1397" s="160"/>
      <c r="T1397" s="162"/>
    </row>
    <row r="1398">
      <c r="A1398" s="158"/>
      <c r="B1398" s="158"/>
      <c r="C1398" s="158"/>
      <c r="D1398" s="159"/>
      <c r="E1398" s="160"/>
      <c r="F1398" s="161"/>
      <c r="G1398" s="162"/>
      <c r="H1398" s="163"/>
      <c r="I1398" s="162"/>
      <c r="J1398" s="164"/>
      <c r="K1398" s="164"/>
      <c r="L1398" s="158"/>
      <c r="M1398" s="158"/>
      <c r="N1398" s="158"/>
      <c r="O1398" s="158"/>
      <c r="P1398" s="158"/>
      <c r="Q1398" s="158"/>
      <c r="R1398" s="159"/>
      <c r="S1398" s="160"/>
      <c r="T1398" s="162"/>
    </row>
    <row r="1399">
      <c r="A1399" s="158"/>
      <c r="B1399" s="158"/>
      <c r="C1399" s="158"/>
      <c r="D1399" s="159"/>
      <c r="E1399" s="160"/>
      <c r="F1399" s="161"/>
      <c r="G1399" s="162"/>
      <c r="H1399" s="163"/>
      <c r="I1399" s="162"/>
      <c r="J1399" s="164"/>
      <c r="K1399" s="164"/>
      <c r="L1399" s="158"/>
      <c r="M1399" s="158"/>
      <c r="N1399" s="158"/>
      <c r="O1399" s="158"/>
      <c r="P1399" s="158"/>
      <c r="Q1399" s="158"/>
      <c r="R1399" s="159"/>
      <c r="S1399" s="160"/>
      <c r="T1399" s="162"/>
    </row>
    <row r="1400">
      <c r="A1400" s="158"/>
      <c r="B1400" s="158"/>
      <c r="C1400" s="158"/>
      <c r="D1400" s="159"/>
      <c r="E1400" s="160"/>
      <c r="F1400" s="161"/>
      <c r="G1400" s="162"/>
      <c r="H1400" s="163"/>
      <c r="I1400" s="162"/>
      <c r="J1400" s="164"/>
      <c r="K1400" s="164"/>
      <c r="L1400" s="158"/>
      <c r="M1400" s="158"/>
      <c r="N1400" s="158"/>
      <c r="O1400" s="158"/>
      <c r="P1400" s="158"/>
      <c r="Q1400" s="158"/>
      <c r="R1400" s="159"/>
      <c r="S1400" s="160"/>
      <c r="T1400" s="162"/>
    </row>
    <row r="1401">
      <c r="A1401" s="158"/>
      <c r="B1401" s="158"/>
      <c r="C1401" s="158"/>
      <c r="D1401" s="159"/>
      <c r="E1401" s="160"/>
      <c r="F1401" s="161"/>
      <c r="G1401" s="162"/>
      <c r="H1401" s="163"/>
      <c r="I1401" s="162"/>
      <c r="J1401" s="164"/>
      <c r="K1401" s="164"/>
      <c r="L1401" s="158"/>
      <c r="M1401" s="158"/>
      <c r="N1401" s="158"/>
      <c r="O1401" s="158"/>
      <c r="P1401" s="158"/>
      <c r="Q1401" s="158"/>
      <c r="R1401" s="159"/>
      <c r="S1401" s="160"/>
      <c r="T1401" s="162"/>
    </row>
    <row r="1402">
      <c r="A1402" s="158"/>
      <c r="B1402" s="158"/>
      <c r="C1402" s="158"/>
      <c r="D1402" s="159"/>
      <c r="E1402" s="160"/>
      <c r="F1402" s="161"/>
      <c r="G1402" s="162"/>
      <c r="H1402" s="163"/>
      <c r="I1402" s="162"/>
      <c r="J1402" s="164"/>
      <c r="K1402" s="164"/>
      <c r="L1402" s="158"/>
      <c r="M1402" s="158"/>
      <c r="N1402" s="158"/>
      <c r="O1402" s="158"/>
      <c r="P1402" s="158"/>
      <c r="Q1402" s="158"/>
      <c r="R1402" s="159"/>
      <c r="S1402" s="160"/>
      <c r="T1402" s="162"/>
    </row>
    <row r="1403">
      <c r="A1403" s="158"/>
      <c r="B1403" s="158"/>
      <c r="C1403" s="158"/>
      <c r="D1403" s="159"/>
      <c r="E1403" s="160"/>
      <c r="F1403" s="161"/>
      <c r="G1403" s="162"/>
      <c r="H1403" s="163"/>
      <c r="I1403" s="162"/>
      <c r="J1403" s="164"/>
      <c r="K1403" s="164"/>
      <c r="L1403" s="158"/>
      <c r="M1403" s="158"/>
      <c r="N1403" s="158"/>
      <c r="O1403" s="158"/>
      <c r="P1403" s="158"/>
      <c r="Q1403" s="158"/>
      <c r="R1403" s="159"/>
      <c r="S1403" s="160"/>
      <c r="T1403" s="162"/>
    </row>
    <row r="1404">
      <c r="A1404" s="158"/>
      <c r="B1404" s="158"/>
      <c r="C1404" s="158"/>
      <c r="D1404" s="159"/>
      <c r="E1404" s="160"/>
      <c r="F1404" s="161"/>
      <c r="G1404" s="162"/>
      <c r="H1404" s="163"/>
      <c r="I1404" s="162"/>
      <c r="J1404" s="164"/>
      <c r="K1404" s="164"/>
      <c r="L1404" s="158"/>
      <c r="M1404" s="158"/>
      <c r="N1404" s="158"/>
      <c r="O1404" s="158"/>
      <c r="P1404" s="158"/>
      <c r="Q1404" s="158"/>
      <c r="R1404" s="159"/>
      <c r="S1404" s="160"/>
      <c r="T1404" s="162"/>
    </row>
    <row r="1405">
      <c r="A1405" s="158"/>
      <c r="B1405" s="158"/>
      <c r="C1405" s="158"/>
      <c r="D1405" s="159"/>
      <c r="E1405" s="160"/>
      <c r="F1405" s="161"/>
      <c r="G1405" s="162"/>
      <c r="H1405" s="163"/>
      <c r="I1405" s="162"/>
      <c r="J1405" s="164"/>
      <c r="K1405" s="164"/>
      <c r="L1405" s="158"/>
      <c r="M1405" s="158"/>
      <c r="N1405" s="158"/>
      <c r="O1405" s="158"/>
      <c r="P1405" s="158"/>
      <c r="Q1405" s="158"/>
      <c r="R1405" s="159"/>
      <c r="S1405" s="160"/>
      <c r="T1405" s="162"/>
    </row>
    <row r="1406">
      <c r="A1406" s="158"/>
      <c r="B1406" s="158"/>
      <c r="C1406" s="158"/>
      <c r="D1406" s="159"/>
      <c r="E1406" s="160"/>
      <c r="F1406" s="161"/>
      <c r="G1406" s="162"/>
      <c r="H1406" s="163"/>
      <c r="I1406" s="162"/>
      <c r="J1406" s="164"/>
      <c r="K1406" s="164"/>
      <c r="L1406" s="158"/>
      <c r="M1406" s="158"/>
      <c r="N1406" s="158"/>
      <c r="O1406" s="158"/>
      <c r="P1406" s="158"/>
      <c r="Q1406" s="158"/>
      <c r="R1406" s="159"/>
      <c r="S1406" s="160"/>
      <c r="T1406" s="162"/>
    </row>
    <row r="1407">
      <c r="A1407" s="158"/>
      <c r="B1407" s="158"/>
      <c r="C1407" s="158"/>
      <c r="D1407" s="159"/>
      <c r="E1407" s="160"/>
      <c r="F1407" s="161"/>
      <c r="G1407" s="162"/>
      <c r="H1407" s="163"/>
      <c r="I1407" s="162"/>
      <c r="J1407" s="164"/>
      <c r="K1407" s="164"/>
      <c r="L1407" s="158"/>
      <c r="M1407" s="158"/>
      <c r="N1407" s="158"/>
      <c r="O1407" s="158"/>
      <c r="P1407" s="158"/>
      <c r="Q1407" s="158"/>
      <c r="R1407" s="159"/>
      <c r="S1407" s="160"/>
      <c r="T1407" s="162"/>
    </row>
    <row r="1408">
      <c r="A1408" s="158"/>
      <c r="B1408" s="158"/>
      <c r="C1408" s="158"/>
      <c r="D1408" s="159"/>
      <c r="E1408" s="160"/>
      <c r="F1408" s="161"/>
      <c r="G1408" s="162"/>
      <c r="H1408" s="163"/>
      <c r="I1408" s="162"/>
      <c r="J1408" s="164"/>
      <c r="K1408" s="164"/>
      <c r="L1408" s="158"/>
      <c r="M1408" s="158"/>
      <c r="N1408" s="158"/>
      <c r="O1408" s="158"/>
      <c r="P1408" s="158"/>
      <c r="Q1408" s="158"/>
      <c r="R1408" s="159"/>
      <c r="S1408" s="160"/>
      <c r="T1408" s="162"/>
    </row>
    <row r="1409">
      <c r="A1409" s="158"/>
      <c r="B1409" s="158"/>
      <c r="C1409" s="158"/>
      <c r="D1409" s="159"/>
      <c r="E1409" s="160"/>
      <c r="F1409" s="161"/>
      <c r="G1409" s="162"/>
      <c r="H1409" s="163"/>
      <c r="I1409" s="162"/>
      <c r="J1409" s="164"/>
      <c r="K1409" s="164"/>
      <c r="L1409" s="158"/>
      <c r="M1409" s="158"/>
      <c r="N1409" s="158"/>
      <c r="O1409" s="158"/>
      <c r="P1409" s="158"/>
      <c r="Q1409" s="158"/>
      <c r="R1409" s="159"/>
      <c r="S1409" s="160"/>
      <c r="T1409" s="162"/>
    </row>
    <row r="1410">
      <c r="A1410" s="158"/>
      <c r="B1410" s="158"/>
      <c r="C1410" s="158"/>
      <c r="D1410" s="159"/>
      <c r="E1410" s="160"/>
      <c r="F1410" s="161"/>
      <c r="G1410" s="162"/>
      <c r="H1410" s="163"/>
      <c r="I1410" s="162"/>
      <c r="J1410" s="164"/>
      <c r="K1410" s="164"/>
      <c r="L1410" s="158"/>
      <c r="M1410" s="158"/>
      <c r="N1410" s="158"/>
      <c r="O1410" s="158"/>
      <c r="P1410" s="158"/>
      <c r="Q1410" s="158"/>
      <c r="R1410" s="159"/>
      <c r="S1410" s="160"/>
      <c r="T1410" s="162"/>
    </row>
    <row r="1411">
      <c r="A1411" s="158"/>
      <c r="B1411" s="158"/>
      <c r="C1411" s="158"/>
      <c r="D1411" s="159"/>
      <c r="E1411" s="160"/>
      <c r="F1411" s="161"/>
      <c r="G1411" s="162"/>
      <c r="H1411" s="163"/>
      <c r="I1411" s="162"/>
      <c r="J1411" s="164"/>
      <c r="K1411" s="164"/>
      <c r="L1411" s="158"/>
      <c r="M1411" s="158"/>
      <c r="N1411" s="158"/>
      <c r="O1411" s="158"/>
      <c r="P1411" s="158"/>
      <c r="Q1411" s="158"/>
      <c r="R1411" s="159"/>
      <c r="S1411" s="160"/>
      <c r="T1411" s="162"/>
    </row>
    <row r="1412">
      <c r="A1412" s="158"/>
      <c r="B1412" s="158"/>
      <c r="C1412" s="158"/>
      <c r="D1412" s="159"/>
      <c r="E1412" s="160"/>
      <c r="F1412" s="161"/>
      <c r="G1412" s="162"/>
      <c r="H1412" s="163"/>
      <c r="I1412" s="162"/>
      <c r="J1412" s="164"/>
      <c r="K1412" s="164"/>
      <c r="L1412" s="158"/>
      <c r="M1412" s="158"/>
      <c r="N1412" s="158"/>
      <c r="O1412" s="158"/>
      <c r="P1412" s="158"/>
      <c r="Q1412" s="158"/>
      <c r="R1412" s="159"/>
      <c r="S1412" s="160"/>
      <c r="T1412" s="162"/>
    </row>
    <row r="1413">
      <c r="A1413" s="158"/>
      <c r="B1413" s="158"/>
      <c r="C1413" s="158"/>
      <c r="D1413" s="159"/>
      <c r="E1413" s="160"/>
      <c r="F1413" s="161"/>
      <c r="G1413" s="162"/>
      <c r="H1413" s="163"/>
      <c r="I1413" s="162"/>
      <c r="J1413" s="164"/>
      <c r="K1413" s="164"/>
      <c r="L1413" s="158"/>
      <c r="M1413" s="158"/>
      <c r="N1413" s="158"/>
      <c r="O1413" s="158"/>
      <c r="P1413" s="158"/>
      <c r="Q1413" s="158"/>
      <c r="R1413" s="159"/>
      <c r="S1413" s="160"/>
      <c r="T1413" s="162"/>
    </row>
    <row r="1414">
      <c r="A1414" s="158"/>
      <c r="B1414" s="158"/>
      <c r="C1414" s="158"/>
      <c r="D1414" s="159"/>
      <c r="E1414" s="160"/>
      <c r="F1414" s="161"/>
      <c r="G1414" s="162"/>
      <c r="H1414" s="163"/>
      <c r="I1414" s="162"/>
      <c r="J1414" s="164"/>
      <c r="K1414" s="164"/>
      <c r="L1414" s="158"/>
      <c r="M1414" s="158"/>
      <c r="N1414" s="158"/>
      <c r="O1414" s="158"/>
      <c r="P1414" s="158"/>
      <c r="Q1414" s="158"/>
      <c r="R1414" s="159"/>
      <c r="S1414" s="160"/>
      <c r="T1414" s="162"/>
    </row>
    <row r="1415">
      <c r="A1415" s="158"/>
      <c r="B1415" s="158"/>
      <c r="C1415" s="158"/>
      <c r="D1415" s="159"/>
      <c r="E1415" s="160"/>
      <c r="F1415" s="161"/>
      <c r="G1415" s="162"/>
      <c r="H1415" s="163"/>
      <c r="I1415" s="162"/>
      <c r="J1415" s="164"/>
      <c r="K1415" s="164"/>
      <c r="L1415" s="158"/>
      <c r="M1415" s="158"/>
      <c r="N1415" s="158"/>
      <c r="O1415" s="158"/>
      <c r="P1415" s="158"/>
      <c r="Q1415" s="158"/>
      <c r="R1415" s="159"/>
      <c r="S1415" s="160"/>
      <c r="T1415" s="162"/>
    </row>
    <row r="1416">
      <c r="A1416" s="158"/>
      <c r="B1416" s="158"/>
      <c r="C1416" s="158"/>
      <c r="D1416" s="159"/>
      <c r="E1416" s="160"/>
      <c r="F1416" s="161"/>
      <c r="G1416" s="162"/>
      <c r="H1416" s="163"/>
      <c r="I1416" s="162"/>
      <c r="J1416" s="164"/>
      <c r="K1416" s="164"/>
      <c r="L1416" s="158"/>
      <c r="M1416" s="158"/>
      <c r="N1416" s="158"/>
      <c r="O1416" s="158"/>
      <c r="P1416" s="158"/>
      <c r="Q1416" s="158"/>
      <c r="R1416" s="159"/>
      <c r="S1416" s="160"/>
      <c r="T1416" s="162"/>
    </row>
    <row r="1417">
      <c r="A1417" s="158"/>
      <c r="B1417" s="158"/>
      <c r="C1417" s="158"/>
      <c r="D1417" s="159"/>
      <c r="E1417" s="160"/>
      <c r="F1417" s="161"/>
      <c r="G1417" s="162"/>
      <c r="H1417" s="163"/>
      <c r="I1417" s="162"/>
      <c r="J1417" s="164"/>
      <c r="K1417" s="164"/>
      <c r="L1417" s="158"/>
      <c r="M1417" s="158"/>
      <c r="N1417" s="158"/>
      <c r="O1417" s="158"/>
      <c r="P1417" s="158"/>
      <c r="Q1417" s="158"/>
      <c r="R1417" s="159"/>
      <c r="S1417" s="160"/>
      <c r="T1417" s="162"/>
    </row>
    <row r="1418">
      <c r="A1418" s="158"/>
      <c r="B1418" s="158"/>
      <c r="C1418" s="158"/>
      <c r="D1418" s="159"/>
      <c r="E1418" s="160"/>
      <c r="F1418" s="161"/>
      <c r="G1418" s="162"/>
      <c r="H1418" s="163"/>
      <c r="I1418" s="162"/>
      <c r="J1418" s="164"/>
      <c r="K1418" s="164"/>
      <c r="L1418" s="158"/>
      <c r="M1418" s="158"/>
      <c r="N1418" s="158"/>
      <c r="O1418" s="158"/>
      <c r="P1418" s="158"/>
      <c r="Q1418" s="158"/>
      <c r="R1418" s="159"/>
      <c r="S1418" s="160"/>
      <c r="T1418" s="162"/>
    </row>
    <row r="1419">
      <c r="A1419" s="158"/>
      <c r="B1419" s="158"/>
      <c r="C1419" s="158"/>
      <c r="D1419" s="159"/>
      <c r="E1419" s="160"/>
      <c r="F1419" s="161"/>
      <c r="G1419" s="162"/>
      <c r="H1419" s="163"/>
      <c r="I1419" s="162"/>
      <c r="J1419" s="164"/>
      <c r="K1419" s="164"/>
      <c r="L1419" s="158"/>
      <c r="M1419" s="158"/>
      <c r="N1419" s="158"/>
      <c r="O1419" s="158"/>
      <c r="P1419" s="158"/>
      <c r="Q1419" s="158"/>
      <c r="R1419" s="159"/>
      <c r="S1419" s="160"/>
      <c r="T1419" s="162"/>
    </row>
    <row r="1420">
      <c r="A1420" s="158"/>
      <c r="B1420" s="158"/>
      <c r="C1420" s="158"/>
      <c r="D1420" s="159"/>
      <c r="E1420" s="160"/>
      <c r="F1420" s="161"/>
      <c r="G1420" s="162"/>
      <c r="H1420" s="163"/>
      <c r="I1420" s="162"/>
      <c r="J1420" s="164"/>
      <c r="K1420" s="164"/>
      <c r="L1420" s="158"/>
      <c r="M1420" s="158"/>
      <c r="N1420" s="158"/>
      <c r="O1420" s="158"/>
      <c r="P1420" s="158"/>
      <c r="Q1420" s="158"/>
      <c r="R1420" s="159"/>
      <c r="S1420" s="160"/>
      <c r="T1420" s="162"/>
    </row>
    <row r="1421">
      <c r="A1421" s="158"/>
      <c r="B1421" s="158"/>
      <c r="C1421" s="158"/>
      <c r="D1421" s="159"/>
      <c r="E1421" s="160"/>
      <c r="F1421" s="161"/>
      <c r="G1421" s="162"/>
      <c r="H1421" s="163"/>
      <c r="I1421" s="162"/>
      <c r="J1421" s="164"/>
      <c r="K1421" s="164"/>
      <c r="L1421" s="158"/>
      <c r="M1421" s="158"/>
      <c r="N1421" s="158"/>
      <c r="O1421" s="158"/>
      <c r="P1421" s="158"/>
      <c r="Q1421" s="158"/>
      <c r="R1421" s="159"/>
      <c r="S1421" s="160"/>
      <c r="T1421" s="162"/>
    </row>
    <row r="1422">
      <c r="A1422" s="158"/>
      <c r="B1422" s="158"/>
      <c r="C1422" s="158"/>
      <c r="D1422" s="159"/>
      <c r="E1422" s="160"/>
      <c r="F1422" s="161"/>
      <c r="G1422" s="162"/>
      <c r="H1422" s="163"/>
      <c r="I1422" s="162"/>
      <c r="J1422" s="164"/>
      <c r="K1422" s="164"/>
      <c r="L1422" s="158"/>
      <c r="M1422" s="158"/>
      <c r="N1422" s="158"/>
      <c r="O1422" s="158"/>
      <c r="P1422" s="158"/>
      <c r="Q1422" s="158"/>
      <c r="R1422" s="159"/>
      <c r="S1422" s="160"/>
      <c r="T1422" s="162"/>
    </row>
    <row r="1423">
      <c r="A1423" s="158"/>
      <c r="B1423" s="158"/>
      <c r="C1423" s="158"/>
      <c r="D1423" s="159"/>
      <c r="E1423" s="160"/>
      <c r="F1423" s="161"/>
      <c r="G1423" s="162"/>
      <c r="H1423" s="163"/>
      <c r="I1423" s="162"/>
      <c r="J1423" s="164"/>
      <c r="K1423" s="164"/>
      <c r="L1423" s="158"/>
      <c r="M1423" s="158"/>
      <c r="N1423" s="158"/>
      <c r="O1423" s="158"/>
      <c r="P1423" s="158"/>
      <c r="Q1423" s="158"/>
      <c r="R1423" s="159"/>
      <c r="S1423" s="160"/>
      <c r="T1423" s="162"/>
    </row>
    <row r="1424">
      <c r="A1424" s="158"/>
      <c r="B1424" s="158"/>
      <c r="C1424" s="158"/>
      <c r="D1424" s="159"/>
      <c r="E1424" s="160"/>
      <c r="F1424" s="161"/>
      <c r="G1424" s="162"/>
      <c r="H1424" s="163"/>
      <c r="I1424" s="162"/>
      <c r="J1424" s="164"/>
      <c r="K1424" s="164"/>
      <c r="L1424" s="158"/>
      <c r="M1424" s="158"/>
      <c r="N1424" s="158"/>
      <c r="O1424" s="158"/>
      <c r="P1424" s="158"/>
      <c r="Q1424" s="158"/>
      <c r="R1424" s="159"/>
      <c r="S1424" s="160"/>
      <c r="T1424" s="162"/>
    </row>
    <row r="1425">
      <c r="A1425" s="158"/>
      <c r="B1425" s="158"/>
      <c r="C1425" s="158"/>
      <c r="D1425" s="159"/>
      <c r="E1425" s="160"/>
      <c r="F1425" s="161"/>
      <c r="G1425" s="162"/>
      <c r="H1425" s="163"/>
      <c r="I1425" s="162"/>
      <c r="J1425" s="164"/>
      <c r="K1425" s="164"/>
      <c r="L1425" s="158"/>
      <c r="M1425" s="158"/>
      <c r="N1425" s="158"/>
      <c r="O1425" s="158"/>
      <c r="P1425" s="158"/>
      <c r="Q1425" s="158"/>
      <c r="R1425" s="159"/>
      <c r="S1425" s="160"/>
      <c r="T1425" s="162"/>
    </row>
    <row r="1426">
      <c r="A1426" s="158"/>
      <c r="B1426" s="158"/>
      <c r="C1426" s="158"/>
      <c r="D1426" s="159"/>
      <c r="E1426" s="160"/>
      <c r="F1426" s="161"/>
      <c r="G1426" s="162"/>
      <c r="H1426" s="163"/>
      <c r="I1426" s="162"/>
      <c r="J1426" s="164"/>
      <c r="K1426" s="164"/>
      <c r="L1426" s="158"/>
      <c r="M1426" s="158"/>
      <c r="N1426" s="158"/>
      <c r="O1426" s="158"/>
      <c r="P1426" s="158"/>
      <c r="Q1426" s="158"/>
      <c r="R1426" s="159"/>
      <c r="S1426" s="160"/>
      <c r="T1426" s="162"/>
    </row>
    <row r="1427">
      <c r="A1427" s="158"/>
      <c r="B1427" s="158"/>
      <c r="C1427" s="158"/>
      <c r="D1427" s="159"/>
      <c r="E1427" s="160"/>
      <c r="F1427" s="161"/>
      <c r="G1427" s="162"/>
      <c r="H1427" s="163"/>
      <c r="I1427" s="162"/>
      <c r="J1427" s="164"/>
      <c r="K1427" s="164"/>
      <c r="L1427" s="158"/>
      <c r="M1427" s="158"/>
      <c r="N1427" s="158"/>
      <c r="O1427" s="158"/>
      <c r="P1427" s="158"/>
      <c r="Q1427" s="158"/>
      <c r="R1427" s="159"/>
      <c r="S1427" s="160"/>
      <c r="T1427" s="162"/>
    </row>
    <row r="1428">
      <c r="A1428" s="158"/>
      <c r="B1428" s="158"/>
      <c r="C1428" s="158"/>
      <c r="D1428" s="159"/>
      <c r="E1428" s="160"/>
      <c r="F1428" s="161"/>
      <c r="G1428" s="162"/>
      <c r="H1428" s="163"/>
      <c r="I1428" s="162"/>
      <c r="J1428" s="164"/>
      <c r="K1428" s="164"/>
      <c r="L1428" s="158"/>
      <c r="M1428" s="158"/>
      <c r="N1428" s="158"/>
      <c r="O1428" s="158"/>
      <c r="P1428" s="158"/>
      <c r="Q1428" s="158"/>
      <c r="R1428" s="159"/>
      <c r="S1428" s="160"/>
      <c r="T1428" s="162"/>
    </row>
    <row r="1429">
      <c r="A1429" s="158"/>
      <c r="B1429" s="158"/>
      <c r="C1429" s="158"/>
      <c r="D1429" s="159"/>
      <c r="E1429" s="160"/>
      <c r="F1429" s="161"/>
      <c r="G1429" s="162"/>
      <c r="H1429" s="163"/>
      <c r="I1429" s="162"/>
      <c r="J1429" s="164"/>
      <c r="K1429" s="164"/>
      <c r="L1429" s="158"/>
      <c r="M1429" s="158"/>
      <c r="N1429" s="158"/>
      <c r="O1429" s="158"/>
      <c r="P1429" s="158"/>
      <c r="Q1429" s="158"/>
      <c r="R1429" s="159"/>
      <c r="S1429" s="160"/>
      <c r="T1429" s="162"/>
    </row>
    <row r="1430">
      <c r="A1430" s="158"/>
      <c r="B1430" s="158"/>
      <c r="C1430" s="158"/>
      <c r="D1430" s="159"/>
      <c r="E1430" s="160"/>
      <c r="F1430" s="161"/>
      <c r="G1430" s="162"/>
      <c r="H1430" s="163"/>
      <c r="I1430" s="162"/>
      <c r="J1430" s="164"/>
      <c r="K1430" s="164"/>
      <c r="L1430" s="158"/>
      <c r="M1430" s="158"/>
      <c r="N1430" s="158"/>
      <c r="O1430" s="158"/>
      <c r="P1430" s="158"/>
      <c r="Q1430" s="158"/>
      <c r="R1430" s="159"/>
      <c r="S1430" s="160"/>
      <c r="T1430" s="162"/>
    </row>
    <row r="1431">
      <c r="A1431" s="158"/>
      <c r="B1431" s="158"/>
      <c r="C1431" s="158"/>
      <c r="D1431" s="159"/>
      <c r="E1431" s="160"/>
      <c r="F1431" s="161"/>
      <c r="G1431" s="162"/>
      <c r="H1431" s="163"/>
      <c r="I1431" s="162"/>
      <c r="J1431" s="164"/>
      <c r="K1431" s="164"/>
      <c r="L1431" s="158"/>
      <c r="M1431" s="158"/>
      <c r="N1431" s="158"/>
      <c r="O1431" s="158"/>
      <c r="P1431" s="158"/>
      <c r="Q1431" s="158"/>
      <c r="R1431" s="159"/>
      <c r="S1431" s="160"/>
      <c r="T1431" s="162"/>
    </row>
    <row r="1432">
      <c r="A1432" s="158"/>
      <c r="B1432" s="158"/>
      <c r="C1432" s="158"/>
      <c r="D1432" s="159"/>
      <c r="E1432" s="160"/>
      <c r="F1432" s="161"/>
      <c r="G1432" s="162"/>
      <c r="H1432" s="163"/>
      <c r="I1432" s="162"/>
      <c r="J1432" s="164"/>
      <c r="K1432" s="164"/>
      <c r="L1432" s="158"/>
      <c r="M1432" s="158"/>
      <c r="N1432" s="158"/>
      <c r="O1432" s="158"/>
      <c r="P1432" s="158"/>
      <c r="Q1432" s="158"/>
      <c r="R1432" s="159"/>
      <c r="S1432" s="160"/>
      <c r="T1432" s="162"/>
    </row>
    <row r="1433">
      <c r="A1433" s="158"/>
      <c r="B1433" s="158"/>
      <c r="C1433" s="158"/>
      <c r="D1433" s="159"/>
      <c r="E1433" s="160"/>
      <c r="F1433" s="161"/>
      <c r="G1433" s="162"/>
      <c r="H1433" s="163"/>
      <c r="I1433" s="162"/>
      <c r="J1433" s="164"/>
      <c r="K1433" s="164"/>
      <c r="L1433" s="158"/>
      <c r="M1433" s="158"/>
      <c r="N1433" s="158"/>
      <c r="O1433" s="158"/>
      <c r="P1433" s="158"/>
      <c r="Q1433" s="158"/>
      <c r="R1433" s="159"/>
      <c r="S1433" s="160"/>
      <c r="T1433" s="162"/>
    </row>
    <row r="1434">
      <c r="A1434" s="158"/>
      <c r="B1434" s="158"/>
      <c r="C1434" s="158"/>
      <c r="D1434" s="159"/>
      <c r="E1434" s="160"/>
      <c r="F1434" s="161"/>
      <c r="G1434" s="162"/>
      <c r="H1434" s="163"/>
      <c r="I1434" s="162"/>
      <c r="J1434" s="164"/>
      <c r="K1434" s="164"/>
      <c r="L1434" s="158"/>
      <c r="M1434" s="158"/>
      <c r="N1434" s="158"/>
      <c r="O1434" s="158"/>
      <c r="P1434" s="158"/>
      <c r="Q1434" s="158"/>
      <c r="R1434" s="159"/>
      <c r="S1434" s="160"/>
      <c r="T1434" s="162"/>
    </row>
    <row r="1435">
      <c r="A1435" s="158"/>
      <c r="B1435" s="158"/>
      <c r="C1435" s="158"/>
      <c r="D1435" s="159"/>
      <c r="E1435" s="160"/>
      <c r="F1435" s="161"/>
      <c r="G1435" s="162"/>
      <c r="H1435" s="163"/>
      <c r="I1435" s="162"/>
      <c r="J1435" s="164"/>
      <c r="K1435" s="164"/>
      <c r="L1435" s="158"/>
      <c r="M1435" s="158"/>
      <c r="N1435" s="158"/>
      <c r="O1435" s="158"/>
      <c r="P1435" s="158"/>
      <c r="Q1435" s="158"/>
      <c r="R1435" s="159"/>
      <c r="S1435" s="160"/>
      <c r="T1435" s="162"/>
    </row>
    <row r="1436">
      <c r="A1436" s="158"/>
      <c r="B1436" s="158"/>
      <c r="C1436" s="158"/>
      <c r="D1436" s="159"/>
      <c r="E1436" s="160"/>
      <c r="F1436" s="161"/>
      <c r="G1436" s="162"/>
      <c r="H1436" s="163"/>
      <c r="I1436" s="162"/>
      <c r="J1436" s="164"/>
      <c r="K1436" s="164"/>
      <c r="L1436" s="158"/>
      <c r="M1436" s="158"/>
      <c r="N1436" s="158"/>
      <c r="O1436" s="158"/>
      <c r="P1436" s="158"/>
      <c r="Q1436" s="158"/>
      <c r="R1436" s="159"/>
      <c r="S1436" s="160"/>
      <c r="T1436" s="162"/>
    </row>
    <row r="1437">
      <c r="A1437" s="158"/>
      <c r="B1437" s="158"/>
      <c r="C1437" s="158"/>
      <c r="D1437" s="159"/>
      <c r="E1437" s="160"/>
      <c r="F1437" s="161"/>
      <c r="G1437" s="162"/>
      <c r="H1437" s="163"/>
      <c r="I1437" s="162"/>
      <c r="J1437" s="164"/>
      <c r="K1437" s="164"/>
      <c r="L1437" s="158"/>
      <c r="M1437" s="158"/>
      <c r="N1437" s="158"/>
      <c r="O1437" s="158"/>
      <c r="P1437" s="158"/>
      <c r="Q1437" s="158"/>
      <c r="R1437" s="159"/>
      <c r="S1437" s="160"/>
      <c r="T1437" s="162"/>
    </row>
    <row r="1438">
      <c r="A1438" s="158"/>
      <c r="B1438" s="158"/>
      <c r="C1438" s="158"/>
      <c r="D1438" s="159"/>
      <c r="E1438" s="160"/>
      <c r="F1438" s="161"/>
      <c r="G1438" s="162"/>
      <c r="H1438" s="163"/>
      <c r="I1438" s="162"/>
      <c r="J1438" s="164"/>
      <c r="K1438" s="164"/>
      <c r="L1438" s="158"/>
      <c r="M1438" s="158"/>
      <c r="N1438" s="158"/>
      <c r="O1438" s="158"/>
      <c r="P1438" s="158"/>
      <c r="Q1438" s="158"/>
      <c r="R1438" s="159"/>
      <c r="S1438" s="160"/>
      <c r="T1438" s="162"/>
    </row>
    <row r="1439">
      <c r="A1439" s="158"/>
      <c r="B1439" s="158"/>
      <c r="C1439" s="158"/>
      <c r="D1439" s="159"/>
      <c r="E1439" s="160"/>
      <c r="F1439" s="161"/>
      <c r="G1439" s="162"/>
      <c r="H1439" s="163"/>
      <c r="I1439" s="162"/>
      <c r="J1439" s="164"/>
      <c r="K1439" s="164"/>
      <c r="L1439" s="158"/>
      <c r="M1439" s="158"/>
      <c r="N1439" s="158"/>
      <c r="O1439" s="158"/>
      <c r="P1439" s="158"/>
      <c r="Q1439" s="158"/>
      <c r="R1439" s="159"/>
      <c r="S1439" s="160"/>
      <c r="T1439" s="162"/>
    </row>
    <row r="1440">
      <c r="A1440" s="158"/>
      <c r="B1440" s="158"/>
      <c r="C1440" s="158"/>
      <c r="D1440" s="159"/>
      <c r="E1440" s="160"/>
      <c r="F1440" s="161"/>
      <c r="G1440" s="162"/>
      <c r="H1440" s="163"/>
      <c r="I1440" s="162"/>
      <c r="J1440" s="164"/>
      <c r="K1440" s="164"/>
      <c r="L1440" s="158"/>
      <c r="M1440" s="158"/>
      <c r="N1440" s="158"/>
      <c r="O1440" s="158"/>
      <c r="P1440" s="158"/>
      <c r="Q1440" s="158"/>
      <c r="R1440" s="159"/>
      <c r="S1440" s="160"/>
      <c r="T1440" s="162"/>
    </row>
    <row r="1441">
      <c r="A1441" s="158"/>
      <c r="B1441" s="158"/>
      <c r="C1441" s="158"/>
      <c r="D1441" s="159"/>
      <c r="E1441" s="160"/>
      <c r="F1441" s="161"/>
      <c r="G1441" s="162"/>
      <c r="H1441" s="163"/>
      <c r="I1441" s="162"/>
      <c r="J1441" s="164"/>
      <c r="K1441" s="164"/>
      <c r="L1441" s="158"/>
      <c r="M1441" s="158"/>
      <c r="N1441" s="158"/>
      <c r="O1441" s="158"/>
      <c r="P1441" s="158"/>
      <c r="Q1441" s="158"/>
      <c r="R1441" s="159"/>
      <c r="S1441" s="160"/>
      <c r="T1441" s="162"/>
    </row>
    <row r="1442">
      <c r="A1442" s="158"/>
      <c r="B1442" s="158"/>
      <c r="C1442" s="158"/>
      <c r="D1442" s="159"/>
      <c r="E1442" s="160"/>
      <c r="F1442" s="161"/>
      <c r="G1442" s="162"/>
      <c r="H1442" s="163"/>
      <c r="I1442" s="162"/>
      <c r="J1442" s="164"/>
      <c r="K1442" s="164"/>
      <c r="L1442" s="158"/>
      <c r="M1442" s="158"/>
      <c r="N1442" s="158"/>
      <c r="O1442" s="158"/>
      <c r="P1442" s="158"/>
      <c r="Q1442" s="158"/>
      <c r="R1442" s="159"/>
      <c r="S1442" s="160"/>
      <c r="T1442" s="162"/>
    </row>
    <row r="1443">
      <c r="A1443" s="158"/>
      <c r="B1443" s="158"/>
      <c r="C1443" s="158"/>
      <c r="D1443" s="159"/>
      <c r="E1443" s="160"/>
      <c r="F1443" s="161"/>
      <c r="G1443" s="162"/>
      <c r="H1443" s="163"/>
      <c r="I1443" s="162"/>
      <c r="J1443" s="164"/>
      <c r="K1443" s="164"/>
      <c r="L1443" s="158"/>
      <c r="M1443" s="158"/>
      <c r="N1443" s="158"/>
      <c r="O1443" s="158"/>
      <c r="P1443" s="158"/>
      <c r="Q1443" s="158"/>
      <c r="R1443" s="159"/>
      <c r="S1443" s="160"/>
      <c r="T1443" s="162"/>
    </row>
    <row r="1444">
      <c r="A1444" s="158"/>
      <c r="B1444" s="158"/>
      <c r="C1444" s="158"/>
      <c r="D1444" s="159"/>
      <c r="E1444" s="160"/>
      <c r="F1444" s="161"/>
      <c r="G1444" s="162"/>
      <c r="H1444" s="163"/>
      <c r="I1444" s="162"/>
      <c r="J1444" s="164"/>
      <c r="K1444" s="164"/>
      <c r="L1444" s="158"/>
      <c r="M1444" s="158"/>
      <c r="N1444" s="158"/>
      <c r="O1444" s="158"/>
      <c r="P1444" s="158"/>
      <c r="Q1444" s="158"/>
      <c r="R1444" s="159"/>
      <c r="S1444" s="160"/>
      <c r="T1444" s="162"/>
    </row>
    <row r="1445">
      <c r="A1445" s="158"/>
      <c r="B1445" s="158"/>
      <c r="C1445" s="158"/>
      <c r="D1445" s="159"/>
      <c r="E1445" s="160"/>
      <c r="F1445" s="161"/>
      <c r="G1445" s="162"/>
      <c r="H1445" s="163"/>
      <c r="I1445" s="162"/>
      <c r="J1445" s="164"/>
      <c r="K1445" s="164"/>
      <c r="L1445" s="158"/>
      <c r="M1445" s="158"/>
      <c r="N1445" s="158"/>
      <c r="O1445" s="158"/>
      <c r="P1445" s="158"/>
      <c r="Q1445" s="158"/>
      <c r="R1445" s="159"/>
      <c r="S1445" s="160"/>
      <c r="T1445" s="162"/>
    </row>
    <row r="1446">
      <c r="A1446" s="158"/>
      <c r="B1446" s="158"/>
      <c r="C1446" s="158"/>
      <c r="D1446" s="159"/>
      <c r="E1446" s="160"/>
      <c r="F1446" s="161"/>
      <c r="G1446" s="162"/>
      <c r="H1446" s="163"/>
      <c r="I1446" s="162"/>
      <c r="J1446" s="164"/>
      <c r="K1446" s="164"/>
      <c r="L1446" s="158"/>
      <c r="M1446" s="158"/>
      <c r="N1446" s="158"/>
      <c r="O1446" s="158"/>
      <c r="P1446" s="158"/>
      <c r="Q1446" s="158"/>
      <c r="R1446" s="159"/>
      <c r="S1446" s="160"/>
      <c r="T1446" s="162"/>
    </row>
    <row r="1447">
      <c r="A1447" s="158"/>
      <c r="B1447" s="158"/>
      <c r="C1447" s="158"/>
      <c r="D1447" s="159"/>
      <c r="E1447" s="160"/>
      <c r="F1447" s="161"/>
      <c r="G1447" s="162"/>
      <c r="H1447" s="163"/>
      <c r="I1447" s="162"/>
      <c r="J1447" s="164"/>
      <c r="K1447" s="164"/>
      <c r="L1447" s="158"/>
      <c r="M1447" s="158"/>
      <c r="N1447" s="158"/>
      <c r="O1447" s="158"/>
      <c r="P1447" s="158"/>
      <c r="Q1447" s="158"/>
      <c r="R1447" s="159"/>
      <c r="S1447" s="160"/>
      <c r="T1447" s="162"/>
    </row>
    <row r="1448">
      <c r="A1448" s="158"/>
      <c r="B1448" s="158"/>
      <c r="C1448" s="158"/>
      <c r="D1448" s="159"/>
      <c r="E1448" s="160"/>
      <c r="F1448" s="161"/>
      <c r="G1448" s="162"/>
      <c r="H1448" s="163"/>
      <c r="I1448" s="162"/>
      <c r="J1448" s="164"/>
      <c r="K1448" s="164"/>
      <c r="L1448" s="158"/>
      <c r="M1448" s="158"/>
      <c r="N1448" s="158"/>
      <c r="O1448" s="158"/>
      <c r="P1448" s="158"/>
      <c r="Q1448" s="158"/>
      <c r="R1448" s="159"/>
      <c r="S1448" s="160"/>
      <c r="T1448" s="162"/>
    </row>
    <row r="1449">
      <c r="A1449" s="158"/>
      <c r="B1449" s="158"/>
      <c r="C1449" s="158"/>
      <c r="D1449" s="159"/>
      <c r="E1449" s="160"/>
      <c r="F1449" s="161"/>
      <c r="G1449" s="162"/>
      <c r="H1449" s="163"/>
      <c r="I1449" s="162"/>
      <c r="J1449" s="164"/>
      <c r="K1449" s="164"/>
      <c r="L1449" s="158"/>
      <c r="M1449" s="158"/>
      <c r="N1449" s="158"/>
      <c r="O1449" s="158"/>
      <c r="P1449" s="158"/>
      <c r="Q1449" s="158"/>
      <c r="R1449" s="159"/>
      <c r="S1449" s="160"/>
      <c r="T1449" s="162"/>
    </row>
    <row r="1450">
      <c r="A1450" s="158"/>
      <c r="B1450" s="158"/>
      <c r="C1450" s="158"/>
      <c r="D1450" s="159"/>
      <c r="E1450" s="160"/>
      <c r="F1450" s="161"/>
      <c r="G1450" s="162"/>
      <c r="H1450" s="163"/>
      <c r="I1450" s="162"/>
      <c r="J1450" s="164"/>
      <c r="K1450" s="164"/>
      <c r="L1450" s="158"/>
      <c r="M1450" s="158"/>
      <c r="N1450" s="158"/>
      <c r="O1450" s="158"/>
      <c r="P1450" s="158"/>
      <c r="Q1450" s="158"/>
      <c r="R1450" s="159"/>
      <c r="S1450" s="160"/>
      <c r="T1450" s="162"/>
    </row>
    <row r="1451">
      <c r="A1451" s="158"/>
      <c r="B1451" s="158"/>
      <c r="C1451" s="158"/>
      <c r="D1451" s="159"/>
      <c r="E1451" s="160"/>
      <c r="F1451" s="161"/>
      <c r="G1451" s="162"/>
      <c r="H1451" s="163"/>
      <c r="I1451" s="162"/>
      <c r="J1451" s="164"/>
      <c r="K1451" s="164"/>
      <c r="L1451" s="158"/>
      <c r="M1451" s="158"/>
      <c r="N1451" s="158"/>
      <c r="O1451" s="158"/>
      <c r="P1451" s="158"/>
      <c r="Q1451" s="158"/>
      <c r="R1451" s="159"/>
      <c r="S1451" s="160"/>
      <c r="T1451" s="162"/>
    </row>
    <row r="1452">
      <c r="A1452" s="158"/>
      <c r="B1452" s="158"/>
      <c r="C1452" s="158"/>
      <c r="D1452" s="159"/>
      <c r="E1452" s="160"/>
      <c r="F1452" s="161"/>
      <c r="G1452" s="162"/>
      <c r="H1452" s="163"/>
      <c r="I1452" s="162"/>
      <c r="J1452" s="164"/>
      <c r="K1452" s="164"/>
      <c r="L1452" s="158"/>
      <c r="M1452" s="158"/>
      <c r="N1452" s="158"/>
      <c r="O1452" s="158"/>
      <c r="P1452" s="158"/>
      <c r="Q1452" s="158"/>
      <c r="R1452" s="159"/>
      <c r="S1452" s="160"/>
      <c r="T1452" s="162"/>
    </row>
    <row r="1453">
      <c r="A1453" s="158"/>
      <c r="B1453" s="158"/>
      <c r="C1453" s="158"/>
      <c r="D1453" s="159"/>
      <c r="E1453" s="160"/>
      <c r="F1453" s="161"/>
      <c r="G1453" s="162"/>
      <c r="H1453" s="163"/>
      <c r="I1453" s="162"/>
      <c r="J1453" s="164"/>
      <c r="K1453" s="164"/>
      <c r="L1453" s="158"/>
      <c r="M1453" s="158"/>
      <c r="N1453" s="158"/>
      <c r="O1453" s="158"/>
      <c r="P1453" s="158"/>
      <c r="Q1453" s="158"/>
      <c r="R1453" s="159"/>
      <c r="S1453" s="160"/>
      <c r="T1453" s="162"/>
    </row>
    <row r="1454">
      <c r="A1454" s="158"/>
      <c r="B1454" s="158"/>
      <c r="C1454" s="158"/>
      <c r="D1454" s="159"/>
      <c r="E1454" s="160"/>
      <c r="F1454" s="161"/>
      <c r="G1454" s="162"/>
      <c r="H1454" s="163"/>
      <c r="I1454" s="162"/>
      <c r="J1454" s="164"/>
      <c r="K1454" s="164"/>
      <c r="L1454" s="158"/>
      <c r="M1454" s="158"/>
      <c r="N1454" s="158"/>
      <c r="O1454" s="158"/>
      <c r="P1454" s="158"/>
      <c r="Q1454" s="158"/>
      <c r="R1454" s="159"/>
      <c r="S1454" s="160"/>
      <c r="T1454" s="162"/>
    </row>
    <row r="1455">
      <c r="A1455" s="158"/>
      <c r="B1455" s="158"/>
      <c r="C1455" s="158"/>
      <c r="D1455" s="159"/>
      <c r="E1455" s="160"/>
      <c r="F1455" s="161"/>
      <c r="G1455" s="162"/>
      <c r="H1455" s="163"/>
      <c r="I1455" s="162"/>
      <c r="J1455" s="164"/>
      <c r="K1455" s="164"/>
      <c r="L1455" s="158"/>
      <c r="M1455" s="158"/>
      <c r="N1455" s="158"/>
      <c r="O1455" s="158"/>
      <c r="P1455" s="158"/>
      <c r="Q1455" s="158"/>
      <c r="R1455" s="159"/>
      <c r="S1455" s="160"/>
      <c r="T1455" s="162"/>
    </row>
    <row r="1456">
      <c r="A1456" s="158"/>
      <c r="B1456" s="158"/>
      <c r="C1456" s="158"/>
      <c r="D1456" s="159"/>
      <c r="E1456" s="160"/>
      <c r="F1456" s="161"/>
      <c r="G1456" s="162"/>
      <c r="H1456" s="163"/>
      <c r="I1456" s="162"/>
      <c r="J1456" s="164"/>
      <c r="K1456" s="164"/>
      <c r="L1456" s="158"/>
      <c r="M1456" s="158"/>
      <c r="N1456" s="158"/>
      <c r="O1456" s="158"/>
      <c r="P1456" s="158"/>
      <c r="Q1456" s="158"/>
      <c r="R1456" s="159"/>
      <c r="S1456" s="160"/>
      <c r="T1456" s="162"/>
    </row>
    <row r="1457">
      <c r="A1457" s="158"/>
      <c r="B1457" s="158"/>
      <c r="C1457" s="158"/>
      <c r="D1457" s="159"/>
      <c r="E1457" s="160"/>
      <c r="F1457" s="161"/>
      <c r="G1457" s="162"/>
      <c r="H1457" s="163"/>
      <c r="I1457" s="162"/>
      <c r="J1457" s="164"/>
      <c r="K1457" s="164"/>
      <c r="L1457" s="158"/>
      <c r="M1457" s="158"/>
      <c r="N1457" s="158"/>
      <c r="O1457" s="158"/>
      <c r="P1457" s="158"/>
      <c r="Q1457" s="158"/>
      <c r="R1457" s="159"/>
      <c r="S1457" s="160"/>
      <c r="T1457" s="162"/>
    </row>
    <row r="1458">
      <c r="A1458" s="158"/>
      <c r="B1458" s="158"/>
      <c r="C1458" s="158"/>
      <c r="D1458" s="159"/>
      <c r="E1458" s="160"/>
      <c r="F1458" s="161"/>
      <c r="G1458" s="162"/>
      <c r="H1458" s="163"/>
      <c r="I1458" s="162"/>
      <c r="J1458" s="164"/>
      <c r="K1458" s="164"/>
      <c r="L1458" s="158"/>
      <c r="M1458" s="158"/>
      <c r="N1458" s="158"/>
      <c r="O1458" s="158"/>
      <c r="P1458" s="158"/>
      <c r="Q1458" s="158"/>
      <c r="R1458" s="159"/>
      <c r="S1458" s="160"/>
      <c r="T1458" s="162"/>
    </row>
    <row r="1459">
      <c r="A1459" s="158"/>
      <c r="B1459" s="158"/>
      <c r="C1459" s="158"/>
      <c r="D1459" s="159"/>
      <c r="E1459" s="160"/>
      <c r="F1459" s="161"/>
      <c r="G1459" s="162"/>
      <c r="H1459" s="163"/>
      <c r="I1459" s="162"/>
      <c r="J1459" s="164"/>
      <c r="K1459" s="164"/>
      <c r="L1459" s="158"/>
      <c r="M1459" s="158"/>
      <c r="N1459" s="158"/>
      <c r="O1459" s="158"/>
      <c r="P1459" s="158"/>
      <c r="Q1459" s="158"/>
      <c r="R1459" s="159"/>
      <c r="S1459" s="160"/>
      <c r="T1459" s="162"/>
    </row>
    <row r="1460">
      <c r="A1460" s="158"/>
      <c r="B1460" s="158"/>
      <c r="C1460" s="158"/>
      <c r="D1460" s="159"/>
      <c r="E1460" s="160"/>
      <c r="F1460" s="161"/>
      <c r="G1460" s="162"/>
      <c r="H1460" s="163"/>
      <c r="I1460" s="162"/>
      <c r="J1460" s="164"/>
      <c r="K1460" s="164"/>
      <c r="L1460" s="158"/>
      <c r="M1460" s="158"/>
      <c r="N1460" s="158"/>
      <c r="O1460" s="158"/>
      <c r="P1460" s="158"/>
      <c r="Q1460" s="158"/>
      <c r="R1460" s="159"/>
      <c r="S1460" s="160"/>
      <c r="T1460" s="162"/>
    </row>
    <row r="1461">
      <c r="A1461" s="158"/>
      <c r="B1461" s="158"/>
      <c r="C1461" s="158"/>
      <c r="D1461" s="159"/>
      <c r="E1461" s="160"/>
      <c r="F1461" s="161"/>
      <c r="G1461" s="162"/>
      <c r="H1461" s="163"/>
      <c r="I1461" s="162"/>
      <c r="J1461" s="164"/>
      <c r="K1461" s="164"/>
      <c r="L1461" s="158"/>
      <c r="M1461" s="158"/>
      <c r="N1461" s="158"/>
      <c r="O1461" s="158"/>
      <c r="P1461" s="158"/>
      <c r="Q1461" s="158"/>
      <c r="R1461" s="159"/>
      <c r="S1461" s="160"/>
      <c r="T1461" s="162"/>
    </row>
    <row r="1462">
      <c r="A1462" s="158"/>
      <c r="B1462" s="158"/>
      <c r="C1462" s="158"/>
      <c r="D1462" s="159"/>
      <c r="E1462" s="160"/>
      <c r="F1462" s="161"/>
      <c r="G1462" s="162"/>
      <c r="H1462" s="163"/>
      <c r="I1462" s="162"/>
      <c r="J1462" s="164"/>
      <c r="K1462" s="164"/>
      <c r="L1462" s="158"/>
      <c r="M1462" s="158"/>
      <c r="N1462" s="158"/>
      <c r="O1462" s="158"/>
      <c r="P1462" s="158"/>
      <c r="Q1462" s="158"/>
      <c r="R1462" s="159"/>
      <c r="S1462" s="160"/>
      <c r="T1462" s="162"/>
    </row>
    <row r="1463">
      <c r="A1463" s="158"/>
      <c r="B1463" s="158"/>
      <c r="C1463" s="158"/>
      <c r="D1463" s="159"/>
      <c r="E1463" s="160"/>
      <c r="F1463" s="161"/>
      <c r="G1463" s="162"/>
      <c r="H1463" s="163"/>
      <c r="I1463" s="162"/>
      <c r="J1463" s="164"/>
      <c r="K1463" s="164"/>
      <c r="L1463" s="158"/>
      <c r="M1463" s="158"/>
      <c r="N1463" s="158"/>
      <c r="O1463" s="158"/>
      <c r="P1463" s="158"/>
      <c r="Q1463" s="158"/>
      <c r="R1463" s="159"/>
      <c r="S1463" s="160"/>
      <c r="T1463" s="162"/>
    </row>
    <row r="1464">
      <c r="A1464" s="158"/>
      <c r="B1464" s="158"/>
      <c r="C1464" s="158"/>
      <c r="D1464" s="159"/>
      <c r="E1464" s="160"/>
      <c r="F1464" s="161"/>
      <c r="G1464" s="162"/>
      <c r="H1464" s="163"/>
      <c r="I1464" s="162"/>
      <c r="J1464" s="164"/>
      <c r="K1464" s="164"/>
      <c r="L1464" s="158"/>
      <c r="M1464" s="158"/>
      <c r="N1464" s="158"/>
      <c r="O1464" s="158"/>
      <c r="P1464" s="158"/>
      <c r="Q1464" s="158"/>
      <c r="R1464" s="159"/>
      <c r="S1464" s="160"/>
      <c r="T1464" s="162"/>
    </row>
    <row r="1465">
      <c r="A1465" s="158"/>
      <c r="B1465" s="158"/>
      <c r="C1465" s="158"/>
      <c r="D1465" s="159"/>
      <c r="E1465" s="160"/>
      <c r="F1465" s="161"/>
      <c r="G1465" s="162"/>
      <c r="H1465" s="163"/>
      <c r="I1465" s="162"/>
      <c r="J1465" s="164"/>
      <c r="K1465" s="164"/>
      <c r="L1465" s="158"/>
      <c r="M1465" s="158"/>
      <c r="N1465" s="158"/>
      <c r="O1465" s="158"/>
      <c r="P1465" s="158"/>
      <c r="Q1465" s="158"/>
      <c r="R1465" s="159"/>
      <c r="S1465" s="160"/>
      <c r="T1465" s="162"/>
    </row>
    <row r="1466">
      <c r="A1466" s="158"/>
      <c r="B1466" s="158"/>
      <c r="C1466" s="158"/>
      <c r="D1466" s="159"/>
      <c r="E1466" s="160"/>
      <c r="F1466" s="161"/>
      <c r="G1466" s="162"/>
      <c r="H1466" s="163"/>
      <c r="I1466" s="162"/>
      <c r="J1466" s="164"/>
      <c r="K1466" s="164"/>
      <c r="L1466" s="158"/>
      <c r="M1466" s="158"/>
      <c r="N1466" s="158"/>
      <c r="O1466" s="158"/>
      <c r="P1466" s="158"/>
      <c r="Q1466" s="158"/>
      <c r="R1466" s="159"/>
      <c r="S1466" s="160"/>
      <c r="T1466" s="162"/>
    </row>
    <row r="1467">
      <c r="A1467" s="158"/>
      <c r="B1467" s="158"/>
      <c r="C1467" s="158"/>
      <c r="D1467" s="159"/>
      <c r="E1467" s="160"/>
      <c r="F1467" s="161"/>
      <c r="G1467" s="162"/>
      <c r="H1467" s="163"/>
      <c r="I1467" s="162"/>
      <c r="J1467" s="164"/>
      <c r="K1467" s="164"/>
      <c r="L1467" s="158"/>
      <c r="M1467" s="158"/>
      <c r="N1467" s="158"/>
      <c r="O1467" s="158"/>
      <c r="P1467" s="158"/>
      <c r="Q1467" s="158"/>
      <c r="R1467" s="159"/>
      <c r="S1467" s="160"/>
      <c r="T1467" s="162"/>
    </row>
    <row r="1468">
      <c r="A1468" s="158"/>
      <c r="B1468" s="158"/>
      <c r="C1468" s="158"/>
      <c r="D1468" s="159"/>
      <c r="E1468" s="160"/>
      <c r="F1468" s="161"/>
      <c r="G1468" s="162"/>
      <c r="H1468" s="163"/>
      <c r="I1468" s="162"/>
      <c r="J1468" s="164"/>
      <c r="K1468" s="164"/>
      <c r="L1468" s="158"/>
      <c r="M1468" s="158"/>
      <c r="N1468" s="158"/>
      <c r="O1468" s="158"/>
      <c r="P1468" s="158"/>
      <c r="Q1468" s="158"/>
      <c r="R1468" s="159"/>
      <c r="S1468" s="160"/>
      <c r="T1468" s="162"/>
    </row>
    <row r="1469">
      <c r="A1469" s="158"/>
      <c r="B1469" s="158"/>
      <c r="C1469" s="158"/>
      <c r="D1469" s="159"/>
      <c r="E1469" s="160"/>
      <c r="F1469" s="161"/>
      <c r="G1469" s="162"/>
      <c r="H1469" s="163"/>
      <c r="I1469" s="162"/>
      <c r="J1469" s="164"/>
      <c r="K1469" s="164"/>
      <c r="L1469" s="158"/>
      <c r="M1469" s="158"/>
      <c r="N1469" s="158"/>
      <c r="O1469" s="158"/>
      <c r="P1469" s="158"/>
      <c r="Q1469" s="158"/>
      <c r="R1469" s="159"/>
      <c r="S1469" s="160"/>
      <c r="T1469" s="162"/>
    </row>
    <row r="1470">
      <c r="A1470" s="158"/>
      <c r="B1470" s="158"/>
      <c r="C1470" s="158"/>
      <c r="D1470" s="159"/>
      <c r="E1470" s="160"/>
      <c r="F1470" s="161"/>
      <c r="G1470" s="162"/>
      <c r="H1470" s="163"/>
      <c r="I1470" s="162"/>
      <c r="J1470" s="164"/>
      <c r="K1470" s="164"/>
      <c r="L1470" s="158"/>
      <c r="M1470" s="158"/>
      <c r="N1470" s="158"/>
      <c r="O1470" s="158"/>
      <c r="P1470" s="158"/>
      <c r="Q1470" s="158"/>
      <c r="R1470" s="159"/>
      <c r="S1470" s="160"/>
      <c r="T1470" s="162"/>
    </row>
    <row r="1471">
      <c r="A1471" s="158"/>
      <c r="B1471" s="158"/>
      <c r="C1471" s="158"/>
      <c r="D1471" s="159"/>
      <c r="E1471" s="160"/>
      <c r="F1471" s="161"/>
      <c r="G1471" s="162"/>
      <c r="H1471" s="163"/>
      <c r="I1471" s="162"/>
      <c r="J1471" s="164"/>
      <c r="K1471" s="164"/>
      <c r="L1471" s="158"/>
      <c r="M1471" s="158"/>
      <c r="N1471" s="158"/>
      <c r="O1471" s="158"/>
      <c r="P1471" s="158"/>
      <c r="Q1471" s="158"/>
      <c r="R1471" s="159"/>
      <c r="S1471" s="160"/>
      <c r="T1471" s="162"/>
    </row>
    <row r="1472">
      <c r="A1472" s="158"/>
      <c r="B1472" s="158"/>
      <c r="C1472" s="158"/>
      <c r="D1472" s="159"/>
      <c r="E1472" s="160"/>
      <c r="F1472" s="161"/>
      <c r="G1472" s="162"/>
      <c r="H1472" s="163"/>
      <c r="I1472" s="162"/>
      <c r="J1472" s="164"/>
      <c r="K1472" s="164"/>
      <c r="L1472" s="158"/>
      <c r="M1472" s="158"/>
      <c r="N1472" s="158"/>
      <c r="O1472" s="158"/>
      <c r="P1472" s="158"/>
      <c r="Q1472" s="158"/>
      <c r="R1472" s="159"/>
      <c r="S1472" s="160"/>
      <c r="T1472" s="162"/>
    </row>
    <row r="1473">
      <c r="A1473" s="158"/>
      <c r="B1473" s="158"/>
      <c r="C1473" s="158"/>
      <c r="D1473" s="159"/>
      <c r="E1473" s="160"/>
      <c r="F1473" s="161"/>
      <c r="G1473" s="162"/>
      <c r="H1473" s="163"/>
      <c r="I1473" s="162"/>
      <c r="J1473" s="164"/>
      <c r="K1473" s="164"/>
      <c r="L1473" s="158"/>
      <c r="M1473" s="158"/>
      <c r="N1473" s="158"/>
      <c r="O1473" s="158"/>
      <c r="P1473" s="158"/>
      <c r="Q1473" s="158"/>
      <c r="R1473" s="159"/>
      <c r="S1473" s="160"/>
      <c r="T1473" s="162"/>
    </row>
    <row r="1474">
      <c r="A1474" s="158"/>
      <c r="B1474" s="158"/>
      <c r="C1474" s="158"/>
      <c r="D1474" s="159"/>
      <c r="E1474" s="160"/>
      <c r="F1474" s="161"/>
      <c r="G1474" s="162"/>
      <c r="H1474" s="163"/>
      <c r="I1474" s="162"/>
      <c r="J1474" s="164"/>
      <c r="K1474" s="164"/>
      <c r="L1474" s="158"/>
      <c r="M1474" s="158"/>
      <c r="N1474" s="158"/>
      <c r="O1474" s="158"/>
      <c r="P1474" s="158"/>
      <c r="Q1474" s="158"/>
      <c r="R1474" s="159"/>
      <c r="S1474" s="160"/>
      <c r="T1474" s="162"/>
    </row>
    <row r="1475">
      <c r="A1475" s="158"/>
      <c r="B1475" s="158"/>
      <c r="C1475" s="158"/>
      <c r="D1475" s="159"/>
      <c r="E1475" s="160"/>
      <c r="F1475" s="161"/>
      <c r="G1475" s="162"/>
      <c r="H1475" s="163"/>
      <c r="I1475" s="162"/>
      <c r="J1475" s="164"/>
      <c r="K1475" s="164"/>
      <c r="L1475" s="158"/>
      <c r="M1475" s="158"/>
      <c r="N1475" s="158"/>
      <c r="O1475" s="158"/>
      <c r="P1475" s="158"/>
      <c r="Q1475" s="158"/>
      <c r="R1475" s="159"/>
      <c r="S1475" s="160"/>
      <c r="T1475" s="162"/>
    </row>
    <row r="1476">
      <c r="A1476" s="158"/>
      <c r="B1476" s="158"/>
      <c r="C1476" s="158"/>
      <c r="D1476" s="159"/>
      <c r="E1476" s="160"/>
      <c r="F1476" s="161"/>
      <c r="G1476" s="162"/>
      <c r="H1476" s="163"/>
      <c r="I1476" s="162"/>
      <c r="J1476" s="164"/>
      <c r="K1476" s="164"/>
      <c r="L1476" s="158"/>
      <c r="M1476" s="158"/>
      <c r="N1476" s="158"/>
      <c r="O1476" s="158"/>
      <c r="P1476" s="158"/>
      <c r="Q1476" s="158"/>
      <c r="R1476" s="159"/>
      <c r="S1476" s="160"/>
      <c r="T1476" s="162"/>
    </row>
    <row r="1477">
      <c r="A1477" s="158"/>
      <c r="B1477" s="158"/>
      <c r="C1477" s="158"/>
      <c r="D1477" s="159"/>
      <c r="E1477" s="160"/>
      <c r="F1477" s="161"/>
      <c r="G1477" s="162"/>
      <c r="H1477" s="163"/>
      <c r="I1477" s="162"/>
      <c r="J1477" s="164"/>
      <c r="K1477" s="164"/>
      <c r="L1477" s="158"/>
      <c r="M1477" s="158"/>
      <c r="N1477" s="158"/>
      <c r="O1477" s="158"/>
      <c r="P1477" s="158"/>
      <c r="Q1477" s="158"/>
      <c r="R1477" s="159"/>
      <c r="S1477" s="160"/>
      <c r="T1477" s="162"/>
    </row>
    <row r="1478">
      <c r="A1478" s="158"/>
      <c r="B1478" s="158"/>
      <c r="C1478" s="158"/>
      <c r="D1478" s="159"/>
      <c r="E1478" s="160"/>
      <c r="F1478" s="161"/>
      <c r="G1478" s="162"/>
      <c r="H1478" s="163"/>
      <c r="I1478" s="162"/>
      <c r="J1478" s="164"/>
      <c r="K1478" s="164"/>
      <c r="L1478" s="158"/>
      <c r="M1478" s="158"/>
      <c r="N1478" s="158"/>
      <c r="O1478" s="158"/>
      <c r="P1478" s="158"/>
      <c r="Q1478" s="158"/>
      <c r="R1478" s="159"/>
      <c r="S1478" s="160"/>
      <c r="T1478" s="162"/>
    </row>
    <row r="1479">
      <c r="A1479" s="158"/>
      <c r="B1479" s="158"/>
      <c r="C1479" s="158"/>
      <c r="D1479" s="159"/>
      <c r="E1479" s="160"/>
      <c r="F1479" s="161"/>
      <c r="G1479" s="162"/>
      <c r="H1479" s="163"/>
      <c r="I1479" s="162"/>
      <c r="J1479" s="164"/>
      <c r="K1479" s="164"/>
      <c r="L1479" s="158"/>
      <c r="M1479" s="158"/>
      <c r="N1479" s="158"/>
      <c r="O1479" s="158"/>
      <c r="P1479" s="158"/>
      <c r="Q1479" s="158"/>
      <c r="R1479" s="159"/>
      <c r="S1479" s="160"/>
      <c r="T1479" s="162"/>
    </row>
    <row r="1480">
      <c r="A1480" s="158"/>
      <c r="B1480" s="158"/>
      <c r="C1480" s="158"/>
      <c r="D1480" s="159"/>
      <c r="E1480" s="160"/>
      <c r="F1480" s="161"/>
      <c r="G1480" s="162"/>
      <c r="H1480" s="163"/>
      <c r="I1480" s="162"/>
      <c r="J1480" s="164"/>
      <c r="K1480" s="164"/>
      <c r="L1480" s="158"/>
      <c r="M1480" s="158"/>
      <c r="N1480" s="158"/>
      <c r="O1480" s="158"/>
      <c r="P1480" s="158"/>
      <c r="Q1480" s="158"/>
      <c r="R1480" s="159"/>
      <c r="S1480" s="160"/>
      <c r="T1480" s="162"/>
    </row>
    <row r="1481">
      <c r="A1481" s="158"/>
      <c r="B1481" s="158"/>
      <c r="C1481" s="158"/>
      <c r="D1481" s="159"/>
      <c r="E1481" s="160"/>
      <c r="F1481" s="161"/>
      <c r="G1481" s="162"/>
      <c r="H1481" s="163"/>
      <c r="I1481" s="162"/>
      <c r="J1481" s="164"/>
      <c r="K1481" s="164"/>
      <c r="L1481" s="158"/>
      <c r="M1481" s="158"/>
      <c r="N1481" s="158"/>
      <c r="O1481" s="158"/>
      <c r="P1481" s="158"/>
      <c r="Q1481" s="158"/>
      <c r="R1481" s="159"/>
      <c r="S1481" s="160"/>
      <c r="T1481" s="162"/>
    </row>
    <row r="1482">
      <c r="A1482" s="158"/>
      <c r="B1482" s="158"/>
      <c r="C1482" s="158"/>
      <c r="D1482" s="159"/>
      <c r="E1482" s="160"/>
      <c r="F1482" s="161"/>
      <c r="G1482" s="162"/>
      <c r="H1482" s="163"/>
      <c r="I1482" s="162"/>
      <c r="J1482" s="164"/>
      <c r="K1482" s="164"/>
      <c r="L1482" s="158"/>
      <c r="M1482" s="158"/>
      <c r="N1482" s="158"/>
      <c r="O1482" s="158"/>
      <c r="P1482" s="158"/>
      <c r="Q1482" s="158"/>
      <c r="R1482" s="159"/>
      <c r="S1482" s="160"/>
      <c r="T1482" s="162"/>
    </row>
    <row r="1483">
      <c r="A1483" s="158"/>
      <c r="B1483" s="158"/>
      <c r="C1483" s="158"/>
      <c r="D1483" s="159"/>
      <c r="E1483" s="160"/>
      <c r="F1483" s="161"/>
      <c r="G1483" s="162"/>
      <c r="H1483" s="163"/>
      <c r="I1483" s="162"/>
      <c r="J1483" s="164"/>
      <c r="K1483" s="164"/>
      <c r="L1483" s="158"/>
      <c r="M1483" s="158"/>
      <c r="N1483" s="158"/>
      <c r="O1483" s="158"/>
      <c r="P1483" s="158"/>
      <c r="Q1483" s="158"/>
      <c r="R1483" s="159"/>
      <c r="S1483" s="160"/>
      <c r="T1483" s="162"/>
    </row>
    <row r="1484">
      <c r="A1484" s="158"/>
      <c r="B1484" s="158"/>
      <c r="C1484" s="158"/>
      <c r="D1484" s="159"/>
      <c r="E1484" s="160"/>
      <c r="F1484" s="161"/>
      <c r="G1484" s="162"/>
      <c r="H1484" s="163"/>
      <c r="I1484" s="162"/>
      <c r="J1484" s="164"/>
      <c r="K1484" s="164"/>
      <c r="L1484" s="158"/>
      <c r="M1484" s="158"/>
      <c r="N1484" s="158"/>
      <c r="O1484" s="158"/>
      <c r="P1484" s="158"/>
      <c r="Q1484" s="158"/>
      <c r="R1484" s="159"/>
      <c r="S1484" s="160"/>
      <c r="T1484" s="162"/>
    </row>
    <row r="1485">
      <c r="A1485" s="158"/>
      <c r="B1485" s="158"/>
      <c r="C1485" s="158"/>
      <c r="D1485" s="159"/>
      <c r="E1485" s="160"/>
      <c r="F1485" s="161"/>
      <c r="G1485" s="162"/>
      <c r="H1485" s="163"/>
      <c r="I1485" s="162"/>
      <c r="J1485" s="164"/>
      <c r="K1485" s="164"/>
      <c r="L1485" s="158"/>
      <c r="M1485" s="158"/>
      <c r="N1485" s="158"/>
      <c r="O1485" s="158"/>
      <c r="P1485" s="158"/>
      <c r="Q1485" s="158"/>
      <c r="R1485" s="159"/>
      <c r="S1485" s="160"/>
      <c r="T1485" s="162"/>
    </row>
    <row r="1486">
      <c r="A1486" s="158"/>
      <c r="B1486" s="158"/>
      <c r="C1486" s="158"/>
      <c r="D1486" s="159"/>
      <c r="E1486" s="160"/>
      <c r="F1486" s="161"/>
      <c r="G1486" s="162"/>
      <c r="H1486" s="163"/>
      <c r="I1486" s="162"/>
      <c r="J1486" s="164"/>
      <c r="K1486" s="164"/>
      <c r="L1486" s="158"/>
      <c r="M1486" s="158"/>
      <c r="N1486" s="158"/>
      <c r="O1486" s="158"/>
      <c r="P1486" s="158"/>
      <c r="Q1486" s="158"/>
      <c r="R1486" s="159"/>
      <c r="S1486" s="160"/>
      <c r="T1486" s="162"/>
    </row>
    <row r="1487">
      <c r="A1487" s="158"/>
      <c r="B1487" s="158"/>
      <c r="C1487" s="158"/>
      <c r="D1487" s="159"/>
      <c r="E1487" s="160"/>
      <c r="F1487" s="161"/>
      <c r="G1487" s="162"/>
      <c r="H1487" s="163"/>
      <c r="I1487" s="162"/>
      <c r="J1487" s="164"/>
      <c r="K1487" s="164"/>
      <c r="L1487" s="158"/>
      <c r="M1487" s="158"/>
      <c r="N1487" s="158"/>
      <c r="O1487" s="158"/>
      <c r="P1487" s="158"/>
      <c r="Q1487" s="158"/>
      <c r="R1487" s="159"/>
      <c r="S1487" s="160"/>
      <c r="T1487" s="162"/>
    </row>
    <row r="1488">
      <c r="A1488" s="158"/>
      <c r="B1488" s="158"/>
      <c r="C1488" s="158"/>
      <c r="D1488" s="159"/>
      <c r="E1488" s="160"/>
      <c r="F1488" s="161"/>
      <c r="G1488" s="162"/>
      <c r="H1488" s="163"/>
      <c r="I1488" s="162"/>
      <c r="J1488" s="164"/>
      <c r="K1488" s="164"/>
      <c r="L1488" s="158"/>
      <c r="M1488" s="158"/>
      <c r="N1488" s="158"/>
      <c r="O1488" s="158"/>
      <c r="P1488" s="158"/>
      <c r="Q1488" s="158"/>
      <c r="R1488" s="159"/>
      <c r="S1488" s="160"/>
      <c r="T1488" s="162"/>
    </row>
    <row r="1489">
      <c r="A1489" s="158"/>
      <c r="B1489" s="158"/>
      <c r="C1489" s="158"/>
      <c r="D1489" s="159"/>
      <c r="E1489" s="160"/>
      <c r="F1489" s="161"/>
      <c r="G1489" s="162"/>
      <c r="H1489" s="163"/>
      <c r="I1489" s="162"/>
      <c r="J1489" s="164"/>
      <c r="K1489" s="164"/>
      <c r="L1489" s="158"/>
      <c r="M1489" s="158"/>
      <c r="N1489" s="158"/>
      <c r="O1489" s="158"/>
      <c r="P1489" s="158"/>
      <c r="Q1489" s="158"/>
      <c r="R1489" s="159"/>
      <c r="S1489" s="160"/>
      <c r="T1489" s="162"/>
    </row>
    <row r="1490">
      <c r="A1490" s="158"/>
      <c r="B1490" s="158"/>
      <c r="C1490" s="158"/>
      <c r="D1490" s="159"/>
      <c r="E1490" s="160"/>
      <c r="F1490" s="161"/>
      <c r="G1490" s="162"/>
      <c r="H1490" s="163"/>
      <c r="I1490" s="162"/>
      <c r="J1490" s="164"/>
      <c r="K1490" s="164"/>
      <c r="L1490" s="158"/>
      <c r="M1490" s="158"/>
      <c r="N1490" s="158"/>
      <c r="O1490" s="158"/>
      <c r="P1490" s="158"/>
      <c r="Q1490" s="158"/>
      <c r="R1490" s="159"/>
      <c r="S1490" s="160"/>
      <c r="T1490" s="162"/>
    </row>
    <row r="1491">
      <c r="A1491" s="158"/>
      <c r="B1491" s="158"/>
      <c r="C1491" s="158"/>
      <c r="D1491" s="159"/>
      <c r="E1491" s="160"/>
      <c r="F1491" s="161"/>
      <c r="G1491" s="162"/>
      <c r="H1491" s="163"/>
      <c r="I1491" s="162"/>
      <c r="J1491" s="164"/>
      <c r="K1491" s="164"/>
      <c r="L1491" s="158"/>
      <c r="M1491" s="158"/>
      <c r="N1491" s="158"/>
      <c r="O1491" s="158"/>
      <c r="P1491" s="158"/>
      <c r="Q1491" s="158"/>
      <c r="R1491" s="159"/>
      <c r="S1491" s="160"/>
      <c r="T1491" s="162"/>
    </row>
    <row r="1492">
      <c r="A1492" s="158"/>
      <c r="B1492" s="158"/>
      <c r="C1492" s="158"/>
      <c r="D1492" s="159"/>
      <c r="E1492" s="160"/>
      <c r="F1492" s="161"/>
      <c r="G1492" s="162"/>
      <c r="H1492" s="163"/>
      <c r="I1492" s="162"/>
      <c r="J1492" s="164"/>
      <c r="K1492" s="164"/>
      <c r="L1492" s="158"/>
      <c r="M1492" s="158"/>
      <c r="N1492" s="158"/>
      <c r="O1492" s="158"/>
      <c r="P1492" s="158"/>
      <c r="Q1492" s="158"/>
      <c r="R1492" s="159"/>
      <c r="S1492" s="160"/>
      <c r="T1492" s="162"/>
    </row>
    <row r="1493">
      <c r="A1493" s="158"/>
      <c r="B1493" s="158"/>
      <c r="C1493" s="158"/>
      <c r="D1493" s="159"/>
      <c r="E1493" s="160"/>
      <c r="F1493" s="161"/>
      <c r="G1493" s="162"/>
      <c r="H1493" s="163"/>
      <c r="I1493" s="162"/>
      <c r="J1493" s="164"/>
      <c r="K1493" s="164"/>
      <c r="L1493" s="158"/>
      <c r="M1493" s="158"/>
      <c r="N1493" s="158"/>
      <c r="O1493" s="158"/>
      <c r="P1493" s="158"/>
      <c r="Q1493" s="158"/>
      <c r="R1493" s="159"/>
      <c r="S1493" s="160"/>
      <c r="T1493" s="162"/>
    </row>
    <row r="1494">
      <c r="A1494" s="158"/>
      <c r="B1494" s="158"/>
      <c r="C1494" s="158"/>
      <c r="D1494" s="159"/>
      <c r="E1494" s="160"/>
      <c r="F1494" s="161"/>
      <c r="G1494" s="162"/>
      <c r="H1494" s="163"/>
      <c r="I1494" s="162"/>
      <c r="J1494" s="164"/>
      <c r="K1494" s="164"/>
      <c r="L1494" s="158"/>
      <c r="M1494" s="158"/>
      <c r="N1494" s="158"/>
      <c r="O1494" s="158"/>
      <c r="P1494" s="158"/>
      <c r="Q1494" s="158"/>
      <c r="R1494" s="159"/>
      <c r="S1494" s="160"/>
      <c r="T1494" s="162"/>
    </row>
    <row r="1495">
      <c r="A1495" s="158"/>
      <c r="B1495" s="158"/>
      <c r="C1495" s="158"/>
      <c r="D1495" s="159"/>
      <c r="E1495" s="160"/>
      <c r="F1495" s="161"/>
      <c r="G1495" s="162"/>
      <c r="H1495" s="163"/>
      <c r="I1495" s="162"/>
      <c r="J1495" s="164"/>
      <c r="K1495" s="164"/>
      <c r="L1495" s="158"/>
      <c r="M1495" s="158"/>
      <c r="N1495" s="158"/>
      <c r="O1495" s="158"/>
      <c r="P1495" s="158"/>
      <c r="Q1495" s="158"/>
      <c r="R1495" s="159"/>
      <c r="S1495" s="160"/>
      <c r="T1495" s="162"/>
    </row>
    <row r="1496">
      <c r="A1496" s="158"/>
      <c r="B1496" s="158"/>
      <c r="C1496" s="158"/>
      <c r="D1496" s="159"/>
      <c r="E1496" s="160"/>
      <c r="F1496" s="161"/>
      <c r="G1496" s="162"/>
      <c r="H1496" s="163"/>
      <c r="I1496" s="162"/>
      <c r="J1496" s="164"/>
      <c r="K1496" s="164"/>
      <c r="L1496" s="158"/>
      <c r="M1496" s="158"/>
      <c r="N1496" s="158"/>
      <c r="O1496" s="158"/>
      <c r="P1496" s="158"/>
      <c r="Q1496" s="158"/>
      <c r="R1496" s="159"/>
      <c r="S1496" s="160"/>
      <c r="T1496" s="162"/>
    </row>
    <row r="1497">
      <c r="A1497" s="158"/>
      <c r="B1497" s="158"/>
      <c r="C1497" s="158"/>
      <c r="D1497" s="159"/>
      <c r="E1497" s="160"/>
      <c r="F1497" s="161"/>
      <c r="G1497" s="162"/>
      <c r="H1497" s="163"/>
      <c r="I1497" s="162"/>
      <c r="J1497" s="164"/>
      <c r="K1497" s="164"/>
      <c r="L1497" s="158"/>
      <c r="M1497" s="158"/>
      <c r="N1497" s="158"/>
      <c r="O1497" s="158"/>
      <c r="P1497" s="158"/>
      <c r="Q1497" s="158"/>
      <c r="R1497" s="159"/>
      <c r="S1497" s="160"/>
      <c r="T1497" s="162"/>
    </row>
    <row r="1498">
      <c r="A1498" s="158"/>
      <c r="B1498" s="158"/>
      <c r="C1498" s="158"/>
      <c r="D1498" s="159"/>
      <c r="E1498" s="160"/>
      <c r="F1498" s="161"/>
      <c r="G1498" s="162"/>
      <c r="H1498" s="163"/>
      <c r="I1498" s="162"/>
      <c r="J1498" s="164"/>
      <c r="K1498" s="164"/>
      <c r="L1498" s="158"/>
      <c r="M1498" s="158"/>
      <c r="N1498" s="158"/>
      <c r="O1498" s="158"/>
      <c r="P1498" s="158"/>
      <c r="Q1498" s="158"/>
      <c r="R1498" s="159"/>
      <c r="S1498" s="160"/>
      <c r="T1498" s="162"/>
    </row>
    <row r="1499">
      <c r="A1499" s="158"/>
      <c r="B1499" s="158"/>
      <c r="C1499" s="158"/>
      <c r="D1499" s="159"/>
      <c r="E1499" s="160"/>
      <c r="F1499" s="161"/>
      <c r="G1499" s="162"/>
      <c r="H1499" s="163"/>
      <c r="I1499" s="162"/>
      <c r="J1499" s="164"/>
      <c r="K1499" s="164"/>
      <c r="L1499" s="158"/>
      <c r="M1499" s="158"/>
      <c r="N1499" s="158"/>
      <c r="O1499" s="158"/>
      <c r="P1499" s="158"/>
      <c r="Q1499" s="158"/>
      <c r="R1499" s="159"/>
      <c r="S1499" s="160"/>
      <c r="T1499" s="162"/>
    </row>
    <row r="1500">
      <c r="A1500" s="158"/>
      <c r="B1500" s="158"/>
      <c r="C1500" s="158"/>
      <c r="D1500" s="159"/>
      <c r="E1500" s="160"/>
      <c r="F1500" s="161"/>
      <c r="G1500" s="162"/>
      <c r="H1500" s="163"/>
      <c r="I1500" s="162"/>
      <c r="J1500" s="164"/>
      <c r="K1500" s="164"/>
      <c r="L1500" s="158"/>
      <c r="M1500" s="158"/>
      <c r="N1500" s="158"/>
      <c r="O1500" s="158"/>
      <c r="P1500" s="158"/>
      <c r="Q1500" s="158"/>
      <c r="R1500" s="159"/>
      <c r="S1500" s="160"/>
      <c r="T1500" s="162"/>
    </row>
    <row r="1501">
      <c r="A1501" s="158"/>
      <c r="B1501" s="158"/>
      <c r="C1501" s="158"/>
      <c r="D1501" s="159"/>
      <c r="E1501" s="160"/>
      <c r="F1501" s="161"/>
      <c r="G1501" s="162"/>
      <c r="H1501" s="163"/>
      <c r="I1501" s="162"/>
      <c r="J1501" s="164"/>
      <c r="K1501" s="164"/>
      <c r="L1501" s="158"/>
      <c r="M1501" s="158"/>
      <c r="N1501" s="158"/>
      <c r="O1501" s="158"/>
      <c r="P1501" s="158"/>
      <c r="Q1501" s="158"/>
      <c r="R1501" s="159"/>
      <c r="S1501" s="160"/>
      <c r="T1501" s="162"/>
    </row>
    <row r="1502">
      <c r="A1502" s="158"/>
      <c r="B1502" s="158"/>
      <c r="C1502" s="158"/>
      <c r="D1502" s="159"/>
      <c r="E1502" s="160"/>
      <c r="F1502" s="161"/>
      <c r="G1502" s="162"/>
      <c r="H1502" s="163"/>
      <c r="I1502" s="162"/>
      <c r="J1502" s="164"/>
      <c r="K1502" s="164"/>
      <c r="L1502" s="158"/>
      <c r="M1502" s="158"/>
      <c r="N1502" s="158"/>
      <c r="O1502" s="158"/>
      <c r="P1502" s="158"/>
      <c r="Q1502" s="158"/>
      <c r="R1502" s="159"/>
      <c r="S1502" s="160"/>
      <c r="T1502" s="162"/>
    </row>
    <row r="1503">
      <c r="A1503" s="158"/>
      <c r="B1503" s="158"/>
      <c r="C1503" s="158"/>
      <c r="D1503" s="159"/>
      <c r="E1503" s="160"/>
      <c r="F1503" s="161"/>
      <c r="G1503" s="162"/>
      <c r="H1503" s="163"/>
      <c r="I1503" s="162"/>
      <c r="J1503" s="164"/>
      <c r="K1503" s="164"/>
      <c r="L1503" s="158"/>
      <c r="M1503" s="158"/>
      <c r="N1503" s="158"/>
      <c r="O1503" s="158"/>
      <c r="P1503" s="158"/>
      <c r="Q1503" s="158"/>
      <c r="R1503" s="159"/>
      <c r="S1503" s="160"/>
      <c r="T1503" s="162"/>
    </row>
    <row r="1504">
      <c r="A1504" s="158"/>
      <c r="B1504" s="158"/>
      <c r="C1504" s="158"/>
      <c r="D1504" s="159"/>
      <c r="E1504" s="160"/>
      <c r="F1504" s="161"/>
      <c r="G1504" s="162"/>
      <c r="H1504" s="163"/>
      <c r="I1504" s="162"/>
      <c r="J1504" s="164"/>
      <c r="K1504" s="164"/>
      <c r="L1504" s="158"/>
      <c r="M1504" s="158"/>
      <c r="N1504" s="158"/>
      <c r="O1504" s="158"/>
      <c r="P1504" s="158"/>
      <c r="Q1504" s="158"/>
      <c r="R1504" s="159"/>
      <c r="S1504" s="160"/>
      <c r="T1504" s="162"/>
    </row>
    <row r="1505">
      <c r="A1505" s="158"/>
      <c r="B1505" s="158"/>
      <c r="C1505" s="158"/>
      <c r="D1505" s="159"/>
      <c r="E1505" s="160"/>
      <c r="F1505" s="161"/>
      <c r="G1505" s="162"/>
      <c r="H1505" s="163"/>
      <c r="I1505" s="162"/>
      <c r="J1505" s="164"/>
      <c r="K1505" s="164"/>
      <c r="L1505" s="158"/>
      <c r="M1505" s="158"/>
      <c r="N1505" s="158"/>
      <c r="O1505" s="158"/>
      <c r="P1505" s="158"/>
      <c r="Q1505" s="158"/>
      <c r="R1505" s="159"/>
      <c r="S1505" s="160"/>
      <c r="T1505" s="162"/>
    </row>
    <row r="1506">
      <c r="A1506" s="158"/>
      <c r="B1506" s="158"/>
      <c r="C1506" s="158"/>
      <c r="D1506" s="159"/>
      <c r="E1506" s="160"/>
      <c r="F1506" s="161"/>
      <c r="G1506" s="162"/>
      <c r="H1506" s="163"/>
      <c r="I1506" s="162"/>
      <c r="J1506" s="164"/>
      <c r="K1506" s="164"/>
      <c r="L1506" s="158"/>
      <c r="M1506" s="158"/>
      <c r="N1506" s="158"/>
      <c r="O1506" s="158"/>
      <c r="P1506" s="158"/>
      <c r="Q1506" s="158"/>
      <c r="R1506" s="159"/>
      <c r="S1506" s="160"/>
      <c r="T1506" s="162"/>
    </row>
    <row r="1507">
      <c r="A1507" s="158"/>
      <c r="B1507" s="158"/>
      <c r="C1507" s="158"/>
      <c r="D1507" s="159"/>
      <c r="E1507" s="160"/>
      <c r="F1507" s="161"/>
      <c r="G1507" s="162"/>
      <c r="H1507" s="163"/>
      <c r="I1507" s="162"/>
      <c r="J1507" s="164"/>
      <c r="K1507" s="164"/>
      <c r="L1507" s="158"/>
      <c r="M1507" s="158"/>
      <c r="N1507" s="158"/>
      <c r="O1507" s="158"/>
      <c r="P1507" s="158"/>
      <c r="Q1507" s="158"/>
      <c r="R1507" s="159"/>
      <c r="S1507" s="160"/>
      <c r="T1507" s="162"/>
    </row>
    <row r="1508">
      <c r="A1508" s="158"/>
      <c r="B1508" s="158"/>
      <c r="C1508" s="158"/>
      <c r="D1508" s="159"/>
      <c r="E1508" s="160"/>
      <c r="F1508" s="161"/>
      <c r="G1508" s="162"/>
      <c r="H1508" s="163"/>
      <c r="I1508" s="162"/>
      <c r="J1508" s="164"/>
      <c r="K1508" s="164"/>
      <c r="L1508" s="158"/>
      <c r="M1508" s="158"/>
      <c r="N1508" s="158"/>
      <c r="O1508" s="158"/>
      <c r="P1508" s="158"/>
      <c r="Q1508" s="158"/>
      <c r="R1508" s="159"/>
      <c r="S1508" s="160"/>
      <c r="T1508" s="162"/>
    </row>
    <row r="1509">
      <c r="A1509" s="158"/>
      <c r="B1509" s="158"/>
      <c r="C1509" s="158"/>
      <c r="D1509" s="159"/>
      <c r="E1509" s="160"/>
      <c r="F1509" s="161"/>
      <c r="G1509" s="162"/>
      <c r="H1509" s="163"/>
      <c r="I1509" s="162"/>
      <c r="J1509" s="164"/>
      <c r="K1509" s="164"/>
      <c r="L1509" s="158"/>
      <c r="M1509" s="158"/>
      <c r="N1509" s="158"/>
      <c r="O1509" s="158"/>
      <c r="P1509" s="158"/>
      <c r="Q1509" s="158"/>
      <c r="R1509" s="159"/>
      <c r="S1509" s="160"/>
      <c r="T1509" s="162"/>
    </row>
    <row r="1510">
      <c r="A1510" s="158"/>
      <c r="B1510" s="158"/>
      <c r="C1510" s="158"/>
      <c r="D1510" s="159"/>
      <c r="E1510" s="160"/>
      <c r="F1510" s="161"/>
      <c r="G1510" s="162"/>
      <c r="H1510" s="163"/>
      <c r="I1510" s="162"/>
      <c r="J1510" s="164"/>
      <c r="K1510" s="164"/>
      <c r="L1510" s="158"/>
      <c r="M1510" s="158"/>
      <c r="N1510" s="158"/>
      <c r="O1510" s="158"/>
      <c r="P1510" s="158"/>
      <c r="Q1510" s="158"/>
      <c r="R1510" s="159"/>
      <c r="S1510" s="160"/>
      <c r="T1510" s="162"/>
    </row>
    <row r="1511">
      <c r="A1511" s="158"/>
      <c r="B1511" s="158"/>
      <c r="C1511" s="158"/>
      <c r="D1511" s="159"/>
      <c r="E1511" s="160"/>
      <c r="F1511" s="161"/>
      <c r="G1511" s="162"/>
      <c r="H1511" s="163"/>
      <c r="I1511" s="162"/>
      <c r="J1511" s="164"/>
      <c r="K1511" s="164"/>
      <c r="L1511" s="158"/>
      <c r="M1511" s="158"/>
      <c r="N1511" s="158"/>
      <c r="O1511" s="158"/>
      <c r="P1511" s="158"/>
      <c r="Q1511" s="158"/>
      <c r="R1511" s="159"/>
      <c r="S1511" s="160"/>
      <c r="T1511" s="162"/>
    </row>
    <row r="1512">
      <c r="A1512" s="158"/>
      <c r="B1512" s="158"/>
      <c r="C1512" s="158"/>
      <c r="D1512" s="159"/>
      <c r="E1512" s="160"/>
      <c r="F1512" s="161"/>
      <c r="G1512" s="162"/>
      <c r="H1512" s="163"/>
      <c r="I1512" s="162"/>
      <c r="J1512" s="164"/>
      <c r="K1512" s="164"/>
      <c r="L1512" s="158"/>
      <c r="M1512" s="158"/>
      <c r="N1512" s="158"/>
      <c r="O1512" s="158"/>
      <c r="P1512" s="158"/>
      <c r="Q1512" s="158"/>
      <c r="R1512" s="159"/>
      <c r="S1512" s="160"/>
      <c r="T1512" s="162"/>
    </row>
    <row r="1513">
      <c r="A1513" s="158"/>
      <c r="B1513" s="158"/>
      <c r="C1513" s="158"/>
      <c r="D1513" s="159"/>
      <c r="E1513" s="160"/>
      <c r="F1513" s="161"/>
      <c r="G1513" s="162"/>
      <c r="H1513" s="163"/>
      <c r="I1513" s="162"/>
      <c r="J1513" s="164"/>
      <c r="K1513" s="164"/>
      <c r="L1513" s="158"/>
      <c r="M1513" s="158"/>
      <c r="N1513" s="158"/>
      <c r="O1513" s="158"/>
      <c r="P1513" s="158"/>
      <c r="Q1513" s="158"/>
      <c r="R1513" s="159"/>
      <c r="S1513" s="160"/>
      <c r="T1513" s="162"/>
    </row>
    <row r="1514">
      <c r="A1514" s="158"/>
      <c r="B1514" s="158"/>
      <c r="C1514" s="158"/>
      <c r="D1514" s="159"/>
      <c r="E1514" s="160"/>
      <c r="F1514" s="161"/>
      <c r="G1514" s="162"/>
      <c r="H1514" s="163"/>
      <c r="I1514" s="162"/>
      <c r="J1514" s="164"/>
      <c r="K1514" s="164"/>
      <c r="L1514" s="158"/>
      <c r="M1514" s="158"/>
      <c r="N1514" s="158"/>
      <c r="O1514" s="158"/>
      <c r="P1514" s="158"/>
      <c r="Q1514" s="158"/>
      <c r="R1514" s="159"/>
      <c r="S1514" s="160"/>
      <c r="T1514" s="162"/>
    </row>
    <row r="1515">
      <c r="A1515" s="158"/>
      <c r="B1515" s="158"/>
      <c r="C1515" s="158"/>
      <c r="D1515" s="159"/>
      <c r="E1515" s="160"/>
      <c r="F1515" s="161"/>
      <c r="G1515" s="162"/>
      <c r="H1515" s="163"/>
      <c r="I1515" s="162"/>
      <c r="J1515" s="164"/>
      <c r="K1515" s="164"/>
      <c r="L1515" s="158"/>
      <c r="M1515" s="158"/>
      <c r="N1515" s="158"/>
      <c r="O1515" s="158"/>
      <c r="P1515" s="158"/>
      <c r="Q1515" s="158"/>
      <c r="R1515" s="159"/>
      <c r="S1515" s="160"/>
      <c r="T1515" s="162"/>
    </row>
    <row r="1516">
      <c r="A1516" s="158"/>
      <c r="B1516" s="158"/>
      <c r="C1516" s="158"/>
      <c r="D1516" s="159"/>
      <c r="E1516" s="160"/>
      <c r="F1516" s="161"/>
      <c r="G1516" s="162"/>
      <c r="H1516" s="163"/>
      <c r="I1516" s="162"/>
      <c r="J1516" s="164"/>
      <c r="K1516" s="164"/>
      <c r="L1516" s="158"/>
      <c r="M1516" s="158"/>
      <c r="N1516" s="158"/>
      <c r="O1516" s="158"/>
      <c r="P1516" s="158"/>
      <c r="Q1516" s="158"/>
      <c r="R1516" s="159"/>
      <c r="S1516" s="160"/>
      <c r="T1516" s="162"/>
    </row>
    <row r="1517">
      <c r="A1517" s="158"/>
      <c r="B1517" s="158"/>
      <c r="C1517" s="158"/>
      <c r="D1517" s="159"/>
      <c r="E1517" s="160"/>
      <c r="F1517" s="161"/>
      <c r="G1517" s="162"/>
      <c r="H1517" s="163"/>
      <c r="I1517" s="162"/>
      <c r="J1517" s="164"/>
      <c r="K1517" s="164"/>
      <c r="L1517" s="158"/>
      <c r="M1517" s="158"/>
      <c r="N1517" s="158"/>
      <c r="O1517" s="158"/>
      <c r="P1517" s="158"/>
      <c r="Q1517" s="158"/>
      <c r="R1517" s="159"/>
      <c r="S1517" s="160"/>
      <c r="T1517" s="162"/>
    </row>
    <row r="1518">
      <c r="A1518" s="158"/>
      <c r="B1518" s="158"/>
      <c r="C1518" s="158"/>
      <c r="D1518" s="159"/>
      <c r="E1518" s="160"/>
      <c r="F1518" s="161"/>
      <c r="G1518" s="162"/>
      <c r="H1518" s="163"/>
      <c r="I1518" s="162"/>
      <c r="J1518" s="164"/>
      <c r="K1518" s="164"/>
      <c r="L1518" s="158"/>
      <c r="M1518" s="158"/>
      <c r="N1518" s="158"/>
      <c r="O1518" s="158"/>
      <c r="P1518" s="158"/>
      <c r="Q1518" s="158"/>
      <c r="R1518" s="159"/>
      <c r="S1518" s="160"/>
      <c r="T1518" s="162"/>
    </row>
    <row r="1519">
      <c r="A1519" s="158"/>
      <c r="B1519" s="158"/>
      <c r="C1519" s="158"/>
      <c r="D1519" s="159"/>
      <c r="E1519" s="160"/>
      <c r="F1519" s="161"/>
      <c r="G1519" s="162"/>
      <c r="H1519" s="163"/>
      <c r="I1519" s="162"/>
      <c r="J1519" s="164"/>
      <c r="K1519" s="164"/>
      <c r="L1519" s="158"/>
      <c r="M1519" s="158"/>
      <c r="N1519" s="158"/>
      <c r="O1519" s="158"/>
      <c r="P1519" s="158"/>
      <c r="Q1519" s="158"/>
      <c r="R1519" s="159"/>
      <c r="S1519" s="160"/>
      <c r="T1519" s="162"/>
    </row>
    <row r="1520">
      <c r="A1520" s="158"/>
      <c r="B1520" s="158"/>
      <c r="C1520" s="158"/>
      <c r="D1520" s="159"/>
      <c r="E1520" s="160"/>
      <c r="F1520" s="161"/>
      <c r="G1520" s="162"/>
      <c r="H1520" s="163"/>
      <c r="I1520" s="162"/>
      <c r="J1520" s="164"/>
      <c r="K1520" s="164"/>
      <c r="L1520" s="158"/>
      <c r="M1520" s="158"/>
      <c r="N1520" s="158"/>
      <c r="O1520" s="158"/>
      <c r="P1520" s="158"/>
      <c r="Q1520" s="158"/>
      <c r="R1520" s="159"/>
      <c r="S1520" s="160"/>
      <c r="T1520" s="162"/>
    </row>
    <row r="1521">
      <c r="A1521" s="158"/>
      <c r="B1521" s="158"/>
      <c r="C1521" s="158"/>
      <c r="D1521" s="159"/>
      <c r="E1521" s="160"/>
      <c r="F1521" s="161"/>
      <c r="G1521" s="162"/>
      <c r="H1521" s="163"/>
      <c r="I1521" s="162"/>
      <c r="J1521" s="164"/>
      <c r="K1521" s="164"/>
      <c r="L1521" s="158"/>
      <c r="M1521" s="158"/>
      <c r="N1521" s="158"/>
      <c r="O1521" s="158"/>
      <c r="P1521" s="158"/>
      <c r="Q1521" s="158"/>
      <c r="R1521" s="159"/>
      <c r="S1521" s="160"/>
      <c r="T1521" s="162"/>
    </row>
    <row r="1522">
      <c r="A1522" s="158"/>
      <c r="B1522" s="158"/>
      <c r="C1522" s="158"/>
      <c r="D1522" s="159"/>
      <c r="E1522" s="160"/>
      <c r="F1522" s="161"/>
      <c r="G1522" s="162"/>
      <c r="H1522" s="163"/>
      <c r="I1522" s="162"/>
      <c r="J1522" s="164"/>
      <c r="K1522" s="164"/>
      <c r="L1522" s="158"/>
      <c r="M1522" s="158"/>
      <c r="N1522" s="158"/>
      <c r="O1522" s="158"/>
      <c r="P1522" s="158"/>
      <c r="Q1522" s="158"/>
      <c r="R1522" s="159"/>
      <c r="S1522" s="160"/>
      <c r="T1522" s="162"/>
    </row>
    <row r="1523">
      <c r="A1523" s="158"/>
      <c r="B1523" s="158"/>
      <c r="C1523" s="158"/>
      <c r="D1523" s="159"/>
      <c r="E1523" s="160"/>
      <c r="F1523" s="161"/>
      <c r="G1523" s="162"/>
      <c r="H1523" s="163"/>
      <c r="I1523" s="162"/>
      <c r="J1523" s="164"/>
      <c r="K1523" s="164"/>
      <c r="L1523" s="158"/>
      <c r="M1523" s="158"/>
      <c r="N1523" s="158"/>
      <c r="O1523" s="158"/>
      <c r="P1523" s="158"/>
      <c r="Q1523" s="158"/>
      <c r="R1523" s="159"/>
      <c r="S1523" s="160"/>
      <c r="T1523" s="162"/>
    </row>
    <row r="1524">
      <c r="A1524" s="158"/>
      <c r="B1524" s="158"/>
      <c r="C1524" s="158"/>
      <c r="D1524" s="159"/>
      <c r="E1524" s="160"/>
      <c r="F1524" s="161"/>
      <c r="G1524" s="162"/>
      <c r="H1524" s="163"/>
      <c r="I1524" s="162"/>
      <c r="J1524" s="164"/>
      <c r="K1524" s="164"/>
      <c r="L1524" s="158"/>
      <c r="M1524" s="158"/>
      <c r="N1524" s="158"/>
      <c r="O1524" s="158"/>
      <c r="P1524" s="158"/>
      <c r="Q1524" s="158"/>
      <c r="R1524" s="159"/>
      <c r="S1524" s="160"/>
      <c r="T1524" s="162"/>
    </row>
    <row r="1525">
      <c r="A1525" s="158"/>
      <c r="B1525" s="158"/>
      <c r="C1525" s="158"/>
      <c r="D1525" s="159"/>
      <c r="E1525" s="160"/>
      <c r="F1525" s="161"/>
      <c r="G1525" s="162"/>
      <c r="H1525" s="163"/>
      <c r="I1525" s="162"/>
      <c r="J1525" s="164"/>
      <c r="K1525" s="164"/>
      <c r="L1525" s="158"/>
      <c r="M1525" s="158"/>
      <c r="N1525" s="158"/>
      <c r="O1525" s="158"/>
      <c r="P1525" s="158"/>
      <c r="Q1525" s="158"/>
      <c r="R1525" s="159"/>
      <c r="S1525" s="160"/>
      <c r="T1525" s="162"/>
    </row>
    <row r="1526">
      <c r="A1526" s="158"/>
      <c r="B1526" s="158"/>
      <c r="C1526" s="158"/>
      <c r="D1526" s="159"/>
      <c r="E1526" s="160"/>
      <c r="F1526" s="161"/>
      <c r="G1526" s="162"/>
      <c r="H1526" s="163"/>
      <c r="I1526" s="162"/>
      <c r="J1526" s="164"/>
      <c r="K1526" s="164"/>
      <c r="L1526" s="158"/>
      <c r="M1526" s="158"/>
      <c r="N1526" s="158"/>
      <c r="O1526" s="158"/>
      <c r="P1526" s="158"/>
      <c r="Q1526" s="158"/>
      <c r="R1526" s="159"/>
      <c r="S1526" s="160"/>
      <c r="T1526" s="162"/>
    </row>
    <row r="1527">
      <c r="A1527" s="158"/>
      <c r="B1527" s="158"/>
      <c r="C1527" s="158"/>
      <c r="D1527" s="159"/>
      <c r="E1527" s="160"/>
      <c r="F1527" s="161"/>
      <c r="G1527" s="162"/>
      <c r="H1527" s="163"/>
      <c r="I1527" s="162"/>
      <c r="J1527" s="164"/>
      <c r="K1527" s="164"/>
      <c r="L1527" s="158"/>
      <c r="M1527" s="158"/>
      <c r="N1527" s="158"/>
      <c r="O1527" s="158"/>
      <c r="P1527" s="158"/>
      <c r="Q1527" s="158"/>
      <c r="R1527" s="159"/>
      <c r="S1527" s="160"/>
      <c r="T1527" s="162"/>
    </row>
    <row r="1528">
      <c r="A1528" s="158"/>
      <c r="B1528" s="158"/>
      <c r="C1528" s="158"/>
      <c r="D1528" s="159"/>
      <c r="E1528" s="160"/>
      <c r="F1528" s="161"/>
      <c r="G1528" s="162"/>
      <c r="H1528" s="163"/>
      <c r="I1528" s="162"/>
      <c r="J1528" s="164"/>
      <c r="K1528" s="164"/>
      <c r="L1528" s="158"/>
      <c r="M1528" s="158"/>
      <c r="N1528" s="158"/>
      <c r="O1528" s="158"/>
      <c r="P1528" s="158"/>
      <c r="Q1528" s="158"/>
      <c r="R1528" s="159"/>
      <c r="S1528" s="160"/>
      <c r="T1528" s="162"/>
    </row>
    <row r="1529">
      <c r="A1529" s="158"/>
      <c r="B1529" s="158"/>
      <c r="C1529" s="158"/>
      <c r="D1529" s="159"/>
      <c r="E1529" s="160"/>
      <c r="F1529" s="161"/>
      <c r="G1529" s="162"/>
      <c r="H1529" s="163"/>
      <c r="I1529" s="162"/>
      <c r="J1529" s="164"/>
      <c r="K1529" s="164"/>
      <c r="L1529" s="158"/>
      <c r="M1529" s="158"/>
      <c r="N1529" s="158"/>
      <c r="O1529" s="158"/>
      <c r="P1529" s="158"/>
      <c r="Q1529" s="158"/>
      <c r="R1529" s="159"/>
      <c r="S1529" s="160"/>
      <c r="T1529" s="162"/>
    </row>
    <row r="1530">
      <c r="A1530" s="158"/>
      <c r="B1530" s="158"/>
      <c r="C1530" s="158"/>
      <c r="D1530" s="159"/>
      <c r="E1530" s="160"/>
      <c r="F1530" s="161"/>
      <c r="G1530" s="162"/>
      <c r="H1530" s="163"/>
      <c r="I1530" s="162"/>
      <c r="J1530" s="164"/>
      <c r="K1530" s="164"/>
      <c r="L1530" s="158"/>
      <c r="M1530" s="158"/>
      <c r="N1530" s="158"/>
      <c r="O1530" s="158"/>
      <c r="P1530" s="158"/>
      <c r="Q1530" s="158"/>
      <c r="R1530" s="159"/>
      <c r="S1530" s="160"/>
      <c r="T1530" s="162"/>
    </row>
    <row r="1531">
      <c r="A1531" s="158"/>
      <c r="B1531" s="158"/>
      <c r="C1531" s="158"/>
      <c r="D1531" s="159"/>
      <c r="E1531" s="160"/>
      <c r="F1531" s="161"/>
      <c r="G1531" s="162"/>
      <c r="H1531" s="163"/>
      <c r="I1531" s="162"/>
      <c r="J1531" s="164"/>
      <c r="K1531" s="164"/>
      <c r="L1531" s="158"/>
      <c r="M1531" s="158"/>
      <c r="N1531" s="158"/>
      <c r="O1531" s="158"/>
      <c r="P1531" s="158"/>
      <c r="Q1531" s="158"/>
      <c r="R1531" s="159"/>
      <c r="S1531" s="160"/>
      <c r="T1531" s="162"/>
    </row>
    <row r="1532">
      <c r="A1532" s="158"/>
      <c r="B1532" s="158"/>
      <c r="C1532" s="158"/>
      <c r="D1532" s="159"/>
      <c r="E1532" s="160"/>
      <c r="F1532" s="161"/>
      <c r="G1532" s="162"/>
      <c r="H1532" s="163"/>
      <c r="I1532" s="162"/>
      <c r="J1532" s="164"/>
      <c r="K1532" s="164"/>
      <c r="L1532" s="158"/>
      <c r="M1532" s="158"/>
      <c r="N1532" s="158"/>
      <c r="O1532" s="158"/>
      <c r="P1532" s="158"/>
      <c r="Q1532" s="158"/>
      <c r="R1532" s="159"/>
      <c r="S1532" s="160"/>
      <c r="T1532" s="162"/>
    </row>
    <row r="1533">
      <c r="A1533" s="158"/>
      <c r="B1533" s="158"/>
      <c r="C1533" s="158"/>
      <c r="D1533" s="159"/>
      <c r="E1533" s="160"/>
      <c r="F1533" s="161"/>
      <c r="G1533" s="162"/>
      <c r="H1533" s="163"/>
      <c r="I1533" s="162"/>
      <c r="J1533" s="164"/>
      <c r="K1533" s="164"/>
      <c r="L1533" s="158"/>
      <c r="M1533" s="158"/>
      <c r="N1533" s="158"/>
      <c r="O1533" s="158"/>
      <c r="P1533" s="158"/>
      <c r="Q1533" s="158"/>
      <c r="R1533" s="159"/>
      <c r="S1533" s="160"/>
      <c r="T1533" s="162"/>
    </row>
    <row r="1534">
      <c r="A1534" s="158"/>
      <c r="B1534" s="158"/>
      <c r="C1534" s="158"/>
      <c r="D1534" s="159"/>
      <c r="E1534" s="160"/>
      <c r="F1534" s="161"/>
      <c r="G1534" s="162"/>
      <c r="H1534" s="163"/>
      <c r="I1534" s="162"/>
      <c r="J1534" s="164"/>
      <c r="K1534" s="164"/>
      <c r="L1534" s="158"/>
      <c r="M1534" s="158"/>
      <c r="N1534" s="158"/>
      <c r="O1534" s="158"/>
      <c r="P1534" s="158"/>
      <c r="Q1534" s="158"/>
      <c r="R1534" s="159"/>
      <c r="S1534" s="160"/>
      <c r="T1534" s="162"/>
    </row>
    <row r="1535">
      <c r="A1535" s="158"/>
      <c r="B1535" s="158"/>
      <c r="C1535" s="158"/>
      <c r="D1535" s="159"/>
      <c r="E1535" s="160"/>
      <c r="F1535" s="161"/>
      <c r="G1535" s="162"/>
      <c r="H1535" s="163"/>
      <c r="I1535" s="162"/>
      <c r="J1535" s="164"/>
      <c r="K1535" s="164"/>
      <c r="L1535" s="158"/>
      <c r="M1535" s="158"/>
      <c r="N1535" s="158"/>
      <c r="O1535" s="158"/>
      <c r="P1535" s="158"/>
      <c r="Q1535" s="158"/>
      <c r="R1535" s="159"/>
      <c r="S1535" s="160"/>
      <c r="T1535" s="162"/>
    </row>
    <row r="1536">
      <c r="A1536" s="158"/>
      <c r="B1536" s="158"/>
      <c r="C1536" s="158"/>
      <c r="D1536" s="159"/>
      <c r="E1536" s="160"/>
      <c r="F1536" s="161"/>
      <c r="G1536" s="162"/>
      <c r="H1536" s="163"/>
      <c r="I1536" s="162"/>
      <c r="J1536" s="164"/>
      <c r="K1536" s="164"/>
      <c r="L1536" s="158"/>
      <c r="M1536" s="158"/>
      <c r="N1536" s="158"/>
      <c r="O1536" s="158"/>
      <c r="P1536" s="158"/>
      <c r="Q1536" s="158"/>
      <c r="R1536" s="159"/>
      <c r="S1536" s="160"/>
      <c r="T1536" s="162"/>
    </row>
    <row r="1537">
      <c r="A1537" s="158"/>
      <c r="B1537" s="158"/>
      <c r="C1537" s="158"/>
      <c r="D1537" s="159"/>
      <c r="E1537" s="160"/>
      <c r="F1537" s="161"/>
      <c r="G1537" s="162"/>
      <c r="H1537" s="163"/>
      <c r="I1537" s="162"/>
      <c r="J1537" s="164"/>
      <c r="K1537" s="164"/>
      <c r="L1537" s="158"/>
      <c r="M1537" s="158"/>
      <c r="N1537" s="158"/>
      <c r="O1537" s="158"/>
      <c r="P1537" s="158"/>
      <c r="Q1537" s="158"/>
      <c r="R1537" s="159"/>
      <c r="S1537" s="160"/>
      <c r="T1537" s="162"/>
    </row>
    <row r="1538">
      <c r="A1538" s="158"/>
      <c r="B1538" s="158"/>
      <c r="C1538" s="158"/>
      <c r="D1538" s="159"/>
      <c r="E1538" s="160"/>
      <c r="F1538" s="161"/>
      <c r="G1538" s="162"/>
      <c r="H1538" s="163"/>
      <c r="I1538" s="162"/>
      <c r="J1538" s="164"/>
      <c r="K1538" s="164"/>
      <c r="L1538" s="158"/>
      <c r="M1538" s="158"/>
      <c r="N1538" s="158"/>
      <c r="O1538" s="158"/>
      <c r="P1538" s="158"/>
      <c r="Q1538" s="158"/>
      <c r="R1538" s="159"/>
      <c r="S1538" s="160"/>
      <c r="T1538" s="162"/>
    </row>
    <row r="1539">
      <c r="A1539" s="158"/>
      <c r="B1539" s="158"/>
      <c r="C1539" s="158"/>
      <c r="D1539" s="159"/>
      <c r="E1539" s="160"/>
      <c r="F1539" s="161"/>
      <c r="G1539" s="162"/>
      <c r="H1539" s="163"/>
      <c r="I1539" s="162"/>
      <c r="J1539" s="164"/>
      <c r="K1539" s="164"/>
      <c r="L1539" s="158"/>
      <c r="M1539" s="158"/>
      <c r="N1539" s="158"/>
      <c r="O1539" s="158"/>
      <c r="P1539" s="158"/>
      <c r="Q1539" s="158"/>
      <c r="R1539" s="159"/>
      <c r="S1539" s="160"/>
      <c r="T1539" s="162"/>
    </row>
    <row r="1540">
      <c r="A1540" s="158"/>
      <c r="B1540" s="158"/>
      <c r="C1540" s="158"/>
      <c r="D1540" s="159"/>
      <c r="E1540" s="160"/>
      <c r="F1540" s="161"/>
      <c r="G1540" s="162"/>
      <c r="H1540" s="163"/>
      <c r="I1540" s="162"/>
      <c r="J1540" s="164"/>
      <c r="K1540" s="164"/>
      <c r="L1540" s="158"/>
      <c r="M1540" s="158"/>
      <c r="N1540" s="158"/>
      <c r="O1540" s="158"/>
      <c r="P1540" s="158"/>
      <c r="Q1540" s="158"/>
      <c r="R1540" s="159"/>
      <c r="S1540" s="160"/>
      <c r="T1540" s="162"/>
    </row>
    <row r="1541">
      <c r="A1541" s="158"/>
      <c r="B1541" s="158"/>
      <c r="C1541" s="158"/>
      <c r="D1541" s="159"/>
      <c r="E1541" s="160"/>
      <c r="F1541" s="161"/>
      <c r="G1541" s="162"/>
      <c r="H1541" s="163"/>
      <c r="I1541" s="162"/>
      <c r="J1541" s="164"/>
      <c r="K1541" s="164"/>
      <c r="L1541" s="158"/>
      <c r="M1541" s="158"/>
      <c r="N1541" s="158"/>
      <c r="O1541" s="158"/>
      <c r="P1541" s="158"/>
      <c r="Q1541" s="158"/>
      <c r="R1541" s="159"/>
      <c r="S1541" s="160"/>
      <c r="T1541" s="162"/>
    </row>
    <row r="1542">
      <c r="A1542" s="158"/>
      <c r="B1542" s="158"/>
      <c r="C1542" s="158"/>
      <c r="D1542" s="159"/>
      <c r="E1542" s="160"/>
      <c r="F1542" s="161"/>
      <c r="G1542" s="162"/>
      <c r="H1542" s="163"/>
      <c r="I1542" s="162"/>
      <c r="J1542" s="164"/>
      <c r="K1542" s="164"/>
      <c r="L1542" s="158"/>
      <c r="M1542" s="158"/>
      <c r="N1542" s="158"/>
      <c r="O1542" s="158"/>
      <c r="P1542" s="158"/>
      <c r="Q1542" s="158"/>
      <c r="R1542" s="159"/>
      <c r="S1542" s="160"/>
      <c r="T1542" s="162"/>
    </row>
    <row r="1543">
      <c r="A1543" s="158"/>
      <c r="B1543" s="158"/>
      <c r="C1543" s="158"/>
      <c r="D1543" s="159"/>
      <c r="E1543" s="160"/>
      <c r="F1543" s="161"/>
      <c r="G1543" s="162"/>
      <c r="H1543" s="163"/>
      <c r="I1543" s="162"/>
      <c r="J1543" s="164"/>
      <c r="K1543" s="164"/>
      <c r="L1543" s="158"/>
      <c r="M1543" s="158"/>
      <c r="N1543" s="158"/>
      <c r="O1543" s="158"/>
      <c r="P1543" s="158"/>
      <c r="Q1543" s="158"/>
      <c r="R1543" s="159"/>
      <c r="S1543" s="160"/>
      <c r="T1543" s="162"/>
    </row>
    <row r="1544">
      <c r="A1544" s="158"/>
      <c r="B1544" s="158"/>
      <c r="C1544" s="158"/>
      <c r="D1544" s="159"/>
      <c r="E1544" s="160"/>
      <c r="F1544" s="161"/>
      <c r="G1544" s="162"/>
      <c r="H1544" s="163"/>
      <c r="I1544" s="162"/>
      <c r="J1544" s="164"/>
      <c r="K1544" s="164"/>
      <c r="L1544" s="158"/>
      <c r="M1544" s="158"/>
      <c r="N1544" s="158"/>
      <c r="O1544" s="158"/>
      <c r="P1544" s="158"/>
      <c r="Q1544" s="158"/>
      <c r="R1544" s="159"/>
      <c r="S1544" s="160"/>
      <c r="T1544" s="162"/>
    </row>
    <row r="1545">
      <c r="A1545" s="158"/>
      <c r="B1545" s="158"/>
      <c r="C1545" s="158"/>
      <c r="D1545" s="159"/>
      <c r="E1545" s="160"/>
      <c r="F1545" s="161"/>
      <c r="G1545" s="162"/>
      <c r="H1545" s="163"/>
      <c r="I1545" s="162"/>
      <c r="J1545" s="164"/>
      <c r="K1545" s="164"/>
      <c r="L1545" s="158"/>
      <c r="M1545" s="158"/>
      <c r="N1545" s="158"/>
      <c r="O1545" s="158"/>
      <c r="P1545" s="158"/>
      <c r="Q1545" s="158"/>
      <c r="R1545" s="159"/>
      <c r="S1545" s="160"/>
      <c r="T1545" s="162"/>
    </row>
    <row r="1546">
      <c r="A1546" s="158"/>
      <c r="B1546" s="158"/>
      <c r="C1546" s="158"/>
      <c r="D1546" s="159"/>
      <c r="E1546" s="160"/>
      <c r="F1546" s="161"/>
      <c r="G1546" s="162"/>
      <c r="H1546" s="163"/>
      <c r="I1546" s="162"/>
      <c r="J1546" s="164"/>
      <c r="K1546" s="164"/>
      <c r="L1546" s="158"/>
      <c r="M1546" s="158"/>
      <c r="N1546" s="158"/>
      <c r="O1546" s="158"/>
      <c r="P1546" s="158"/>
      <c r="Q1546" s="158"/>
      <c r="R1546" s="159"/>
      <c r="S1546" s="160"/>
      <c r="T1546" s="162"/>
    </row>
    <row r="1547">
      <c r="A1547" s="158"/>
      <c r="B1547" s="158"/>
      <c r="C1547" s="158"/>
      <c r="D1547" s="159"/>
      <c r="E1547" s="160"/>
      <c r="F1547" s="161"/>
      <c r="G1547" s="162"/>
      <c r="H1547" s="163"/>
      <c r="I1547" s="162"/>
      <c r="J1547" s="164"/>
      <c r="K1547" s="164"/>
      <c r="L1547" s="158"/>
      <c r="M1547" s="158"/>
      <c r="N1547" s="158"/>
      <c r="O1547" s="158"/>
      <c r="P1547" s="158"/>
      <c r="Q1547" s="158"/>
      <c r="R1547" s="159"/>
      <c r="S1547" s="160"/>
      <c r="T1547" s="162"/>
    </row>
    <row r="1548">
      <c r="A1548" s="158"/>
      <c r="B1548" s="158"/>
      <c r="C1548" s="158"/>
      <c r="D1548" s="159"/>
      <c r="E1548" s="160"/>
      <c r="F1548" s="161"/>
      <c r="G1548" s="162"/>
      <c r="H1548" s="163"/>
      <c r="I1548" s="162"/>
      <c r="J1548" s="164"/>
      <c r="K1548" s="164"/>
      <c r="L1548" s="158"/>
      <c r="M1548" s="158"/>
      <c r="N1548" s="158"/>
      <c r="O1548" s="158"/>
      <c r="P1548" s="158"/>
      <c r="Q1548" s="158"/>
      <c r="R1548" s="159"/>
      <c r="S1548" s="160"/>
      <c r="T1548" s="162"/>
    </row>
    <row r="1549">
      <c r="A1549" s="158"/>
      <c r="B1549" s="158"/>
      <c r="C1549" s="158"/>
      <c r="D1549" s="159"/>
      <c r="E1549" s="160"/>
      <c r="F1549" s="161"/>
      <c r="G1549" s="162"/>
      <c r="H1549" s="163"/>
      <c r="I1549" s="162"/>
      <c r="J1549" s="164"/>
      <c r="K1549" s="164"/>
      <c r="L1549" s="158"/>
      <c r="M1549" s="158"/>
      <c r="N1549" s="158"/>
      <c r="O1549" s="158"/>
      <c r="P1549" s="158"/>
      <c r="Q1549" s="158"/>
      <c r="R1549" s="159"/>
      <c r="S1549" s="160"/>
      <c r="T1549" s="162"/>
    </row>
    <row r="1550">
      <c r="A1550" s="158"/>
      <c r="B1550" s="158"/>
      <c r="C1550" s="158"/>
      <c r="D1550" s="159"/>
      <c r="E1550" s="160"/>
      <c r="F1550" s="161"/>
      <c r="G1550" s="162"/>
      <c r="H1550" s="163"/>
      <c r="I1550" s="162"/>
      <c r="J1550" s="164"/>
      <c r="K1550" s="164"/>
      <c r="L1550" s="158"/>
      <c r="M1550" s="158"/>
      <c r="N1550" s="158"/>
      <c r="O1550" s="158"/>
      <c r="P1550" s="158"/>
      <c r="Q1550" s="158"/>
      <c r="R1550" s="159"/>
      <c r="S1550" s="160"/>
      <c r="T1550" s="162"/>
    </row>
    <row r="1551">
      <c r="A1551" s="158"/>
      <c r="B1551" s="158"/>
      <c r="C1551" s="158"/>
      <c r="D1551" s="159"/>
      <c r="E1551" s="160"/>
      <c r="F1551" s="161"/>
      <c r="G1551" s="162"/>
      <c r="H1551" s="163"/>
      <c r="I1551" s="162"/>
      <c r="J1551" s="164"/>
      <c r="K1551" s="164"/>
      <c r="L1551" s="158"/>
      <c r="M1551" s="158"/>
      <c r="N1551" s="158"/>
      <c r="O1551" s="158"/>
      <c r="P1551" s="158"/>
      <c r="Q1551" s="158"/>
      <c r="R1551" s="159"/>
      <c r="S1551" s="160"/>
      <c r="T1551" s="162"/>
    </row>
    <row r="1552">
      <c r="A1552" s="158"/>
      <c r="B1552" s="158"/>
      <c r="C1552" s="158"/>
      <c r="D1552" s="159"/>
      <c r="E1552" s="160"/>
      <c r="F1552" s="161"/>
      <c r="G1552" s="162"/>
      <c r="H1552" s="163"/>
      <c r="I1552" s="162"/>
      <c r="J1552" s="164"/>
      <c r="K1552" s="164"/>
      <c r="L1552" s="158"/>
      <c r="M1552" s="158"/>
      <c r="N1552" s="158"/>
      <c r="O1552" s="158"/>
      <c r="P1552" s="158"/>
      <c r="Q1552" s="158"/>
      <c r="R1552" s="159"/>
      <c r="S1552" s="160"/>
      <c r="T1552" s="162"/>
    </row>
    <row r="1553">
      <c r="A1553" s="158"/>
      <c r="B1553" s="158"/>
      <c r="C1553" s="158"/>
      <c r="D1553" s="159"/>
      <c r="E1553" s="160"/>
      <c r="F1553" s="161"/>
      <c r="G1553" s="162"/>
      <c r="H1553" s="163"/>
      <c r="I1553" s="162"/>
      <c r="J1553" s="164"/>
      <c r="K1553" s="164"/>
      <c r="L1553" s="158"/>
      <c r="M1553" s="158"/>
      <c r="N1553" s="158"/>
      <c r="O1553" s="158"/>
      <c r="P1553" s="158"/>
      <c r="Q1553" s="158"/>
      <c r="R1553" s="159"/>
      <c r="S1553" s="160"/>
      <c r="T1553" s="162"/>
    </row>
    <row r="1554">
      <c r="A1554" s="158"/>
      <c r="B1554" s="158"/>
      <c r="C1554" s="158"/>
      <c r="D1554" s="159"/>
      <c r="E1554" s="160"/>
      <c r="F1554" s="161"/>
      <c r="G1554" s="162"/>
      <c r="H1554" s="163"/>
      <c r="I1554" s="162"/>
      <c r="J1554" s="164"/>
      <c r="K1554" s="164"/>
      <c r="L1554" s="158"/>
      <c r="M1554" s="158"/>
      <c r="N1554" s="158"/>
      <c r="O1554" s="158"/>
      <c r="P1554" s="158"/>
      <c r="Q1554" s="158"/>
      <c r="R1554" s="159"/>
      <c r="S1554" s="160"/>
      <c r="T1554" s="162"/>
    </row>
    <row r="1555">
      <c r="A1555" s="158"/>
      <c r="B1555" s="158"/>
      <c r="C1555" s="158"/>
      <c r="D1555" s="159"/>
      <c r="E1555" s="160"/>
      <c r="F1555" s="161"/>
      <c r="G1555" s="162"/>
      <c r="H1555" s="163"/>
      <c r="I1555" s="162"/>
      <c r="J1555" s="164"/>
      <c r="K1555" s="164"/>
      <c r="L1555" s="158"/>
      <c r="M1555" s="158"/>
      <c r="N1555" s="158"/>
      <c r="O1555" s="158"/>
      <c r="P1555" s="158"/>
      <c r="Q1555" s="158"/>
      <c r="R1555" s="159"/>
      <c r="S1555" s="160"/>
      <c r="T1555" s="162"/>
    </row>
    <row r="1556">
      <c r="A1556" s="158"/>
      <c r="B1556" s="158"/>
      <c r="C1556" s="158"/>
      <c r="D1556" s="159"/>
      <c r="E1556" s="160"/>
      <c r="F1556" s="161"/>
      <c r="G1556" s="162"/>
      <c r="H1556" s="163"/>
      <c r="I1556" s="162"/>
      <c r="J1556" s="164"/>
      <c r="K1556" s="164"/>
      <c r="L1556" s="158"/>
      <c r="M1556" s="158"/>
      <c r="N1556" s="158"/>
      <c r="O1556" s="158"/>
      <c r="P1556" s="158"/>
      <c r="Q1556" s="158"/>
      <c r="R1556" s="159"/>
      <c r="S1556" s="160"/>
      <c r="T1556" s="162"/>
    </row>
    <row r="1557">
      <c r="A1557" s="158"/>
      <c r="B1557" s="158"/>
      <c r="C1557" s="158"/>
      <c r="D1557" s="159"/>
      <c r="E1557" s="160"/>
      <c r="F1557" s="161"/>
      <c r="G1557" s="162"/>
      <c r="H1557" s="163"/>
      <c r="I1557" s="162"/>
      <c r="J1557" s="164"/>
      <c r="K1557" s="164"/>
      <c r="L1557" s="158"/>
      <c r="M1557" s="158"/>
      <c r="N1557" s="158"/>
      <c r="O1557" s="158"/>
      <c r="P1557" s="158"/>
      <c r="Q1557" s="158"/>
      <c r="R1557" s="159"/>
      <c r="S1557" s="160"/>
      <c r="T1557" s="162"/>
    </row>
    <row r="1558">
      <c r="A1558" s="158"/>
      <c r="B1558" s="158"/>
      <c r="C1558" s="158"/>
      <c r="D1558" s="159"/>
      <c r="E1558" s="160"/>
      <c r="F1558" s="161"/>
      <c r="G1558" s="162"/>
      <c r="H1558" s="163"/>
      <c r="I1558" s="162"/>
      <c r="J1558" s="164"/>
      <c r="K1558" s="164"/>
      <c r="L1558" s="158"/>
      <c r="M1558" s="158"/>
      <c r="N1558" s="158"/>
      <c r="O1558" s="158"/>
      <c r="P1558" s="158"/>
      <c r="Q1558" s="158"/>
      <c r="R1558" s="159"/>
      <c r="S1558" s="160"/>
      <c r="T1558" s="162"/>
    </row>
    <row r="1559">
      <c r="A1559" s="158"/>
      <c r="B1559" s="158"/>
      <c r="C1559" s="158"/>
      <c r="D1559" s="159"/>
      <c r="E1559" s="160"/>
      <c r="F1559" s="161"/>
      <c r="G1559" s="162"/>
      <c r="H1559" s="163"/>
      <c r="I1559" s="162"/>
      <c r="J1559" s="164"/>
      <c r="K1559" s="164"/>
      <c r="L1559" s="158"/>
      <c r="M1559" s="158"/>
      <c r="N1559" s="158"/>
      <c r="O1559" s="158"/>
      <c r="P1559" s="158"/>
      <c r="Q1559" s="158"/>
      <c r="R1559" s="159"/>
      <c r="S1559" s="160"/>
      <c r="T1559" s="162"/>
    </row>
    <row r="1560">
      <c r="A1560" s="158"/>
      <c r="B1560" s="158"/>
      <c r="C1560" s="158"/>
      <c r="D1560" s="159"/>
      <c r="E1560" s="160"/>
      <c r="F1560" s="161"/>
      <c r="G1560" s="162"/>
      <c r="H1560" s="163"/>
      <c r="I1560" s="162"/>
      <c r="J1560" s="164"/>
      <c r="K1560" s="164"/>
      <c r="L1560" s="158"/>
      <c r="M1560" s="158"/>
      <c r="N1560" s="158"/>
      <c r="O1560" s="158"/>
      <c r="P1560" s="158"/>
      <c r="Q1560" s="158"/>
      <c r="R1560" s="159"/>
      <c r="S1560" s="160"/>
      <c r="T1560" s="162"/>
    </row>
    <row r="1561">
      <c r="A1561" s="158"/>
      <c r="B1561" s="158"/>
      <c r="C1561" s="158"/>
      <c r="D1561" s="159"/>
      <c r="E1561" s="160"/>
      <c r="F1561" s="161"/>
      <c r="G1561" s="162"/>
      <c r="H1561" s="163"/>
      <c r="I1561" s="162"/>
      <c r="J1561" s="164"/>
      <c r="K1561" s="164"/>
      <c r="L1561" s="158"/>
      <c r="M1561" s="158"/>
      <c r="N1561" s="158"/>
      <c r="O1561" s="158"/>
      <c r="P1561" s="158"/>
      <c r="Q1561" s="158"/>
      <c r="R1561" s="159"/>
      <c r="S1561" s="160"/>
      <c r="T1561" s="162"/>
    </row>
    <row r="1562">
      <c r="A1562" s="158"/>
      <c r="B1562" s="158"/>
      <c r="C1562" s="158"/>
      <c r="D1562" s="159"/>
      <c r="E1562" s="160"/>
      <c r="F1562" s="161"/>
      <c r="G1562" s="162"/>
      <c r="H1562" s="163"/>
      <c r="I1562" s="162"/>
      <c r="J1562" s="164"/>
      <c r="K1562" s="164"/>
      <c r="L1562" s="158"/>
      <c r="M1562" s="158"/>
      <c r="N1562" s="158"/>
      <c r="O1562" s="158"/>
      <c r="P1562" s="158"/>
      <c r="Q1562" s="158"/>
      <c r="R1562" s="159"/>
      <c r="S1562" s="160"/>
      <c r="T1562" s="162"/>
    </row>
    <row r="1563">
      <c r="A1563" s="158"/>
      <c r="B1563" s="158"/>
      <c r="C1563" s="158"/>
      <c r="D1563" s="159"/>
      <c r="E1563" s="160"/>
      <c r="F1563" s="161"/>
      <c r="G1563" s="162"/>
      <c r="H1563" s="163"/>
      <c r="I1563" s="162"/>
      <c r="J1563" s="164"/>
      <c r="K1563" s="164"/>
      <c r="L1563" s="158"/>
      <c r="M1563" s="158"/>
      <c r="N1563" s="158"/>
      <c r="O1563" s="158"/>
      <c r="P1563" s="158"/>
      <c r="Q1563" s="158"/>
      <c r="R1563" s="159"/>
      <c r="S1563" s="160"/>
      <c r="T1563" s="162"/>
    </row>
    <row r="1564">
      <c r="A1564" s="158"/>
      <c r="B1564" s="158"/>
      <c r="C1564" s="158"/>
      <c r="D1564" s="159"/>
      <c r="E1564" s="160"/>
      <c r="F1564" s="161"/>
      <c r="G1564" s="162"/>
      <c r="H1564" s="163"/>
      <c r="I1564" s="162"/>
      <c r="J1564" s="164"/>
      <c r="K1564" s="164"/>
      <c r="L1564" s="158"/>
      <c r="M1564" s="158"/>
      <c r="N1564" s="158"/>
      <c r="O1564" s="158"/>
      <c r="P1564" s="158"/>
      <c r="Q1564" s="158"/>
      <c r="R1564" s="159"/>
      <c r="S1564" s="160"/>
      <c r="T1564" s="162"/>
    </row>
    <row r="1565">
      <c r="A1565" s="158"/>
      <c r="B1565" s="158"/>
      <c r="C1565" s="158"/>
      <c r="D1565" s="159"/>
      <c r="E1565" s="160"/>
      <c r="F1565" s="161"/>
      <c r="G1565" s="162"/>
      <c r="H1565" s="163"/>
      <c r="I1565" s="162"/>
      <c r="J1565" s="164"/>
      <c r="K1565" s="164"/>
      <c r="L1565" s="158"/>
      <c r="M1565" s="158"/>
      <c r="N1565" s="158"/>
      <c r="O1565" s="158"/>
      <c r="P1565" s="158"/>
      <c r="Q1565" s="158"/>
      <c r="R1565" s="159"/>
      <c r="S1565" s="160"/>
      <c r="T1565" s="162"/>
    </row>
    <row r="1566">
      <c r="A1566" s="158"/>
      <c r="B1566" s="158"/>
      <c r="C1566" s="158"/>
      <c r="D1566" s="159"/>
      <c r="E1566" s="160"/>
      <c r="F1566" s="161"/>
      <c r="G1566" s="162"/>
      <c r="H1566" s="163"/>
      <c r="I1566" s="162"/>
      <c r="J1566" s="164"/>
      <c r="K1566" s="164"/>
      <c r="L1566" s="158"/>
      <c r="M1566" s="158"/>
      <c r="N1566" s="158"/>
      <c r="O1566" s="158"/>
      <c r="P1566" s="158"/>
      <c r="Q1566" s="158"/>
      <c r="R1566" s="159"/>
      <c r="S1566" s="160"/>
      <c r="T1566" s="162"/>
    </row>
    <row r="1567">
      <c r="A1567" s="158"/>
      <c r="B1567" s="158"/>
      <c r="C1567" s="158"/>
      <c r="D1567" s="159"/>
      <c r="E1567" s="160"/>
      <c r="F1567" s="161"/>
      <c r="G1567" s="162"/>
      <c r="H1567" s="163"/>
      <c r="I1567" s="162"/>
      <c r="J1567" s="164"/>
      <c r="K1567" s="164"/>
      <c r="L1567" s="158"/>
      <c r="M1567" s="158"/>
      <c r="N1567" s="158"/>
      <c r="O1567" s="158"/>
      <c r="P1567" s="158"/>
      <c r="Q1567" s="158"/>
      <c r="R1567" s="159"/>
      <c r="S1567" s="160"/>
      <c r="T1567" s="162"/>
    </row>
    <row r="1568">
      <c r="A1568" s="158"/>
      <c r="B1568" s="158"/>
      <c r="C1568" s="158"/>
      <c r="D1568" s="159"/>
      <c r="E1568" s="160"/>
      <c r="F1568" s="161"/>
      <c r="G1568" s="162"/>
      <c r="H1568" s="163"/>
      <c r="I1568" s="162"/>
      <c r="J1568" s="164"/>
      <c r="K1568" s="164"/>
      <c r="L1568" s="158"/>
      <c r="M1568" s="158"/>
      <c r="N1568" s="158"/>
      <c r="O1568" s="158"/>
      <c r="P1568" s="158"/>
      <c r="Q1568" s="158"/>
      <c r="R1568" s="159"/>
      <c r="S1568" s="160"/>
      <c r="T1568" s="162"/>
    </row>
    <row r="1569">
      <c r="A1569" s="158"/>
      <c r="B1569" s="158"/>
      <c r="C1569" s="158"/>
      <c r="D1569" s="159"/>
      <c r="E1569" s="160"/>
      <c r="F1569" s="161"/>
      <c r="G1569" s="162"/>
      <c r="H1569" s="163"/>
      <c r="I1569" s="162"/>
      <c r="J1569" s="164"/>
      <c r="K1569" s="164"/>
      <c r="L1569" s="158"/>
      <c r="M1569" s="158"/>
      <c r="N1569" s="158"/>
      <c r="O1569" s="158"/>
      <c r="P1569" s="158"/>
      <c r="Q1569" s="158"/>
      <c r="R1569" s="159"/>
      <c r="S1569" s="160"/>
      <c r="T1569" s="162"/>
    </row>
    <row r="1570">
      <c r="A1570" s="158"/>
      <c r="B1570" s="158"/>
      <c r="C1570" s="158"/>
      <c r="D1570" s="159"/>
      <c r="E1570" s="160"/>
      <c r="F1570" s="161"/>
      <c r="G1570" s="162"/>
      <c r="H1570" s="163"/>
      <c r="I1570" s="162"/>
      <c r="J1570" s="164"/>
      <c r="K1570" s="164"/>
      <c r="L1570" s="158"/>
      <c r="M1570" s="158"/>
      <c r="N1570" s="158"/>
      <c r="O1570" s="158"/>
      <c r="P1570" s="158"/>
      <c r="Q1570" s="158"/>
      <c r="R1570" s="159"/>
      <c r="S1570" s="160"/>
      <c r="T1570" s="162"/>
    </row>
    <row r="1571">
      <c r="A1571" s="158"/>
      <c r="B1571" s="158"/>
      <c r="C1571" s="158"/>
      <c r="D1571" s="159"/>
      <c r="E1571" s="160"/>
      <c r="F1571" s="161"/>
      <c r="G1571" s="162"/>
      <c r="H1571" s="163"/>
      <c r="I1571" s="162"/>
      <c r="J1571" s="164"/>
      <c r="K1571" s="164"/>
      <c r="L1571" s="158"/>
      <c r="M1571" s="158"/>
      <c r="N1571" s="158"/>
      <c r="O1571" s="158"/>
      <c r="P1571" s="158"/>
      <c r="Q1571" s="158"/>
      <c r="R1571" s="159"/>
      <c r="S1571" s="160"/>
      <c r="T1571" s="162"/>
    </row>
    <row r="1572">
      <c r="A1572" s="158"/>
      <c r="B1572" s="158"/>
      <c r="C1572" s="158"/>
      <c r="D1572" s="159"/>
      <c r="E1572" s="160"/>
      <c r="F1572" s="161"/>
      <c r="G1572" s="162"/>
      <c r="H1572" s="163"/>
      <c r="I1572" s="162"/>
      <c r="J1572" s="164"/>
      <c r="K1572" s="164"/>
      <c r="L1572" s="158"/>
      <c r="M1572" s="158"/>
      <c r="N1572" s="158"/>
      <c r="O1572" s="158"/>
      <c r="P1572" s="158"/>
      <c r="Q1572" s="158"/>
      <c r="R1572" s="159"/>
      <c r="S1572" s="160"/>
      <c r="T1572" s="162"/>
    </row>
    <row r="1573">
      <c r="A1573" s="158"/>
      <c r="B1573" s="158"/>
      <c r="C1573" s="158"/>
      <c r="D1573" s="159"/>
      <c r="E1573" s="160"/>
      <c r="F1573" s="161"/>
      <c r="G1573" s="162"/>
      <c r="H1573" s="163"/>
      <c r="I1573" s="162"/>
      <c r="J1573" s="164"/>
      <c r="K1573" s="164"/>
      <c r="L1573" s="158"/>
      <c r="M1573" s="158"/>
      <c r="N1573" s="158"/>
      <c r="O1573" s="158"/>
      <c r="P1573" s="158"/>
      <c r="Q1573" s="158"/>
      <c r="R1573" s="159"/>
      <c r="S1573" s="160"/>
      <c r="T1573" s="162"/>
    </row>
    <row r="1574">
      <c r="A1574" s="158"/>
      <c r="B1574" s="158"/>
      <c r="C1574" s="158"/>
      <c r="D1574" s="159"/>
      <c r="E1574" s="160"/>
      <c r="F1574" s="161"/>
      <c r="G1574" s="162"/>
      <c r="H1574" s="163"/>
      <c r="I1574" s="162"/>
      <c r="J1574" s="164"/>
      <c r="K1574" s="164"/>
      <c r="L1574" s="158"/>
      <c r="M1574" s="158"/>
      <c r="N1574" s="158"/>
      <c r="O1574" s="158"/>
      <c r="P1574" s="158"/>
      <c r="Q1574" s="158"/>
      <c r="R1574" s="159"/>
      <c r="S1574" s="160"/>
      <c r="T1574" s="162"/>
    </row>
    <row r="1575">
      <c r="A1575" s="158"/>
      <c r="B1575" s="158"/>
      <c r="C1575" s="158"/>
      <c r="D1575" s="159"/>
      <c r="E1575" s="160"/>
      <c r="F1575" s="161"/>
      <c r="G1575" s="162"/>
      <c r="H1575" s="163"/>
      <c r="I1575" s="162"/>
      <c r="J1575" s="164"/>
      <c r="K1575" s="164"/>
      <c r="L1575" s="158"/>
      <c r="M1575" s="158"/>
      <c r="N1575" s="158"/>
      <c r="O1575" s="158"/>
      <c r="P1575" s="158"/>
      <c r="Q1575" s="158"/>
      <c r="R1575" s="159"/>
      <c r="S1575" s="160"/>
      <c r="T1575" s="162"/>
    </row>
    <row r="1576">
      <c r="A1576" s="158"/>
      <c r="B1576" s="158"/>
      <c r="C1576" s="158"/>
      <c r="D1576" s="159"/>
      <c r="E1576" s="160"/>
      <c r="F1576" s="161"/>
      <c r="G1576" s="162"/>
      <c r="H1576" s="163"/>
      <c r="I1576" s="162"/>
      <c r="J1576" s="164"/>
      <c r="K1576" s="164"/>
      <c r="L1576" s="158"/>
      <c r="M1576" s="158"/>
      <c r="N1576" s="158"/>
      <c r="O1576" s="158"/>
      <c r="P1576" s="158"/>
      <c r="Q1576" s="158"/>
      <c r="R1576" s="159"/>
      <c r="S1576" s="160"/>
      <c r="T1576" s="162"/>
    </row>
    <row r="1577">
      <c r="A1577" s="158"/>
      <c r="B1577" s="158"/>
      <c r="C1577" s="158"/>
      <c r="D1577" s="159"/>
      <c r="E1577" s="160"/>
      <c r="F1577" s="161"/>
      <c r="G1577" s="162"/>
      <c r="H1577" s="163"/>
      <c r="I1577" s="162"/>
      <c r="J1577" s="164"/>
      <c r="K1577" s="164"/>
      <c r="L1577" s="158"/>
      <c r="M1577" s="158"/>
      <c r="N1577" s="158"/>
      <c r="O1577" s="158"/>
      <c r="P1577" s="158"/>
      <c r="Q1577" s="158"/>
      <c r="R1577" s="159"/>
      <c r="S1577" s="160"/>
      <c r="T1577" s="162"/>
    </row>
    <row r="1578">
      <c r="A1578" s="158"/>
      <c r="B1578" s="158"/>
      <c r="C1578" s="158"/>
      <c r="D1578" s="159"/>
      <c r="E1578" s="160"/>
      <c r="F1578" s="161"/>
      <c r="G1578" s="162"/>
      <c r="H1578" s="163"/>
      <c r="I1578" s="162"/>
      <c r="J1578" s="164"/>
      <c r="K1578" s="164"/>
      <c r="L1578" s="158"/>
      <c r="M1578" s="158"/>
      <c r="N1578" s="158"/>
      <c r="O1578" s="158"/>
      <c r="P1578" s="158"/>
      <c r="Q1578" s="158"/>
      <c r="R1578" s="159"/>
      <c r="S1578" s="160"/>
      <c r="T1578" s="162"/>
    </row>
    <row r="1579">
      <c r="A1579" s="158"/>
      <c r="B1579" s="158"/>
      <c r="C1579" s="158"/>
      <c r="D1579" s="159"/>
      <c r="E1579" s="160"/>
      <c r="F1579" s="161"/>
      <c r="G1579" s="162"/>
      <c r="H1579" s="163"/>
      <c r="I1579" s="162"/>
      <c r="J1579" s="164"/>
      <c r="K1579" s="164"/>
      <c r="L1579" s="158"/>
      <c r="M1579" s="158"/>
      <c r="N1579" s="158"/>
      <c r="O1579" s="158"/>
      <c r="P1579" s="158"/>
      <c r="Q1579" s="158"/>
      <c r="R1579" s="159"/>
      <c r="S1579" s="160"/>
      <c r="T1579" s="162"/>
    </row>
    <row r="1580">
      <c r="A1580" s="158"/>
      <c r="B1580" s="158"/>
      <c r="C1580" s="158"/>
      <c r="D1580" s="159"/>
      <c r="E1580" s="160"/>
      <c r="F1580" s="161"/>
      <c r="G1580" s="162"/>
      <c r="H1580" s="163"/>
      <c r="I1580" s="162"/>
      <c r="J1580" s="164"/>
      <c r="K1580" s="164"/>
      <c r="L1580" s="158"/>
      <c r="M1580" s="158"/>
      <c r="N1580" s="158"/>
      <c r="O1580" s="158"/>
      <c r="P1580" s="158"/>
      <c r="Q1580" s="158"/>
      <c r="R1580" s="159"/>
      <c r="S1580" s="160"/>
      <c r="T1580" s="162"/>
    </row>
    <row r="1581">
      <c r="A1581" s="158"/>
      <c r="B1581" s="158"/>
      <c r="C1581" s="158"/>
      <c r="D1581" s="159"/>
      <c r="E1581" s="160"/>
      <c r="F1581" s="161"/>
      <c r="G1581" s="162"/>
      <c r="H1581" s="163"/>
      <c r="I1581" s="162"/>
      <c r="J1581" s="164"/>
      <c r="K1581" s="164"/>
      <c r="L1581" s="158"/>
      <c r="M1581" s="158"/>
      <c r="N1581" s="158"/>
      <c r="O1581" s="158"/>
      <c r="P1581" s="158"/>
      <c r="Q1581" s="158"/>
      <c r="R1581" s="159"/>
      <c r="S1581" s="160"/>
      <c r="T1581" s="162"/>
    </row>
    <row r="1582">
      <c r="A1582" s="158"/>
      <c r="B1582" s="158"/>
      <c r="C1582" s="158"/>
      <c r="D1582" s="159"/>
      <c r="E1582" s="160"/>
      <c r="F1582" s="161"/>
      <c r="G1582" s="162"/>
      <c r="H1582" s="163"/>
      <c r="I1582" s="162"/>
      <c r="J1582" s="164"/>
      <c r="K1582" s="164"/>
      <c r="L1582" s="158"/>
      <c r="M1582" s="158"/>
      <c r="N1582" s="158"/>
      <c r="O1582" s="158"/>
      <c r="P1582" s="158"/>
      <c r="Q1582" s="158"/>
      <c r="R1582" s="159"/>
      <c r="S1582" s="160"/>
      <c r="T1582" s="162"/>
    </row>
    <row r="1583">
      <c r="A1583" s="158"/>
      <c r="B1583" s="158"/>
      <c r="C1583" s="158"/>
      <c r="D1583" s="159"/>
      <c r="E1583" s="160"/>
      <c r="F1583" s="161"/>
      <c r="G1583" s="162"/>
      <c r="H1583" s="163"/>
      <c r="I1583" s="162"/>
      <c r="J1583" s="164"/>
      <c r="K1583" s="164"/>
      <c r="L1583" s="158"/>
      <c r="M1583" s="158"/>
      <c r="N1583" s="158"/>
      <c r="O1583" s="158"/>
      <c r="P1583" s="158"/>
      <c r="Q1583" s="158"/>
      <c r="R1583" s="159"/>
      <c r="S1583" s="160"/>
      <c r="T1583" s="162"/>
    </row>
    <row r="1584">
      <c r="A1584" s="158"/>
      <c r="B1584" s="158"/>
      <c r="C1584" s="158"/>
      <c r="D1584" s="159"/>
      <c r="E1584" s="160"/>
      <c r="F1584" s="161"/>
      <c r="G1584" s="162"/>
      <c r="H1584" s="163"/>
      <c r="I1584" s="162"/>
      <c r="J1584" s="164"/>
      <c r="K1584" s="164"/>
      <c r="L1584" s="158"/>
      <c r="M1584" s="158"/>
      <c r="N1584" s="158"/>
      <c r="O1584" s="158"/>
      <c r="P1584" s="158"/>
      <c r="Q1584" s="158"/>
      <c r="R1584" s="159"/>
      <c r="S1584" s="160"/>
      <c r="T1584" s="162"/>
    </row>
    <row r="1585">
      <c r="A1585" s="158"/>
      <c r="B1585" s="158"/>
      <c r="C1585" s="158"/>
      <c r="D1585" s="159"/>
      <c r="E1585" s="160"/>
      <c r="F1585" s="161"/>
      <c r="G1585" s="162"/>
      <c r="H1585" s="163"/>
      <c r="I1585" s="162"/>
      <c r="J1585" s="164"/>
      <c r="K1585" s="164"/>
      <c r="L1585" s="158"/>
      <c r="M1585" s="158"/>
      <c r="N1585" s="158"/>
      <c r="O1585" s="158"/>
      <c r="P1585" s="158"/>
      <c r="Q1585" s="158"/>
      <c r="R1585" s="159"/>
      <c r="S1585" s="160"/>
      <c r="T1585" s="162"/>
    </row>
    <row r="1586">
      <c r="A1586" s="158"/>
      <c r="B1586" s="158"/>
      <c r="C1586" s="158"/>
      <c r="D1586" s="159"/>
      <c r="E1586" s="160"/>
      <c r="F1586" s="161"/>
      <c r="G1586" s="162"/>
      <c r="H1586" s="163"/>
      <c r="I1586" s="162"/>
      <c r="J1586" s="164"/>
      <c r="K1586" s="164"/>
      <c r="L1586" s="158"/>
      <c r="M1586" s="158"/>
      <c r="N1586" s="158"/>
      <c r="O1586" s="158"/>
      <c r="P1586" s="158"/>
      <c r="Q1586" s="158"/>
      <c r="R1586" s="159"/>
      <c r="S1586" s="160"/>
      <c r="T1586" s="162"/>
    </row>
    <row r="1587">
      <c r="A1587" s="158"/>
      <c r="B1587" s="158"/>
      <c r="C1587" s="158"/>
      <c r="D1587" s="159"/>
      <c r="E1587" s="160"/>
      <c r="F1587" s="161"/>
      <c r="G1587" s="162"/>
      <c r="H1587" s="163"/>
      <c r="I1587" s="162"/>
      <c r="J1587" s="164"/>
      <c r="K1587" s="164"/>
      <c r="L1587" s="158"/>
      <c r="M1587" s="158"/>
      <c r="N1587" s="158"/>
      <c r="O1587" s="158"/>
      <c r="P1587" s="158"/>
      <c r="Q1587" s="158"/>
      <c r="R1587" s="159"/>
      <c r="S1587" s="160"/>
      <c r="T1587" s="162"/>
    </row>
    <row r="1588">
      <c r="A1588" s="158"/>
      <c r="B1588" s="158"/>
      <c r="C1588" s="158"/>
      <c r="D1588" s="159"/>
      <c r="E1588" s="160"/>
      <c r="F1588" s="161"/>
      <c r="G1588" s="162"/>
      <c r="H1588" s="163"/>
      <c r="I1588" s="162"/>
      <c r="J1588" s="164"/>
      <c r="K1588" s="164"/>
      <c r="L1588" s="158"/>
      <c r="M1588" s="158"/>
      <c r="N1588" s="158"/>
      <c r="O1588" s="158"/>
      <c r="P1588" s="158"/>
      <c r="Q1588" s="158"/>
      <c r="R1588" s="159"/>
      <c r="S1588" s="160"/>
      <c r="T1588" s="162"/>
    </row>
    <row r="1589">
      <c r="A1589" s="158"/>
      <c r="B1589" s="158"/>
      <c r="C1589" s="158"/>
      <c r="D1589" s="159"/>
      <c r="E1589" s="160"/>
      <c r="F1589" s="161"/>
      <c r="G1589" s="162"/>
      <c r="H1589" s="163"/>
      <c r="I1589" s="162"/>
      <c r="J1589" s="164"/>
      <c r="K1589" s="164"/>
      <c r="L1589" s="158"/>
      <c r="M1589" s="158"/>
      <c r="N1589" s="158"/>
      <c r="O1589" s="158"/>
      <c r="P1589" s="158"/>
      <c r="Q1589" s="158"/>
      <c r="R1589" s="159"/>
      <c r="S1589" s="160"/>
      <c r="T1589" s="162"/>
    </row>
    <row r="1590">
      <c r="A1590" s="158"/>
      <c r="B1590" s="158"/>
      <c r="C1590" s="158"/>
      <c r="D1590" s="159"/>
      <c r="E1590" s="160"/>
      <c r="F1590" s="161"/>
      <c r="G1590" s="162"/>
      <c r="H1590" s="163"/>
      <c r="I1590" s="162"/>
      <c r="J1590" s="164"/>
      <c r="K1590" s="164"/>
      <c r="L1590" s="158"/>
      <c r="M1590" s="158"/>
      <c r="N1590" s="158"/>
      <c r="O1590" s="158"/>
      <c r="P1590" s="158"/>
      <c r="Q1590" s="158"/>
      <c r="R1590" s="159"/>
      <c r="S1590" s="160"/>
      <c r="T1590" s="162"/>
    </row>
    <row r="1591">
      <c r="A1591" s="158"/>
      <c r="B1591" s="158"/>
      <c r="C1591" s="158"/>
      <c r="D1591" s="159"/>
      <c r="E1591" s="160"/>
      <c r="F1591" s="161"/>
      <c r="G1591" s="162"/>
      <c r="H1591" s="163"/>
      <c r="I1591" s="162"/>
      <c r="J1591" s="164"/>
      <c r="K1591" s="164"/>
      <c r="L1591" s="158"/>
      <c r="M1591" s="158"/>
      <c r="N1591" s="158"/>
      <c r="O1591" s="158"/>
      <c r="P1591" s="158"/>
      <c r="Q1591" s="158"/>
      <c r="R1591" s="159"/>
      <c r="S1591" s="160"/>
      <c r="T1591" s="162"/>
    </row>
    <row r="1592">
      <c r="A1592" s="158"/>
      <c r="B1592" s="158"/>
      <c r="C1592" s="158"/>
      <c r="D1592" s="159"/>
      <c r="E1592" s="160"/>
      <c r="F1592" s="161"/>
      <c r="G1592" s="162"/>
      <c r="H1592" s="163"/>
      <c r="I1592" s="162"/>
      <c r="J1592" s="164"/>
      <c r="K1592" s="164"/>
      <c r="L1592" s="158"/>
      <c r="M1592" s="158"/>
      <c r="N1592" s="158"/>
      <c r="O1592" s="158"/>
      <c r="P1592" s="158"/>
      <c r="Q1592" s="158"/>
      <c r="R1592" s="159"/>
      <c r="S1592" s="160"/>
      <c r="T1592" s="162"/>
    </row>
    <row r="1593">
      <c r="A1593" s="158"/>
      <c r="B1593" s="158"/>
      <c r="C1593" s="158"/>
      <c r="D1593" s="159"/>
      <c r="E1593" s="160"/>
      <c r="F1593" s="161"/>
      <c r="G1593" s="162"/>
      <c r="H1593" s="163"/>
      <c r="I1593" s="162"/>
      <c r="J1593" s="164"/>
      <c r="K1593" s="164"/>
      <c r="L1593" s="158"/>
      <c r="M1593" s="158"/>
      <c r="N1593" s="158"/>
      <c r="O1593" s="158"/>
      <c r="P1593" s="158"/>
      <c r="Q1593" s="158"/>
      <c r="R1593" s="159"/>
      <c r="S1593" s="160"/>
      <c r="T1593" s="162"/>
    </row>
    <row r="1594">
      <c r="A1594" s="158"/>
      <c r="B1594" s="158"/>
      <c r="C1594" s="158"/>
      <c r="D1594" s="159"/>
      <c r="E1594" s="160"/>
      <c r="F1594" s="161"/>
      <c r="G1594" s="162"/>
      <c r="H1594" s="163"/>
      <c r="I1594" s="162"/>
      <c r="J1594" s="164"/>
      <c r="K1594" s="164"/>
      <c r="L1594" s="158"/>
      <c r="M1594" s="158"/>
      <c r="N1594" s="158"/>
      <c r="O1594" s="158"/>
      <c r="P1594" s="158"/>
      <c r="Q1594" s="158"/>
      <c r="R1594" s="159"/>
      <c r="S1594" s="160"/>
      <c r="T1594" s="162"/>
    </row>
    <row r="1595">
      <c r="A1595" s="158"/>
      <c r="B1595" s="158"/>
      <c r="C1595" s="158"/>
      <c r="D1595" s="159"/>
      <c r="E1595" s="160"/>
      <c r="F1595" s="161"/>
      <c r="G1595" s="162"/>
      <c r="H1595" s="163"/>
      <c r="I1595" s="162"/>
      <c r="J1595" s="164"/>
      <c r="K1595" s="164"/>
      <c r="L1595" s="158"/>
      <c r="M1595" s="158"/>
      <c r="N1595" s="158"/>
      <c r="O1595" s="158"/>
      <c r="P1595" s="158"/>
      <c r="Q1595" s="158"/>
      <c r="R1595" s="159"/>
      <c r="S1595" s="160"/>
      <c r="T1595" s="162"/>
    </row>
    <row r="1596">
      <c r="A1596" s="158"/>
      <c r="B1596" s="158"/>
      <c r="C1596" s="158"/>
      <c r="D1596" s="159"/>
      <c r="E1596" s="160"/>
      <c r="F1596" s="161"/>
      <c r="G1596" s="162"/>
      <c r="H1596" s="163"/>
      <c r="I1596" s="162"/>
      <c r="J1596" s="164"/>
      <c r="K1596" s="164"/>
      <c r="L1596" s="158"/>
      <c r="M1596" s="158"/>
      <c r="N1596" s="158"/>
      <c r="O1596" s="158"/>
      <c r="P1596" s="158"/>
      <c r="Q1596" s="158"/>
      <c r="R1596" s="159"/>
      <c r="S1596" s="160"/>
      <c r="T1596" s="162"/>
    </row>
    <row r="1597">
      <c r="A1597" s="158"/>
      <c r="B1597" s="158"/>
      <c r="C1597" s="158"/>
      <c r="D1597" s="159"/>
      <c r="E1597" s="160"/>
      <c r="F1597" s="161"/>
      <c r="G1597" s="162"/>
      <c r="H1597" s="163"/>
      <c r="I1597" s="162"/>
      <c r="J1597" s="164"/>
      <c r="K1597" s="164"/>
      <c r="L1597" s="158"/>
      <c r="M1597" s="158"/>
      <c r="N1597" s="158"/>
      <c r="O1597" s="158"/>
      <c r="P1597" s="158"/>
      <c r="Q1597" s="158"/>
      <c r="R1597" s="159"/>
      <c r="S1597" s="160"/>
      <c r="T1597" s="162"/>
    </row>
    <row r="1598">
      <c r="A1598" s="158"/>
      <c r="B1598" s="158"/>
      <c r="C1598" s="158"/>
      <c r="D1598" s="159"/>
      <c r="E1598" s="160"/>
      <c r="F1598" s="161"/>
      <c r="G1598" s="162"/>
      <c r="H1598" s="163"/>
      <c r="I1598" s="162"/>
      <c r="J1598" s="164"/>
      <c r="K1598" s="164"/>
      <c r="L1598" s="158"/>
      <c r="M1598" s="158"/>
      <c r="N1598" s="158"/>
      <c r="O1598" s="158"/>
      <c r="P1598" s="158"/>
      <c r="Q1598" s="158"/>
      <c r="R1598" s="159"/>
      <c r="S1598" s="160"/>
      <c r="T1598" s="162"/>
    </row>
    <row r="1599">
      <c r="A1599" s="158"/>
      <c r="B1599" s="158"/>
      <c r="C1599" s="158"/>
      <c r="D1599" s="159"/>
      <c r="E1599" s="160"/>
      <c r="F1599" s="161"/>
      <c r="G1599" s="162"/>
      <c r="H1599" s="163"/>
      <c r="I1599" s="162"/>
      <c r="J1599" s="164"/>
      <c r="K1599" s="164"/>
      <c r="L1599" s="158"/>
      <c r="M1599" s="158"/>
      <c r="N1599" s="158"/>
      <c r="O1599" s="158"/>
      <c r="P1599" s="158"/>
      <c r="Q1599" s="158"/>
      <c r="R1599" s="159"/>
      <c r="S1599" s="160"/>
      <c r="T1599" s="162"/>
    </row>
    <row r="1600">
      <c r="A1600" s="158"/>
      <c r="B1600" s="158"/>
      <c r="C1600" s="158"/>
      <c r="D1600" s="159"/>
      <c r="E1600" s="160"/>
      <c r="F1600" s="161"/>
      <c r="G1600" s="162"/>
      <c r="H1600" s="163"/>
      <c r="I1600" s="162"/>
      <c r="J1600" s="164"/>
      <c r="K1600" s="164"/>
      <c r="L1600" s="158"/>
      <c r="M1600" s="158"/>
      <c r="N1600" s="158"/>
      <c r="O1600" s="158"/>
      <c r="P1600" s="158"/>
      <c r="Q1600" s="158"/>
      <c r="R1600" s="159"/>
      <c r="S1600" s="160"/>
      <c r="T1600" s="162"/>
    </row>
    <row r="1601">
      <c r="A1601" s="158"/>
      <c r="B1601" s="158"/>
      <c r="C1601" s="158"/>
      <c r="D1601" s="159"/>
      <c r="E1601" s="160"/>
      <c r="F1601" s="161"/>
      <c r="G1601" s="162"/>
      <c r="H1601" s="163"/>
      <c r="I1601" s="162"/>
      <c r="J1601" s="164"/>
      <c r="K1601" s="164"/>
      <c r="L1601" s="158"/>
      <c r="M1601" s="158"/>
      <c r="N1601" s="158"/>
      <c r="O1601" s="158"/>
      <c r="P1601" s="158"/>
      <c r="Q1601" s="158"/>
      <c r="R1601" s="159"/>
      <c r="S1601" s="160"/>
      <c r="T1601" s="162"/>
    </row>
    <row r="1602">
      <c r="A1602" s="158"/>
      <c r="B1602" s="158"/>
      <c r="C1602" s="158"/>
      <c r="D1602" s="159"/>
      <c r="E1602" s="160"/>
      <c r="F1602" s="161"/>
      <c r="G1602" s="162"/>
      <c r="H1602" s="163"/>
      <c r="I1602" s="162"/>
      <c r="J1602" s="164"/>
      <c r="K1602" s="164"/>
      <c r="L1602" s="158"/>
      <c r="M1602" s="158"/>
      <c r="N1602" s="158"/>
      <c r="O1602" s="158"/>
      <c r="P1602" s="158"/>
      <c r="Q1602" s="158"/>
      <c r="R1602" s="159"/>
      <c r="S1602" s="160"/>
      <c r="T1602" s="162"/>
    </row>
    <row r="1603">
      <c r="A1603" s="158"/>
      <c r="B1603" s="158"/>
      <c r="C1603" s="158"/>
      <c r="D1603" s="159"/>
      <c r="E1603" s="160"/>
      <c r="F1603" s="161"/>
      <c r="G1603" s="162"/>
      <c r="H1603" s="163"/>
      <c r="I1603" s="162"/>
      <c r="J1603" s="164"/>
      <c r="K1603" s="164"/>
      <c r="L1603" s="158"/>
      <c r="M1603" s="158"/>
      <c r="N1603" s="158"/>
      <c r="O1603" s="158"/>
      <c r="P1603" s="158"/>
      <c r="Q1603" s="158"/>
      <c r="R1603" s="159"/>
      <c r="S1603" s="160"/>
      <c r="T1603" s="162"/>
    </row>
    <row r="1604">
      <c r="A1604" s="158"/>
      <c r="B1604" s="158"/>
      <c r="C1604" s="158"/>
      <c r="D1604" s="159"/>
      <c r="E1604" s="160"/>
      <c r="F1604" s="161"/>
      <c r="G1604" s="162"/>
      <c r="H1604" s="163"/>
      <c r="I1604" s="162"/>
      <c r="J1604" s="164"/>
      <c r="K1604" s="164"/>
      <c r="L1604" s="158"/>
      <c r="M1604" s="158"/>
      <c r="N1604" s="158"/>
      <c r="O1604" s="158"/>
      <c r="P1604" s="158"/>
      <c r="Q1604" s="158"/>
      <c r="R1604" s="159"/>
      <c r="S1604" s="160"/>
      <c r="T1604" s="162"/>
    </row>
    <row r="1605">
      <c r="A1605" s="158"/>
      <c r="B1605" s="158"/>
      <c r="C1605" s="158"/>
      <c r="D1605" s="159"/>
      <c r="E1605" s="160"/>
      <c r="F1605" s="161"/>
      <c r="G1605" s="162"/>
      <c r="H1605" s="163"/>
      <c r="I1605" s="162"/>
      <c r="J1605" s="164"/>
      <c r="K1605" s="164"/>
      <c r="L1605" s="158"/>
      <c r="M1605" s="158"/>
      <c r="N1605" s="158"/>
      <c r="O1605" s="158"/>
      <c r="P1605" s="158"/>
      <c r="Q1605" s="158"/>
      <c r="R1605" s="159"/>
      <c r="S1605" s="160"/>
      <c r="T1605" s="162"/>
    </row>
    <row r="1606">
      <c r="A1606" s="158"/>
      <c r="B1606" s="158"/>
      <c r="C1606" s="158"/>
      <c r="D1606" s="159"/>
      <c r="E1606" s="160"/>
      <c r="F1606" s="161"/>
      <c r="G1606" s="162"/>
      <c r="H1606" s="163"/>
      <c r="I1606" s="162"/>
      <c r="J1606" s="164"/>
      <c r="K1606" s="164"/>
      <c r="L1606" s="158"/>
      <c r="M1606" s="158"/>
      <c r="N1606" s="158"/>
      <c r="O1606" s="158"/>
      <c r="P1606" s="158"/>
      <c r="Q1606" s="158"/>
      <c r="R1606" s="159"/>
      <c r="S1606" s="160"/>
      <c r="T1606" s="162"/>
    </row>
    <row r="1607">
      <c r="A1607" s="158"/>
      <c r="B1607" s="158"/>
      <c r="C1607" s="158"/>
      <c r="D1607" s="159"/>
      <c r="E1607" s="160"/>
      <c r="F1607" s="161"/>
      <c r="G1607" s="162"/>
      <c r="H1607" s="163"/>
      <c r="I1607" s="162"/>
      <c r="J1607" s="164"/>
      <c r="K1607" s="164"/>
      <c r="L1607" s="158"/>
      <c r="M1607" s="158"/>
      <c r="N1607" s="158"/>
      <c r="O1607" s="158"/>
      <c r="P1607" s="158"/>
      <c r="Q1607" s="158"/>
      <c r="R1607" s="159"/>
      <c r="S1607" s="160"/>
      <c r="T1607" s="162"/>
    </row>
    <row r="1608">
      <c r="A1608" s="158"/>
      <c r="B1608" s="158"/>
      <c r="C1608" s="158"/>
      <c r="D1608" s="159"/>
      <c r="E1608" s="160"/>
      <c r="F1608" s="161"/>
      <c r="G1608" s="162"/>
      <c r="H1608" s="163"/>
      <c r="I1608" s="162"/>
      <c r="J1608" s="164"/>
      <c r="K1608" s="164"/>
      <c r="L1608" s="158"/>
      <c r="M1608" s="158"/>
      <c r="N1608" s="158"/>
      <c r="O1608" s="158"/>
      <c r="P1608" s="158"/>
      <c r="Q1608" s="158"/>
      <c r="R1608" s="159"/>
      <c r="S1608" s="160"/>
      <c r="T1608" s="162"/>
    </row>
    <row r="1609">
      <c r="A1609" s="158"/>
      <c r="B1609" s="158"/>
      <c r="C1609" s="158"/>
      <c r="D1609" s="159"/>
      <c r="E1609" s="160"/>
      <c r="F1609" s="161"/>
      <c r="G1609" s="162"/>
      <c r="H1609" s="163"/>
      <c r="I1609" s="162"/>
      <c r="J1609" s="164"/>
      <c r="K1609" s="164"/>
      <c r="L1609" s="158"/>
      <c r="M1609" s="158"/>
      <c r="N1609" s="158"/>
      <c r="O1609" s="158"/>
      <c r="P1609" s="158"/>
      <c r="Q1609" s="158"/>
      <c r="R1609" s="159"/>
      <c r="S1609" s="160"/>
      <c r="T1609" s="162"/>
    </row>
    <row r="1610">
      <c r="A1610" s="158"/>
      <c r="B1610" s="158"/>
      <c r="C1610" s="158"/>
      <c r="D1610" s="159"/>
      <c r="E1610" s="160"/>
      <c r="F1610" s="161"/>
      <c r="G1610" s="162"/>
      <c r="H1610" s="163"/>
      <c r="I1610" s="162"/>
      <c r="J1610" s="164"/>
      <c r="K1610" s="164"/>
      <c r="L1610" s="158"/>
      <c r="M1610" s="158"/>
      <c r="N1610" s="158"/>
      <c r="O1610" s="158"/>
      <c r="P1610" s="158"/>
      <c r="Q1610" s="158"/>
      <c r="R1610" s="159"/>
      <c r="S1610" s="160"/>
      <c r="T1610" s="162"/>
    </row>
    <row r="1611">
      <c r="A1611" s="158"/>
      <c r="B1611" s="158"/>
      <c r="C1611" s="158"/>
      <c r="D1611" s="159"/>
      <c r="E1611" s="160"/>
      <c r="F1611" s="161"/>
      <c r="G1611" s="162"/>
      <c r="H1611" s="163"/>
      <c r="I1611" s="162"/>
      <c r="J1611" s="164"/>
      <c r="K1611" s="164"/>
      <c r="L1611" s="158"/>
      <c r="M1611" s="158"/>
      <c r="N1611" s="158"/>
      <c r="O1611" s="158"/>
      <c r="P1611" s="158"/>
      <c r="Q1611" s="158"/>
      <c r="R1611" s="159"/>
      <c r="S1611" s="160"/>
      <c r="T1611" s="162"/>
    </row>
    <row r="1612">
      <c r="A1612" s="158"/>
      <c r="B1612" s="158"/>
      <c r="C1612" s="158"/>
      <c r="D1612" s="159"/>
      <c r="E1612" s="160"/>
      <c r="F1612" s="161"/>
      <c r="G1612" s="162"/>
      <c r="H1612" s="163"/>
      <c r="I1612" s="162"/>
      <c r="J1612" s="164"/>
      <c r="K1612" s="164"/>
      <c r="L1612" s="158"/>
      <c r="M1612" s="158"/>
      <c r="N1612" s="158"/>
      <c r="O1612" s="158"/>
      <c r="P1612" s="158"/>
      <c r="Q1612" s="158"/>
      <c r="R1612" s="159"/>
      <c r="S1612" s="160"/>
      <c r="T1612" s="162"/>
    </row>
    <row r="1613">
      <c r="A1613" s="158"/>
      <c r="B1613" s="158"/>
      <c r="C1613" s="158"/>
      <c r="D1613" s="159"/>
      <c r="E1613" s="160"/>
      <c r="F1613" s="161"/>
      <c r="G1613" s="162"/>
      <c r="H1613" s="163"/>
      <c r="I1613" s="162"/>
      <c r="J1613" s="164"/>
      <c r="K1613" s="164"/>
      <c r="L1613" s="158"/>
      <c r="M1613" s="158"/>
      <c r="N1613" s="158"/>
      <c r="O1613" s="158"/>
      <c r="P1613" s="158"/>
      <c r="Q1613" s="158"/>
      <c r="R1613" s="159"/>
      <c r="S1613" s="160"/>
      <c r="T1613" s="162"/>
    </row>
    <row r="1614">
      <c r="A1614" s="158"/>
      <c r="B1614" s="158"/>
      <c r="C1614" s="158"/>
      <c r="D1614" s="159"/>
      <c r="E1614" s="160"/>
      <c r="F1614" s="161"/>
      <c r="G1614" s="162"/>
      <c r="H1614" s="163"/>
      <c r="I1614" s="162"/>
      <c r="J1614" s="164"/>
      <c r="K1614" s="164"/>
      <c r="L1614" s="158"/>
      <c r="M1614" s="158"/>
      <c r="N1614" s="158"/>
      <c r="O1614" s="158"/>
      <c r="P1614" s="158"/>
      <c r="Q1614" s="158"/>
      <c r="R1614" s="159"/>
      <c r="S1614" s="160"/>
      <c r="T1614" s="162"/>
    </row>
    <row r="1615">
      <c r="A1615" s="158"/>
      <c r="B1615" s="158"/>
      <c r="C1615" s="158"/>
      <c r="D1615" s="159"/>
      <c r="E1615" s="160"/>
      <c r="F1615" s="161"/>
      <c r="G1615" s="162"/>
      <c r="H1615" s="163"/>
      <c r="I1615" s="162"/>
      <c r="J1615" s="164"/>
      <c r="K1615" s="164"/>
      <c r="L1615" s="158"/>
      <c r="M1615" s="158"/>
      <c r="N1615" s="158"/>
      <c r="O1615" s="158"/>
      <c r="P1615" s="158"/>
      <c r="Q1615" s="158"/>
      <c r="R1615" s="159"/>
      <c r="S1615" s="160"/>
      <c r="T1615" s="162"/>
    </row>
    <row r="1616">
      <c r="A1616" s="158"/>
      <c r="B1616" s="158"/>
      <c r="C1616" s="158"/>
      <c r="D1616" s="159"/>
      <c r="E1616" s="160"/>
      <c r="F1616" s="161"/>
      <c r="G1616" s="162"/>
      <c r="H1616" s="163"/>
      <c r="I1616" s="162"/>
      <c r="J1616" s="164"/>
      <c r="K1616" s="164"/>
      <c r="L1616" s="158"/>
      <c r="M1616" s="158"/>
      <c r="N1616" s="158"/>
      <c r="O1616" s="158"/>
      <c r="P1616" s="158"/>
      <c r="Q1616" s="158"/>
      <c r="R1616" s="159"/>
      <c r="S1616" s="160"/>
      <c r="T1616" s="162"/>
    </row>
    <row r="1617">
      <c r="A1617" s="158"/>
      <c r="B1617" s="158"/>
      <c r="C1617" s="158"/>
      <c r="D1617" s="159"/>
      <c r="E1617" s="160"/>
      <c r="F1617" s="161"/>
      <c r="G1617" s="162"/>
      <c r="H1617" s="163"/>
      <c r="I1617" s="162"/>
      <c r="J1617" s="164"/>
      <c r="K1617" s="164"/>
      <c r="L1617" s="158"/>
      <c r="M1617" s="158"/>
      <c r="N1617" s="158"/>
      <c r="O1617" s="158"/>
      <c r="P1617" s="158"/>
      <c r="Q1617" s="158"/>
      <c r="R1617" s="159"/>
      <c r="S1617" s="160"/>
      <c r="T1617" s="162"/>
    </row>
    <row r="1618">
      <c r="A1618" s="158"/>
      <c r="B1618" s="158"/>
      <c r="C1618" s="158"/>
      <c r="D1618" s="159"/>
      <c r="E1618" s="160"/>
      <c r="F1618" s="161"/>
      <c r="G1618" s="162"/>
      <c r="H1618" s="163"/>
      <c r="I1618" s="162"/>
      <c r="J1618" s="164"/>
      <c r="K1618" s="164"/>
      <c r="L1618" s="158"/>
      <c r="M1618" s="158"/>
      <c r="N1618" s="158"/>
      <c r="O1618" s="158"/>
      <c r="P1618" s="158"/>
      <c r="Q1618" s="158"/>
      <c r="R1618" s="159"/>
      <c r="S1618" s="160"/>
      <c r="T1618" s="162"/>
    </row>
    <row r="1619">
      <c r="A1619" s="158"/>
      <c r="B1619" s="158"/>
      <c r="C1619" s="158"/>
      <c r="D1619" s="159"/>
      <c r="E1619" s="160"/>
      <c r="F1619" s="161"/>
      <c r="G1619" s="162"/>
      <c r="H1619" s="163"/>
      <c r="I1619" s="162"/>
      <c r="J1619" s="164"/>
      <c r="K1619" s="164"/>
      <c r="L1619" s="158"/>
      <c r="M1619" s="158"/>
      <c r="N1619" s="158"/>
      <c r="O1619" s="158"/>
      <c r="P1619" s="158"/>
      <c r="Q1619" s="158"/>
      <c r="R1619" s="159"/>
      <c r="S1619" s="160"/>
      <c r="T1619" s="162"/>
    </row>
    <row r="1620">
      <c r="A1620" s="158"/>
      <c r="B1620" s="158"/>
      <c r="C1620" s="158"/>
      <c r="D1620" s="159"/>
      <c r="E1620" s="160"/>
      <c r="F1620" s="161"/>
      <c r="G1620" s="162"/>
      <c r="H1620" s="163"/>
      <c r="I1620" s="162"/>
      <c r="J1620" s="164"/>
      <c r="K1620" s="164"/>
      <c r="L1620" s="158"/>
      <c r="M1620" s="158"/>
      <c r="N1620" s="158"/>
      <c r="O1620" s="158"/>
      <c r="P1620" s="158"/>
      <c r="Q1620" s="158"/>
      <c r="R1620" s="159"/>
      <c r="S1620" s="160"/>
      <c r="T1620" s="162"/>
    </row>
    <row r="1621">
      <c r="A1621" s="158"/>
      <c r="B1621" s="158"/>
      <c r="C1621" s="158"/>
      <c r="D1621" s="159"/>
      <c r="E1621" s="160"/>
      <c r="F1621" s="161"/>
      <c r="G1621" s="162"/>
      <c r="H1621" s="163"/>
      <c r="I1621" s="162"/>
      <c r="J1621" s="164"/>
      <c r="K1621" s="164"/>
      <c r="L1621" s="158"/>
      <c r="M1621" s="158"/>
      <c r="N1621" s="158"/>
      <c r="O1621" s="158"/>
      <c r="P1621" s="158"/>
      <c r="Q1621" s="158"/>
      <c r="R1621" s="159"/>
      <c r="S1621" s="160"/>
      <c r="T1621" s="162"/>
    </row>
    <row r="1622">
      <c r="A1622" s="158"/>
      <c r="B1622" s="158"/>
      <c r="C1622" s="158"/>
      <c r="D1622" s="159"/>
      <c r="E1622" s="160"/>
      <c r="F1622" s="161"/>
      <c r="G1622" s="162"/>
      <c r="H1622" s="163"/>
      <c r="I1622" s="162"/>
      <c r="J1622" s="164"/>
      <c r="K1622" s="164"/>
      <c r="L1622" s="158"/>
      <c r="M1622" s="158"/>
      <c r="N1622" s="158"/>
      <c r="O1622" s="158"/>
      <c r="P1622" s="158"/>
      <c r="Q1622" s="158"/>
      <c r="R1622" s="159"/>
      <c r="S1622" s="160"/>
      <c r="T1622" s="162"/>
    </row>
    <row r="1623">
      <c r="A1623" s="158"/>
      <c r="B1623" s="158"/>
      <c r="C1623" s="158"/>
      <c r="D1623" s="159"/>
      <c r="E1623" s="160"/>
      <c r="F1623" s="161"/>
      <c r="G1623" s="162"/>
      <c r="H1623" s="163"/>
      <c r="I1623" s="162"/>
      <c r="J1623" s="164"/>
      <c r="K1623" s="164"/>
      <c r="L1623" s="158"/>
      <c r="M1623" s="158"/>
      <c r="N1623" s="158"/>
      <c r="O1623" s="158"/>
      <c r="P1623" s="158"/>
      <c r="Q1623" s="158"/>
      <c r="R1623" s="159"/>
      <c r="S1623" s="160"/>
      <c r="T1623" s="162"/>
    </row>
    <row r="1624">
      <c r="A1624" s="158"/>
      <c r="B1624" s="158"/>
      <c r="C1624" s="158"/>
      <c r="D1624" s="159"/>
      <c r="E1624" s="160"/>
      <c r="F1624" s="161"/>
      <c r="G1624" s="162"/>
      <c r="H1624" s="163"/>
      <c r="I1624" s="162"/>
      <c r="J1624" s="164"/>
      <c r="K1624" s="164"/>
      <c r="L1624" s="158"/>
      <c r="M1624" s="158"/>
      <c r="N1624" s="158"/>
      <c r="O1624" s="158"/>
      <c r="P1624" s="158"/>
      <c r="Q1624" s="158"/>
      <c r="R1624" s="159"/>
      <c r="S1624" s="160"/>
      <c r="T1624" s="162"/>
    </row>
    <row r="1625">
      <c r="A1625" s="158"/>
      <c r="B1625" s="158"/>
      <c r="C1625" s="158"/>
      <c r="D1625" s="159"/>
      <c r="E1625" s="160"/>
      <c r="F1625" s="161"/>
      <c r="G1625" s="162"/>
      <c r="H1625" s="163"/>
      <c r="I1625" s="162"/>
      <c r="J1625" s="164"/>
      <c r="K1625" s="164"/>
      <c r="L1625" s="158"/>
      <c r="M1625" s="158"/>
      <c r="N1625" s="158"/>
      <c r="O1625" s="158"/>
      <c r="P1625" s="158"/>
      <c r="Q1625" s="158"/>
      <c r="R1625" s="159"/>
      <c r="S1625" s="160"/>
      <c r="T1625" s="162"/>
    </row>
    <row r="1626">
      <c r="A1626" s="158"/>
      <c r="B1626" s="158"/>
      <c r="C1626" s="158"/>
      <c r="D1626" s="159"/>
      <c r="E1626" s="160"/>
      <c r="F1626" s="161"/>
      <c r="G1626" s="162"/>
      <c r="H1626" s="163"/>
      <c r="I1626" s="162"/>
      <c r="J1626" s="164"/>
      <c r="K1626" s="164"/>
      <c r="L1626" s="158"/>
      <c r="M1626" s="158"/>
      <c r="N1626" s="158"/>
      <c r="O1626" s="158"/>
      <c r="P1626" s="158"/>
      <c r="Q1626" s="158"/>
      <c r="R1626" s="159"/>
      <c r="S1626" s="160"/>
      <c r="T1626" s="162"/>
    </row>
    <row r="1627">
      <c r="A1627" s="158"/>
      <c r="B1627" s="158"/>
      <c r="C1627" s="158"/>
      <c r="D1627" s="159"/>
      <c r="E1627" s="160"/>
      <c r="F1627" s="161"/>
      <c r="G1627" s="162"/>
      <c r="H1627" s="163"/>
      <c r="I1627" s="162"/>
      <c r="J1627" s="164"/>
      <c r="K1627" s="164"/>
      <c r="L1627" s="158"/>
      <c r="M1627" s="158"/>
      <c r="N1627" s="158"/>
      <c r="O1627" s="158"/>
      <c r="P1627" s="158"/>
      <c r="Q1627" s="158"/>
      <c r="R1627" s="159"/>
      <c r="S1627" s="160"/>
      <c r="T1627" s="162"/>
    </row>
    <row r="1628">
      <c r="A1628" s="158"/>
      <c r="B1628" s="158"/>
      <c r="C1628" s="158"/>
      <c r="D1628" s="159"/>
      <c r="E1628" s="160"/>
      <c r="F1628" s="161"/>
      <c r="G1628" s="162"/>
      <c r="H1628" s="163"/>
      <c r="I1628" s="162"/>
      <c r="J1628" s="164"/>
      <c r="K1628" s="164"/>
      <c r="L1628" s="158"/>
      <c r="M1628" s="158"/>
      <c r="N1628" s="158"/>
      <c r="O1628" s="158"/>
      <c r="P1628" s="158"/>
      <c r="Q1628" s="158"/>
      <c r="R1628" s="159"/>
      <c r="S1628" s="160"/>
      <c r="T1628" s="162"/>
    </row>
    <row r="1629">
      <c r="A1629" s="158"/>
      <c r="B1629" s="158"/>
      <c r="C1629" s="158"/>
      <c r="D1629" s="159"/>
      <c r="E1629" s="160"/>
      <c r="F1629" s="161"/>
      <c r="G1629" s="162"/>
      <c r="H1629" s="163"/>
      <c r="I1629" s="162"/>
      <c r="J1629" s="164"/>
      <c r="K1629" s="164"/>
      <c r="L1629" s="158"/>
      <c r="M1629" s="158"/>
      <c r="N1629" s="158"/>
      <c r="O1629" s="158"/>
      <c r="P1629" s="158"/>
      <c r="Q1629" s="158"/>
      <c r="R1629" s="159"/>
      <c r="S1629" s="160"/>
      <c r="T1629" s="162"/>
    </row>
    <row r="1630">
      <c r="A1630" s="158"/>
      <c r="B1630" s="158"/>
      <c r="C1630" s="158"/>
      <c r="D1630" s="159"/>
      <c r="E1630" s="160"/>
      <c r="F1630" s="161"/>
      <c r="G1630" s="162"/>
      <c r="H1630" s="163"/>
      <c r="I1630" s="162"/>
      <c r="J1630" s="164"/>
      <c r="K1630" s="164"/>
      <c r="L1630" s="158"/>
      <c r="M1630" s="158"/>
      <c r="N1630" s="158"/>
      <c r="O1630" s="158"/>
      <c r="P1630" s="158"/>
      <c r="Q1630" s="158"/>
      <c r="R1630" s="159"/>
      <c r="S1630" s="160"/>
      <c r="T1630" s="162"/>
    </row>
    <row r="1631">
      <c r="A1631" s="158"/>
      <c r="B1631" s="158"/>
      <c r="C1631" s="158"/>
      <c r="D1631" s="159"/>
      <c r="E1631" s="160"/>
      <c r="F1631" s="161"/>
      <c r="G1631" s="162"/>
      <c r="H1631" s="163"/>
      <c r="I1631" s="162"/>
      <c r="J1631" s="164"/>
      <c r="K1631" s="164"/>
      <c r="L1631" s="158"/>
      <c r="M1631" s="158"/>
      <c r="N1631" s="158"/>
      <c r="O1631" s="158"/>
      <c r="P1631" s="158"/>
      <c r="Q1631" s="158"/>
      <c r="R1631" s="159"/>
      <c r="S1631" s="160"/>
      <c r="T1631" s="162"/>
    </row>
    <row r="1632">
      <c r="A1632" s="158"/>
      <c r="B1632" s="158"/>
      <c r="C1632" s="158"/>
      <c r="D1632" s="159"/>
      <c r="E1632" s="160"/>
      <c r="F1632" s="161"/>
      <c r="G1632" s="162"/>
      <c r="H1632" s="163"/>
      <c r="I1632" s="162"/>
      <c r="J1632" s="164"/>
      <c r="K1632" s="164"/>
      <c r="L1632" s="158"/>
      <c r="M1632" s="158"/>
      <c r="N1632" s="158"/>
      <c r="O1632" s="158"/>
      <c r="P1632" s="158"/>
      <c r="Q1632" s="158"/>
      <c r="R1632" s="159"/>
      <c r="S1632" s="160"/>
      <c r="T1632" s="162"/>
    </row>
    <row r="1633">
      <c r="A1633" s="158"/>
      <c r="B1633" s="158"/>
      <c r="C1633" s="158"/>
      <c r="D1633" s="159"/>
      <c r="E1633" s="160"/>
      <c r="F1633" s="161"/>
      <c r="G1633" s="162"/>
      <c r="H1633" s="163"/>
      <c r="I1633" s="162"/>
      <c r="J1633" s="164"/>
      <c r="K1633" s="164"/>
      <c r="L1633" s="158"/>
      <c r="M1633" s="158"/>
      <c r="N1633" s="158"/>
      <c r="O1633" s="158"/>
      <c r="P1633" s="158"/>
      <c r="Q1633" s="158"/>
      <c r="R1633" s="159"/>
      <c r="S1633" s="160"/>
      <c r="T1633" s="162"/>
    </row>
    <row r="1634">
      <c r="A1634" s="158"/>
      <c r="B1634" s="158"/>
      <c r="C1634" s="158"/>
      <c r="D1634" s="159"/>
      <c r="E1634" s="160"/>
      <c r="F1634" s="161"/>
      <c r="G1634" s="162"/>
      <c r="H1634" s="163"/>
      <c r="I1634" s="162"/>
      <c r="J1634" s="164"/>
      <c r="K1634" s="164"/>
      <c r="L1634" s="158"/>
      <c r="M1634" s="158"/>
      <c r="N1634" s="158"/>
      <c r="O1634" s="158"/>
      <c r="P1634" s="158"/>
      <c r="Q1634" s="158"/>
      <c r="R1634" s="159"/>
      <c r="S1634" s="160"/>
      <c r="T1634" s="162"/>
    </row>
    <row r="1635">
      <c r="A1635" s="158"/>
      <c r="B1635" s="158"/>
      <c r="C1635" s="158"/>
      <c r="D1635" s="159"/>
      <c r="E1635" s="160"/>
      <c r="F1635" s="161"/>
      <c r="G1635" s="162"/>
      <c r="H1635" s="163"/>
      <c r="I1635" s="162"/>
      <c r="J1635" s="164"/>
      <c r="K1635" s="164"/>
      <c r="L1635" s="158"/>
      <c r="M1635" s="158"/>
      <c r="N1635" s="158"/>
      <c r="O1635" s="158"/>
      <c r="P1635" s="158"/>
      <c r="Q1635" s="158"/>
      <c r="R1635" s="159"/>
      <c r="S1635" s="160"/>
      <c r="T1635" s="162"/>
    </row>
    <row r="1636">
      <c r="A1636" s="158"/>
      <c r="B1636" s="158"/>
      <c r="C1636" s="158"/>
      <c r="D1636" s="159"/>
      <c r="E1636" s="160"/>
      <c r="F1636" s="161"/>
      <c r="G1636" s="162"/>
      <c r="H1636" s="163"/>
      <c r="I1636" s="162"/>
      <c r="J1636" s="164"/>
      <c r="K1636" s="164"/>
      <c r="L1636" s="158"/>
      <c r="M1636" s="158"/>
      <c r="N1636" s="158"/>
      <c r="O1636" s="158"/>
      <c r="P1636" s="158"/>
      <c r="Q1636" s="158"/>
      <c r="R1636" s="159"/>
      <c r="S1636" s="160"/>
      <c r="T1636" s="162"/>
    </row>
    <row r="1637">
      <c r="A1637" s="158"/>
      <c r="B1637" s="158"/>
      <c r="C1637" s="158"/>
      <c r="D1637" s="159"/>
      <c r="E1637" s="160"/>
      <c r="F1637" s="161"/>
      <c r="G1637" s="162"/>
      <c r="H1637" s="163"/>
      <c r="I1637" s="162"/>
      <c r="J1637" s="164"/>
      <c r="K1637" s="164"/>
      <c r="L1637" s="158"/>
      <c r="M1637" s="158"/>
      <c r="N1637" s="158"/>
      <c r="O1637" s="158"/>
      <c r="P1637" s="158"/>
      <c r="Q1637" s="158"/>
      <c r="R1637" s="159"/>
      <c r="S1637" s="160"/>
      <c r="T1637" s="162"/>
    </row>
    <row r="1638">
      <c r="A1638" s="158"/>
      <c r="B1638" s="158"/>
      <c r="C1638" s="158"/>
      <c r="D1638" s="159"/>
      <c r="E1638" s="160"/>
      <c r="F1638" s="161"/>
      <c r="G1638" s="162"/>
      <c r="H1638" s="163"/>
      <c r="I1638" s="162"/>
      <c r="J1638" s="164"/>
      <c r="K1638" s="164"/>
      <c r="L1638" s="158"/>
      <c r="M1638" s="158"/>
      <c r="N1638" s="158"/>
      <c r="O1638" s="158"/>
      <c r="P1638" s="158"/>
      <c r="Q1638" s="158"/>
      <c r="R1638" s="159"/>
      <c r="S1638" s="160"/>
      <c r="T1638" s="162"/>
    </row>
    <row r="1639">
      <c r="A1639" s="158"/>
      <c r="B1639" s="158"/>
      <c r="C1639" s="158"/>
      <c r="D1639" s="159"/>
      <c r="E1639" s="160"/>
      <c r="F1639" s="161"/>
      <c r="G1639" s="162"/>
      <c r="H1639" s="163"/>
      <c r="I1639" s="162"/>
      <c r="J1639" s="164"/>
      <c r="K1639" s="164"/>
      <c r="L1639" s="158"/>
      <c r="M1639" s="158"/>
      <c r="N1639" s="158"/>
      <c r="O1639" s="158"/>
      <c r="P1639" s="158"/>
      <c r="Q1639" s="158"/>
      <c r="R1639" s="159"/>
      <c r="S1639" s="160"/>
      <c r="T1639" s="162"/>
    </row>
    <row r="1640">
      <c r="A1640" s="158"/>
      <c r="B1640" s="158"/>
      <c r="C1640" s="158"/>
      <c r="D1640" s="159"/>
      <c r="E1640" s="160"/>
      <c r="F1640" s="161"/>
      <c r="G1640" s="162"/>
      <c r="H1640" s="163"/>
      <c r="I1640" s="162"/>
      <c r="J1640" s="164"/>
      <c r="K1640" s="164"/>
      <c r="L1640" s="158"/>
      <c r="M1640" s="158"/>
      <c r="N1640" s="158"/>
      <c r="O1640" s="158"/>
      <c r="P1640" s="158"/>
      <c r="Q1640" s="158"/>
      <c r="R1640" s="159"/>
      <c r="S1640" s="160"/>
      <c r="T1640" s="162"/>
    </row>
    <row r="1641">
      <c r="A1641" s="158"/>
      <c r="B1641" s="158"/>
      <c r="C1641" s="158"/>
      <c r="D1641" s="159"/>
      <c r="E1641" s="160"/>
      <c r="F1641" s="161"/>
      <c r="G1641" s="162"/>
      <c r="H1641" s="163"/>
      <c r="I1641" s="162"/>
      <c r="J1641" s="164"/>
      <c r="K1641" s="164"/>
      <c r="L1641" s="158"/>
      <c r="M1641" s="158"/>
      <c r="N1641" s="158"/>
      <c r="O1641" s="158"/>
      <c r="P1641" s="158"/>
      <c r="Q1641" s="158"/>
      <c r="R1641" s="159"/>
      <c r="S1641" s="160"/>
      <c r="T1641" s="162"/>
    </row>
    <row r="1642">
      <c r="A1642" s="158"/>
      <c r="B1642" s="158"/>
      <c r="C1642" s="158"/>
      <c r="D1642" s="159"/>
      <c r="E1642" s="160"/>
      <c r="F1642" s="161"/>
      <c r="G1642" s="162"/>
      <c r="H1642" s="163"/>
      <c r="I1642" s="162"/>
      <c r="J1642" s="164"/>
      <c r="K1642" s="164"/>
      <c r="L1642" s="158"/>
      <c r="M1642" s="158"/>
      <c r="N1642" s="158"/>
      <c r="O1642" s="158"/>
      <c r="P1642" s="158"/>
      <c r="Q1642" s="158"/>
      <c r="R1642" s="159"/>
      <c r="S1642" s="160"/>
      <c r="T1642" s="162"/>
    </row>
    <row r="1643">
      <c r="A1643" s="158"/>
      <c r="B1643" s="158"/>
      <c r="C1643" s="158"/>
      <c r="D1643" s="159"/>
      <c r="E1643" s="160"/>
      <c r="F1643" s="161"/>
      <c r="G1643" s="162"/>
      <c r="H1643" s="163"/>
      <c r="I1643" s="162"/>
      <c r="J1643" s="164"/>
      <c r="K1643" s="164"/>
      <c r="L1643" s="158"/>
      <c r="M1643" s="158"/>
      <c r="N1643" s="158"/>
      <c r="O1643" s="158"/>
      <c r="P1643" s="158"/>
      <c r="Q1643" s="158"/>
      <c r="R1643" s="159"/>
      <c r="S1643" s="160"/>
      <c r="T1643" s="162"/>
    </row>
    <row r="1644">
      <c r="A1644" s="158"/>
      <c r="B1644" s="158"/>
      <c r="C1644" s="158"/>
      <c r="D1644" s="159"/>
      <c r="E1644" s="160"/>
      <c r="F1644" s="161"/>
      <c r="G1644" s="162"/>
      <c r="H1644" s="163"/>
      <c r="I1644" s="162"/>
      <c r="J1644" s="164"/>
      <c r="K1644" s="164"/>
      <c r="L1644" s="158"/>
      <c r="M1644" s="158"/>
      <c r="N1644" s="158"/>
      <c r="O1644" s="158"/>
      <c r="P1644" s="158"/>
      <c r="Q1644" s="158"/>
      <c r="R1644" s="159"/>
      <c r="S1644" s="160"/>
      <c r="T1644" s="162"/>
    </row>
    <row r="1645">
      <c r="A1645" s="158"/>
      <c r="B1645" s="158"/>
      <c r="C1645" s="158"/>
      <c r="D1645" s="159"/>
      <c r="E1645" s="160"/>
      <c r="F1645" s="161"/>
      <c r="G1645" s="162"/>
      <c r="H1645" s="163"/>
      <c r="I1645" s="162"/>
      <c r="J1645" s="164"/>
      <c r="K1645" s="164"/>
      <c r="L1645" s="158"/>
      <c r="M1645" s="158"/>
      <c r="N1645" s="158"/>
      <c r="O1645" s="158"/>
      <c r="P1645" s="158"/>
      <c r="Q1645" s="158"/>
      <c r="R1645" s="159"/>
      <c r="S1645" s="160"/>
      <c r="T1645" s="162"/>
    </row>
    <row r="1646">
      <c r="A1646" s="158"/>
      <c r="B1646" s="158"/>
      <c r="C1646" s="158"/>
      <c r="D1646" s="159"/>
      <c r="E1646" s="160"/>
      <c r="F1646" s="161"/>
      <c r="G1646" s="162"/>
      <c r="H1646" s="163"/>
      <c r="I1646" s="162"/>
      <c r="J1646" s="164"/>
      <c r="K1646" s="164"/>
      <c r="L1646" s="158"/>
      <c r="M1646" s="158"/>
      <c r="N1646" s="158"/>
      <c r="O1646" s="158"/>
      <c r="P1646" s="158"/>
      <c r="Q1646" s="158"/>
      <c r="R1646" s="159"/>
      <c r="S1646" s="160"/>
      <c r="T1646" s="162"/>
    </row>
    <row r="1647">
      <c r="A1647" s="158"/>
      <c r="B1647" s="158"/>
      <c r="C1647" s="158"/>
      <c r="D1647" s="159"/>
      <c r="E1647" s="160"/>
      <c r="F1647" s="161"/>
      <c r="G1647" s="162"/>
      <c r="H1647" s="163"/>
      <c r="I1647" s="162"/>
      <c r="J1647" s="164"/>
      <c r="K1647" s="164"/>
      <c r="L1647" s="158"/>
      <c r="M1647" s="158"/>
      <c r="N1647" s="158"/>
      <c r="O1647" s="158"/>
      <c r="P1647" s="158"/>
      <c r="Q1647" s="158"/>
      <c r="R1647" s="159"/>
      <c r="S1647" s="160"/>
      <c r="T1647" s="162"/>
    </row>
    <row r="1648">
      <c r="A1648" s="158"/>
      <c r="B1648" s="158"/>
      <c r="C1648" s="158"/>
      <c r="D1648" s="159"/>
      <c r="E1648" s="160"/>
      <c r="F1648" s="161"/>
      <c r="G1648" s="162"/>
      <c r="H1648" s="163"/>
      <c r="I1648" s="162"/>
      <c r="J1648" s="164"/>
      <c r="K1648" s="164"/>
      <c r="L1648" s="158"/>
      <c r="M1648" s="158"/>
      <c r="N1648" s="158"/>
      <c r="O1648" s="158"/>
      <c r="P1648" s="158"/>
      <c r="Q1648" s="158"/>
      <c r="R1648" s="159"/>
      <c r="S1648" s="160"/>
      <c r="T1648" s="162"/>
    </row>
    <row r="1649">
      <c r="A1649" s="158"/>
      <c r="B1649" s="158"/>
      <c r="C1649" s="158"/>
      <c r="D1649" s="159"/>
      <c r="E1649" s="160"/>
      <c r="F1649" s="161"/>
      <c r="G1649" s="162"/>
      <c r="H1649" s="163"/>
      <c r="I1649" s="162"/>
      <c r="J1649" s="164"/>
      <c r="K1649" s="164"/>
      <c r="L1649" s="158"/>
      <c r="M1649" s="158"/>
      <c r="N1649" s="158"/>
      <c r="O1649" s="158"/>
      <c r="P1649" s="158"/>
      <c r="Q1649" s="158"/>
      <c r="R1649" s="159"/>
      <c r="S1649" s="160"/>
      <c r="T1649" s="162"/>
    </row>
    <row r="1650">
      <c r="A1650" s="158"/>
      <c r="B1650" s="158"/>
      <c r="C1650" s="158"/>
      <c r="D1650" s="159"/>
      <c r="E1650" s="160"/>
      <c r="F1650" s="161"/>
      <c r="G1650" s="162"/>
      <c r="H1650" s="163"/>
      <c r="I1650" s="162"/>
      <c r="J1650" s="164"/>
      <c r="K1650" s="164"/>
      <c r="L1650" s="158"/>
      <c r="M1650" s="158"/>
      <c r="N1650" s="158"/>
      <c r="O1650" s="158"/>
      <c r="P1650" s="158"/>
      <c r="Q1650" s="158"/>
      <c r="R1650" s="159"/>
      <c r="S1650" s="160"/>
      <c r="T1650" s="162"/>
    </row>
    <row r="1651">
      <c r="A1651" s="158"/>
      <c r="B1651" s="158"/>
      <c r="C1651" s="158"/>
      <c r="D1651" s="159"/>
      <c r="E1651" s="160"/>
      <c r="F1651" s="161"/>
      <c r="G1651" s="162"/>
      <c r="H1651" s="163"/>
      <c r="I1651" s="162"/>
      <c r="J1651" s="164"/>
      <c r="K1651" s="164"/>
      <c r="L1651" s="158"/>
      <c r="M1651" s="158"/>
      <c r="N1651" s="158"/>
      <c r="O1651" s="158"/>
      <c r="P1651" s="158"/>
      <c r="Q1651" s="158"/>
      <c r="R1651" s="159"/>
      <c r="S1651" s="160"/>
      <c r="T1651" s="162"/>
    </row>
    <row r="1652">
      <c r="A1652" s="158"/>
      <c r="B1652" s="158"/>
      <c r="C1652" s="158"/>
      <c r="D1652" s="159"/>
      <c r="E1652" s="160"/>
      <c r="F1652" s="161"/>
      <c r="G1652" s="162"/>
      <c r="H1652" s="163"/>
      <c r="I1652" s="162"/>
      <c r="J1652" s="164"/>
      <c r="K1652" s="164"/>
      <c r="L1652" s="158"/>
      <c r="M1652" s="158"/>
      <c r="N1652" s="158"/>
      <c r="O1652" s="158"/>
      <c r="P1652" s="158"/>
      <c r="Q1652" s="158"/>
      <c r="R1652" s="159"/>
      <c r="S1652" s="160"/>
      <c r="T1652" s="162"/>
    </row>
    <row r="1653">
      <c r="A1653" s="158"/>
      <c r="B1653" s="158"/>
      <c r="C1653" s="158"/>
      <c r="D1653" s="159"/>
      <c r="E1653" s="160"/>
      <c r="F1653" s="161"/>
      <c r="G1653" s="162"/>
      <c r="H1653" s="163"/>
      <c r="I1653" s="162"/>
      <c r="J1653" s="164"/>
      <c r="K1653" s="164"/>
      <c r="L1653" s="158"/>
      <c r="M1653" s="158"/>
      <c r="N1653" s="158"/>
      <c r="O1653" s="158"/>
      <c r="P1653" s="158"/>
      <c r="Q1653" s="158"/>
      <c r="R1653" s="159"/>
      <c r="S1653" s="160"/>
      <c r="T1653" s="162"/>
    </row>
    <row r="1654">
      <c r="A1654" s="158"/>
      <c r="B1654" s="158"/>
      <c r="C1654" s="158"/>
      <c r="D1654" s="159"/>
      <c r="E1654" s="160"/>
      <c r="F1654" s="161"/>
      <c r="G1654" s="162"/>
      <c r="H1654" s="163"/>
      <c r="I1654" s="162"/>
      <c r="J1654" s="164"/>
      <c r="K1654" s="164"/>
      <c r="L1654" s="158"/>
      <c r="M1654" s="158"/>
      <c r="N1654" s="158"/>
      <c r="O1654" s="158"/>
      <c r="P1654" s="158"/>
      <c r="Q1654" s="158"/>
      <c r="R1654" s="159"/>
      <c r="S1654" s="160"/>
      <c r="T1654" s="162"/>
    </row>
    <row r="1655">
      <c r="A1655" s="158"/>
      <c r="B1655" s="158"/>
      <c r="C1655" s="158"/>
      <c r="D1655" s="159"/>
      <c r="E1655" s="160"/>
      <c r="F1655" s="161"/>
      <c r="G1655" s="162"/>
      <c r="H1655" s="163"/>
      <c r="I1655" s="162"/>
      <c r="J1655" s="164"/>
      <c r="K1655" s="164"/>
      <c r="L1655" s="158"/>
      <c r="M1655" s="158"/>
      <c r="N1655" s="158"/>
      <c r="O1655" s="158"/>
      <c r="P1655" s="158"/>
      <c r="Q1655" s="158"/>
      <c r="R1655" s="159"/>
      <c r="S1655" s="160"/>
      <c r="T1655" s="162"/>
    </row>
    <row r="1656">
      <c r="A1656" s="158"/>
      <c r="B1656" s="158"/>
      <c r="C1656" s="158"/>
      <c r="D1656" s="159"/>
      <c r="E1656" s="160"/>
      <c r="F1656" s="161"/>
      <c r="G1656" s="162"/>
      <c r="H1656" s="163"/>
      <c r="I1656" s="162"/>
      <c r="J1656" s="164"/>
      <c r="K1656" s="164"/>
      <c r="L1656" s="158"/>
      <c r="M1656" s="158"/>
      <c r="N1656" s="158"/>
      <c r="O1656" s="158"/>
      <c r="P1656" s="158"/>
      <c r="Q1656" s="158"/>
      <c r="R1656" s="159"/>
      <c r="S1656" s="160"/>
      <c r="T1656" s="162"/>
    </row>
    <row r="1657">
      <c r="A1657" s="158"/>
      <c r="B1657" s="158"/>
      <c r="C1657" s="158"/>
      <c r="D1657" s="159"/>
      <c r="E1657" s="160"/>
      <c r="F1657" s="161"/>
      <c r="G1657" s="162"/>
      <c r="H1657" s="163"/>
      <c r="I1657" s="162"/>
      <c r="J1657" s="164"/>
      <c r="K1657" s="164"/>
      <c r="L1657" s="158"/>
      <c r="M1657" s="158"/>
      <c r="N1657" s="158"/>
      <c r="O1657" s="158"/>
      <c r="P1657" s="158"/>
      <c r="Q1657" s="158"/>
      <c r="R1657" s="159"/>
      <c r="S1657" s="160"/>
      <c r="T1657" s="162"/>
    </row>
    <row r="1658">
      <c r="A1658" s="158"/>
      <c r="B1658" s="158"/>
      <c r="C1658" s="158"/>
      <c r="D1658" s="159"/>
      <c r="E1658" s="160"/>
      <c r="F1658" s="161"/>
      <c r="G1658" s="162"/>
      <c r="H1658" s="163"/>
      <c r="I1658" s="162"/>
      <c r="J1658" s="164"/>
      <c r="K1658" s="164"/>
      <c r="L1658" s="158"/>
      <c r="M1658" s="158"/>
      <c r="N1658" s="158"/>
      <c r="O1658" s="158"/>
      <c r="P1658" s="158"/>
      <c r="Q1658" s="158"/>
      <c r="R1658" s="159"/>
      <c r="S1658" s="160"/>
      <c r="T1658" s="162"/>
    </row>
    <row r="1659">
      <c r="A1659" s="158"/>
      <c r="B1659" s="158"/>
      <c r="C1659" s="158"/>
      <c r="D1659" s="159"/>
      <c r="E1659" s="160"/>
      <c r="F1659" s="161"/>
      <c r="G1659" s="162"/>
      <c r="H1659" s="163"/>
      <c r="I1659" s="162"/>
      <c r="J1659" s="164"/>
      <c r="K1659" s="164"/>
      <c r="L1659" s="158"/>
      <c r="M1659" s="158"/>
      <c r="N1659" s="158"/>
      <c r="O1659" s="158"/>
      <c r="P1659" s="158"/>
      <c r="Q1659" s="158"/>
      <c r="R1659" s="159"/>
      <c r="S1659" s="160"/>
      <c r="T1659" s="162"/>
    </row>
    <row r="1660">
      <c r="A1660" s="158"/>
      <c r="B1660" s="158"/>
      <c r="C1660" s="158"/>
      <c r="D1660" s="159"/>
      <c r="E1660" s="160"/>
      <c r="F1660" s="161"/>
      <c r="G1660" s="162"/>
      <c r="H1660" s="163"/>
      <c r="I1660" s="162"/>
      <c r="J1660" s="164"/>
      <c r="K1660" s="164"/>
      <c r="L1660" s="158"/>
      <c r="M1660" s="158"/>
      <c r="N1660" s="158"/>
      <c r="O1660" s="158"/>
      <c r="P1660" s="158"/>
      <c r="Q1660" s="158"/>
      <c r="R1660" s="159"/>
      <c r="S1660" s="160"/>
      <c r="T1660" s="162"/>
    </row>
    <row r="1661">
      <c r="A1661" s="158"/>
      <c r="B1661" s="158"/>
      <c r="C1661" s="158"/>
      <c r="D1661" s="159"/>
      <c r="E1661" s="160"/>
      <c r="F1661" s="161"/>
      <c r="G1661" s="162"/>
      <c r="H1661" s="163"/>
      <c r="I1661" s="162"/>
      <c r="J1661" s="164"/>
      <c r="K1661" s="164"/>
      <c r="L1661" s="158"/>
      <c r="M1661" s="158"/>
      <c r="N1661" s="158"/>
      <c r="O1661" s="158"/>
      <c r="P1661" s="158"/>
      <c r="Q1661" s="158"/>
      <c r="R1661" s="159"/>
      <c r="S1661" s="160"/>
      <c r="T1661" s="162"/>
    </row>
    <row r="1662">
      <c r="A1662" s="158"/>
      <c r="B1662" s="158"/>
      <c r="C1662" s="158"/>
      <c r="D1662" s="159"/>
      <c r="E1662" s="160"/>
      <c r="F1662" s="161"/>
      <c r="G1662" s="162"/>
      <c r="H1662" s="163"/>
      <c r="I1662" s="162"/>
      <c r="J1662" s="164"/>
      <c r="K1662" s="164"/>
      <c r="L1662" s="158"/>
      <c r="M1662" s="158"/>
      <c r="N1662" s="158"/>
      <c r="O1662" s="158"/>
      <c r="P1662" s="158"/>
      <c r="Q1662" s="158"/>
      <c r="R1662" s="159"/>
      <c r="S1662" s="160"/>
      <c r="T1662" s="162"/>
    </row>
    <row r="1663">
      <c r="A1663" s="158"/>
      <c r="B1663" s="158"/>
      <c r="C1663" s="158"/>
      <c r="D1663" s="159"/>
      <c r="E1663" s="160"/>
      <c r="F1663" s="161"/>
      <c r="G1663" s="162"/>
      <c r="H1663" s="163"/>
      <c r="I1663" s="162"/>
      <c r="J1663" s="164"/>
      <c r="K1663" s="164"/>
      <c r="L1663" s="158"/>
      <c r="M1663" s="158"/>
      <c r="N1663" s="158"/>
      <c r="O1663" s="158"/>
      <c r="P1663" s="158"/>
      <c r="Q1663" s="158"/>
      <c r="R1663" s="159"/>
      <c r="S1663" s="160"/>
      <c r="T1663" s="162"/>
    </row>
    <row r="1664">
      <c r="A1664" s="158"/>
      <c r="B1664" s="158"/>
      <c r="C1664" s="158"/>
      <c r="D1664" s="159"/>
      <c r="E1664" s="160"/>
      <c r="F1664" s="161"/>
      <c r="G1664" s="162"/>
      <c r="H1664" s="163"/>
      <c r="I1664" s="162"/>
      <c r="J1664" s="164"/>
      <c r="K1664" s="164"/>
      <c r="L1664" s="158"/>
      <c r="M1664" s="158"/>
      <c r="N1664" s="158"/>
      <c r="O1664" s="158"/>
      <c r="P1664" s="158"/>
      <c r="Q1664" s="158"/>
      <c r="R1664" s="159"/>
      <c r="S1664" s="160"/>
      <c r="T1664" s="162"/>
    </row>
    <row r="1665">
      <c r="A1665" s="165"/>
      <c r="B1665" s="165"/>
      <c r="C1665" s="165"/>
      <c r="D1665" s="165"/>
      <c r="E1665" s="166"/>
      <c r="F1665" s="165"/>
      <c r="G1665" s="167"/>
      <c r="H1665" s="166"/>
      <c r="I1665" s="167"/>
      <c r="J1665" s="168"/>
      <c r="K1665" s="169"/>
      <c r="L1665" s="165"/>
      <c r="M1665" s="165"/>
      <c r="N1665" s="165"/>
      <c r="O1665" s="165"/>
      <c r="P1665" s="165"/>
      <c r="Q1665" s="165"/>
      <c r="R1665" s="159"/>
      <c r="S1665" s="160"/>
      <c r="T1665" s="162"/>
    </row>
    <row r="1666">
      <c r="A1666" s="165"/>
      <c r="B1666" s="165"/>
      <c r="C1666" s="165"/>
      <c r="D1666" s="165"/>
      <c r="E1666" s="166"/>
      <c r="F1666" s="165"/>
      <c r="G1666" s="167"/>
      <c r="H1666" s="166"/>
      <c r="I1666" s="167"/>
      <c r="J1666" s="168"/>
      <c r="K1666" s="169"/>
      <c r="L1666" s="165"/>
      <c r="M1666" s="165"/>
      <c r="N1666" s="165"/>
      <c r="O1666" s="165"/>
      <c r="P1666" s="165"/>
      <c r="Q1666" s="165"/>
      <c r="R1666" s="165"/>
      <c r="S1666" s="165"/>
      <c r="T1666" s="165"/>
    </row>
    <row r="1667">
      <c r="A1667" s="165"/>
      <c r="B1667" s="165"/>
      <c r="C1667" s="165"/>
      <c r="D1667" s="165"/>
      <c r="E1667" s="166"/>
      <c r="F1667" s="165"/>
      <c r="G1667" s="167"/>
      <c r="H1667" s="166"/>
      <c r="I1667" s="167"/>
      <c r="J1667" s="168"/>
      <c r="K1667" s="169"/>
      <c r="L1667" s="165"/>
      <c r="M1667" s="165"/>
      <c r="N1667" s="165"/>
      <c r="O1667" s="165"/>
      <c r="P1667" s="165"/>
      <c r="Q1667" s="165"/>
      <c r="R1667" s="165"/>
      <c r="S1667" s="165"/>
      <c r="T1667" s="165"/>
    </row>
    <row r="1668">
      <c r="A1668" s="165"/>
      <c r="B1668" s="165"/>
      <c r="C1668" s="165"/>
      <c r="D1668" s="165"/>
      <c r="E1668" s="166"/>
      <c r="F1668" s="165"/>
      <c r="G1668" s="167"/>
      <c r="H1668" s="166"/>
      <c r="I1668" s="167"/>
      <c r="J1668" s="168"/>
      <c r="K1668" s="169"/>
      <c r="L1668" s="165"/>
      <c r="M1668" s="165"/>
      <c r="N1668" s="165"/>
      <c r="O1668" s="165"/>
      <c r="P1668" s="165"/>
      <c r="Q1668" s="165"/>
      <c r="R1668" s="165"/>
      <c r="S1668" s="165"/>
      <c r="T1668" s="165"/>
    </row>
    <row r="1669">
      <c r="A1669" s="165"/>
      <c r="B1669" s="165"/>
      <c r="C1669" s="165"/>
      <c r="D1669" s="165"/>
      <c r="E1669" s="166"/>
      <c r="F1669" s="165"/>
      <c r="G1669" s="167"/>
      <c r="H1669" s="166"/>
      <c r="I1669" s="167"/>
      <c r="J1669" s="168"/>
      <c r="K1669" s="169"/>
      <c r="L1669" s="165"/>
      <c r="M1669" s="165"/>
      <c r="N1669" s="165"/>
      <c r="O1669" s="165"/>
      <c r="P1669" s="165"/>
      <c r="Q1669" s="165"/>
      <c r="R1669" s="165"/>
      <c r="S1669" s="165"/>
      <c r="T1669" s="165"/>
    </row>
    <row r="1670">
      <c r="A1670" s="165"/>
      <c r="B1670" s="165"/>
      <c r="C1670" s="165"/>
      <c r="D1670" s="165"/>
      <c r="E1670" s="166"/>
      <c r="F1670" s="165"/>
      <c r="G1670" s="167"/>
      <c r="H1670" s="166"/>
      <c r="I1670" s="167"/>
      <c r="J1670" s="168"/>
      <c r="K1670" s="169"/>
      <c r="L1670" s="165"/>
      <c r="M1670" s="165"/>
      <c r="N1670" s="165"/>
      <c r="O1670" s="165"/>
      <c r="P1670" s="165"/>
      <c r="Q1670" s="165"/>
      <c r="R1670" s="165"/>
      <c r="S1670" s="165"/>
      <c r="T1670" s="165"/>
    </row>
    <row r="1671">
      <c r="A1671" s="165"/>
      <c r="B1671" s="165"/>
      <c r="C1671" s="165"/>
      <c r="D1671" s="165"/>
      <c r="E1671" s="166"/>
      <c r="F1671" s="165"/>
      <c r="G1671" s="167"/>
      <c r="H1671" s="166"/>
      <c r="I1671" s="167"/>
      <c r="J1671" s="168"/>
      <c r="K1671" s="169"/>
      <c r="L1671" s="165"/>
      <c r="M1671" s="165"/>
      <c r="N1671" s="165"/>
      <c r="O1671" s="165"/>
      <c r="P1671" s="165"/>
      <c r="Q1671" s="165"/>
      <c r="R1671" s="165"/>
      <c r="S1671" s="165"/>
      <c r="T1671" s="165"/>
    </row>
    <row r="1672">
      <c r="A1672" s="165"/>
      <c r="B1672" s="165"/>
      <c r="C1672" s="165"/>
      <c r="D1672" s="165"/>
      <c r="E1672" s="166"/>
      <c r="F1672" s="165"/>
      <c r="G1672" s="167"/>
      <c r="H1672" s="166"/>
      <c r="I1672" s="167"/>
      <c r="J1672" s="168"/>
      <c r="K1672" s="169"/>
      <c r="L1672" s="165"/>
      <c r="M1672" s="165"/>
      <c r="N1672" s="165"/>
      <c r="O1672" s="165"/>
      <c r="P1672" s="165"/>
      <c r="Q1672" s="165"/>
      <c r="R1672" s="165"/>
      <c r="S1672" s="165"/>
      <c r="T1672" s="165"/>
    </row>
    <row r="1673">
      <c r="A1673" s="165"/>
      <c r="B1673" s="165"/>
      <c r="C1673" s="165"/>
      <c r="D1673" s="165"/>
      <c r="E1673" s="166"/>
      <c r="F1673" s="165"/>
      <c r="G1673" s="167"/>
      <c r="H1673" s="166"/>
      <c r="I1673" s="167"/>
      <c r="J1673" s="168"/>
      <c r="K1673" s="169"/>
      <c r="L1673" s="165"/>
      <c r="M1673" s="165"/>
      <c r="N1673" s="165"/>
      <c r="O1673" s="165"/>
      <c r="P1673" s="165"/>
      <c r="Q1673" s="165"/>
      <c r="R1673" s="165"/>
      <c r="S1673" s="165"/>
      <c r="T1673" s="165"/>
    </row>
    <row r="1674">
      <c r="A1674" s="165"/>
      <c r="B1674" s="165"/>
      <c r="C1674" s="165"/>
      <c r="D1674" s="165"/>
      <c r="E1674" s="166"/>
      <c r="F1674" s="165"/>
      <c r="G1674" s="167"/>
      <c r="H1674" s="166"/>
      <c r="I1674" s="167"/>
      <c r="J1674" s="168"/>
      <c r="K1674" s="169"/>
      <c r="L1674" s="165"/>
      <c r="M1674" s="165"/>
      <c r="N1674" s="165"/>
      <c r="O1674" s="165"/>
      <c r="P1674" s="165"/>
      <c r="Q1674" s="165"/>
      <c r="R1674" s="165"/>
      <c r="S1674" s="165"/>
      <c r="T1674" s="165"/>
    </row>
    <row r="1675">
      <c r="A1675" s="165"/>
      <c r="B1675" s="165"/>
      <c r="C1675" s="165"/>
      <c r="D1675" s="165"/>
      <c r="E1675" s="166"/>
      <c r="F1675" s="165"/>
      <c r="G1675" s="167"/>
      <c r="H1675" s="166"/>
      <c r="I1675" s="167"/>
      <c r="J1675" s="168"/>
      <c r="K1675" s="169"/>
      <c r="L1675" s="165"/>
      <c r="M1675" s="165"/>
      <c r="N1675" s="165"/>
      <c r="O1675" s="165"/>
      <c r="P1675" s="165"/>
      <c r="Q1675" s="165"/>
      <c r="R1675" s="165"/>
      <c r="S1675" s="165"/>
      <c r="T1675" s="165"/>
    </row>
    <row r="1676">
      <c r="A1676" s="165"/>
      <c r="B1676" s="165"/>
      <c r="C1676" s="165"/>
      <c r="D1676" s="165"/>
      <c r="E1676" s="166"/>
      <c r="F1676" s="165"/>
      <c r="G1676" s="167"/>
      <c r="H1676" s="166"/>
      <c r="I1676" s="167"/>
      <c r="J1676" s="168"/>
      <c r="K1676" s="169"/>
      <c r="L1676" s="165"/>
      <c r="M1676" s="165"/>
      <c r="N1676" s="165"/>
      <c r="O1676" s="165"/>
      <c r="P1676" s="165"/>
      <c r="Q1676" s="165"/>
      <c r="R1676" s="165"/>
      <c r="S1676" s="165"/>
      <c r="T1676" s="165"/>
    </row>
    <row r="1677">
      <c r="A1677" s="165"/>
      <c r="B1677" s="165"/>
      <c r="C1677" s="165"/>
      <c r="D1677" s="165"/>
      <c r="E1677" s="166"/>
      <c r="F1677" s="165"/>
      <c r="G1677" s="167"/>
      <c r="H1677" s="166"/>
      <c r="I1677" s="167"/>
      <c r="J1677" s="168"/>
      <c r="K1677" s="169"/>
      <c r="L1677" s="165"/>
      <c r="M1677" s="165"/>
      <c r="N1677" s="165"/>
      <c r="O1677" s="165"/>
      <c r="P1677" s="165"/>
      <c r="Q1677" s="165"/>
      <c r="R1677" s="165"/>
      <c r="S1677" s="165"/>
      <c r="T1677" s="165"/>
    </row>
    <row r="1678">
      <c r="A1678" s="165"/>
      <c r="B1678" s="165"/>
      <c r="C1678" s="165"/>
      <c r="D1678" s="165"/>
      <c r="E1678" s="166"/>
      <c r="F1678" s="165"/>
      <c r="G1678" s="167"/>
      <c r="H1678" s="166"/>
      <c r="I1678" s="167"/>
      <c r="J1678" s="168"/>
      <c r="K1678" s="169"/>
      <c r="L1678" s="165"/>
      <c r="M1678" s="165"/>
      <c r="N1678" s="165"/>
      <c r="O1678" s="165"/>
      <c r="P1678" s="165"/>
      <c r="Q1678" s="165"/>
      <c r="R1678" s="165"/>
      <c r="S1678" s="165"/>
      <c r="T1678" s="165"/>
    </row>
    <row r="1679">
      <c r="A1679" s="165"/>
      <c r="B1679" s="165"/>
      <c r="C1679" s="165"/>
      <c r="D1679" s="165"/>
      <c r="E1679" s="166"/>
      <c r="F1679" s="165"/>
      <c r="G1679" s="167"/>
      <c r="H1679" s="166"/>
      <c r="I1679" s="167"/>
      <c r="J1679" s="168"/>
      <c r="K1679" s="169"/>
      <c r="L1679" s="165"/>
      <c r="M1679" s="165"/>
      <c r="N1679" s="165"/>
      <c r="O1679" s="165"/>
      <c r="P1679" s="165"/>
      <c r="Q1679" s="165"/>
      <c r="R1679" s="165"/>
      <c r="S1679" s="165"/>
      <c r="T1679" s="165"/>
    </row>
    <row r="1680">
      <c r="A1680" s="165"/>
      <c r="B1680" s="165"/>
      <c r="C1680" s="165"/>
      <c r="D1680" s="165"/>
      <c r="E1680" s="166"/>
      <c r="F1680" s="165"/>
      <c r="G1680" s="167"/>
      <c r="H1680" s="166"/>
      <c r="I1680" s="167"/>
      <c r="J1680" s="168"/>
      <c r="K1680" s="169"/>
      <c r="L1680" s="165"/>
      <c r="M1680" s="165"/>
      <c r="N1680" s="165"/>
      <c r="O1680" s="165"/>
      <c r="P1680" s="165"/>
      <c r="Q1680" s="165"/>
      <c r="R1680" s="165"/>
      <c r="S1680" s="165"/>
      <c r="T1680" s="165"/>
    </row>
    <row r="1681">
      <c r="A1681" s="165"/>
      <c r="B1681" s="165"/>
      <c r="C1681" s="165"/>
      <c r="D1681" s="165"/>
      <c r="E1681" s="166"/>
      <c r="F1681" s="165"/>
      <c r="G1681" s="167"/>
      <c r="H1681" s="166"/>
      <c r="I1681" s="167"/>
      <c r="J1681" s="168"/>
      <c r="K1681" s="169"/>
      <c r="L1681" s="165"/>
      <c r="M1681" s="165"/>
      <c r="N1681" s="165"/>
      <c r="O1681" s="165"/>
      <c r="P1681" s="165"/>
      <c r="Q1681" s="165"/>
      <c r="R1681" s="165"/>
      <c r="S1681" s="165"/>
      <c r="T1681" s="165"/>
    </row>
    <row r="1682">
      <c r="A1682" s="165"/>
      <c r="B1682" s="165"/>
      <c r="C1682" s="165"/>
      <c r="D1682" s="165"/>
      <c r="E1682" s="166"/>
      <c r="F1682" s="165"/>
      <c r="G1682" s="167"/>
      <c r="H1682" s="166"/>
      <c r="I1682" s="167"/>
      <c r="J1682" s="168"/>
      <c r="K1682" s="169"/>
      <c r="L1682" s="165"/>
      <c r="M1682" s="165"/>
      <c r="N1682" s="165"/>
      <c r="O1682" s="165"/>
      <c r="P1682" s="165"/>
      <c r="Q1682" s="165"/>
      <c r="R1682" s="165"/>
      <c r="S1682" s="165"/>
      <c r="T1682" s="165"/>
    </row>
    <row r="1683">
      <c r="A1683" s="165"/>
      <c r="B1683" s="165"/>
      <c r="C1683" s="165"/>
      <c r="D1683" s="165"/>
      <c r="E1683" s="166"/>
      <c r="F1683" s="165"/>
      <c r="G1683" s="167"/>
      <c r="H1683" s="166"/>
      <c r="I1683" s="167"/>
      <c r="J1683" s="168"/>
      <c r="K1683" s="169"/>
      <c r="L1683" s="165"/>
      <c r="M1683" s="165"/>
      <c r="N1683" s="165"/>
      <c r="O1683" s="165"/>
      <c r="P1683" s="165"/>
      <c r="Q1683" s="165"/>
      <c r="R1683" s="165"/>
      <c r="S1683" s="165"/>
      <c r="T1683" s="165"/>
    </row>
    <row r="1684">
      <c r="A1684" s="165"/>
      <c r="B1684" s="165"/>
      <c r="C1684" s="165"/>
      <c r="D1684" s="165"/>
      <c r="E1684" s="166"/>
      <c r="F1684" s="165"/>
      <c r="G1684" s="167"/>
      <c r="H1684" s="166"/>
      <c r="I1684" s="167"/>
      <c r="J1684" s="168"/>
      <c r="K1684" s="169"/>
      <c r="L1684" s="165"/>
      <c r="M1684" s="165"/>
      <c r="N1684" s="165"/>
      <c r="O1684" s="165"/>
      <c r="P1684" s="165"/>
      <c r="Q1684" s="165"/>
      <c r="R1684" s="165"/>
      <c r="S1684" s="165"/>
      <c r="T1684" s="165"/>
    </row>
    <row r="1685">
      <c r="A1685" s="165"/>
      <c r="B1685" s="165"/>
      <c r="C1685" s="165"/>
      <c r="D1685" s="165"/>
      <c r="E1685" s="166"/>
      <c r="F1685" s="165"/>
      <c r="G1685" s="167"/>
      <c r="H1685" s="166"/>
      <c r="I1685" s="167"/>
      <c r="J1685" s="168"/>
      <c r="K1685" s="169"/>
      <c r="L1685" s="165"/>
      <c r="M1685" s="165"/>
      <c r="N1685" s="165"/>
      <c r="O1685" s="165"/>
      <c r="P1685" s="165"/>
      <c r="Q1685" s="165"/>
      <c r="R1685" s="165"/>
      <c r="S1685" s="165"/>
      <c r="T1685" s="165"/>
    </row>
    <row r="1686">
      <c r="A1686" s="165"/>
      <c r="B1686" s="165"/>
      <c r="C1686" s="165"/>
      <c r="D1686" s="165"/>
      <c r="E1686" s="166"/>
      <c r="F1686" s="165"/>
      <c r="G1686" s="167"/>
      <c r="H1686" s="166"/>
      <c r="I1686" s="167"/>
      <c r="J1686" s="168"/>
      <c r="K1686" s="169"/>
      <c r="L1686" s="165"/>
      <c r="M1686" s="165"/>
      <c r="N1686" s="165"/>
      <c r="O1686" s="165"/>
      <c r="P1686" s="165"/>
      <c r="Q1686" s="165"/>
      <c r="R1686" s="165"/>
      <c r="S1686" s="165"/>
      <c r="T1686" s="165"/>
    </row>
    <row r="1687">
      <c r="A1687" s="165"/>
      <c r="B1687" s="165"/>
      <c r="C1687" s="165"/>
      <c r="D1687" s="165"/>
      <c r="E1687" s="166"/>
      <c r="F1687" s="165"/>
      <c r="G1687" s="167"/>
      <c r="H1687" s="166"/>
      <c r="I1687" s="167"/>
      <c r="J1687" s="168"/>
      <c r="K1687" s="169"/>
      <c r="L1687" s="165"/>
      <c r="M1687" s="165"/>
      <c r="N1687" s="165"/>
      <c r="O1687" s="165"/>
      <c r="P1687" s="165"/>
      <c r="Q1687" s="165"/>
      <c r="R1687" s="165"/>
      <c r="S1687" s="165"/>
      <c r="T1687" s="165"/>
    </row>
    <row r="1688">
      <c r="A1688" s="165"/>
      <c r="B1688" s="165"/>
      <c r="C1688" s="165"/>
      <c r="D1688" s="165"/>
      <c r="E1688" s="166"/>
      <c r="F1688" s="165"/>
      <c r="G1688" s="167"/>
      <c r="H1688" s="166"/>
      <c r="I1688" s="167"/>
      <c r="J1688" s="168"/>
      <c r="K1688" s="169"/>
      <c r="L1688" s="165"/>
      <c r="M1688" s="165"/>
      <c r="N1688" s="165"/>
      <c r="O1688" s="165"/>
      <c r="P1688" s="165"/>
      <c r="Q1688" s="165"/>
      <c r="R1688" s="165"/>
      <c r="S1688" s="165"/>
      <c r="T1688" s="165"/>
    </row>
    <row r="1689">
      <c r="A1689" s="165"/>
      <c r="B1689" s="165"/>
      <c r="C1689" s="165"/>
      <c r="D1689" s="165"/>
      <c r="E1689" s="166"/>
      <c r="F1689" s="165"/>
      <c r="G1689" s="167"/>
      <c r="H1689" s="166"/>
      <c r="I1689" s="167"/>
      <c r="J1689" s="168"/>
      <c r="K1689" s="169"/>
      <c r="L1689" s="165"/>
      <c r="M1689" s="165"/>
      <c r="N1689" s="165"/>
      <c r="O1689" s="165"/>
      <c r="P1689" s="165"/>
      <c r="Q1689" s="165"/>
      <c r="R1689" s="165"/>
      <c r="S1689" s="165"/>
      <c r="T1689" s="165"/>
    </row>
    <row r="1690">
      <c r="A1690" s="165"/>
      <c r="B1690" s="165"/>
      <c r="C1690" s="165"/>
      <c r="D1690" s="165"/>
      <c r="E1690" s="166"/>
      <c r="F1690" s="165"/>
      <c r="G1690" s="167"/>
      <c r="H1690" s="166"/>
      <c r="I1690" s="167"/>
      <c r="J1690" s="168"/>
      <c r="K1690" s="169"/>
      <c r="L1690" s="165"/>
      <c r="M1690" s="165"/>
      <c r="N1690" s="165"/>
      <c r="O1690" s="165"/>
      <c r="P1690" s="165"/>
      <c r="Q1690" s="165"/>
      <c r="R1690" s="165"/>
      <c r="S1690" s="165"/>
      <c r="T1690" s="165"/>
    </row>
    <row r="1691">
      <c r="A1691" s="165"/>
      <c r="B1691" s="165"/>
      <c r="C1691" s="165"/>
      <c r="D1691" s="165"/>
      <c r="E1691" s="166"/>
      <c r="F1691" s="165"/>
      <c r="G1691" s="167"/>
      <c r="H1691" s="166"/>
      <c r="I1691" s="167"/>
      <c r="J1691" s="168"/>
      <c r="K1691" s="169"/>
      <c r="L1691" s="165"/>
      <c r="M1691" s="165"/>
      <c r="N1691" s="165"/>
      <c r="O1691" s="165"/>
      <c r="P1691" s="165"/>
      <c r="Q1691" s="165"/>
      <c r="R1691" s="165"/>
      <c r="S1691" s="165"/>
      <c r="T1691" s="165"/>
    </row>
    <row r="1692">
      <c r="A1692" s="165"/>
      <c r="B1692" s="165"/>
      <c r="C1692" s="165"/>
      <c r="D1692" s="165"/>
      <c r="E1692" s="166"/>
      <c r="F1692" s="165"/>
      <c r="G1692" s="167"/>
      <c r="H1692" s="166"/>
      <c r="I1692" s="167"/>
      <c r="J1692" s="168"/>
      <c r="K1692" s="169"/>
      <c r="L1692" s="165"/>
      <c r="M1692" s="165"/>
      <c r="N1692" s="165"/>
      <c r="O1692" s="165"/>
      <c r="P1692" s="165"/>
      <c r="Q1692" s="165"/>
      <c r="R1692" s="165"/>
      <c r="S1692" s="165"/>
      <c r="T1692" s="165"/>
    </row>
    <row r="1693">
      <c r="A1693" s="165"/>
      <c r="B1693" s="165"/>
      <c r="C1693" s="165"/>
      <c r="D1693" s="165"/>
      <c r="E1693" s="166"/>
      <c r="F1693" s="165"/>
      <c r="G1693" s="167"/>
      <c r="H1693" s="166"/>
      <c r="I1693" s="167"/>
      <c r="J1693" s="168"/>
      <c r="K1693" s="169"/>
      <c r="L1693" s="165"/>
      <c r="M1693" s="165"/>
      <c r="N1693" s="165"/>
      <c r="O1693" s="165"/>
      <c r="P1693" s="165"/>
      <c r="Q1693" s="165"/>
      <c r="R1693" s="165"/>
      <c r="S1693" s="165"/>
      <c r="T1693" s="165"/>
    </row>
    <row r="1694">
      <c r="A1694" s="165"/>
      <c r="B1694" s="165"/>
      <c r="C1694" s="165"/>
      <c r="D1694" s="165"/>
      <c r="E1694" s="166"/>
      <c r="F1694" s="165"/>
      <c r="G1694" s="167"/>
      <c r="H1694" s="166"/>
      <c r="I1694" s="167"/>
      <c r="J1694" s="168"/>
      <c r="K1694" s="169"/>
      <c r="L1694" s="165"/>
      <c r="M1694" s="165"/>
      <c r="N1694" s="165"/>
      <c r="O1694" s="165"/>
      <c r="P1694" s="165"/>
      <c r="Q1694" s="165"/>
      <c r="R1694" s="165"/>
      <c r="S1694" s="165"/>
      <c r="T1694" s="165"/>
    </row>
    <row r="1695">
      <c r="A1695" s="165"/>
      <c r="B1695" s="165"/>
      <c r="C1695" s="165"/>
      <c r="D1695" s="165"/>
      <c r="E1695" s="166"/>
      <c r="F1695" s="165"/>
      <c r="G1695" s="167"/>
      <c r="H1695" s="166"/>
      <c r="I1695" s="167"/>
      <c r="J1695" s="168"/>
      <c r="K1695" s="169"/>
      <c r="L1695" s="165"/>
      <c r="M1695" s="165"/>
      <c r="N1695" s="165"/>
      <c r="O1695" s="165"/>
      <c r="P1695" s="165"/>
      <c r="Q1695" s="165"/>
      <c r="R1695" s="165"/>
      <c r="S1695" s="165"/>
      <c r="T1695" s="165"/>
    </row>
    <row r="1696">
      <c r="A1696" s="165"/>
      <c r="B1696" s="165"/>
      <c r="C1696" s="165"/>
      <c r="D1696" s="165"/>
      <c r="E1696" s="166"/>
      <c r="F1696" s="165"/>
      <c r="G1696" s="167"/>
      <c r="H1696" s="166"/>
      <c r="I1696" s="167"/>
      <c r="J1696" s="168"/>
      <c r="K1696" s="169"/>
      <c r="L1696" s="165"/>
      <c r="M1696" s="165"/>
      <c r="N1696" s="165"/>
      <c r="O1696" s="165"/>
      <c r="P1696" s="165"/>
      <c r="Q1696" s="165"/>
      <c r="R1696" s="165"/>
      <c r="S1696" s="165"/>
      <c r="T1696" s="165"/>
    </row>
    <row r="1697">
      <c r="A1697" s="165"/>
      <c r="B1697" s="165"/>
      <c r="C1697" s="165"/>
      <c r="D1697" s="165"/>
      <c r="E1697" s="166"/>
      <c r="F1697" s="165"/>
      <c r="G1697" s="167"/>
      <c r="H1697" s="166"/>
      <c r="I1697" s="167"/>
      <c r="J1697" s="168"/>
      <c r="K1697" s="169"/>
      <c r="L1697" s="165"/>
      <c r="M1697" s="165"/>
      <c r="N1697" s="165"/>
      <c r="O1697" s="165"/>
      <c r="P1697" s="165"/>
      <c r="Q1697" s="165"/>
      <c r="R1697" s="165"/>
      <c r="S1697" s="165"/>
      <c r="T1697" s="165"/>
    </row>
    <row r="1698">
      <c r="A1698" s="165"/>
      <c r="B1698" s="165"/>
      <c r="C1698" s="165"/>
      <c r="D1698" s="165"/>
      <c r="E1698" s="166"/>
      <c r="F1698" s="165"/>
      <c r="G1698" s="167"/>
      <c r="H1698" s="166"/>
      <c r="I1698" s="167"/>
      <c r="J1698" s="168"/>
      <c r="K1698" s="169"/>
      <c r="L1698" s="165"/>
      <c r="M1698" s="165"/>
      <c r="N1698" s="165"/>
      <c r="O1698" s="165"/>
      <c r="P1698" s="165"/>
      <c r="Q1698" s="165"/>
      <c r="R1698" s="165"/>
      <c r="S1698" s="165"/>
      <c r="T1698" s="165"/>
    </row>
    <row r="1699">
      <c r="A1699" s="165"/>
      <c r="B1699" s="165"/>
      <c r="C1699" s="165"/>
      <c r="D1699" s="165"/>
      <c r="E1699" s="166"/>
      <c r="F1699" s="165"/>
      <c r="G1699" s="167"/>
      <c r="H1699" s="166"/>
      <c r="I1699" s="167"/>
      <c r="J1699" s="168"/>
      <c r="K1699" s="169"/>
      <c r="L1699" s="165"/>
      <c r="M1699" s="165"/>
      <c r="N1699" s="165"/>
      <c r="O1699" s="165"/>
      <c r="P1699" s="165"/>
      <c r="Q1699" s="165"/>
      <c r="R1699" s="165"/>
      <c r="S1699" s="165"/>
      <c r="T1699" s="165"/>
    </row>
    <row r="1700">
      <c r="A1700" s="165"/>
      <c r="B1700" s="165"/>
      <c r="C1700" s="165"/>
      <c r="D1700" s="165"/>
      <c r="E1700" s="166"/>
      <c r="F1700" s="165"/>
      <c r="G1700" s="167"/>
      <c r="H1700" s="166"/>
      <c r="I1700" s="167"/>
      <c r="J1700" s="168"/>
      <c r="K1700" s="169"/>
      <c r="L1700" s="165"/>
      <c r="M1700" s="165"/>
      <c r="N1700" s="165"/>
      <c r="O1700" s="165"/>
      <c r="P1700" s="165"/>
      <c r="Q1700" s="165"/>
      <c r="R1700" s="165"/>
      <c r="S1700" s="165"/>
      <c r="T1700" s="165"/>
    </row>
    <row r="1701">
      <c r="A1701" s="165"/>
      <c r="B1701" s="165"/>
      <c r="C1701" s="165"/>
      <c r="D1701" s="165"/>
      <c r="E1701" s="166"/>
      <c r="F1701" s="165"/>
      <c r="G1701" s="167"/>
      <c r="H1701" s="166"/>
      <c r="I1701" s="167"/>
      <c r="J1701" s="168"/>
      <c r="K1701" s="169"/>
      <c r="L1701" s="165"/>
      <c r="M1701" s="165"/>
      <c r="N1701" s="165"/>
      <c r="O1701" s="165"/>
      <c r="P1701" s="165"/>
      <c r="Q1701" s="165"/>
      <c r="R1701" s="165"/>
      <c r="S1701" s="165"/>
      <c r="T1701" s="165"/>
    </row>
    <row r="1702">
      <c r="A1702" s="165"/>
      <c r="B1702" s="165"/>
      <c r="C1702" s="165"/>
      <c r="D1702" s="165"/>
      <c r="E1702" s="166"/>
      <c r="F1702" s="165"/>
      <c r="G1702" s="167"/>
      <c r="H1702" s="166"/>
      <c r="I1702" s="167"/>
      <c r="J1702" s="168"/>
      <c r="K1702" s="169"/>
      <c r="L1702" s="165"/>
      <c r="M1702" s="165"/>
      <c r="N1702" s="165"/>
      <c r="O1702" s="165"/>
      <c r="P1702" s="165"/>
      <c r="Q1702" s="165"/>
      <c r="R1702" s="165"/>
      <c r="S1702" s="165"/>
      <c r="T1702" s="165"/>
    </row>
    <row r="1703">
      <c r="A1703" s="165"/>
      <c r="B1703" s="165"/>
      <c r="C1703" s="165"/>
      <c r="D1703" s="165"/>
      <c r="E1703" s="166"/>
      <c r="F1703" s="165"/>
      <c r="G1703" s="167"/>
      <c r="H1703" s="166"/>
      <c r="I1703" s="167"/>
      <c r="J1703" s="168"/>
      <c r="K1703" s="169"/>
      <c r="L1703" s="165"/>
      <c r="M1703" s="165"/>
      <c r="N1703" s="165"/>
      <c r="O1703" s="165"/>
      <c r="P1703" s="165"/>
      <c r="Q1703" s="165"/>
      <c r="R1703" s="165"/>
      <c r="S1703" s="165"/>
      <c r="T1703" s="165"/>
    </row>
    <row r="1704">
      <c r="A1704" s="165"/>
      <c r="B1704" s="165"/>
      <c r="C1704" s="165"/>
      <c r="D1704" s="165"/>
      <c r="E1704" s="166"/>
      <c r="F1704" s="165"/>
      <c r="G1704" s="167"/>
      <c r="H1704" s="166"/>
      <c r="I1704" s="167"/>
      <c r="J1704" s="168"/>
      <c r="K1704" s="169"/>
      <c r="L1704" s="165"/>
      <c r="M1704" s="165"/>
      <c r="N1704" s="165"/>
      <c r="O1704" s="165"/>
      <c r="P1704" s="165"/>
      <c r="Q1704" s="165"/>
      <c r="R1704" s="165"/>
      <c r="S1704" s="165"/>
      <c r="T1704" s="165"/>
    </row>
    <row r="1705">
      <c r="A1705" s="165"/>
      <c r="B1705" s="165"/>
      <c r="C1705" s="165"/>
      <c r="D1705" s="165"/>
      <c r="E1705" s="166"/>
      <c r="F1705" s="165"/>
      <c r="G1705" s="167"/>
      <c r="H1705" s="166"/>
      <c r="I1705" s="167"/>
      <c r="J1705" s="168"/>
      <c r="K1705" s="169"/>
      <c r="L1705" s="165"/>
      <c r="M1705" s="165"/>
      <c r="N1705" s="165"/>
      <c r="O1705" s="165"/>
      <c r="P1705" s="165"/>
      <c r="Q1705" s="165"/>
      <c r="R1705" s="165"/>
      <c r="S1705" s="165"/>
      <c r="T1705" s="165"/>
    </row>
    <row r="1706">
      <c r="A1706" s="165"/>
      <c r="B1706" s="165"/>
      <c r="C1706" s="165"/>
      <c r="D1706" s="165"/>
      <c r="E1706" s="166"/>
      <c r="F1706" s="165"/>
      <c r="G1706" s="167"/>
      <c r="H1706" s="166"/>
      <c r="I1706" s="167"/>
      <c r="J1706" s="168"/>
      <c r="K1706" s="169"/>
      <c r="L1706" s="165"/>
      <c r="M1706" s="165"/>
      <c r="N1706" s="165"/>
      <c r="O1706" s="165"/>
      <c r="P1706" s="165"/>
      <c r="Q1706" s="165"/>
      <c r="R1706" s="165"/>
      <c r="S1706" s="165"/>
      <c r="T1706" s="165"/>
    </row>
    <row r="1707">
      <c r="A1707" s="165"/>
      <c r="B1707" s="165"/>
      <c r="C1707" s="165"/>
      <c r="D1707" s="165"/>
      <c r="E1707" s="166"/>
      <c r="F1707" s="165"/>
      <c r="G1707" s="167"/>
      <c r="H1707" s="166"/>
      <c r="I1707" s="167"/>
      <c r="J1707" s="168"/>
      <c r="K1707" s="169"/>
      <c r="L1707" s="165"/>
      <c r="M1707" s="165"/>
      <c r="N1707" s="165"/>
      <c r="O1707" s="165"/>
      <c r="P1707" s="165"/>
      <c r="Q1707" s="165"/>
      <c r="R1707" s="165"/>
      <c r="S1707" s="165"/>
      <c r="T1707" s="165"/>
    </row>
    <row r="1708">
      <c r="A1708" s="165"/>
      <c r="B1708" s="165"/>
      <c r="C1708" s="165"/>
      <c r="D1708" s="165"/>
      <c r="E1708" s="166"/>
      <c r="F1708" s="165"/>
      <c r="G1708" s="167"/>
      <c r="H1708" s="166"/>
      <c r="I1708" s="167"/>
      <c r="J1708" s="168"/>
      <c r="K1708" s="169"/>
      <c r="L1708" s="165"/>
      <c r="M1708" s="165"/>
      <c r="N1708" s="165"/>
      <c r="O1708" s="165"/>
      <c r="P1708" s="165"/>
      <c r="Q1708" s="165"/>
      <c r="R1708" s="165"/>
      <c r="S1708" s="165"/>
      <c r="T1708" s="165"/>
    </row>
    <row r="1709">
      <c r="A1709" s="165"/>
      <c r="B1709" s="165"/>
      <c r="C1709" s="165"/>
      <c r="D1709" s="165"/>
      <c r="E1709" s="166"/>
      <c r="F1709" s="165"/>
      <c r="G1709" s="167"/>
      <c r="H1709" s="166"/>
      <c r="I1709" s="167"/>
      <c r="J1709" s="168"/>
      <c r="K1709" s="169"/>
      <c r="L1709" s="165"/>
      <c r="M1709" s="165"/>
      <c r="N1709" s="165"/>
      <c r="O1709" s="165"/>
      <c r="P1709" s="165"/>
      <c r="Q1709" s="165"/>
      <c r="R1709" s="165"/>
      <c r="S1709" s="165"/>
      <c r="T1709" s="165"/>
    </row>
    <row r="1710">
      <c r="A1710" s="165"/>
      <c r="B1710" s="165"/>
      <c r="C1710" s="165"/>
      <c r="D1710" s="165"/>
      <c r="E1710" s="166"/>
      <c r="F1710" s="165"/>
      <c r="G1710" s="167"/>
      <c r="H1710" s="166"/>
      <c r="I1710" s="167"/>
      <c r="J1710" s="168"/>
      <c r="K1710" s="169"/>
      <c r="L1710" s="165"/>
      <c r="M1710" s="165"/>
      <c r="N1710" s="165"/>
      <c r="O1710" s="165"/>
      <c r="P1710" s="165"/>
      <c r="Q1710" s="165"/>
      <c r="R1710" s="165"/>
      <c r="S1710" s="165"/>
      <c r="T1710" s="165"/>
    </row>
    <row r="1711">
      <c r="A1711" s="165"/>
      <c r="B1711" s="165"/>
      <c r="C1711" s="165"/>
      <c r="D1711" s="165"/>
      <c r="E1711" s="166"/>
      <c r="F1711" s="165"/>
      <c r="G1711" s="167"/>
      <c r="H1711" s="166"/>
      <c r="I1711" s="167"/>
      <c r="J1711" s="168"/>
      <c r="K1711" s="169"/>
      <c r="L1711" s="165"/>
      <c r="M1711" s="165"/>
      <c r="N1711" s="165"/>
      <c r="O1711" s="165"/>
      <c r="P1711" s="165"/>
      <c r="Q1711" s="165"/>
      <c r="R1711" s="165"/>
      <c r="S1711" s="165"/>
      <c r="T1711" s="165"/>
    </row>
    <row r="1712">
      <c r="A1712" s="165"/>
      <c r="B1712" s="165"/>
      <c r="C1712" s="165"/>
      <c r="D1712" s="165"/>
      <c r="E1712" s="166"/>
      <c r="F1712" s="165"/>
      <c r="G1712" s="167"/>
      <c r="H1712" s="166"/>
      <c r="I1712" s="167"/>
      <c r="J1712" s="168"/>
      <c r="K1712" s="169"/>
      <c r="L1712" s="165"/>
      <c r="M1712" s="165"/>
      <c r="N1712" s="165"/>
      <c r="O1712" s="165"/>
      <c r="P1712" s="165"/>
      <c r="Q1712" s="165"/>
      <c r="R1712" s="165"/>
      <c r="S1712" s="165"/>
      <c r="T1712" s="165"/>
    </row>
    <row r="1713">
      <c r="A1713" s="165"/>
      <c r="B1713" s="165"/>
      <c r="C1713" s="165"/>
      <c r="D1713" s="165"/>
      <c r="E1713" s="166"/>
      <c r="F1713" s="165"/>
      <c r="G1713" s="167"/>
      <c r="H1713" s="166"/>
      <c r="I1713" s="167"/>
      <c r="J1713" s="168"/>
      <c r="K1713" s="169"/>
      <c r="L1713" s="165"/>
      <c r="M1713" s="165"/>
      <c r="N1713" s="165"/>
      <c r="O1713" s="165"/>
      <c r="P1713" s="165"/>
      <c r="Q1713" s="165"/>
      <c r="R1713" s="165"/>
      <c r="S1713" s="165"/>
      <c r="T1713" s="165"/>
    </row>
    <row r="1714">
      <c r="A1714" s="165"/>
      <c r="B1714" s="165"/>
      <c r="C1714" s="165"/>
      <c r="D1714" s="165"/>
      <c r="E1714" s="166"/>
      <c r="F1714" s="165"/>
      <c r="G1714" s="167"/>
      <c r="H1714" s="166"/>
      <c r="I1714" s="167"/>
      <c r="J1714" s="168"/>
      <c r="K1714" s="169"/>
      <c r="L1714" s="165"/>
      <c r="M1714" s="165"/>
      <c r="N1714" s="165"/>
      <c r="O1714" s="165"/>
      <c r="P1714" s="165"/>
      <c r="Q1714" s="165"/>
      <c r="R1714" s="165"/>
      <c r="S1714" s="165"/>
      <c r="T1714" s="165"/>
    </row>
    <row r="1715">
      <c r="A1715" s="165"/>
      <c r="B1715" s="165"/>
      <c r="C1715" s="165"/>
      <c r="D1715" s="165"/>
      <c r="E1715" s="166"/>
      <c r="F1715" s="165"/>
      <c r="G1715" s="167"/>
      <c r="H1715" s="166"/>
      <c r="I1715" s="167"/>
      <c r="J1715" s="168"/>
      <c r="K1715" s="169"/>
      <c r="L1715" s="165"/>
      <c r="M1715" s="165"/>
      <c r="N1715" s="165"/>
      <c r="O1715" s="165"/>
      <c r="P1715" s="165"/>
      <c r="Q1715" s="165"/>
      <c r="R1715" s="165"/>
      <c r="S1715" s="165"/>
      <c r="T1715" s="165"/>
    </row>
    <row r="1716">
      <c r="A1716" s="165"/>
      <c r="B1716" s="165"/>
      <c r="C1716" s="165"/>
      <c r="D1716" s="165"/>
      <c r="E1716" s="166"/>
      <c r="F1716" s="165"/>
      <c r="G1716" s="167"/>
      <c r="H1716" s="166"/>
      <c r="I1716" s="167"/>
      <c r="J1716" s="168"/>
      <c r="K1716" s="169"/>
      <c r="L1716" s="165"/>
      <c r="M1716" s="165"/>
      <c r="N1716" s="165"/>
      <c r="O1716" s="165"/>
      <c r="P1716" s="165"/>
      <c r="Q1716" s="165"/>
      <c r="R1716" s="165"/>
      <c r="S1716" s="165"/>
      <c r="T1716" s="165"/>
    </row>
    <row r="1717">
      <c r="A1717" s="165"/>
      <c r="B1717" s="165"/>
      <c r="C1717" s="165"/>
      <c r="D1717" s="165"/>
      <c r="E1717" s="166"/>
      <c r="F1717" s="165"/>
      <c r="G1717" s="167"/>
      <c r="H1717" s="166"/>
      <c r="I1717" s="167"/>
      <c r="J1717" s="168"/>
      <c r="K1717" s="169"/>
      <c r="L1717" s="165"/>
      <c r="M1717" s="165"/>
      <c r="N1717" s="165"/>
      <c r="O1717" s="165"/>
      <c r="P1717" s="165"/>
      <c r="Q1717" s="165"/>
      <c r="R1717" s="165"/>
      <c r="S1717" s="165"/>
      <c r="T1717" s="165"/>
    </row>
    <row r="1718">
      <c r="A1718" s="165"/>
      <c r="B1718" s="165"/>
      <c r="C1718" s="165"/>
      <c r="D1718" s="165"/>
      <c r="E1718" s="166"/>
      <c r="F1718" s="165"/>
      <c r="G1718" s="167"/>
      <c r="H1718" s="166"/>
      <c r="I1718" s="167"/>
      <c r="J1718" s="168"/>
      <c r="K1718" s="169"/>
      <c r="L1718" s="165"/>
      <c r="M1718" s="165"/>
      <c r="N1718" s="165"/>
      <c r="O1718" s="165"/>
      <c r="P1718" s="165"/>
      <c r="Q1718" s="165"/>
      <c r="R1718" s="165"/>
      <c r="S1718" s="165"/>
      <c r="T1718" s="165"/>
    </row>
    <row r="1719">
      <c r="A1719" s="165"/>
      <c r="B1719" s="165"/>
      <c r="C1719" s="165"/>
      <c r="D1719" s="165"/>
      <c r="E1719" s="166"/>
      <c r="F1719" s="165"/>
      <c r="G1719" s="167"/>
      <c r="H1719" s="166"/>
      <c r="I1719" s="167"/>
      <c r="J1719" s="168"/>
      <c r="K1719" s="169"/>
      <c r="L1719" s="165"/>
      <c r="M1719" s="165"/>
      <c r="N1719" s="165"/>
      <c r="O1719" s="165"/>
      <c r="P1719" s="165"/>
      <c r="Q1719" s="165"/>
      <c r="R1719" s="165"/>
      <c r="S1719" s="165"/>
      <c r="T1719" s="165"/>
    </row>
    <row r="1720">
      <c r="A1720" s="165"/>
      <c r="B1720" s="165"/>
      <c r="C1720" s="165"/>
      <c r="D1720" s="165"/>
      <c r="E1720" s="166"/>
      <c r="F1720" s="165"/>
      <c r="G1720" s="167"/>
      <c r="H1720" s="166"/>
      <c r="I1720" s="167"/>
      <c r="J1720" s="168"/>
      <c r="K1720" s="169"/>
      <c r="L1720" s="165"/>
      <c r="M1720" s="165"/>
      <c r="N1720" s="165"/>
      <c r="O1720" s="165"/>
      <c r="P1720" s="165"/>
      <c r="Q1720" s="165"/>
      <c r="R1720" s="165"/>
      <c r="S1720" s="165"/>
      <c r="T1720" s="165"/>
    </row>
    <row r="1721">
      <c r="A1721" s="165"/>
      <c r="B1721" s="165"/>
      <c r="C1721" s="165"/>
      <c r="D1721" s="165"/>
      <c r="E1721" s="166"/>
      <c r="F1721" s="165"/>
      <c r="G1721" s="167"/>
      <c r="H1721" s="166"/>
      <c r="I1721" s="167"/>
      <c r="J1721" s="168"/>
      <c r="K1721" s="169"/>
      <c r="L1721" s="165"/>
      <c r="M1721" s="165"/>
      <c r="N1721" s="165"/>
      <c r="O1721" s="165"/>
      <c r="P1721" s="165"/>
      <c r="Q1721" s="165"/>
      <c r="R1721" s="165"/>
      <c r="S1721" s="165"/>
      <c r="T1721" s="165"/>
    </row>
    <row r="1722">
      <c r="A1722" s="165"/>
      <c r="B1722" s="165"/>
      <c r="C1722" s="165"/>
      <c r="D1722" s="165"/>
      <c r="E1722" s="166"/>
      <c r="F1722" s="165"/>
      <c r="G1722" s="167"/>
      <c r="H1722" s="166"/>
      <c r="I1722" s="167"/>
      <c r="J1722" s="168"/>
      <c r="K1722" s="169"/>
      <c r="L1722" s="165"/>
      <c r="M1722" s="165"/>
      <c r="N1722" s="165"/>
      <c r="O1722" s="165"/>
      <c r="P1722" s="165"/>
      <c r="Q1722" s="165"/>
      <c r="R1722" s="165"/>
      <c r="S1722" s="165"/>
      <c r="T1722" s="165"/>
    </row>
    <row r="1723">
      <c r="A1723" s="165"/>
      <c r="B1723" s="165"/>
      <c r="C1723" s="165"/>
      <c r="D1723" s="165"/>
      <c r="E1723" s="166"/>
      <c r="F1723" s="165"/>
      <c r="G1723" s="167"/>
      <c r="H1723" s="166"/>
      <c r="I1723" s="167"/>
      <c r="J1723" s="168"/>
      <c r="K1723" s="169"/>
      <c r="L1723" s="165"/>
      <c r="M1723" s="165"/>
      <c r="N1723" s="165"/>
      <c r="O1723" s="165"/>
      <c r="P1723" s="165"/>
      <c r="Q1723" s="165"/>
      <c r="R1723" s="165"/>
      <c r="S1723" s="165"/>
      <c r="T1723" s="165"/>
    </row>
    <row r="1724">
      <c r="A1724" s="165"/>
      <c r="B1724" s="165"/>
      <c r="C1724" s="165"/>
      <c r="D1724" s="165"/>
      <c r="E1724" s="166"/>
      <c r="F1724" s="165"/>
      <c r="G1724" s="167"/>
      <c r="H1724" s="166"/>
      <c r="I1724" s="167"/>
      <c r="J1724" s="168"/>
      <c r="K1724" s="169"/>
      <c r="L1724" s="165"/>
      <c r="M1724" s="165"/>
      <c r="N1724" s="165"/>
      <c r="O1724" s="165"/>
      <c r="P1724" s="165"/>
      <c r="Q1724" s="165"/>
      <c r="R1724" s="165"/>
      <c r="S1724" s="165"/>
      <c r="T1724" s="165"/>
    </row>
    <row r="1725">
      <c r="A1725" s="165"/>
      <c r="B1725" s="165"/>
      <c r="C1725" s="165"/>
      <c r="D1725" s="165"/>
      <c r="E1725" s="166"/>
      <c r="F1725" s="165"/>
      <c r="G1725" s="167"/>
      <c r="H1725" s="166"/>
      <c r="I1725" s="167"/>
      <c r="J1725" s="168"/>
      <c r="K1725" s="169"/>
      <c r="L1725" s="165"/>
      <c r="M1725" s="165"/>
      <c r="N1725" s="165"/>
      <c r="O1725" s="165"/>
      <c r="P1725" s="165"/>
      <c r="Q1725" s="165"/>
      <c r="R1725" s="165"/>
      <c r="S1725" s="165"/>
      <c r="T1725" s="165"/>
    </row>
    <row r="1726">
      <c r="A1726" s="165"/>
      <c r="B1726" s="165"/>
      <c r="C1726" s="165"/>
      <c r="D1726" s="165"/>
      <c r="E1726" s="166"/>
      <c r="F1726" s="165"/>
      <c r="G1726" s="167"/>
      <c r="H1726" s="166"/>
      <c r="I1726" s="167"/>
      <c r="J1726" s="168"/>
      <c r="K1726" s="169"/>
      <c r="L1726" s="165"/>
      <c r="M1726" s="165"/>
      <c r="N1726" s="165"/>
      <c r="O1726" s="165"/>
      <c r="P1726" s="165"/>
      <c r="Q1726" s="165"/>
      <c r="R1726" s="165"/>
      <c r="S1726" s="165"/>
      <c r="T1726" s="165"/>
    </row>
    <row r="1727">
      <c r="A1727" s="165"/>
      <c r="B1727" s="165"/>
      <c r="C1727" s="165"/>
      <c r="D1727" s="165"/>
      <c r="E1727" s="166"/>
      <c r="F1727" s="165"/>
      <c r="G1727" s="167"/>
      <c r="H1727" s="166"/>
      <c r="I1727" s="167"/>
      <c r="J1727" s="168"/>
      <c r="K1727" s="169"/>
      <c r="L1727" s="165"/>
      <c r="M1727" s="165"/>
      <c r="N1727" s="165"/>
      <c r="O1727" s="165"/>
      <c r="P1727" s="165"/>
      <c r="Q1727" s="165"/>
      <c r="R1727" s="165"/>
      <c r="S1727" s="165"/>
      <c r="T1727" s="165"/>
    </row>
    <row r="1728">
      <c r="A1728" s="165"/>
      <c r="B1728" s="165"/>
      <c r="C1728" s="165"/>
      <c r="D1728" s="165"/>
      <c r="E1728" s="166"/>
      <c r="F1728" s="165"/>
      <c r="G1728" s="167"/>
      <c r="H1728" s="166"/>
      <c r="I1728" s="167"/>
      <c r="J1728" s="168"/>
      <c r="K1728" s="169"/>
      <c r="L1728" s="165"/>
      <c r="M1728" s="165"/>
      <c r="N1728" s="165"/>
      <c r="O1728" s="165"/>
      <c r="P1728" s="165"/>
      <c r="Q1728" s="165"/>
      <c r="R1728" s="165"/>
      <c r="S1728" s="165"/>
      <c r="T1728" s="165"/>
    </row>
    <row r="1729">
      <c r="A1729" s="165"/>
      <c r="B1729" s="165"/>
      <c r="C1729" s="165"/>
      <c r="D1729" s="165"/>
      <c r="E1729" s="166"/>
      <c r="F1729" s="165"/>
      <c r="G1729" s="167"/>
      <c r="H1729" s="166"/>
      <c r="I1729" s="167"/>
      <c r="J1729" s="168"/>
      <c r="K1729" s="169"/>
      <c r="L1729" s="165"/>
      <c r="M1729" s="165"/>
      <c r="N1729" s="165"/>
      <c r="O1729" s="165"/>
      <c r="P1729" s="165"/>
      <c r="Q1729" s="165"/>
      <c r="R1729" s="165"/>
      <c r="S1729" s="165"/>
      <c r="T1729" s="165"/>
    </row>
    <row r="1730">
      <c r="A1730" s="165"/>
      <c r="B1730" s="165"/>
      <c r="C1730" s="165"/>
      <c r="D1730" s="165"/>
      <c r="E1730" s="166"/>
      <c r="F1730" s="165"/>
      <c r="G1730" s="167"/>
      <c r="H1730" s="166"/>
      <c r="I1730" s="167"/>
      <c r="J1730" s="168"/>
      <c r="K1730" s="169"/>
      <c r="L1730" s="165"/>
      <c r="M1730" s="165"/>
      <c r="N1730" s="165"/>
      <c r="O1730" s="165"/>
      <c r="P1730" s="165"/>
      <c r="Q1730" s="165"/>
      <c r="R1730" s="165"/>
      <c r="S1730" s="165"/>
      <c r="T1730" s="165"/>
    </row>
    <row r="1731">
      <c r="A1731" s="165"/>
      <c r="B1731" s="165"/>
      <c r="C1731" s="165"/>
      <c r="D1731" s="165"/>
      <c r="E1731" s="166"/>
      <c r="F1731" s="165"/>
      <c r="G1731" s="167"/>
      <c r="H1731" s="166"/>
      <c r="I1731" s="167"/>
      <c r="J1731" s="168"/>
      <c r="K1731" s="169"/>
      <c r="L1731" s="165"/>
      <c r="M1731" s="165"/>
      <c r="N1731" s="165"/>
      <c r="O1731" s="165"/>
      <c r="P1731" s="165"/>
      <c r="Q1731" s="165"/>
      <c r="R1731" s="165"/>
      <c r="S1731" s="165"/>
      <c r="T1731" s="165"/>
    </row>
    <row r="1732">
      <c r="A1732" s="165"/>
      <c r="B1732" s="165"/>
      <c r="C1732" s="165"/>
      <c r="D1732" s="165"/>
      <c r="E1732" s="166"/>
      <c r="F1732" s="165"/>
      <c r="G1732" s="167"/>
      <c r="H1732" s="166"/>
      <c r="I1732" s="167"/>
      <c r="J1732" s="168"/>
      <c r="K1732" s="169"/>
      <c r="L1732" s="165"/>
      <c r="M1732" s="165"/>
      <c r="N1732" s="165"/>
      <c r="O1732" s="165"/>
      <c r="P1732" s="165"/>
      <c r="Q1732" s="165"/>
      <c r="R1732" s="165"/>
      <c r="S1732" s="165"/>
      <c r="T1732" s="165"/>
    </row>
    <row r="1733">
      <c r="A1733" s="165"/>
      <c r="B1733" s="165"/>
      <c r="C1733" s="165"/>
      <c r="D1733" s="165"/>
      <c r="E1733" s="166"/>
      <c r="F1733" s="165"/>
      <c r="G1733" s="167"/>
      <c r="H1733" s="166"/>
      <c r="I1733" s="167"/>
      <c r="J1733" s="168"/>
      <c r="K1733" s="169"/>
      <c r="L1733" s="165"/>
      <c r="M1733" s="165"/>
      <c r="N1733" s="165"/>
      <c r="O1733" s="165"/>
      <c r="P1733" s="165"/>
      <c r="Q1733" s="165"/>
      <c r="R1733" s="165"/>
      <c r="S1733" s="165"/>
      <c r="T1733" s="165"/>
    </row>
    <row r="1734">
      <c r="A1734" s="165"/>
      <c r="B1734" s="165"/>
      <c r="C1734" s="165"/>
      <c r="D1734" s="165"/>
      <c r="E1734" s="166"/>
      <c r="F1734" s="165"/>
      <c r="G1734" s="167"/>
      <c r="H1734" s="166"/>
      <c r="I1734" s="167"/>
      <c r="J1734" s="168"/>
      <c r="K1734" s="169"/>
      <c r="L1734" s="165"/>
      <c r="M1734" s="165"/>
      <c r="N1734" s="165"/>
      <c r="O1734" s="165"/>
      <c r="P1734" s="165"/>
      <c r="Q1734" s="165"/>
      <c r="R1734" s="165"/>
      <c r="S1734" s="165"/>
      <c r="T1734" s="165"/>
    </row>
    <row r="1735">
      <c r="A1735" s="165"/>
      <c r="B1735" s="165"/>
      <c r="C1735" s="165"/>
      <c r="D1735" s="165"/>
      <c r="E1735" s="166"/>
      <c r="F1735" s="165"/>
      <c r="G1735" s="167"/>
      <c r="H1735" s="166"/>
      <c r="I1735" s="167"/>
      <c r="J1735" s="168"/>
      <c r="K1735" s="169"/>
      <c r="L1735" s="165"/>
      <c r="M1735" s="165"/>
      <c r="N1735" s="165"/>
      <c r="O1735" s="165"/>
      <c r="P1735" s="165"/>
      <c r="Q1735" s="165"/>
      <c r="R1735" s="165"/>
      <c r="S1735" s="165"/>
      <c r="T1735" s="165"/>
    </row>
    <row r="1736">
      <c r="A1736" s="165"/>
      <c r="B1736" s="165"/>
      <c r="C1736" s="165"/>
      <c r="D1736" s="165"/>
      <c r="E1736" s="166"/>
      <c r="F1736" s="165"/>
      <c r="G1736" s="167"/>
      <c r="H1736" s="166"/>
      <c r="I1736" s="167"/>
      <c r="J1736" s="168"/>
      <c r="K1736" s="169"/>
      <c r="L1736" s="165"/>
      <c r="M1736" s="165"/>
      <c r="N1736" s="165"/>
      <c r="O1736" s="165"/>
      <c r="P1736" s="165"/>
      <c r="Q1736" s="165"/>
      <c r="R1736" s="165"/>
      <c r="S1736" s="165"/>
      <c r="T1736" s="165"/>
    </row>
    <row r="1737">
      <c r="A1737" s="165"/>
      <c r="B1737" s="165"/>
      <c r="C1737" s="165"/>
      <c r="D1737" s="165"/>
      <c r="E1737" s="166"/>
      <c r="F1737" s="165"/>
      <c r="G1737" s="167"/>
      <c r="H1737" s="166"/>
      <c r="I1737" s="167"/>
      <c r="J1737" s="168"/>
      <c r="K1737" s="169"/>
      <c r="L1737" s="165"/>
      <c r="M1737" s="165"/>
      <c r="N1737" s="165"/>
      <c r="O1737" s="165"/>
      <c r="P1737" s="165"/>
      <c r="Q1737" s="165"/>
      <c r="R1737" s="165"/>
      <c r="S1737" s="165"/>
      <c r="T1737" s="165"/>
    </row>
    <row r="1738">
      <c r="A1738" s="165"/>
      <c r="B1738" s="165"/>
      <c r="C1738" s="165"/>
      <c r="D1738" s="165"/>
      <c r="E1738" s="166"/>
      <c r="F1738" s="165"/>
      <c r="G1738" s="167"/>
      <c r="H1738" s="166"/>
      <c r="I1738" s="167"/>
      <c r="J1738" s="168"/>
      <c r="K1738" s="169"/>
      <c r="L1738" s="165"/>
      <c r="M1738" s="165"/>
      <c r="N1738" s="165"/>
      <c r="O1738" s="165"/>
      <c r="P1738" s="165"/>
      <c r="Q1738" s="165"/>
      <c r="R1738" s="165"/>
      <c r="S1738" s="165"/>
      <c r="T1738" s="165"/>
    </row>
    <row r="1739">
      <c r="A1739" s="165"/>
      <c r="B1739" s="165"/>
      <c r="C1739" s="165"/>
      <c r="D1739" s="165"/>
      <c r="E1739" s="166"/>
      <c r="F1739" s="165"/>
      <c r="G1739" s="167"/>
      <c r="H1739" s="166"/>
      <c r="I1739" s="167"/>
      <c r="J1739" s="168"/>
      <c r="K1739" s="169"/>
      <c r="L1739" s="165"/>
      <c r="M1739" s="165"/>
      <c r="N1739" s="165"/>
      <c r="O1739" s="165"/>
      <c r="P1739" s="165"/>
      <c r="Q1739" s="165"/>
      <c r="R1739" s="165"/>
      <c r="S1739" s="165"/>
      <c r="T1739" s="165"/>
    </row>
    <row r="1740">
      <c r="A1740" s="165"/>
      <c r="B1740" s="165"/>
      <c r="C1740" s="165"/>
      <c r="D1740" s="165"/>
      <c r="E1740" s="166"/>
      <c r="F1740" s="165"/>
      <c r="G1740" s="167"/>
      <c r="H1740" s="166"/>
      <c r="I1740" s="167"/>
      <c r="J1740" s="168"/>
      <c r="K1740" s="169"/>
      <c r="L1740" s="165"/>
      <c r="M1740" s="165"/>
      <c r="N1740" s="165"/>
      <c r="O1740" s="165"/>
      <c r="P1740" s="165"/>
      <c r="Q1740" s="165"/>
      <c r="R1740" s="165"/>
      <c r="S1740" s="165"/>
      <c r="T1740" s="165"/>
    </row>
    <row r="1741">
      <c r="A1741" s="165"/>
      <c r="B1741" s="165"/>
      <c r="C1741" s="165"/>
      <c r="D1741" s="165"/>
      <c r="E1741" s="166"/>
      <c r="F1741" s="165"/>
      <c r="G1741" s="167"/>
      <c r="H1741" s="166"/>
      <c r="I1741" s="167"/>
      <c r="J1741" s="168"/>
      <c r="K1741" s="169"/>
      <c r="L1741" s="165"/>
      <c r="M1741" s="165"/>
      <c r="N1741" s="165"/>
      <c r="O1741" s="165"/>
      <c r="P1741" s="165"/>
      <c r="Q1741" s="165"/>
      <c r="R1741" s="165"/>
      <c r="S1741" s="165"/>
      <c r="T1741" s="165"/>
    </row>
    <row r="1742">
      <c r="A1742" s="165"/>
      <c r="B1742" s="165"/>
      <c r="C1742" s="165"/>
      <c r="D1742" s="165"/>
      <c r="E1742" s="166"/>
      <c r="F1742" s="165"/>
      <c r="G1742" s="167"/>
      <c r="H1742" s="166"/>
      <c r="I1742" s="167"/>
      <c r="J1742" s="168"/>
      <c r="K1742" s="169"/>
      <c r="L1742" s="165"/>
      <c r="M1742" s="165"/>
      <c r="N1742" s="165"/>
      <c r="O1742" s="165"/>
      <c r="P1742" s="165"/>
      <c r="Q1742" s="165"/>
      <c r="R1742" s="165"/>
      <c r="S1742" s="165"/>
      <c r="T1742" s="165"/>
    </row>
    <row r="1743">
      <c r="A1743" s="165"/>
      <c r="B1743" s="165"/>
      <c r="C1743" s="165"/>
      <c r="D1743" s="165"/>
      <c r="E1743" s="166"/>
      <c r="F1743" s="165"/>
      <c r="G1743" s="167"/>
      <c r="H1743" s="166"/>
      <c r="I1743" s="167"/>
      <c r="J1743" s="168"/>
      <c r="K1743" s="169"/>
      <c r="L1743" s="165"/>
      <c r="M1743" s="165"/>
      <c r="N1743" s="165"/>
      <c r="O1743" s="165"/>
      <c r="P1743" s="165"/>
      <c r="Q1743" s="165"/>
      <c r="R1743" s="165"/>
      <c r="S1743" s="165"/>
      <c r="T1743" s="165"/>
    </row>
    <row r="1744">
      <c r="A1744" s="165"/>
      <c r="B1744" s="165"/>
      <c r="C1744" s="165"/>
      <c r="D1744" s="165"/>
      <c r="E1744" s="166"/>
      <c r="F1744" s="165"/>
      <c r="G1744" s="167"/>
      <c r="H1744" s="166"/>
      <c r="I1744" s="167"/>
      <c r="J1744" s="168"/>
      <c r="K1744" s="169"/>
      <c r="L1744" s="165"/>
      <c r="M1744" s="165"/>
      <c r="N1744" s="165"/>
      <c r="O1744" s="165"/>
      <c r="P1744" s="165"/>
      <c r="Q1744" s="165"/>
      <c r="R1744" s="165"/>
      <c r="S1744" s="165"/>
      <c r="T1744" s="165"/>
    </row>
    <row r="1745">
      <c r="A1745" s="165"/>
      <c r="B1745" s="165"/>
      <c r="C1745" s="165"/>
      <c r="D1745" s="165"/>
      <c r="E1745" s="166"/>
      <c r="F1745" s="165"/>
      <c r="G1745" s="167"/>
      <c r="H1745" s="166"/>
      <c r="I1745" s="167"/>
      <c r="J1745" s="168"/>
      <c r="K1745" s="169"/>
      <c r="L1745" s="165"/>
      <c r="M1745" s="165"/>
      <c r="N1745" s="165"/>
      <c r="O1745" s="165"/>
      <c r="P1745" s="165"/>
      <c r="Q1745" s="165"/>
      <c r="R1745" s="165"/>
      <c r="S1745" s="165"/>
      <c r="T1745" s="165"/>
    </row>
    <row r="1746">
      <c r="A1746" s="165"/>
      <c r="B1746" s="165"/>
      <c r="C1746" s="165"/>
      <c r="D1746" s="165"/>
      <c r="E1746" s="166"/>
      <c r="F1746" s="165"/>
      <c r="G1746" s="167"/>
      <c r="H1746" s="166"/>
      <c r="I1746" s="167"/>
      <c r="J1746" s="168"/>
      <c r="K1746" s="169"/>
      <c r="L1746" s="165"/>
      <c r="M1746" s="165"/>
      <c r="N1746" s="165"/>
      <c r="O1746" s="165"/>
      <c r="P1746" s="165"/>
      <c r="Q1746" s="165"/>
      <c r="R1746" s="165"/>
      <c r="S1746" s="165"/>
      <c r="T1746" s="165"/>
    </row>
    <row r="1747">
      <c r="A1747" s="165"/>
      <c r="B1747" s="165"/>
      <c r="C1747" s="165"/>
      <c r="D1747" s="165"/>
      <c r="E1747" s="166"/>
      <c r="F1747" s="165"/>
      <c r="G1747" s="167"/>
      <c r="H1747" s="166"/>
      <c r="I1747" s="167"/>
      <c r="J1747" s="168"/>
      <c r="K1747" s="169"/>
      <c r="L1747" s="165"/>
      <c r="M1747" s="165"/>
      <c r="N1747" s="165"/>
      <c r="O1747" s="165"/>
      <c r="P1747" s="165"/>
      <c r="Q1747" s="165"/>
      <c r="R1747" s="165"/>
      <c r="S1747" s="165"/>
      <c r="T1747" s="165"/>
    </row>
    <row r="1748">
      <c r="A1748" s="165"/>
      <c r="B1748" s="165"/>
      <c r="C1748" s="165"/>
      <c r="D1748" s="165"/>
      <c r="E1748" s="166"/>
      <c r="F1748" s="165"/>
      <c r="G1748" s="167"/>
      <c r="H1748" s="166"/>
      <c r="I1748" s="167"/>
      <c r="J1748" s="168"/>
      <c r="K1748" s="169"/>
      <c r="L1748" s="165"/>
      <c r="M1748" s="165"/>
      <c r="N1748" s="165"/>
      <c r="O1748" s="165"/>
      <c r="P1748" s="165"/>
      <c r="Q1748" s="165"/>
      <c r="R1748" s="165"/>
      <c r="S1748" s="165"/>
      <c r="T1748" s="165"/>
    </row>
    <row r="1749">
      <c r="A1749" s="165"/>
      <c r="B1749" s="165"/>
      <c r="C1749" s="165"/>
      <c r="D1749" s="165"/>
      <c r="E1749" s="166"/>
      <c r="F1749" s="165"/>
      <c r="G1749" s="167"/>
      <c r="H1749" s="166"/>
      <c r="I1749" s="167"/>
      <c r="J1749" s="168"/>
      <c r="K1749" s="169"/>
      <c r="L1749" s="165"/>
      <c r="M1749" s="165"/>
      <c r="N1749" s="165"/>
      <c r="O1749" s="165"/>
      <c r="P1749" s="165"/>
      <c r="Q1749" s="165"/>
      <c r="R1749" s="165"/>
      <c r="S1749" s="165"/>
      <c r="T1749" s="165"/>
    </row>
    <row r="1750">
      <c r="A1750" s="165"/>
      <c r="B1750" s="165"/>
      <c r="C1750" s="165"/>
      <c r="D1750" s="165"/>
      <c r="E1750" s="166"/>
      <c r="F1750" s="165"/>
      <c r="G1750" s="167"/>
      <c r="H1750" s="166"/>
      <c r="I1750" s="167"/>
      <c r="J1750" s="168"/>
      <c r="K1750" s="169"/>
      <c r="L1750" s="165"/>
      <c r="M1750" s="165"/>
      <c r="N1750" s="165"/>
      <c r="O1750" s="165"/>
      <c r="P1750" s="165"/>
      <c r="Q1750" s="165"/>
      <c r="R1750" s="165"/>
      <c r="S1750" s="165"/>
      <c r="T1750" s="165"/>
    </row>
    <row r="1751">
      <c r="A1751" s="165"/>
      <c r="B1751" s="165"/>
      <c r="C1751" s="165"/>
      <c r="D1751" s="165"/>
      <c r="E1751" s="166"/>
      <c r="F1751" s="165"/>
      <c r="G1751" s="167"/>
      <c r="H1751" s="166"/>
      <c r="I1751" s="167"/>
      <c r="J1751" s="168"/>
      <c r="K1751" s="169"/>
      <c r="L1751" s="165"/>
      <c r="M1751" s="165"/>
      <c r="N1751" s="165"/>
      <c r="O1751" s="165"/>
      <c r="P1751" s="165"/>
      <c r="Q1751" s="165"/>
      <c r="R1751" s="165"/>
      <c r="S1751" s="165"/>
      <c r="T1751" s="165"/>
    </row>
    <row r="1752">
      <c r="A1752" s="165"/>
      <c r="B1752" s="165"/>
      <c r="C1752" s="165"/>
      <c r="D1752" s="165"/>
      <c r="E1752" s="166"/>
      <c r="F1752" s="165"/>
      <c r="G1752" s="167"/>
      <c r="H1752" s="166"/>
      <c r="I1752" s="167"/>
      <c r="J1752" s="168"/>
      <c r="K1752" s="169"/>
      <c r="L1752" s="165"/>
      <c r="M1752" s="165"/>
      <c r="N1752" s="165"/>
      <c r="O1752" s="165"/>
      <c r="P1752" s="165"/>
      <c r="Q1752" s="165"/>
      <c r="R1752" s="165"/>
      <c r="S1752" s="165"/>
      <c r="T1752" s="165"/>
    </row>
    <row r="1753">
      <c r="A1753" s="165"/>
      <c r="B1753" s="165"/>
      <c r="C1753" s="165"/>
      <c r="D1753" s="165"/>
      <c r="E1753" s="166"/>
      <c r="F1753" s="165"/>
      <c r="G1753" s="167"/>
      <c r="H1753" s="166"/>
      <c r="I1753" s="167"/>
      <c r="J1753" s="168"/>
      <c r="K1753" s="169"/>
      <c r="L1753" s="165"/>
      <c r="M1753" s="165"/>
      <c r="N1753" s="165"/>
      <c r="O1753" s="165"/>
      <c r="P1753" s="165"/>
      <c r="Q1753" s="165"/>
      <c r="R1753" s="165"/>
      <c r="S1753" s="165"/>
      <c r="T1753" s="165"/>
    </row>
    <row r="1754">
      <c r="A1754" s="165"/>
      <c r="B1754" s="165"/>
      <c r="C1754" s="165"/>
      <c r="D1754" s="165"/>
      <c r="E1754" s="166"/>
      <c r="F1754" s="165"/>
      <c r="G1754" s="167"/>
      <c r="H1754" s="166"/>
      <c r="I1754" s="167"/>
      <c r="J1754" s="168"/>
      <c r="K1754" s="169"/>
      <c r="L1754" s="165"/>
      <c r="M1754" s="165"/>
      <c r="N1754" s="165"/>
      <c r="O1754" s="165"/>
      <c r="P1754" s="165"/>
      <c r="Q1754" s="165"/>
      <c r="R1754" s="165"/>
      <c r="S1754" s="165"/>
      <c r="T1754" s="165"/>
    </row>
    <row r="1755">
      <c r="A1755" s="165"/>
      <c r="B1755" s="165"/>
      <c r="C1755" s="165"/>
      <c r="D1755" s="165"/>
      <c r="E1755" s="166"/>
      <c r="F1755" s="165"/>
      <c r="G1755" s="167"/>
      <c r="H1755" s="166"/>
      <c r="I1755" s="167"/>
      <c r="J1755" s="168"/>
      <c r="K1755" s="169"/>
      <c r="L1755" s="165"/>
      <c r="M1755" s="165"/>
      <c r="N1755" s="165"/>
      <c r="O1755" s="165"/>
      <c r="P1755" s="165"/>
      <c r="Q1755" s="165"/>
      <c r="R1755" s="165"/>
      <c r="S1755" s="165"/>
      <c r="T1755" s="165"/>
    </row>
    <row r="1756">
      <c r="A1756" s="165"/>
      <c r="B1756" s="165"/>
      <c r="C1756" s="165"/>
      <c r="D1756" s="165"/>
      <c r="E1756" s="166"/>
      <c r="F1756" s="165"/>
      <c r="G1756" s="167"/>
      <c r="H1756" s="166"/>
      <c r="I1756" s="167"/>
      <c r="J1756" s="168"/>
      <c r="K1756" s="169"/>
      <c r="L1756" s="165"/>
      <c r="M1756" s="165"/>
      <c r="N1756" s="165"/>
      <c r="O1756" s="165"/>
      <c r="P1756" s="165"/>
      <c r="Q1756" s="165"/>
      <c r="R1756" s="165"/>
      <c r="S1756" s="165"/>
      <c r="T1756" s="165"/>
    </row>
    <row r="1757">
      <c r="A1757" s="165"/>
      <c r="B1757" s="165"/>
      <c r="C1757" s="165"/>
      <c r="D1757" s="165"/>
      <c r="E1757" s="166"/>
      <c r="F1757" s="165"/>
      <c r="G1757" s="167"/>
      <c r="H1757" s="166"/>
      <c r="I1757" s="167"/>
      <c r="J1757" s="168"/>
      <c r="K1757" s="169"/>
      <c r="L1757" s="165"/>
      <c r="M1757" s="165"/>
      <c r="N1757" s="165"/>
      <c r="O1757" s="165"/>
      <c r="P1757" s="165"/>
      <c r="Q1757" s="165"/>
      <c r="R1757" s="165"/>
      <c r="S1757" s="165"/>
      <c r="T1757" s="165"/>
    </row>
    <row r="1758">
      <c r="A1758" s="165"/>
      <c r="B1758" s="165"/>
      <c r="C1758" s="165"/>
      <c r="D1758" s="165"/>
      <c r="E1758" s="166"/>
      <c r="F1758" s="165"/>
      <c r="G1758" s="167"/>
      <c r="H1758" s="166"/>
      <c r="I1758" s="167"/>
      <c r="J1758" s="168"/>
      <c r="K1758" s="169"/>
      <c r="L1758" s="165"/>
      <c r="M1758" s="165"/>
      <c r="N1758" s="165"/>
      <c r="O1758" s="165"/>
      <c r="P1758" s="165"/>
      <c r="Q1758" s="165"/>
      <c r="R1758" s="165"/>
      <c r="S1758" s="165"/>
      <c r="T1758" s="165"/>
    </row>
    <row r="1759">
      <c r="A1759" s="165"/>
      <c r="B1759" s="165"/>
      <c r="C1759" s="165"/>
      <c r="D1759" s="165"/>
      <c r="E1759" s="166"/>
      <c r="F1759" s="165"/>
      <c r="G1759" s="167"/>
      <c r="H1759" s="166"/>
      <c r="I1759" s="167"/>
      <c r="J1759" s="168"/>
      <c r="K1759" s="169"/>
      <c r="L1759" s="165"/>
      <c r="M1759" s="165"/>
      <c r="N1759" s="165"/>
      <c r="O1759" s="165"/>
      <c r="P1759" s="165"/>
      <c r="Q1759" s="165"/>
      <c r="R1759" s="165"/>
      <c r="S1759" s="165"/>
      <c r="T1759" s="165"/>
    </row>
    <row r="1760">
      <c r="A1760" s="165"/>
      <c r="B1760" s="165"/>
      <c r="C1760" s="165"/>
      <c r="D1760" s="165"/>
      <c r="E1760" s="166"/>
      <c r="F1760" s="165"/>
      <c r="G1760" s="167"/>
      <c r="H1760" s="166"/>
      <c r="I1760" s="167"/>
      <c r="J1760" s="168"/>
      <c r="K1760" s="169"/>
      <c r="L1760" s="165"/>
      <c r="M1760" s="165"/>
      <c r="N1760" s="165"/>
      <c r="O1760" s="165"/>
      <c r="P1760" s="165"/>
      <c r="Q1760" s="165"/>
      <c r="R1760" s="165"/>
      <c r="S1760" s="165"/>
      <c r="T1760" s="165"/>
    </row>
    <row r="1761">
      <c r="A1761" s="165"/>
      <c r="B1761" s="165"/>
      <c r="C1761" s="165"/>
      <c r="D1761" s="165"/>
      <c r="E1761" s="166"/>
      <c r="F1761" s="165"/>
      <c r="G1761" s="167"/>
      <c r="H1761" s="166"/>
      <c r="I1761" s="167"/>
      <c r="J1761" s="168"/>
      <c r="K1761" s="169"/>
      <c r="L1761" s="165"/>
      <c r="M1761" s="165"/>
      <c r="N1761" s="165"/>
      <c r="O1761" s="165"/>
      <c r="P1761" s="165"/>
      <c r="Q1761" s="165"/>
      <c r="R1761" s="165"/>
      <c r="S1761" s="165"/>
      <c r="T1761" s="165"/>
    </row>
    <row r="1762">
      <c r="A1762" s="165"/>
      <c r="B1762" s="165"/>
      <c r="C1762" s="165"/>
      <c r="D1762" s="165"/>
      <c r="E1762" s="166"/>
      <c r="F1762" s="165"/>
      <c r="G1762" s="167"/>
      <c r="H1762" s="166"/>
      <c r="I1762" s="167"/>
      <c r="J1762" s="168"/>
      <c r="K1762" s="169"/>
      <c r="L1762" s="165"/>
      <c r="M1762" s="165"/>
      <c r="N1762" s="165"/>
      <c r="O1762" s="165"/>
      <c r="P1762" s="165"/>
      <c r="Q1762" s="165"/>
      <c r="R1762" s="165"/>
      <c r="S1762" s="165"/>
      <c r="T1762" s="165"/>
    </row>
    <row r="1763">
      <c r="A1763" s="165"/>
      <c r="B1763" s="165"/>
      <c r="C1763" s="165"/>
      <c r="D1763" s="165"/>
      <c r="E1763" s="166"/>
      <c r="F1763" s="165"/>
      <c r="G1763" s="167"/>
      <c r="H1763" s="166"/>
      <c r="I1763" s="167"/>
      <c r="J1763" s="168"/>
      <c r="K1763" s="169"/>
      <c r="L1763" s="165"/>
      <c r="M1763" s="165"/>
      <c r="N1763" s="165"/>
      <c r="O1763" s="165"/>
      <c r="P1763" s="165"/>
      <c r="Q1763" s="165"/>
      <c r="R1763" s="165"/>
      <c r="S1763" s="165"/>
      <c r="T1763" s="165"/>
    </row>
    <row r="1764">
      <c r="A1764" s="165"/>
      <c r="B1764" s="165"/>
      <c r="C1764" s="165"/>
      <c r="D1764" s="165"/>
      <c r="E1764" s="166"/>
      <c r="F1764" s="165"/>
      <c r="G1764" s="167"/>
      <c r="H1764" s="166"/>
      <c r="I1764" s="167"/>
      <c r="J1764" s="168"/>
      <c r="K1764" s="169"/>
      <c r="L1764" s="165"/>
      <c r="M1764" s="165"/>
      <c r="N1764" s="165"/>
      <c r="O1764" s="165"/>
      <c r="P1764" s="165"/>
      <c r="Q1764" s="165"/>
      <c r="R1764" s="165"/>
      <c r="S1764" s="165"/>
      <c r="T1764" s="165"/>
    </row>
    <row r="1765">
      <c r="A1765" s="165"/>
      <c r="B1765" s="165"/>
      <c r="C1765" s="165"/>
      <c r="D1765" s="165"/>
      <c r="E1765" s="166"/>
      <c r="F1765" s="165"/>
      <c r="G1765" s="167"/>
      <c r="H1765" s="166"/>
      <c r="I1765" s="167"/>
      <c r="J1765" s="168"/>
      <c r="K1765" s="169"/>
      <c r="L1765" s="165"/>
      <c r="M1765" s="165"/>
      <c r="N1765" s="165"/>
      <c r="O1765" s="165"/>
      <c r="P1765" s="165"/>
      <c r="Q1765" s="165"/>
      <c r="R1765" s="165"/>
      <c r="S1765" s="165"/>
      <c r="T1765" s="165"/>
    </row>
    <row r="1766">
      <c r="A1766" s="165"/>
      <c r="B1766" s="165"/>
      <c r="C1766" s="165"/>
      <c r="D1766" s="165"/>
      <c r="E1766" s="166"/>
      <c r="F1766" s="165"/>
      <c r="G1766" s="167"/>
      <c r="H1766" s="166"/>
      <c r="I1766" s="167"/>
      <c r="J1766" s="168"/>
      <c r="K1766" s="169"/>
      <c r="L1766" s="165"/>
      <c r="M1766" s="165"/>
      <c r="N1766" s="165"/>
      <c r="O1766" s="165"/>
      <c r="P1766" s="165"/>
      <c r="Q1766" s="165"/>
      <c r="R1766" s="165"/>
      <c r="S1766" s="165"/>
      <c r="T1766" s="165"/>
    </row>
    <row r="1767">
      <c r="A1767" s="165"/>
      <c r="B1767" s="165"/>
      <c r="C1767" s="165"/>
      <c r="D1767" s="165"/>
      <c r="E1767" s="166"/>
      <c r="F1767" s="165"/>
      <c r="G1767" s="167"/>
      <c r="H1767" s="166"/>
      <c r="I1767" s="167"/>
      <c r="J1767" s="168"/>
      <c r="K1767" s="169"/>
      <c r="L1767" s="165"/>
      <c r="M1767" s="165"/>
      <c r="N1767" s="165"/>
      <c r="O1767" s="165"/>
      <c r="P1767" s="165"/>
      <c r="Q1767" s="165"/>
      <c r="R1767" s="165"/>
      <c r="S1767" s="165"/>
      <c r="T1767" s="165"/>
    </row>
    <row r="1768">
      <c r="A1768" s="165"/>
      <c r="B1768" s="165"/>
      <c r="C1768" s="165"/>
      <c r="D1768" s="165"/>
      <c r="E1768" s="166"/>
      <c r="F1768" s="165"/>
      <c r="G1768" s="167"/>
      <c r="H1768" s="166"/>
      <c r="I1768" s="167"/>
      <c r="J1768" s="168"/>
      <c r="K1768" s="169"/>
      <c r="L1768" s="165"/>
      <c r="M1768" s="165"/>
      <c r="N1768" s="165"/>
      <c r="O1768" s="165"/>
      <c r="P1768" s="165"/>
      <c r="Q1768" s="165"/>
      <c r="R1768" s="165"/>
      <c r="S1768" s="165"/>
      <c r="T1768" s="165"/>
    </row>
    <row r="1769">
      <c r="A1769" s="165"/>
      <c r="B1769" s="165"/>
      <c r="C1769" s="165"/>
      <c r="D1769" s="165"/>
      <c r="E1769" s="166"/>
      <c r="F1769" s="165"/>
      <c r="G1769" s="167"/>
      <c r="H1769" s="166"/>
      <c r="I1769" s="167"/>
      <c r="J1769" s="168"/>
      <c r="K1769" s="169"/>
      <c r="L1769" s="165"/>
      <c r="M1769" s="165"/>
      <c r="N1769" s="165"/>
      <c r="O1769" s="165"/>
      <c r="P1769" s="165"/>
      <c r="Q1769" s="165"/>
      <c r="R1769" s="165"/>
      <c r="S1769" s="165"/>
      <c r="T1769" s="165"/>
    </row>
    <row r="1770">
      <c r="A1770" s="165"/>
      <c r="B1770" s="165"/>
      <c r="C1770" s="165"/>
      <c r="D1770" s="165"/>
      <c r="E1770" s="166"/>
      <c r="F1770" s="165"/>
      <c r="G1770" s="167"/>
      <c r="H1770" s="166"/>
      <c r="I1770" s="167"/>
      <c r="J1770" s="168"/>
      <c r="K1770" s="169"/>
      <c r="L1770" s="165"/>
      <c r="M1770" s="165"/>
      <c r="N1770" s="165"/>
      <c r="O1770" s="165"/>
      <c r="P1770" s="165"/>
      <c r="Q1770" s="165"/>
      <c r="R1770" s="165"/>
      <c r="S1770" s="165"/>
      <c r="T1770" s="165"/>
    </row>
    <row r="1771">
      <c r="A1771" s="165"/>
      <c r="B1771" s="165"/>
      <c r="C1771" s="165"/>
      <c r="D1771" s="165"/>
      <c r="E1771" s="166"/>
      <c r="F1771" s="165"/>
      <c r="G1771" s="167"/>
      <c r="H1771" s="166"/>
      <c r="I1771" s="167"/>
      <c r="J1771" s="168"/>
      <c r="K1771" s="169"/>
      <c r="L1771" s="165"/>
      <c r="M1771" s="165"/>
      <c r="N1771" s="165"/>
      <c r="O1771" s="165"/>
      <c r="P1771" s="165"/>
      <c r="Q1771" s="165"/>
      <c r="R1771" s="165"/>
      <c r="S1771" s="165"/>
      <c r="T1771" s="165"/>
    </row>
    <row r="1772">
      <c r="A1772" s="165"/>
      <c r="B1772" s="165"/>
      <c r="C1772" s="165"/>
      <c r="D1772" s="165"/>
      <c r="E1772" s="166"/>
      <c r="F1772" s="165"/>
      <c r="G1772" s="167"/>
      <c r="H1772" s="166"/>
      <c r="I1772" s="167"/>
      <c r="J1772" s="168"/>
      <c r="K1772" s="169"/>
      <c r="L1772" s="165"/>
      <c r="M1772" s="165"/>
      <c r="N1772" s="165"/>
      <c r="O1772" s="165"/>
      <c r="P1772" s="165"/>
      <c r="Q1772" s="165"/>
      <c r="R1772" s="165"/>
      <c r="S1772" s="165"/>
      <c r="T1772" s="165"/>
    </row>
    <row r="1773">
      <c r="A1773" s="165"/>
      <c r="B1773" s="165"/>
      <c r="C1773" s="165"/>
      <c r="D1773" s="165"/>
      <c r="E1773" s="166"/>
      <c r="F1773" s="165"/>
      <c r="G1773" s="167"/>
      <c r="H1773" s="166"/>
      <c r="I1773" s="167"/>
      <c r="J1773" s="168"/>
      <c r="K1773" s="169"/>
      <c r="L1773" s="165"/>
      <c r="M1773" s="165"/>
      <c r="N1773" s="165"/>
      <c r="O1773" s="165"/>
      <c r="P1773" s="165"/>
      <c r="Q1773" s="165"/>
      <c r="R1773" s="165"/>
      <c r="S1773" s="165"/>
      <c r="T1773" s="165"/>
    </row>
    <row r="1774">
      <c r="A1774" s="165"/>
      <c r="B1774" s="165"/>
      <c r="C1774" s="165"/>
      <c r="D1774" s="165"/>
      <c r="E1774" s="166"/>
      <c r="F1774" s="165"/>
      <c r="G1774" s="167"/>
      <c r="H1774" s="166"/>
      <c r="I1774" s="167"/>
      <c r="J1774" s="168"/>
      <c r="K1774" s="169"/>
      <c r="L1774" s="165"/>
      <c r="M1774" s="165"/>
      <c r="N1774" s="165"/>
      <c r="O1774" s="165"/>
      <c r="P1774" s="165"/>
      <c r="Q1774" s="165"/>
      <c r="R1774" s="165"/>
      <c r="S1774" s="165"/>
      <c r="T1774" s="165"/>
    </row>
    <row r="1775">
      <c r="A1775" s="165"/>
      <c r="B1775" s="165"/>
      <c r="C1775" s="165"/>
      <c r="D1775" s="165"/>
      <c r="E1775" s="166"/>
      <c r="F1775" s="165"/>
      <c r="G1775" s="167"/>
      <c r="H1775" s="166"/>
      <c r="I1775" s="167"/>
      <c r="J1775" s="168"/>
      <c r="K1775" s="169"/>
      <c r="L1775" s="165"/>
      <c r="M1775" s="165"/>
      <c r="N1775" s="165"/>
      <c r="O1775" s="165"/>
      <c r="P1775" s="165"/>
      <c r="Q1775" s="165"/>
      <c r="R1775" s="165"/>
      <c r="S1775" s="165"/>
      <c r="T1775" s="165"/>
    </row>
    <row r="1776">
      <c r="A1776" s="165"/>
      <c r="B1776" s="165"/>
      <c r="C1776" s="165"/>
      <c r="D1776" s="165"/>
      <c r="E1776" s="166"/>
      <c r="F1776" s="165"/>
      <c r="G1776" s="167"/>
      <c r="H1776" s="166"/>
      <c r="I1776" s="167"/>
      <c r="J1776" s="168"/>
      <c r="K1776" s="169"/>
      <c r="L1776" s="165"/>
      <c r="M1776" s="165"/>
      <c r="N1776" s="165"/>
      <c r="O1776" s="165"/>
      <c r="P1776" s="165"/>
      <c r="Q1776" s="165"/>
      <c r="R1776" s="165"/>
      <c r="S1776" s="165"/>
      <c r="T1776" s="165"/>
    </row>
    <row r="1777">
      <c r="A1777" s="165"/>
      <c r="B1777" s="165"/>
      <c r="C1777" s="165"/>
      <c r="D1777" s="165"/>
      <c r="E1777" s="166"/>
      <c r="F1777" s="165"/>
      <c r="G1777" s="167"/>
      <c r="H1777" s="166"/>
      <c r="I1777" s="167"/>
      <c r="J1777" s="168"/>
      <c r="K1777" s="169"/>
      <c r="L1777" s="165"/>
      <c r="M1777" s="165"/>
      <c r="N1777" s="165"/>
      <c r="O1777" s="165"/>
      <c r="P1777" s="165"/>
      <c r="Q1777" s="165"/>
      <c r="R1777" s="165"/>
      <c r="S1777" s="165"/>
      <c r="T1777" s="165"/>
    </row>
    <row r="1778">
      <c r="A1778" s="165"/>
      <c r="B1778" s="165"/>
      <c r="C1778" s="165"/>
      <c r="D1778" s="165"/>
      <c r="E1778" s="166"/>
      <c r="F1778" s="165"/>
      <c r="G1778" s="167"/>
      <c r="H1778" s="166"/>
      <c r="I1778" s="167"/>
      <c r="J1778" s="168"/>
      <c r="K1778" s="169"/>
      <c r="L1778" s="165"/>
      <c r="M1778" s="165"/>
      <c r="N1778" s="165"/>
      <c r="O1778" s="165"/>
      <c r="P1778" s="165"/>
      <c r="Q1778" s="165"/>
      <c r="R1778" s="165"/>
      <c r="S1778" s="165"/>
      <c r="T1778" s="165"/>
    </row>
    <row r="1779">
      <c r="A1779" s="165"/>
      <c r="B1779" s="165"/>
      <c r="C1779" s="165"/>
      <c r="D1779" s="165"/>
      <c r="E1779" s="166"/>
      <c r="F1779" s="165"/>
      <c r="G1779" s="167"/>
      <c r="H1779" s="166"/>
      <c r="I1779" s="167"/>
      <c r="J1779" s="168"/>
      <c r="K1779" s="169"/>
      <c r="L1779" s="165"/>
      <c r="M1779" s="165"/>
      <c r="N1779" s="165"/>
      <c r="O1779" s="165"/>
      <c r="P1779" s="165"/>
      <c r="Q1779" s="165"/>
      <c r="R1779" s="165"/>
      <c r="S1779" s="165"/>
      <c r="T1779" s="165"/>
    </row>
    <row r="1780">
      <c r="A1780" s="165"/>
      <c r="B1780" s="165"/>
      <c r="C1780" s="165"/>
      <c r="D1780" s="165"/>
      <c r="E1780" s="166"/>
      <c r="F1780" s="165"/>
      <c r="G1780" s="167"/>
      <c r="H1780" s="166"/>
      <c r="I1780" s="167"/>
      <c r="J1780" s="168"/>
      <c r="K1780" s="169"/>
      <c r="L1780" s="165"/>
      <c r="M1780" s="165"/>
      <c r="N1780" s="165"/>
      <c r="O1780" s="165"/>
      <c r="P1780" s="165"/>
      <c r="Q1780" s="165"/>
      <c r="R1780" s="165"/>
      <c r="S1780" s="165"/>
      <c r="T1780" s="165"/>
    </row>
    <row r="1781">
      <c r="A1781" s="165"/>
      <c r="B1781" s="165"/>
      <c r="C1781" s="165"/>
      <c r="D1781" s="165"/>
      <c r="E1781" s="166"/>
      <c r="F1781" s="165"/>
      <c r="G1781" s="167"/>
      <c r="H1781" s="166"/>
      <c r="I1781" s="167"/>
      <c r="J1781" s="168"/>
      <c r="K1781" s="169"/>
      <c r="L1781" s="165"/>
      <c r="M1781" s="165"/>
      <c r="N1781" s="165"/>
      <c r="O1781" s="165"/>
      <c r="P1781" s="165"/>
      <c r="Q1781" s="165"/>
      <c r="R1781" s="165"/>
      <c r="S1781" s="165"/>
      <c r="T1781" s="165"/>
    </row>
    <row r="1782">
      <c r="A1782" s="165"/>
      <c r="B1782" s="165"/>
      <c r="C1782" s="165"/>
      <c r="D1782" s="165"/>
      <c r="E1782" s="166"/>
      <c r="F1782" s="165"/>
      <c r="G1782" s="167"/>
      <c r="H1782" s="166"/>
      <c r="I1782" s="167"/>
      <c r="J1782" s="168"/>
      <c r="K1782" s="169"/>
      <c r="L1782" s="165"/>
      <c r="M1782" s="165"/>
      <c r="N1782" s="165"/>
      <c r="O1782" s="165"/>
      <c r="P1782" s="165"/>
      <c r="Q1782" s="165"/>
      <c r="R1782" s="165"/>
      <c r="S1782" s="165"/>
      <c r="T1782" s="165"/>
    </row>
    <row r="1783">
      <c r="A1783" s="165"/>
      <c r="B1783" s="165"/>
      <c r="C1783" s="165"/>
      <c r="D1783" s="165"/>
      <c r="E1783" s="166"/>
      <c r="F1783" s="165"/>
      <c r="G1783" s="167"/>
      <c r="H1783" s="166"/>
      <c r="I1783" s="167"/>
      <c r="J1783" s="168"/>
      <c r="K1783" s="169"/>
      <c r="L1783" s="165"/>
      <c r="M1783" s="165"/>
      <c r="N1783" s="165"/>
      <c r="O1783" s="165"/>
      <c r="P1783" s="165"/>
      <c r="Q1783" s="165"/>
      <c r="R1783" s="165"/>
      <c r="S1783" s="165"/>
      <c r="T1783" s="165"/>
    </row>
    <row r="1784">
      <c r="A1784" s="165"/>
      <c r="B1784" s="165"/>
      <c r="C1784" s="165"/>
      <c r="D1784" s="165"/>
      <c r="E1784" s="166"/>
      <c r="F1784" s="165"/>
      <c r="G1784" s="167"/>
      <c r="H1784" s="166"/>
      <c r="I1784" s="167"/>
      <c r="J1784" s="168"/>
      <c r="K1784" s="169"/>
      <c r="L1784" s="165"/>
      <c r="M1784" s="165"/>
      <c r="N1784" s="165"/>
      <c r="O1784" s="165"/>
      <c r="P1784" s="165"/>
      <c r="Q1784" s="165"/>
      <c r="R1784" s="165"/>
      <c r="S1784" s="165"/>
      <c r="T1784" s="165"/>
    </row>
    <row r="1785">
      <c r="A1785" s="165"/>
      <c r="B1785" s="165"/>
      <c r="C1785" s="165"/>
      <c r="D1785" s="165"/>
      <c r="E1785" s="166"/>
      <c r="F1785" s="165"/>
      <c r="G1785" s="167"/>
      <c r="H1785" s="166"/>
      <c r="I1785" s="167"/>
      <c r="J1785" s="168"/>
      <c r="K1785" s="169"/>
      <c r="L1785" s="165"/>
      <c r="M1785" s="165"/>
      <c r="N1785" s="165"/>
      <c r="O1785" s="165"/>
      <c r="P1785" s="165"/>
      <c r="Q1785" s="165"/>
      <c r="R1785" s="165"/>
      <c r="S1785" s="165"/>
      <c r="T1785" s="165"/>
    </row>
    <row r="1786">
      <c r="A1786" s="165"/>
      <c r="B1786" s="165"/>
      <c r="C1786" s="165"/>
      <c r="D1786" s="165"/>
      <c r="E1786" s="166"/>
      <c r="F1786" s="165"/>
      <c r="G1786" s="167"/>
      <c r="H1786" s="166"/>
      <c r="I1786" s="167"/>
      <c r="J1786" s="168"/>
      <c r="K1786" s="169"/>
      <c r="L1786" s="165"/>
      <c r="M1786" s="165"/>
      <c r="N1786" s="165"/>
      <c r="O1786" s="165"/>
      <c r="P1786" s="165"/>
      <c r="Q1786" s="165"/>
      <c r="R1786" s="165"/>
      <c r="S1786" s="165"/>
      <c r="T1786" s="165"/>
    </row>
    <row r="1787">
      <c r="A1787" s="165"/>
      <c r="B1787" s="165"/>
      <c r="C1787" s="165"/>
      <c r="D1787" s="165"/>
      <c r="E1787" s="166"/>
      <c r="F1787" s="165"/>
      <c r="G1787" s="167"/>
      <c r="H1787" s="166"/>
      <c r="I1787" s="167"/>
      <c r="J1787" s="168"/>
      <c r="K1787" s="169"/>
      <c r="L1787" s="165"/>
      <c r="M1787" s="165"/>
      <c r="N1787" s="165"/>
      <c r="O1787" s="165"/>
      <c r="P1787" s="165"/>
      <c r="Q1787" s="165"/>
      <c r="R1787" s="165"/>
      <c r="S1787" s="165"/>
      <c r="T1787" s="165"/>
    </row>
    <row r="1788">
      <c r="A1788" s="165"/>
      <c r="B1788" s="165"/>
      <c r="C1788" s="165"/>
      <c r="D1788" s="165"/>
      <c r="E1788" s="166"/>
      <c r="F1788" s="165"/>
      <c r="G1788" s="167"/>
      <c r="H1788" s="166"/>
      <c r="I1788" s="167"/>
      <c r="J1788" s="168"/>
      <c r="K1788" s="169"/>
      <c r="L1788" s="165"/>
      <c r="M1788" s="165"/>
      <c r="N1788" s="165"/>
      <c r="O1788" s="165"/>
      <c r="P1788" s="165"/>
      <c r="Q1788" s="165"/>
      <c r="R1788" s="165"/>
      <c r="S1788" s="165"/>
      <c r="T1788" s="165"/>
    </row>
    <row r="1789">
      <c r="A1789" s="165"/>
      <c r="B1789" s="165"/>
      <c r="C1789" s="165"/>
      <c r="D1789" s="165"/>
      <c r="E1789" s="166"/>
      <c r="F1789" s="165"/>
      <c r="G1789" s="167"/>
      <c r="H1789" s="166"/>
      <c r="I1789" s="167"/>
      <c r="J1789" s="168"/>
      <c r="K1789" s="169"/>
      <c r="L1789" s="165"/>
      <c r="M1789" s="165"/>
      <c r="N1789" s="165"/>
      <c r="O1789" s="165"/>
      <c r="P1789" s="165"/>
      <c r="Q1789" s="165"/>
      <c r="R1789" s="165"/>
      <c r="S1789" s="165"/>
      <c r="T1789" s="165"/>
    </row>
    <row r="1790">
      <c r="A1790" s="165"/>
      <c r="B1790" s="165"/>
      <c r="C1790" s="165"/>
      <c r="D1790" s="165"/>
      <c r="E1790" s="166"/>
      <c r="F1790" s="165"/>
      <c r="G1790" s="167"/>
      <c r="H1790" s="166"/>
      <c r="I1790" s="167"/>
      <c r="J1790" s="168"/>
      <c r="K1790" s="169"/>
      <c r="L1790" s="165"/>
      <c r="M1790" s="165"/>
      <c r="N1790" s="165"/>
      <c r="O1790" s="165"/>
      <c r="P1790" s="165"/>
      <c r="Q1790" s="165"/>
      <c r="R1790" s="165"/>
      <c r="S1790" s="165"/>
      <c r="T1790" s="165"/>
    </row>
    <row r="1791">
      <c r="A1791" s="165"/>
      <c r="B1791" s="165"/>
      <c r="C1791" s="165"/>
      <c r="D1791" s="165"/>
      <c r="E1791" s="166"/>
      <c r="F1791" s="165"/>
      <c r="G1791" s="167"/>
      <c r="H1791" s="166"/>
      <c r="I1791" s="167"/>
      <c r="J1791" s="168"/>
      <c r="K1791" s="169"/>
      <c r="L1791" s="165"/>
      <c r="M1791" s="165"/>
      <c r="N1791" s="165"/>
      <c r="O1791" s="165"/>
      <c r="P1791" s="165"/>
      <c r="Q1791" s="165"/>
      <c r="R1791" s="165"/>
      <c r="S1791" s="165"/>
      <c r="T1791" s="165"/>
    </row>
    <row r="1792">
      <c r="A1792" s="165"/>
      <c r="B1792" s="165"/>
      <c r="C1792" s="165"/>
      <c r="D1792" s="165"/>
      <c r="E1792" s="166"/>
      <c r="F1792" s="165"/>
      <c r="G1792" s="167"/>
      <c r="H1792" s="166"/>
      <c r="I1792" s="167"/>
      <c r="J1792" s="168"/>
      <c r="K1792" s="169"/>
      <c r="L1792" s="165"/>
      <c r="M1792" s="165"/>
      <c r="N1792" s="165"/>
      <c r="O1792" s="165"/>
      <c r="P1792" s="165"/>
      <c r="Q1792" s="165"/>
      <c r="R1792" s="165"/>
      <c r="S1792" s="165"/>
      <c r="T1792" s="165"/>
    </row>
    <row r="1793">
      <c r="A1793" s="165"/>
      <c r="B1793" s="165"/>
      <c r="C1793" s="165"/>
      <c r="D1793" s="165"/>
      <c r="E1793" s="166"/>
      <c r="F1793" s="165"/>
      <c r="G1793" s="167"/>
      <c r="H1793" s="166"/>
      <c r="I1793" s="167"/>
      <c r="J1793" s="168"/>
      <c r="K1793" s="169"/>
      <c r="L1793" s="165"/>
      <c r="M1793" s="165"/>
      <c r="N1793" s="165"/>
      <c r="O1793" s="165"/>
      <c r="P1793" s="165"/>
      <c r="Q1793" s="165"/>
      <c r="R1793" s="165"/>
      <c r="S1793" s="165"/>
      <c r="T1793" s="165"/>
    </row>
    <row r="1794">
      <c r="A1794" s="165"/>
      <c r="B1794" s="165"/>
      <c r="C1794" s="165"/>
      <c r="D1794" s="165"/>
      <c r="E1794" s="166"/>
      <c r="F1794" s="165"/>
      <c r="G1794" s="167"/>
      <c r="H1794" s="166"/>
      <c r="I1794" s="167"/>
      <c r="J1794" s="168"/>
      <c r="K1794" s="169"/>
      <c r="L1794" s="165"/>
      <c r="M1794" s="165"/>
      <c r="N1794" s="165"/>
      <c r="O1794" s="165"/>
      <c r="P1794" s="165"/>
      <c r="Q1794" s="165"/>
      <c r="R1794" s="165"/>
      <c r="S1794" s="165"/>
      <c r="T1794" s="165"/>
    </row>
    <row r="1795">
      <c r="A1795" s="165"/>
      <c r="B1795" s="165"/>
      <c r="C1795" s="165"/>
      <c r="D1795" s="165"/>
      <c r="E1795" s="166"/>
      <c r="F1795" s="165"/>
      <c r="G1795" s="167"/>
      <c r="H1795" s="166"/>
      <c r="I1795" s="167"/>
      <c r="J1795" s="168"/>
      <c r="K1795" s="169"/>
      <c r="L1795" s="165"/>
      <c r="M1795" s="165"/>
      <c r="N1795" s="165"/>
      <c r="O1795" s="165"/>
      <c r="P1795" s="165"/>
      <c r="Q1795" s="165"/>
      <c r="R1795" s="165"/>
      <c r="S1795" s="165"/>
      <c r="T1795" s="165"/>
    </row>
    <row r="1796">
      <c r="A1796" s="165"/>
      <c r="B1796" s="165"/>
      <c r="C1796" s="165"/>
      <c r="D1796" s="165"/>
      <c r="E1796" s="166"/>
      <c r="F1796" s="165"/>
      <c r="G1796" s="167"/>
      <c r="H1796" s="166"/>
      <c r="I1796" s="167"/>
      <c r="J1796" s="168"/>
      <c r="K1796" s="169"/>
      <c r="L1796" s="165"/>
      <c r="M1796" s="165"/>
      <c r="N1796" s="165"/>
      <c r="O1796" s="165"/>
      <c r="P1796" s="165"/>
      <c r="Q1796" s="165"/>
      <c r="R1796" s="165"/>
      <c r="S1796" s="165"/>
      <c r="T1796" s="165"/>
    </row>
    <row r="1797">
      <c r="A1797" s="165"/>
      <c r="B1797" s="165"/>
      <c r="C1797" s="165"/>
      <c r="D1797" s="165"/>
      <c r="E1797" s="166"/>
      <c r="F1797" s="165"/>
      <c r="G1797" s="167"/>
      <c r="H1797" s="166"/>
      <c r="I1797" s="167"/>
      <c r="J1797" s="168"/>
      <c r="K1797" s="169"/>
      <c r="L1797" s="165"/>
      <c r="M1797" s="165"/>
      <c r="N1797" s="165"/>
      <c r="O1797" s="165"/>
      <c r="P1797" s="165"/>
      <c r="Q1797" s="165"/>
      <c r="R1797" s="165"/>
      <c r="S1797" s="165"/>
      <c r="T1797" s="165"/>
    </row>
    <row r="1798">
      <c r="A1798" s="165"/>
      <c r="B1798" s="165"/>
      <c r="C1798" s="165"/>
      <c r="D1798" s="165"/>
      <c r="E1798" s="166"/>
      <c r="F1798" s="165"/>
      <c r="G1798" s="167"/>
      <c r="H1798" s="166"/>
      <c r="I1798" s="167"/>
      <c r="J1798" s="168"/>
      <c r="K1798" s="169"/>
      <c r="L1798" s="165"/>
      <c r="M1798" s="165"/>
      <c r="N1798" s="165"/>
      <c r="O1798" s="165"/>
      <c r="P1798" s="165"/>
      <c r="Q1798" s="165"/>
      <c r="R1798" s="165"/>
      <c r="S1798" s="165"/>
      <c r="T1798" s="165"/>
    </row>
    <row r="1799">
      <c r="A1799" s="165"/>
      <c r="B1799" s="165"/>
      <c r="C1799" s="165"/>
      <c r="D1799" s="165"/>
      <c r="E1799" s="166"/>
      <c r="F1799" s="165"/>
      <c r="G1799" s="167"/>
      <c r="H1799" s="166"/>
      <c r="I1799" s="167"/>
      <c r="J1799" s="168"/>
      <c r="K1799" s="169"/>
      <c r="L1799" s="165"/>
      <c r="M1799" s="165"/>
      <c r="N1799" s="165"/>
      <c r="O1799" s="165"/>
      <c r="P1799" s="165"/>
      <c r="Q1799" s="165"/>
      <c r="R1799" s="165"/>
      <c r="S1799" s="165"/>
      <c r="T1799" s="165"/>
    </row>
    <row r="1800">
      <c r="A1800" s="165"/>
      <c r="B1800" s="165"/>
      <c r="C1800" s="165"/>
      <c r="D1800" s="165"/>
      <c r="E1800" s="166"/>
      <c r="F1800" s="165"/>
      <c r="G1800" s="167"/>
      <c r="H1800" s="166"/>
      <c r="I1800" s="167"/>
      <c r="J1800" s="168"/>
      <c r="K1800" s="169"/>
      <c r="L1800" s="165"/>
      <c r="M1800" s="165"/>
      <c r="N1800" s="165"/>
      <c r="O1800" s="165"/>
      <c r="P1800" s="165"/>
      <c r="Q1800" s="165"/>
      <c r="R1800" s="165"/>
      <c r="S1800" s="165"/>
      <c r="T1800" s="165"/>
    </row>
    <row r="1801">
      <c r="A1801" s="165"/>
      <c r="B1801" s="165"/>
      <c r="C1801" s="165"/>
      <c r="D1801" s="165"/>
      <c r="E1801" s="166"/>
      <c r="F1801" s="165"/>
      <c r="G1801" s="167"/>
      <c r="H1801" s="166"/>
      <c r="I1801" s="167"/>
      <c r="J1801" s="168"/>
      <c r="K1801" s="169"/>
      <c r="L1801" s="165"/>
      <c r="M1801" s="165"/>
      <c r="N1801" s="165"/>
      <c r="O1801" s="165"/>
      <c r="P1801" s="165"/>
      <c r="Q1801" s="165"/>
      <c r="R1801" s="165"/>
      <c r="S1801" s="165"/>
      <c r="T1801" s="165"/>
    </row>
    <row r="1802">
      <c r="A1802" s="165"/>
      <c r="B1802" s="165"/>
      <c r="C1802" s="165"/>
      <c r="D1802" s="165"/>
      <c r="E1802" s="166"/>
      <c r="F1802" s="165"/>
      <c r="G1802" s="167"/>
      <c r="H1802" s="166"/>
      <c r="I1802" s="167"/>
      <c r="J1802" s="168"/>
      <c r="K1802" s="169"/>
      <c r="L1802" s="165"/>
      <c r="M1802" s="165"/>
      <c r="N1802" s="165"/>
      <c r="O1802" s="165"/>
      <c r="P1802" s="165"/>
      <c r="Q1802" s="165"/>
      <c r="R1802" s="165"/>
      <c r="S1802" s="165"/>
      <c r="T1802" s="165"/>
    </row>
    <row r="1803">
      <c r="A1803" s="165"/>
      <c r="B1803" s="165"/>
      <c r="C1803" s="165"/>
      <c r="D1803" s="165"/>
      <c r="E1803" s="166"/>
      <c r="F1803" s="165"/>
      <c r="G1803" s="167"/>
      <c r="H1803" s="166"/>
      <c r="I1803" s="167"/>
      <c r="J1803" s="168"/>
      <c r="K1803" s="169"/>
      <c r="L1803" s="165"/>
      <c r="M1803" s="165"/>
      <c r="N1803" s="165"/>
      <c r="O1803" s="165"/>
      <c r="P1803" s="165"/>
      <c r="Q1803" s="165"/>
      <c r="R1803" s="165"/>
      <c r="S1803" s="165"/>
      <c r="T1803" s="165"/>
    </row>
    <row r="1804">
      <c r="A1804" s="165"/>
      <c r="B1804" s="165"/>
      <c r="C1804" s="165"/>
      <c r="D1804" s="165"/>
      <c r="E1804" s="166"/>
      <c r="F1804" s="165"/>
      <c r="G1804" s="167"/>
      <c r="H1804" s="166"/>
      <c r="I1804" s="167"/>
      <c r="J1804" s="168"/>
      <c r="K1804" s="169"/>
      <c r="L1804" s="165"/>
      <c r="M1804" s="165"/>
      <c r="N1804" s="165"/>
      <c r="O1804" s="165"/>
      <c r="P1804" s="165"/>
      <c r="Q1804" s="165"/>
      <c r="R1804" s="165"/>
      <c r="S1804" s="165"/>
      <c r="T1804" s="165"/>
    </row>
    <row r="1805">
      <c r="A1805" s="165"/>
      <c r="B1805" s="165"/>
      <c r="C1805" s="165"/>
      <c r="D1805" s="165"/>
      <c r="E1805" s="166"/>
      <c r="F1805" s="165"/>
      <c r="G1805" s="167"/>
      <c r="H1805" s="166"/>
      <c r="I1805" s="167"/>
      <c r="J1805" s="168"/>
      <c r="K1805" s="169"/>
      <c r="L1805" s="165"/>
      <c r="M1805" s="165"/>
      <c r="N1805" s="165"/>
      <c r="O1805" s="165"/>
      <c r="P1805" s="165"/>
      <c r="Q1805" s="165"/>
      <c r="R1805" s="165"/>
      <c r="S1805" s="165"/>
      <c r="T1805" s="165"/>
    </row>
    <row r="1806">
      <c r="A1806" s="165"/>
      <c r="B1806" s="165"/>
      <c r="C1806" s="165"/>
      <c r="D1806" s="165"/>
      <c r="E1806" s="166"/>
      <c r="F1806" s="165"/>
      <c r="G1806" s="167"/>
      <c r="H1806" s="166"/>
      <c r="I1806" s="167"/>
      <c r="J1806" s="168"/>
      <c r="K1806" s="169"/>
      <c r="L1806" s="165"/>
      <c r="M1806" s="165"/>
      <c r="N1806" s="165"/>
      <c r="O1806" s="165"/>
      <c r="P1806" s="165"/>
      <c r="Q1806" s="165"/>
      <c r="R1806" s="165"/>
      <c r="S1806" s="165"/>
      <c r="T1806" s="165"/>
    </row>
    <row r="1807">
      <c r="A1807" s="165"/>
      <c r="B1807" s="165"/>
      <c r="C1807" s="165"/>
      <c r="D1807" s="165"/>
      <c r="E1807" s="166"/>
      <c r="F1807" s="165"/>
      <c r="G1807" s="167"/>
      <c r="H1807" s="166"/>
      <c r="I1807" s="167"/>
      <c r="J1807" s="168"/>
      <c r="K1807" s="169"/>
      <c r="L1807" s="165"/>
      <c r="M1807" s="165"/>
      <c r="N1807" s="165"/>
      <c r="O1807" s="165"/>
      <c r="P1807" s="165"/>
      <c r="Q1807" s="165"/>
      <c r="R1807" s="165"/>
      <c r="S1807" s="165"/>
      <c r="T1807" s="165"/>
    </row>
    <row r="1808">
      <c r="A1808" s="165"/>
      <c r="B1808" s="165"/>
      <c r="C1808" s="165"/>
      <c r="D1808" s="165"/>
      <c r="E1808" s="166"/>
      <c r="F1808" s="165"/>
      <c r="G1808" s="167"/>
      <c r="H1808" s="166"/>
      <c r="I1808" s="167"/>
      <c r="J1808" s="168"/>
      <c r="K1808" s="169"/>
      <c r="L1808" s="165"/>
      <c r="M1808" s="165"/>
      <c r="N1808" s="165"/>
      <c r="O1808" s="165"/>
      <c r="P1808" s="165"/>
      <c r="Q1808" s="165"/>
      <c r="R1808" s="165"/>
      <c r="S1808" s="165"/>
      <c r="T1808" s="165"/>
    </row>
    <row r="1809">
      <c r="A1809" s="165"/>
      <c r="B1809" s="165"/>
      <c r="C1809" s="165"/>
      <c r="D1809" s="165"/>
      <c r="E1809" s="166"/>
      <c r="F1809" s="165"/>
      <c r="G1809" s="167"/>
      <c r="H1809" s="166"/>
      <c r="I1809" s="167"/>
      <c r="J1809" s="168"/>
      <c r="K1809" s="169"/>
      <c r="L1809" s="165"/>
      <c r="M1809" s="165"/>
      <c r="N1809" s="165"/>
      <c r="O1809" s="165"/>
      <c r="P1809" s="165"/>
      <c r="Q1809" s="165"/>
      <c r="R1809" s="165"/>
      <c r="S1809" s="165"/>
      <c r="T1809" s="165"/>
    </row>
    <row r="1810">
      <c r="A1810" s="165"/>
      <c r="B1810" s="165"/>
      <c r="C1810" s="165"/>
      <c r="D1810" s="165"/>
      <c r="E1810" s="166"/>
      <c r="F1810" s="165"/>
      <c r="G1810" s="167"/>
      <c r="H1810" s="166"/>
      <c r="I1810" s="167"/>
      <c r="J1810" s="168"/>
      <c r="K1810" s="169"/>
      <c r="L1810" s="165"/>
      <c r="M1810" s="165"/>
      <c r="N1810" s="165"/>
      <c r="O1810" s="165"/>
      <c r="P1810" s="165"/>
      <c r="Q1810" s="165"/>
      <c r="R1810" s="165"/>
      <c r="S1810" s="165"/>
      <c r="T1810" s="165"/>
    </row>
    <row r="1811">
      <c r="A1811" s="165"/>
      <c r="B1811" s="165"/>
      <c r="C1811" s="165"/>
      <c r="D1811" s="165"/>
      <c r="E1811" s="166"/>
      <c r="F1811" s="165"/>
      <c r="G1811" s="167"/>
      <c r="H1811" s="166"/>
      <c r="I1811" s="167"/>
      <c r="J1811" s="168"/>
      <c r="K1811" s="169"/>
      <c r="L1811" s="165"/>
      <c r="M1811" s="165"/>
      <c r="N1811" s="165"/>
      <c r="O1811" s="165"/>
      <c r="P1811" s="165"/>
      <c r="Q1811" s="165"/>
      <c r="R1811" s="165"/>
      <c r="S1811" s="165"/>
      <c r="T1811" s="165"/>
    </row>
    <row r="1812">
      <c r="A1812" s="165"/>
      <c r="B1812" s="165"/>
      <c r="C1812" s="165"/>
      <c r="D1812" s="165"/>
      <c r="E1812" s="166"/>
      <c r="F1812" s="165"/>
      <c r="G1812" s="167"/>
      <c r="H1812" s="166"/>
      <c r="I1812" s="167"/>
      <c r="J1812" s="168"/>
      <c r="K1812" s="169"/>
      <c r="L1812" s="165"/>
      <c r="M1812" s="165"/>
      <c r="N1812" s="165"/>
      <c r="O1812" s="165"/>
      <c r="P1812" s="165"/>
      <c r="Q1812" s="165"/>
      <c r="R1812" s="165"/>
      <c r="S1812" s="165"/>
      <c r="T1812" s="165"/>
    </row>
    <row r="1813">
      <c r="A1813" s="165"/>
      <c r="B1813" s="165"/>
      <c r="C1813" s="165"/>
      <c r="D1813" s="165"/>
      <c r="E1813" s="166"/>
      <c r="F1813" s="165"/>
      <c r="G1813" s="167"/>
      <c r="H1813" s="166"/>
      <c r="I1813" s="167"/>
      <c r="J1813" s="168"/>
      <c r="K1813" s="169"/>
      <c r="L1813" s="165"/>
      <c r="M1813" s="165"/>
      <c r="N1813" s="165"/>
      <c r="O1813" s="165"/>
      <c r="P1813" s="165"/>
      <c r="Q1813" s="165"/>
      <c r="R1813" s="165"/>
      <c r="S1813" s="165"/>
      <c r="T1813" s="165"/>
    </row>
    <row r="1814">
      <c r="A1814" s="165"/>
      <c r="B1814" s="165"/>
      <c r="C1814" s="165"/>
      <c r="D1814" s="165"/>
      <c r="E1814" s="166"/>
      <c r="F1814" s="165"/>
      <c r="G1814" s="167"/>
      <c r="H1814" s="166"/>
      <c r="I1814" s="167"/>
      <c r="J1814" s="168"/>
      <c r="K1814" s="169"/>
      <c r="L1814" s="165"/>
      <c r="M1814" s="165"/>
      <c r="N1814" s="165"/>
      <c r="O1814" s="165"/>
      <c r="P1814" s="165"/>
      <c r="Q1814" s="165"/>
      <c r="R1814" s="165"/>
      <c r="S1814" s="165"/>
      <c r="T1814" s="165"/>
    </row>
    <row r="1815">
      <c r="A1815" s="165"/>
      <c r="B1815" s="165"/>
      <c r="C1815" s="165"/>
      <c r="D1815" s="165"/>
      <c r="E1815" s="166"/>
      <c r="F1815" s="165"/>
      <c r="G1815" s="167"/>
      <c r="H1815" s="166"/>
      <c r="I1815" s="167"/>
      <c r="J1815" s="168"/>
      <c r="K1815" s="169"/>
      <c r="L1815" s="165"/>
      <c r="M1815" s="165"/>
      <c r="N1815" s="165"/>
      <c r="O1815" s="165"/>
      <c r="P1815" s="165"/>
      <c r="Q1815" s="165"/>
      <c r="R1815" s="165"/>
      <c r="S1815" s="165"/>
      <c r="T1815" s="165"/>
    </row>
    <row r="1816">
      <c r="A1816" s="165"/>
      <c r="B1816" s="165"/>
      <c r="C1816" s="165"/>
      <c r="D1816" s="165"/>
      <c r="E1816" s="166"/>
      <c r="F1816" s="165"/>
      <c r="G1816" s="167"/>
      <c r="H1816" s="166"/>
      <c r="I1816" s="167"/>
      <c r="J1816" s="168"/>
      <c r="K1816" s="169"/>
      <c r="L1816" s="165"/>
      <c r="M1816" s="165"/>
      <c r="N1816" s="165"/>
      <c r="O1816" s="165"/>
      <c r="P1816" s="165"/>
      <c r="Q1816" s="165"/>
      <c r="R1816" s="165"/>
      <c r="S1816" s="165"/>
      <c r="T1816" s="165"/>
    </row>
    <row r="1817">
      <c r="A1817" s="165"/>
      <c r="B1817" s="165"/>
      <c r="C1817" s="165"/>
      <c r="D1817" s="165"/>
      <c r="E1817" s="166"/>
      <c r="F1817" s="165"/>
      <c r="G1817" s="167"/>
      <c r="H1817" s="166"/>
      <c r="I1817" s="167"/>
      <c r="J1817" s="168"/>
      <c r="K1817" s="169"/>
      <c r="L1817" s="165"/>
      <c r="M1817" s="165"/>
      <c r="N1817" s="165"/>
      <c r="O1817" s="165"/>
      <c r="P1817" s="165"/>
      <c r="Q1817" s="165"/>
      <c r="R1817" s="165"/>
      <c r="S1817" s="165"/>
      <c r="T1817" s="165"/>
    </row>
    <row r="1818">
      <c r="A1818" s="165"/>
      <c r="B1818" s="165"/>
      <c r="C1818" s="165"/>
      <c r="D1818" s="165"/>
      <c r="E1818" s="166"/>
      <c r="F1818" s="165"/>
      <c r="G1818" s="167"/>
      <c r="H1818" s="166"/>
      <c r="I1818" s="167"/>
      <c r="J1818" s="168"/>
      <c r="K1818" s="169"/>
      <c r="L1818" s="165"/>
      <c r="M1818" s="165"/>
      <c r="N1818" s="165"/>
      <c r="O1818" s="165"/>
      <c r="P1818" s="165"/>
      <c r="Q1818" s="165"/>
      <c r="R1818" s="165"/>
      <c r="S1818" s="165"/>
      <c r="T1818" s="165"/>
    </row>
    <row r="1819">
      <c r="A1819" s="165"/>
      <c r="B1819" s="165"/>
      <c r="C1819" s="165"/>
      <c r="D1819" s="165"/>
      <c r="E1819" s="166"/>
      <c r="F1819" s="165"/>
      <c r="G1819" s="167"/>
      <c r="H1819" s="166"/>
      <c r="I1819" s="167"/>
      <c r="J1819" s="168"/>
      <c r="K1819" s="169"/>
      <c r="L1819" s="165"/>
      <c r="M1819" s="165"/>
      <c r="N1819" s="165"/>
      <c r="O1819" s="165"/>
      <c r="P1819" s="165"/>
      <c r="Q1819" s="165"/>
      <c r="R1819" s="165"/>
      <c r="S1819" s="165"/>
      <c r="T1819" s="165"/>
    </row>
    <row r="1820">
      <c r="A1820" s="165"/>
      <c r="B1820" s="165"/>
      <c r="C1820" s="165"/>
      <c r="D1820" s="165"/>
      <c r="E1820" s="166"/>
      <c r="F1820" s="165"/>
      <c r="G1820" s="167"/>
      <c r="H1820" s="166"/>
      <c r="I1820" s="167"/>
      <c r="J1820" s="168"/>
      <c r="K1820" s="169"/>
      <c r="L1820" s="165"/>
      <c r="M1820" s="165"/>
      <c r="N1820" s="165"/>
      <c r="O1820" s="165"/>
      <c r="P1820" s="165"/>
      <c r="Q1820" s="165"/>
      <c r="R1820" s="165"/>
      <c r="S1820" s="165"/>
      <c r="T1820" s="165"/>
    </row>
    <row r="1821">
      <c r="A1821" s="165"/>
      <c r="B1821" s="165"/>
      <c r="C1821" s="165"/>
      <c r="D1821" s="165"/>
      <c r="E1821" s="166"/>
      <c r="F1821" s="165"/>
      <c r="G1821" s="167"/>
      <c r="H1821" s="166"/>
      <c r="I1821" s="167"/>
      <c r="J1821" s="168"/>
      <c r="K1821" s="169"/>
      <c r="L1821" s="165"/>
      <c r="M1821" s="165"/>
      <c r="N1821" s="165"/>
      <c r="O1821" s="165"/>
      <c r="P1821" s="165"/>
      <c r="Q1821" s="165"/>
      <c r="R1821" s="165"/>
      <c r="S1821" s="165"/>
      <c r="T1821" s="165"/>
    </row>
    <row r="1822">
      <c r="A1822" s="165"/>
      <c r="B1822" s="165"/>
      <c r="C1822" s="165"/>
      <c r="D1822" s="165"/>
      <c r="E1822" s="166"/>
      <c r="F1822" s="165"/>
      <c r="G1822" s="167"/>
      <c r="H1822" s="166"/>
      <c r="I1822" s="167"/>
      <c r="J1822" s="168"/>
      <c r="K1822" s="169"/>
      <c r="L1822" s="165"/>
      <c r="M1822" s="165"/>
      <c r="N1822" s="165"/>
      <c r="O1822" s="165"/>
      <c r="P1822" s="165"/>
      <c r="Q1822" s="165"/>
      <c r="R1822" s="165"/>
      <c r="S1822" s="165"/>
      <c r="T1822" s="165"/>
    </row>
    <row r="1823">
      <c r="A1823" s="165"/>
      <c r="B1823" s="165"/>
      <c r="C1823" s="165"/>
      <c r="D1823" s="165"/>
      <c r="E1823" s="166"/>
      <c r="F1823" s="165"/>
      <c r="G1823" s="167"/>
      <c r="H1823" s="166"/>
      <c r="I1823" s="167"/>
      <c r="J1823" s="168"/>
      <c r="K1823" s="169"/>
      <c r="L1823" s="165"/>
      <c r="M1823" s="165"/>
      <c r="N1823" s="165"/>
      <c r="O1823" s="165"/>
      <c r="P1823" s="165"/>
      <c r="Q1823" s="165"/>
      <c r="R1823" s="165"/>
      <c r="S1823" s="165"/>
      <c r="T1823" s="165"/>
    </row>
    <row r="1824">
      <c r="A1824" s="165"/>
      <c r="B1824" s="165"/>
      <c r="C1824" s="165"/>
      <c r="D1824" s="165"/>
      <c r="E1824" s="166"/>
      <c r="F1824" s="165"/>
      <c r="G1824" s="167"/>
      <c r="H1824" s="166"/>
      <c r="I1824" s="167"/>
      <c r="J1824" s="168"/>
      <c r="K1824" s="169"/>
      <c r="L1824" s="165"/>
      <c r="M1824" s="165"/>
      <c r="N1824" s="165"/>
      <c r="O1824" s="165"/>
      <c r="P1824" s="165"/>
      <c r="Q1824" s="165"/>
      <c r="R1824" s="165"/>
      <c r="S1824" s="165"/>
      <c r="T1824" s="165"/>
    </row>
    <row r="1825">
      <c r="A1825" s="165"/>
      <c r="B1825" s="165"/>
      <c r="C1825" s="165"/>
      <c r="D1825" s="165"/>
      <c r="E1825" s="166"/>
      <c r="F1825" s="165"/>
      <c r="G1825" s="167"/>
      <c r="H1825" s="166"/>
      <c r="I1825" s="167"/>
      <c r="J1825" s="168"/>
      <c r="K1825" s="169"/>
      <c r="L1825" s="165"/>
      <c r="M1825" s="165"/>
      <c r="N1825" s="165"/>
      <c r="O1825" s="165"/>
      <c r="P1825" s="165"/>
      <c r="Q1825" s="165"/>
      <c r="R1825" s="165"/>
      <c r="S1825" s="165"/>
      <c r="T1825" s="165"/>
    </row>
    <row r="1826">
      <c r="A1826" s="165"/>
      <c r="B1826" s="165"/>
      <c r="C1826" s="165"/>
      <c r="D1826" s="165"/>
      <c r="E1826" s="166"/>
      <c r="F1826" s="165"/>
      <c r="G1826" s="167"/>
      <c r="H1826" s="166"/>
      <c r="I1826" s="167"/>
      <c r="J1826" s="168"/>
      <c r="K1826" s="169"/>
      <c r="L1826" s="165"/>
      <c r="M1826" s="165"/>
      <c r="N1826" s="165"/>
      <c r="O1826" s="165"/>
      <c r="P1826" s="165"/>
      <c r="Q1826" s="165"/>
      <c r="R1826" s="165"/>
      <c r="S1826" s="165"/>
      <c r="T1826" s="165"/>
    </row>
    <row r="1827">
      <c r="A1827" s="165"/>
      <c r="B1827" s="165"/>
      <c r="C1827" s="165"/>
      <c r="D1827" s="165"/>
      <c r="E1827" s="166"/>
      <c r="F1827" s="165"/>
      <c r="G1827" s="167"/>
      <c r="H1827" s="166"/>
      <c r="I1827" s="167"/>
      <c r="J1827" s="168"/>
      <c r="K1827" s="169"/>
      <c r="L1827" s="165"/>
      <c r="M1827" s="165"/>
      <c r="N1827" s="165"/>
      <c r="O1827" s="165"/>
      <c r="P1827" s="165"/>
      <c r="Q1827" s="165"/>
      <c r="R1827" s="165"/>
      <c r="S1827" s="165"/>
      <c r="T1827" s="165"/>
    </row>
    <row r="1828">
      <c r="A1828" s="165"/>
      <c r="B1828" s="165"/>
      <c r="C1828" s="165"/>
      <c r="D1828" s="165"/>
      <c r="E1828" s="166"/>
      <c r="F1828" s="165"/>
      <c r="G1828" s="167"/>
      <c r="H1828" s="166"/>
      <c r="I1828" s="167"/>
      <c r="J1828" s="168"/>
      <c r="K1828" s="169"/>
      <c r="L1828" s="165"/>
      <c r="M1828" s="165"/>
      <c r="N1828" s="165"/>
      <c r="O1828" s="165"/>
      <c r="P1828" s="165"/>
      <c r="Q1828" s="165"/>
      <c r="R1828" s="165"/>
      <c r="S1828" s="165"/>
      <c r="T1828" s="165"/>
    </row>
    <row r="1829">
      <c r="A1829" s="165"/>
      <c r="B1829" s="165"/>
      <c r="C1829" s="165"/>
      <c r="D1829" s="165"/>
      <c r="E1829" s="166"/>
      <c r="F1829" s="165"/>
      <c r="G1829" s="167"/>
      <c r="H1829" s="166"/>
      <c r="I1829" s="167"/>
      <c r="J1829" s="168"/>
      <c r="K1829" s="169"/>
      <c r="L1829" s="165"/>
      <c r="M1829" s="165"/>
      <c r="N1829" s="165"/>
      <c r="O1829" s="165"/>
      <c r="P1829" s="165"/>
      <c r="Q1829" s="165"/>
      <c r="R1829" s="165"/>
      <c r="S1829" s="165"/>
      <c r="T1829" s="165"/>
    </row>
    <row r="1830">
      <c r="A1830" s="165"/>
      <c r="B1830" s="165"/>
      <c r="C1830" s="165"/>
      <c r="D1830" s="165"/>
      <c r="E1830" s="166"/>
      <c r="F1830" s="165"/>
      <c r="G1830" s="167"/>
      <c r="H1830" s="166"/>
      <c r="I1830" s="167"/>
      <c r="J1830" s="168"/>
      <c r="K1830" s="169"/>
      <c r="L1830" s="165"/>
      <c r="M1830" s="165"/>
      <c r="N1830" s="165"/>
      <c r="O1830" s="165"/>
      <c r="P1830" s="165"/>
      <c r="Q1830" s="165"/>
      <c r="R1830" s="165"/>
      <c r="S1830" s="165"/>
      <c r="T1830" s="165"/>
    </row>
    <row r="1831">
      <c r="A1831" s="165"/>
      <c r="B1831" s="165"/>
      <c r="C1831" s="165"/>
      <c r="D1831" s="165"/>
      <c r="E1831" s="166"/>
      <c r="F1831" s="165"/>
      <c r="G1831" s="167"/>
      <c r="H1831" s="166"/>
      <c r="I1831" s="167"/>
      <c r="J1831" s="168"/>
      <c r="K1831" s="169"/>
      <c r="L1831" s="165"/>
      <c r="M1831" s="165"/>
      <c r="N1831" s="165"/>
      <c r="O1831" s="165"/>
      <c r="P1831" s="165"/>
      <c r="Q1831" s="165"/>
      <c r="R1831" s="165"/>
      <c r="S1831" s="165"/>
      <c r="T1831" s="165"/>
    </row>
    <row r="1832">
      <c r="A1832" s="165"/>
      <c r="B1832" s="165"/>
      <c r="C1832" s="165"/>
      <c r="D1832" s="165"/>
      <c r="E1832" s="166"/>
      <c r="F1832" s="165"/>
      <c r="G1832" s="167"/>
      <c r="H1832" s="166"/>
      <c r="I1832" s="167"/>
      <c r="J1832" s="168"/>
      <c r="K1832" s="169"/>
      <c r="L1832" s="165"/>
      <c r="M1832" s="165"/>
      <c r="N1832" s="165"/>
      <c r="O1832" s="165"/>
      <c r="P1832" s="165"/>
      <c r="Q1832" s="165"/>
      <c r="R1832" s="165"/>
      <c r="S1832" s="165"/>
      <c r="T1832" s="165"/>
    </row>
    <row r="1833">
      <c r="A1833" s="165"/>
      <c r="B1833" s="165"/>
      <c r="C1833" s="165"/>
      <c r="D1833" s="165"/>
      <c r="E1833" s="166"/>
      <c r="F1833" s="165"/>
      <c r="G1833" s="167"/>
      <c r="H1833" s="166"/>
      <c r="I1833" s="167"/>
      <c r="J1833" s="168"/>
      <c r="K1833" s="169"/>
      <c r="L1833" s="165"/>
      <c r="M1833" s="165"/>
      <c r="N1833" s="165"/>
      <c r="O1833" s="165"/>
      <c r="P1833" s="165"/>
      <c r="Q1833" s="165"/>
      <c r="R1833" s="165"/>
      <c r="S1833" s="165"/>
      <c r="T1833" s="165"/>
    </row>
    <row r="1834">
      <c r="A1834" s="165"/>
      <c r="B1834" s="165"/>
      <c r="C1834" s="165"/>
      <c r="D1834" s="165"/>
      <c r="E1834" s="166"/>
      <c r="F1834" s="165"/>
      <c r="G1834" s="167"/>
      <c r="H1834" s="166"/>
      <c r="I1834" s="167"/>
      <c r="J1834" s="168"/>
      <c r="K1834" s="169"/>
      <c r="L1834" s="165"/>
      <c r="M1834" s="165"/>
      <c r="N1834" s="165"/>
      <c r="O1834" s="165"/>
      <c r="P1834" s="165"/>
      <c r="Q1834" s="165"/>
      <c r="R1834" s="165"/>
      <c r="S1834" s="165"/>
      <c r="T1834" s="165"/>
    </row>
    <row r="1835">
      <c r="A1835" s="165"/>
      <c r="B1835" s="165"/>
      <c r="C1835" s="165"/>
      <c r="D1835" s="165"/>
      <c r="E1835" s="166"/>
      <c r="F1835" s="165"/>
      <c r="G1835" s="167"/>
      <c r="H1835" s="166"/>
      <c r="I1835" s="167"/>
      <c r="J1835" s="168"/>
      <c r="K1835" s="169"/>
      <c r="L1835" s="165"/>
      <c r="M1835" s="165"/>
      <c r="N1835" s="165"/>
      <c r="O1835" s="165"/>
      <c r="P1835" s="165"/>
      <c r="Q1835" s="165"/>
      <c r="R1835" s="165"/>
      <c r="S1835" s="165"/>
      <c r="T1835" s="165"/>
    </row>
    <row r="1836">
      <c r="A1836" s="165"/>
      <c r="B1836" s="165"/>
      <c r="C1836" s="165"/>
      <c r="D1836" s="165"/>
      <c r="E1836" s="166"/>
      <c r="F1836" s="165"/>
      <c r="G1836" s="167"/>
      <c r="H1836" s="166"/>
      <c r="I1836" s="167"/>
      <c r="J1836" s="168"/>
      <c r="K1836" s="169"/>
      <c r="L1836" s="165"/>
      <c r="M1836" s="165"/>
      <c r="N1836" s="165"/>
      <c r="O1836" s="165"/>
      <c r="P1836" s="165"/>
      <c r="Q1836" s="165"/>
      <c r="R1836" s="165"/>
      <c r="S1836" s="165"/>
      <c r="T1836" s="165"/>
    </row>
    <row r="1837">
      <c r="A1837" s="165"/>
      <c r="B1837" s="165"/>
      <c r="C1837" s="165"/>
      <c r="D1837" s="165"/>
      <c r="E1837" s="166"/>
      <c r="F1837" s="165"/>
      <c r="G1837" s="167"/>
      <c r="H1837" s="166"/>
      <c r="I1837" s="167"/>
      <c r="J1837" s="168"/>
      <c r="K1837" s="169"/>
      <c r="L1837" s="165"/>
      <c r="M1837" s="165"/>
      <c r="N1837" s="165"/>
      <c r="O1837" s="165"/>
      <c r="P1837" s="165"/>
      <c r="Q1837" s="165"/>
      <c r="R1837" s="165"/>
      <c r="S1837" s="165"/>
      <c r="T1837" s="165"/>
    </row>
    <row r="1838">
      <c r="A1838" s="165"/>
      <c r="B1838" s="165"/>
      <c r="C1838" s="165"/>
      <c r="D1838" s="165"/>
      <c r="E1838" s="166"/>
      <c r="F1838" s="165"/>
      <c r="G1838" s="167"/>
      <c r="H1838" s="166"/>
      <c r="I1838" s="167"/>
      <c r="J1838" s="168"/>
      <c r="K1838" s="169"/>
      <c r="L1838" s="165"/>
      <c r="M1838" s="165"/>
      <c r="N1838" s="165"/>
      <c r="O1838" s="165"/>
      <c r="P1838" s="165"/>
      <c r="Q1838" s="165"/>
      <c r="R1838" s="165"/>
      <c r="S1838" s="165"/>
      <c r="T1838" s="165"/>
    </row>
    <row r="1839">
      <c r="A1839" s="165"/>
      <c r="B1839" s="165"/>
      <c r="C1839" s="165"/>
      <c r="D1839" s="165"/>
      <c r="E1839" s="166"/>
      <c r="F1839" s="165"/>
      <c r="G1839" s="167"/>
      <c r="H1839" s="166"/>
      <c r="I1839" s="167"/>
      <c r="J1839" s="168"/>
      <c r="K1839" s="169"/>
      <c r="L1839" s="165"/>
      <c r="M1839" s="165"/>
      <c r="N1839" s="165"/>
      <c r="O1839" s="165"/>
      <c r="P1839" s="165"/>
      <c r="Q1839" s="165"/>
      <c r="R1839" s="165"/>
      <c r="S1839" s="165"/>
      <c r="T1839" s="165"/>
    </row>
    <row r="1840">
      <c r="A1840" s="165"/>
      <c r="B1840" s="165"/>
      <c r="C1840" s="165"/>
      <c r="D1840" s="165"/>
      <c r="E1840" s="166"/>
      <c r="F1840" s="165"/>
      <c r="G1840" s="167"/>
      <c r="H1840" s="166"/>
      <c r="I1840" s="167"/>
      <c r="J1840" s="168"/>
      <c r="K1840" s="169"/>
      <c r="L1840" s="165"/>
      <c r="M1840" s="165"/>
      <c r="N1840" s="165"/>
      <c r="O1840" s="165"/>
      <c r="P1840" s="165"/>
      <c r="Q1840" s="165"/>
      <c r="R1840" s="165"/>
      <c r="S1840" s="165"/>
      <c r="T1840" s="165"/>
    </row>
    <row r="1841">
      <c r="A1841" s="165"/>
      <c r="B1841" s="165"/>
      <c r="C1841" s="165"/>
      <c r="D1841" s="165"/>
      <c r="E1841" s="166"/>
      <c r="F1841" s="165"/>
      <c r="G1841" s="167"/>
      <c r="H1841" s="166"/>
      <c r="I1841" s="167"/>
      <c r="J1841" s="168"/>
      <c r="K1841" s="169"/>
      <c r="L1841" s="165"/>
      <c r="M1841" s="165"/>
      <c r="N1841" s="165"/>
      <c r="O1841" s="165"/>
      <c r="P1841" s="165"/>
      <c r="Q1841" s="165"/>
      <c r="R1841" s="165"/>
      <c r="S1841" s="165"/>
      <c r="T1841" s="165"/>
    </row>
    <row r="1842">
      <c r="A1842" s="165"/>
      <c r="B1842" s="165"/>
      <c r="C1842" s="165"/>
      <c r="D1842" s="165"/>
      <c r="E1842" s="166"/>
      <c r="F1842" s="165"/>
      <c r="G1842" s="167"/>
      <c r="H1842" s="166"/>
      <c r="I1842" s="167"/>
      <c r="J1842" s="168"/>
      <c r="K1842" s="169"/>
      <c r="L1842" s="165"/>
      <c r="M1842" s="165"/>
      <c r="N1842" s="165"/>
      <c r="O1842" s="165"/>
      <c r="P1842" s="165"/>
      <c r="Q1842" s="165"/>
      <c r="R1842" s="165"/>
      <c r="S1842" s="165"/>
      <c r="T1842" s="165"/>
    </row>
    <row r="1843">
      <c r="A1843" s="165"/>
      <c r="B1843" s="165"/>
      <c r="C1843" s="165"/>
      <c r="D1843" s="165"/>
      <c r="E1843" s="166"/>
      <c r="F1843" s="165"/>
      <c r="G1843" s="167"/>
      <c r="H1843" s="166"/>
      <c r="I1843" s="167"/>
      <c r="J1843" s="168"/>
      <c r="K1843" s="169"/>
      <c r="L1843" s="165"/>
      <c r="M1843" s="165"/>
      <c r="N1843" s="165"/>
      <c r="O1843" s="165"/>
      <c r="P1843" s="165"/>
      <c r="Q1843" s="165"/>
      <c r="R1843" s="165"/>
      <c r="S1843" s="165"/>
      <c r="T1843" s="165"/>
    </row>
    <row r="1844">
      <c r="A1844" s="165"/>
      <c r="B1844" s="165"/>
      <c r="C1844" s="165"/>
      <c r="D1844" s="165"/>
      <c r="E1844" s="166"/>
      <c r="F1844" s="165"/>
      <c r="G1844" s="167"/>
      <c r="H1844" s="166"/>
      <c r="I1844" s="167"/>
      <c r="J1844" s="168"/>
      <c r="K1844" s="169"/>
      <c r="L1844" s="165"/>
      <c r="M1844" s="165"/>
      <c r="N1844" s="165"/>
      <c r="O1844" s="165"/>
      <c r="P1844" s="165"/>
      <c r="Q1844" s="165"/>
      <c r="R1844" s="165"/>
      <c r="S1844" s="165"/>
      <c r="T1844" s="165"/>
    </row>
    <row r="1845">
      <c r="A1845" s="165"/>
      <c r="B1845" s="165"/>
      <c r="C1845" s="165"/>
      <c r="D1845" s="165"/>
      <c r="E1845" s="166"/>
      <c r="F1845" s="165"/>
      <c r="G1845" s="167"/>
      <c r="H1845" s="166"/>
      <c r="I1845" s="167"/>
      <c r="J1845" s="168"/>
      <c r="K1845" s="169"/>
      <c r="L1845" s="165"/>
      <c r="M1845" s="165"/>
      <c r="N1845" s="165"/>
      <c r="O1845" s="165"/>
      <c r="P1845" s="165"/>
      <c r="Q1845" s="165"/>
      <c r="R1845" s="165"/>
      <c r="S1845" s="165"/>
      <c r="T1845" s="165"/>
    </row>
    <row r="1846">
      <c r="A1846" s="165"/>
      <c r="B1846" s="165"/>
      <c r="C1846" s="165"/>
      <c r="D1846" s="165"/>
      <c r="E1846" s="166"/>
      <c r="F1846" s="165"/>
      <c r="G1846" s="167"/>
      <c r="H1846" s="166"/>
      <c r="I1846" s="167"/>
      <c r="J1846" s="168"/>
      <c r="K1846" s="169"/>
      <c r="L1846" s="165"/>
      <c r="M1846" s="165"/>
      <c r="N1846" s="165"/>
      <c r="O1846" s="165"/>
      <c r="P1846" s="165"/>
      <c r="Q1846" s="165"/>
      <c r="R1846" s="165"/>
      <c r="S1846" s="165"/>
      <c r="T1846" s="165"/>
    </row>
    <row r="1847">
      <c r="A1847" s="165"/>
      <c r="B1847" s="165"/>
      <c r="C1847" s="165"/>
      <c r="D1847" s="165"/>
      <c r="E1847" s="166"/>
      <c r="F1847" s="165"/>
      <c r="G1847" s="167"/>
      <c r="H1847" s="166"/>
      <c r="I1847" s="167"/>
      <c r="J1847" s="168"/>
      <c r="K1847" s="169"/>
      <c r="L1847" s="165"/>
      <c r="M1847" s="165"/>
      <c r="N1847" s="165"/>
      <c r="O1847" s="165"/>
      <c r="P1847" s="165"/>
      <c r="Q1847" s="165"/>
      <c r="R1847" s="165"/>
      <c r="S1847" s="165"/>
      <c r="T1847" s="165"/>
    </row>
    <row r="1848">
      <c r="A1848" s="165"/>
      <c r="B1848" s="165"/>
      <c r="C1848" s="165"/>
      <c r="D1848" s="165"/>
      <c r="E1848" s="166"/>
      <c r="F1848" s="165"/>
      <c r="G1848" s="167"/>
      <c r="H1848" s="166"/>
      <c r="I1848" s="167"/>
      <c r="J1848" s="168"/>
      <c r="K1848" s="169"/>
      <c r="L1848" s="165"/>
      <c r="M1848" s="165"/>
      <c r="N1848" s="165"/>
      <c r="O1848" s="165"/>
      <c r="P1848" s="165"/>
      <c r="Q1848" s="165"/>
      <c r="R1848" s="165"/>
      <c r="S1848" s="165"/>
      <c r="T1848" s="165"/>
    </row>
    <row r="1849">
      <c r="A1849" s="165"/>
      <c r="B1849" s="165"/>
      <c r="C1849" s="165"/>
      <c r="D1849" s="165"/>
      <c r="E1849" s="166"/>
      <c r="F1849" s="165"/>
      <c r="G1849" s="167"/>
      <c r="H1849" s="166"/>
      <c r="I1849" s="167"/>
      <c r="J1849" s="168"/>
      <c r="K1849" s="169"/>
      <c r="L1849" s="165"/>
      <c r="M1849" s="165"/>
      <c r="N1849" s="165"/>
      <c r="O1849" s="165"/>
      <c r="P1849" s="165"/>
      <c r="Q1849" s="165"/>
      <c r="R1849" s="165"/>
      <c r="S1849" s="165"/>
      <c r="T1849" s="165"/>
    </row>
    <row r="1850">
      <c r="A1850" s="165"/>
      <c r="B1850" s="165"/>
      <c r="C1850" s="165"/>
      <c r="D1850" s="165"/>
      <c r="E1850" s="166"/>
      <c r="F1850" s="165"/>
      <c r="G1850" s="167"/>
      <c r="H1850" s="166"/>
      <c r="I1850" s="167"/>
      <c r="J1850" s="168"/>
      <c r="K1850" s="169"/>
      <c r="L1850" s="165"/>
      <c r="M1850" s="165"/>
      <c r="N1850" s="165"/>
      <c r="O1850" s="165"/>
      <c r="P1850" s="165"/>
      <c r="Q1850" s="165"/>
      <c r="R1850" s="165"/>
      <c r="S1850" s="165"/>
      <c r="T1850" s="165"/>
    </row>
    <row r="1851">
      <c r="A1851" s="165"/>
      <c r="B1851" s="165"/>
      <c r="C1851" s="165"/>
      <c r="D1851" s="165"/>
      <c r="E1851" s="166"/>
      <c r="F1851" s="165"/>
      <c r="G1851" s="167"/>
      <c r="H1851" s="166"/>
      <c r="I1851" s="167"/>
      <c r="J1851" s="168"/>
      <c r="K1851" s="169"/>
      <c r="L1851" s="165"/>
      <c r="M1851" s="165"/>
      <c r="N1851" s="165"/>
      <c r="O1851" s="165"/>
      <c r="P1851" s="165"/>
      <c r="Q1851" s="165"/>
      <c r="R1851" s="165"/>
      <c r="S1851" s="165"/>
      <c r="T1851" s="165"/>
    </row>
    <row r="1852">
      <c r="A1852" s="165"/>
      <c r="B1852" s="165"/>
      <c r="C1852" s="165"/>
      <c r="D1852" s="165"/>
      <c r="E1852" s="166"/>
      <c r="F1852" s="165"/>
      <c r="G1852" s="167"/>
      <c r="H1852" s="166"/>
      <c r="I1852" s="167"/>
      <c r="J1852" s="168"/>
      <c r="K1852" s="169"/>
      <c r="L1852" s="165"/>
      <c r="M1852" s="165"/>
      <c r="N1852" s="165"/>
      <c r="O1852" s="165"/>
      <c r="P1852" s="165"/>
      <c r="Q1852" s="165"/>
      <c r="R1852" s="165"/>
      <c r="S1852" s="165"/>
      <c r="T1852" s="165"/>
    </row>
    <row r="1853">
      <c r="A1853" s="165"/>
      <c r="B1853" s="165"/>
      <c r="C1853" s="165"/>
      <c r="D1853" s="165"/>
      <c r="E1853" s="166"/>
      <c r="F1853" s="165"/>
      <c r="G1853" s="167"/>
      <c r="H1853" s="166"/>
      <c r="I1853" s="167"/>
      <c r="J1853" s="168"/>
      <c r="K1853" s="169"/>
      <c r="L1853" s="165"/>
      <c r="M1853" s="165"/>
      <c r="N1853" s="165"/>
      <c r="O1853" s="165"/>
      <c r="P1853" s="165"/>
      <c r="Q1853" s="165"/>
      <c r="R1853" s="165"/>
      <c r="S1853" s="165"/>
      <c r="T1853" s="165"/>
    </row>
    <row r="1854">
      <c r="A1854" s="165"/>
      <c r="B1854" s="165"/>
      <c r="C1854" s="165"/>
      <c r="D1854" s="165"/>
      <c r="E1854" s="166"/>
      <c r="F1854" s="165"/>
      <c r="G1854" s="167"/>
      <c r="H1854" s="166"/>
      <c r="I1854" s="167"/>
      <c r="J1854" s="168"/>
      <c r="K1854" s="169"/>
      <c r="L1854" s="165"/>
      <c r="M1854" s="165"/>
      <c r="N1854" s="165"/>
      <c r="O1854" s="165"/>
      <c r="P1854" s="165"/>
      <c r="Q1854" s="165"/>
      <c r="R1854" s="165"/>
      <c r="S1854" s="165"/>
      <c r="T1854" s="165"/>
    </row>
    <row r="1855">
      <c r="A1855" s="165"/>
      <c r="B1855" s="165"/>
      <c r="C1855" s="165"/>
      <c r="D1855" s="165"/>
      <c r="E1855" s="166"/>
      <c r="F1855" s="165"/>
      <c r="G1855" s="167"/>
      <c r="H1855" s="166"/>
      <c r="I1855" s="167"/>
      <c r="J1855" s="168"/>
      <c r="K1855" s="169"/>
      <c r="L1855" s="165"/>
      <c r="M1855" s="165"/>
      <c r="N1855" s="165"/>
      <c r="O1855" s="165"/>
      <c r="P1855" s="165"/>
      <c r="Q1855" s="165"/>
      <c r="R1855" s="165"/>
      <c r="S1855" s="165"/>
      <c r="T1855" s="165"/>
    </row>
    <row r="1856">
      <c r="A1856" s="165"/>
      <c r="B1856" s="165"/>
      <c r="C1856" s="165"/>
      <c r="D1856" s="165"/>
      <c r="E1856" s="166"/>
      <c r="F1856" s="165"/>
      <c r="G1856" s="167"/>
      <c r="H1856" s="166"/>
      <c r="I1856" s="167"/>
      <c r="J1856" s="168"/>
      <c r="K1856" s="169"/>
      <c r="L1856" s="165"/>
      <c r="M1856" s="165"/>
      <c r="N1856" s="165"/>
      <c r="O1856" s="165"/>
      <c r="P1856" s="165"/>
      <c r="Q1856" s="165"/>
      <c r="R1856" s="165"/>
      <c r="S1856" s="165"/>
      <c r="T1856" s="165"/>
    </row>
    <row r="1857">
      <c r="A1857" s="165"/>
      <c r="B1857" s="165"/>
      <c r="C1857" s="165"/>
      <c r="D1857" s="165"/>
      <c r="E1857" s="166"/>
      <c r="F1857" s="165"/>
      <c r="G1857" s="167"/>
      <c r="H1857" s="166"/>
      <c r="I1857" s="167"/>
      <c r="J1857" s="168"/>
      <c r="K1857" s="169"/>
      <c r="L1857" s="165"/>
      <c r="M1857" s="165"/>
      <c r="N1857" s="165"/>
      <c r="O1857" s="165"/>
      <c r="P1857" s="165"/>
      <c r="Q1857" s="165"/>
      <c r="R1857" s="165"/>
      <c r="S1857" s="165"/>
      <c r="T1857" s="165"/>
    </row>
    <row r="1858">
      <c r="A1858" s="165"/>
      <c r="B1858" s="165"/>
      <c r="C1858" s="165"/>
      <c r="D1858" s="165"/>
      <c r="E1858" s="166"/>
      <c r="F1858" s="165"/>
      <c r="G1858" s="167"/>
      <c r="H1858" s="166"/>
      <c r="I1858" s="167"/>
      <c r="J1858" s="168"/>
      <c r="K1858" s="169"/>
      <c r="L1858" s="165"/>
      <c r="M1858" s="165"/>
      <c r="N1858" s="165"/>
      <c r="O1858" s="165"/>
      <c r="P1858" s="165"/>
      <c r="Q1858" s="165"/>
      <c r="R1858" s="165"/>
      <c r="S1858" s="165"/>
      <c r="T1858" s="165"/>
    </row>
    <row r="1859">
      <c r="A1859" s="165"/>
      <c r="B1859" s="165"/>
      <c r="C1859" s="165"/>
      <c r="D1859" s="165"/>
      <c r="E1859" s="166"/>
      <c r="F1859" s="165"/>
      <c r="G1859" s="167"/>
      <c r="H1859" s="166"/>
      <c r="I1859" s="167"/>
      <c r="J1859" s="168"/>
      <c r="K1859" s="169"/>
      <c r="L1859" s="165"/>
      <c r="M1859" s="165"/>
      <c r="N1859" s="165"/>
      <c r="O1859" s="165"/>
      <c r="P1859" s="165"/>
      <c r="Q1859" s="165"/>
      <c r="R1859" s="165"/>
      <c r="S1859" s="165"/>
      <c r="T1859" s="165"/>
    </row>
    <row r="1860">
      <c r="A1860" s="165"/>
      <c r="B1860" s="165"/>
      <c r="C1860" s="165"/>
      <c r="D1860" s="165"/>
      <c r="E1860" s="166"/>
      <c r="F1860" s="165"/>
      <c r="G1860" s="167"/>
      <c r="H1860" s="166"/>
      <c r="I1860" s="167"/>
      <c r="J1860" s="168"/>
      <c r="K1860" s="169"/>
      <c r="L1860" s="165"/>
      <c r="M1860" s="165"/>
      <c r="N1860" s="165"/>
      <c r="O1860" s="165"/>
      <c r="P1860" s="165"/>
      <c r="Q1860" s="165"/>
      <c r="R1860" s="165"/>
      <c r="S1860" s="165"/>
      <c r="T1860" s="165"/>
    </row>
    <row r="1861">
      <c r="A1861" s="165"/>
      <c r="B1861" s="165"/>
      <c r="C1861" s="165"/>
      <c r="D1861" s="165"/>
      <c r="E1861" s="166"/>
      <c r="F1861" s="165"/>
      <c r="G1861" s="167"/>
      <c r="H1861" s="166"/>
      <c r="I1861" s="167"/>
      <c r="J1861" s="168"/>
      <c r="K1861" s="169"/>
      <c r="L1861" s="165"/>
      <c r="M1861" s="165"/>
      <c r="N1861" s="165"/>
      <c r="O1861" s="165"/>
      <c r="P1861" s="165"/>
      <c r="Q1861" s="165"/>
      <c r="R1861" s="165"/>
      <c r="S1861" s="165"/>
      <c r="T1861" s="165"/>
    </row>
    <row r="1862">
      <c r="A1862" s="165"/>
      <c r="B1862" s="165"/>
      <c r="C1862" s="165"/>
      <c r="D1862" s="165"/>
      <c r="E1862" s="166"/>
      <c r="F1862" s="165"/>
      <c r="G1862" s="167"/>
      <c r="H1862" s="166"/>
      <c r="I1862" s="167"/>
      <c r="J1862" s="168"/>
      <c r="K1862" s="169"/>
      <c r="L1862" s="165"/>
      <c r="M1862" s="165"/>
      <c r="N1862" s="165"/>
      <c r="O1862" s="165"/>
      <c r="P1862" s="165"/>
      <c r="Q1862" s="165"/>
      <c r="R1862" s="165"/>
      <c r="S1862" s="165"/>
      <c r="T1862" s="165"/>
    </row>
    <row r="1863">
      <c r="A1863" s="165"/>
      <c r="B1863" s="165"/>
      <c r="C1863" s="165"/>
      <c r="D1863" s="165"/>
      <c r="E1863" s="166"/>
      <c r="F1863" s="165"/>
      <c r="G1863" s="167"/>
      <c r="H1863" s="166"/>
      <c r="I1863" s="167"/>
      <c r="J1863" s="168"/>
      <c r="K1863" s="169"/>
      <c r="L1863" s="165"/>
      <c r="M1863" s="165"/>
      <c r="N1863" s="165"/>
      <c r="O1863" s="165"/>
      <c r="P1863" s="165"/>
      <c r="Q1863" s="165"/>
      <c r="R1863" s="165"/>
      <c r="S1863" s="165"/>
      <c r="T1863" s="165"/>
    </row>
    <row r="1864">
      <c r="A1864" s="165"/>
      <c r="B1864" s="165"/>
      <c r="C1864" s="165"/>
      <c r="D1864" s="165"/>
      <c r="E1864" s="166"/>
      <c r="F1864" s="165"/>
      <c r="G1864" s="167"/>
      <c r="H1864" s="166"/>
      <c r="I1864" s="167"/>
      <c r="J1864" s="168"/>
      <c r="K1864" s="169"/>
      <c r="L1864" s="165"/>
      <c r="M1864" s="165"/>
      <c r="N1864" s="165"/>
      <c r="O1864" s="165"/>
      <c r="P1864" s="165"/>
      <c r="Q1864" s="165"/>
      <c r="R1864" s="165"/>
      <c r="S1864" s="165"/>
      <c r="T1864" s="165"/>
    </row>
    <row r="1865">
      <c r="A1865" s="165"/>
      <c r="B1865" s="165"/>
      <c r="C1865" s="165"/>
      <c r="D1865" s="165"/>
      <c r="E1865" s="166"/>
      <c r="F1865" s="165"/>
      <c r="G1865" s="167"/>
      <c r="H1865" s="166"/>
      <c r="I1865" s="167"/>
      <c r="J1865" s="168"/>
      <c r="K1865" s="169"/>
      <c r="L1865" s="165"/>
      <c r="M1865" s="165"/>
      <c r="N1865" s="165"/>
      <c r="O1865" s="165"/>
      <c r="P1865" s="165"/>
      <c r="Q1865" s="165"/>
      <c r="R1865" s="165"/>
      <c r="S1865" s="165"/>
      <c r="T1865" s="165"/>
    </row>
    <row r="1866">
      <c r="A1866" s="165"/>
      <c r="B1866" s="165"/>
      <c r="C1866" s="165"/>
      <c r="D1866" s="165"/>
      <c r="E1866" s="166"/>
      <c r="F1866" s="165"/>
      <c r="G1866" s="167"/>
      <c r="H1866" s="166"/>
      <c r="I1866" s="167"/>
      <c r="J1866" s="168"/>
      <c r="K1866" s="169"/>
      <c r="L1866" s="165"/>
      <c r="M1866" s="165"/>
      <c r="N1866" s="165"/>
      <c r="O1866" s="165"/>
      <c r="P1866" s="165"/>
      <c r="Q1866" s="165"/>
      <c r="R1866" s="165"/>
      <c r="S1866" s="165"/>
      <c r="T1866" s="165"/>
    </row>
    <row r="1867">
      <c r="A1867" s="165"/>
      <c r="B1867" s="165"/>
      <c r="C1867" s="165"/>
      <c r="D1867" s="165"/>
      <c r="E1867" s="166"/>
      <c r="F1867" s="165"/>
      <c r="G1867" s="167"/>
      <c r="H1867" s="166"/>
      <c r="I1867" s="167"/>
      <c r="J1867" s="168"/>
      <c r="K1867" s="169"/>
      <c r="L1867" s="165"/>
      <c r="M1867" s="165"/>
      <c r="N1867" s="165"/>
      <c r="O1867" s="165"/>
      <c r="P1867" s="165"/>
      <c r="Q1867" s="165"/>
      <c r="R1867" s="165"/>
      <c r="S1867" s="165"/>
      <c r="T1867" s="165"/>
    </row>
    <row r="1868">
      <c r="A1868" s="165"/>
      <c r="B1868" s="165"/>
      <c r="C1868" s="165"/>
      <c r="D1868" s="165"/>
      <c r="E1868" s="166"/>
      <c r="F1868" s="165"/>
      <c r="G1868" s="167"/>
      <c r="H1868" s="166"/>
      <c r="I1868" s="167"/>
      <c r="J1868" s="168"/>
      <c r="K1868" s="169"/>
      <c r="L1868" s="165"/>
      <c r="M1868" s="165"/>
      <c r="N1868" s="165"/>
      <c r="O1868" s="165"/>
      <c r="P1868" s="165"/>
      <c r="Q1868" s="165"/>
      <c r="R1868" s="165"/>
      <c r="S1868" s="165"/>
      <c r="T1868" s="165"/>
    </row>
    <row r="1869">
      <c r="A1869" s="165"/>
      <c r="B1869" s="165"/>
      <c r="C1869" s="165"/>
      <c r="D1869" s="165"/>
      <c r="E1869" s="166"/>
      <c r="F1869" s="165"/>
      <c r="G1869" s="167"/>
      <c r="H1869" s="166"/>
      <c r="I1869" s="167"/>
      <c r="J1869" s="168"/>
      <c r="K1869" s="169"/>
      <c r="L1869" s="165"/>
      <c r="M1869" s="165"/>
      <c r="N1869" s="165"/>
      <c r="O1869" s="165"/>
      <c r="P1869" s="165"/>
      <c r="Q1869" s="165"/>
      <c r="R1869" s="165"/>
      <c r="S1869" s="165"/>
      <c r="T1869" s="165"/>
    </row>
    <row r="1870">
      <c r="A1870" s="165"/>
      <c r="B1870" s="165"/>
      <c r="C1870" s="165"/>
      <c r="D1870" s="165"/>
      <c r="E1870" s="166"/>
      <c r="F1870" s="165"/>
      <c r="G1870" s="167"/>
      <c r="H1870" s="166"/>
      <c r="I1870" s="167"/>
      <c r="J1870" s="168"/>
      <c r="K1870" s="169"/>
      <c r="L1870" s="165"/>
      <c r="M1870" s="165"/>
      <c r="N1870" s="165"/>
      <c r="O1870" s="165"/>
      <c r="P1870" s="165"/>
      <c r="Q1870" s="165"/>
      <c r="R1870" s="165"/>
      <c r="S1870" s="165"/>
      <c r="T1870" s="165"/>
    </row>
    <row r="1871">
      <c r="A1871" s="165"/>
      <c r="B1871" s="165"/>
      <c r="C1871" s="165"/>
      <c r="D1871" s="165"/>
      <c r="E1871" s="166"/>
      <c r="F1871" s="165"/>
      <c r="G1871" s="167"/>
      <c r="H1871" s="166"/>
      <c r="I1871" s="167"/>
      <c r="J1871" s="168"/>
      <c r="K1871" s="169"/>
      <c r="L1871" s="165"/>
      <c r="M1871" s="165"/>
      <c r="N1871" s="165"/>
      <c r="O1871" s="165"/>
      <c r="P1871" s="165"/>
      <c r="Q1871" s="165"/>
      <c r="R1871" s="165"/>
      <c r="S1871" s="165"/>
      <c r="T1871" s="165"/>
    </row>
    <row r="1872">
      <c r="A1872" s="165"/>
      <c r="B1872" s="165"/>
      <c r="C1872" s="165"/>
      <c r="D1872" s="165"/>
      <c r="E1872" s="166"/>
      <c r="F1872" s="165"/>
      <c r="G1872" s="167"/>
      <c r="H1872" s="166"/>
      <c r="I1872" s="167"/>
      <c r="J1872" s="168"/>
      <c r="K1872" s="169"/>
      <c r="L1872" s="165"/>
      <c r="M1872" s="165"/>
      <c r="N1872" s="165"/>
      <c r="O1872" s="165"/>
      <c r="P1872" s="165"/>
      <c r="Q1872" s="165"/>
      <c r="R1872" s="165"/>
      <c r="S1872" s="165"/>
      <c r="T1872" s="165"/>
    </row>
    <row r="1873">
      <c r="A1873" s="165"/>
      <c r="B1873" s="165"/>
      <c r="C1873" s="165"/>
      <c r="D1873" s="165"/>
      <c r="E1873" s="166"/>
      <c r="F1873" s="165"/>
      <c r="G1873" s="167"/>
      <c r="H1873" s="166"/>
      <c r="I1873" s="167"/>
      <c r="J1873" s="168"/>
      <c r="K1873" s="169"/>
      <c r="L1873" s="165"/>
      <c r="M1873" s="165"/>
      <c r="N1873" s="165"/>
      <c r="O1873" s="165"/>
      <c r="P1873" s="165"/>
      <c r="Q1873" s="165"/>
      <c r="R1873" s="165"/>
      <c r="S1873" s="165"/>
      <c r="T1873" s="165"/>
    </row>
    <row r="1874">
      <c r="A1874" s="165"/>
      <c r="B1874" s="165"/>
      <c r="C1874" s="165"/>
      <c r="D1874" s="165"/>
      <c r="E1874" s="166"/>
      <c r="F1874" s="165"/>
      <c r="G1874" s="167"/>
      <c r="H1874" s="166"/>
      <c r="I1874" s="167"/>
      <c r="J1874" s="168"/>
      <c r="K1874" s="169"/>
      <c r="L1874" s="165"/>
      <c r="M1874" s="165"/>
      <c r="N1874" s="165"/>
      <c r="O1874" s="165"/>
      <c r="P1874" s="165"/>
      <c r="Q1874" s="165"/>
      <c r="R1874" s="165"/>
      <c r="S1874" s="165"/>
      <c r="T1874" s="165"/>
    </row>
    <row r="1875">
      <c r="A1875" s="165"/>
      <c r="B1875" s="165"/>
      <c r="C1875" s="165"/>
      <c r="D1875" s="165"/>
      <c r="E1875" s="166"/>
      <c r="F1875" s="165"/>
      <c r="G1875" s="167"/>
      <c r="H1875" s="166"/>
      <c r="I1875" s="167"/>
      <c r="J1875" s="168"/>
      <c r="K1875" s="169"/>
      <c r="L1875" s="165"/>
      <c r="M1875" s="165"/>
      <c r="N1875" s="165"/>
      <c r="O1875" s="165"/>
      <c r="P1875" s="165"/>
      <c r="Q1875" s="165"/>
      <c r="R1875" s="165"/>
      <c r="S1875" s="165"/>
      <c r="T1875" s="165"/>
    </row>
    <row r="1876">
      <c r="A1876" s="165"/>
      <c r="B1876" s="165"/>
      <c r="C1876" s="165"/>
      <c r="D1876" s="165"/>
      <c r="E1876" s="166"/>
      <c r="F1876" s="165"/>
      <c r="G1876" s="167"/>
      <c r="H1876" s="166"/>
      <c r="I1876" s="167"/>
      <c r="J1876" s="168"/>
      <c r="K1876" s="169"/>
      <c r="L1876" s="165"/>
      <c r="M1876" s="165"/>
      <c r="N1876" s="165"/>
      <c r="O1876" s="165"/>
      <c r="P1876" s="165"/>
      <c r="Q1876" s="165"/>
      <c r="R1876" s="165"/>
      <c r="S1876" s="165"/>
      <c r="T1876" s="165"/>
    </row>
    <row r="1877">
      <c r="A1877" s="165"/>
      <c r="B1877" s="165"/>
      <c r="C1877" s="165"/>
      <c r="D1877" s="165"/>
      <c r="E1877" s="166"/>
      <c r="F1877" s="165"/>
      <c r="G1877" s="167"/>
      <c r="H1877" s="166"/>
      <c r="I1877" s="167"/>
      <c r="J1877" s="168"/>
      <c r="K1877" s="169"/>
      <c r="L1877" s="165"/>
      <c r="M1877" s="165"/>
      <c r="N1877" s="165"/>
      <c r="O1877" s="165"/>
      <c r="P1877" s="165"/>
      <c r="Q1877" s="165"/>
      <c r="R1877" s="165"/>
      <c r="S1877" s="165"/>
      <c r="T1877" s="165"/>
    </row>
    <row r="1878">
      <c r="A1878" s="165"/>
      <c r="B1878" s="165"/>
      <c r="C1878" s="165"/>
      <c r="D1878" s="165"/>
      <c r="E1878" s="166"/>
      <c r="F1878" s="165"/>
      <c r="G1878" s="167"/>
      <c r="H1878" s="166"/>
      <c r="I1878" s="167"/>
      <c r="J1878" s="168"/>
      <c r="K1878" s="169"/>
      <c r="L1878" s="165"/>
      <c r="M1878" s="165"/>
      <c r="N1878" s="165"/>
      <c r="O1878" s="165"/>
      <c r="P1878" s="165"/>
      <c r="Q1878" s="165"/>
      <c r="R1878" s="165"/>
      <c r="S1878" s="165"/>
      <c r="T1878" s="165"/>
    </row>
    <row r="1879">
      <c r="A1879" s="165"/>
      <c r="B1879" s="165"/>
      <c r="C1879" s="165"/>
      <c r="D1879" s="165"/>
      <c r="E1879" s="166"/>
      <c r="F1879" s="165"/>
      <c r="G1879" s="167"/>
      <c r="H1879" s="166"/>
      <c r="I1879" s="167"/>
      <c r="J1879" s="168"/>
      <c r="K1879" s="169"/>
      <c r="L1879" s="165"/>
      <c r="M1879" s="165"/>
      <c r="N1879" s="165"/>
      <c r="O1879" s="165"/>
      <c r="P1879" s="165"/>
      <c r="Q1879" s="165"/>
      <c r="R1879" s="165"/>
      <c r="S1879" s="165"/>
      <c r="T1879" s="165"/>
    </row>
    <row r="1880">
      <c r="A1880" s="165"/>
      <c r="B1880" s="165"/>
      <c r="C1880" s="165"/>
      <c r="D1880" s="165"/>
      <c r="E1880" s="166"/>
      <c r="F1880" s="165"/>
      <c r="G1880" s="167"/>
      <c r="H1880" s="166"/>
      <c r="I1880" s="167"/>
      <c r="J1880" s="168"/>
      <c r="K1880" s="169"/>
      <c r="L1880" s="165"/>
      <c r="M1880" s="165"/>
      <c r="N1880" s="165"/>
      <c r="O1880" s="165"/>
      <c r="P1880" s="165"/>
      <c r="Q1880" s="165"/>
      <c r="R1880" s="165"/>
      <c r="S1880" s="165"/>
      <c r="T1880" s="165"/>
    </row>
    <row r="1881">
      <c r="A1881" s="165"/>
      <c r="B1881" s="165"/>
      <c r="C1881" s="165"/>
      <c r="D1881" s="165"/>
      <c r="E1881" s="166"/>
      <c r="F1881" s="165"/>
      <c r="G1881" s="167"/>
      <c r="H1881" s="166"/>
      <c r="I1881" s="167"/>
      <c r="J1881" s="168"/>
      <c r="K1881" s="169"/>
      <c r="L1881" s="165"/>
      <c r="M1881" s="165"/>
      <c r="N1881" s="165"/>
      <c r="O1881" s="165"/>
      <c r="P1881" s="165"/>
      <c r="Q1881" s="165"/>
      <c r="R1881" s="165"/>
      <c r="S1881" s="165"/>
      <c r="T1881" s="165"/>
    </row>
    <row r="1882">
      <c r="A1882" s="165"/>
      <c r="B1882" s="165"/>
      <c r="C1882" s="165"/>
      <c r="D1882" s="165"/>
      <c r="E1882" s="166"/>
      <c r="F1882" s="165"/>
      <c r="G1882" s="167"/>
      <c r="H1882" s="166"/>
      <c r="I1882" s="167"/>
      <c r="J1882" s="168"/>
      <c r="K1882" s="169"/>
      <c r="L1882" s="165"/>
      <c r="M1882" s="165"/>
      <c r="N1882" s="165"/>
      <c r="O1882" s="165"/>
      <c r="P1882" s="165"/>
      <c r="Q1882" s="165"/>
      <c r="R1882" s="165"/>
      <c r="S1882" s="165"/>
      <c r="T1882" s="165"/>
    </row>
    <row r="1883">
      <c r="A1883" s="165"/>
      <c r="B1883" s="165"/>
      <c r="C1883" s="165"/>
      <c r="D1883" s="165"/>
      <c r="E1883" s="166"/>
      <c r="F1883" s="165"/>
      <c r="G1883" s="167"/>
      <c r="H1883" s="166"/>
      <c r="I1883" s="167"/>
      <c r="J1883" s="168"/>
      <c r="K1883" s="169"/>
      <c r="L1883" s="165"/>
      <c r="M1883" s="165"/>
      <c r="N1883" s="165"/>
      <c r="O1883" s="165"/>
      <c r="P1883" s="165"/>
      <c r="Q1883" s="165"/>
      <c r="R1883" s="165"/>
      <c r="S1883" s="165"/>
      <c r="T1883" s="165"/>
    </row>
    <row r="1884">
      <c r="A1884" s="165"/>
      <c r="B1884" s="165"/>
      <c r="C1884" s="165"/>
      <c r="D1884" s="165"/>
      <c r="E1884" s="166"/>
      <c r="F1884" s="165"/>
      <c r="G1884" s="167"/>
      <c r="H1884" s="166"/>
      <c r="I1884" s="167"/>
      <c r="J1884" s="168"/>
      <c r="K1884" s="169"/>
      <c r="L1884" s="165"/>
      <c r="M1884" s="165"/>
      <c r="N1884" s="165"/>
      <c r="O1884" s="165"/>
      <c r="P1884" s="165"/>
      <c r="Q1884" s="165"/>
      <c r="R1884" s="165"/>
      <c r="S1884" s="165"/>
      <c r="T1884" s="165"/>
    </row>
    <row r="1885">
      <c r="A1885" s="165"/>
      <c r="B1885" s="165"/>
      <c r="C1885" s="165"/>
      <c r="D1885" s="165"/>
      <c r="E1885" s="166"/>
      <c r="F1885" s="165"/>
      <c r="G1885" s="167"/>
      <c r="H1885" s="166"/>
      <c r="I1885" s="167"/>
      <c r="J1885" s="168"/>
      <c r="K1885" s="169"/>
      <c r="L1885" s="165"/>
      <c r="M1885" s="165"/>
      <c r="N1885" s="165"/>
      <c r="O1885" s="165"/>
      <c r="P1885" s="165"/>
      <c r="Q1885" s="165"/>
      <c r="R1885" s="165"/>
      <c r="S1885" s="165"/>
      <c r="T1885" s="165"/>
    </row>
    <row r="1886">
      <c r="A1886" s="165"/>
      <c r="B1886" s="165"/>
      <c r="C1886" s="165"/>
      <c r="D1886" s="165"/>
      <c r="E1886" s="166"/>
      <c r="F1886" s="165"/>
      <c r="G1886" s="167"/>
      <c r="H1886" s="166"/>
      <c r="I1886" s="167"/>
      <c r="J1886" s="168"/>
      <c r="K1886" s="169"/>
      <c r="L1886" s="165"/>
      <c r="M1886" s="165"/>
      <c r="N1886" s="165"/>
      <c r="O1886" s="165"/>
      <c r="P1886" s="165"/>
      <c r="Q1886" s="165"/>
      <c r="R1886" s="165"/>
      <c r="S1886" s="165"/>
      <c r="T1886" s="165"/>
    </row>
    <row r="1887">
      <c r="A1887" s="165"/>
      <c r="B1887" s="165"/>
      <c r="C1887" s="165"/>
      <c r="D1887" s="165"/>
      <c r="E1887" s="166"/>
      <c r="F1887" s="165"/>
      <c r="G1887" s="167"/>
      <c r="H1887" s="166"/>
      <c r="I1887" s="167"/>
      <c r="J1887" s="168"/>
      <c r="K1887" s="169"/>
      <c r="L1887" s="165"/>
      <c r="M1887" s="165"/>
      <c r="N1887" s="165"/>
      <c r="O1887" s="165"/>
      <c r="P1887" s="165"/>
      <c r="Q1887" s="165"/>
      <c r="R1887" s="165"/>
      <c r="S1887" s="165"/>
      <c r="T1887" s="165"/>
    </row>
    <row r="1888">
      <c r="A1888" s="165"/>
      <c r="B1888" s="165"/>
      <c r="C1888" s="165"/>
      <c r="D1888" s="165"/>
      <c r="E1888" s="166"/>
      <c r="F1888" s="165"/>
      <c r="G1888" s="167"/>
      <c r="H1888" s="166"/>
      <c r="I1888" s="167"/>
      <c r="J1888" s="168"/>
      <c r="K1888" s="169"/>
      <c r="L1888" s="165"/>
      <c r="M1888" s="165"/>
      <c r="N1888" s="165"/>
      <c r="O1888" s="165"/>
      <c r="P1888" s="165"/>
      <c r="Q1888" s="165"/>
      <c r="R1888" s="165"/>
      <c r="S1888" s="165"/>
      <c r="T1888" s="165"/>
    </row>
    <row r="1889">
      <c r="A1889" s="165"/>
      <c r="B1889" s="165"/>
      <c r="C1889" s="165"/>
      <c r="D1889" s="165"/>
      <c r="E1889" s="166"/>
      <c r="F1889" s="165"/>
      <c r="G1889" s="167"/>
      <c r="H1889" s="166"/>
      <c r="I1889" s="167"/>
      <c r="J1889" s="168"/>
      <c r="K1889" s="169"/>
      <c r="L1889" s="165"/>
      <c r="M1889" s="165"/>
      <c r="N1889" s="165"/>
      <c r="O1889" s="165"/>
      <c r="P1889" s="165"/>
      <c r="Q1889" s="165"/>
      <c r="R1889" s="165"/>
      <c r="S1889" s="165"/>
      <c r="T1889" s="165"/>
    </row>
    <row r="1890">
      <c r="A1890" s="165"/>
      <c r="B1890" s="165"/>
      <c r="C1890" s="165"/>
      <c r="D1890" s="165"/>
      <c r="E1890" s="166"/>
      <c r="F1890" s="165"/>
      <c r="G1890" s="167"/>
      <c r="H1890" s="166"/>
      <c r="I1890" s="167"/>
      <c r="J1890" s="168"/>
      <c r="K1890" s="169"/>
      <c r="L1890" s="165"/>
      <c r="M1890" s="165"/>
      <c r="N1890" s="165"/>
      <c r="O1890" s="165"/>
      <c r="P1890" s="165"/>
      <c r="Q1890" s="165"/>
      <c r="R1890" s="165"/>
      <c r="S1890" s="165"/>
      <c r="T1890" s="165"/>
    </row>
    <row r="1891">
      <c r="A1891" s="165"/>
      <c r="B1891" s="165"/>
      <c r="C1891" s="165"/>
      <c r="D1891" s="165"/>
      <c r="E1891" s="166"/>
      <c r="F1891" s="165"/>
      <c r="G1891" s="167"/>
      <c r="H1891" s="166"/>
      <c r="I1891" s="167"/>
      <c r="J1891" s="168"/>
      <c r="K1891" s="169"/>
      <c r="L1891" s="165"/>
      <c r="M1891" s="165"/>
      <c r="N1891" s="165"/>
      <c r="O1891" s="165"/>
      <c r="P1891" s="165"/>
      <c r="Q1891" s="165"/>
      <c r="R1891" s="165"/>
      <c r="S1891" s="165"/>
      <c r="T1891" s="165"/>
    </row>
    <row r="1892">
      <c r="A1892" s="165"/>
      <c r="B1892" s="165"/>
      <c r="C1892" s="165"/>
      <c r="D1892" s="165"/>
      <c r="E1892" s="166"/>
      <c r="F1892" s="165"/>
      <c r="G1892" s="167"/>
      <c r="H1892" s="166"/>
      <c r="I1892" s="167"/>
      <c r="J1892" s="168"/>
      <c r="K1892" s="169"/>
      <c r="L1892" s="165"/>
      <c r="M1892" s="165"/>
      <c r="N1892" s="165"/>
      <c r="O1892" s="165"/>
      <c r="P1892" s="165"/>
      <c r="Q1892" s="165"/>
      <c r="R1892" s="165"/>
      <c r="S1892" s="165"/>
      <c r="T1892" s="165"/>
    </row>
    <row r="1893">
      <c r="A1893" s="165"/>
      <c r="B1893" s="165"/>
      <c r="C1893" s="165"/>
      <c r="D1893" s="165"/>
      <c r="E1893" s="166"/>
      <c r="F1893" s="165"/>
      <c r="G1893" s="167"/>
      <c r="H1893" s="166"/>
      <c r="I1893" s="167"/>
      <c r="J1893" s="168"/>
      <c r="K1893" s="169"/>
      <c r="L1893" s="165"/>
      <c r="M1893" s="165"/>
      <c r="N1893" s="165"/>
      <c r="O1893" s="165"/>
      <c r="P1893" s="165"/>
      <c r="Q1893" s="165"/>
      <c r="R1893" s="165"/>
      <c r="S1893" s="165"/>
      <c r="T1893" s="165"/>
    </row>
    <row r="1894">
      <c r="A1894" s="165"/>
      <c r="B1894" s="165"/>
      <c r="C1894" s="165"/>
      <c r="D1894" s="165"/>
      <c r="E1894" s="166"/>
      <c r="F1894" s="165"/>
      <c r="G1894" s="167"/>
      <c r="H1894" s="166"/>
      <c r="I1894" s="167"/>
      <c r="J1894" s="168"/>
      <c r="K1894" s="169"/>
      <c r="L1894" s="165"/>
      <c r="M1894" s="165"/>
      <c r="N1894" s="165"/>
      <c r="O1894" s="165"/>
      <c r="P1894" s="165"/>
      <c r="Q1894" s="165"/>
      <c r="R1894" s="165"/>
      <c r="S1894" s="165"/>
      <c r="T1894" s="165"/>
    </row>
    <row r="1895">
      <c r="A1895" s="165"/>
      <c r="B1895" s="165"/>
      <c r="C1895" s="165"/>
      <c r="D1895" s="165"/>
      <c r="E1895" s="166"/>
      <c r="F1895" s="165"/>
      <c r="G1895" s="167"/>
      <c r="H1895" s="166"/>
      <c r="I1895" s="167"/>
      <c r="J1895" s="168"/>
      <c r="K1895" s="169"/>
      <c r="L1895" s="165"/>
      <c r="M1895" s="165"/>
      <c r="N1895" s="165"/>
      <c r="O1895" s="165"/>
      <c r="P1895" s="165"/>
      <c r="Q1895" s="165"/>
      <c r="R1895" s="165"/>
      <c r="S1895" s="165"/>
      <c r="T1895" s="165"/>
    </row>
    <row r="1896">
      <c r="A1896" s="165"/>
      <c r="B1896" s="165"/>
      <c r="C1896" s="165"/>
      <c r="D1896" s="165"/>
      <c r="E1896" s="166"/>
      <c r="F1896" s="165"/>
      <c r="G1896" s="167"/>
      <c r="H1896" s="166"/>
      <c r="I1896" s="167"/>
      <c r="J1896" s="168"/>
      <c r="K1896" s="169"/>
      <c r="L1896" s="165"/>
      <c r="M1896" s="165"/>
      <c r="N1896" s="165"/>
      <c r="O1896" s="165"/>
      <c r="P1896" s="165"/>
      <c r="Q1896" s="165"/>
      <c r="R1896" s="165"/>
      <c r="S1896" s="165"/>
      <c r="T1896" s="165"/>
    </row>
    <row r="1897">
      <c r="A1897" s="165"/>
      <c r="B1897" s="165"/>
      <c r="C1897" s="165"/>
      <c r="D1897" s="165"/>
      <c r="E1897" s="166"/>
      <c r="F1897" s="165"/>
      <c r="G1897" s="167"/>
      <c r="H1897" s="166"/>
      <c r="I1897" s="167"/>
      <c r="J1897" s="168"/>
      <c r="K1897" s="169"/>
      <c r="L1897" s="165"/>
      <c r="M1897" s="165"/>
      <c r="N1897" s="165"/>
      <c r="O1897" s="165"/>
      <c r="P1897" s="165"/>
      <c r="Q1897" s="165"/>
      <c r="R1897" s="165"/>
      <c r="S1897" s="165"/>
      <c r="T1897" s="165"/>
    </row>
    <row r="1898">
      <c r="A1898" s="165"/>
      <c r="B1898" s="165"/>
      <c r="C1898" s="165"/>
      <c r="D1898" s="165"/>
      <c r="E1898" s="166"/>
      <c r="F1898" s="165"/>
      <c r="G1898" s="167"/>
      <c r="H1898" s="166"/>
      <c r="I1898" s="167"/>
      <c r="J1898" s="168"/>
      <c r="K1898" s="169"/>
      <c r="L1898" s="165"/>
      <c r="M1898" s="165"/>
      <c r="N1898" s="165"/>
      <c r="O1898" s="165"/>
      <c r="P1898" s="165"/>
      <c r="Q1898" s="165"/>
      <c r="R1898" s="165"/>
      <c r="S1898" s="165"/>
      <c r="T1898" s="165"/>
    </row>
    <row r="1899">
      <c r="A1899" s="165"/>
      <c r="B1899" s="165"/>
      <c r="C1899" s="165"/>
      <c r="D1899" s="165"/>
      <c r="E1899" s="166"/>
      <c r="F1899" s="165"/>
      <c r="G1899" s="167"/>
      <c r="H1899" s="166"/>
      <c r="I1899" s="167"/>
      <c r="J1899" s="168"/>
      <c r="K1899" s="169"/>
      <c r="L1899" s="165"/>
      <c r="M1899" s="165"/>
      <c r="N1899" s="165"/>
      <c r="O1899" s="165"/>
      <c r="P1899" s="165"/>
      <c r="Q1899" s="165"/>
      <c r="R1899" s="165"/>
      <c r="S1899" s="165"/>
      <c r="T1899" s="165"/>
    </row>
    <row r="1900">
      <c r="A1900" s="165"/>
      <c r="B1900" s="165"/>
      <c r="C1900" s="165"/>
      <c r="D1900" s="165"/>
      <c r="E1900" s="166"/>
      <c r="F1900" s="165"/>
      <c r="G1900" s="167"/>
      <c r="H1900" s="166"/>
      <c r="I1900" s="167"/>
      <c r="J1900" s="168"/>
      <c r="K1900" s="169"/>
      <c r="L1900" s="165"/>
      <c r="M1900" s="165"/>
      <c r="N1900" s="165"/>
      <c r="O1900" s="165"/>
      <c r="P1900" s="165"/>
      <c r="Q1900" s="165"/>
      <c r="R1900" s="165"/>
      <c r="S1900" s="165"/>
      <c r="T1900" s="165"/>
    </row>
    <row r="1901">
      <c r="A1901" s="165"/>
      <c r="B1901" s="165"/>
      <c r="C1901" s="165"/>
      <c r="D1901" s="165"/>
      <c r="E1901" s="166"/>
      <c r="F1901" s="165"/>
      <c r="G1901" s="167"/>
      <c r="H1901" s="166"/>
      <c r="I1901" s="167"/>
      <c r="J1901" s="168"/>
      <c r="K1901" s="169"/>
      <c r="L1901" s="165"/>
      <c r="M1901" s="165"/>
      <c r="N1901" s="165"/>
      <c r="O1901" s="165"/>
      <c r="P1901" s="165"/>
      <c r="Q1901" s="165"/>
      <c r="R1901" s="165"/>
      <c r="S1901" s="165"/>
      <c r="T1901" s="165"/>
    </row>
    <row r="1902">
      <c r="A1902" s="165"/>
      <c r="B1902" s="165"/>
      <c r="C1902" s="165"/>
      <c r="D1902" s="165"/>
      <c r="E1902" s="166"/>
      <c r="F1902" s="165"/>
      <c r="G1902" s="167"/>
      <c r="H1902" s="166"/>
      <c r="I1902" s="167"/>
      <c r="J1902" s="168"/>
      <c r="K1902" s="169"/>
      <c r="L1902" s="165"/>
      <c r="M1902" s="165"/>
      <c r="N1902" s="165"/>
      <c r="O1902" s="165"/>
      <c r="P1902" s="165"/>
      <c r="Q1902" s="165"/>
      <c r="R1902" s="165"/>
      <c r="S1902" s="165"/>
      <c r="T1902" s="165"/>
    </row>
    <row r="1903">
      <c r="A1903" s="165"/>
      <c r="B1903" s="165"/>
      <c r="C1903" s="165"/>
      <c r="D1903" s="165"/>
      <c r="E1903" s="166"/>
      <c r="F1903" s="165"/>
      <c r="G1903" s="167"/>
      <c r="H1903" s="166"/>
      <c r="I1903" s="167"/>
      <c r="J1903" s="168"/>
      <c r="K1903" s="169"/>
      <c r="L1903" s="165"/>
      <c r="M1903" s="165"/>
      <c r="N1903" s="165"/>
      <c r="O1903" s="165"/>
      <c r="P1903" s="165"/>
      <c r="Q1903" s="165"/>
      <c r="R1903" s="165"/>
      <c r="S1903" s="165"/>
      <c r="T1903" s="165"/>
    </row>
    <row r="1904">
      <c r="A1904" s="165"/>
      <c r="B1904" s="165"/>
      <c r="C1904" s="165"/>
      <c r="D1904" s="165"/>
      <c r="E1904" s="166"/>
      <c r="F1904" s="165"/>
      <c r="G1904" s="167"/>
      <c r="H1904" s="166"/>
      <c r="I1904" s="167"/>
      <c r="J1904" s="168"/>
      <c r="K1904" s="169"/>
      <c r="L1904" s="165"/>
      <c r="M1904" s="165"/>
      <c r="N1904" s="165"/>
      <c r="O1904" s="165"/>
      <c r="P1904" s="165"/>
      <c r="Q1904" s="165"/>
      <c r="R1904" s="165"/>
      <c r="S1904" s="165"/>
      <c r="T1904" s="165"/>
    </row>
    <row r="1905">
      <c r="A1905" s="165"/>
      <c r="B1905" s="165"/>
      <c r="C1905" s="165"/>
      <c r="D1905" s="165"/>
      <c r="E1905" s="166"/>
      <c r="F1905" s="165"/>
      <c r="G1905" s="167"/>
      <c r="H1905" s="166"/>
      <c r="I1905" s="167"/>
      <c r="J1905" s="168"/>
      <c r="K1905" s="169"/>
      <c r="L1905" s="165"/>
      <c r="M1905" s="165"/>
      <c r="N1905" s="165"/>
      <c r="O1905" s="165"/>
      <c r="P1905" s="165"/>
      <c r="Q1905" s="165"/>
      <c r="R1905" s="165"/>
      <c r="S1905" s="165"/>
      <c r="T1905" s="165"/>
    </row>
    <row r="1906">
      <c r="A1906" s="165"/>
      <c r="B1906" s="165"/>
      <c r="C1906" s="165"/>
      <c r="D1906" s="165"/>
      <c r="E1906" s="166"/>
      <c r="F1906" s="165"/>
      <c r="G1906" s="167"/>
      <c r="H1906" s="166"/>
      <c r="I1906" s="167"/>
      <c r="J1906" s="168"/>
      <c r="K1906" s="169"/>
      <c r="L1906" s="165"/>
      <c r="M1906" s="165"/>
      <c r="N1906" s="165"/>
      <c r="O1906" s="165"/>
      <c r="P1906" s="165"/>
      <c r="Q1906" s="165"/>
      <c r="R1906" s="165"/>
      <c r="S1906" s="165"/>
      <c r="T1906" s="165"/>
    </row>
    <row r="1907">
      <c r="A1907" s="165"/>
      <c r="B1907" s="165"/>
      <c r="C1907" s="165"/>
      <c r="D1907" s="165"/>
      <c r="E1907" s="166"/>
      <c r="F1907" s="165"/>
      <c r="G1907" s="167"/>
      <c r="H1907" s="166"/>
      <c r="I1907" s="167"/>
      <c r="J1907" s="168"/>
      <c r="K1907" s="169"/>
      <c r="L1907" s="165"/>
      <c r="M1907" s="165"/>
      <c r="N1907" s="165"/>
      <c r="O1907" s="165"/>
      <c r="P1907" s="165"/>
      <c r="Q1907" s="165"/>
      <c r="R1907" s="165"/>
      <c r="S1907" s="165"/>
      <c r="T1907" s="165"/>
    </row>
    <row r="1908">
      <c r="A1908" s="165"/>
      <c r="B1908" s="165"/>
      <c r="C1908" s="165"/>
      <c r="D1908" s="165"/>
      <c r="E1908" s="166"/>
      <c r="F1908" s="165"/>
      <c r="G1908" s="167"/>
      <c r="H1908" s="166"/>
      <c r="I1908" s="167"/>
      <c r="J1908" s="168"/>
      <c r="K1908" s="169"/>
      <c r="L1908" s="165"/>
      <c r="M1908" s="165"/>
      <c r="N1908" s="165"/>
      <c r="O1908" s="165"/>
      <c r="P1908" s="165"/>
      <c r="Q1908" s="165"/>
      <c r="R1908" s="165"/>
      <c r="S1908" s="165"/>
      <c r="T1908" s="165"/>
    </row>
    <row r="1909">
      <c r="A1909" s="165"/>
      <c r="B1909" s="165"/>
      <c r="C1909" s="165"/>
      <c r="D1909" s="165"/>
      <c r="E1909" s="166"/>
      <c r="F1909" s="165"/>
      <c r="G1909" s="167"/>
      <c r="H1909" s="166"/>
      <c r="I1909" s="167"/>
      <c r="J1909" s="168"/>
      <c r="K1909" s="169"/>
      <c r="L1909" s="165"/>
      <c r="M1909" s="165"/>
      <c r="N1909" s="165"/>
      <c r="O1909" s="165"/>
      <c r="P1909" s="165"/>
      <c r="Q1909" s="165"/>
      <c r="R1909" s="165"/>
      <c r="S1909" s="165"/>
      <c r="T1909" s="165"/>
    </row>
    <row r="1910">
      <c r="A1910" s="165"/>
      <c r="B1910" s="165"/>
      <c r="C1910" s="165"/>
      <c r="D1910" s="165"/>
      <c r="E1910" s="166"/>
      <c r="F1910" s="165"/>
      <c r="G1910" s="167"/>
      <c r="H1910" s="166"/>
      <c r="I1910" s="167"/>
      <c r="J1910" s="168"/>
      <c r="K1910" s="169"/>
      <c r="L1910" s="165"/>
      <c r="M1910" s="165"/>
      <c r="N1910" s="165"/>
      <c r="O1910" s="165"/>
      <c r="P1910" s="165"/>
      <c r="Q1910" s="165"/>
      <c r="R1910" s="165"/>
      <c r="S1910" s="165"/>
      <c r="T1910" s="165"/>
    </row>
    <row r="1911">
      <c r="A1911" s="165"/>
      <c r="B1911" s="165"/>
      <c r="C1911" s="165"/>
      <c r="D1911" s="165"/>
      <c r="E1911" s="166"/>
      <c r="F1911" s="165"/>
      <c r="G1911" s="167"/>
      <c r="H1911" s="166"/>
      <c r="I1911" s="167"/>
      <c r="J1911" s="168"/>
      <c r="K1911" s="169"/>
      <c r="L1911" s="165"/>
      <c r="M1911" s="165"/>
      <c r="N1911" s="165"/>
      <c r="O1911" s="165"/>
      <c r="P1911" s="165"/>
      <c r="Q1911" s="165"/>
      <c r="R1911" s="165"/>
      <c r="S1911" s="165"/>
      <c r="T1911" s="165"/>
    </row>
    <row r="1912">
      <c r="A1912" s="165"/>
      <c r="B1912" s="165"/>
      <c r="C1912" s="165"/>
      <c r="D1912" s="165"/>
      <c r="E1912" s="166"/>
      <c r="F1912" s="165"/>
      <c r="G1912" s="167"/>
      <c r="H1912" s="166"/>
      <c r="I1912" s="167"/>
      <c r="J1912" s="168"/>
      <c r="K1912" s="169"/>
      <c r="L1912" s="165"/>
      <c r="M1912" s="165"/>
      <c r="N1912" s="165"/>
      <c r="O1912" s="165"/>
      <c r="P1912" s="165"/>
      <c r="Q1912" s="165"/>
      <c r="R1912" s="165"/>
      <c r="S1912" s="165"/>
      <c r="T1912" s="165"/>
    </row>
    <row r="1913">
      <c r="A1913" s="165"/>
      <c r="B1913" s="165"/>
      <c r="C1913" s="165"/>
      <c r="D1913" s="165"/>
      <c r="E1913" s="166"/>
      <c r="F1913" s="165"/>
      <c r="G1913" s="167"/>
      <c r="H1913" s="166"/>
      <c r="I1913" s="167"/>
      <c r="J1913" s="168"/>
      <c r="K1913" s="169"/>
      <c r="L1913" s="165"/>
      <c r="M1913" s="165"/>
      <c r="N1913" s="165"/>
      <c r="O1913" s="165"/>
      <c r="P1913" s="165"/>
      <c r="Q1913" s="165"/>
      <c r="R1913" s="165"/>
      <c r="S1913" s="165"/>
      <c r="T1913" s="165"/>
    </row>
    <row r="1914">
      <c r="A1914" s="165"/>
      <c r="B1914" s="165"/>
      <c r="C1914" s="165"/>
      <c r="D1914" s="165"/>
      <c r="E1914" s="166"/>
      <c r="F1914" s="165"/>
      <c r="G1914" s="167"/>
      <c r="H1914" s="166"/>
      <c r="I1914" s="167"/>
      <c r="J1914" s="168"/>
      <c r="K1914" s="169"/>
      <c r="L1914" s="165"/>
      <c r="M1914" s="165"/>
      <c r="N1914" s="165"/>
      <c r="O1914" s="165"/>
      <c r="P1914" s="165"/>
      <c r="Q1914" s="165"/>
      <c r="R1914" s="165"/>
      <c r="S1914" s="165"/>
      <c r="T1914" s="165"/>
    </row>
    <row r="1915">
      <c r="A1915" s="165"/>
      <c r="B1915" s="165"/>
      <c r="C1915" s="165"/>
      <c r="D1915" s="165"/>
      <c r="E1915" s="166"/>
      <c r="F1915" s="165"/>
      <c r="G1915" s="167"/>
      <c r="H1915" s="166"/>
      <c r="I1915" s="167"/>
      <c r="J1915" s="168"/>
      <c r="K1915" s="169"/>
      <c r="L1915" s="165"/>
      <c r="M1915" s="165"/>
      <c r="N1915" s="165"/>
      <c r="O1915" s="165"/>
      <c r="P1915" s="165"/>
      <c r="Q1915" s="165"/>
      <c r="R1915" s="165"/>
      <c r="S1915" s="165"/>
      <c r="T1915" s="165"/>
    </row>
    <row r="1916">
      <c r="A1916" s="165"/>
      <c r="B1916" s="165"/>
      <c r="C1916" s="165"/>
      <c r="D1916" s="165"/>
      <c r="E1916" s="166"/>
      <c r="F1916" s="165"/>
      <c r="G1916" s="167"/>
      <c r="H1916" s="166"/>
      <c r="I1916" s="167"/>
      <c r="J1916" s="168"/>
      <c r="K1916" s="169"/>
      <c r="L1916" s="165"/>
      <c r="M1916" s="165"/>
      <c r="N1916" s="165"/>
      <c r="O1916" s="165"/>
      <c r="P1916" s="165"/>
      <c r="Q1916" s="165"/>
      <c r="R1916" s="165"/>
      <c r="S1916" s="165"/>
      <c r="T1916" s="165"/>
    </row>
    <row r="1917">
      <c r="A1917" s="165"/>
      <c r="B1917" s="165"/>
      <c r="C1917" s="165"/>
      <c r="D1917" s="165"/>
      <c r="E1917" s="166"/>
      <c r="F1917" s="165"/>
      <c r="G1917" s="167"/>
      <c r="H1917" s="166"/>
      <c r="I1917" s="167"/>
      <c r="J1917" s="168"/>
      <c r="K1917" s="169"/>
      <c r="L1917" s="165"/>
      <c r="M1917" s="165"/>
      <c r="N1917" s="165"/>
      <c r="O1917" s="165"/>
      <c r="P1917" s="165"/>
      <c r="Q1917" s="165"/>
      <c r="R1917" s="165"/>
      <c r="S1917" s="165"/>
      <c r="T1917" s="165"/>
    </row>
    <row r="1918">
      <c r="A1918" s="165"/>
      <c r="B1918" s="165"/>
      <c r="C1918" s="165"/>
      <c r="D1918" s="165"/>
      <c r="E1918" s="166"/>
      <c r="F1918" s="165"/>
      <c r="G1918" s="167"/>
      <c r="H1918" s="166"/>
      <c r="I1918" s="167"/>
      <c r="J1918" s="168"/>
      <c r="K1918" s="169"/>
      <c r="L1918" s="165"/>
      <c r="M1918" s="165"/>
      <c r="N1918" s="165"/>
      <c r="O1918" s="165"/>
      <c r="P1918" s="165"/>
      <c r="Q1918" s="165"/>
      <c r="R1918" s="165"/>
      <c r="S1918" s="165"/>
      <c r="T1918" s="165"/>
    </row>
    <row r="1919">
      <c r="A1919" s="165"/>
      <c r="B1919" s="165"/>
      <c r="C1919" s="165"/>
      <c r="D1919" s="165"/>
      <c r="E1919" s="166"/>
      <c r="F1919" s="165"/>
      <c r="G1919" s="167"/>
      <c r="H1919" s="166"/>
      <c r="I1919" s="167"/>
      <c r="J1919" s="168"/>
      <c r="K1919" s="169"/>
      <c r="L1919" s="165"/>
      <c r="M1919" s="165"/>
      <c r="N1919" s="165"/>
      <c r="O1919" s="165"/>
      <c r="P1919" s="165"/>
      <c r="Q1919" s="165"/>
      <c r="R1919" s="165"/>
      <c r="S1919" s="165"/>
      <c r="T1919" s="165"/>
    </row>
    <row r="1920">
      <c r="A1920" s="165"/>
      <c r="B1920" s="165"/>
      <c r="C1920" s="165"/>
      <c r="D1920" s="165"/>
      <c r="E1920" s="166"/>
      <c r="F1920" s="165"/>
      <c r="G1920" s="167"/>
      <c r="H1920" s="166"/>
      <c r="I1920" s="167"/>
      <c r="J1920" s="168"/>
      <c r="K1920" s="169"/>
      <c r="L1920" s="165"/>
      <c r="M1920" s="165"/>
      <c r="N1920" s="165"/>
      <c r="O1920" s="165"/>
      <c r="P1920" s="165"/>
      <c r="Q1920" s="165"/>
      <c r="R1920" s="165"/>
      <c r="S1920" s="165"/>
      <c r="T1920" s="165"/>
    </row>
    <row r="1921">
      <c r="A1921" s="165"/>
      <c r="B1921" s="165"/>
      <c r="C1921" s="165"/>
      <c r="D1921" s="165"/>
      <c r="E1921" s="166"/>
      <c r="F1921" s="165"/>
      <c r="G1921" s="167"/>
      <c r="H1921" s="166"/>
      <c r="I1921" s="167"/>
      <c r="J1921" s="168"/>
      <c r="K1921" s="169"/>
      <c r="L1921" s="165"/>
      <c r="M1921" s="165"/>
      <c r="N1921" s="165"/>
      <c r="O1921" s="165"/>
      <c r="P1921" s="165"/>
      <c r="Q1921" s="165"/>
      <c r="R1921" s="165"/>
      <c r="S1921" s="165"/>
      <c r="T1921" s="165"/>
    </row>
    <row r="1922">
      <c r="A1922" s="165"/>
      <c r="B1922" s="165"/>
      <c r="C1922" s="165"/>
      <c r="D1922" s="165"/>
      <c r="E1922" s="166"/>
      <c r="F1922" s="165"/>
      <c r="G1922" s="167"/>
      <c r="H1922" s="166"/>
      <c r="I1922" s="167"/>
      <c r="J1922" s="168"/>
      <c r="K1922" s="169"/>
      <c r="L1922" s="165"/>
      <c r="M1922" s="165"/>
      <c r="N1922" s="165"/>
      <c r="O1922" s="165"/>
      <c r="P1922" s="165"/>
      <c r="Q1922" s="165"/>
      <c r="R1922" s="165"/>
      <c r="S1922" s="165"/>
      <c r="T1922" s="165"/>
    </row>
    <row r="1923">
      <c r="A1923" s="165"/>
      <c r="B1923" s="165"/>
      <c r="C1923" s="165"/>
      <c r="D1923" s="165"/>
      <c r="E1923" s="166"/>
      <c r="F1923" s="165"/>
      <c r="G1923" s="167"/>
      <c r="H1923" s="166"/>
      <c r="I1923" s="167"/>
      <c r="J1923" s="168"/>
      <c r="K1923" s="169"/>
      <c r="L1923" s="165"/>
      <c r="M1923" s="165"/>
      <c r="N1923" s="165"/>
      <c r="O1923" s="165"/>
      <c r="P1923" s="165"/>
      <c r="Q1923" s="165"/>
      <c r="R1923" s="165"/>
      <c r="S1923" s="165"/>
      <c r="T1923" s="165"/>
    </row>
    <row r="1924">
      <c r="A1924" s="165"/>
      <c r="B1924" s="165"/>
      <c r="C1924" s="165"/>
      <c r="D1924" s="165"/>
      <c r="E1924" s="166"/>
      <c r="F1924" s="165"/>
      <c r="G1924" s="167"/>
      <c r="H1924" s="166"/>
      <c r="I1924" s="167"/>
      <c r="J1924" s="168"/>
      <c r="K1924" s="169"/>
      <c r="L1924" s="165"/>
      <c r="M1924" s="165"/>
      <c r="N1924" s="165"/>
      <c r="O1924" s="165"/>
      <c r="P1924" s="165"/>
      <c r="Q1924" s="165"/>
      <c r="R1924" s="165"/>
      <c r="S1924" s="165"/>
      <c r="T1924" s="165"/>
    </row>
    <row r="1925">
      <c r="A1925" s="165"/>
      <c r="B1925" s="165"/>
      <c r="C1925" s="165"/>
      <c r="D1925" s="165"/>
      <c r="E1925" s="166"/>
      <c r="F1925" s="165"/>
      <c r="G1925" s="167"/>
      <c r="H1925" s="166"/>
      <c r="I1925" s="167"/>
      <c r="J1925" s="168"/>
      <c r="K1925" s="169"/>
      <c r="L1925" s="165"/>
      <c r="M1925" s="165"/>
      <c r="N1925" s="165"/>
      <c r="O1925" s="165"/>
      <c r="P1925" s="165"/>
      <c r="Q1925" s="165"/>
      <c r="R1925" s="165"/>
      <c r="S1925" s="165"/>
      <c r="T1925" s="165"/>
    </row>
    <row r="1926">
      <c r="A1926" s="165"/>
      <c r="B1926" s="165"/>
      <c r="C1926" s="165"/>
      <c r="D1926" s="165"/>
      <c r="E1926" s="166"/>
      <c r="F1926" s="165"/>
      <c r="G1926" s="167"/>
      <c r="H1926" s="166"/>
      <c r="I1926" s="167"/>
      <c r="J1926" s="168"/>
      <c r="K1926" s="169"/>
      <c r="L1926" s="165"/>
      <c r="M1926" s="165"/>
      <c r="N1926" s="165"/>
      <c r="O1926" s="165"/>
      <c r="P1926" s="165"/>
      <c r="Q1926" s="165"/>
      <c r="R1926" s="165"/>
      <c r="S1926" s="165"/>
      <c r="T1926" s="165"/>
    </row>
    <row r="1927">
      <c r="A1927" s="165"/>
      <c r="B1927" s="165"/>
      <c r="C1927" s="165"/>
      <c r="D1927" s="165"/>
      <c r="E1927" s="166"/>
      <c r="F1927" s="165"/>
      <c r="G1927" s="167"/>
      <c r="H1927" s="166"/>
      <c r="I1927" s="167"/>
      <c r="J1927" s="168"/>
      <c r="K1927" s="169"/>
      <c r="L1927" s="165"/>
      <c r="M1927" s="165"/>
      <c r="N1927" s="165"/>
      <c r="O1927" s="165"/>
      <c r="P1927" s="165"/>
      <c r="Q1927" s="165"/>
      <c r="R1927" s="165"/>
      <c r="S1927" s="165"/>
      <c r="T1927" s="165"/>
    </row>
    <row r="1928">
      <c r="A1928" s="165"/>
      <c r="B1928" s="165"/>
      <c r="C1928" s="165"/>
      <c r="D1928" s="165"/>
      <c r="E1928" s="166"/>
      <c r="F1928" s="165"/>
      <c r="G1928" s="167"/>
      <c r="H1928" s="166"/>
      <c r="I1928" s="167"/>
      <c r="J1928" s="168"/>
      <c r="K1928" s="169"/>
      <c r="L1928" s="165"/>
      <c r="M1928" s="165"/>
      <c r="N1928" s="165"/>
      <c r="O1928" s="165"/>
      <c r="P1928" s="165"/>
      <c r="Q1928" s="165"/>
      <c r="R1928" s="165"/>
      <c r="S1928" s="165"/>
      <c r="T1928" s="165"/>
    </row>
    <row r="1929">
      <c r="A1929" s="165"/>
      <c r="B1929" s="165"/>
      <c r="C1929" s="165"/>
      <c r="D1929" s="165"/>
      <c r="E1929" s="166"/>
      <c r="F1929" s="165"/>
      <c r="G1929" s="167"/>
      <c r="H1929" s="166"/>
      <c r="I1929" s="167"/>
      <c r="J1929" s="168"/>
      <c r="K1929" s="169"/>
      <c r="L1929" s="165"/>
      <c r="M1929" s="165"/>
      <c r="N1929" s="165"/>
      <c r="O1929" s="165"/>
      <c r="P1929" s="165"/>
      <c r="Q1929" s="165"/>
      <c r="R1929" s="165"/>
      <c r="S1929" s="165"/>
      <c r="T1929" s="165"/>
    </row>
    <row r="1930">
      <c r="A1930" s="165"/>
      <c r="B1930" s="165"/>
      <c r="C1930" s="165"/>
      <c r="D1930" s="165"/>
      <c r="E1930" s="166"/>
      <c r="F1930" s="165"/>
      <c r="G1930" s="167"/>
      <c r="H1930" s="166"/>
      <c r="I1930" s="167"/>
      <c r="J1930" s="168"/>
      <c r="K1930" s="169"/>
      <c r="L1930" s="165"/>
      <c r="M1930" s="165"/>
      <c r="N1930" s="165"/>
      <c r="O1930" s="165"/>
      <c r="P1930" s="165"/>
      <c r="Q1930" s="165"/>
      <c r="R1930" s="165"/>
      <c r="S1930" s="165"/>
      <c r="T1930" s="165"/>
    </row>
    <row r="1931">
      <c r="A1931" s="165"/>
      <c r="B1931" s="165"/>
      <c r="C1931" s="165"/>
      <c r="D1931" s="165"/>
      <c r="E1931" s="166"/>
      <c r="F1931" s="165"/>
      <c r="G1931" s="167"/>
      <c r="H1931" s="166"/>
      <c r="I1931" s="167"/>
      <c r="J1931" s="168"/>
      <c r="K1931" s="169"/>
      <c r="L1931" s="165"/>
      <c r="M1931" s="165"/>
      <c r="N1931" s="165"/>
      <c r="O1931" s="165"/>
      <c r="P1931" s="165"/>
      <c r="Q1931" s="165"/>
      <c r="R1931" s="165"/>
      <c r="S1931" s="165"/>
      <c r="T1931" s="165"/>
    </row>
    <row r="1932">
      <c r="A1932" s="165"/>
      <c r="B1932" s="165"/>
      <c r="C1932" s="165"/>
      <c r="D1932" s="165"/>
      <c r="E1932" s="166"/>
      <c r="F1932" s="165"/>
      <c r="G1932" s="167"/>
      <c r="H1932" s="166"/>
      <c r="I1932" s="167"/>
      <c r="J1932" s="168"/>
      <c r="K1932" s="169"/>
      <c r="L1932" s="165"/>
      <c r="M1932" s="165"/>
      <c r="N1932" s="165"/>
      <c r="O1932" s="165"/>
      <c r="P1932" s="165"/>
      <c r="Q1932" s="165"/>
      <c r="R1932" s="165"/>
      <c r="S1932" s="165"/>
      <c r="T1932" s="165"/>
    </row>
    <row r="1933">
      <c r="A1933" s="165"/>
      <c r="B1933" s="165"/>
      <c r="C1933" s="165"/>
      <c r="D1933" s="165"/>
      <c r="E1933" s="166"/>
      <c r="F1933" s="165"/>
      <c r="G1933" s="167"/>
      <c r="H1933" s="166"/>
      <c r="I1933" s="167"/>
      <c r="J1933" s="168"/>
      <c r="K1933" s="169"/>
      <c r="L1933" s="165"/>
      <c r="M1933" s="165"/>
      <c r="N1933" s="165"/>
      <c r="O1933" s="165"/>
      <c r="P1933" s="165"/>
      <c r="Q1933" s="165"/>
      <c r="R1933" s="165"/>
      <c r="S1933" s="165"/>
      <c r="T1933" s="165"/>
    </row>
    <row r="1934">
      <c r="A1934" s="165"/>
      <c r="B1934" s="165"/>
      <c r="C1934" s="165"/>
      <c r="D1934" s="165"/>
      <c r="E1934" s="166"/>
      <c r="F1934" s="165"/>
      <c r="G1934" s="167"/>
      <c r="H1934" s="166"/>
      <c r="I1934" s="167"/>
      <c r="J1934" s="168"/>
      <c r="K1934" s="169"/>
      <c r="L1934" s="165"/>
      <c r="M1934" s="165"/>
      <c r="N1934" s="165"/>
      <c r="O1934" s="165"/>
      <c r="P1934" s="165"/>
      <c r="Q1934" s="165"/>
      <c r="R1934" s="165"/>
      <c r="S1934" s="165"/>
      <c r="T1934" s="165"/>
    </row>
    <row r="1935">
      <c r="A1935" s="165"/>
      <c r="B1935" s="165"/>
      <c r="C1935" s="165"/>
      <c r="D1935" s="165"/>
      <c r="E1935" s="166"/>
      <c r="F1935" s="165"/>
      <c r="G1935" s="167"/>
      <c r="H1935" s="166"/>
      <c r="I1935" s="167"/>
      <c r="J1935" s="168"/>
      <c r="K1935" s="169"/>
      <c r="L1935" s="165"/>
      <c r="M1935" s="165"/>
      <c r="N1935" s="165"/>
      <c r="O1935" s="165"/>
      <c r="P1935" s="165"/>
      <c r="Q1935" s="165"/>
      <c r="R1935" s="165"/>
      <c r="S1935" s="165"/>
      <c r="T1935" s="165"/>
    </row>
    <row r="1936">
      <c r="A1936" s="165"/>
      <c r="B1936" s="165"/>
      <c r="C1936" s="165"/>
      <c r="D1936" s="165"/>
      <c r="E1936" s="166"/>
      <c r="F1936" s="165"/>
      <c r="G1936" s="167"/>
      <c r="H1936" s="166"/>
      <c r="I1936" s="167"/>
      <c r="J1936" s="168"/>
      <c r="K1936" s="169"/>
      <c r="L1936" s="165"/>
      <c r="M1936" s="165"/>
      <c r="N1936" s="165"/>
      <c r="O1936" s="165"/>
      <c r="P1936" s="165"/>
      <c r="Q1936" s="165"/>
      <c r="R1936" s="165"/>
      <c r="S1936" s="165"/>
      <c r="T1936" s="165"/>
    </row>
    <row r="1937">
      <c r="A1937" s="165"/>
      <c r="B1937" s="165"/>
      <c r="C1937" s="165"/>
      <c r="D1937" s="165"/>
      <c r="E1937" s="166"/>
      <c r="F1937" s="165"/>
      <c r="G1937" s="167"/>
      <c r="H1937" s="166"/>
      <c r="I1937" s="167"/>
      <c r="J1937" s="168"/>
      <c r="K1937" s="169"/>
      <c r="L1937" s="165"/>
      <c r="M1937" s="165"/>
      <c r="N1937" s="165"/>
      <c r="O1937" s="165"/>
      <c r="P1937" s="165"/>
      <c r="Q1937" s="165"/>
      <c r="R1937" s="165"/>
      <c r="S1937" s="165"/>
      <c r="T1937" s="165"/>
    </row>
    <row r="1938">
      <c r="A1938" s="165"/>
      <c r="B1938" s="165"/>
      <c r="C1938" s="165"/>
      <c r="D1938" s="165"/>
      <c r="E1938" s="166"/>
      <c r="F1938" s="165"/>
      <c r="G1938" s="167"/>
      <c r="H1938" s="166"/>
      <c r="I1938" s="167"/>
      <c r="J1938" s="168"/>
      <c r="K1938" s="169"/>
      <c r="L1938" s="165"/>
      <c r="M1938" s="165"/>
      <c r="N1938" s="165"/>
      <c r="O1938" s="165"/>
      <c r="P1938" s="165"/>
      <c r="Q1938" s="165"/>
      <c r="R1938" s="165"/>
      <c r="S1938" s="165"/>
      <c r="T1938" s="165"/>
    </row>
    <row r="1939">
      <c r="A1939" s="165"/>
      <c r="B1939" s="165"/>
      <c r="C1939" s="165"/>
      <c r="D1939" s="165"/>
      <c r="E1939" s="166"/>
      <c r="F1939" s="165"/>
      <c r="G1939" s="167"/>
      <c r="H1939" s="166"/>
      <c r="I1939" s="167"/>
      <c r="J1939" s="168"/>
      <c r="K1939" s="169"/>
      <c r="L1939" s="165"/>
      <c r="M1939" s="165"/>
      <c r="N1939" s="165"/>
      <c r="O1939" s="165"/>
      <c r="P1939" s="165"/>
      <c r="Q1939" s="165"/>
      <c r="R1939" s="165"/>
      <c r="S1939" s="165"/>
      <c r="T1939" s="165"/>
    </row>
    <row r="1940">
      <c r="A1940" s="165"/>
      <c r="B1940" s="165"/>
      <c r="C1940" s="165"/>
      <c r="D1940" s="165"/>
      <c r="E1940" s="166"/>
      <c r="F1940" s="165"/>
      <c r="G1940" s="167"/>
      <c r="H1940" s="166"/>
      <c r="I1940" s="167"/>
      <c r="J1940" s="168"/>
      <c r="K1940" s="169"/>
      <c r="L1940" s="165"/>
      <c r="M1940" s="165"/>
      <c r="N1940" s="165"/>
      <c r="O1940" s="165"/>
      <c r="P1940" s="165"/>
      <c r="Q1940" s="165"/>
      <c r="R1940" s="165"/>
      <c r="S1940" s="165"/>
      <c r="T1940" s="165"/>
    </row>
    <row r="1941">
      <c r="A1941" s="165"/>
      <c r="B1941" s="165"/>
      <c r="C1941" s="165"/>
      <c r="D1941" s="165"/>
      <c r="E1941" s="166"/>
      <c r="F1941" s="165"/>
      <c r="G1941" s="167"/>
      <c r="H1941" s="166"/>
      <c r="I1941" s="167"/>
      <c r="J1941" s="168"/>
      <c r="K1941" s="169"/>
      <c r="L1941" s="165"/>
      <c r="M1941" s="165"/>
      <c r="N1941" s="165"/>
      <c r="O1941" s="165"/>
      <c r="P1941" s="165"/>
      <c r="Q1941" s="165"/>
      <c r="R1941" s="165"/>
      <c r="S1941" s="165"/>
      <c r="T1941" s="165"/>
    </row>
    <row r="1942">
      <c r="A1942" s="165"/>
      <c r="B1942" s="165"/>
      <c r="C1942" s="165"/>
      <c r="D1942" s="165"/>
      <c r="E1942" s="166"/>
      <c r="F1942" s="165"/>
      <c r="G1942" s="167"/>
      <c r="H1942" s="166"/>
      <c r="I1942" s="167"/>
      <c r="J1942" s="168"/>
      <c r="K1942" s="169"/>
      <c r="L1942" s="165"/>
      <c r="M1942" s="165"/>
      <c r="N1942" s="165"/>
      <c r="O1942" s="165"/>
      <c r="P1942" s="165"/>
      <c r="Q1942" s="165"/>
      <c r="R1942" s="165"/>
      <c r="S1942" s="165"/>
      <c r="T1942" s="165"/>
    </row>
    <row r="1943">
      <c r="A1943" s="165"/>
      <c r="B1943" s="165"/>
      <c r="C1943" s="165"/>
      <c r="D1943" s="165"/>
      <c r="E1943" s="166"/>
      <c r="F1943" s="165"/>
      <c r="G1943" s="167"/>
      <c r="H1943" s="166"/>
      <c r="I1943" s="167"/>
      <c r="J1943" s="168"/>
      <c r="K1943" s="169"/>
      <c r="L1943" s="165"/>
      <c r="M1943" s="165"/>
      <c r="N1943" s="165"/>
      <c r="O1943" s="165"/>
      <c r="P1943" s="165"/>
      <c r="Q1943" s="165"/>
      <c r="R1943" s="165"/>
      <c r="S1943" s="165"/>
      <c r="T1943" s="165"/>
    </row>
    <row r="1944">
      <c r="A1944" s="165"/>
      <c r="B1944" s="165"/>
      <c r="C1944" s="165"/>
      <c r="D1944" s="165"/>
      <c r="E1944" s="166"/>
      <c r="F1944" s="165"/>
      <c r="G1944" s="167"/>
      <c r="H1944" s="166"/>
      <c r="I1944" s="167"/>
      <c r="J1944" s="168"/>
      <c r="K1944" s="169"/>
      <c r="L1944" s="165"/>
      <c r="M1944" s="165"/>
      <c r="N1944" s="165"/>
      <c r="O1944" s="165"/>
      <c r="P1944" s="165"/>
      <c r="Q1944" s="165"/>
      <c r="R1944" s="165"/>
      <c r="S1944" s="165"/>
      <c r="T1944" s="165"/>
    </row>
    <row r="1945">
      <c r="A1945" s="165"/>
      <c r="B1945" s="165"/>
      <c r="C1945" s="165"/>
      <c r="D1945" s="165"/>
      <c r="E1945" s="166"/>
      <c r="F1945" s="165"/>
      <c r="G1945" s="167"/>
      <c r="H1945" s="166"/>
      <c r="I1945" s="167"/>
      <c r="J1945" s="168"/>
      <c r="K1945" s="169"/>
      <c r="L1945" s="165"/>
      <c r="M1945" s="165"/>
      <c r="N1945" s="165"/>
      <c r="O1945" s="165"/>
      <c r="P1945" s="165"/>
      <c r="Q1945" s="165"/>
      <c r="R1945" s="165"/>
      <c r="S1945" s="165"/>
      <c r="T1945" s="165"/>
    </row>
    <row r="1946">
      <c r="A1946" s="165"/>
      <c r="B1946" s="165"/>
      <c r="C1946" s="165"/>
      <c r="D1946" s="165"/>
      <c r="E1946" s="166"/>
      <c r="F1946" s="165"/>
      <c r="G1946" s="167"/>
      <c r="H1946" s="166"/>
      <c r="I1946" s="167"/>
      <c r="J1946" s="168"/>
      <c r="K1946" s="169"/>
      <c r="L1946" s="165"/>
      <c r="M1946" s="165"/>
      <c r="N1946" s="165"/>
      <c r="O1946" s="165"/>
      <c r="P1946" s="165"/>
      <c r="Q1946" s="165"/>
      <c r="R1946" s="165"/>
      <c r="S1946" s="165"/>
      <c r="T1946" s="165"/>
    </row>
    <row r="1947">
      <c r="A1947" s="165"/>
      <c r="B1947" s="165"/>
      <c r="C1947" s="165"/>
      <c r="D1947" s="165"/>
      <c r="E1947" s="166"/>
      <c r="F1947" s="165"/>
      <c r="G1947" s="167"/>
      <c r="H1947" s="166"/>
      <c r="I1947" s="167"/>
      <c r="J1947" s="168"/>
      <c r="K1947" s="169"/>
      <c r="L1947" s="165"/>
      <c r="M1947" s="165"/>
      <c r="N1947" s="165"/>
      <c r="O1947" s="165"/>
      <c r="P1947" s="165"/>
      <c r="Q1947" s="165"/>
      <c r="R1947" s="165"/>
      <c r="S1947" s="165"/>
      <c r="T1947" s="165"/>
    </row>
    <row r="1948">
      <c r="A1948" s="165"/>
      <c r="B1948" s="165"/>
      <c r="C1948" s="165"/>
      <c r="D1948" s="165"/>
      <c r="E1948" s="166"/>
      <c r="F1948" s="165"/>
      <c r="G1948" s="167"/>
      <c r="H1948" s="166"/>
      <c r="I1948" s="167"/>
      <c r="J1948" s="168"/>
      <c r="K1948" s="169"/>
      <c r="L1948" s="165"/>
      <c r="M1948" s="165"/>
      <c r="N1948" s="165"/>
      <c r="O1948" s="165"/>
      <c r="P1948" s="165"/>
      <c r="Q1948" s="165"/>
      <c r="R1948" s="165"/>
      <c r="S1948" s="165"/>
      <c r="T1948" s="165"/>
    </row>
    <row r="1949">
      <c r="A1949" s="165"/>
      <c r="B1949" s="165"/>
      <c r="C1949" s="165"/>
      <c r="D1949" s="165"/>
      <c r="E1949" s="166"/>
      <c r="F1949" s="165"/>
      <c r="G1949" s="167"/>
      <c r="H1949" s="166"/>
      <c r="I1949" s="167"/>
      <c r="J1949" s="168"/>
      <c r="K1949" s="169"/>
      <c r="L1949" s="165"/>
      <c r="M1949" s="165"/>
      <c r="N1949" s="165"/>
      <c r="O1949" s="165"/>
      <c r="P1949" s="165"/>
      <c r="Q1949" s="165"/>
      <c r="R1949" s="165"/>
      <c r="S1949" s="165"/>
      <c r="T1949" s="165"/>
    </row>
    <row r="1950">
      <c r="A1950" s="165"/>
      <c r="B1950" s="165"/>
      <c r="C1950" s="165"/>
      <c r="D1950" s="165"/>
      <c r="E1950" s="166"/>
      <c r="F1950" s="165"/>
      <c r="G1950" s="167"/>
      <c r="H1950" s="166"/>
      <c r="I1950" s="167"/>
      <c r="J1950" s="168"/>
      <c r="K1950" s="169"/>
      <c r="L1950" s="165"/>
      <c r="M1950" s="165"/>
      <c r="N1950" s="165"/>
      <c r="O1950" s="165"/>
      <c r="P1950" s="165"/>
      <c r="Q1950" s="165"/>
      <c r="R1950" s="165"/>
      <c r="S1950" s="165"/>
      <c r="T1950" s="165"/>
    </row>
    <row r="1951">
      <c r="A1951" s="165"/>
      <c r="B1951" s="165"/>
      <c r="C1951" s="165"/>
      <c r="D1951" s="165"/>
      <c r="E1951" s="166"/>
      <c r="F1951" s="165"/>
      <c r="G1951" s="167"/>
      <c r="H1951" s="166"/>
      <c r="I1951" s="167"/>
      <c r="J1951" s="168"/>
      <c r="K1951" s="169"/>
      <c r="L1951" s="165"/>
      <c r="M1951" s="165"/>
      <c r="N1951" s="165"/>
      <c r="O1951" s="165"/>
      <c r="P1951" s="165"/>
      <c r="Q1951" s="165"/>
      <c r="R1951" s="165"/>
      <c r="S1951" s="165"/>
      <c r="T1951" s="165"/>
    </row>
    <row r="1952">
      <c r="A1952" s="165"/>
      <c r="B1952" s="165"/>
      <c r="C1952" s="165"/>
      <c r="D1952" s="165"/>
      <c r="E1952" s="166"/>
      <c r="F1952" s="165"/>
      <c r="G1952" s="167"/>
      <c r="H1952" s="166"/>
      <c r="I1952" s="167"/>
      <c r="J1952" s="168"/>
      <c r="K1952" s="169"/>
      <c r="L1952" s="165"/>
      <c r="M1952" s="165"/>
      <c r="N1952" s="165"/>
      <c r="O1952" s="165"/>
      <c r="P1952" s="165"/>
      <c r="Q1952" s="165"/>
      <c r="R1952" s="165"/>
      <c r="S1952" s="165"/>
      <c r="T1952" s="165"/>
    </row>
    <row r="1953">
      <c r="A1953" s="165"/>
      <c r="B1953" s="165"/>
      <c r="C1953" s="165"/>
      <c r="D1953" s="165"/>
      <c r="E1953" s="166"/>
      <c r="F1953" s="165"/>
      <c r="G1953" s="167"/>
      <c r="H1953" s="166"/>
      <c r="I1953" s="167"/>
      <c r="J1953" s="168"/>
      <c r="K1953" s="169"/>
      <c r="L1953" s="165"/>
      <c r="M1953" s="165"/>
      <c r="N1953" s="165"/>
      <c r="O1953" s="165"/>
      <c r="P1953" s="165"/>
      <c r="Q1953" s="165"/>
      <c r="R1953" s="165"/>
      <c r="S1953" s="165"/>
      <c r="T1953" s="165"/>
    </row>
    <row r="1954">
      <c r="A1954" s="165"/>
      <c r="B1954" s="165"/>
      <c r="C1954" s="165"/>
      <c r="D1954" s="165"/>
      <c r="E1954" s="166"/>
      <c r="F1954" s="165"/>
      <c r="G1954" s="167"/>
      <c r="H1954" s="166"/>
      <c r="I1954" s="167"/>
      <c r="J1954" s="168"/>
      <c r="K1954" s="169"/>
      <c r="L1954" s="165"/>
      <c r="M1954" s="165"/>
      <c r="N1954" s="165"/>
      <c r="O1954" s="165"/>
      <c r="P1954" s="165"/>
      <c r="Q1954" s="165"/>
      <c r="R1954" s="165"/>
      <c r="S1954" s="165"/>
      <c r="T1954" s="165"/>
    </row>
    <row r="1955">
      <c r="A1955" s="165"/>
      <c r="B1955" s="165"/>
      <c r="C1955" s="165"/>
      <c r="D1955" s="165"/>
      <c r="E1955" s="166"/>
      <c r="F1955" s="165"/>
      <c r="G1955" s="167"/>
      <c r="H1955" s="166"/>
      <c r="I1955" s="167"/>
      <c r="J1955" s="168"/>
      <c r="K1955" s="169"/>
      <c r="L1955" s="165"/>
      <c r="M1955" s="165"/>
      <c r="N1955" s="165"/>
      <c r="O1955" s="165"/>
      <c r="P1955" s="165"/>
      <c r="Q1955" s="165"/>
      <c r="R1955" s="165"/>
      <c r="S1955" s="165"/>
      <c r="T1955" s="165"/>
    </row>
    <row r="1956">
      <c r="A1956" s="165"/>
      <c r="B1956" s="165"/>
      <c r="C1956" s="165"/>
      <c r="D1956" s="165"/>
      <c r="E1956" s="166"/>
      <c r="F1956" s="165"/>
      <c r="G1956" s="167"/>
      <c r="H1956" s="166"/>
      <c r="I1956" s="167"/>
      <c r="J1956" s="168"/>
      <c r="K1956" s="169"/>
      <c r="L1956" s="165"/>
      <c r="M1956" s="165"/>
      <c r="N1956" s="165"/>
      <c r="O1956" s="165"/>
      <c r="P1956" s="165"/>
      <c r="Q1956" s="165"/>
      <c r="R1956" s="165"/>
      <c r="S1956" s="165"/>
      <c r="T1956" s="165"/>
    </row>
    <row r="1957">
      <c r="A1957" s="165"/>
      <c r="B1957" s="165"/>
      <c r="C1957" s="165"/>
      <c r="D1957" s="165"/>
      <c r="E1957" s="166"/>
      <c r="F1957" s="165"/>
      <c r="G1957" s="167"/>
      <c r="H1957" s="166"/>
      <c r="I1957" s="167"/>
      <c r="J1957" s="168"/>
      <c r="K1957" s="169"/>
      <c r="L1957" s="165"/>
      <c r="M1957" s="165"/>
      <c r="N1957" s="165"/>
      <c r="O1957" s="165"/>
      <c r="P1957" s="165"/>
      <c r="Q1957" s="165"/>
      <c r="R1957" s="165"/>
      <c r="S1957" s="165"/>
      <c r="T1957" s="165"/>
    </row>
    <row r="1958">
      <c r="A1958" s="165"/>
      <c r="B1958" s="165"/>
      <c r="C1958" s="165"/>
      <c r="D1958" s="165"/>
      <c r="E1958" s="166"/>
      <c r="F1958" s="165"/>
      <c r="G1958" s="167"/>
      <c r="H1958" s="166"/>
      <c r="I1958" s="167"/>
      <c r="J1958" s="168"/>
      <c r="K1958" s="169"/>
      <c r="L1958" s="165"/>
      <c r="M1958" s="165"/>
      <c r="N1958" s="165"/>
      <c r="O1958" s="165"/>
      <c r="P1958" s="165"/>
      <c r="Q1958" s="165"/>
      <c r="R1958" s="165"/>
      <c r="S1958" s="165"/>
      <c r="T1958" s="165"/>
    </row>
    <row r="1959">
      <c r="A1959" s="165"/>
      <c r="B1959" s="165"/>
      <c r="C1959" s="165"/>
      <c r="D1959" s="165"/>
      <c r="E1959" s="166"/>
      <c r="F1959" s="165"/>
      <c r="G1959" s="167"/>
      <c r="H1959" s="166"/>
      <c r="I1959" s="167"/>
      <c r="J1959" s="168"/>
      <c r="K1959" s="169"/>
      <c r="L1959" s="165"/>
      <c r="M1959" s="165"/>
      <c r="N1959" s="165"/>
      <c r="O1959" s="165"/>
      <c r="P1959" s="165"/>
      <c r="Q1959" s="165"/>
      <c r="R1959" s="165"/>
      <c r="S1959" s="165"/>
      <c r="T1959" s="165"/>
    </row>
    <row r="1960">
      <c r="A1960" s="165"/>
      <c r="B1960" s="165"/>
      <c r="C1960" s="165"/>
      <c r="D1960" s="165"/>
      <c r="E1960" s="166"/>
      <c r="F1960" s="165"/>
      <c r="G1960" s="167"/>
      <c r="H1960" s="166"/>
      <c r="I1960" s="167"/>
      <c r="J1960" s="168"/>
      <c r="K1960" s="169"/>
      <c r="L1960" s="165"/>
      <c r="M1960" s="165"/>
      <c r="N1960" s="165"/>
      <c r="O1960" s="165"/>
      <c r="P1960" s="165"/>
      <c r="Q1960" s="165"/>
      <c r="R1960" s="165"/>
      <c r="S1960" s="165"/>
      <c r="T1960" s="165"/>
    </row>
    <row r="1961">
      <c r="A1961" s="165"/>
      <c r="B1961" s="165"/>
      <c r="C1961" s="165"/>
      <c r="D1961" s="165"/>
      <c r="E1961" s="166"/>
      <c r="F1961" s="165"/>
      <c r="G1961" s="167"/>
      <c r="H1961" s="166"/>
      <c r="I1961" s="167"/>
      <c r="J1961" s="168"/>
      <c r="K1961" s="169"/>
      <c r="L1961" s="165"/>
      <c r="M1961" s="165"/>
      <c r="N1961" s="165"/>
      <c r="O1961" s="165"/>
      <c r="P1961" s="165"/>
      <c r="Q1961" s="165"/>
      <c r="R1961" s="165"/>
      <c r="S1961" s="165"/>
      <c r="T1961" s="165"/>
    </row>
    <row r="1962">
      <c r="A1962" s="165"/>
      <c r="B1962" s="165"/>
      <c r="C1962" s="165"/>
      <c r="D1962" s="165"/>
      <c r="E1962" s="166"/>
      <c r="F1962" s="165"/>
      <c r="G1962" s="167"/>
      <c r="H1962" s="166"/>
      <c r="I1962" s="167"/>
      <c r="J1962" s="168"/>
      <c r="K1962" s="169"/>
      <c r="L1962" s="165"/>
      <c r="M1962" s="165"/>
      <c r="N1962" s="165"/>
      <c r="O1962" s="165"/>
      <c r="P1962" s="165"/>
      <c r="Q1962" s="165"/>
      <c r="R1962" s="165"/>
      <c r="S1962" s="165"/>
      <c r="T1962" s="165"/>
    </row>
    <row r="1963">
      <c r="A1963" s="165"/>
      <c r="B1963" s="165"/>
      <c r="C1963" s="165"/>
      <c r="D1963" s="165"/>
      <c r="E1963" s="166"/>
      <c r="F1963" s="165"/>
      <c r="G1963" s="167"/>
      <c r="H1963" s="166"/>
      <c r="I1963" s="167"/>
      <c r="J1963" s="168"/>
      <c r="K1963" s="169"/>
      <c r="L1963" s="165"/>
      <c r="M1963" s="165"/>
      <c r="N1963" s="165"/>
      <c r="O1963" s="165"/>
      <c r="P1963" s="165"/>
      <c r="Q1963" s="165"/>
      <c r="R1963" s="165"/>
      <c r="S1963" s="165"/>
      <c r="T1963" s="165"/>
    </row>
    <row r="1964">
      <c r="A1964" s="165"/>
      <c r="B1964" s="165"/>
      <c r="C1964" s="165"/>
      <c r="D1964" s="165"/>
      <c r="E1964" s="166"/>
      <c r="F1964" s="165"/>
      <c r="G1964" s="167"/>
      <c r="H1964" s="166"/>
      <c r="I1964" s="167"/>
      <c r="J1964" s="168"/>
      <c r="K1964" s="169"/>
      <c r="L1964" s="165"/>
      <c r="M1964" s="165"/>
      <c r="N1964" s="165"/>
      <c r="O1964" s="165"/>
      <c r="P1964" s="165"/>
      <c r="Q1964" s="165"/>
      <c r="R1964" s="165"/>
      <c r="S1964" s="165"/>
      <c r="T1964" s="165"/>
    </row>
    <row r="1965">
      <c r="A1965" s="165"/>
      <c r="B1965" s="165"/>
      <c r="C1965" s="165"/>
      <c r="D1965" s="165"/>
      <c r="E1965" s="166"/>
      <c r="F1965" s="165"/>
      <c r="G1965" s="167"/>
      <c r="H1965" s="166"/>
      <c r="I1965" s="167"/>
      <c r="J1965" s="168"/>
      <c r="K1965" s="169"/>
      <c r="L1965" s="165"/>
      <c r="M1965" s="165"/>
      <c r="N1965" s="165"/>
      <c r="O1965" s="165"/>
      <c r="P1965" s="165"/>
      <c r="Q1965" s="165"/>
      <c r="R1965" s="165"/>
      <c r="S1965" s="165"/>
      <c r="T1965" s="165"/>
    </row>
    <row r="1966">
      <c r="A1966" s="165"/>
      <c r="B1966" s="165"/>
      <c r="C1966" s="165"/>
      <c r="D1966" s="165"/>
      <c r="E1966" s="166"/>
      <c r="F1966" s="165"/>
      <c r="G1966" s="167"/>
      <c r="H1966" s="166"/>
      <c r="I1966" s="167"/>
      <c r="J1966" s="168"/>
      <c r="K1966" s="169"/>
      <c r="L1966" s="165"/>
      <c r="M1966" s="165"/>
      <c r="N1966" s="165"/>
      <c r="O1966" s="165"/>
      <c r="P1966" s="165"/>
      <c r="Q1966" s="165"/>
      <c r="R1966" s="165"/>
      <c r="S1966" s="165"/>
      <c r="T1966" s="165"/>
    </row>
    <row r="1967">
      <c r="A1967" s="165"/>
      <c r="B1967" s="165"/>
      <c r="C1967" s="165"/>
      <c r="D1967" s="165"/>
      <c r="E1967" s="166"/>
      <c r="F1967" s="165"/>
      <c r="G1967" s="167"/>
      <c r="H1967" s="166"/>
      <c r="I1967" s="167"/>
      <c r="J1967" s="168"/>
      <c r="K1967" s="169"/>
      <c r="L1967" s="165"/>
      <c r="M1967" s="165"/>
      <c r="N1967" s="165"/>
      <c r="O1967" s="165"/>
      <c r="P1967" s="165"/>
      <c r="Q1967" s="165"/>
      <c r="R1967" s="165"/>
      <c r="S1967" s="165"/>
      <c r="T1967" s="165"/>
    </row>
    <row r="1968">
      <c r="A1968" s="165"/>
      <c r="B1968" s="165"/>
      <c r="C1968" s="165"/>
      <c r="D1968" s="165"/>
      <c r="E1968" s="166"/>
      <c r="F1968" s="165"/>
      <c r="G1968" s="167"/>
      <c r="H1968" s="166"/>
      <c r="I1968" s="167"/>
      <c r="J1968" s="168"/>
      <c r="K1968" s="169"/>
      <c r="L1968" s="165"/>
      <c r="M1968" s="165"/>
      <c r="N1968" s="165"/>
      <c r="O1968" s="165"/>
      <c r="P1968" s="165"/>
      <c r="Q1968" s="165"/>
      <c r="R1968" s="165"/>
      <c r="S1968" s="165"/>
      <c r="T1968" s="165"/>
    </row>
    <row r="1969">
      <c r="A1969" s="165"/>
      <c r="B1969" s="165"/>
      <c r="C1969" s="165"/>
      <c r="D1969" s="165"/>
      <c r="E1969" s="166"/>
      <c r="F1969" s="165"/>
      <c r="G1969" s="167"/>
      <c r="H1969" s="166"/>
      <c r="I1969" s="167"/>
      <c r="J1969" s="168"/>
      <c r="K1969" s="169"/>
      <c r="L1969" s="165"/>
      <c r="M1969" s="165"/>
      <c r="N1969" s="165"/>
      <c r="O1969" s="165"/>
      <c r="P1969" s="165"/>
      <c r="Q1969" s="165"/>
      <c r="R1969" s="165"/>
      <c r="S1969" s="165"/>
      <c r="T1969" s="165"/>
    </row>
    <row r="1970">
      <c r="A1970" s="165"/>
      <c r="B1970" s="165"/>
      <c r="C1970" s="165"/>
      <c r="D1970" s="165"/>
      <c r="E1970" s="166"/>
      <c r="F1970" s="165"/>
      <c r="G1970" s="167"/>
      <c r="H1970" s="166"/>
      <c r="I1970" s="167"/>
      <c r="J1970" s="168"/>
      <c r="K1970" s="169"/>
      <c r="L1970" s="165"/>
      <c r="M1970" s="165"/>
      <c r="N1970" s="165"/>
      <c r="O1970" s="165"/>
      <c r="P1970" s="165"/>
      <c r="Q1970" s="165"/>
      <c r="R1970" s="165"/>
      <c r="S1970" s="165"/>
      <c r="T1970" s="165"/>
    </row>
    <row r="1971">
      <c r="A1971" s="165"/>
      <c r="B1971" s="165"/>
      <c r="C1971" s="165"/>
      <c r="D1971" s="165"/>
      <c r="E1971" s="166"/>
      <c r="F1971" s="165"/>
      <c r="G1971" s="167"/>
      <c r="H1971" s="166"/>
      <c r="I1971" s="167"/>
      <c r="J1971" s="168"/>
      <c r="K1971" s="169"/>
      <c r="L1971" s="165"/>
      <c r="M1971" s="165"/>
      <c r="N1971" s="165"/>
      <c r="O1971" s="165"/>
      <c r="P1971" s="165"/>
      <c r="Q1971" s="165"/>
      <c r="R1971" s="165"/>
      <c r="S1971" s="165"/>
      <c r="T1971" s="165"/>
    </row>
    <row r="1972">
      <c r="A1972" s="165"/>
      <c r="B1972" s="165"/>
      <c r="C1972" s="165"/>
      <c r="D1972" s="165"/>
      <c r="E1972" s="166"/>
      <c r="F1972" s="165"/>
      <c r="G1972" s="167"/>
      <c r="H1972" s="166"/>
      <c r="I1972" s="167"/>
      <c r="J1972" s="168"/>
      <c r="K1972" s="169"/>
      <c r="L1972" s="165"/>
      <c r="M1972" s="165"/>
      <c r="N1972" s="165"/>
      <c r="O1972" s="165"/>
      <c r="P1972" s="165"/>
      <c r="Q1972" s="165"/>
      <c r="R1972" s="165"/>
      <c r="S1972" s="165"/>
      <c r="T1972" s="165"/>
    </row>
    <row r="1973">
      <c r="A1973" s="165"/>
      <c r="B1973" s="165"/>
      <c r="C1973" s="165"/>
      <c r="D1973" s="165"/>
      <c r="E1973" s="166"/>
      <c r="F1973" s="165"/>
      <c r="G1973" s="167"/>
      <c r="H1973" s="166"/>
      <c r="I1973" s="167"/>
      <c r="J1973" s="168"/>
      <c r="K1973" s="169"/>
      <c r="L1973" s="165"/>
      <c r="M1973" s="165"/>
      <c r="N1973" s="165"/>
      <c r="O1973" s="165"/>
      <c r="P1973" s="165"/>
      <c r="Q1973" s="165"/>
      <c r="R1973" s="165"/>
      <c r="S1973" s="165"/>
      <c r="T1973" s="165"/>
    </row>
    <row r="1974">
      <c r="A1974" s="165"/>
      <c r="B1974" s="165"/>
      <c r="C1974" s="165"/>
      <c r="D1974" s="165"/>
      <c r="E1974" s="166"/>
      <c r="F1974" s="165"/>
      <c r="G1974" s="167"/>
      <c r="H1974" s="166"/>
      <c r="I1974" s="167"/>
      <c r="J1974" s="168"/>
      <c r="K1974" s="169"/>
      <c r="L1974" s="165"/>
      <c r="M1974" s="165"/>
      <c r="N1974" s="165"/>
      <c r="O1974" s="165"/>
      <c r="P1974" s="165"/>
      <c r="Q1974" s="165"/>
      <c r="R1974" s="165"/>
      <c r="S1974" s="165"/>
      <c r="T1974" s="165"/>
    </row>
    <row r="1975">
      <c r="A1975" s="165"/>
      <c r="B1975" s="165"/>
      <c r="C1975" s="165"/>
      <c r="D1975" s="165"/>
      <c r="E1975" s="166"/>
      <c r="F1975" s="165"/>
      <c r="G1975" s="167"/>
      <c r="H1975" s="166"/>
      <c r="I1975" s="167"/>
      <c r="J1975" s="168"/>
      <c r="K1975" s="169"/>
      <c r="L1975" s="165"/>
      <c r="M1975" s="165"/>
      <c r="N1975" s="165"/>
      <c r="O1975" s="165"/>
      <c r="P1975" s="165"/>
      <c r="Q1975" s="165"/>
      <c r="R1975" s="165"/>
      <c r="S1975" s="165"/>
      <c r="T1975" s="165"/>
    </row>
    <row r="1976">
      <c r="A1976" s="165"/>
      <c r="B1976" s="165"/>
      <c r="C1976" s="165"/>
      <c r="D1976" s="165"/>
      <c r="E1976" s="166"/>
      <c r="F1976" s="165"/>
      <c r="G1976" s="167"/>
      <c r="H1976" s="166"/>
      <c r="I1976" s="167"/>
      <c r="J1976" s="168"/>
      <c r="K1976" s="169"/>
      <c r="L1976" s="165"/>
      <c r="M1976" s="165"/>
      <c r="N1976" s="165"/>
      <c r="O1976" s="165"/>
      <c r="P1976" s="165"/>
      <c r="Q1976" s="165"/>
      <c r="R1976" s="165"/>
      <c r="S1976" s="165"/>
      <c r="T1976" s="165"/>
    </row>
    <row r="1977">
      <c r="A1977" s="165"/>
      <c r="B1977" s="165"/>
      <c r="C1977" s="165"/>
      <c r="D1977" s="165"/>
      <c r="E1977" s="166"/>
      <c r="F1977" s="165"/>
      <c r="G1977" s="167"/>
      <c r="H1977" s="166"/>
      <c r="I1977" s="167"/>
      <c r="J1977" s="168"/>
      <c r="K1977" s="169"/>
      <c r="L1977" s="165"/>
      <c r="M1977" s="165"/>
      <c r="N1977" s="165"/>
      <c r="O1977" s="165"/>
      <c r="P1977" s="165"/>
      <c r="Q1977" s="165"/>
      <c r="R1977" s="165"/>
      <c r="S1977" s="165"/>
      <c r="T1977" s="165"/>
    </row>
    <row r="1978">
      <c r="A1978" s="165"/>
      <c r="B1978" s="165"/>
      <c r="C1978" s="165"/>
      <c r="D1978" s="165"/>
      <c r="E1978" s="166"/>
      <c r="F1978" s="165"/>
      <c r="G1978" s="167"/>
      <c r="H1978" s="166"/>
      <c r="I1978" s="167"/>
      <c r="J1978" s="168"/>
      <c r="K1978" s="169"/>
      <c r="L1978" s="165"/>
      <c r="M1978" s="165"/>
      <c r="N1978" s="165"/>
      <c r="O1978" s="165"/>
      <c r="P1978" s="165"/>
      <c r="Q1978" s="165"/>
      <c r="R1978" s="165"/>
      <c r="S1978" s="165"/>
      <c r="T1978" s="165"/>
    </row>
    <row r="1979">
      <c r="A1979" s="165"/>
      <c r="B1979" s="165"/>
      <c r="C1979" s="165"/>
      <c r="D1979" s="165"/>
      <c r="E1979" s="166"/>
      <c r="F1979" s="165"/>
      <c r="G1979" s="167"/>
      <c r="H1979" s="166"/>
      <c r="I1979" s="167"/>
      <c r="J1979" s="168"/>
      <c r="K1979" s="169"/>
      <c r="L1979" s="165"/>
      <c r="M1979" s="165"/>
      <c r="N1979" s="165"/>
      <c r="O1979" s="165"/>
      <c r="P1979" s="165"/>
      <c r="Q1979" s="165"/>
      <c r="R1979" s="165"/>
      <c r="S1979" s="165"/>
      <c r="T1979" s="165"/>
    </row>
    <row r="1980">
      <c r="A1980" s="165"/>
      <c r="B1980" s="165"/>
      <c r="C1980" s="165"/>
      <c r="D1980" s="165"/>
      <c r="E1980" s="166"/>
      <c r="F1980" s="165"/>
      <c r="G1980" s="167"/>
      <c r="H1980" s="166"/>
      <c r="I1980" s="167"/>
      <c r="J1980" s="168"/>
      <c r="K1980" s="169"/>
      <c r="L1980" s="165"/>
      <c r="M1980" s="165"/>
      <c r="N1980" s="165"/>
      <c r="O1980" s="165"/>
      <c r="P1980" s="165"/>
      <c r="Q1980" s="165"/>
      <c r="R1980" s="165"/>
      <c r="S1980" s="165"/>
      <c r="T1980" s="165"/>
    </row>
    <row r="1981">
      <c r="A1981" s="165"/>
      <c r="B1981" s="165"/>
      <c r="C1981" s="165"/>
      <c r="D1981" s="165"/>
      <c r="E1981" s="166"/>
      <c r="F1981" s="165"/>
      <c r="G1981" s="167"/>
      <c r="H1981" s="166"/>
      <c r="I1981" s="167"/>
      <c r="J1981" s="168"/>
      <c r="K1981" s="169"/>
      <c r="L1981" s="165"/>
      <c r="M1981" s="165"/>
      <c r="N1981" s="165"/>
      <c r="O1981" s="165"/>
      <c r="P1981" s="165"/>
      <c r="Q1981" s="165"/>
      <c r="R1981" s="165"/>
      <c r="S1981" s="165"/>
      <c r="T1981" s="165"/>
    </row>
    <row r="1982">
      <c r="A1982" s="165"/>
      <c r="B1982" s="165"/>
      <c r="C1982" s="165"/>
      <c r="D1982" s="165"/>
      <c r="E1982" s="166"/>
      <c r="F1982" s="165"/>
      <c r="G1982" s="167"/>
      <c r="H1982" s="166"/>
      <c r="I1982" s="167"/>
      <c r="J1982" s="168"/>
      <c r="K1982" s="169"/>
      <c r="L1982" s="165"/>
      <c r="M1982" s="165"/>
      <c r="N1982" s="165"/>
      <c r="O1982" s="165"/>
      <c r="P1982" s="165"/>
      <c r="Q1982" s="165"/>
      <c r="R1982" s="165"/>
      <c r="S1982" s="165"/>
      <c r="T1982" s="165"/>
    </row>
    <row r="1983">
      <c r="A1983" s="165"/>
      <c r="B1983" s="165"/>
      <c r="C1983" s="165"/>
      <c r="D1983" s="165"/>
      <c r="E1983" s="166"/>
      <c r="F1983" s="165"/>
      <c r="G1983" s="167"/>
      <c r="H1983" s="166"/>
      <c r="I1983" s="167"/>
      <c r="J1983" s="168"/>
      <c r="K1983" s="169"/>
      <c r="L1983" s="165"/>
      <c r="M1983" s="165"/>
      <c r="N1983" s="165"/>
      <c r="O1983" s="165"/>
      <c r="P1983" s="165"/>
      <c r="Q1983" s="165"/>
      <c r="R1983" s="165"/>
      <c r="S1983" s="165"/>
      <c r="T1983" s="165"/>
    </row>
    <row r="1984">
      <c r="A1984" s="165"/>
      <c r="B1984" s="165"/>
      <c r="C1984" s="165"/>
      <c r="D1984" s="165"/>
      <c r="E1984" s="166"/>
      <c r="F1984" s="165"/>
      <c r="G1984" s="167"/>
      <c r="H1984" s="166"/>
      <c r="I1984" s="167"/>
      <c r="J1984" s="168"/>
      <c r="K1984" s="169"/>
      <c r="L1984" s="165"/>
      <c r="M1984" s="165"/>
      <c r="N1984" s="165"/>
      <c r="O1984" s="165"/>
      <c r="P1984" s="165"/>
      <c r="Q1984" s="165"/>
      <c r="R1984" s="165"/>
      <c r="S1984" s="165"/>
      <c r="T1984" s="165"/>
    </row>
    <row r="1985">
      <c r="A1985" s="165"/>
      <c r="B1985" s="165"/>
      <c r="C1985" s="165"/>
      <c r="D1985" s="165"/>
      <c r="E1985" s="166"/>
      <c r="F1985" s="165"/>
      <c r="G1985" s="167"/>
      <c r="H1985" s="166"/>
      <c r="I1985" s="167"/>
      <c r="J1985" s="168"/>
      <c r="K1985" s="169"/>
      <c r="L1985" s="165"/>
      <c r="M1985" s="165"/>
      <c r="N1985" s="165"/>
      <c r="O1985" s="165"/>
      <c r="P1985" s="165"/>
      <c r="Q1985" s="165"/>
      <c r="R1985" s="165"/>
      <c r="S1985" s="165"/>
      <c r="T1985" s="165"/>
    </row>
    <row r="1986">
      <c r="A1986" s="165"/>
      <c r="B1986" s="165"/>
      <c r="C1986" s="165"/>
      <c r="D1986" s="165"/>
      <c r="E1986" s="166"/>
      <c r="F1986" s="165"/>
      <c r="G1986" s="167"/>
      <c r="H1986" s="166"/>
      <c r="I1986" s="167"/>
      <c r="J1986" s="168"/>
      <c r="K1986" s="169"/>
      <c r="L1986" s="165"/>
      <c r="M1986" s="165"/>
      <c r="N1986" s="165"/>
      <c r="O1986" s="165"/>
      <c r="P1986" s="165"/>
      <c r="Q1986" s="165"/>
      <c r="R1986" s="165"/>
      <c r="S1986" s="165"/>
      <c r="T1986" s="165"/>
    </row>
    <row r="1987">
      <c r="A1987" s="165"/>
      <c r="B1987" s="165"/>
      <c r="C1987" s="165"/>
      <c r="D1987" s="165"/>
      <c r="E1987" s="166"/>
      <c r="F1987" s="165"/>
      <c r="G1987" s="167"/>
      <c r="H1987" s="166"/>
      <c r="I1987" s="167"/>
      <c r="J1987" s="168"/>
      <c r="K1987" s="169"/>
      <c r="L1987" s="165"/>
      <c r="M1987" s="165"/>
      <c r="N1987" s="165"/>
      <c r="O1987" s="165"/>
      <c r="P1987" s="165"/>
      <c r="Q1987" s="165"/>
      <c r="R1987" s="165"/>
      <c r="S1987" s="165"/>
      <c r="T1987" s="165"/>
    </row>
    <row r="1988">
      <c r="A1988" s="165"/>
      <c r="B1988" s="165"/>
      <c r="C1988" s="165"/>
      <c r="D1988" s="165"/>
      <c r="E1988" s="166"/>
      <c r="F1988" s="165"/>
      <c r="G1988" s="167"/>
      <c r="H1988" s="166"/>
      <c r="I1988" s="167"/>
      <c r="J1988" s="168"/>
      <c r="K1988" s="169"/>
      <c r="L1988" s="165"/>
      <c r="M1988" s="165"/>
      <c r="N1988" s="165"/>
      <c r="O1988" s="165"/>
      <c r="P1988" s="165"/>
      <c r="Q1988" s="165"/>
      <c r="R1988" s="165"/>
      <c r="S1988" s="165"/>
      <c r="T1988" s="165"/>
    </row>
    <row r="1989">
      <c r="A1989" s="165"/>
      <c r="B1989" s="165"/>
      <c r="C1989" s="165"/>
      <c r="D1989" s="165"/>
      <c r="E1989" s="166"/>
      <c r="F1989" s="165"/>
      <c r="G1989" s="167"/>
      <c r="H1989" s="166"/>
      <c r="I1989" s="167"/>
      <c r="J1989" s="168"/>
      <c r="K1989" s="169"/>
      <c r="L1989" s="165"/>
      <c r="M1989" s="165"/>
      <c r="N1989" s="165"/>
      <c r="O1989" s="165"/>
      <c r="P1989" s="165"/>
      <c r="Q1989" s="165"/>
      <c r="R1989" s="165"/>
      <c r="S1989" s="165"/>
      <c r="T1989" s="165"/>
    </row>
    <row r="1990">
      <c r="A1990" s="165"/>
      <c r="B1990" s="165"/>
      <c r="C1990" s="165"/>
      <c r="D1990" s="165"/>
      <c r="E1990" s="166"/>
      <c r="F1990" s="165"/>
      <c r="G1990" s="167"/>
      <c r="H1990" s="166"/>
      <c r="I1990" s="167"/>
      <c r="J1990" s="168"/>
      <c r="K1990" s="169"/>
      <c r="L1990" s="165"/>
      <c r="M1990" s="165"/>
      <c r="N1990" s="165"/>
      <c r="O1990" s="165"/>
      <c r="P1990" s="165"/>
      <c r="Q1990" s="165"/>
      <c r="R1990" s="165"/>
      <c r="S1990" s="165"/>
      <c r="T1990" s="165"/>
    </row>
    <row r="1991">
      <c r="A1991" s="165"/>
      <c r="B1991" s="165"/>
      <c r="C1991" s="165"/>
      <c r="D1991" s="165"/>
      <c r="E1991" s="166"/>
      <c r="F1991" s="165"/>
      <c r="G1991" s="167"/>
      <c r="H1991" s="166"/>
      <c r="I1991" s="167"/>
      <c r="J1991" s="168"/>
      <c r="K1991" s="169"/>
      <c r="L1991" s="165"/>
      <c r="M1991" s="165"/>
      <c r="N1991" s="165"/>
      <c r="O1991" s="165"/>
      <c r="P1991" s="165"/>
      <c r="Q1991" s="165"/>
      <c r="R1991" s="165"/>
      <c r="S1991" s="165"/>
      <c r="T1991" s="165"/>
    </row>
    <row r="1992">
      <c r="A1992" s="165"/>
      <c r="B1992" s="165"/>
      <c r="C1992" s="165"/>
      <c r="D1992" s="165"/>
      <c r="E1992" s="166"/>
      <c r="F1992" s="165"/>
      <c r="G1992" s="167"/>
      <c r="H1992" s="166"/>
      <c r="I1992" s="167"/>
      <c r="J1992" s="168"/>
      <c r="K1992" s="169"/>
      <c r="L1992" s="165"/>
      <c r="M1992" s="165"/>
      <c r="N1992" s="165"/>
      <c r="O1992" s="165"/>
      <c r="P1992" s="165"/>
      <c r="Q1992" s="165"/>
      <c r="R1992" s="165"/>
      <c r="S1992" s="165"/>
      <c r="T1992" s="165"/>
    </row>
    <row r="1993">
      <c r="A1993" s="165"/>
      <c r="B1993" s="165"/>
      <c r="C1993" s="165"/>
      <c r="D1993" s="165"/>
      <c r="E1993" s="166"/>
      <c r="F1993" s="165"/>
      <c r="G1993" s="167"/>
      <c r="H1993" s="166"/>
      <c r="I1993" s="167"/>
      <c r="J1993" s="168"/>
      <c r="K1993" s="169"/>
      <c r="L1993" s="165"/>
      <c r="M1993" s="165"/>
      <c r="N1993" s="165"/>
      <c r="O1993" s="165"/>
      <c r="P1993" s="165"/>
      <c r="Q1993" s="165"/>
      <c r="R1993" s="165"/>
      <c r="S1993" s="165"/>
      <c r="T1993" s="165"/>
    </row>
    <row r="1994">
      <c r="A1994" s="165"/>
      <c r="B1994" s="165"/>
      <c r="C1994" s="165"/>
      <c r="D1994" s="165"/>
      <c r="E1994" s="166"/>
      <c r="F1994" s="165"/>
      <c r="G1994" s="167"/>
      <c r="H1994" s="166"/>
      <c r="I1994" s="167"/>
      <c r="J1994" s="168"/>
      <c r="K1994" s="169"/>
      <c r="L1994" s="165"/>
      <c r="M1994" s="165"/>
      <c r="N1994" s="165"/>
      <c r="O1994" s="165"/>
      <c r="P1994" s="165"/>
      <c r="Q1994" s="165"/>
      <c r="R1994" s="165"/>
      <c r="S1994" s="165"/>
      <c r="T1994" s="165"/>
    </row>
    <row r="1995">
      <c r="A1995" s="165"/>
      <c r="B1995" s="165"/>
      <c r="C1995" s="165"/>
      <c r="D1995" s="165"/>
      <c r="E1995" s="166"/>
      <c r="F1995" s="165"/>
      <c r="G1995" s="167"/>
      <c r="H1995" s="166"/>
      <c r="I1995" s="167"/>
      <c r="J1995" s="168"/>
      <c r="K1995" s="169"/>
      <c r="L1995" s="165"/>
      <c r="M1995" s="165"/>
      <c r="N1995" s="165"/>
      <c r="O1995" s="165"/>
      <c r="P1995" s="165"/>
      <c r="Q1995" s="165"/>
      <c r="R1995" s="165"/>
      <c r="S1995" s="165"/>
      <c r="T1995" s="165"/>
    </row>
    <row r="1996">
      <c r="A1996" s="165"/>
      <c r="B1996" s="165"/>
      <c r="C1996" s="165"/>
      <c r="D1996" s="165"/>
      <c r="E1996" s="166"/>
      <c r="F1996" s="165"/>
      <c r="G1996" s="167"/>
      <c r="H1996" s="166"/>
      <c r="I1996" s="167"/>
      <c r="J1996" s="168"/>
      <c r="K1996" s="169"/>
      <c r="L1996" s="165"/>
      <c r="M1996" s="165"/>
      <c r="N1996" s="165"/>
      <c r="O1996" s="165"/>
      <c r="P1996" s="165"/>
      <c r="Q1996" s="165"/>
      <c r="R1996" s="165"/>
      <c r="S1996" s="165"/>
      <c r="T1996" s="165"/>
    </row>
    <row r="1997">
      <c r="A1997" s="165"/>
      <c r="B1997" s="165"/>
      <c r="C1997" s="165"/>
      <c r="D1997" s="165"/>
      <c r="E1997" s="166"/>
      <c r="F1997" s="165"/>
      <c r="G1997" s="167"/>
      <c r="H1997" s="166"/>
      <c r="I1997" s="167"/>
      <c r="J1997" s="168"/>
      <c r="K1997" s="169"/>
      <c r="L1997" s="165"/>
      <c r="M1997" s="165"/>
      <c r="N1997" s="165"/>
      <c r="O1997" s="165"/>
      <c r="P1997" s="165"/>
      <c r="Q1997" s="165"/>
      <c r="R1997" s="165"/>
      <c r="S1997" s="165"/>
      <c r="T1997" s="165"/>
    </row>
    <row r="1998">
      <c r="A1998" s="165"/>
      <c r="B1998" s="165"/>
      <c r="C1998" s="165"/>
      <c r="D1998" s="165"/>
      <c r="E1998" s="166"/>
      <c r="F1998" s="165"/>
      <c r="G1998" s="167"/>
      <c r="H1998" s="166"/>
      <c r="I1998" s="167"/>
      <c r="J1998" s="168"/>
      <c r="K1998" s="169"/>
      <c r="L1998" s="165"/>
      <c r="M1998" s="165"/>
      <c r="N1998" s="165"/>
      <c r="O1998" s="165"/>
      <c r="P1998" s="165"/>
      <c r="Q1998" s="165"/>
      <c r="R1998" s="165"/>
      <c r="S1998" s="165"/>
      <c r="T1998" s="165"/>
    </row>
    <row r="1999">
      <c r="A1999" s="165"/>
      <c r="B1999" s="165"/>
      <c r="C1999" s="165"/>
      <c r="D1999" s="165"/>
      <c r="E1999" s="166"/>
      <c r="F1999" s="165"/>
      <c r="G1999" s="167"/>
      <c r="H1999" s="166"/>
      <c r="I1999" s="167"/>
      <c r="J1999" s="168"/>
      <c r="K1999" s="169"/>
      <c r="L1999" s="165"/>
      <c r="M1999" s="165"/>
      <c r="N1999" s="165"/>
      <c r="O1999" s="165"/>
      <c r="P1999" s="165"/>
      <c r="Q1999" s="165"/>
      <c r="R1999" s="165"/>
      <c r="S1999" s="165"/>
      <c r="T1999" s="165"/>
    </row>
    <row r="2000">
      <c r="A2000" s="165"/>
      <c r="B2000" s="165"/>
      <c r="C2000" s="165"/>
      <c r="D2000" s="165"/>
      <c r="E2000" s="166"/>
      <c r="F2000" s="165"/>
      <c r="G2000" s="167"/>
      <c r="H2000" s="166"/>
      <c r="I2000" s="167"/>
      <c r="J2000" s="168"/>
      <c r="K2000" s="169"/>
      <c r="L2000" s="165"/>
      <c r="M2000" s="165"/>
      <c r="N2000" s="165"/>
      <c r="O2000" s="165"/>
      <c r="P2000" s="165"/>
      <c r="Q2000" s="165"/>
      <c r="R2000" s="165"/>
      <c r="S2000" s="165"/>
      <c r="T2000" s="165"/>
    </row>
    <row r="2001">
      <c r="A2001" s="165"/>
      <c r="B2001" s="165"/>
      <c r="C2001" s="165"/>
      <c r="D2001" s="165"/>
      <c r="E2001" s="166"/>
      <c r="F2001" s="165"/>
      <c r="G2001" s="167"/>
      <c r="H2001" s="166"/>
      <c r="I2001" s="167"/>
      <c r="J2001" s="168"/>
      <c r="K2001" s="169"/>
      <c r="L2001" s="165"/>
      <c r="M2001" s="165"/>
      <c r="N2001" s="165"/>
      <c r="O2001" s="165"/>
      <c r="P2001" s="165"/>
      <c r="Q2001" s="165"/>
      <c r="R2001" s="165"/>
      <c r="S2001" s="165"/>
      <c r="T2001" s="165"/>
    </row>
    <row r="2002">
      <c r="A2002" s="165"/>
      <c r="B2002" s="165"/>
      <c r="C2002" s="165"/>
      <c r="D2002" s="165"/>
      <c r="E2002" s="166"/>
      <c r="F2002" s="165"/>
      <c r="G2002" s="167"/>
      <c r="H2002" s="166"/>
      <c r="I2002" s="167"/>
      <c r="J2002" s="168"/>
      <c r="K2002" s="169"/>
      <c r="L2002" s="165"/>
      <c r="M2002" s="165"/>
      <c r="N2002" s="165"/>
      <c r="O2002" s="165"/>
      <c r="P2002" s="165"/>
      <c r="Q2002" s="165"/>
      <c r="R2002" s="165"/>
      <c r="S2002" s="165"/>
      <c r="T2002" s="165"/>
    </row>
    <row r="2003">
      <c r="A2003" s="165"/>
      <c r="B2003" s="165"/>
      <c r="C2003" s="165"/>
      <c r="D2003" s="165"/>
      <c r="E2003" s="166"/>
      <c r="F2003" s="165"/>
      <c r="G2003" s="167"/>
      <c r="H2003" s="166"/>
      <c r="I2003" s="167"/>
      <c r="J2003" s="168"/>
      <c r="K2003" s="169"/>
      <c r="L2003" s="165"/>
      <c r="M2003" s="165"/>
      <c r="N2003" s="165"/>
      <c r="O2003" s="165"/>
      <c r="P2003" s="165"/>
      <c r="Q2003" s="165"/>
      <c r="R2003" s="165"/>
      <c r="S2003" s="165"/>
      <c r="T2003" s="165"/>
    </row>
    <row r="2004">
      <c r="A2004" s="165"/>
      <c r="B2004" s="165"/>
      <c r="C2004" s="165"/>
      <c r="D2004" s="165"/>
      <c r="E2004" s="166"/>
      <c r="F2004" s="165"/>
      <c r="G2004" s="167"/>
      <c r="H2004" s="166"/>
      <c r="I2004" s="167"/>
      <c r="J2004" s="168"/>
      <c r="K2004" s="169"/>
      <c r="L2004" s="165"/>
      <c r="M2004" s="165"/>
      <c r="N2004" s="165"/>
      <c r="O2004" s="165"/>
      <c r="P2004" s="165"/>
      <c r="Q2004" s="165"/>
      <c r="R2004" s="165"/>
      <c r="S2004" s="165"/>
      <c r="T2004" s="165"/>
    </row>
    <row r="2005">
      <c r="A2005" s="165"/>
      <c r="B2005" s="165"/>
      <c r="C2005" s="165"/>
      <c r="D2005" s="165"/>
      <c r="E2005" s="166"/>
      <c r="F2005" s="165"/>
      <c r="G2005" s="167"/>
      <c r="H2005" s="166"/>
      <c r="I2005" s="167"/>
      <c r="J2005" s="168"/>
      <c r="K2005" s="169"/>
      <c r="L2005" s="165"/>
      <c r="M2005" s="165"/>
      <c r="N2005" s="165"/>
      <c r="O2005" s="165"/>
      <c r="P2005" s="165"/>
      <c r="Q2005" s="165"/>
      <c r="R2005" s="165"/>
      <c r="S2005" s="165"/>
      <c r="T2005" s="165"/>
    </row>
    <row r="2006">
      <c r="A2006" s="165"/>
      <c r="B2006" s="165"/>
      <c r="C2006" s="165"/>
      <c r="D2006" s="165"/>
      <c r="E2006" s="166"/>
      <c r="F2006" s="165"/>
      <c r="G2006" s="167"/>
      <c r="H2006" s="166"/>
      <c r="I2006" s="167"/>
      <c r="J2006" s="168"/>
      <c r="K2006" s="169"/>
      <c r="L2006" s="165"/>
      <c r="M2006" s="165"/>
      <c r="N2006" s="165"/>
      <c r="O2006" s="165"/>
      <c r="P2006" s="165"/>
      <c r="Q2006" s="165"/>
      <c r="R2006" s="165"/>
      <c r="S2006" s="165"/>
      <c r="T2006" s="165"/>
    </row>
    <row r="2007">
      <c r="A2007" s="165"/>
      <c r="B2007" s="165"/>
      <c r="C2007" s="165"/>
      <c r="D2007" s="165"/>
      <c r="E2007" s="166"/>
      <c r="F2007" s="165"/>
      <c r="G2007" s="167"/>
      <c r="H2007" s="166"/>
      <c r="I2007" s="167"/>
      <c r="J2007" s="168"/>
      <c r="K2007" s="169"/>
      <c r="L2007" s="165"/>
      <c r="M2007" s="165"/>
      <c r="N2007" s="165"/>
      <c r="O2007" s="165"/>
      <c r="P2007" s="165"/>
      <c r="Q2007" s="165"/>
      <c r="R2007" s="165"/>
      <c r="S2007" s="165"/>
      <c r="T2007" s="165"/>
    </row>
    <row r="2008">
      <c r="A2008" s="165"/>
      <c r="B2008" s="165"/>
      <c r="C2008" s="165"/>
      <c r="D2008" s="165"/>
      <c r="E2008" s="166"/>
      <c r="F2008" s="165"/>
      <c r="G2008" s="167"/>
      <c r="H2008" s="166"/>
      <c r="I2008" s="167"/>
      <c r="J2008" s="168"/>
      <c r="K2008" s="169"/>
      <c r="L2008" s="165"/>
      <c r="M2008" s="165"/>
      <c r="N2008" s="165"/>
      <c r="O2008" s="165"/>
      <c r="P2008" s="165"/>
      <c r="Q2008" s="165"/>
      <c r="R2008" s="165"/>
      <c r="S2008" s="165"/>
      <c r="T2008" s="165"/>
    </row>
    <row r="2009">
      <c r="A2009" s="165"/>
      <c r="B2009" s="165"/>
      <c r="C2009" s="165"/>
      <c r="D2009" s="165"/>
      <c r="E2009" s="166"/>
      <c r="F2009" s="165"/>
      <c r="G2009" s="167"/>
      <c r="H2009" s="166"/>
      <c r="I2009" s="167"/>
      <c r="J2009" s="168"/>
      <c r="K2009" s="169"/>
      <c r="L2009" s="165"/>
      <c r="M2009" s="165"/>
      <c r="N2009" s="165"/>
      <c r="O2009" s="165"/>
      <c r="P2009" s="165"/>
      <c r="Q2009" s="165"/>
      <c r="R2009" s="165"/>
      <c r="S2009" s="165"/>
      <c r="T2009" s="165"/>
    </row>
    <row r="2010">
      <c r="A2010" s="165"/>
      <c r="B2010" s="165"/>
      <c r="C2010" s="165"/>
      <c r="D2010" s="165"/>
      <c r="E2010" s="166"/>
      <c r="F2010" s="165"/>
      <c r="G2010" s="167"/>
      <c r="H2010" s="166"/>
      <c r="I2010" s="167"/>
      <c r="J2010" s="168"/>
      <c r="K2010" s="169"/>
      <c r="L2010" s="165"/>
      <c r="M2010" s="165"/>
      <c r="N2010" s="165"/>
      <c r="O2010" s="165"/>
      <c r="P2010" s="165"/>
      <c r="Q2010" s="165"/>
      <c r="R2010" s="165"/>
      <c r="S2010" s="165"/>
      <c r="T2010" s="165"/>
    </row>
    <row r="2011">
      <c r="A2011" s="165"/>
      <c r="B2011" s="165"/>
      <c r="C2011" s="165"/>
      <c r="D2011" s="165"/>
      <c r="E2011" s="166"/>
      <c r="F2011" s="165"/>
      <c r="G2011" s="167"/>
      <c r="H2011" s="166"/>
      <c r="I2011" s="167"/>
      <c r="J2011" s="168"/>
      <c r="K2011" s="169"/>
      <c r="L2011" s="165"/>
      <c r="M2011" s="165"/>
      <c r="N2011" s="165"/>
      <c r="O2011" s="165"/>
      <c r="P2011" s="165"/>
      <c r="Q2011" s="165"/>
      <c r="R2011" s="165"/>
      <c r="S2011" s="165"/>
      <c r="T2011" s="165"/>
    </row>
    <row r="2012">
      <c r="A2012" s="165"/>
      <c r="B2012" s="165"/>
      <c r="C2012" s="165"/>
      <c r="D2012" s="165"/>
      <c r="E2012" s="166"/>
      <c r="F2012" s="165"/>
      <c r="G2012" s="167"/>
      <c r="H2012" s="166"/>
      <c r="I2012" s="167"/>
      <c r="J2012" s="168"/>
      <c r="K2012" s="169"/>
      <c r="L2012" s="165"/>
      <c r="M2012" s="165"/>
      <c r="N2012" s="165"/>
      <c r="O2012" s="165"/>
      <c r="P2012" s="165"/>
      <c r="Q2012" s="165"/>
      <c r="R2012" s="165"/>
      <c r="S2012" s="165"/>
      <c r="T2012" s="165"/>
    </row>
    <row r="2013">
      <c r="A2013" s="165"/>
      <c r="B2013" s="165"/>
      <c r="C2013" s="165"/>
      <c r="D2013" s="165"/>
      <c r="E2013" s="166"/>
      <c r="F2013" s="165"/>
      <c r="G2013" s="167"/>
      <c r="H2013" s="166"/>
      <c r="I2013" s="167"/>
      <c r="J2013" s="168"/>
      <c r="K2013" s="169"/>
      <c r="L2013" s="165"/>
      <c r="M2013" s="165"/>
      <c r="N2013" s="165"/>
      <c r="O2013" s="165"/>
      <c r="P2013" s="165"/>
      <c r="Q2013" s="165"/>
      <c r="R2013" s="165"/>
      <c r="S2013" s="165"/>
      <c r="T2013" s="165"/>
    </row>
    <row r="2014">
      <c r="A2014" s="165"/>
      <c r="B2014" s="165"/>
      <c r="C2014" s="165"/>
      <c r="D2014" s="165"/>
      <c r="E2014" s="166"/>
      <c r="F2014" s="165"/>
      <c r="G2014" s="167"/>
      <c r="H2014" s="166"/>
      <c r="I2014" s="167"/>
      <c r="J2014" s="168"/>
      <c r="K2014" s="169"/>
      <c r="L2014" s="165"/>
      <c r="M2014" s="165"/>
      <c r="N2014" s="165"/>
      <c r="O2014" s="165"/>
      <c r="P2014" s="165"/>
      <c r="Q2014" s="165"/>
      <c r="R2014" s="165"/>
      <c r="S2014" s="165"/>
      <c r="T2014" s="165"/>
    </row>
    <row r="2015">
      <c r="A2015" s="165"/>
      <c r="B2015" s="165"/>
      <c r="C2015" s="165"/>
      <c r="D2015" s="165"/>
      <c r="E2015" s="166"/>
      <c r="F2015" s="165"/>
      <c r="G2015" s="167"/>
      <c r="H2015" s="166"/>
      <c r="I2015" s="167"/>
      <c r="J2015" s="168"/>
      <c r="K2015" s="169"/>
      <c r="L2015" s="165"/>
      <c r="M2015" s="165"/>
      <c r="N2015" s="165"/>
      <c r="O2015" s="165"/>
      <c r="P2015" s="165"/>
      <c r="Q2015" s="165"/>
      <c r="R2015" s="165"/>
      <c r="S2015" s="165"/>
      <c r="T2015" s="165"/>
    </row>
    <row r="2016">
      <c r="A2016" s="165"/>
      <c r="B2016" s="165"/>
      <c r="C2016" s="165"/>
      <c r="D2016" s="165"/>
      <c r="E2016" s="166"/>
      <c r="F2016" s="165"/>
      <c r="G2016" s="167"/>
      <c r="H2016" s="166"/>
      <c r="I2016" s="167"/>
      <c r="J2016" s="168"/>
      <c r="K2016" s="169"/>
      <c r="L2016" s="165"/>
      <c r="M2016" s="165"/>
      <c r="N2016" s="165"/>
      <c r="O2016" s="165"/>
      <c r="P2016" s="165"/>
      <c r="Q2016" s="165"/>
      <c r="R2016" s="165"/>
      <c r="S2016" s="165"/>
      <c r="T2016" s="165"/>
    </row>
    <row r="2017">
      <c r="A2017" s="165"/>
      <c r="B2017" s="165"/>
      <c r="C2017" s="165"/>
      <c r="D2017" s="165"/>
      <c r="E2017" s="166"/>
      <c r="F2017" s="165"/>
      <c r="G2017" s="167"/>
      <c r="H2017" s="166"/>
      <c r="I2017" s="167"/>
      <c r="J2017" s="168"/>
      <c r="K2017" s="169"/>
      <c r="L2017" s="165"/>
      <c r="M2017" s="165"/>
      <c r="N2017" s="165"/>
      <c r="O2017" s="165"/>
      <c r="P2017" s="165"/>
      <c r="Q2017" s="165"/>
      <c r="R2017" s="165"/>
      <c r="S2017" s="165"/>
      <c r="T2017" s="165"/>
    </row>
    <row r="2018">
      <c r="A2018" s="165"/>
      <c r="B2018" s="165"/>
      <c r="C2018" s="165"/>
      <c r="D2018" s="165"/>
      <c r="E2018" s="166"/>
      <c r="F2018" s="165"/>
      <c r="G2018" s="167"/>
      <c r="H2018" s="166"/>
      <c r="I2018" s="167"/>
      <c r="J2018" s="168"/>
      <c r="K2018" s="169"/>
      <c r="L2018" s="165"/>
      <c r="M2018" s="165"/>
      <c r="N2018" s="165"/>
      <c r="O2018" s="165"/>
      <c r="P2018" s="165"/>
      <c r="Q2018" s="165"/>
      <c r="R2018" s="165"/>
      <c r="S2018" s="165"/>
      <c r="T2018" s="165"/>
    </row>
    <row r="2019">
      <c r="A2019" s="165"/>
      <c r="B2019" s="165"/>
      <c r="C2019" s="165"/>
      <c r="D2019" s="165"/>
      <c r="E2019" s="166"/>
      <c r="F2019" s="165"/>
      <c r="G2019" s="167"/>
      <c r="H2019" s="166"/>
      <c r="I2019" s="167"/>
      <c r="J2019" s="168"/>
      <c r="K2019" s="169"/>
      <c r="L2019" s="165"/>
      <c r="M2019" s="165"/>
      <c r="N2019" s="165"/>
      <c r="O2019" s="165"/>
      <c r="P2019" s="165"/>
      <c r="Q2019" s="165"/>
      <c r="R2019" s="165"/>
      <c r="S2019" s="165"/>
      <c r="T2019" s="165"/>
    </row>
    <row r="2020">
      <c r="A2020" s="165"/>
      <c r="B2020" s="165"/>
      <c r="C2020" s="165"/>
      <c r="D2020" s="165"/>
      <c r="E2020" s="166"/>
      <c r="F2020" s="165"/>
      <c r="G2020" s="167"/>
      <c r="H2020" s="166"/>
      <c r="I2020" s="167"/>
      <c r="J2020" s="168"/>
      <c r="K2020" s="169"/>
      <c r="L2020" s="165"/>
      <c r="M2020" s="165"/>
      <c r="N2020" s="165"/>
      <c r="O2020" s="165"/>
      <c r="P2020" s="165"/>
      <c r="Q2020" s="165"/>
      <c r="R2020" s="165"/>
      <c r="S2020" s="165"/>
      <c r="T2020" s="165"/>
    </row>
    <row r="2021">
      <c r="A2021" s="165"/>
      <c r="B2021" s="165"/>
      <c r="C2021" s="165"/>
      <c r="D2021" s="165"/>
      <c r="E2021" s="166"/>
      <c r="F2021" s="165"/>
      <c r="G2021" s="167"/>
      <c r="H2021" s="166"/>
      <c r="I2021" s="167"/>
      <c r="J2021" s="168"/>
      <c r="K2021" s="169"/>
      <c r="L2021" s="165"/>
      <c r="M2021" s="165"/>
      <c r="N2021" s="165"/>
      <c r="O2021" s="165"/>
      <c r="P2021" s="165"/>
      <c r="Q2021" s="165"/>
      <c r="R2021" s="165"/>
      <c r="S2021" s="165"/>
      <c r="T2021" s="165"/>
    </row>
    <row r="2022">
      <c r="A2022" s="165"/>
      <c r="B2022" s="165"/>
      <c r="C2022" s="165"/>
      <c r="D2022" s="165"/>
      <c r="E2022" s="166"/>
      <c r="F2022" s="165"/>
      <c r="G2022" s="167"/>
      <c r="H2022" s="166"/>
      <c r="I2022" s="167"/>
      <c r="J2022" s="168"/>
      <c r="K2022" s="169"/>
      <c r="L2022" s="165"/>
      <c r="M2022" s="165"/>
      <c r="N2022" s="165"/>
      <c r="O2022" s="165"/>
      <c r="P2022" s="165"/>
      <c r="Q2022" s="165"/>
      <c r="R2022" s="165"/>
      <c r="S2022" s="165"/>
      <c r="T2022" s="165"/>
    </row>
    <row r="2023">
      <c r="A2023" s="165"/>
      <c r="B2023" s="165"/>
      <c r="C2023" s="165"/>
      <c r="D2023" s="165"/>
      <c r="E2023" s="166"/>
      <c r="F2023" s="165"/>
      <c r="G2023" s="167"/>
      <c r="H2023" s="166"/>
      <c r="I2023" s="167"/>
      <c r="J2023" s="168"/>
      <c r="K2023" s="169"/>
      <c r="L2023" s="165"/>
      <c r="M2023" s="165"/>
      <c r="N2023" s="165"/>
      <c r="O2023" s="165"/>
      <c r="P2023" s="165"/>
      <c r="Q2023" s="165"/>
      <c r="R2023" s="165"/>
      <c r="S2023" s="165"/>
      <c r="T2023" s="165"/>
    </row>
    <row r="2024">
      <c r="A2024" s="165"/>
      <c r="B2024" s="165"/>
      <c r="C2024" s="165"/>
      <c r="D2024" s="165"/>
      <c r="E2024" s="166"/>
      <c r="F2024" s="165"/>
      <c r="G2024" s="167"/>
      <c r="H2024" s="166"/>
      <c r="I2024" s="167"/>
      <c r="J2024" s="168"/>
      <c r="K2024" s="169"/>
      <c r="L2024" s="165"/>
      <c r="M2024" s="165"/>
      <c r="N2024" s="165"/>
      <c r="O2024" s="165"/>
      <c r="P2024" s="165"/>
      <c r="Q2024" s="165"/>
      <c r="R2024" s="165"/>
      <c r="S2024" s="165"/>
      <c r="T2024" s="165"/>
    </row>
    <row r="2025">
      <c r="A2025" s="165"/>
      <c r="B2025" s="165"/>
      <c r="C2025" s="165"/>
      <c r="D2025" s="165"/>
      <c r="E2025" s="166"/>
      <c r="F2025" s="165"/>
      <c r="G2025" s="167"/>
      <c r="H2025" s="166"/>
      <c r="I2025" s="167"/>
      <c r="J2025" s="168"/>
      <c r="K2025" s="169"/>
      <c r="L2025" s="165"/>
      <c r="M2025" s="165"/>
      <c r="N2025" s="165"/>
      <c r="O2025" s="165"/>
      <c r="P2025" s="165"/>
      <c r="Q2025" s="165"/>
      <c r="R2025" s="165"/>
      <c r="S2025" s="165"/>
      <c r="T2025" s="165"/>
    </row>
    <row r="2026">
      <c r="A2026" s="165"/>
      <c r="B2026" s="165"/>
      <c r="C2026" s="165"/>
      <c r="D2026" s="165"/>
      <c r="E2026" s="166"/>
      <c r="F2026" s="165"/>
      <c r="G2026" s="167"/>
      <c r="H2026" s="166"/>
      <c r="I2026" s="167"/>
      <c r="J2026" s="168"/>
      <c r="K2026" s="169"/>
      <c r="L2026" s="165"/>
      <c r="M2026" s="165"/>
      <c r="N2026" s="165"/>
      <c r="O2026" s="165"/>
      <c r="P2026" s="165"/>
      <c r="Q2026" s="165"/>
      <c r="R2026" s="165"/>
      <c r="S2026" s="165"/>
      <c r="T2026" s="165"/>
    </row>
    <row r="2027">
      <c r="A2027" s="165"/>
      <c r="B2027" s="165"/>
      <c r="C2027" s="165"/>
      <c r="D2027" s="165"/>
      <c r="E2027" s="166"/>
      <c r="F2027" s="165"/>
      <c r="G2027" s="167"/>
      <c r="H2027" s="166"/>
      <c r="I2027" s="167"/>
      <c r="J2027" s="168"/>
      <c r="K2027" s="169"/>
      <c r="L2027" s="165"/>
      <c r="M2027" s="165"/>
      <c r="N2027" s="165"/>
      <c r="O2027" s="165"/>
      <c r="P2027" s="165"/>
      <c r="Q2027" s="165"/>
      <c r="R2027" s="165"/>
      <c r="S2027" s="165"/>
      <c r="T2027" s="165"/>
    </row>
    <row r="2028">
      <c r="A2028" s="165"/>
      <c r="B2028" s="165"/>
      <c r="C2028" s="165"/>
      <c r="D2028" s="165"/>
      <c r="E2028" s="166"/>
      <c r="F2028" s="165"/>
      <c r="G2028" s="167"/>
      <c r="H2028" s="166"/>
      <c r="I2028" s="167"/>
      <c r="J2028" s="168"/>
      <c r="K2028" s="169"/>
      <c r="L2028" s="165"/>
      <c r="M2028" s="165"/>
      <c r="N2028" s="165"/>
      <c r="O2028" s="165"/>
      <c r="P2028" s="165"/>
      <c r="Q2028" s="165"/>
      <c r="R2028" s="165"/>
      <c r="S2028" s="165"/>
      <c r="T2028" s="165"/>
    </row>
    <row r="2029">
      <c r="A2029" s="165"/>
      <c r="B2029" s="165"/>
      <c r="C2029" s="165"/>
      <c r="D2029" s="165"/>
      <c r="E2029" s="166"/>
      <c r="F2029" s="165"/>
      <c r="G2029" s="167"/>
      <c r="H2029" s="166"/>
      <c r="I2029" s="167"/>
      <c r="J2029" s="168"/>
      <c r="K2029" s="169"/>
      <c r="L2029" s="165"/>
      <c r="M2029" s="165"/>
      <c r="N2029" s="165"/>
      <c r="O2029" s="165"/>
      <c r="P2029" s="165"/>
      <c r="Q2029" s="165"/>
      <c r="R2029" s="165"/>
      <c r="S2029" s="165"/>
      <c r="T2029" s="165"/>
    </row>
    <row r="2030">
      <c r="A2030" s="165"/>
      <c r="B2030" s="165"/>
      <c r="C2030" s="165"/>
      <c r="D2030" s="165"/>
      <c r="E2030" s="166"/>
      <c r="F2030" s="165"/>
      <c r="G2030" s="167"/>
      <c r="H2030" s="166"/>
      <c r="I2030" s="167"/>
      <c r="J2030" s="168"/>
      <c r="K2030" s="169"/>
      <c r="L2030" s="165"/>
      <c r="M2030" s="165"/>
      <c r="N2030" s="165"/>
      <c r="O2030" s="165"/>
      <c r="P2030" s="165"/>
      <c r="Q2030" s="165"/>
      <c r="R2030" s="165"/>
      <c r="S2030" s="165"/>
      <c r="T2030" s="165"/>
    </row>
    <row r="2031">
      <c r="A2031" s="165"/>
      <c r="B2031" s="165"/>
      <c r="C2031" s="165"/>
      <c r="D2031" s="165"/>
      <c r="E2031" s="166"/>
      <c r="F2031" s="165"/>
      <c r="G2031" s="167"/>
      <c r="H2031" s="166"/>
      <c r="I2031" s="167"/>
      <c r="J2031" s="168"/>
      <c r="K2031" s="169"/>
      <c r="L2031" s="165"/>
      <c r="M2031" s="165"/>
      <c r="N2031" s="165"/>
      <c r="O2031" s="165"/>
      <c r="P2031" s="165"/>
      <c r="Q2031" s="165"/>
      <c r="R2031" s="165"/>
      <c r="S2031" s="165"/>
      <c r="T2031" s="165"/>
    </row>
    <row r="2032">
      <c r="A2032" s="165"/>
      <c r="B2032" s="165"/>
      <c r="C2032" s="165"/>
      <c r="D2032" s="165"/>
      <c r="E2032" s="166"/>
      <c r="F2032" s="165"/>
      <c r="G2032" s="167"/>
      <c r="H2032" s="166"/>
      <c r="I2032" s="167"/>
      <c r="J2032" s="168"/>
      <c r="K2032" s="169"/>
      <c r="L2032" s="165"/>
      <c r="M2032" s="165"/>
      <c r="N2032" s="165"/>
      <c r="O2032" s="165"/>
      <c r="P2032" s="165"/>
      <c r="Q2032" s="165"/>
      <c r="R2032" s="165"/>
      <c r="S2032" s="165"/>
      <c r="T2032" s="165"/>
    </row>
    <row r="2033">
      <c r="A2033" s="165"/>
      <c r="B2033" s="165"/>
      <c r="C2033" s="165"/>
      <c r="D2033" s="165"/>
      <c r="E2033" s="166"/>
      <c r="F2033" s="165"/>
      <c r="G2033" s="167"/>
      <c r="H2033" s="166"/>
      <c r="I2033" s="167"/>
      <c r="J2033" s="168"/>
      <c r="K2033" s="169"/>
      <c r="L2033" s="165"/>
      <c r="M2033" s="165"/>
      <c r="N2033" s="165"/>
      <c r="O2033" s="165"/>
      <c r="P2033" s="165"/>
      <c r="Q2033" s="165"/>
      <c r="R2033" s="165"/>
      <c r="S2033" s="165"/>
      <c r="T2033" s="165"/>
    </row>
    <row r="2034">
      <c r="A2034" s="165"/>
      <c r="B2034" s="165"/>
      <c r="C2034" s="165"/>
      <c r="D2034" s="165"/>
      <c r="E2034" s="166"/>
      <c r="F2034" s="165"/>
      <c r="G2034" s="167"/>
      <c r="H2034" s="166"/>
      <c r="I2034" s="167"/>
      <c r="J2034" s="168"/>
      <c r="K2034" s="169"/>
      <c r="L2034" s="165"/>
      <c r="M2034" s="165"/>
      <c r="N2034" s="165"/>
      <c r="O2034" s="165"/>
      <c r="P2034" s="165"/>
      <c r="Q2034" s="165"/>
      <c r="R2034" s="165"/>
      <c r="S2034" s="165"/>
      <c r="T2034" s="165"/>
    </row>
    <row r="2035">
      <c r="A2035" s="165"/>
      <c r="B2035" s="165"/>
      <c r="C2035" s="165"/>
      <c r="D2035" s="165"/>
      <c r="E2035" s="166"/>
      <c r="F2035" s="165"/>
      <c r="G2035" s="167"/>
      <c r="H2035" s="166"/>
      <c r="I2035" s="167"/>
      <c r="J2035" s="168"/>
      <c r="K2035" s="169"/>
      <c r="L2035" s="165"/>
      <c r="M2035" s="165"/>
      <c r="N2035" s="165"/>
      <c r="O2035" s="165"/>
      <c r="P2035" s="165"/>
      <c r="Q2035" s="165"/>
      <c r="R2035" s="165"/>
      <c r="S2035" s="165"/>
      <c r="T2035" s="165"/>
    </row>
    <row r="2036">
      <c r="A2036" s="165"/>
      <c r="B2036" s="165"/>
      <c r="C2036" s="165"/>
      <c r="D2036" s="165"/>
      <c r="E2036" s="166"/>
      <c r="F2036" s="165"/>
      <c r="G2036" s="167"/>
      <c r="H2036" s="166"/>
      <c r="I2036" s="167"/>
      <c r="J2036" s="168"/>
      <c r="K2036" s="169"/>
      <c r="L2036" s="165"/>
      <c r="M2036" s="165"/>
      <c r="N2036" s="165"/>
      <c r="O2036" s="165"/>
      <c r="P2036" s="165"/>
      <c r="Q2036" s="165"/>
      <c r="R2036" s="165"/>
      <c r="S2036" s="165"/>
      <c r="T2036" s="165"/>
    </row>
    <row r="2037">
      <c r="A2037" s="165"/>
      <c r="B2037" s="165"/>
      <c r="C2037" s="165"/>
      <c r="D2037" s="165"/>
      <c r="E2037" s="166"/>
      <c r="F2037" s="165"/>
      <c r="G2037" s="167"/>
      <c r="H2037" s="166"/>
      <c r="I2037" s="167"/>
      <c r="J2037" s="168"/>
      <c r="K2037" s="169"/>
      <c r="L2037" s="165"/>
      <c r="M2037" s="165"/>
      <c r="N2037" s="165"/>
      <c r="O2037" s="165"/>
      <c r="P2037" s="165"/>
      <c r="Q2037" s="165"/>
      <c r="R2037" s="165"/>
      <c r="S2037" s="165"/>
      <c r="T2037" s="165"/>
    </row>
    <row r="2038">
      <c r="A2038" s="165"/>
      <c r="B2038" s="165"/>
      <c r="C2038" s="165"/>
      <c r="D2038" s="165"/>
      <c r="E2038" s="166"/>
      <c r="F2038" s="165"/>
      <c r="G2038" s="167"/>
      <c r="H2038" s="166"/>
      <c r="I2038" s="167"/>
      <c r="J2038" s="168"/>
      <c r="K2038" s="169"/>
      <c r="L2038" s="165"/>
      <c r="M2038" s="165"/>
      <c r="N2038" s="165"/>
      <c r="O2038" s="165"/>
      <c r="P2038" s="165"/>
      <c r="Q2038" s="165"/>
      <c r="R2038" s="165"/>
      <c r="S2038" s="165"/>
      <c r="T2038" s="165"/>
    </row>
    <row r="2039">
      <c r="A2039" s="165"/>
      <c r="B2039" s="165"/>
      <c r="C2039" s="165"/>
      <c r="D2039" s="165"/>
      <c r="E2039" s="166"/>
      <c r="F2039" s="165"/>
      <c r="G2039" s="167"/>
      <c r="H2039" s="166"/>
      <c r="I2039" s="167"/>
      <c r="J2039" s="168"/>
      <c r="K2039" s="169"/>
      <c r="L2039" s="165"/>
      <c r="M2039" s="165"/>
      <c r="N2039" s="165"/>
      <c r="O2039" s="165"/>
      <c r="P2039" s="165"/>
      <c r="Q2039" s="165"/>
      <c r="R2039" s="165"/>
      <c r="S2039" s="165"/>
      <c r="T2039" s="165"/>
    </row>
    <row r="2040">
      <c r="A2040" s="165"/>
      <c r="B2040" s="165"/>
      <c r="C2040" s="165"/>
      <c r="D2040" s="165"/>
      <c r="E2040" s="166"/>
      <c r="F2040" s="165"/>
      <c r="G2040" s="167"/>
      <c r="H2040" s="166"/>
      <c r="I2040" s="167"/>
      <c r="J2040" s="168"/>
      <c r="K2040" s="169"/>
      <c r="L2040" s="165"/>
      <c r="M2040" s="165"/>
      <c r="N2040" s="165"/>
      <c r="O2040" s="165"/>
      <c r="P2040" s="165"/>
      <c r="Q2040" s="165"/>
      <c r="R2040" s="165"/>
      <c r="S2040" s="165"/>
      <c r="T2040" s="165"/>
    </row>
    <row r="2041">
      <c r="A2041" s="165"/>
      <c r="B2041" s="165"/>
      <c r="C2041" s="165"/>
      <c r="D2041" s="165"/>
      <c r="E2041" s="166"/>
      <c r="F2041" s="165"/>
      <c r="G2041" s="167"/>
      <c r="H2041" s="166"/>
      <c r="I2041" s="167"/>
      <c r="J2041" s="168"/>
      <c r="K2041" s="169"/>
      <c r="L2041" s="165"/>
      <c r="M2041" s="165"/>
      <c r="N2041" s="165"/>
      <c r="O2041" s="165"/>
      <c r="P2041" s="165"/>
      <c r="Q2041" s="165"/>
      <c r="R2041" s="165"/>
      <c r="S2041" s="165"/>
      <c r="T2041" s="165"/>
    </row>
    <row r="2042">
      <c r="A2042" s="165"/>
      <c r="B2042" s="165"/>
      <c r="C2042" s="165"/>
      <c r="D2042" s="165"/>
      <c r="E2042" s="166"/>
      <c r="F2042" s="165"/>
      <c r="G2042" s="167"/>
      <c r="H2042" s="166"/>
      <c r="I2042" s="167"/>
      <c r="J2042" s="168"/>
      <c r="K2042" s="169"/>
      <c r="L2042" s="165"/>
      <c r="M2042" s="165"/>
      <c r="N2042" s="165"/>
      <c r="O2042" s="165"/>
      <c r="P2042" s="165"/>
      <c r="Q2042" s="165"/>
      <c r="R2042" s="165"/>
      <c r="S2042" s="165"/>
      <c r="T2042" s="165"/>
    </row>
    <row r="2043">
      <c r="A2043" s="165"/>
      <c r="B2043" s="165"/>
      <c r="C2043" s="165"/>
      <c r="D2043" s="165"/>
      <c r="E2043" s="166"/>
      <c r="F2043" s="165"/>
      <c r="G2043" s="167"/>
      <c r="H2043" s="166"/>
      <c r="I2043" s="167"/>
      <c r="J2043" s="168"/>
      <c r="K2043" s="169"/>
      <c r="L2043" s="165"/>
      <c r="M2043" s="165"/>
      <c r="N2043" s="165"/>
      <c r="O2043" s="165"/>
      <c r="P2043" s="165"/>
      <c r="Q2043" s="165"/>
      <c r="R2043" s="165"/>
      <c r="S2043" s="165"/>
      <c r="T2043" s="165"/>
    </row>
    <row r="2044">
      <c r="A2044" s="165"/>
      <c r="B2044" s="165"/>
      <c r="C2044" s="165"/>
      <c r="D2044" s="165"/>
      <c r="E2044" s="166"/>
      <c r="F2044" s="165"/>
      <c r="G2044" s="167"/>
      <c r="H2044" s="166"/>
      <c r="I2044" s="167"/>
      <c r="J2044" s="168"/>
      <c r="K2044" s="169"/>
      <c r="L2044" s="165"/>
      <c r="M2044" s="165"/>
      <c r="N2044" s="165"/>
      <c r="O2044" s="165"/>
      <c r="P2044" s="165"/>
      <c r="Q2044" s="165"/>
      <c r="R2044" s="165"/>
      <c r="S2044" s="165"/>
      <c r="T2044" s="165"/>
    </row>
    <row r="2045">
      <c r="A2045" s="165"/>
      <c r="B2045" s="165"/>
      <c r="C2045" s="165"/>
      <c r="D2045" s="165"/>
      <c r="E2045" s="166"/>
      <c r="F2045" s="165"/>
      <c r="G2045" s="167"/>
      <c r="H2045" s="166"/>
      <c r="I2045" s="167"/>
      <c r="J2045" s="168"/>
      <c r="K2045" s="169"/>
      <c r="L2045" s="165"/>
      <c r="M2045" s="165"/>
      <c r="N2045" s="165"/>
      <c r="O2045" s="165"/>
      <c r="P2045" s="165"/>
      <c r="Q2045" s="165"/>
      <c r="R2045" s="165"/>
      <c r="S2045" s="165"/>
      <c r="T2045" s="165"/>
    </row>
    <row r="2046">
      <c r="A2046" s="165"/>
      <c r="B2046" s="165"/>
      <c r="C2046" s="165"/>
      <c r="D2046" s="165"/>
      <c r="E2046" s="166"/>
      <c r="F2046" s="165"/>
      <c r="G2046" s="167"/>
      <c r="H2046" s="166"/>
      <c r="I2046" s="167"/>
      <c r="J2046" s="168"/>
      <c r="K2046" s="169"/>
      <c r="L2046" s="165"/>
      <c r="M2046" s="165"/>
      <c r="N2046" s="165"/>
      <c r="O2046" s="165"/>
      <c r="P2046" s="165"/>
      <c r="Q2046" s="165"/>
      <c r="R2046" s="165"/>
      <c r="S2046" s="165"/>
      <c r="T2046" s="165"/>
    </row>
    <row r="2047">
      <c r="A2047" s="165"/>
      <c r="B2047" s="165"/>
      <c r="C2047" s="165"/>
      <c r="D2047" s="165"/>
      <c r="E2047" s="166"/>
      <c r="F2047" s="165"/>
      <c r="G2047" s="167"/>
      <c r="H2047" s="166"/>
      <c r="I2047" s="167"/>
      <c r="J2047" s="168"/>
      <c r="K2047" s="169"/>
      <c r="L2047" s="165"/>
      <c r="M2047" s="165"/>
      <c r="N2047" s="165"/>
      <c r="O2047" s="165"/>
      <c r="P2047" s="165"/>
      <c r="Q2047" s="165"/>
      <c r="R2047" s="165"/>
      <c r="S2047" s="165"/>
      <c r="T2047" s="165"/>
    </row>
    <row r="2048">
      <c r="A2048" s="165"/>
      <c r="B2048" s="165"/>
      <c r="C2048" s="165"/>
      <c r="D2048" s="165"/>
      <c r="E2048" s="166"/>
      <c r="F2048" s="165"/>
      <c r="G2048" s="167"/>
      <c r="H2048" s="166"/>
      <c r="I2048" s="167"/>
      <c r="J2048" s="168"/>
      <c r="K2048" s="169"/>
      <c r="L2048" s="165"/>
      <c r="M2048" s="165"/>
      <c r="N2048" s="165"/>
      <c r="O2048" s="165"/>
      <c r="P2048" s="165"/>
      <c r="Q2048" s="165"/>
      <c r="R2048" s="165"/>
      <c r="S2048" s="165"/>
      <c r="T2048" s="165"/>
    </row>
    <row r="2049">
      <c r="A2049" s="165"/>
      <c r="B2049" s="165"/>
      <c r="C2049" s="165"/>
      <c r="D2049" s="165"/>
      <c r="E2049" s="166"/>
      <c r="F2049" s="165"/>
      <c r="G2049" s="167"/>
      <c r="H2049" s="166"/>
      <c r="I2049" s="167"/>
      <c r="J2049" s="168"/>
      <c r="K2049" s="169"/>
      <c r="L2049" s="165"/>
      <c r="M2049" s="165"/>
      <c r="N2049" s="165"/>
      <c r="O2049" s="165"/>
      <c r="P2049" s="165"/>
      <c r="Q2049" s="165"/>
      <c r="R2049" s="165"/>
      <c r="S2049" s="165"/>
      <c r="T2049" s="165"/>
    </row>
    <row r="2050">
      <c r="A2050" s="165"/>
      <c r="B2050" s="165"/>
      <c r="C2050" s="165"/>
      <c r="D2050" s="165"/>
      <c r="E2050" s="166"/>
      <c r="F2050" s="165"/>
      <c r="G2050" s="167"/>
      <c r="H2050" s="166"/>
      <c r="I2050" s="167"/>
      <c r="J2050" s="168"/>
      <c r="K2050" s="169"/>
      <c r="L2050" s="165"/>
      <c r="M2050" s="165"/>
      <c r="N2050" s="165"/>
      <c r="O2050" s="165"/>
      <c r="P2050" s="165"/>
      <c r="Q2050" s="165"/>
      <c r="R2050" s="165"/>
      <c r="S2050" s="165"/>
      <c r="T2050" s="165"/>
    </row>
    <row r="2051">
      <c r="A2051" s="165"/>
      <c r="B2051" s="165"/>
      <c r="C2051" s="165"/>
      <c r="D2051" s="165"/>
      <c r="E2051" s="166"/>
      <c r="F2051" s="165"/>
      <c r="G2051" s="167"/>
      <c r="H2051" s="166"/>
      <c r="I2051" s="167"/>
      <c r="J2051" s="168"/>
      <c r="K2051" s="169"/>
      <c r="L2051" s="165"/>
      <c r="M2051" s="165"/>
      <c r="N2051" s="165"/>
      <c r="O2051" s="165"/>
      <c r="P2051" s="165"/>
      <c r="Q2051" s="165"/>
      <c r="R2051" s="165"/>
      <c r="S2051" s="165"/>
      <c r="T2051" s="165"/>
    </row>
    <row r="2052">
      <c r="A2052" s="165"/>
      <c r="B2052" s="165"/>
      <c r="C2052" s="165"/>
      <c r="D2052" s="165"/>
      <c r="E2052" s="166"/>
      <c r="F2052" s="165"/>
      <c r="G2052" s="167"/>
      <c r="H2052" s="166"/>
      <c r="I2052" s="167"/>
      <c r="J2052" s="168"/>
      <c r="K2052" s="169"/>
      <c r="L2052" s="165"/>
      <c r="M2052" s="165"/>
      <c r="N2052" s="165"/>
      <c r="O2052" s="165"/>
      <c r="P2052" s="165"/>
      <c r="Q2052" s="165"/>
      <c r="R2052" s="165"/>
      <c r="S2052" s="165"/>
      <c r="T2052" s="165"/>
    </row>
    <row r="2053">
      <c r="A2053" s="165"/>
      <c r="B2053" s="165"/>
      <c r="C2053" s="165"/>
      <c r="D2053" s="165"/>
      <c r="E2053" s="166"/>
      <c r="F2053" s="165"/>
      <c r="G2053" s="167"/>
      <c r="H2053" s="166"/>
      <c r="I2053" s="167"/>
      <c r="J2053" s="168"/>
      <c r="K2053" s="169"/>
      <c r="L2053" s="165"/>
      <c r="M2053" s="165"/>
      <c r="N2053" s="165"/>
      <c r="O2053" s="165"/>
      <c r="P2053" s="165"/>
      <c r="Q2053" s="165"/>
      <c r="R2053" s="165"/>
      <c r="S2053" s="165"/>
      <c r="T2053" s="165"/>
    </row>
    <row r="2054">
      <c r="A2054" s="165"/>
      <c r="B2054" s="165"/>
      <c r="C2054" s="165"/>
      <c r="D2054" s="165"/>
      <c r="E2054" s="166"/>
      <c r="F2054" s="165"/>
      <c r="G2054" s="167"/>
      <c r="H2054" s="166"/>
      <c r="I2054" s="167"/>
      <c r="J2054" s="168"/>
      <c r="K2054" s="169"/>
      <c r="L2054" s="165"/>
      <c r="M2054" s="165"/>
      <c r="N2054" s="165"/>
      <c r="O2054" s="165"/>
      <c r="P2054" s="165"/>
      <c r="Q2054" s="165"/>
      <c r="R2054" s="165"/>
      <c r="S2054" s="165"/>
      <c r="T2054" s="165"/>
    </row>
    <row r="2055">
      <c r="A2055" s="165"/>
      <c r="B2055" s="165"/>
      <c r="C2055" s="165"/>
      <c r="D2055" s="165"/>
      <c r="E2055" s="166"/>
      <c r="F2055" s="165"/>
      <c r="G2055" s="167"/>
      <c r="H2055" s="166"/>
      <c r="I2055" s="167"/>
      <c r="J2055" s="168"/>
      <c r="K2055" s="169"/>
      <c r="L2055" s="165"/>
      <c r="M2055" s="165"/>
      <c r="N2055" s="165"/>
      <c r="O2055" s="165"/>
      <c r="P2055" s="165"/>
      <c r="Q2055" s="165"/>
      <c r="R2055" s="165"/>
      <c r="S2055" s="165"/>
      <c r="T2055" s="165"/>
    </row>
    <row r="2056">
      <c r="A2056" s="165"/>
      <c r="B2056" s="165"/>
      <c r="C2056" s="165"/>
      <c r="D2056" s="165"/>
      <c r="E2056" s="166"/>
      <c r="F2056" s="165"/>
      <c r="G2056" s="167"/>
      <c r="H2056" s="166"/>
      <c r="I2056" s="167"/>
      <c r="J2056" s="168"/>
      <c r="K2056" s="169"/>
      <c r="L2056" s="165"/>
      <c r="M2056" s="165"/>
      <c r="N2056" s="165"/>
      <c r="O2056" s="165"/>
      <c r="P2056" s="165"/>
      <c r="Q2056" s="165"/>
      <c r="R2056" s="165"/>
      <c r="S2056" s="165"/>
      <c r="T2056" s="165"/>
    </row>
    <row r="2057">
      <c r="A2057" s="165"/>
      <c r="B2057" s="165"/>
      <c r="C2057" s="165"/>
      <c r="D2057" s="165"/>
      <c r="E2057" s="166"/>
      <c r="F2057" s="165"/>
      <c r="G2057" s="167"/>
      <c r="H2057" s="166"/>
      <c r="I2057" s="167"/>
      <c r="J2057" s="168"/>
      <c r="K2057" s="169"/>
      <c r="L2057" s="165"/>
      <c r="M2057" s="165"/>
      <c r="N2057" s="165"/>
      <c r="O2057" s="165"/>
      <c r="P2057" s="165"/>
      <c r="Q2057" s="165"/>
      <c r="R2057" s="165"/>
      <c r="S2057" s="165"/>
      <c r="T2057" s="165"/>
    </row>
    <row r="2058">
      <c r="A2058" s="165"/>
      <c r="B2058" s="165"/>
      <c r="C2058" s="165"/>
      <c r="D2058" s="165"/>
      <c r="E2058" s="166"/>
      <c r="F2058" s="165"/>
      <c r="G2058" s="167"/>
      <c r="H2058" s="166"/>
      <c r="I2058" s="167"/>
      <c r="J2058" s="168"/>
      <c r="K2058" s="169"/>
      <c r="L2058" s="165"/>
      <c r="M2058" s="165"/>
      <c r="N2058" s="165"/>
      <c r="O2058" s="165"/>
      <c r="P2058" s="165"/>
      <c r="Q2058" s="165"/>
      <c r="R2058" s="165"/>
      <c r="S2058" s="165"/>
      <c r="T2058" s="165"/>
    </row>
    <row r="2059">
      <c r="A2059" s="165"/>
      <c r="B2059" s="165"/>
      <c r="C2059" s="165"/>
      <c r="D2059" s="165"/>
      <c r="E2059" s="166"/>
      <c r="F2059" s="165"/>
      <c r="G2059" s="167"/>
      <c r="H2059" s="166"/>
      <c r="I2059" s="167"/>
      <c r="J2059" s="168"/>
      <c r="K2059" s="169"/>
      <c r="L2059" s="165"/>
      <c r="M2059" s="165"/>
      <c r="N2059" s="165"/>
      <c r="O2059" s="165"/>
      <c r="P2059" s="165"/>
      <c r="Q2059" s="165"/>
      <c r="R2059" s="165"/>
      <c r="S2059" s="165"/>
      <c r="T2059" s="165"/>
    </row>
    <row r="2060">
      <c r="A2060" s="165"/>
      <c r="B2060" s="165"/>
      <c r="C2060" s="165"/>
      <c r="D2060" s="165"/>
      <c r="E2060" s="166"/>
      <c r="F2060" s="165"/>
      <c r="G2060" s="167"/>
      <c r="H2060" s="166"/>
      <c r="I2060" s="167"/>
      <c r="J2060" s="168"/>
      <c r="K2060" s="169"/>
      <c r="L2060" s="165"/>
      <c r="M2060" s="165"/>
      <c r="N2060" s="165"/>
      <c r="O2060" s="165"/>
      <c r="P2060" s="165"/>
      <c r="Q2060" s="165"/>
      <c r="R2060" s="165"/>
      <c r="S2060" s="165"/>
      <c r="T2060" s="165"/>
    </row>
    <row r="2061">
      <c r="A2061" s="165"/>
      <c r="B2061" s="165"/>
      <c r="C2061" s="165"/>
      <c r="D2061" s="165"/>
      <c r="E2061" s="166"/>
      <c r="F2061" s="165"/>
      <c r="G2061" s="167"/>
      <c r="H2061" s="166"/>
      <c r="I2061" s="167"/>
      <c r="J2061" s="168"/>
      <c r="K2061" s="169"/>
      <c r="L2061" s="165"/>
      <c r="M2061" s="165"/>
      <c r="N2061" s="165"/>
      <c r="O2061" s="165"/>
      <c r="P2061" s="165"/>
      <c r="Q2061" s="165"/>
      <c r="R2061" s="165"/>
      <c r="S2061" s="165"/>
      <c r="T2061" s="165"/>
    </row>
    <row r="2062">
      <c r="A2062" s="165"/>
      <c r="B2062" s="165"/>
      <c r="C2062" s="165"/>
      <c r="D2062" s="165"/>
      <c r="E2062" s="166"/>
      <c r="F2062" s="165"/>
      <c r="G2062" s="167"/>
      <c r="H2062" s="166"/>
      <c r="I2062" s="167"/>
      <c r="J2062" s="168"/>
      <c r="K2062" s="169"/>
      <c r="L2062" s="165"/>
      <c r="M2062" s="165"/>
      <c r="N2062" s="165"/>
      <c r="O2062" s="165"/>
      <c r="P2062" s="165"/>
      <c r="Q2062" s="165"/>
      <c r="R2062" s="165"/>
      <c r="S2062" s="165"/>
      <c r="T2062" s="165"/>
    </row>
    <row r="2063">
      <c r="A2063" s="165"/>
      <c r="B2063" s="165"/>
      <c r="C2063" s="165"/>
      <c r="D2063" s="165"/>
      <c r="E2063" s="166"/>
      <c r="F2063" s="165"/>
      <c r="G2063" s="167"/>
      <c r="H2063" s="166"/>
      <c r="I2063" s="167"/>
      <c r="J2063" s="168"/>
      <c r="K2063" s="169"/>
      <c r="L2063" s="165"/>
      <c r="M2063" s="165"/>
      <c r="N2063" s="165"/>
      <c r="O2063" s="165"/>
      <c r="P2063" s="165"/>
      <c r="Q2063" s="165"/>
      <c r="R2063" s="165"/>
      <c r="S2063" s="165"/>
      <c r="T2063" s="165"/>
    </row>
    <row r="2064">
      <c r="A2064" s="165"/>
      <c r="B2064" s="165"/>
      <c r="C2064" s="165"/>
      <c r="D2064" s="165"/>
      <c r="E2064" s="166"/>
      <c r="F2064" s="165"/>
      <c r="G2064" s="167"/>
      <c r="H2064" s="166"/>
      <c r="I2064" s="167"/>
      <c r="J2064" s="168"/>
      <c r="K2064" s="169"/>
      <c r="L2064" s="165"/>
      <c r="M2064" s="165"/>
      <c r="N2064" s="165"/>
      <c r="O2064" s="165"/>
      <c r="P2064" s="165"/>
      <c r="Q2064" s="165"/>
      <c r="R2064" s="165"/>
      <c r="S2064" s="165"/>
      <c r="T2064" s="165"/>
    </row>
    <row r="2065">
      <c r="A2065" s="165"/>
      <c r="B2065" s="165"/>
      <c r="C2065" s="165"/>
      <c r="D2065" s="165"/>
      <c r="E2065" s="166"/>
      <c r="F2065" s="165"/>
      <c r="G2065" s="167"/>
      <c r="H2065" s="166"/>
      <c r="I2065" s="167"/>
      <c r="J2065" s="168"/>
      <c r="K2065" s="169"/>
      <c r="L2065" s="165"/>
      <c r="M2065" s="165"/>
      <c r="N2065" s="165"/>
      <c r="O2065" s="165"/>
      <c r="P2065" s="165"/>
      <c r="Q2065" s="165"/>
      <c r="R2065" s="165"/>
      <c r="S2065" s="165"/>
      <c r="T2065" s="165"/>
    </row>
    <row r="2066">
      <c r="A2066" s="165"/>
      <c r="B2066" s="165"/>
      <c r="C2066" s="165"/>
      <c r="D2066" s="165"/>
      <c r="E2066" s="166"/>
      <c r="F2066" s="165"/>
      <c r="G2066" s="167"/>
      <c r="H2066" s="166"/>
      <c r="I2066" s="167"/>
      <c r="J2066" s="168"/>
      <c r="K2066" s="169"/>
      <c r="L2066" s="165"/>
      <c r="M2066" s="165"/>
      <c r="N2066" s="165"/>
      <c r="O2066" s="165"/>
      <c r="P2066" s="165"/>
      <c r="Q2066" s="165"/>
      <c r="R2066" s="165"/>
      <c r="S2066" s="165"/>
      <c r="T2066" s="165"/>
    </row>
    <row r="2067">
      <c r="A2067" s="165"/>
      <c r="B2067" s="165"/>
      <c r="C2067" s="165"/>
      <c r="D2067" s="165"/>
      <c r="E2067" s="166"/>
      <c r="F2067" s="165"/>
      <c r="G2067" s="167"/>
      <c r="H2067" s="166"/>
      <c r="I2067" s="167"/>
      <c r="J2067" s="168"/>
      <c r="K2067" s="169"/>
      <c r="L2067" s="165"/>
      <c r="M2067" s="165"/>
      <c r="N2067" s="165"/>
      <c r="O2067" s="165"/>
      <c r="P2067" s="165"/>
      <c r="Q2067" s="165"/>
      <c r="R2067" s="165"/>
      <c r="S2067" s="165"/>
      <c r="T2067" s="165"/>
    </row>
    <row r="2068">
      <c r="A2068" s="165"/>
      <c r="B2068" s="165"/>
      <c r="C2068" s="165"/>
      <c r="D2068" s="165"/>
      <c r="E2068" s="166"/>
      <c r="F2068" s="165"/>
      <c r="G2068" s="167"/>
      <c r="H2068" s="166"/>
      <c r="I2068" s="167"/>
      <c r="J2068" s="168"/>
      <c r="K2068" s="169"/>
      <c r="L2068" s="165"/>
      <c r="M2068" s="165"/>
      <c r="N2068" s="165"/>
      <c r="O2068" s="165"/>
      <c r="P2068" s="165"/>
      <c r="Q2068" s="165"/>
      <c r="R2068" s="165"/>
      <c r="S2068" s="165"/>
      <c r="T2068" s="165"/>
    </row>
    <row r="2069">
      <c r="A2069" s="165"/>
      <c r="B2069" s="165"/>
      <c r="C2069" s="165"/>
      <c r="D2069" s="165"/>
      <c r="E2069" s="166"/>
      <c r="F2069" s="165"/>
      <c r="G2069" s="167"/>
      <c r="H2069" s="166"/>
      <c r="I2069" s="167"/>
      <c r="J2069" s="168"/>
      <c r="K2069" s="169"/>
      <c r="L2069" s="165"/>
      <c r="M2069" s="165"/>
      <c r="N2069" s="165"/>
      <c r="O2069" s="165"/>
      <c r="P2069" s="165"/>
      <c r="Q2069" s="165"/>
      <c r="R2069" s="165"/>
      <c r="S2069" s="165"/>
      <c r="T2069" s="165"/>
    </row>
    <row r="2070">
      <c r="A2070" s="165"/>
      <c r="B2070" s="165"/>
      <c r="C2070" s="165"/>
      <c r="D2070" s="165"/>
      <c r="E2070" s="166"/>
      <c r="F2070" s="165"/>
      <c r="G2070" s="167"/>
      <c r="H2070" s="166"/>
      <c r="I2070" s="167"/>
      <c r="J2070" s="168"/>
      <c r="K2070" s="169"/>
      <c r="L2070" s="165"/>
      <c r="M2070" s="165"/>
      <c r="N2070" s="165"/>
      <c r="O2070" s="165"/>
      <c r="P2070" s="165"/>
      <c r="Q2070" s="165"/>
      <c r="R2070" s="165"/>
      <c r="S2070" s="165"/>
      <c r="T2070" s="165"/>
    </row>
    <row r="2071">
      <c r="A2071" s="165"/>
      <c r="B2071" s="165"/>
      <c r="C2071" s="165"/>
      <c r="D2071" s="165"/>
      <c r="E2071" s="166"/>
      <c r="F2071" s="165"/>
      <c r="G2071" s="167"/>
      <c r="H2071" s="166"/>
      <c r="I2071" s="167"/>
      <c r="J2071" s="168"/>
      <c r="K2071" s="169"/>
      <c r="L2071" s="165"/>
      <c r="M2071" s="165"/>
      <c r="N2071" s="165"/>
      <c r="O2071" s="165"/>
      <c r="P2071" s="165"/>
      <c r="Q2071" s="165"/>
      <c r="R2071" s="165"/>
      <c r="S2071" s="165"/>
      <c r="T2071" s="165"/>
    </row>
    <row r="2072">
      <c r="A2072" s="165"/>
      <c r="B2072" s="165"/>
      <c r="C2072" s="165"/>
      <c r="D2072" s="165"/>
      <c r="E2072" s="166"/>
      <c r="F2072" s="165"/>
      <c r="G2072" s="167"/>
      <c r="H2072" s="166"/>
      <c r="I2072" s="167"/>
      <c r="J2072" s="168"/>
      <c r="K2072" s="169"/>
      <c r="L2072" s="165"/>
      <c r="M2072" s="165"/>
      <c r="N2072" s="165"/>
      <c r="O2072" s="165"/>
      <c r="P2072" s="165"/>
      <c r="Q2072" s="165"/>
      <c r="R2072" s="165"/>
      <c r="S2072" s="165"/>
      <c r="T2072" s="165"/>
    </row>
    <row r="2073">
      <c r="A2073" s="165"/>
      <c r="B2073" s="165"/>
      <c r="C2073" s="165"/>
      <c r="D2073" s="165"/>
      <c r="E2073" s="166"/>
      <c r="F2073" s="165"/>
      <c r="G2073" s="167"/>
      <c r="H2073" s="166"/>
      <c r="I2073" s="167"/>
      <c r="J2073" s="168"/>
      <c r="K2073" s="169"/>
      <c r="L2073" s="165"/>
      <c r="M2073" s="165"/>
      <c r="N2073" s="165"/>
      <c r="O2073" s="165"/>
      <c r="P2073" s="165"/>
      <c r="Q2073" s="165"/>
      <c r="R2073" s="165"/>
      <c r="S2073" s="165"/>
      <c r="T2073" s="165"/>
    </row>
    <row r="2074">
      <c r="A2074" s="165"/>
      <c r="B2074" s="165"/>
      <c r="C2074" s="165"/>
      <c r="D2074" s="165"/>
      <c r="E2074" s="166"/>
      <c r="F2074" s="165"/>
      <c r="G2074" s="167"/>
      <c r="H2074" s="166"/>
      <c r="I2074" s="167"/>
      <c r="J2074" s="168"/>
      <c r="K2074" s="169"/>
      <c r="L2074" s="165"/>
      <c r="M2074" s="165"/>
      <c r="N2074" s="165"/>
      <c r="O2074" s="165"/>
      <c r="P2074" s="165"/>
      <c r="Q2074" s="165"/>
      <c r="R2074" s="165"/>
      <c r="S2074" s="165"/>
      <c r="T2074" s="165"/>
    </row>
    <row r="2075">
      <c r="A2075" s="165"/>
      <c r="B2075" s="165"/>
      <c r="C2075" s="165"/>
      <c r="D2075" s="165"/>
      <c r="E2075" s="166"/>
      <c r="F2075" s="165"/>
      <c r="G2075" s="167"/>
      <c r="H2075" s="166"/>
      <c r="I2075" s="167"/>
      <c r="J2075" s="168"/>
      <c r="K2075" s="169"/>
      <c r="L2075" s="165"/>
      <c r="M2075" s="165"/>
      <c r="N2075" s="165"/>
      <c r="O2075" s="165"/>
      <c r="P2075" s="165"/>
      <c r="Q2075" s="165"/>
      <c r="R2075" s="165"/>
      <c r="S2075" s="165"/>
      <c r="T2075" s="165"/>
    </row>
    <row r="2076">
      <c r="A2076" s="165"/>
      <c r="B2076" s="165"/>
      <c r="C2076" s="165"/>
      <c r="D2076" s="165"/>
      <c r="E2076" s="166"/>
      <c r="F2076" s="165"/>
      <c r="G2076" s="167"/>
      <c r="H2076" s="166"/>
      <c r="I2076" s="167"/>
      <c r="J2076" s="168"/>
      <c r="K2076" s="169"/>
      <c r="L2076" s="165"/>
      <c r="M2076" s="165"/>
      <c r="N2076" s="165"/>
      <c r="O2076" s="165"/>
      <c r="P2076" s="165"/>
      <c r="Q2076" s="165"/>
      <c r="R2076" s="165"/>
      <c r="S2076" s="165"/>
      <c r="T2076" s="165"/>
    </row>
    <row r="2077">
      <c r="A2077" s="165"/>
      <c r="B2077" s="165"/>
      <c r="C2077" s="165"/>
      <c r="D2077" s="165"/>
      <c r="E2077" s="166"/>
      <c r="F2077" s="165"/>
      <c r="G2077" s="167"/>
      <c r="H2077" s="166"/>
      <c r="I2077" s="167"/>
      <c r="J2077" s="168"/>
      <c r="K2077" s="169"/>
      <c r="L2077" s="165"/>
      <c r="M2077" s="165"/>
      <c r="N2077" s="165"/>
      <c r="O2077" s="165"/>
      <c r="P2077" s="165"/>
      <c r="Q2077" s="165"/>
      <c r="R2077" s="165"/>
      <c r="S2077" s="165"/>
      <c r="T2077" s="165"/>
    </row>
    <row r="2078">
      <c r="A2078" s="165"/>
      <c r="B2078" s="165"/>
      <c r="C2078" s="165"/>
      <c r="D2078" s="165"/>
      <c r="E2078" s="166"/>
      <c r="F2078" s="165"/>
      <c r="G2078" s="167"/>
      <c r="H2078" s="166"/>
      <c r="I2078" s="167"/>
      <c r="J2078" s="168"/>
      <c r="K2078" s="169"/>
      <c r="L2078" s="165"/>
      <c r="M2078" s="165"/>
      <c r="N2078" s="165"/>
      <c r="O2078" s="165"/>
      <c r="P2078" s="165"/>
      <c r="Q2078" s="165"/>
      <c r="R2078" s="165"/>
      <c r="S2078" s="165"/>
      <c r="T2078" s="165"/>
    </row>
    <row r="2079">
      <c r="A2079" s="165"/>
      <c r="B2079" s="165"/>
      <c r="C2079" s="165"/>
      <c r="D2079" s="165"/>
      <c r="E2079" s="166"/>
      <c r="F2079" s="165"/>
      <c r="G2079" s="167"/>
      <c r="H2079" s="166"/>
      <c r="I2079" s="167"/>
      <c r="J2079" s="168"/>
      <c r="K2079" s="169"/>
      <c r="L2079" s="165"/>
      <c r="M2079" s="165"/>
      <c r="N2079" s="165"/>
      <c r="O2079" s="165"/>
      <c r="P2079" s="165"/>
      <c r="Q2079" s="165"/>
      <c r="R2079" s="165"/>
      <c r="S2079" s="165"/>
      <c r="T2079" s="165"/>
    </row>
    <row r="2080">
      <c r="A2080" s="165"/>
      <c r="B2080" s="165"/>
      <c r="C2080" s="165"/>
      <c r="D2080" s="165"/>
      <c r="E2080" s="166"/>
      <c r="F2080" s="165"/>
      <c r="G2080" s="167"/>
      <c r="H2080" s="166"/>
      <c r="I2080" s="167"/>
      <c r="J2080" s="168"/>
      <c r="K2080" s="169"/>
      <c r="L2080" s="165"/>
      <c r="M2080" s="165"/>
      <c r="N2080" s="165"/>
      <c r="O2080" s="165"/>
      <c r="P2080" s="165"/>
      <c r="Q2080" s="165"/>
      <c r="R2080" s="165"/>
      <c r="S2080" s="165"/>
      <c r="T2080" s="165"/>
    </row>
    <row r="2081">
      <c r="A2081" s="165"/>
      <c r="B2081" s="165"/>
      <c r="C2081" s="165"/>
      <c r="D2081" s="165"/>
      <c r="E2081" s="166"/>
      <c r="F2081" s="165"/>
      <c r="G2081" s="167"/>
      <c r="H2081" s="166"/>
      <c r="I2081" s="167"/>
      <c r="J2081" s="168"/>
      <c r="K2081" s="169"/>
      <c r="L2081" s="165"/>
      <c r="M2081" s="165"/>
      <c r="N2081" s="165"/>
      <c r="O2081" s="165"/>
      <c r="P2081" s="165"/>
      <c r="Q2081" s="165"/>
      <c r="R2081" s="165"/>
      <c r="S2081" s="165"/>
      <c r="T2081" s="165"/>
    </row>
    <row r="2082">
      <c r="A2082" s="165"/>
      <c r="B2082" s="165"/>
      <c r="C2082" s="165"/>
      <c r="D2082" s="165"/>
      <c r="E2082" s="166"/>
      <c r="F2082" s="165"/>
      <c r="G2082" s="167"/>
      <c r="H2082" s="166"/>
      <c r="I2082" s="167"/>
      <c r="J2082" s="168"/>
      <c r="K2082" s="169"/>
      <c r="L2082" s="165"/>
      <c r="M2082" s="165"/>
      <c r="N2082" s="165"/>
      <c r="O2082" s="165"/>
      <c r="P2082" s="165"/>
      <c r="Q2082" s="165"/>
      <c r="R2082" s="165"/>
      <c r="S2082" s="165"/>
      <c r="T2082" s="165"/>
    </row>
    <row r="2083">
      <c r="A2083" s="165"/>
      <c r="B2083" s="165"/>
      <c r="C2083" s="165"/>
      <c r="D2083" s="165"/>
      <c r="E2083" s="166"/>
      <c r="F2083" s="165"/>
      <c r="G2083" s="167"/>
      <c r="H2083" s="166"/>
      <c r="I2083" s="167"/>
      <c r="J2083" s="168"/>
      <c r="K2083" s="169"/>
      <c r="L2083" s="165"/>
      <c r="M2083" s="165"/>
      <c r="N2083" s="165"/>
      <c r="O2083" s="165"/>
      <c r="P2083" s="165"/>
      <c r="Q2083" s="165"/>
      <c r="R2083" s="165"/>
      <c r="S2083" s="165"/>
      <c r="T2083" s="165"/>
    </row>
    <row r="2084">
      <c r="A2084" s="165"/>
      <c r="B2084" s="165"/>
      <c r="C2084" s="165"/>
      <c r="D2084" s="165"/>
      <c r="E2084" s="166"/>
      <c r="F2084" s="165"/>
      <c r="G2084" s="167"/>
      <c r="H2084" s="166"/>
      <c r="I2084" s="167"/>
      <c r="J2084" s="168"/>
      <c r="K2084" s="169"/>
      <c r="L2084" s="165"/>
      <c r="M2084" s="165"/>
      <c r="N2084" s="165"/>
      <c r="O2084" s="165"/>
      <c r="P2084" s="165"/>
      <c r="Q2084" s="165"/>
      <c r="R2084" s="165"/>
      <c r="S2084" s="165"/>
      <c r="T2084" s="165"/>
    </row>
    <row r="2085">
      <c r="A2085" s="165"/>
      <c r="B2085" s="165"/>
      <c r="C2085" s="165"/>
      <c r="D2085" s="165"/>
      <c r="E2085" s="166"/>
      <c r="F2085" s="165"/>
      <c r="G2085" s="167"/>
      <c r="H2085" s="166"/>
      <c r="I2085" s="167"/>
      <c r="J2085" s="168"/>
      <c r="K2085" s="169"/>
      <c r="L2085" s="165"/>
      <c r="M2085" s="165"/>
      <c r="N2085" s="165"/>
      <c r="O2085" s="165"/>
      <c r="P2085" s="165"/>
      <c r="Q2085" s="165"/>
      <c r="R2085" s="165"/>
      <c r="S2085" s="165"/>
      <c r="T2085" s="165"/>
    </row>
    <row r="2086">
      <c r="A2086" s="165"/>
      <c r="B2086" s="165"/>
      <c r="C2086" s="165"/>
      <c r="D2086" s="165"/>
      <c r="E2086" s="166"/>
      <c r="F2086" s="165"/>
      <c r="G2086" s="167"/>
      <c r="H2086" s="166"/>
      <c r="I2086" s="167"/>
      <c r="J2086" s="168"/>
      <c r="K2086" s="169"/>
      <c r="L2086" s="165"/>
      <c r="M2086" s="165"/>
      <c r="N2086" s="165"/>
      <c r="O2086" s="165"/>
      <c r="P2086" s="165"/>
      <c r="Q2086" s="165"/>
      <c r="R2086" s="165"/>
      <c r="S2086" s="165"/>
      <c r="T2086" s="165"/>
    </row>
    <row r="2087">
      <c r="A2087" s="165"/>
      <c r="B2087" s="165"/>
      <c r="C2087" s="165"/>
      <c r="D2087" s="165"/>
      <c r="E2087" s="166"/>
      <c r="F2087" s="165"/>
      <c r="G2087" s="167"/>
      <c r="H2087" s="166"/>
      <c r="I2087" s="167"/>
      <c r="J2087" s="168"/>
      <c r="K2087" s="169"/>
      <c r="L2087" s="165"/>
      <c r="M2087" s="165"/>
      <c r="N2087" s="165"/>
      <c r="O2087" s="165"/>
      <c r="P2087" s="165"/>
      <c r="Q2087" s="165"/>
      <c r="R2087" s="165"/>
      <c r="S2087" s="165"/>
      <c r="T2087" s="165"/>
    </row>
    <row r="2088">
      <c r="A2088" s="165"/>
      <c r="B2088" s="165"/>
      <c r="C2088" s="165"/>
      <c r="D2088" s="165"/>
      <c r="E2088" s="166"/>
      <c r="F2088" s="165"/>
      <c r="G2088" s="167"/>
      <c r="H2088" s="166"/>
      <c r="I2088" s="167"/>
      <c r="J2088" s="168"/>
      <c r="K2088" s="169"/>
      <c r="L2088" s="165"/>
      <c r="M2088" s="165"/>
      <c r="N2088" s="165"/>
      <c r="O2088" s="165"/>
      <c r="P2088" s="165"/>
      <c r="Q2088" s="165"/>
      <c r="R2088" s="165"/>
      <c r="S2088" s="165"/>
      <c r="T2088" s="165"/>
    </row>
    <row r="2089">
      <c r="A2089" s="165"/>
      <c r="B2089" s="165"/>
      <c r="C2089" s="165"/>
      <c r="D2089" s="165"/>
      <c r="E2089" s="166"/>
      <c r="F2089" s="165"/>
      <c r="G2089" s="167"/>
      <c r="H2089" s="166"/>
      <c r="I2089" s="167"/>
      <c r="J2089" s="168"/>
      <c r="K2089" s="169"/>
      <c r="L2089" s="165"/>
      <c r="M2089" s="165"/>
      <c r="N2089" s="165"/>
      <c r="O2089" s="165"/>
      <c r="P2089" s="165"/>
      <c r="Q2089" s="165"/>
      <c r="R2089" s="165"/>
      <c r="S2089" s="165"/>
      <c r="T2089" s="165"/>
    </row>
    <row r="2090">
      <c r="A2090" s="165"/>
      <c r="B2090" s="165"/>
      <c r="C2090" s="165"/>
      <c r="D2090" s="165"/>
      <c r="E2090" s="166"/>
      <c r="F2090" s="165"/>
      <c r="G2090" s="167"/>
      <c r="H2090" s="166"/>
      <c r="I2090" s="167"/>
      <c r="J2090" s="168"/>
      <c r="K2090" s="169"/>
      <c r="L2090" s="165"/>
      <c r="M2090" s="165"/>
      <c r="N2090" s="165"/>
      <c r="O2090" s="165"/>
      <c r="P2090" s="165"/>
      <c r="Q2090" s="165"/>
      <c r="R2090" s="165"/>
      <c r="S2090" s="165"/>
      <c r="T2090" s="165"/>
    </row>
    <row r="2091">
      <c r="A2091" s="165"/>
      <c r="B2091" s="165"/>
      <c r="C2091" s="165"/>
      <c r="D2091" s="165"/>
      <c r="E2091" s="166"/>
      <c r="F2091" s="165"/>
      <c r="G2091" s="167"/>
      <c r="H2091" s="166"/>
      <c r="I2091" s="167"/>
      <c r="J2091" s="168"/>
      <c r="K2091" s="169"/>
      <c r="L2091" s="165"/>
      <c r="M2091" s="165"/>
      <c r="N2091" s="165"/>
      <c r="O2091" s="165"/>
      <c r="P2091" s="165"/>
      <c r="Q2091" s="165"/>
      <c r="R2091" s="165"/>
      <c r="S2091" s="165"/>
      <c r="T2091" s="165"/>
    </row>
    <row r="2092">
      <c r="A2092" s="165"/>
      <c r="B2092" s="165"/>
      <c r="C2092" s="165"/>
      <c r="D2092" s="165"/>
      <c r="E2092" s="166"/>
      <c r="F2092" s="165"/>
      <c r="G2092" s="167"/>
      <c r="H2092" s="166"/>
      <c r="I2092" s="167"/>
      <c r="J2092" s="168"/>
      <c r="K2092" s="169"/>
      <c r="L2092" s="165"/>
      <c r="M2092" s="165"/>
      <c r="N2092" s="165"/>
      <c r="O2092" s="165"/>
      <c r="P2092" s="165"/>
      <c r="Q2092" s="165"/>
      <c r="R2092" s="165"/>
      <c r="S2092" s="165"/>
      <c r="T2092" s="165"/>
    </row>
    <row r="2093">
      <c r="A2093" s="165"/>
      <c r="B2093" s="165"/>
      <c r="C2093" s="165"/>
      <c r="D2093" s="165"/>
      <c r="E2093" s="166"/>
      <c r="F2093" s="165"/>
      <c r="G2093" s="167"/>
      <c r="H2093" s="166"/>
      <c r="I2093" s="167"/>
      <c r="J2093" s="168"/>
      <c r="K2093" s="169"/>
      <c r="L2093" s="165"/>
      <c r="M2093" s="165"/>
      <c r="N2093" s="165"/>
      <c r="O2093" s="165"/>
      <c r="P2093" s="165"/>
      <c r="Q2093" s="165"/>
      <c r="R2093" s="165"/>
      <c r="S2093" s="165"/>
      <c r="T2093" s="165"/>
    </row>
    <row r="2094">
      <c r="A2094" s="165"/>
      <c r="B2094" s="165"/>
      <c r="C2094" s="165"/>
      <c r="D2094" s="165"/>
      <c r="E2094" s="166"/>
      <c r="F2094" s="165"/>
      <c r="G2094" s="167"/>
      <c r="H2094" s="166"/>
      <c r="I2094" s="167"/>
      <c r="J2094" s="168"/>
      <c r="K2094" s="169"/>
      <c r="L2094" s="165"/>
      <c r="M2094" s="165"/>
      <c r="N2094" s="165"/>
      <c r="O2094" s="165"/>
      <c r="P2094" s="165"/>
      <c r="Q2094" s="165"/>
      <c r="R2094" s="165"/>
      <c r="S2094" s="165"/>
      <c r="T2094" s="165"/>
    </row>
    <row r="2095">
      <c r="A2095" s="165"/>
      <c r="B2095" s="165"/>
      <c r="C2095" s="165"/>
      <c r="D2095" s="165"/>
      <c r="E2095" s="166"/>
      <c r="F2095" s="165"/>
      <c r="G2095" s="167"/>
      <c r="H2095" s="166"/>
      <c r="I2095" s="167"/>
      <c r="J2095" s="168"/>
      <c r="K2095" s="169"/>
      <c r="L2095" s="165"/>
      <c r="M2095" s="165"/>
      <c r="N2095" s="165"/>
      <c r="O2095" s="165"/>
      <c r="P2095" s="165"/>
      <c r="Q2095" s="165"/>
      <c r="R2095" s="165"/>
      <c r="S2095" s="165"/>
      <c r="T2095" s="165"/>
    </row>
    <row r="2096">
      <c r="A2096" s="165"/>
      <c r="B2096" s="165"/>
      <c r="C2096" s="165"/>
      <c r="D2096" s="165"/>
      <c r="E2096" s="166"/>
      <c r="F2096" s="165"/>
      <c r="G2096" s="167"/>
      <c r="H2096" s="166"/>
      <c r="I2096" s="167"/>
      <c r="J2096" s="168"/>
      <c r="K2096" s="169"/>
      <c r="L2096" s="165"/>
      <c r="M2096" s="165"/>
      <c r="N2096" s="165"/>
      <c r="O2096" s="165"/>
      <c r="P2096" s="165"/>
      <c r="Q2096" s="165"/>
      <c r="R2096" s="165"/>
      <c r="S2096" s="165"/>
      <c r="T2096" s="165"/>
    </row>
    <row r="2097">
      <c r="A2097" s="165"/>
      <c r="B2097" s="165"/>
      <c r="C2097" s="165"/>
      <c r="D2097" s="165"/>
      <c r="E2097" s="166"/>
      <c r="F2097" s="165"/>
      <c r="G2097" s="167"/>
      <c r="H2097" s="166"/>
      <c r="I2097" s="167"/>
      <c r="J2097" s="168"/>
      <c r="K2097" s="169"/>
      <c r="L2097" s="165"/>
      <c r="M2097" s="165"/>
      <c r="N2097" s="165"/>
      <c r="O2097" s="165"/>
      <c r="P2097" s="165"/>
      <c r="Q2097" s="165"/>
      <c r="R2097" s="165"/>
      <c r="S2097" s="165"/>
      <c r="T2097" s="165"/>
    </row>
    <row r="2098">
      <c r="A2098" s="165"/>
      <c r="B2098" s="165"/>
      <c r="C2098" s="165"/>
      <c r="D2098" s="165"/>
      <c r="E2098" s="166"/>
      <c r="F2098" s="165"/>
      <c r="G2098" s="167"/>
      <c r="H2098" s="166"/>
      <c r="I2098" s="167"/>
      <c r="J2098" s="168"/>
      <c r="K2098" s="169"/>
      <c r="L2098" s="165"/>
      <c r="M2098" s="165"/>
      <c r="N2098" s="165"/>
      <c r="O2098" s="165"/>
      <c r="P2098" s="165"/>
      <c r="Q2098" s="165"/>
      <c r="R2098" s="165"/>
      <c r="S2098" s="165"/>
      <c r="T2098" s="165"/>
    </row>
    <row r="2099">
      <c r="A2099" s="165"/>
      <c r="B2099" s="165"/>
      <c r="C2099" s="165"/>
      <c r="D2099" s="165"/>
      <c r="E2099" s="166"/>
      <c r="F2099" s="165"/>
      <c r="G2099" s="167"/>
      <c r="H2099" s="166"/>
      <c r="I2099" s="167"/>
      <c r="J2099" s="168"/>
      <c r="K2099" s="169"/>
      <c r="L2099" s="165"/>
      <c r="M2099" s="165"/>
      <c r="N2099" s="165"/>
      <c r="O2099" s="165"/>
      <c r="P2099" s="165"/>
      <c r="Q2099" s="165"/>
      <c r="R2099" s="165"/>
      <c r="S2099" s="165"/>
      <c r="T2099" s="165"/>
    </row>
    <row r="2100">
      <c r="A2100" s="165"/>
      <c r="B2100" s="165"/>
      <c r="C2100" s="165"/>
      <c r="D2100" s="165"/>
      <c r="E2100" s="166"/>
      <c r="F2100" s="165"/>
      <c r="G2100" s="167"/>
      <c r="H2100" s="166"/>
      <c r="I2100" s="167"/>
      <c r="J2100" s="168"/>
      <c r="K2100" s="169"/>
      <c r="L2100" s="165"/>
      <c r="M2100" s="165"/>
      <c r="N2100" s="165"/>
      <c r="O2100" s="165"/>
      <c r="P2100" s="165"/>
      <c r="Q2100" s="165"/>
      <c r="R2100" s="165"/>
      <c r="S2100" s="165"/>
      <c r="T2100" s="165"/>
    </row>
    <row r="2101">
      <c r="A2101" s="165"/>
      <c r="B2101" s="165"/>
      <c r="C2101" s="165"/>
      <c r="D2101" s="165"/>
      <c r="E2101" s="166"/>
      <c r="F2101" s="165"/>
      <c r="G2101" s="167"/>
      <c r="H2101" s="166"/>
      <c r="I2101" s="167"/>
      <c r="J2101" s="168"/>
      <c r="K2101" s="169"/>
      <c r="L2101" s="165"/>
      <c r="M2101" s="165"/>
      <c r="N2101" s="165"/>
      <c r="O2101" s="165"/>
      <c r="P2101" s="165"/>
      <c r="Q2101" s="165"/>
      <c r="R2101" s="165"/>
      <c r="S2101" s="165"/>
      <c r="T2101" s="165"/>
    </row>
    <row r="2102">
      <c r="A2102" s="165"/>
      <c r="B2102" s="165"/>
      <c r="C2102" s="165"/>
      <c r="D2102" s="165"/>
      <c r="E2102" s="166"/>
      <c r="F2102" s="165"/>
      <c r="G2102" s="167"/>
      <c r="H2102" s="166"/>
      <c r="I2102" s="167"/>
      <c r="J2102" s="168"/>
      <c r="K2102" s="169"/>
      <c r="L2102" s="165"/>
      <c r="M2102" s="165"/>
      <c r="N2102" s="165"/>
      <c r="O2102" s="165"/>
      <c r="P2102" s="165"/>
      <c r="Q2102" s="165"/>
      <c r="R2102" s="165"/>
      <c r="S2102" s="165"/>
      <c r="T2102" s="165"/>
    </row>
    <row r="2103">
      <c r="A2103" s="165"/>
      <c r="B2103" s="165"/>
      <c r="C2103" s="165"/>
      <c r="D2103" s="165"/>
      <c r="E2103" s="166"/>
      <c r="F2103" s="165"/>
      <c r="G2103" s="167"/>
      <c r="H2103" s="166"/>
      <c r="I2103" s="167"/>
      <c r="J2103" s="168"/>
      <c r="K2103" s="169"/>
      <c r="L2103" s="165"/>
      <c r="M2103" s="165"/>
      <c r="N2103" s="165"/>
      <c r="O2103" s="165"/>
      <c r="P2103" s="165"/>
      <c r="Q2103" s="165"/>
      <c r="R2103" s="165"/>
      <c r="S2103" s="165"/>
      <c r="T2103" s="165"/>
    </row>
    <row r="2104">
      <c r="A2104" s="165"/>
      <c r="B2104" s="165"/>
      <c r="C2104" s="165"/>
      <c r="D2104" s="165"/>
      <c r="E2104" s="166"/>
      <c r="F2104" s="165"/>
      <c r="G2104" s="167"/>
      <c r="H2104" s="166"/>
      <c r="I2104" s="167"/>
      <c r="J2104" s="168"/>
      <c r="K2104" s="169"/>
      <c r="L2104" s="165"/>
      <c r="M2104" s="165"/>
      <c r="N2104" s="165"/>
      <c r="O2104" s="165"/>
      <c r="P2104" s="165"/>
      <c r="Q2104" s="165"/>
      <c r="R2104" s="165"/>
      <c r="S2104" s="165"/>
      <c r="T2104" s="165"/>
    </row>
    <row r="2105">
      <c r="A2105" s="165"/>
      <c r="B2105" s="165"/>
      <c r="C2105" s="165"/>
      <c r="D2105" s="165"/>
      <c r="E2105" s="166"/>
      <c r="F2105" s="165"/>
      <c r="G2105" s="167"/>
      <c r="H2105" s="166"/>
      <c r="I2105" s="167"/>
      <c r="J2105" s="168"/>
      <c r="K2105" s="169"/>
      <c r="L2105" s="165"/>
      <c r="M2105" s="165"/>
      <c r="N2105" s="165"/>
      <c r="O2105" s="165"/>
      <c r="P2105" s="165"/>
      <c r="Q2105" s="165"/>
      <c r="R2105" s="165"/>
      <c r="S2105" s="165"/>
      <c r="T2105" s="165"/>
    </row>
    <row r="2106">
      <c r="A2106" s="165"/>
      <c r="B2106" s="165"/>
      <c r="C2106" s="165"/>
      <c r="D2106" s="165"/>
      <c r="E2106" s="166"/>
      <c r="F2106" s="165"/>
      <c r="G2106" s="167"/>
      <c r="H2106" s="166"/>
      <c r="I2106" s="167"/>
      <c r="J2106" s="168"/>
      <c r="K2106" s="169"/>
      <c r="L2106" s="165"/>
      <c r="M2106" s="165"/>
      <c r="N2106" s="165"/>
      <c r="O2106" s="165"/>
      <c r="P2106" s="165"/>
      <c r="Q2106" s="165"/>
      <c r="R2106" s="165"/>
      <c r="S2106" s="165"/>
      <c r="T2106" s="165"/>
    </row>
    <row r="2107">
      <c r="A2107" s="165"/>
      <c r="B2107" s="165"/>
      <c r="C2107" s="165"/>
      <c r="D2107" s="165"/>
      <c r="E2107" s="166"/>
      <c r="F2107" s="165"/>
      <c r="G2107" s="167"/>
      <c r="H2107" s="166"/>
      <c r="I2107" s="167"/>
      <c r="J2107" s="168"/>
      <c r="K2107" s="169"/>
      <c r="L2107" s="165"/>
      <c r="M2107" s="165"/>
      <c r="N2107" s="165"/>
      <c r="O2107" s="165"/>
      <c r="P2107" s="165"/>
      <c r="Q2107" s="165"/>
      <c r="R2107" s="165"/>
      <c r="S2107" s="165"/>
      <c r="T2107" s="165"/>
    </row>
    <row r="2108">
      <c r="A2108" s="165"/>
      <c r="B2108" s="165"/>
      <c r="C2108" s="165"/>
      <c r="D2108" s="165"/>
      <c r="E2108" s="166"/>
      <c r="F2108" s="165"/>
      <c r="G2108" s="167"/>
      <c r="H2108" s="166"/>
      <c r="I2108" s="167"/>
      <c r="J2108" s="168"/>
      <c r="K2108" s="169"/>
      <c r="L2108" s="165"/>
      <c r="M2108" s="165"/>
      <c r="N2108" s="165"/>
      <c r="O2108" s="165"/>
      <c r="P2108" s="165"/>
      <c r="Q2108" s="165"/>
      <c r="R2108" s="165"/>
      <c r="S2108" s="165"/>
      <c r="T2108" s="165"/>
    </row>
    <row r="2109">
      <c r="A2109" s="165"/>
      <c r="B2109" s="165"/>
      <c r="C2109" s="165"/>
      <c r="D2109" s="165"/>
      <c r="E2109" s="166"/>
      <c r="F2109" s="165"/>
      <c r="G2109" s="167"/>
      <c r="H2109" s="166"/>
      <c r="I2109" s="167"/>
      <c r="J2109" s="168"/>
      <c r="K2109" s="169"/>
      <c r="L2109" s="165"/>
      <c r="M2109" s="165"/>
      <c r="N2109" s="165"/>
      <c r="O2109" s="165"/>
      <c r="P2109" s="165"/>
      <c r="Q2109" s="165"/>
      <c r="R2109" s="165"/>
      <c r="S2109" s="165"/>
      <c r="T2109" s="165"/>
    </row>
    <row r="2110">
      <c r="A2110" s="165"/>
      <c r="B2110" s="165"/>
      <c r="C2110" s="165"/>
      <c r="D2110" s="165"/>
      <c r="E2110" s="166"/>
      <c r="F2110" s="165"/>
      <c r="G2110" s="167"/>
      <c r="H2110" s="166"/>
      <c r="I2110" s="167"/>
      <c r="J2110" s="168"/>
      <c r="K2110" s="169"/>
      <c r="L2110" s="165"/>
      <c r="M2110" s="165"/>
      <c r="N2110" s="165"/>
      <c r="O2110" s="165"/>
      <c r="P2110" s="165"/>
      <c r="Q2110" s="165"/>
      <c r="R2110" s="165"/>
      <c r="S2110" s="165"/>
      <c r="T2110" s="165"/>
    </row>
    <row r="2111">
      <c r="A2111" s="165"/>
      <c r="B2111" s="165"/>
      <c r="C2111" s="165"/>
      <c r="D2111" s="165"/>
      <c r="E2111" s="166"/>
      <c r="F2111" s="165"/>
      <c r="G2111" s="167"/>
      <c r="H2111" s="166"/>
      <c r="I2111" s="167"/>
      <c r="J2111" s="168"/>
      <c r="K2111" s="169"/>
      <c r="L2111" s="165"/>
      <c r="M2111" s="165"/>
      <c r="N2111" s="165"/>
      <c r="O2111" s="165"/>
      <c r="P2111" s="165"/>
      <c r="Q2111" s="165"/>
      <c r="R2111" s="165"/>
      <c r="S2111" s="165"/>
      <c r="T2111" s="165"/>
    </row>
    <row r="2112">
      <c r="A2112" s="165"/>
      <c r="B2112" s="165"/>
      <c r="C2112" s="165"/>
      <c r="D2112" s="165"/>
      <c r="E2112" s="166"/>
      <c r="F2112" s="165"/>
      <c r="G2112" s="167"/>
      <c r="H2112" s="166"/>
      <c r="I2112" s="167"/>
      <c r="J2112" s="168"/>
      <c r="K2112" s="169"/>
      <c r="L2112" s="165"/>
      <c r="M2112" s="165"/>
      <c r="N2112" s="165"/>
      <c r="O2112" s="165"/>
      <c r="P2112" s="165"/>
      <c r="Q2112" s="165"/>
      <c r="R2112" s="165"/>
      <c r="S2112" s="165"/>
      <c r="T2112" s="165"/>
    </row>
    <row r="2113">
      <c r="A2113" s="165"/>
      <c r="B2113" s="165"/>
      <c r="C2113" s="165"/>
      <c r="D2113" s="165"/>
      <c r="E2113" s="166"/>
      <c r="F2113" s="165"/>
      <c r="G2113" s="167"/>
      <c r="H2113" s="166"/>
      <c r="I2113" s="167"/>
      <c r="J2113" s="168"/>
      <c r="K2113" s="169"/>
      <c r="L2113" s="165"/>
      <c r="M2113" s="165"/>
      <c r="N2113" s="165"/>
      <c r="O2113" s="165"/>
      <c r="P2113" s="165"/>
      <c r="Q2113" s="165"/>
      <c r="R2113" s="165"/>
      <c r="S2113" s="165"/>
      <c r="T2113" s="165"/>
    </row>
    <row r="2114">
      <c r="A2114" s="165"/>
      <c r="B2114" s="165"/>
      <c r="C2114" s="165"/>
      <c r="D2114" s="165"/>
      <c r="E2114" s="166"/>
      <c r="F2114" s="165"/>
      <c r="G2114" s="167"/>
      <c r="H2114" s="166"/>
      <c r="I2114" s="167"/>
      <c r="J2114" s="168"/>
      <c r="K2114" s="169"/>
      <c r="L2114" s="165"/>
      <c r="M2114" s="165"/>
      <c r="N2114" s="165"/>
      <c r="O2114" s="165"/>
      <c r="P2114" s="165"/>
      <c r="Q2114" s="165"/>
      <c r="R2114" s="165"/>
      <c r="S2114" s="165"/>
      <c r="T2114" s="165"/>
    </row>
    <row r="2115">
      <c r="A2115" s="165"/>
      <c r="B2115" s="165"/>
      <c r="C2115" s="165"/>
      <c r="D2115" s="165"/>
      <c r="E2115" s="166"/>
      <c r="F2115" s="165"/>
      <c r="G2115" s="167"/>
      <c r="H2115" s="166"/>
      <c r="I2115" s="167"/>
      <c r="J2115" s="168"/>
      <c r="K2115" s="169"/>
      <c r="L2115" s="165"/>
      <c r="M2115" s="165"/>
      <c r="N2115" s="165"/>
      <c r="O2115" s="165"/>
      <c r="P2115" s="165"/>
      <c r="Q2115" s="165"/>
      <c r="R2115" s="165"/>
      <c r="S2115" s="165"/>
      <c r="T2115" s="165"/>
    </row>
    <row r="2116">
      <c r="A2116" s="165"/>
      <c r="B2116" s="165"/>
      <c r="C2116" s="165"/>
      <c r="D2116" s="165"/>
      <c r="E2116" s="166"/>
      <c r="F2116" s="165"/>
      <c r="G2116" s="167"/>
      <c r="H2116" s="166"/>
      <c r="I2116" s="167"/>
      <c r="J2116" s="168"/>
      <c r="K2116" s="169"/>
      <c r="L2116" s="165"/>
      <c r="M2116" s="165"/>
      <c r="N2116" s="165"/>
      <c r="O2116" s="165"/>
      <c r="P2116" s="165"/>
      <c r="Q2116" s="165"/>
      <c r="R2116" s="165"/>
      <c r="S2116" s="165"/>
      <c r="T2116" s="165"/>
    </row>
    <row r="2117">
      <c r="A2117" s="165"/>
      <c r="B2117" s="165"/>
      <c r="C2117" s="165"/>
      <c r="D2117" s="165"/>
      <c r="E2117" s="166"/>
      <c r="F2117" s="165"/>
      <c r="G2117" s="167"/>
      <c r="H2117" s="166"/>
      <c r="I2117" s="167"/>
      <c r="J2117" s="168"/>
      <c r="K2117" s="169"/>
      <c r="L2117" s="165"/>
      <c r="M2117" s="165"/>
      <c r="N2117" s="165"/>
      <c r="O2117" s="165"/>
      <c r="P2117" s="165"/>
      <c r="Q2117" s="165"/>
      <c r="R2117" s="165"/>
      <c r="S2117" s="165"/>
      <c r="T2117" s="165"/>
    </row>
    <row r="2118">
      <c r="A2118" s="165"/>
      <c r="B2118" s="165"/>
      <c r="C2118" s="165"/>
      <c r="D2118" s="165"/>
      <c r="E2118" s="166"/>
      <c r="F2118" s="165"/>
      <c r="G2118" s="167"/>
      <c r="H2118" s="166"/>
      <c r="I2118" s="167"/>
      <c r="J2118" s="168"/>
      <c r="K2118" s="169"/>
      <c r="L2118" s="165"/>
      <c r="M2118" s="165"/>
      <c r="N2118" s="165"/>
      <c r="O2118" s="165"/>
      <c r="P2118" s="165"/>
      <c r="Q2118" s="165"/>
      <c r="R2118" s="165"/>
      <c r="S2118" s="165"/>
      <c r="T2118" s="165"/>
    </row>
    <row r="2119">
      <c r="A2119" s="165"/>
      <c r="B2119" s="165"/>
      <c r="C2119" s="165"/>
      <c r="D2119" s="165"/>
      <c r="E2119" s="166"/>
      <c r="F2119" s="165"/>
      <c r="G2119" s="167"/>
      <c r="H2119" s="166"/>
      <c r="I2119" s="167"/>
      <c r="J2119" s="168"/>
      <c r="K2119" s="169"/>
      <c r="L2119" s="165"/>
      <c r="M2119" s="165"/>
      <c r="N2119" s="165"/>
      <c r="O2119" s="165"/>
      <c r="P2119" s="165"/>
      <c r="Q2119" s="165"/>
      <c r="R2119" s="165"/>
      <c r="S2119" s="165"/>
      <c r="T2119" s="165"/>
    </row>
    <row r="2120">
      <c r="A2120" s="165"/>
      <c r="B2120" s="165"/>
      <c r="C2120" s="165"/>
      <c r="D2120" s="165"/>
      <c r="E2120" s="166"/>
      <c r="F2120" s="165"/>
      <c r="G2120" s="167"/>
      <c r="H2120" s="166"/>
      <c r="I2120" s="167"/>
      <c r="J2120" s="168"/>
      <c r="K2120" s="169"/>
      <c r="L2120" s="165"/>
      <c r="M2120" s="165"/>
      <c r="N2120" s="165"/>
      <c r="O2120" s="165"/>
      <c r="P2120" s="165"/>
      <c r="Q2120" s="165"/>
      <c r="R2120" s="165"/>
      <c r="S2120" s="165"/>
      <c r="T2120" s="165"/>
    </row>
    <row r="2121">
      <c r="A2121" s="165"/>
      <c r="B2121" s="165"/>
      <c r="C2121" s="165"/>
      <c r="D2121" s="165"/>
      <c r="E2121" s="166"/>
      <c r="F2121" s="165"/>
      <c r="G2121" s="167"/>
      <c r="H2121" s="166"/>
      <c r="I2121" s="167"/>
      <c r="J2121" s="168"/>
      <c r="K2121" s="169"/>
      <c r="L2121" s="165"/>
      <c r="M2121" s="165"/>
      <c r="N2121" s="165"/>
      <c r="O2121" s="165"/>
      <c r="P2121" s="165"/>
      <c r="Q2121" s="165"/>
      <c r="R2121" s="165"/>
      <c r="S2121" s="165"/>
      <c r="T2121" s="165"/>
    </row>
    <row r="2122">
      <c r="A2122" s="165"/>
      <c r="B2122" s="165"/>
      <c r="C2122" s="165"/>
      <c r="D2122" s="165"/>
      <c r="E2122" s="166"/>
      <c r="F2122" s="165"/>
      <c r="G2122" s="167"/>
      <c r="H2122" s="166"/>
      <c r="I2122" s="167"/>
      <c r="J2122" s="168"/>
      <c r="K2122" s="169"/>
      <c r="L2122" s="165"/>
      <c r="M2122" s="165"/>
      <c r="N2122" s="165"/>
      <c r="O2122" s="165"/>
      <c r="P2122" s="165"/>
      <c r="Q2122" s="165"/>
      <c r="R2122" s="165"/>
      <c r="S2122" s="165"/>
      <c r="T2122" s="165"/>
    </row>
    <row r="2123">
      <c r="A2123" s="165"/>
      <c r="B2123" s="165"/>
      <c r="C2123" s="165"/>
      <c r="D2123" s="165"/>
      <c r="E2123" s="166"/>
      <c r="F2123" s="165"/>
      <c r="G2123" s="167"/>
      <c r="H2123" s="166"/>
      <c r="I2123" s="167"/>
      <c r="J2123" s="168"/>
      <c r="K2123" s="169"/>
      <c r="L2123" s="165"/>
      <c r="M2123" s="165"/>
      <c r="N2123" s="165"/>
      <c r="O2123" s="165"/>
      <c r="P2123" s="165"/>
      <c r="Q2123" s="165"/>
      <c r="R2123" s="165"/>
      <c r="S2123" s="165"/>
      <c r="T2123" s="165"/>
    </row>
    <row r="2124">
      <c r="A2124" s="165"/>
      <c r="B2124" s="165"/>
      <c r="C2124" s="165"/>
      <c r="D2124" s="165"/>
      <c r="E2124" s="166"/>
      <c r="F2124" s="165"/>
      <c r="G2124" s="167"/>
      <c r="H2124" s="166"/>
      <c r="I2124" s="167"/>
      <c r="J2124" s="168"/>
      <c r="K2124" s="169"/>
      <c r="L2124" s="165"/>
      <c r="M2124" s="165"/>
      <c r="N2124" s="165"/>
      <c r="O2124" s="165"/>
      <c r="P2124" s="165"/>
      <c r="Q2124" s="165"/>
      <c r="R2124" s="165"/>
      <c r="S2124" s="165"/>
      <c r="T2124" s="165"/>
    </row>
    <row r="2125">
      <c r="A2125" s="165"/>
      <c r="B2125" s="165"/>
      <c r="C2125" s="165"/>
      <c r="D2125" s="165"/>
      <c r="E2125" s="166"/>
      <c r="F2125" s="165"/>
      <c r="G2125" s="167"/>
      <c r="H2125" s="166"/>
      <c r="I2125" s="167"/>
      <c r="J2125" s="168"/>
      <c r="K2125" s="169"/>
      <c r="L2125" s="165"/>
      <c r="M2125" s="165"/>
      <c r="N2125" s="165"/>
      <c r="O2125" s="165"/>
      <c r="P2125" s="165"/>
      <c r="Q2125" s="165"/>
      <c r="R2125" s="165"/>
      <c r="S2125" s="165"/>
      <c r="T2125" s="165"/>
    </row>
    <row r="2126">
      <c r="A2126" s="165"/>
      <c r="B2126" s="165"/>
      <c r="C2126" s="165"/>
      <c r="D2126" s="165"/>
      <c r="E2126" s="166"/>
      <c r="F2126" s="165"/>
      <c r="G2126" s="167"/>
      <c r="H2126" s="166"/>
      <c r="I2126" s="167"/>
      <c r="J2126" s="168"/>
      <c r="K2126" s="169"/>
      <c r="L2126" s="165"/>
      <c r="M2126" s="165"/>
      <c r="N2126" s="165"/>
      <c r="O2126" s="165"/>
      <c r="P2126" s="165"/>
      <c r="Q2126" s="165"/>
      <c r="R2126" s="165"/>
      <c r="S2126" s="165"/>
      <c r="T2126" s="165"/>
    </row>
    <row r="2127">
      <c r="A2127" s="165"/>
      <c r="B2127" s="165"/>
      <c r="C2127" s="165"/>
      <c r="D2127" s="165"/>
      <c r="E2127" s="166"/>
      <c r="F2127" s="165"/>
      <c r="G2127" s="167"/>
      <c r="H2127" s="166"/>
      <c r="I2127" s="167"/>
      <c r="J2127" s="168"/>
      <c r="K2127" s="169"/>
      <c r="L2127" s="165"/>
      <c r="M2127" s="165"/>
      <c r="N2127" s="165"/>
      <c r="O2127" s="165"/>
      <c r="P2127" s="165"/>
      <c r="Q2127" s="165"/>
      <c r="R2127" s="165"/>
      <c r="S2127" s="165"/>
      <c r="T2127" s="165"/>
    </row>
    <row r="2128">
      <c r="A2128" s="165"/>
      <c r="B2128" s="165"/>
      <c r="C2128" s="165"/>
      <c r="D2128" s="165"/>
      <c r="E2128" s="166"/>
      <c r="F2128" s="165"/>
      <c r="G2128" s="167"/>
      <c r="H2128" s="166"/>
      <c r="I2128" s="167"/>
      <c r="J2128" s="168"/>
      <c r="K2128" s="169"/>
      <c r="L2128" s="165"/>
      <c r="M2128" s="165"/>
      <c r="N2128" s="165"/>
      <c r="O2128" s="165"/>
      <c r="P2128" s="165"/>
      <c r="Q2128" s="165"/>
      <c r="R2128" s="165"/>
      <c r="S2128" s="165"/>
      <c r="T2128" s="165"/>
    </row>
    <row r="2129">
      <c r="A2129" s="165"/>
      <c r="B2129" s="165"/>
      <c r="C2129" s="165"/>
      <c r="D2129" s="165"/>
      <c r="E2129" s="166"/>
      <c r="F2129" s="165"/>
      <c r="G2129" s="167"/>
      <c r="H2129" s="166"/>
      <c r="I2129" s="167"/>
      <c r="J2129" s="168"/>
      <c r="K2129" s="169"/>
      <c r="L2129" s="165"/>
      <c r="M2129" s="165"/>
      <c r="N2129" s="165"/>
      <c r="O2129" s="165"/>
      <c r="P2129" s="165"/>
      <c r="Q2129" s="165"/>
      <c r="R2129" s="165"/>
      <c r="S2129" s="165"/>
      <c r="T2129" s="165"/>
    </row>
    <row r="2130">
      <c r="A2130" s="165"/>
      <c r="B2130" s="165"/>
      <c r="C2130" s="165"/>
      <c r="D2130" s="165"/>
      <c r="E2130" s="166"/>
      <c r="F2130" s="165"/>
      <c r="G2130" s="167"/>
      <c r="H2130" s="166"/>
      <c r="I2130" s="167"/>
      <c r="J2130" s="168"/>
      <c r="K2130" s="169"/>
      <c r="L2130" s="165"/>
      <c r="M2130" s="165"/>
      <c r="N2130" s="165"/>
      <c r="O2130" s="165"/>
      <c r="P2130" s="165"/>
      <c r="Q2130" s="165"/>
      <c r="R2130" s="165"/>
      <c r="S2130" s="165"/>
      <c r="T2130" s="165"/>
    </row>
    <row r="2131">
      <c r="A2131" s="165"/>
      <c r="B2131" s="165"/>
      <c r="C2131" s="165"/>
      <c r="D2131" s="165"/>
      <c r="E2131" s="166"/>
      <c r="F2131" s="165"/>
      <c r="G2131" s="167"/>
      <c r="H2131" s="166"/>
      <c r="I2131" s="167"/>
      <c r="J2131" s="168"/>
      <c r="K2131" s="169"/>
      <c r="L2131" s="165"/>
      <c r="M2131" s="165"/>
      <c r="N2131" s="165"/>
      <c r="O2131" s="165"/>
      <c r="P2131" s="165"/>
      <c r="Q2131" s="165"/>
      <c r="R2131" s="165"/>
      <c r="S2131" s="165"/>
      <c r="T2131" s="165"/>
    </row>
    <row r="2132">
      <c r="A2132" s="165"/>
      <c r="B2132" s="165"/>
      <c r="C2132" s="165"/>
      <c r="D2132" s="165"/>
      <c r="E2132" s="166"/>
      <c r="F2132" s="165"/>
      <c r="G2132" s="167"/>
      <c r="H2132" s="166"/>
      <c r="I2132" s="167"/>
      <c r="J2132" s="168"/>
      <c r="K2132" s="169"/>
      <c r="L2132" s="165"/>
      <c r="M2132" s="165"/>
      <c r="N2132" s="165"/>
      <c r="O2132" s="165"/>
      <c r="P2132" s="165"/>
      <c r="Q2132" s="165"/>
      <c r="R2132" s="165"/>
      <c r="S2132" s="165"/>
      <c r="T2132" s="165"/>
    </row>
    <row r="2133">
      <c r="A2133" s="165"/>
      <c r="B2133" s="165"/>
      <c r="C2133" s="165"/>
      <c r="D2133" s="165"/>
      <c r="E2133" s="166"/>
      <c r="F2133" s="165"/>
      <c r="G2133" s="167"/>
      <c r="H2133" s="166"/>
      <c r="I2133" s="167"/>
      <c r="J2133" s="168"/>
      <c r="K2133" s="169"/>
      <c r="L2133" s="165"/>
      <c r="M2133" s="165"/>
      <c r="N2133" s="165"/>
      <c r="O2133" s="165"/>
      <c r="P2133" s="165"/>
      <c r="Q2133" s="165"/>
      <c r="R2133" s="165"/>
      <c r="S2133" s="165"/>
      <c r="T2133" s="165"/>
    </row>
    <row r="2134">
      <c r="A2134" s="165"/>
      <c r="B2134" s="165"/>
      <c r="C2134" s="165"/>
      <c r="D2134" s="165"/>
      <c r="E2134" s="166"/>
      <c r="F2134" s="165"/>
      <c r="G2134" s="167"/>
      <c r="H2134" s="166"/>
      <c r="I2134" s="167"/>
      <c r="J2134" s="168"/>
      <c r="K2134" s="169"/>
      <c r="L2134" s="165"/>
      <c r="M2134" s="165"/>
      <c r="N2134" s="165"/>
      <c r="O2134" s="165"/>
      <c r="P2134" s="165"/>
      <c r="Q2134" s="165"/>
      <c r="R2134" s="165"/>
      <c r="S2134" s="165"/>
      <c r="T2134" s="165"/>
    </row>
    <row r="2135">
      <c r="A2135" s="165"/>
      <c r="B2135" s="165"/>
      <c r="C2135" s="165"/>
      <c r="D2135" s="165"/>
      <c r="E2135" s="166"/>
      <c r="F2135" s="165"/>
      <c r="G2135" s="167"/>
      <c r="H2135" s="166"/>
      <c r="I2135" s="167"/>
      <c r="J2135" s="168"/>
      <c r="K2135" s="169"/>
      <c r="L2135" s="165"/>
      <c r="M2135" s="165"/>
      <c r="N2135" s="165"/>
      <c r="O2135" s="165"/>
      <c r="P2135" s="165"/>
      <c r="Q2135" s="165"/>
      <c r="R2135" s="165"/>
      <c r="S2135" s="165"/>
      <c r="T2135" s="165"/>
    </row>
    <row r="2136">
      <c r="A2136" s="165"/>
      <c r="B2136" s="165"/>
      <c r="C2136" s="165"/>
      <c r="D2136" s="165"/>
      <c r="E2136" s="166"/>
      <c r="F2136" s="165"/>
      <c r="G2136" s="167"/>
      <c r="H2136" s="166"/>
      <c r="I2136" s="167"/>
      <c r="J2136" s="168"/>
      <c r="K2136" s="169"/>
      <c r="L2136" s="165"/>
      <c r="M2136" s="165"/>
      <c r="N2136" s="165"/>
      <c r="O2136" s="165"/>
      <c r="P2136" s="165"/>
      <c r="Q2136" s="165"/>
      <c r="R2136" s="165"/>
      <c r="S2136" s="165"/>
      <c r="T2136" s="165"/>
    </row>
    <row r="2137">
      <c r="A2137" s="165"/>
      <c r="B2137" s="165"/>
      <c r="C2137" s="165"/>
      <c r="D2137" s="165"/>
      <c r="E2137" s="166"/>
      <c r="F2137" s="165"/>
      <c r="G2137" s="167"/>
      <c r="H2137" s="166"/>
      <c r="I2137" s="167"/>
      <c r="J2137" s="168"/>
      <c r="K2137" s="169"/>
      <c r="L2137" s="165"/>
      <c r="M2137" s="165"/>
      <c r="N2137" s="165"/>
      <c r="O2137" s="165"/>
      <c r="P2137" s="165"/>
      <c r="Q2137" s="165"/>
      <c r="R2137" s="165"/>
      <c r="S2137" s="165"/>
      <c r="T2137" s="165"/>
    </row>
    <row r="2138">
      <c r="A2138" s="165"/>
      <c r="B2138" s="165"/>
      <c r="C2138" s="165"/>
      <c r="D2138" s="165"/>
      <c r="E2138" s="166"/>
      <c r="F2138" s="165"/>
      <c r="G2138" s="167"/>
      <c r="H2138" s="166"/>
      <c r="I2138" s="167"/>
      <c r="J2138" s="168"/>
      <c r="K2138" s="169"/>
      <c r="L2138" s="165"/>
      <c r="M2138" s="165"/>
      <c r="N2138" s="165"/>
      <c r="O2138" s="165"/>
      <c r="P2138" s="165"/>
      <c r="Q2138" s="165"/>
      <c r="R2138" s="165"/>
      <c r="S2138" s="165"/>
      <c r="T2138" s="165"/>
    </row>
    <row r="2139">
      <c r="A2139" s="165"/>
      <c r="B2139" s="165"/>
      <c r="C2139" s="165"/>
      <c r="D2139" s="165"/>
      <c r="E2139" s="166"/>
      <c r="F2139" s="165"/>
      <c r="G2139" s="167"/>
      <c r="H2139" s="166"/>
      <c r="I2139" s="167"/>
      <c r="J2139" s="168"/>
      <c r="K2139" s="169"/>
      <c r="L2139" s="165"/>
      <c r="M2139" s="165"/>
      <c r="N2139" s="165"/>
      <c r="O2139" s="165"/>
      <c r="P2139" s="165"/>
      <c r="Q2139" s="165"/>
      <c r="R2139" s="165"/>
      <c r="S2139" s="165"/>
      <c r="T2139" s="165"/>
    </row>
    <row r="2140">
      <c r="A2140" s="165"/>
      <c r="B2140" s="165"/>
      <c r="C2140" s="165"/>
      <c r="D2140" s="165"/>
      <c r="E2140" s="166"/>
      <c r="F2140" s="165"/>
      <c r="G2140" s="167"/>
      <c r="H2140" s="166"/>
      <c r="I2140" s="167"/>
      <c r="J2140" s="168"/>
      <c r="K2140" s="169"/>
      <c r="L2140" s="165"/>
      <c r="M2140" s="165"/>
      <c r="N2140" s="165"/>
      <c r="O2140" s="165"/>
      <c r="P2140" s="165"/>
      <c r="Q2140" s="165"/>
      <c r="R2140" s="165"/>
      <c r="S2140" s="165"/>
      <c r="T2140" s="165"/>
    </row>
    <row r="2141">
      <c r="A2141" s="165"/>
      <c r="B2141" s="165"/>
      <c r="C2141" s="165"/>
      <c r="D2141" s="165"/>
      <c r="E2141" s="166"/>
      <c r="F2141" s="165"/>
      <c r="G2141" s="167"/>
      <c r="H2141" s="166"/>
      <c r="I2141" s="167"/>
      <c r="J2141" s="168"/>
      <c r="K2141" s="169"/>
      <c r="L2141" s="165"/>
      <c r="M2141" s="165"/>
      <c r="N2141" s="165"/>
      <c r="O2141" s="165"/>
      <c r="P2141" s="165"/>
      <c r="Q2141" s="165"/>
      <c r="R2141" s="165"/>
      <c r="S2141" s="165"/>
      <c r="T2141" s="165"/>
    </row>
    <row r="2142">
      <c r="A2142" s="165"/>
      <c r="B2142" s="165"/>
      <c r="C2142" s="165"/>
      <c r="D2142" s="165"/>
      <c r="E2142" s="166"/>
      <c r="F2142" s="165"/>
      <c r="G2142" s="167"/>
      <c r="H2142" s="166"/>
      <c r="I2142" s="167"/>
      <c r="J2142" s="168"/>
      <c r="K2142" s="169"/>
      <c r="L2142" s="165"/>
      <c r="M2142" s="165"/>
      <c r="N2142" s="165"/>
      <c r="O2142" s="165"/>
      <c r="P2142" s="165"/>
      <c r="Q2142" s="165"/>
      <c r="R2142" s="165"/>
      <c r="S2142" s="165"/>
      <c r="T2142" s="165"/>
    </row>
    <row r="2143">
      <c r="A2143" s="165"/>
      <c r="B2143" s="165"/>
      <c r="C2143" s="165"/>
      <c r="D2143" s="165"/>
      <c r="E2143" s="166"/>
      <c r="F2143" s="165"/>
      <c r="G2143" s="167"/>
      <c r="H2143" s="166"/>
      <c r="I2143" s="167"/>
      <c r="J2143" s="168"/>
      <c r="K2143" s="169"/>
      <c r="L2143" s="165"/>
      <c r="M2143" s="165"/>
      <c r="N2143" s="165"/>
      <c r="O2143" s="165"/>
      <c r="P2143" s="165"/>
      <c r="Q2143" s="165"/>
      <c r="R2143" s="165"/>
      <c r="S2143" s="165"/>
      <c r="T2143" s="165"/>
    </row>
    <row r="2144">
      <c r="A2144" s="165"/>
      <c r="B2144" s="165"/>
      <c r="C2144" s="165"/>
      <c r="D2144" s="165"/>
      <c r="E2144" s="166"/>
      <c r="F2144" s="165"/>
      <c r="G2144" s="167"/>
      <c r="H2144" s="166"/>
      <c r="I2144" s="167"/>
      <c r="J2144" s="168"/>
      <c r="K2144" s="169"/>
      <c r="L2144" s="165"/>
      <c r="M2144" s="165"/>
      <c r="N2144" s="165"/>
      <c r="O2144" s="165"/>
      <c r="P2144" s="165"/>
      <c r="Q2144" s="165"/>
      <c r="R2144" s="165"/>
      <c r="S2144" s="165"/>
      <c r="T2144" s="165"/>
    </row>
    <row r="2145">
      <c r="A2145" s="165"/>
      <c r="B2145" s="165"/>
      <c r="C2145" s="165"/>
      <c r="D2145" s="165"/>
      <c r="E2145" s="166"/>
      <c r="F2145" s="165"/>
      <c r="G2145" s="167"/>
      <c r="H2145" s="166"/>
      <c r="I2145" s="167"/>
      <c r="J2145" s="168"/>
      <c r="K2145" s="169"/>
      <c r="L2145" s="165"/>
      <c r="M2145" s="165"/>
      <c r="N2145" s="165"/>
      <c r="O2145" s="165"/>
      <c r="P2145" s="165"/>
      <c r="Q2145" s="165"/>
      <c r="R2145" s="165"/>
      <c r="S2145" s="165"/>
      <c r="T2145" s="165"/>
    </row>
    <row r="2146">
      <c r="A2146" s="165"/>
      <c r="B2146" s="165"/>
      <c r="C2146" s="165"/>
      <c r="D2146" s="165"/>
      <c r="E2146" s="166"/>
      <c r="F2146" s="165"/>
      <c r="G2146" s="167"/>
      <c r="H2146" s="166"/>
      <c r="I2146" s="167"/>
      <c r="J2146" s="168"/>
      <c r="K2146" s="169"/>
      <c r="L2146" s="165"/>
      <c r="M2146" s="165"/>
      <c r="N2146" s="165"/>
      <c r="O2146" s="165"/>
      <c r="P2146" s="165"/>
      <c r="Q2146" s="165"/>
      <c r="R2146" s="165"/>
      <c r="S2146" s="165"/>
      <c r="T2146" s="165"/>
    </row>
    <row r="2147">
      <c r="A2147" s="165"/>
      <c r="B2147" s="165"/>
      <c r="C2147" s="165"/>
      <c r="D2147" s="165"/>
      <c r="E2147" s="166"/>
      <c r="F2147" s="165"/>
      <c r="G2147" s="167"/>
      <c r="H2147" s="166"/>
      <c r="I2147" s="167"/>
      <c r="J2147" s="168"/>
      <c r="K2147" s="169"/>
      <c r="L2147" s="165"/>
      <c r="M2147" s="165"/>
      <c r="N2147" s="165"/>
      <c r="O2147" s="165"/>
      <c r="P2147" s="165"/>
      <c r="Q2147" s="165"/>
      <c r="R2147" s="165"/>
      <c r="S2147" s="165"/>
      <c r="T2147" s="165"/>
    </row>
    <row r="2148">
      <c r="A2148" s="165"/>
      <c r="B2148" s="165"/>
      <c r="C2148" s="165"/>
      <c r="D2148" s="165"/>
      <c r="E2148" s="166"/>
      <c r="F2148" s="165"/>
      <c r="G2148" s="167"/>
      <c r="H2148" s="166"/>
      <c r="I2148" s="167"/>
      <c r="J2148" s="168"/>
      <c r="K2148" s="169"/>
      <c r="L2148" s="165"/>
      <c r="M2148" s="165"/>
      <c r="N2148" s="165"/>
      <c r="O2148" s="165"/>
      <c r="P2148" s="165"/>
      <c r="Q2148" s="165"/>
      <c r="R2148" s="165"/>
      <c r="S2148" s="165"/>
      <c r="T2148" s="165"/>
    </row>
    <row r="2149">
      <c r="A2149" s="165"/>
      <c r="B2149" s="165"/>
      <c r="C2149" s="165"/>
      <c r="D2149" s="165"/>
      <c r="E2149" s="166"/>
      <c r="F2149" s="165"/>
      <c r="G2149" s="167"/>
      <c r="H2149" s="166"/>
      <c r="I2149" s="167"/>
      <c r="J2149" s="168"/>
      <c r="K2149" s="169"/>
      <c r="L2149" s="165"/>
      <c r="M2149" s="165"/>
      <c r="N2149" s="165"/>
      <c r="O2149" s="165"/>
      <c r="P2149" s="165"/>
      <c r="Q2149" s="165"/>
      <c r="R2149" s="165"/>
      <c r="S2149" s="165"/>
      <c r="T2149" s="165"/>
    </row>
    <row r="2150">
      <c r="A2150" s="165"/>
      <c r="B2150" s="165"/>
      <c r="C2150" s="165"/>
      <c r="D2150" s="165"/>
      <c r="E2150" s="166"/>
      <c r="F2150" s="165"/>
      <c r="G2150" s="167"/>
      <c r="H2150" s="166"/>
      <c r="I2150" s="167"/>
      <c r="J2150" s="168"/>
      <c r="K2150" s="169"/>
      <c r="L2150" s="165"/>
      <c r="M2150" s="165"/>
      <c r="N2150" s="165"/>
      <c r="O2150" s="165"/>
      <c r="P2150" s="165"/>
      <c r="Q2150" s="165"/>
      <c r="R2150" s="165"/>
      <c r="S2150" s="165"/>
      <c r="T2150" s="165"/>
    </row>
    <row r="2151">
      <c r="A2151" s="165"/>
      <c r="B2151" s="165"/>
      <c r="C2151" s="165"/>
      <c r="D2151" s="165"/>
      <c r="E2151" s="166"/>
      <c r="F2151" s="165"/>
      <c r="G2151" s="167"/>
      <c r="H2151" s="166"/>
      <c r="I2151" s="167"/>
      <c r="J2151" s="168"/>
      <c r="K2151" s="169"/>
      <c r="L2151" s="165"/>
      <c r="M2151" s="165"/>
      <c r="N2151" s="165"/>
      <c r="O2151" s="165"/>
      <c r="P2151" s="165"/>
      <c r="Q2151" s="165"/>
      <c r="R2151" s="165"/>
      <c r="S2151" s="165"/>
      <c r="T2151" s="165"/>
    </row>
    <row r="2152">
      <c r="A2152" s="165"/>
      <c r="B2152" s="165"/>
      <c r="C2152" s="165"/>
      <c r="D2152" s="165"/>
      <c r="E2152" s="166"/>
      <c r="F2152" s="165"/>
      <c r="G2152" s="167"/>
      <c r="H2152" s="166"/>
      <c r="I2152" s="167"/>
      <c r="J2152" s="168"/>
      <c r="K2152" s="169"/>
      <c r="L2152" s="165"/>
      <c r="M2152" s="165"/>
      <c r="N2152" s="165"/>
      <c r="O2152" s="165"/>
      <c r="P2152" s="165"/>
      <c r="Q2152" s="165"/>
      <c r="R2152" s="165"/>
      <c r="S2152" s="165"/>
      <c r="T2152" s="165"/>
    </row>
    <row r="2153">
      <c r="A2153" s="165"/>
      <c r="B2153" s="165"/>
      <c r="C2153" s="165"/>
      <c r="D2153" s="165"/>
      <c r="E2153" s="166"/>
      <c r="F2153" s="165"/>
      <c r="G2153" s="167"/>
      <c r="H2153" s="166"/>
      <c r="I2153" s="167"/>
      <c r="J2153" s="168"/>
      <c r="K2153" s="169"/>
      <c r="L2153" s="165"/>
      <c r="M2153" s="165"/>
      <c r="N2153" s="165"/>
      <c r="O2153" s="165"/>
      <c r="P2153" s="165"/>
      <c r="Q2153" s="165"/>
      <c r="R2153" s="165"/>
      <c r="S2153" s="165"/>
      <c r="T2153" s="165"/>
    </row>
    <row r="2154">
      <c r="A2154" s="165"/>
      <c r="B2154" s="165"/>
      <c r="C2154" s="165"/>
      <c r="D2154" s="165"/>
      <c r="E2154" s="166"/>
      <c r="F2154" s="165"/>
      <c r="G2154" s="167"/>
      <c r="H2154" s="166"/>
      <c r="I2154" s="167"/>
      <c r="J2154" s="168"/>
      <c r="K2154" s="169"/>
      <c r="L2154" s="165"/>
      <c r="M2154" s="165"/>
      <c r="N2154" s="165"/>
      <c r="O2154" s="165"/>
      <c r="P2154" s="165"/>
      <c r="Q2154" s="165"/>
      <c r="R2154" s="165"/>
      <c r="S2154" s="165"/>
      <c r="T2154" s="165"/>
    </row>
    <row r="2155">
      <c r="A2155" s="165"/>
      <c r="B2155" s="165"/>
      <c r="C2155" s="165"/>
      <c r="D2155" s="165"/>
      <c r="E2155" s="166"/>
      <c r="F2155" s="165"/>
      <c r="G2155" s="167"/>
      <c r="H2155" s="166"/>
      <c r="I2155" s="167"/>
      <c r="J2155" s="168"/>
      <c r="K2155" s="169"/>
      <c r="L2155" s="165"/>
      <c r="M2155" s="165"/>
      <c r="N2155" s="165"/>
      <c r="O2155" s="165"/>
      <c r="P2155" s="165"/>
      <c r="Q2155" s="165"/>
      <c r="R2155" s="165"/>
      <c r="S2155" s="165"/>
      <c r="T2155" s="165"/>
    </row>
    <row r="2156">
      <c r="A2156" s="165"/>
      <c r="B2156" s="165"/>
      <c r="C2156" s="165"/>
      <c r="D2156" s="165"/>
      <c r="E2156" s="166"/>
      <c r="F2156" s="165"/>
      <c r="G2156" s="167"/>
      <c r="H2156" s="166"/>
      <c r="I2156" s="167"/>
      <c r="J2156" s="168"/>
      <c r="K2156" s="169"/>
      <c r="L2156" s="165"/>
      <c r="M2156" s="165"/>
      <c r="N2156" s="165"/>
      <c r="O2156" s="165"/>
      <c r="P2156" s="165"/>
      <c r="Q2156" s="165"/>
      <c r="R2156" s="165"/>
      <c r="S2156" s="165"/>
      <c r="T2156" s="165"/>
    </row>
    <row r="2157">
      <c r="A2157" s="165"/>
      <c r="B2157" s="165"/>
      <c r="C2157" s="165"/>
      <c r="D2157" s="165"/>
      <c r="E2157" s="166"/>
      <c r="F2157" s="165"/>
      <c r="G2157" s="167"/>
      <c r="H2157" s="166"/>
      <c r="I2157" s="167"/>
      <c r="J2157" s="168"/>
      <c r="K2157" s="169"/>
      <c r="L2157" s="165"/>
      <c r="M2157" s="165"/>
      <c r="N2157" s="165"/>
      <c r="O2157" s="165"/>
      <c r="P2157" s="165"/>
      <c r="Q2157" s="165"/>
      <c r="R2157" s="165"/>
      <c r="S2157" s="165"/>
      <c r="T2157" s="165"/>
    </row>
    <row r="2158">
      <c r="A2158" s="165"/>
      <c r="B2158" s="165"/>
      <c r="C2158" s="165"/>
      <c r="D2158" s="165"/>
      <c r="E2158" s="166"/>
      <c r="F2158" s="165"/>
      <c r="G2158" s="167"/>
      <c r="H2158" s="166"/>
      <c r="I2158" s="167"/>
      <c r="J2158" s="168"/>
      <c r="K2158" s="169"/>
      <c r="L2158" s="165"/>
      <c r="M2158" s="165"/>
      <c r="N2158" s="165"/>
      <c r="O2158" s="165"/>
      <c r="P2158" s="165"/>
      <c r="Q2158" s="165"/>
      <c r="R2158" s="165"/>
      <c r="S2158" s="165"/>
      <c r="T2158" s="165"/>
    </row>
    <row r="2159">
      <c r="A2159" s="165"/>
      <c r="B2159" s="165"/>
      <c r="C2159" s="165"/>
      <c r="D2159" s="165"/>
      <c r="E2159" s="166"/>
      <c r="F2159" s="165"/>
      <c r="G2159" s="167"/>
      <c r="H2159" s="166"/>
      <c r="I2159" s="167"/>
      <c r="J2159" s="168"/>
      <c r="K2159" s="169"/>
      <c r="L2159" s="165"/>
      <c r="M2159" s="165"/>
      <c r="N2159" s="165"/>
      <c r="O2159" s="165"/>
      <c r="P2159" s="165"/>
      <c r="Q2159" s="165"/>
      <c r="R2159" s="165"/>
      <c r="S2159" s="165"/>
      <c r="T2159" s="165"/>
    </row>
    <row r="2160">
      <c r="A2160" s="165"/>
      <c r="B2160" s="165"/>
      <c r="C2160" s="165"/>
      <c r="D2160" s="165"/>
      <c r="E2160" s="166"/>
      <c r="F2160" s="165"/>
      <c r="G2160" s="167"/>
      <c r="H2160" s="166"/>
      <c r="I2160" s="167"/>
      <c r="J2160" s="168"/>
      <c r="K2160" s="169"/>
      <c r="L2160" s="165"/>
      <c r="M2160" s="165"/>
      <c r="N2160" s="165"/>
      <c r="O2160" s="165"/>
      <c r="P2160" s="165"/>
      <c r="Q2160" s="165"/>
      <c r="R2160" s="165"/>
      <c r="S2160" s="165"/>
      <c r="T2160" s="165"/>
    </row>
    <row r="2161">
      <c r="A2161" s="165"/>
      <c r="B2161" s="165"/>
      <c r="C2161" s="165"/>
      <c r="D2161" s="165"/>
      <c r="E2161" s="166"/>
      <c r="F2161" s="165"/>
      <c r="G2161" s="167"/>
      <c r="H2161" s="166"/>
      <c r="I2161" s="167"/>
      <c r="J2161" s="168"/>
      <c r="K2161" s="169"/>
      <c r="L2161" s="165"/>
      <c r="M2161" s="165"/>
      <c r="N2161" s="165"/>
      <c r="O2161" s="165"/>
      <c r="P2161" s="165"/>
      <c r="Q2161" s="165"/>
      <c r="R2161" s="165"/>
      <c r="S2161" s="165"/>
      <c r="T2161" s="165"/>
    </row>
    <row r="2162">
      <c r="A2162" s="165"/>
      <c r="B2162" s="165"/>
      <c r="C2162" s="165"/>
      <c r="D2162" s="165"/>
      <c r="E2162" s="166"/>
      <c r="F2162" s="165"/>
      <c r="G2162" s="167"/>
      <c r="H2162" s="166"/>
      <c r="I2162" s="167"/>
      <c r="J2162" s="168"/>
      <c r="K2162" s="169"/>
      <c r="L2162" s="165"/>
      <c r="M2162" s="165"/>
      <c r="N2162" s="165"/>
      <c r="O2162" s="165"/>
      <c r="P2162" s="165"/>
      <c r="Q2162" s="165"/>
      <c r="R2162" s="165"/>
      <c r="S2162" s="165"/>
      <c r="T2162" s="165"/>
    </row>
    <row r="2163">
      <c r="A2163" s="165"/>
      <c r="B2163" s="165"/>
      <c r="C2163" s="165"/>
      <c r="D2163" s="165"/>
      <c r="E2163" s="166"/>
      <c r="F2163" s="165"/>
      <c r="G2163" s="167"/>
      <c r="H2163" s="166"/>
      <c r="I2163" s="167"/>
      <c r="J2163" s="168"/>
      <c r="K2163" s="169"/>
      <c r="L2163" s="165"/>
      <c r="M2163" s="165"/>
      <c r="N2163" s="165"/>
      <c r="O2163" s="165"/>
      <c r="P2163" s="165"/>
      <c r="Q2163" s="165"/>
      <c r="R2163" s="165"/>
      <c r="S2163" s="165"/>
      <c r="T2163" s="165"/>
    </row>
    <row r="2164">
      <c r="A2164" s="165"/>
      <c r="B2164" s="165"/>
      <c r="C2164" s="165"/>
      <c r="D2164" s="165"/>
      <c r="E2164" s="166"/>
      <c r="F2164" s="165"/>
      <c r="G2164" s="167"/>
      <c r="H2164" s="166"/>
      <c r="I2164" s="167"/>
      <c r="J2164" s="168"/>
      <c r="K2164" s="169"/>
      <c r="L2164" s="165"/>
      <c r="M2164" s="165"/>
      <c r="N2164" s="165"/>
      <c r="O2164" s="165"/>
      <c r="P2164" s="165"/>
      <c r="Q2164" s="165"/>
      <c r="R2164" s="165"/>
      <c r="S2164" s="165"/>
      <c r="T2164" s="165"/>
    </row>
    <row r="2165">
      <c r="A2165" s="165"/>
      <c r="B2165" s="165"/>
      <c r="C2165" s="165"/>
      <c r="D2165" s="165"/>
      <c r="E2165" s="166"/>
      <c r="F2165" s="165"/>
      <c r="G2165" s="167"/>
      <c r="H2165" s="166"/>
      <c r="I2165" s="167"/>
      <c r="J2165" s="168"/>
      <c r="K2165" s="169"/>
      <c r="L2165" s="165"/>
      <c r="M2165" s="165"/>
      <c r="N2165" s="165"/>
      <c r="O2165" s="165"/>
      <c r="P2165" s="165"/>
      <c r="Q2165" s="165"/>
      <c r="R2165" s="165"/>
      <c r="S2165" s="165"/>
      <c r="T2165" s="165"/>
    </row>
  </sheetData>
  <conditionalFormatting sqref="E3:E1664 I3:I1664 S3:S1665">
    <cfRule type="expression" dxfId="0" priority="1">
      <formula>AND($E3&lt;&gt;"",(($E3-$H3)/365*12)&lt;1)</formula>
    </cfRule>
  </conditionalFormatting>
  <conditionalFormatting sqref="J3:J1664">
    <cfRule type="cellIs" dxfId="2" priority="2" operator="between">
      <formula>75</formula>
      <formula>90</formula>
    </cfRule>
  </conditionalFormatting>
  <conditionalFormatting sqref="J3:J1664">
    <cfRule type="cellIs" dxfId="1" priority="3" operator="between">
      <formula>50</formula>
      <formula>75</formula>
    </cfRule>
  </conditionalFormatting>
  <conditionalFormatting sqref="J3:J1664">
    <cfRule type="cellIs" dxfId="4" priority="4" operator="between">
      <formula>1</formula>
      <formula>50</formula>
    </cfRule>
  </conditionalFormatting>
  <conditionalFormatting sqref="I3:I1664">
    <cfRule type="colorScale" priority="5">
      <colorScale>
        <cfvo type="min"/>
        <cfvo type="percentile" val="50"/>
        <cfvo type="max"/>
        <color rgb="FFB6D7A8"/>
        <color rgb="FFFFE599"/>
        <color rgb="FFEA9999"/>
      </colorScale>
    </cfRule>
  </conditionalFormatting>
  <conditionalFormatting sqref="J3:J1664">
    <cfRule type="cellIs" dxfId="9" priority="6" operator="between">
      <formula>90</formula>
      <formula>100</formula>
    </cfRule>
  </conditionalFormatting>
  <conditionalFormatting sqref="G3:G1664 T3:T1665">
    <cfRule type="expression" dxfId="10" priority="7">
      <formula>MATCH(A3,INDIRECT("'Xbox Game Studios'!A:A"),0)</formula>
    </cfRule>
  </conditionalFormatting>
  <conditionalFormatting sqref="G3:G1664 T3:T1665">
    <cfRule type="expression" dxfId="10" priority="8">
      <formula>MATCH(A3,INDIRECT("'EA Play'!A:A"),0)</formula>
    </cfRule>
  </conditionalFormatting>
  <conditionalFormatting sqref="G3:G1664 T3:T1665">
    <cfRule type="expression" dxfId="5" priority="9">
      <formula>AND(D3="Active",OR(AND(G3&gt;10.5,G3&lt;13),AND(G3&gt;22.5,G3&lt;25),AND(G3&gt;34.5,G3&lt;37),AND(G3&gt;46.5,G3&lt;49),AND(G3&gt;58.5,G3&lt;61)),)</formula>
    </cfRule>
  </conditionalFormatting>
  <conditionalFormatting sqref="B1">
    <cfRule type="cellIs" dxfId="0" priority="10" operator="equal">
      <formula>"Xbox"</formula>
    </cfRule>
  </conditionalFormatting>
  <conditionalFormatting sqref="J2:K1664 L2 O2">
    <cfRule type="containsBlanks" dxfId="11" priority="11">
      <formula>LEN(TRIM(J2))=0</formula>
    </cfRule>
  </conditionalFormatting>
  <conditionalFormatting sqref="O2">
    <cfRule type="containsText" dxfId="11" priority="12" operator="containsText" text="RP">
      <formula>NOT(ISERROR(SEARCH(("RP"),(O2))))</formula>
    </cfRule>
  </conditionalFormatting>
  <conditionalFormatting sqref="O2">
    <cfRule type="containsText" dxfId="12" priority="13" operator="containsText" text="NR">
      <formula>NOT(ISERROR(SEARCH(("NR"),(O2))))</formula>
    </cfRule>
  </conditionalFormatting>
  <conditionalFormatting sqref="A1:A2 D1:D1664 R3:R1665">
    <cfRule type="expression" dxfId="3" priority="14">
      <formula>$D1="Coming Soon"</formula>
    </cfRule>
  </conditionalFormatting>
  <conditionalFormatting sqref="A1:A2 D1:D1664 R3:R1665">
    <cfRule type="expression" dxfId="4" priority="15">
      <formula>$D1="Removed"</formula>
    </cfRule>
  </conditionalFormatting>
  <conditionalFormatting sqref="A1:A2 D1:D1664 R3:R1665">
    <cfRule type="expression" dxfId="5" priority="16">
      <formula>$D1="Leaving Soon"</formula>
    </cfRule>
  </conditionalFormatting>
  <conditionalFormatting sqref="J1:J2165">
    <cfRule type="cellIs" dxfId="2" priority="17" operator="between">
      <formula>75</formula>
      <formula>100</formula>
    </cfRule>
  </conditionalFormatting>
  <conditionalFormatting sqref="J1:J2165">
    <cfRule type="cellIs" dxfId="1" priority="18" operator="between">
      <formula>50</formula>
      <formula>74</formula>
    </cfRule>
  </conditionalFormatting>
  <conditionalFormatting sqref="J1:J2165">
    <cfRule type="cellIs" dxfId="4" priority="19" operator="between">
      <formula>1</formula>
      <formula>49</formula>
    </cfRule>
  </conditionalFormatting>
  <conditionalFormatting sqref="A1:A2 C1:C2">
    <cfRule type="expression" dxfId="4" priority="20">
      <formula>$C1="Removed"</formula>
    </cfRule>
  </conditionalFormatting>
  <conditionalFormatting sqref="A1:A2">
    <cfRule type="expression" dxfId="1" priority="21">
      <formula>MATCH(A1,INDIRECT("'Xbox Game Studios'!A:A"),0)</formula>
    </cfRule>
  </conditionalFormatting>
  <conditionalFormatting sqref="A1:A2 C1:C2">
    <cfRule type="expression" dxfId="5" priority="22">
      <formula>$C1="Leaving Soon"</formula>
    </cfRule>
  </conditionalFormatting>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0"/>
    <col customWidth="1" min="2" max="2" width="8.5"/>
    <col customWidth="1" min="3" max="3" width="12.13"/>
    <col customWidth="1" min="4" max="4" width="6.13"/>
    <col customWidth="1" min="5" max="5" width="8.38"/>
    <col customWidth="1" min="6" max="6" width="8.5"/>
    <col customWidth="1" min="7" max="7" width="6.88"/>
    <col customWidth="1" min="8" max="8" width="13.88"/>
    <col customWidth="1" min="9" max="9" width="4.25"/>
    <col customWidth="1" min="10" max="10" width="8.75"/>
    <col customWidth="1" min="11" max="11" width="10.13"/>
    <col customWidth="1" min="12" max="12" width="33.75"/>
    <col customWidth="1" min="13" max="13" width="13.75"/>
    <col customWidth="1" min="14" max="14" width="64.5"/>
    <col customWidth="1" min="15" max="15" width="5.63"/>
    <col customWidth="1" min="16" max="16" width="81.75"/>
    <col customWidth="1" min="17" max="19" width="74.5"/>
  </cols>
  <sheetData>
    <row r="1">
      <c r="A1" s="1" t="s">
        <v>0</v>
      </c>
      <c r="B1" s="2">
        <f>COUNTIF(D2:D506,"Active")+COUNTIF(D2:D506,"Leaving Soon")</f>
        <v>50</v>
      </c>
      <c r="C1" s="214" t="s">
        <v>2959</v>
      </c>
      <c r="D1" s="1"/>
      <c r="E1" s="1"/>
      <c r="F1" s="2"/>
      <c r="G1" s="1"/>
      <c r="H1" s="3"/>
      <c r="I1" s="1"/>
      <c r="J1" s="1"/>
      <c r="K1" s="1"/>
      <c r="L1" s="1"/>
      <c r="M1" s="4"/>
      <c r="N1" s="5"/>
      <c r="O1" s="4"/>
      <c r="P1" s="5"/>
      <c r="Q1" s="4" t="s">
        <v>2846</v>
      </c>
      <c r="R1" s="1"/>
      <c r="S1" s="1"/>
    </row>
    <row r="2">
      <c r="A2" s="151" t="s">
        <v>8</v>
      </c>
      <c r="B2" s="152" t="s">
        <v>9</v>
      </c>
      <c r="C2" s="153" t="s">
        <v>10</v>
      </c>
      <c r="D2" s="152" t="s">
        <v>11</v>
      </c>
      <c r="E2" s="152" t="s">
        <v>12</v>
      </c>
      <c r="F2" s="153" t="s">
        <v>13</v>
      </c>
      <c r="G2" s="154" t="s">
        <v>14</v>
      </c>
      <c r="H2" s="155" t="s">
        <v>15</v>
      </c>
      <c r="I2" s="155" t="s">
        <v>16</v>
      </c>
      <c r="J2" s="155" t="s">
        <v>17</v>
      </c>
      <c r="K2" s="155" t="s">
        <v>18</v>
      </c>
      <c r="L2" s="155" t="s">
        <v>2847</v>
      </c>
      <c r="M2" s="155" t="s">
        <v>2848</v>
      </c>
      <c r="N2" s="153" t="s">
        <v>21</v>
      </c>
      <c r="O2" s="156" t="s">
        <v>22</v>
      </c>
      <c r="P2" s="156" t="s">
        <v>23</v>
      </c>
      <c r="Q2" s="156" t="s">
        <v>6</v>
      </c>
      <c r="R2" s="157"/>
      <c r="S2" s="157"/>
    </row>
    <row r="3">
      <c r="A3" s="158" t="str">
        <f>IFERROR(__xludf.DUMMYFUNCTION("SORT(FILTER('Master List'!A:Q, SEARCH(""Game Pass Essential"",'Master List'!N:N)),7,1)"),"Hades")</f>
        <v>Hades</v>
      </c>
      <c r="B3" s="158" t="str">
        <f>IFERROR(__xludf.DUMMYFUNCTION("""COMPUTED_VALUE"""),"Xbox / PC")</f>
        <v>Xbox / PC</v>
      </c>
      <c r="C3" s="158" t="str">
        <f>IFERROR(__xludf.DUMMYFUNCTION("""COMPUTED_VALUE"""),"Touch Controls")</f>
        <v>Touch Controls</v>
      </c>
      <c r="D3" s="159" t="str">
        <f>IFERROR(__xludf.DUMMYFUNCTION("""COMPUTED_VALUE"""),"Active")</f>
        <v>Active</v>
      </c>
      <c r="E3" s="160">
        <f>IFERROR(__xludf.DUMMYFUNCTION("""COMPUTED_VALUE"""),45919.0)</f>
        <v>45919</v>
      </c>
      <c r="F3" s="161"/>
      <c r="G3" s="162">
        <f>IFERROR(__xludf.DUMMYFUNCTION("""COMPUTED_VALUE"""),0.8666666666666666)</f>
        <v>0.8666666667</v>
      </c>
      <c r="H3" s="163">
        <f>IFERROR(__xludf.DUMMYFUNCTION("""COMPUTED_VALUE"""),43441.0)</f>
        <v>43441</v>
      </c>
      <c r="I3" s="162">
        <f>IFERROR(__xludf.DUMMYFUNCTION("""COMPUTED_VALUE"""),6.783333333333333)</f>
        <v>6.783333333</v>
      </c>
      <c r="J3" s="164">
        <f>IFERROR(__xludf.DUMMYFUNCTION("""COMPUTED_VALUE"""),93.5)</f>
        <v>93.5</v>
      </c>
      <c r="K3" s="164">
        <f>IFERROR(__xludf.DUMMYFUNCTION("""COMPUTED_VALUE"""),21.0)</f>
        <v>21</v>
      </c>
      <c r="L3" s="158" t="str">
        <f>IFERROR(__xludf.DUMMYFUNCTION("""COMPUTED_VALUE"""),"Action / RPG")</f>
        <v>Action / RPG</v>
      </c>
      <c r="M3" s="158" t="str">
        <f>IFERROR(__xludf.DUMMYFUNCTION("""COMPUTED_VALUE"""),"Optimized")</f>
        <v>Optimized</v>
      </c>
      <c r="N3" s="158" t="str">
        <f>IFERROR(__xludf.DUMMYFUNCTION("""COMPUTED_VALUE"""),"Game Pass Essential (10/1/25). Returning title: Joined 8/13/21, left 8/31/22")</f>
        <v>Game Pass Essential (10/1/25). Returning title: Joined 8/13/21, left 8/31/22</v>
      </c>
      <c r="O3" s="158" t="str">
        <f>IFERROR(__xludf.DUMMYFUNCTION("""COMPUTED_VALUE"""),"T")</f>
        <v>T</v>
      </c>
      <c r="P3" s="158" t="str">
        <f>IFERROR(__xludf.DUMMYFUNCTION("""COMPUTED_VALUE"""),"Blood, Suggestive Themes, Alcohol Reference, Mild Language, Violence")</f>
        <v>Blood, Suggestive Themes, Alcohol Reference, Mild Language, Violence</v>
      </c>
      <c r="Q3" s="158"/>
      <c r="R3" s="165"/>
      <c r="S3" s="165"/>
    </row>
    <row r="4">
      <c r="A4" s="175" t="str">
        <f>IFERROR(__xludf.DUMMYFUNCTION("""COMPUTED_VALUE"""),"Crash Team Racing: Nitro-Fueled")</f>
        <v>Crash Team Racing: Nitro-Fueled</v>
      </c>
      <c r="B4" s="158" t="str">
        <f>IFERROR(__xludf.DUMMYFUNCTION("""COMPUTED_VALUE"""),"Xbox")</f>
        <v>Xbox</v>
      </c>
      <c r="C4" s="158"/>
      <c r="D4" s="159" t="str">
        <f>IFERROR(__xludf.DUMMYFUNCTION("""COMPUTED_VALUE"""),"Active")</f>
        <v>Active</v>
      </c>
      <c r="E4" s="160">
        <f>IFERROR(__xludf.DUMMYFUNCTION("""COMPUTED_VALUE"""),45630.0)</f>
        <v>45630</v>
      </c>
      <c r="F4" s="161"/>
      <c r="G4" s="162">
        <f>IFERROR(__xludf.DUMMYFUNCTION("""COMPUTED_VALUE"""),10.366666666666667)</f>
        <v>10.36666667</v>
      </c>
      <c r="H4" s="163">
        <f>IFERROR(__xludf.DUMMYFUNCTION("""COMPUTED_VALUE"""),43637.0)</f>
        <v>43637</v>
      </c>
      <c r="I4" s="162">
        <f>IFERROR(__xludf.DUMMYFUNCTION("""COMPUTED_VALUE"""),5.4527777777777775)</f>
        <v>5.452777778</v>
      </c>
      <c r="J4" s="164">
        <f>IFERROR(__xludf.DUMMYFUNCTION("""COMPUTED_VALUE"""),83.0)</f>
        <v>83</v>
      </c>
      <c r="K4" s="164">
        <f>IFERROR(__xludf.DUMMYFUNCTION("""COMPUTED_VALUE"""),6.0)</f>
        <v>6</v>
      </c>
      <c r="L4" s="158" t="str">
        <f>IFERROR(__xludf.DUMMYFUNCTION("""COMPUTED_VALUE"""),"Racing")</f>
        <v>Racing</v>
      </c>
      <c r="M4" s="158"/>
      <c r="N4" s="158" t="str">
        <f>IFERROR(__xludf.DUMMYFUNCTION("""COMPUTED_VALUE"""),"Game Pass Essential (12/4/24)")</f>
        <v>Game Pass Essential (12/4/24)</v>
      </c>
      <c r="O4" s="158"/>
      <c r="P4" s="158"/>
      <c r="Q4" s="158"/>
      <c r="R4" s="165"/>
      <c r="S4" s="165"/>
    </row>
    <row r="5">
      <c r="A5" s="158" t="str">
        <f>IFERROR(__xludf.DUMMYFUNCTION("""COMPUTED_VALUE"""),"Superhot: Mind Control Delete")</f>
        <v>Superhot: Mind Control Delete</v>
      </c>
      <c r="B5" s="158" t="str">
        <f>IFERROR(__xludf.DUMMYFUNCTION("""COMPUTED_VALUE"""),"Xbox / PC")</f>
        <v>Xbox / PC</v>
      </c>
      <c r="C5" s="158" t="str">
        <f>IFERROR(__xludf.DUMMYFUNCTION("""COMPUTED_VALUE"""),"Yes")</f>
        <v>Yes</v>
      </c>
      <c r="D5" s="159" t="str">
        <f>IFERROR(__xludf.DUMMYFUNCTION("""COMPUTED_VALUE"""),"Active")</f>
        <v>Active</v>
      </c>
      <c r="E5" s="160">
        <f>IFERROR(__xludf.DUMMYFUNCTION("""COMPUTED_VALUE"""),45384.0)</f>
        <v>45384</v>
      </c>
      <c r="F5" s="161"/>
      <c r="G5" s="162">
        <f>IFERROR(__xludf.DUMMYFUNCTION("""COMPUTED_VALUE"""),18.433333333333334)</f>
        <v>18.43333333</v>
      </c>
      <c r="H5" s="163">
        <f>IFERROR(__xludf.DUMMYFUNCTION("""COMPUTED_VALUE"""),44028.0)</f>
        <v>44028</v>
      </c>
      <c r="I5" s="162">
        <f>IFERROR(__xludf.DUMMYFUNCTION("""COMPUTED_VALUE"""),3.7111111111111112)</f>
        <v>3.711111111</v>
      </c>
      <c r="J5" s="164">
        <f>IFERROR(__xludf.DUMMYFUNCTION("""COMPUTED_VALUE"""),82.0)</f>
        <v>82</v>
      </c>
      <c r="K5" s="164">
        <f>IFERROR(__xludf.DUMMYFUNCTION("""COMPUTED_VALUE"""),5.5)</f>
        <v>5.5</v>
      </c>
      <c r="L5" s="158" t="str">
        <f>IFERROR(__xludf.DUMMYFUNCTION("""COMPUTED_VALUE"""),"First-Person Shooter")</f>
        <v>First-Person Shooter</v>
      </c>
      <c r="M5" s="158" t="str">
        <f>IFERROR(__xludf.DUMMYFUNCTION("""COMPUTED_VALUE"""),"Optimized")</f>
        <v>Optimized</v>
      </c>
      <c r="N5" s="158" t="str">
        <f>IFERROR(__xludf.DUMMYFUNCTION("""COMPUTED_VALUE"""),"Game Pass Essential (4/23/24), Returning title: Added 12/10/20, left 5/31/22")</f>
        <v>Game Pass Essential (4/23/24), Returning title: Added 12/10/20, left 5/31/22</v>
      </c>
      <c r="O5" s="158" t="str">
        <f>IFERROR(__xludf.DUMMYFUNCTION("""COMPUTED_VALUE"""),"T")</f>
        <v>T</v>
      </c>
      <c r="P5" s="158" t="str">
        <f>IFERROR(__xludf.DUMMYFUNCTION("""COMPUTED_VALUE"""),"Violence")</f>
        <v>Violence</v>
      </c>
      <c r="Q5" s="158"/>
      <c r="R5" s="165"/>
      <c r="S5" s="165"/>
    </row>
    <row r="6">
      <c r="A6" s="158" t="str">
        <f>IFERROR(__xludf.DUMMYFUNCTION("""COMPUTED_VALUE"""),"Goat Simulator")</f>
        <v>Goat Simulator</v>
      </c>
      <c r="B6" s="158" t="str">
        <f>IFERROR(__xludf.DUMMYFUNCTION("""COMPUTED_VALUE"""),"Xbox / PC")</f>
        <v>Xbox / PC</v>
      </c>
      <c r="C6" s="158" t="str">
        <f>IFERROR(__xludf.DUMMYFUNCTION("""COMPUTED_VALUE"""),"Yes")</f>
        <v>Yes</v>
      </c>
      <c r="D6" s="159" t="str">
        <f>IFERROR(__xludf.DUMMYFUNCTION("""COMPUTED_VALUE"""),"Removed")</f>
        <v>Removed</v>
      </c>
      <c r="E6" s="160">
        <f>IFERROR(__xludf.DUMMYFUNCTION("""COMPUTED_VALUE"""),45020.0)</f>
        <v>45020</v>
      </c>
      <c r="F6" s="161">
        <f>IFERROR(__xludf.DUMMYFUNCTION("""COMPUTED_VALUE"""),45611.0)</f>
        <v>45611</v>
      </c>
      <c r="G6" s="162">
        <f>IFERROR(__xludf.DUMMYFUNCTION("""COMPUTED_VALUE"""),19.366666666666667)</f>
        <v>19.36666667</v>
      </c>
      <c r="H6" s="163">
        <f>IFERROR(__xludf.DUMMYFUNCTION("""COMPUTED_VALUE"""),41730.0)</f>
        <v>41730</v>
      </c>
      <c r="I6" s="162">
        <f>IFERROR(__xludf.DUMMYFUNCTION("""COMPUTED_VALUE"""),9.008333333333333)</f>
        <v>9.008333333</v>
      </c>
      <c r="J6" s="164">
        <f>IFERROR(__xludf.DUMMYFUNCTION("""COMPUTED_VALUE"""),58.0)</f>
        <v>58</v>
      </c>
      <c r="K6" s="164">
        <f>IFERROR(__xludf.DUMMYFUNCTION("""COMPUTED_VALUE"""),2.0)</f>
        <v>2</v>
      </c>
      <c r="L6" s="158" t="str">
        <f>IFERROR(__xludf.DUMMYFUNCTION("""COMPUTED_VALUE"""),"Simulation")</f>
        <v>Simulation</v>
      </c>
      <c r="M6" s="158"/>
      <c r="N6" s="158" t="str">
        <f>IFERROR(__xludf.DUMMYFUNCTION("""COMPUTED_VALUE"""),"Game Pass Essential (12/4/24), Returning title: Joined 6/27/19, left 3/215/23")</f>
        <v>Game Pass Essential (12/4/24), Returning title: Joined 6/27/19, left 3/215/23</v>
      </c>
      <c r="O6" s="158" t="str">
        <f>IFERROR(__xludf.DUMMYFUNCTION("""COMPUTED_VALUE"""),"T")</f>
        <v>T</v>
      </c>
      <c r="P6" s="158" t="str">
        <f>IFERROR(__xludf.DUMMYFUNCTION("""COMPUTED_VALUE"""),"Blood, Violence")</f>
        <v>Blood, Violence</v>
      </c>
      <c r="Q6" s="158"/>
      <c r="R6" s="165"/>
      <c r="S6" s="165"/>
    </row>
    <row r="7">
      <c r="A7" s="158" t="str">
        <f>IFERROR(__xludf.DUMMYFUNCTION("""COMPUTED_VALUE"""),"Spiritfarer")</f>
        <v>Spiritfarer</v>
      </c>
      <c r="B7" s="158" t="str">
        <f>IFERROR(__xludf.DUMMYFUNCTION("""COMPUTED_VALUE"""),"Xbox / PC")</f>
        <v>Xbox / PC</v>
      </c>
      <c r="C7" s="158" t="str">
        <f>IFERROR(__xludf.DUMMYFUNCTION("""COMPUTED_VALUE"""),"Touch Controls")</f>
        <v>Touch Controls</v>
      </c>
      <c r="D7" s="159" t="str">
        <f>IFERROR(__xludf.DUMMYFUNCTION("""COMPUTED_VALUE"""),"Active")</f>
        <v>Active</v>
      </c>
      <c r="E7" s="160">
        <f>IFERROR(__xludf.DUMMYFUNCTION("""COMPUTED_VALUE"""),45182.0)</f>
        <v>45182</v>
      </c>
      <c r="F7" s="161"/>
      <c r="G7" s="162">
        <f>IFERROR(__xludf.DUMMYFUNCTION("""COMPUTED_VALUE"""),25.06666666666667)</f>
        <v>25.06666667</v>
      </c>
      <c r="H7" s="163">
        <f>IFERROR(__xludf.DUMMYFUNCTION("""COMPUTED_VALUE"""),44061.0)</f>
        <v>44061</v>
      </c>
      <c r="I7" s="162">
        <f>IFERROR(__xludf.DUMMYFUNCTION("""COMPUTED_VALUE"""),3.0694444444444446)</f>
        <v>3.069444444</v>
      </c>
      <c r="J7" s="164">
        <f>IFERROR(__xludf.DUMMYFUNCTION("""COMPUTED_VALUE"""),86.0)</f>
        <v>86</v>
      </c>
      <c r="K7" s="164">
        <f>IFERROR(__xludf.DUMMYFUNCTION("""COMPUTED_VALUE"""),21.0)</f>
        <v>21</v>
      </c>
      <c r="L7" s="158" t="str">
        <f>IFERROR(__xludf.DUMMYFUNCTION("""COMPUTED_VALUE"""),"Adventure")</f>
        <v>Adventure</v>
      </c>
      <c r="M7" s="158"/>
      <c r="N7" s="158" t="str">
        <f>IFERROR(__xludf.DUMMYFUNCTION("""COMPUTED_VALUE"""),"Game Pass Essential launch title (9/14/23), Returning title: Joined 8/18/20, left 8/31/22")</f>
        <v>Game Pass Essential launch title (9/14/23), Returning title: Joined 8/18/20, left 8/31/22</v>
      </c>
      <c r="O7" s="158" t="str">
        <f>IFERROR(__xludf.DUMMYFUNCTION("""COMPUTED_VALUE"""),"T")</f>
        <v>T</v>
      </c>
      <c r="P7" s="158" t="str">
        <f>IFERROR(__xludf.DUMMYFUNCTION("""COMPUTED_VALUE"""),"Language, Use of Tobacco, Violent References")</f>
        <v>Language, Use of Tobacco, Violent References</v>
      </c>
      <c r="Q7" s="158"/>
      <c r="R7" s="165"/>
      <c r="S7" s="165"/>
    </row>
    <row r="8">
      <c r="A8" s="158" t="str">
        <f>IFERROR(__xludf.DUMMYFUNCTION("""COMPUTED_VALUE"""),"Firewatch")</f>
        <v>Firewatch</v>
      </c>
      <c r="B8" s="158" t="str">
        <f>IFERROR(__xludf.DUMMYFUNCTION("""COMPUTED_VALUE"""),"Xbox / PC")</f>
        <v>Xbox / PC</v>
      </c>
      <c r="C8" s="158" t="str">
        <f>IFERROR(__xludf.DUMMYFUNCTION("""COMPUTED_VALUE"""),"Touch Controls")</f>
        <v>Touch Controls</v>
      </c>
      <c r="D8" s="159" t="str">
        <f>IFERROR(__xludf.DUMMYFUNCTION("""COMPUTED_VALUE"""),"Active")</f>
        <v>Active</v>
      </c>
      <c r="E8" s="160">
        <f>IFERROR(__xludf.DUMMYFUNCTION("""COMPUTED_VALUE"""),45155.0)</f>
        <v>45155</v>
      </c>
      <c r="F8" s="161"/>
      <c r="G8" s="162">
        <f>IFERROR(__xludf.DUMMYFUNCTION("""COMPUTED_VALUE"""),25.93333333333333)</f>
        <v>25.93333333</v>
      </c>
      <c r="H8" s="163">
        <f>IFERROR(__xludf.DUMMYFUNCTION("""COMPUTED_VALUE"""),42409.0)</f>
        <v>42409</v>
      </c>
      <c r="I8" s="162">
        <f>IFERROR(__xludf.DUMMYFUNCTION("""COMPUTED_VALUE"""),7.522222222222222)</f>
        <v>7.522222222</v>
      </c>
      <c r="J8" s="164">
        <f>IFERROR(__xludf.DUMMYFUNCTION("""COMPUTED_VALUE"""),83.0)</f>
        <v>83</v>
      </c>
      <c r="K8" s="164">
        <f>IFERROR(__xludf.DUMMYFUNCTION("""COMPUTED_VALUE"""),4.0)</f>
        <v>4</v>
      </c>
      <c r="L8" s="158" t="str">
        <f>IFERROR(__xludf.DUMMYFUNCTION("""COMPUTED_VALUE"""),"Adventure")</f>
        <v>Adventure</v>
      </c>
      <c r="M8" s="158"/>
      <c r="N8" s="158" t="str">
        <f>IFERROR(__xludf.DUMMYFUNCTION("""COMPUTED_VALUE"""),"Game Pass Essential launch title (9/14/23), Returning title: Joined 2/16/21, left 12/15/22")</f>
        <v>Game Pass Essential launch title (9/14/23), Returning title: Joined 2/16/21, left 12/15/22</v>
      </c>
      <c r="O8" s="158" t="str">
        <f>IFERROR(__xludf.DUMMYFUNCTION("""COMPUTED_VALUE"""),"M")</f>
        <v>M</v>
      </c>
      <c r="P8" s="158" t="str">
        <f>IFERROR(__xludf.DUMMYFUNCTION("""COMPUTED_VALUE"""),"Nudity, Suggestive Themes, Alcohol Reference, Drug Reference, Strong Language")</f>
        <v>Nudity, Suggestive Themes, Alcohol Reference, Drug Reference, Strong Language</v>
      </c>
      <c r="Q8" s="158"/>
      <c r="R8" s="165"/>
      <c r="S8" s="165"/>
    </row>
    <row r="9">
      <c r="A9" s="158" t="str">
        <f>IFERROR(__xludf.DUMMYFUNCTION("""COMPUTED_VALUE"""),"Limbo")</f>
        <v>Limbo</v>
      </c>
      <c r="B9" s="158" t="str">
        <f>IFERROR(__xludf.DUMMYFUNCTION("""COMPUTED_VALUE"""),"Xbox / PC")</f>
        <v>Xbox / PC</v>
      </c>
      <c r="C9" s="158" t="str">
        <f>IFERROR(__xludf.DUMMYFUNCTION("""COMPUTED_VALUE"""),"Yes")</f>
        <v>Yes</v>
      </c>
      <c r="D9" s="159" t="str">
        <f>IFERROR(__xludf.DUMMYFUNCTION("""COMPUTED_VALUE"""),"Active")</f>
        <v>Active</v>
      </c>
      <c r="E9" s="160">
        <f>IFERROR(__xludf.DUMMYFUNCTION("""COMPUTED_VALUE"""),45147.0)</f>
        <v>45147</v>
      </c>
      <c r="F9" s="161"/>
      <c r="G9" s="162">
        <f>IFERROR(__xludf.DUMMYFUNCTION("""COMPUTED_VALUE"""),26.199999999999996)</f>
        <v>26.2</v>
      </c>
      <c r="H9" s="163">
        <f>IFERROR(__xludf.DUMMYFUNCTION("""COMPUTED_VALUE"""),40380.0)</f>
        <v>40380</v>
      </c>
      <c r="I9" s="162">
        <f>IFERROR(__xludf.DUMMYFUNCTION("""COMPUTED_VALUE"""),13.05)</f>
        <v>13.05</v>
      </c>
      <c r="J9" s="164">
        <f>IFERROR(__xludf.DUMMYFUNCTION("""COMPUTED_VALUE"""),85.0)</f>
        <v>85</v>
      </c>
      <c r="K9" s="164">
        <f>IFERROR(__xludf.DUMMYFUNCTION("""COMPUTED_VALUE"""),3.5)</f>
        <v>3.5</v>
      </c>
      <c r="L9" s="158" t="str">
        <f>IFERROR(__xludf.DUMMYFUNCTION("""COMPUTED_VALUE"""),"Puzzle / Platformer")</f>
        <v>Puzzle / Platformer</v>
      </c>
      <c r="M9" s="158"/>
      <c r="N9" s="158" t="str">
        <f>IFERROR(__xludf.DUMMYFUNCTION("""COMPUTED_VALUE"""),"Game Pass Essential launch title (9/14/23), Returning title: Joined 8/1/17, left 6/15/22")</f>
        <v>Game Pass Essential launch title (9/14/23), Returning title: Joined 8/1/17, left 6/15/22</v>
      </c>
      <c r="O9" s="158" t="str">
        <f>IFERROR(__xludf.DUMMYFUNCTION("""COMPUTED_VALUE"""),"T")</f>
        <v>T</v>
      </c>
      <c r="P9" s="158" t="str">
        <f>IFERROR(__xludf.DUMMYFUNCTION("""COMPUTED_VALUE"""),"Blood, Violence")</f>
        <v>Blood, Violence</v>
      </c>
      <c r="Q9" s="158"/>
      <c r="R9" s="165"/>
      <c r="S9" s="165"/>
    </row>
    <row r="10">
      <c r="A10" s="158" t="str">
        <f>IFERROR(__xludf.DUMMYFUNCTION("""COMPUTED_VALUE"""),"Celeste")</f>
        <v>Celeste</v>
      </c>
      <c r="B10" s="158" t="str">
        <f>IFERROR(__xludf.DUMMYFUNCTION("""COMPUTED_VALUE"""),"Xbox / PC")</f>
        <v>Xbox / PC</v>
      </c>
      <c r="C10" s="158" t="str">
        <f>IFERROR(__xludf.DUMMYFUNCTION("""COMPUTED_VALUE"""),"Touch Controls")</f>
        <v>Touch Controls</v>
      </c>
      <c r="D10" s="159" t="str">
        <f>IFERROR(__xludf.DUMMYFUNCTION("""COMPUTED_VALUE"""),"Active")</f>
        <v>Active</v>
      </c>
      <c r="E10" s="160">
        <f>IFERROR(__xludf.DUMMYFUNCTION("""COMPUTED_VALUE"""),45139.0)</f>
        <v>45139</v>
      </c>
      <c r="F10" s="161"/>
      <c r="G10" s="162">
        <f>IFERROR(__xludf.DUMMYFUNCTION("""COMPUTED_VALUE"""),26.46666666666667)</f>
        <v>26.46666667</v>
      </c>
      <c r="H10" s="163">
        <f>IFERROR(__xludf.DUMMYFUNCTION("""COMPUTED_VALUE"""),43125.0)</f>
        <v>43125</v>
      </c>
      <c r="I10" s="162">
        <f>IFERROR(__xludf.DUMMYFUNCTION("""COMPUTED_VALUE"""),5.516666666666667)</f>
        <v>5.516666667</v>
      </c>
      <c r="J10" s="164">
        <f>IFERROR(__xludf.DUMMYFUNCTION("""COMPUTED_VALUE"""),91.0)</f>
        <v>91</v>
      </c>
      <c r="K10" s="164">
        <f>IFERROR(__xludf.DUMMYFUNCTION("""COMPUTED_VALUE"""),8.0)</f>
        <v>8</v>
      </c>
      <c r="L10" s="158" t="str">
        <f>IFERROR(__xludf.DUMMYFUNCTION("""COMPUTED_VALUE"""),"Platformer")</f>
        <v>Platformer</v>
      </c>
      <c r="M10" s="158"/>
      <c r="N10" s="158" t="str">
        <f>IFERROR(__xludf.DUMMYFUNCTION("""COMPUTED_VALUE"""),"Game Pass Essential launch title (9/14/23), Returning title: Joined 11/5/20, left 10/31/21")</f>
        <v>Game Pass Essential launch title (9/14/23), Returning title: Joined 11/5/20, left 10/31/21</v>
      </c>
      <c r="O10" s="158" t="str">
        <f>IFERROR(__xludf.DUMMYFUNCTION("""COMPUTED_VALUE"""),"E10+")</f>
        <v>E10+</v>
      </c>
      <c r="P10" s="158" t="str">
        <f>IFERROR(__xludf.DUMMYFUNCTION("""COMPUTED_VALUE"""),"Alcohol Reference, Fantasy Violence, Mild Language")</f>
        <v>Alcohol Reference, Fantasy Violence, Mild Language</v>
      </c>
      <c r="Q10" s="158"/>
      <c r="R10" s="165"/>
      <c r="S10" s="165"/>
    </row>
    <row r="11">
      <c r="A11" s="158" t="str">
        <f>IFERROR(__xludf.DUMMYFUNCTION("""COMPUTED_VALUE"""),"Warhammer 40,000: Darktide")</f>
        <v>Warhammer 40,000: Darktide</v>
      </c>
      <c r="B11" s="158" t="str">
        <f>IFERROR(__xludf.DUMMYFUNCTION("""COMPUTED_VALUE"""),"Xbox / PC")</f>
        <v>Xbox / PC</v>
      </c>
      <c r="C11" s="158" t="str">
        <f>IFERROR(__xludf.DUMMYFUNCTION("""COMPUTED_VALUE"""),"Yes")</f>
        <v>Yes</v>
      </c>
      <c r="D11" s="159" t="str">
        <f>IFERROR(__xludf.DUMMYFUNCTION("""COMPUTED_VALUE"""),"Active")</f>
        <v>Active</v>
      </c>
      <c r="E11" s="160">
        <f>IFERROR(__xludf.DUMMYFUNCTION("""COMPUTED_VALUE"""),44895.0)</f>
        <v>44895</v>
      </c>
      <c r="F11" s="161"/>
      <c r="G11" s="162">
        <f>IFERROR(__xludf.DUMMYFUNCTION("""COMPUTED_VALUE"""),34.5)</f>
        <v>34.5</v>
      </c>
      <c r="H11" s="163">
        <f>IFERROR(__xludf.DUMMYFUNCTION("""COMPUTED_VALUE"""),44895.0)</f>
        <v>44895</v>
      </c>
      <c r="I11" s="162">
        <f>IFERROR(__xludf.DUMMYFUNCTION("""COMPUTED_VALUE"""),0.0)</f>
        <v>0</v>
      </c>
      <c r="J11" s="164">
        <f>IFERROR(__xludf.DUMMYFUNCTION("""COMPUTED_VALUE"""),78.0)</f>
        <v>78</v>
      </c>
      <c r="K11" s="164">
        <f>IFERROR(__xludf.DUMMYFUNCTION("""COMPUTED_VALUE"""),41.0)</f>
        <v>41</v>
      </c>
      <c r="L11" s="158" t="str">
        <f>IFERROR(__xludf.DUMMYFUNCTION("""COMPUTED_VALUE"""),"Action")</f>
        <v>Action</v>
      </c>
      <c r="M11" s="158" t="str">
        <f>IFERROR(__xludf.DUMMYFUNCTION("""COMPUTED_VALUE"""),"Exclusive")</f>
        <v>Exclusive</v>
      </c>
      <c r="N11" s="158" t="str">
        <f>IFERROR(__xludf.DUMMYFUNCTION("""COMPUTED_VALUE"""),"Game Pass Essential (10/1/25). Joined cloud and console 10/4/23")</f>
        <v>Game Pass Essential (10/1/25). Joined cloud and console 10/4/23</v>
      </c>
      <c r="O11" s="158" t="str">
        <f>IFERROR(__xludf.DUMMYFUNCTION("""COMPUTED_VALUE"""),"M")</f>
        <v>M</v>
      </c>
      <c r="P11" s="158" t="str">
        <f>IFERROR(__xludf.DUMMYFUNCTION("""COMPUTED_VALUE"""),"Intense Violence, Blood and Gore")</f>
        <v>Intense Violence, Blood and Gore</v>
      </c>
      <c r="Q11" s="158"/>
      <c r="R11" s="165"/>
      <c r="S11" s="165"/>
    </row>
    <row r="12">
      <c r="A12" s="158" t="str">
        <f>IFERROR(__xludf.DUMMYFUNCTION("""COMPUTED_VALUE"""),"Chivalry II")</f>
        <v>Chivalry II</v>
      </c>
      <c r="B12" s="158" t="str">
        <f>IFERROR(__xludf.DUMMYFUNCTION("""COMPUTED_VALUE"""),"Xbox / PC")</f>
        <v>Xbox / PC</v>
      </c>
      <c r="C12" s="158" t="str">
        <f>IFERROR(__xludf.DUMMYFUNCTION("""COMPUTED_VALUE"""),"Yes")</f>
        <v>Yes</v>
      </c>
      <c r="D12" s="159" t="str">
        <f>IFERROR(__xludf.DUMMYFUNCTION("""COMPUTED_VALUE"""),"Active")</f>
        <v>Active</v>
      </c>
      <c r="E12" s="160">
        <f>IFERROR(__xludf.DUMMYFUNCTION("""COMPUTED_VALUE"""),44838.0)</f>
        <v>44838</v>
      </c>
      <c r="F12" s="161"/>
      <c r="G12" s="162">
        <f>IFERROR(__xludf.DUMMYFUNCTION("""COMPUTED_VALUE"""),36.36666666666667)</f>
        <v>36.36666667</v>
      </c>
      <c r="H12" s="163">
        <f>IFERROR(__xludf.DUMMYFUNCTION("""COMPUTED_VALUE"""),44355.0)</f>
        <v>44355</v>
      </c>
      <c r="I12" s="162">
        <f>IFERROR(__xludf.DUMMYFUNCTION("""COMPUTED_VALUE"""),1.3222222222222222)</f>
        <v>1.322222222</v>
      </c>
      <c r="J12" s="164">
        <f>IFERROR(__xludf.DUMMYFUNCTION("""COMPUTED_VALUE"""),82.0)</f>
        <v>82</v>
      </c>
      <c r="K12" s="164">
        <f>IFERROR(__xludf.DUMMYFUNCTION("""COMPUTED_VALUE"""),42.5)</f>
        <v>42.5</v>
      </c>
      <c r="L12" s="158" t="str">
        <f>IFERROR(__xludf.DUMMYFUNCTION("""COMPUTED_VALUE"""),"Action")</f>
        <v>Action</v>
      </c>
      <c r="M12" s="158"/>
      <c r="N12" s="158" t="str">
        <f>IFERROR(__xludf.DUMMYFUNCTION("""COMPUTED_VALUE"""),"Game Pass Essential (12/6/23)")</f>
        <v>Game Pass Essential (12/6/23)</v>
      </c>
      <c r="O12" s="158" t="str">
        <f>IFERROR(__xludf.DUMMYFUNCTION("""COMPUTED_VALUE"""),"M")</f>
        <v>M</v>
      </c>
      <c r="P12" s="158" t="str">
        <f>IFERROR(__xludf.DUMMYFUNCTION("""COMPUTED_VALUE"""),"Use of Alcohol, Blood and Gore, Mild Sexual Themes, Language, Intense Violence")</f>
        <v>Use of Alcohol, Blood and Gore, Mild Sexual Themes, Language, Intense Violence</v>
      </c>
      <c r="Q12" s="158"/>
      <c r="R12" s="165"/>
      <c r="S12" s="165"/>
    </row>
    <row r="13">
      <c r="A13" s="158" t="str">
        <f>IFERROR(__xludf.DUMMYFUNCTION("""COMPUTED_VALUE"""),"Disney Dreamlight Valley: Founder's Edition")</f>
        <v>Disney Dreamlight Valley: Founder's Edition</v>
      </c>
      <c r="B13" s="158" t="str">
        <f>IFERROR(__xludf.DUMMYFUNCTION("""COMPUTED_VALUE"""),"Xbox / PC")</f>
        <v>Xbox / PC</v>
      </c>
      <c r="C13" s="158" t="str">
        <f>IFERROR(__xludf.DUMMYFUNCTION("""COMPUTED_VALUE"""),"Touch Controls")</f>
        <v>Touch Controls</v>
      </c>
      <c r="D13" s="159" t="str">
        <f>IFERROR(__xludf.DUMMYFUNCTION("""COMPUTED_VALUE"""),"Active")</f>
        <v>Active</v>
      </c>
      <c r="E13" s="160">
        <f>IFERROR(__xludf.DUMMYFUNCTION("""COMPUTED_VALUE"""),44810.0)</f>
        <v>44810</v>
      </c>
      <c r="F13" s="161"/>
      <c r="G13" s="162">
        <f>IFERROR(__xludf.DUMMYFUNCTION("""COMPUTED_VALUE"""),37.3)</f>
        <v>37.3</v>
      </c>
      <c r="H13" s="163">
        <f>IFERROR(__xludf.DUMMYFUNCTION("""COMPUTED_VALUE"""),44810.0)</f>
        <v>44810</v>
      </c>
      <c r="I13" s="162">
        <f>IFERROR(__xludf.DUMMYFUNCTION("""COMPUTED_VALUE"""),0.0)</f>
        <v>0</v>
      </c>
      <c r="J13" s="164">
        <f>IFERROR(__xludf.DUMMYFUNCTION("""COMPUTED_VALUE"""),75.0)</f>
        <v>75</v>
      </c>
      <c r="K13" s="164">
        <f>IFERROR(__xludf.DUMMYFUNCTION("""COMPUTED_VALUE"""),15.5)</f>
        <v>15.5</v>
      </c>
      <c r="L13" s="158" t="str">
        <f>IFERROR(__xludf.DUMMYFUNCTION("""COMPUTED_VALUE"""),"Simulation")</f>
        <v>Simulation</v>
      </c>
      <c r="M13" s="158"/>
      <c r="N13" s="158" t="str">
        <f>IFERROR(__xludf.DUMMYFUNCTION("""COMPUTED_VALUE"""),"Game Pass Essential (10/1/25)")</f>
        <v>Game Pass Essential (10/1/25)</v>
      </c>
      <c r="O13" s="158" t="str">
        <f>IFERROR(__xludf.DUMMYFUNCTION("""COMPUTED_VALUE"""),"E")</f>
        <v>E</v>
      </c>
      <c r="P13" s="158"/>
      <c r="Q13" s="158"/>
      <c r="R13" s="165"/>
      <c r="S13" s="165"/>
    </row>
    <row r="14">
      <c r="A14" s="158" t="str">
        <f>IFERROR(__xludf.DUMMYFUNCTION("""COMPUTED_VALUE"""),"Inside")</f>
        <v>Inside</v>
      </c>
      <c r="B14" s="158" t="str">
        <f>IFERROR(__xludf.DUMMYFUNCTION("""COMPUTED_VALUE"""),"Xbox / PC")</f>
        <v>Xbox / PC</v>
      </c>
      <c r="C14" s="158" t="str">
        <f>IFERROR(__xludf.DUMMYFUNCTION("""COMPUTED_VALUE"""),"Yes")</f>
        <v>Yes</v>
      </c>
      <c r="D14" s="159" t="str">
        <f>IFERROR(__xludf.DUMMYFUNCTION("""COMPUTED_VALUE"""),"Active")</f>
        <v>Active</v>
      </c>
      <c r="E14" s="160">
        <f>IFERROR(__xludf.DUMMYFUNCTION("""COMPUTED_VALUE"""),44763.0)</f>
        <v>44763</v>
      </c>
      <c r="F14" s="161"/>
      <c r="G14" s="162">
        <f>IFERROR(__xludf.DUMMYFUNCTION("""COMPUTED_VALUE"""),38.8)</f>
        <v>38.8</v>
      </c>
      <c r="H14" s="163">
        <f>IFERROR(__xludf.DUMMYFUNCTION("""COMPUTED_VALUE"""),42550.0)</f>
        <v>42550</v>
      </c>
      <c r="I14" s="162">
        <f>IFERROR(__xludf.DUMMYFUNCTION("""COMPUTED_VALUE"""),6.061111111111111)</f>
        <v>6.061111111</v>
      </c>
      <c r="J14" s="164">
        <f>IFERROR(__xludf.DUMMYFUNCTION("""COMPUTED_VALUE"""),93.0)</f>
        <v>93</v>
      </c>
      <c r="K14" s="164">
        <f>IFERROR(__xludf.DUMMYFUNCTION("""COMPUTED_VALUE"""),3.5)</f>
        <v>3.5</v>
      </c>
      <c r="L14" s="158" t="str">
        <f>IFERROR(__xludf.DUMMYFUNCTION("""COMPUTED_VALUE"""),"Puzzle / Platformer")</f>
        <v>Puzzle / Platformer</v>
      </c>
      <c r="M14" s="158"/>
      <c r="N14" s="158" t="str">
        <f>IFERROR(__xludf.DUMMYFUNCTION("""COMPUTED_VALUE"""),"Game Pass Essential launch title (9/14/23)")</f>
        <v>Game Pass Essential launch title (9/14/23)</v>
      </c>
      <c r="O14" s="158" t="str">
        <f>IFERROR(__xludf.DUMMYFUNCTION("""COMPUTED_VALUE"""),"M")</f>
        <v>M</v>
      </c>
      <c r="P14" s="158" t="str">
        <f>IFERROR(__xludf.DUMMYFUNCTION("""COMPUTED_VALUE"""),"Blood and Gore, Violence")</f>
        <v>Blood and Gore, Violence</v>
      </c>
      <c r="Q14" s="158"/>
      <c r="R14" s="165"/>
      <c r="S14" s="165"/>
    </row>
    <row r="15">
      <c r="A15" s="158" t="str">
        <f>IFERROR(__xludf.DUMMYFUNCTION("""COMPUTED_VALUE"""),"PowerWash Simulator")</f>
        <v>PowerWash Simulator</v>
      </c>
      <c r="B15" s="158" t="str">
        <f>IFERROR(__xludf.DUMMYFUNCTION("""COMPUTED_VALUE"""),"Xbox / PC")</f>
        <v>Xbox / PC</v>
      </c>
      <c r="C15" s="158" t="str">
        <f>IFERROR(__xludf.DUMMYFUNCTION("""COMPUTED_VALUE"""),"Yes")</f>
        <v>Yes</v>
      </c>
      <c r="D15" s="159" t="str">
        <f>IFERROR(__xludf.DUMMYFUNCTION("""COMPUTED_VALUE"""),"Active")</f>
        <v>Active</v>
      </c>
      <c r="E15" s="160">
        <f>IFERROR(__xludf.DUMMYFUNCTION("""COMPUTED_VALUE"""),44756.0)</f>
        <v>44756</v>
      </c>
      <c r="F15" s="161"/>
      <c r="G15" s="162">
        <f>IFERROR(__xludf.DUMMYFUNCTION("""COMPUTED_VALUE"""),39.03333333333333)</f>
        <v>39.03333333</v>
      </c>
      <c r="H15" s="163">
        <f>IFERROR(__xludf.DUMMYFUNCTION("""COMPUTED_VALUE"""),44335.0)</f>
        <v>44335</v>
      </c>
      <c r="I15" s="162">
        <f>IFERROR(__xludf.DUMMYFUNCTION("""COMPUTED_VALUE"""),1.1527777777777777)</f>
        <v>1.152777778</v>
      </c>
      <c r="J15" s="164">
        <f>IFERROR(__xludf.DUMMYFUNCTION("""COMPUTED_VALUE"""),76.0)</f>
        <v>76</v>
      </c>
      <c r="K15" s="164">
        <f>IFERROR(__xludf.DUMMYFUNCTION("""COMPUTED_VALUE"""),21.5)</f>
        <v>21.5</v>
      </c>
      <c r="L15" s="158" t="str">
        <f>IFERROR(__xludf.DUMMYFUNCTION("""COMPUTED_VALUE"""),"Simulation")</f>
        <v>Simulation</v>
      </c>
      <c r="M15" s="158"/>
      <c r="N15" s="158" t="str">
        <f>IFERROR(__xludf.DUMMYFUNCTION("""COMPUTED_VALUE"""),"Game Pass Essential launch title (9/14/23)")</f>
        <v>Game Pass Essential launch title (9/14/23)</v>
      </c>
      <c r="O15" s="158" t="str">
        <f>IFERROR(__xludf.DUMMYFUNCTION("""COMPUTED_VALUE"""),"E")</f>
        <v>E</v>
      </c>
      <c r="P15" s="158"/>
      <c r="Q15" s="158"/>
      <c r="R15" s="165"/>
      <c r="S15" s="165"/>
    </row>
    <row r="16">
      <c r="A16" s="158" t="str">
        <f>IFERROR(__xludf.DUMMYFUNCTION("""COMPUTED_VALUE"""),"Teenage Mutant Ninja Turtles: Shredder's Revenge")</f>
        <v>Teenage Mutant Ninja Turtles: Shredder's Revenge</v>
      </c>
      <c r="B16" s="158" t="str">
        <f>IFERROR(__xludf.DUMMYFUNCTION("""COMPUTED_VALUE"""),"Xbox / PC")</f>
        <v>Xbox / PC</v>
      </c>
      <c r="C16" s="158" t="str">
        <f>IFERROR(__xludf.DUMMYFUNCTION("""COMPUTED_VALUE"""),"Touch Controls")</f>
        <v>Touch Controls</v>
      </c>
      <c r="D16" s="159" t="str">
        <f>IFERROR(__xludf.DUMMYFUNCTION("""COMPUTED_VALUE"""),"Active")</f>
        <v>Active</v>
      </c>
      <c r="E16" s="160">
        <f>IFERROR(__xludf.DUMMYFUNCTION("""COMPUTED_VALUE"""),44728.0)</f>
        <v>44728</v>
      </c>
      <c r="F16" s="161"/>
      <c r="G16" s="162">
        <f>IFERROR(__xludf.DUMMYFUNCTION("""COMPUTED_VALUE"""),39.96666666666667)</f>
        <v>39.96666667</v>
      </c>
      <c r="H16" s="163">
        <f>IFERROR(__xludf.DUMMYFUNCTION("""COMPUTED_VALUE"""),44728.0)</f>
        <v>44728</v>
      </c>
      <c r="I16" s="162">
        <f>IFERROR(__xludf.DUMMYFUNCTION("""COMPUTED_VALUE"""),0.0)</f>
        <v>0</v>
      </c>
      <c r="J16" s="164">
        <f>IFERROR(__xludf.DUMMYFUNCTION("""COMPUTED_VALUE"""),86.0)</f>
        <v>86</v>
      </c>
      <c r="K16" s="164">
        <f>IFERROR(__xludf.DUMMYFUNCTION("""COMPUTED_VALUE"""),2.5)</f>
        <v>2.5</v>
      </c>
      <c r="L16" s="158" t="str">
        <f>IFERROR(__xludf.DUMMYFUNCTION("""COMPUTED_VALUE"""),"Brawler")</f>
        <v>Brawler</v>
      </c>
      <c r="M16" s="158"/>
      <c r="N16" s="158" t="str">
        <f>IFERROR(__xludf.DUMMYFUNCTION("""COMPUTED_VALUE"""),"Game Pass Essential launch title (9/14/23)")</f>
        <v>Game Pass Essential launch title (9/14/23)</v>
      </c>
      <c r="O16" s="158" t="str">
        <f>IFERROR(__xludf.DUMMYFUNCTION("""COMPUTED_VALUE"""),"E10+")</f>
        <v>E10+</v>
      </c>
      <c r="P16" s="158" t="str">
        <f>IFERROR(__xludf.DUMMYFUNCTION("""COMPUTED_VALUE"""),"Fantasy Violence")</f>
        <v>Fantasy Violence</v>
      </c>
      <c r="Q16" s="158"/>
      <c r="R16" s="165"/>
      <c r="S16" s="165"/>
    </row>
    <row r="17">
      <c r="A17" s="158" t="str">
        <f>IFERROR(__xludf.DUMMYFUNCTION("""COMPUTED_VALUE"""),"Vampire Survivors")</f>
        <v>Vampire Survivors</v>
      </c>
      <c r="B17" s="158" t="str">
        <f>IFERROR(__xludf.DUMMYFUNCTION("""COMPUTED_VALUE"""),"Xbox / PC")</f>
        <v>Xbox / PC</v>
      </c>
      <c r="C17" s="158" t="str">
        <f>IFERROR(__xludf.DUMMYFUNCTION("""COMPUTED_VALUE"""),"Yes")</f>
        <v>Yes</v>
      </c>
      <c r="D17" s="159" t="str">
        <f>IFERROR(__xludf.DUMMYFUNCTION("""COMPUTED_VALUE"""),"Active")</f>
        <v>Active</v>
      </c>
      <c r="E17" s="160">
        <f>IFERROR(__xludf.DUMMYFUNCTION("""COMPUTED_VALUE"""),44700.0)</f>
        <v>44700</v>
      </c>
      <c r="F17" s="161"/>
      <c r="G17" s="162">
        <f>IFERROR(__xludf.DUMMYFUNCTION("""COMPUTED_VALUE"""),40.86666666666667)</f>
        <v>40.86666667</v>
      </c>
      <c r="H17" s="163">
        <f>IFERROR(__xludf.DUMMYFUNCTION("""COMPUTED_VALUE"""),44547.0)</f>
        <v>44547</v>
      </c>
      <c r="I17" s="162">
        <f>IFERROR(__xludf.DUMMYFUNCTION("""COMPUTED_VALUE"""),0.4222222222222222)</f>
        <v>0.4222222222</v>
      </c>
      <c r="J17" s="164">
        <f>IFERROR(__xludf.DUMMYFUNCTION("""COMPUTED_VALUE"""),87.0)</f>
        <v>87</v>
      </c>
      <c r="K17" s="164">
        <f>IFERROR(__xludf.DUMMYFUNCTION("""COMPUTED_VALUE"""),4.5)</f>
        <v>4.5</v>
      </c>
      <c r="L17" s="158" t="str">
        <f>IFERROR(__xludf.DUMMYFUNCTION("""COMPUTED_VALUE"""),"Action")</f>
        <v>Action</v>
      </c>
      <c r="M17" s="158"/>
      <c r="N17" s="158" t="str">
        <f>IFERROR(__xludf.DUMMYFUNCTION("""COMPUTED_VALUE"""),"Game Pass Essential launch title (9/14/23), Joins console 11/10/22")</f>
        <v>Game Pass Essential launch title (9/14/23), Joins console 11/10/22</v>
      </c>
      <c r="O17" s="158" t="str">
        <f>IFERROR(__xludf.DUMMYFUNCTION("""COMPUTED_VALUE"""),"E10+")</f>
        <v>E10+</v>
      </c>
      <c r="P17" s="158" t="str">
        <f>IFERROR(__xludf.DUMMYFUNCTION("""COMPUTED_VALUE"""),"Fantasy Violence")</f>
        <v>Fantasy Violence</v>
      </c>
      <c r="Q17" s="158"/>
      <c r="R17" s="165"/>
      <c r="S17" s="165"/>
    </row>
    <row r="18">
      <c r="A18" s="158" t="str">
        <f>IFERROR(__xludf.DUMMYFUNCTION("""COMPUTED_VALUE"""),"Tunic")</f>
        <v>Tunic</v>
      </c>
      <c r="B18" s="158" t="str">
        <f>IFERROR(__xludf.DUMMYFUNCTION("""COMPUTED_VALUE"""),"Xbox / PC")</f>
        <v>Xbox / PC</v>
      </c>
      <c r="C18" s="158" t="str">
        <f>IFERROR(__xludf.DUMMYFUNCTION("""COMPUTED_VALUE"""),"Yes")</f>
        <v>Yes</v>
      </c>
      <c r="D18" s="159" t="str">
        <f>IFERROR(__xludf.DUMMYFUNCTION("""COMPUTED_VALUE"""),"Active")</f>
        <v>Active</v>
      </c>
      <c r="E18" s="160">
        <f>IFERROR(__xludf.DUMMYFUNCTION("""COMPUTED_VALUE"""),44636.0)</f>
        <v>44636</v>
      </c>
      <c r="F18" s="161"/>
      <c r="G18" s="162">
        <f>IFERROR(__xludf.DUMMYFUNCTION("""COMPUTED_VALUE"""),42.96666666666667)</f>
        <v>42.96666667</v>
      </c>
      <c r="H18" s="163">
        <f>IFERROR(__xludf.DUMMYFUNCTION("""COMPUTED_VALUE"""),44636.0)</f>
        <v>44636</v>
      </c>
      <c r="I18" s="162">
        <f>IFERROR(__xludf.DUMMYFUNCTION("""COMPUTED_VALUE"""),0.0)</f>
        <v>0</v>
      </c>
      <c r="J18" s="164">
        <f>IFERROR(__xludf.DUMMYFUNCTION("""COMPUTED_VALUE"""),83.5)</f>
        <v>83.5</v>
      </c>
      <c r="K18" s="164">
        <f>IFERROR(__xludf.DUMMYFUNCTION("""COMPUTED_VALUE"""),12.0)</f>
        <v>12</v>
      </c>
      <c r="L18" s="158" t="str">
        <f>IFERROR(__xludf.DUMMYFUNCTION("""COMPUTED_VALUE"""),"Action-Adventure")</f>
        <v>Action-Adventure</v>
      </c>
      <c r="M18" s="158"/>
      <c r="N18" s="158" t="str">
        <f>IFERROR(__xludf.DUMMYFUNCTION("""COMPUTED_VALUE"""),"Game Pass Essential (3/26/25)")</f>
        <v>Game Pass Essential (3/26/25)</v>
      </c>
      <c r="O18" s="158" t="str">
        <f>IFERROR(__xludf.DUMMYFUNCTION("""COMPUTED_VALUE"""),"E10+")</f>
        <v>E10+</v>
      </c>
      <c r="P18" s="158" t="str">
        <f>IFERROR(__xludf.DUMMYFUNCTION("""COMPUTED_VALUE"""),"Fantasy Violence")</f>
        <v>Fantasy Violence</v>
      </c>
      <c r="Q18" s="158"/>
      <c r="R18" s="165"/>
      <c r="S18" s="165"/>
    </row>
    <row r="19">
      <c r="A19" s="158" t="str">
        <f>IFERROR(__xludf.DUMMYFUNCTION("""COMPUTED_VALUE"""),"Stardew Valley")</f>
        <v>Stardew Valley</v>
      </c>
      <c r="B19" s="158" t="str">
        <f>IFERROR(__xludf.DUMMYFUNCTION("""COMPUTED_VALUE"""),"Xbox / PC")</f>
        <v>Xbox / PC</v>
      </c>
      <c r="C19" s="158" t="str">
        <f>IFERROR(__xludf.DUMMYFUNCTION("""COMPUTED_VALUE"""),"Touch Controls")</f>
        <v>Touch Controls</v>
      </c>
      <c r="D19" s="159" t="str">
        <f>IFERROR(__xludf.DUMMYFUNCTION("""COMPUTED_VALUE"""),"Active")</f>
        <v>Active</v>
      </c>
      <c r="E19" s="160">
        <f>IFERROR(__xludf.DUMMYFUNCTION("""COMPUTED_VALUE"""),44532.0)</f>
        <v>44532</v>
      </c>
      <c r="F19" s="161"/>
      <c r="G19" s="162">
        <f>IFERROR(__xludf.DUMMYFUNCTION("""COMPUTED_VALUE"""),46.43333333333334)</f>
        <v>46.43333333</v>
      </c>
      <c r="H19" s="163">
        <f>IFERROR(__xludf.DUMMYFUNCTION("""COMPUTED_VALUE"""),42426.0)</f>
        <v>42426</v>
      </c>
      <c r="I19" s="162">
        <f>IFERROR(__xludf.DUMMYFUNCTION("""COMPUTED_VALUE"""),5.766666666666667)</f>
        <v>5.766666667</v>
      </c>
      <c r="J19" s="164">
        <f>IFERROR(__xludf.DUMMYFUNCTION("""COMPUTED_VALUE"""),89.0)</f>
        <v>89</v>
      </c>
      <c r="K19" s="164">
        <f>IFERROR(__xludf.DUMMYFUNCTION("""COMPUTED_VALUE"""),52.5)</f>
        <v>52.5</v>
      </c>
      <c r="L19" s="158" t="str">
        <f>IFERROR(__xludf.DUMMYFUNCTION("""COMPUTED_VALUE"""),"RPG / Simulation / Fishing / Action-Adventure")</f>
        <v>RPG / Simulation / Fishing / Action-Adventure</v>
      </c>
      <c r="M19" s="158"/>
      <c r="N19" s="158" t="str">
        <f>IFERROR(__xludf.DUMMYFUNCTION("""COMPUTED_VALUE"""),"Game Pass Essential launch title (9/14/23)")</f>
        <v>Game Pass Essential launch title (9/14/23)</v>
      </c>
      <c r="O19" s="158" t="str">
        <f>IFERROR(__xludf.DUMMYFUNCTION("""COMPUTED_VALUE"""),"E10+")</f>
        <v>E10+</v>
      </c>
      <c r="P19" s="158" t="str">
        <f>IFERROR(__xludf.DUMMYFUNCTION("""COMPUTED_VALUE"""),"Fantasy Violence, Mild Blood, Mild Language, Simulated Gambling, Use of Alcohol And Tobacco")</f>
        <v>Fantasy Violence, Mild Blood, Mild Language, Simulated Gambling, Use of Alcohol And Tobacco</v>
      </c>
      <c r="Q19" s="158"/>
      <c r="R19" s="165"/>
      <c r="S19" s="165"/>
    </row>
    <row r="20">
      <c r="A20" s="158" t="str">
        <f>IFERROR(__xludf.DUMMYFUNCTION("""COMPUTED_VALUE"""),"Unpacking")</f>
        <v>Unpacking</v>
      </c>
      <c r="B20" s="158" t="str">
        <f>IFERROR(__xludf.DUMMYFUNCTION("""COMPUTED_VALUE"""),"Xbox / PC")</f>
        <v>Xbox / PC</v>
      </c>
      <c r="C20" s="158" t="str">
        <f>IFERROR(__xludf.DUMMYFUNCTION("""COMPUTED_VALUE"""),"Touch Controls")</f>
        <v>Touch Controls</v>
      </c>
      <c r="D20" s="159" t="str">
        <f>IFERROR(__xludf.DUMMYFUNCTION("""COMPUTED_VALUE"""),"Active")</f>
        <v>Active</v>
      </c>
      <c r="E20" s="160">
        <f>IFERROR(__xludf.DUMMYFUNCTION("""COMPUTED_VALUE"""),44502.0)</f>
        <v>44502</v>
      </c>
      <c r="F20" s="161"/>
      <c r="G20" s="162">
        <f>IFERROR(__xludf.DUMMYFUNCTION("""COMPUTED_VALUE"""),47.43333333333334)</f>
        <v>47.43333333</v>
      </c>
      <c r="H20" s="163">
        <f>IFERROR(__xludf.DUMMYFUNCTION("""COMPUTED_VALUE"""),44502.0)</f>
        <v>44502</v>
      </c>
      <c r="I20" s="162">
        <f>IFERROR(__xludf.DUMMYFUNCTION("""COMPUTED_VALUE"""),0.0)</f>
        <v>0</v>
      </c>
      <c r="J20" s="164">
        <f>IFERROR(__xludf.DUMMYFUNCTION("""COMPUTED_VALUE"""),82.0)</f>
        <v>82</v>
      </c>
      <c r="K20" s="164">
        <f>IFERROR(__xludf.DUMMYFUNCTION("""COMPUTED_VALUE"""),3.5)</f>
        <v>3.5</v>
      </c>
      <c r="L20" s="158" t="str">
        <f>IFERROR(__xludf.DUMMYFUNCTION("""COMPUTED_VALUE"""),"Simulation / Puzzle")</f>
        <v>Simulation / Puzzle</v>
      </c>
      <c r="M20" s="158"/>
      <c r="N20" s="158" t="str">
        <f>IFERROR(__xludf.DUMMYFUNCTION("""COMPUTED_VALUE"""),"Game Pass Essential launch title (9/14/23)")</f>
        <v>Game Pass Essential launch title (9/14/23)</v>
      </c>
      <c r="O20" s="158" t="str">
        <f>IFERROR(__xludf.DUMMYFUNCTION("""COMPUTED_VALUE"""),"E")</f>
        <v>E</v>
      </c>
      <c r="P20" s="158"/>
      <c r="Q20" s="158"/>
      <c r="R20" s="165"/>
      <c r="S20" s="165"/>
    </row>
    <row r="21">
      <c r="A21" s="158" t="str">
        <f>IFERROR(__xludf.DUMMYFUNCTION("""COMPUTED_VALUE"""),"Superliminal")</f>
        <v>Superliminal</v>
      </c>
      <c r="B21" s="158" t="str">
        <f>IFERROR(__xludf.DUMMYFUNCTION("""COMPUTED_VALUE"""),"Xbox / PC")</f>
        <v>Xbox / PC</v>
      </c>
      <c r="C21" s="158" t="str">
        <f>IFERROR(__xludf.DUMMYFUNCTION("""COMPUTED_VALUE"""),"Touch Controls")</f>
        <v>Touch Controls</v>
      </c>
      <c r="D21" s="159" t="str">
        <f>IFERROR(__xludf.DUMMYFUNCTION("""COMPUTED_VALUE"""),"Active")</f>
        <v>Active</v>
      </c>
      <c r="E21" s="160">
        <f>IFERROR(__xludf.DUMMYFUNCTION("""COMPUTED_VALUE"""),44455.0)</f>
        <v>44455</v>
      </c>
      <c r="F21" s="161"/>
      <c r="G21" s="162">
        <f>IFERROR(__xludf.DUMMYFUNCTION("""COMPUTED_VALUE"""),48.96666666666667)</f>
        <v>48.96666667</v>
      </c>
      <c r="H21" s="163">
        <f>IFERROR(__xludf.DUMMYFUNCTION("""COMPUTED_VALUE"""),43781.0)</f>
        <v>43781</v>
      </c>
      <c r="I21" s="162">
        <f>IFERROR(__xludf.DUMMYFUNCTION("""COMPUTED_VALUE"""),1.8444444444444446)</f>
        <v>1.844444444</v>
      </c>
      <c r="J21" s="164">
        <f>IFERROR(__xludf.DUMMYFUNCTION("""COMPUTED_VALUE"""),77.0)</f>
        <v>77</v>
      </c>
      <c r="K21" s="164">
        <f>IFERROR(__xludf.DUMMYFUNCTION("""COMPUTED_VALUE"""),2.5)</f>
        <v>2.5</v>
      </c>
      <c r="L21" s="158" t="str">
        <f>IFERROR(__xludf.DUMMYFUNCTION("""COMPUTED_VALUE"""),"Puzzle")</f>
        <v>Puzzle</v>
      </c>
      <c r="M21" s="158"/>
      <c r="N21" s="158" t="str">
        <f>IFERROR(__xludf.DUMMYFUNCTION("""COMPUTED_VALUE"""),"Game Pass Essential launch title (9/14/23)")</f>
        <v>Game Pass Essential launch title (9/14/23)</v>
      </c>
      <c r="O21" s="158" t="str">
        <f>IFERROR(__xludf.DUMMYFUNCTION("""COMPUTED_VALUE"""),"E")</f>
        <v>E</v>
      </c>
      <c r="P21" s="158" t="str">
        <f>IFERROR(__xludf.DUMMYFUNCTION("""COMPUTED_VALUE"""),"Mild Blood")</f>
        <v>Mild Blood</v>
      </c>
      <c r="Q21" s="158"/>
      <c r="R21" s="165"/>
      <c r="S21" s="165"/>
    </row>
    <row r="22">
      <c r="A22" s="158" t="str">
        <f>IFERROR(__xludf.DUMMYFUNCTION("""COMPUTED_VALUE"""),"Psychonauts 2")</f>
        <v>Psychonauts 2</v>
      </c>
      <c r="B22" s="158" t="str">
        <f>IFERROR(__xludf.DUMMYFUNCTION("""COMPUTED_VALUE"""),"Xbox / PC")</f>
        <v>Xbox / PC</v>
      </c>
      <c r="C22" s="158" t="str">
        <f>IFERROR(__xludf.DUMMYFUNCTION("""COMPUTED_VALUE"""),"Touch Controls")</f>
        <v>Touch Controls</v>
      </c>
      <c r="D22" s="159" t="str">
        <f>IFERROR(__xludf.DUMMYFUNCTION("""COMPUTED_VALUE"""),"Active")</f>
        <v>Active</v>
      </c>
      <c r="E22" s="160">
        <f>IFERROR(__xludf.DUMMYFUNCTION("""COMPUTED_VALUE"""),44433.0)</f>
        <v>44433</v>
      </c>
      <c r="F22" s="161"/>
      <c r="G22" s="162">
        <f>IFERROR(__xludf.DUMMYFUNCTION("""COMPUTED_VALUE"""),49.66666666666667)</f>
        <v>49.66666667</v>
      </c>
      <c r="H22" s="163">
        <f>IFERROR(__xludf.DUMMYFUNCTION("""COMPUTED_VALUE"""),44433.0)</f>
        <v>44433</v>
      </c>
      <c r="I22" s="162">
        <f>IFERROR(__xludf.DUMMYFUNCTION("""COMPUTED_VALUE"""),0.0)</f>
        <v>0</v>
      </c>
      <c r="J22" s="164">
        <f>IFERROR(__xludf.DUMMYFUNCTION("""COMPUTED_VALUE"""),89.0)</f>
        <v>89</v>
      </c>
      <c r="K22" s="164">
        <f>IFERROR(__xludf.DUMMYFUNCTION("""COMPUTED_VALUE"""),14.0)</f>
        <v>14</v>
      </c>
      <c r="L22" s="158" t="str">
        <f>IFERROR(__xludf.DUMMYFUNCTION("""COMPUTED_VALUE"""),"Platformer / Action-Adventure")</f>
        <v>Platformer / Action-Adventure</v>
      </c>
      <c r="M22" s="158"/>
      <c r="N22" s="158" t="str">
        <f>IFERROR(__xludf.DUMMYFUNCTION("""COMPUTED_VALUE"""),"Game Pass Essential launch title (9/14/23)")</f>
        <v>Game Pass Essential launch title (9/14/23)</v>
      </c>
      <c r="O22" s="158" t="str">
        <f>IFERROR(__xludf.DUMMYFUNCTION("""COMPUTED_VALUE"""),"T")</f>
        <v>T</v>
      </c>
      <c r="P22" s="158" t="str">
        <f>IFERROR(__xludf.DUMMYFUNCTION("""COMPUTED_VALUE"""),"Fantasy Violence, Crude Humor, Use of Tobacco, Alcohol Reference, Mild Language, Mild Suggestive Themes")</f>
        <v>Fantasy Violence, Crude Humor, Use of Tobacco, Alcohol Reference, Mild Language, Mild Suggestive Themes</v>
      </c>
      <c r="Q22" s="158"/>
      <c r="R22" s="165"/>
      <c r="S22" s="165"/>
    </row>
    <row r="23">
      <c r="A23" s="158" t="str">
        <f>IFERROR(__xludf.DUMMYFUNCTION("""COMPUTED_VALUE"""),"Gang Beasts")</f>
        <v>Gang Beasts</v>
      </c>
      <c r="B23" s="158" t="str">
        <f>IFERROR(__xludf.DUMMYFUNCTION("""COMPUTED_VALUE"""),"Xbox / PC")</f>
        <v>Xbox / PC</v>
      </c>
      <c r="C23" s="158" t="str">
        <f>IFERROR(__xludf.DUMMYFUNCTION("""COMPUTED_VALUE"""),"Yes")</f>
        <v>Yes</v>
      </c>
      <c r="D23" s="159" t="str">
        <f>IFERROR(__xludf.DUMMYFUNCTION("""COMPUTED_VALUE"""),"Active")</f>
        <v>Active</v>
      </c>
      <c r="E23" s="160">
        <f>IFERROR(__xludf.DUMMYFUNCTION("""COMPUTED_VALUE"""),44378.0)</f>
        <v>44378</v>
      </c>
      <c r="F23" s="161"/>
      <c r="G23" s="162">
        <f>IFERROR(__xludf.DUMMYFUNCTION("""COMPUTED_VALUE"""),51.46666666666667)</f>
        <v>51.46666667</v>
      </c>
      <c r="H23" s="163">
        <f>IFERROR(__xludf.DUMMYFUNCTION("""COMPUTED_VALUE"""),41880.0)</f>
        <v>41880</v>
      </c>
      <c r="I23" s="162">
        <f>IFERROR(__xludf.DUMMYFUNCTION("""COMPUTED_VALUE"""),6.838888888888889)</f>
        <v>6.838888889</v>
      </c>
      <c r="J23" s="164">
        <f>IFERROR(__xludf.DUMMYFUNCTION("""COMPUTED_VALUE"""),67.0)</f>
        <v>67</v>
      </c>
      <c r="K23" s="164">
        <f>IFERROR(__xludf.DUMMYFUNCTION("""COMPUTED_VALUE"""),3.5)</f>
        <v>3.5</v>
      </c>
      <c r="L23" s="158" t="str">
        <f>IFERROR(__xludf.DUMMYFUNCTION("""COMPUTED_VALUE"""),"Brawler")</f>
        <v>Brawler</v>
      </c>
      <c r="M23" s="158"/>
      <c r="N23" s="158" t="str">
        <f>IFERROR(__xludf.DUMMYFUNCTION("""COMPUTED_VALUE"""),"Game Pass Essential launch title (9/14/23)")</f>
        <v>Game Pass Essential launch title (9/14/23)</v>
      </c>
      <c r="O23" s="158" t="str">
        <f>IFERROR(__xludf.DUMMYFUNCTION("""COMPUTED_VALUE"""),"E10+")</f>
        <v>E10+</v>
      </c>
      <c r="P23" s="158" t="str">
        <f>IFERROR(__xludf.DUMMYFUNCTION("""COMPUTED_VALUE"""),"Cartoon Violence")</f>
        <v>Cartoon Violence</v>
      </c>
      <c r="Q23" s="158"/>
      <c r="R23" s="165"/>
      <c r="S23" s="165"/>
    </row>
    <row r="24">
      <c r="A24" s="158" t="str">
        <f>IFERROR(__xludf.DUMMYFUNCTION("""COMPUTED_VALUE"""),"Wreckfest")</f>
        <v>Wreckfest</v>
      </c>
      <c r="B24" s="158" t="str">
        <f>IFERROR(__xludf.DUMMYFUNCTION("""COMPUTED_VALUE"""),"Xbox / PC")</f>
        <v>Xbox / PC</v>
      </c>
      <c r="C24" s="158" t="str">
        <f>IFERROR(__xludf.DUMMYFUNCTION("""COMPUTED_VALUE"""),"Touch Controls")</f>
        <v>Touch Controls</v>
      </c>
      <c r="D24" s="159" t="str">
        <f>IFERROR(__xludf.DUMMYFUNCTION("""COMPUTED_VALUE"""),"Active")</f>
        <v>Active</v>
      </c>
      <c r="E24" s="160">
        <f>IFERROR(__xludf.DUMMYFUNCTION("""COMPUTED_VALUE"""),44245.0)</f>
        <v>44245</v>
      </c>
      <c r="F24" s="161"/>
      <c r="G24" s="162">
        <f>IFERROR(__xludf.DUMMYFUNCTION("""COMPUTED_VALUE"""),55.9)</f>
        <v>55.9</v>
      </c>
      <c r="H24" s="163">
        <f>IFERROR(__xludf.DUMMYFUNCTION("""COMPUTED_VALUE"""),43265.0)</f>
        <v>43265</v>
      </c>
      <c r="I24" s="162">
        <f>IFERROR(__xludf.DUMMYFUNCTION("""COMPUTED_VALUE"""),2.6777777777777776)</f>
        <v>2.677777778</v>
      </c>
      <c r="J24" s="164">
        <f>IFERROR(__xludf.DUMMYFUNCTION("""COMPUTED_VALUE"""),82.0)</f>
        <v>82</v>
      </c>
      <c r="K24" s="164">
        <f>IFERROR(__xludf.DUMMYFUNCTION("""COMPUTED_VALUE"""),19.5)</f>
        <v>19.5</v>
      </c>
      <c r="L24" s="158" t="str">
        <f>IFERROR(__xludf.DUMMYFUNCTION("""COMPUTED_VALUE"""),"Driving/Racing")</f>
        <v>Driving/Racing</v>
      </c>
      <c r="M24" s="158"/>
      <c r="N24" s="158" t="str">
        <f>IFERROR(__xludf.DUMMYFUNCTION("""COMPUTED_VALUE"""),"Game Pass Essential (4/23/24)")</f>
        <v>Game Pass Essential (4/23/24)</v>
      </c>
      <c r="O24" s="158" t="str">
        <f>IFERROR(__xludf.DUMMYFUNCTION("""COMPUTED_VALUE"""),"T")</f>
        <v>T</v>
      </c>
      <c r="P24" s="158" t="str">
        <f>IFERROR(__xludf.DUMMYFUNCTION("""COMPUTED_VALUE"""),"Mild Violence, Mild Lyrics")</f>
        <v>Mild Violence, Mild Lyrics</v>
      </c>
      <c r="Q24" s="158"/>
      <c r="R24" s="165"/>
      <c r="S24" s="165"/>
    </row>
    <row r="25">
      <c r="A25" s="158" t="str">
        <f>IFERROR(__xludf.DUMMYFUNCTION("""COMPUTED_VALUE"""),"Among Us")</f>
        <v>Among Us</v>
      </c>
      <c r="B25" s="158" t="str">
        <f>IFERROR(__xludf.DUMMYFUNCTION("""COMPUTED_VALUE"""),"Xbox / PC")</f>
        <v>Xbox / PC</v>
      </c>
      <c r="C25" s="158" t="str">
        <f>IFERROR(__xludf.DUMMYFUNCTION("""COMPUTED_VALUE"""),"Touch Controls")</f>
        <v>Touch Controls</v>
      </c>
      <c r="D25" s="159" t="str">
        <f>IFERROR(__xludf.DUMMYFUNCTION("""COMPUTED_VALUE"""),"Active")</f>
        <v>Active</v>
      </c>
      <c r="E25" s="160">
        <f>IFERROR(__xludf.DUMMYFUNCTION("""COMPUTED_VALUE"""),44182.0)</f>
        <v>44182</v>
      </c>
      <c r="F25" s="161"/>
      <c r="G25" s="162">
        <f>IFERROR(__xludf.DUMMYFUNCTION("""COMPUTED_VALUE"""),57.93333333333333)</f>
        <v>57.93333333</v>
      </c>
      <c r="H25" s="163">
        <f>IFERROR(__xludf.DUMMYFUNCTION("""COMPUTED_VALUE"""),43267.0)</f>
        <v>43267</v>
      </c>
      <c r="I25" s="162">
        <f>IFERROR(__xludf.DUMMYFUNCTION("""COMPUTED_VALUE"""),2.5027777777777778)</f>
        <v>2.502777778</v>
      </c>
      <c r="J25" s="164">
        <f>IFERROR(__xludf.DUMMYFUNCTION("""COMPUTED_VALUE"""),85.0)</f>
        <v>85</v>
      </c>
      <c r="K25" s="164">
        <f>IFERROR(__xludf.DUMMYFUNCTION("""COMPUTED_VALUE"""),14.0)</f>
        <v>14</v>
      </c>
      <c r="L25" s="158" t="str">
        <f>IFERROR(__xludf.DUMMYFUNCTION("""COMPUTED_VALUE"""),"Strategy")</f>
        <v>Strategy</v>
      </c>
      <c r="M25" s="158"/>
      <c r="N25" s="158" t="str">
        <f>IFERROR(__xludf.DUMMYFUNCTION("""COMPUTED_VALUE"""),"Game Pass Essential launch title (9/14/23), Joined console and cloud 12/14/21")</f>
        <v>Game Pass Essential launch title (9/14/23), Joined console and cloud 12/14/21</v>
      </c>
      <c r="O25" s="158" t="str">
        <f>IFERROR(__xludf.DUMMYFUNCTION("""COMPUTED_VALUE"""),"E10+")</f>
        <v>E10+</v>
      </c>
      <c r="P25" s="158" t="str">
        <f>IFERROR(__xludf.DUMMYFUNCTION("""COMPUTED_VALUE"""),"Fantasy Violence, Mild Blood")</f>
        <v>Fantasy Violence, Mild Blood</v>
      </c>
      <c r="Q25" s="158"/>
      <c r="R25" s="165"/>
      <c r="S25" s="165"/>
    </row>
    <row r="26">
      <c r="A26" s="158" t="str">
        <f>IFERROR(__xludf.DUMMYFUNCTION("""COMPUTED_VALUE"""),"Monster Sanctuary")</f>
        <v>Monster Sanctuary</v>
      </c>
      <c r="B26" s="158" t="str">
        <f>IFERROR(__xludf.DUMMYFUNCTION("""COMPUTED_VALUE"""),"Xbox / PC")</f>
        <v>Xbox / PC</v>
      </c>
      <c r="C26" s="158" t="str">
        <f>IFERROR(__xludf.DUMMYFUNCTION("""COMPUTED_VALUE"""),"Touch Controls")</f>
        <v>Touch Controls</v>
      </c>
      <c r="D26" s="159" t="str">
        <f>IFERROR(__xludf.DUMMYFUNCTION("""COMPUTED_VALUE"""),"Active")</f>
        <v>Active</v>
      </c>
      <c r="E26" s="160">
        <f>IFERROR(__xludf.DUMMYFUNCTION("""COMPUTED_VALUE"""),44173.0)</f>
        <v>44173</v>
      </c>
      <c r="F26" s="161"/>
      <c r="G26" s="162">
        <f>IFERROR(__xludf.DUMMYFUNCTION("""COMPUTED_VALUE"""),58.233333333333334)</f>
        <v>58.23333333</v>
      </c>
      <c r="H26" s="163">
        <f>IFERROR(__xludf.DUMMYFUNCTION("""COMPUTED_VALUE"""),43705.0)</f>
        <v>43705</v>
      </c>
      <c r="I26" s="162">
        <f>IFERROR(__xludf.DUMMYFUNCTION("""COMPUTED_VALUE"""),1.2777777777777777)</f>
        <v>1.277777778</v>
      </c>
      <c r="J26" s="164">
        <f>IFERROR(__xludf.DUMMYFUNCTION("""COMPUTED_VALUE"""),82.0)</f>
        <v>82</v>
      </c>
      <c r="K26" s="164">
        <f>IFERROR(__xludf.DUMMYFUNCTION("""COMPUTED_VALUE"""),27.0)</f>
        <v>27</v>
      </c>
      <c r="L26" s="158" t="str">
        <f>IFERROR(__xludf.DUMMYFUNCTION("""COMPUTED_VALUE"""),"Adventure / Platformer")</f>
        <v>Adventure / Platformer</v>
      </c>
      <c r="M26" s="158"/>
      <c r="N26" s="158" t="str">
        <f>IFERROR(__xludf.DUMMYFUNCTION("""COMPUTED_VALUE"""),"Game Pass Essential (3/26/25)")</f>
        <v>Game Pass Essential (3/26/25)</v>
      </c>
      <c r="O26" s="158" t="str">
        <f>IFERROR(__xludf.DUMMYFUNCTION("""COMPUTED_VALUE"""),"E10+")</f>
        <v>E10+</v>
      </c>
      <c r="P26" s="158" t="str">
        <f>IFERROR(__xludf.DUMMYFUNCTION("""COMPUTED_VALUE"""),"Fantasy Violence, Mild Blood, Tobacco Reference")</f>
        <v>Fantasy Violence, Mild Blood, Tobacco Reference</v>
      </c>
      <c r="Q26" s="158"/>
      <c r="R26" s="165"/>
      <c r="S26" s="165"/>
    </row>
    <row r="27">
      <c r="A27" s="158" t="str">
        <f>IFERROR(__xludf.DUMMYFUNCTION("""COMPUTED_VALUE"""),"Deep Rock Galactic")</f>
        <v>Deep Rock Galactic</v>
      </c>
      <c r="B27" s="158" t="str">
        <f>IFERROR(__xludf.DUMMYFUNCTION("""COMPUTED_VALUE"""),"Xbox / PC")</f>
        <v>Xbox / PC</v>
      </c>
      <c r="C27" s="158" t="str">
        <f>IFERROR(__xludf.DUMMYFUNCTION("""COMPUTED_VALUE"""),"M+KB")</f>
        <v>M+KB</v>
      </c>
      <c r="D27" s="159" t="str">
        <f>IFERROR(__xludf.DUMMYFUNCTION("""COMPUTED_VALUE"""),"Active")</f>
        <v>Active</v>
      </c>
      <c r="E27" s="160">
        <f>IFERROR(__xludf.DUMMYFUNCTION("""COMPUTED_VALUE"""),44140.0)</f>
        <v>44140</v>
      </c>
      <c r="F27" s="161"/>
      <c r="G27" s="162">
        <f>IFERROR(__xludf.DUMMYFUNCTION("""COMPUTED_VALUE"""),59.333333333333336)</f>
        <v>59.33333333</v>
      </c>
      <c r="H27" s="163">
        <f>IFERROR(__xludf.DUMMYFUNCTION("""COMPUTED_VALUE"""),43964.0)</f>
        <v>43964</v>
      </c>
      <c r="I27" s="162">
        <f>IFERROR(__xludf.DUMMYFUNCTION("""COMPUTED_VALUE"""),0.4777777777777778)</f>
        <v>0.4777777778</v>
      </c>
      <c r="J27" s="164">
        <f>IFERROR(__xludf.DUMMYFUNCTION("""COMPUTED_VALUE"""),84.0)</f>
        <v>84</v>
      </c>
      <c r="K27" s="164">
        <f>IFERROR(__xludf.DUMMYFUNCTION("""COMPUTED_VALUE"""),119.0)</f>
        <v>119</v>
      </c>
      <c r="L27" s="158" t="str">
        <f>IFERROR(__xludf.DUMMYFUNCTION("""COMPUTED_VALUE"""),"First-Person Shooter")</f>
        <v>First-Person Shooter</v>
      </c>
      <c r="M27" s="158"/>
      <c r="N27" s="158" t="str">
        <f>IFERROR(__xludf.DUMMYFUNCTION("""COMPUTED_VALUE"""),"Game Pass Essential (4/23/24)")</f>
        <v>Game Pass Essential (4/23/24)</v>
      </c>
      <c r="O27" s="158" t="str">
        <f>IFERROR(__xludf.DUMMYFUNCTION("""COMPUTED_VALUE"""),"T")</f>
        <v>T</v>
      </c>
      <c r="P27" s="158" t="str">
        <f>IFERROR(__xludf.DUMMYFUNCTION("""COMPUTED_VALUE"""),"Violence, Blood, Use of Alcohol, Language")</f>
        <v>Violence, Blood, Use of Alcohol, Language</v>
      </c>
      <c r="Q27" s="158"/>
      <c r="R27" s="165"/>
      <c r="S27" s="165"/>
    </row>
    <row r="28">
      <c r="A28" s="158" t="str">
        <f>IFERROR(__xludf.DUMMYFUNCTION("""COMPUTED_VALUE"""),"DOOM Eternal")</f>
        <v>DOOM Eternal</v>
      </c>
      <c r="B28" s="158" t="str">
        <f>IFERROR(__xludf.DUMMYFUNCTION("""COMPUTED_VALUE"""),"Xbox / PC")</f>
        <v>Xbox / PC</v>
      </c>
      <c r="C28" s="158" t="str">
        <f>IFERROR(__xludf.DUMMYFUNCTION("""COMPUTED_VALUE"""),"Yes")</f>
        <v>Yes</v>
      </c>
      <c r="D28" s="159" t="str">
        <f>IFERROR(__xludf.DUMMYFUNCTION("""COMPUTED_VALUE"""),"Active")</f>
        <v>Active</v>
      </c>
      <c r="E28" s="160">
        <f>IFERROR(__xludf.DUMMYFUNCTION("""COMPUTED_VALUE"""),44105.0)</f>
        <v>44105</v>
      </c>
      <c r="F28" s="161"/>
      <c r="G28" s="162">
        <f>IFERROR(__xludf.DUMMYFUNCTION("""COMPUTED_VALUE"""),60.46666666666667)</f>
        <v>60.46666667</v>
      </c>
      <c r="H28" s="163">
        <f>IFERROR(__xludf.DUMMYFUNCTION("""COMPUTED_VALUE"""),43910.0)</f>
        <v>43910</v>
      </c>
      <c r="I28" s="162">
        <f>IFERROR(__xludf.DUMMYFUNCTION("""COMPUTED_VALUE"""),0.5305555555555556)</f>
        <v>0.5305555556</v>
      </c>
      <c r="J28" s="164">
        <f>IFERROR(__xludf.DUMMYFUNCTION("""COMPUTED_VALUE"""),88.0)</f>
        <v>88</v>
      </c>
      <c r="K28" s="164">
        <f>IFERROR(__xludf.DUMMYFUNCTION("""COMPUTED_VALUE"""),13.5)</f>
        <v>13.5</v>
      </c>
      <c r="L28" s="158" t="str">
        <f>IFERROR(__xludf.DUMMYFUNCTION("""COMPUTED_VALUE"""),"First-Person Shooter")</f>
        <v>First-Person Shooter</v>
      </c>
      <c r="M28" s="158" t="str">
        <f>IFERROR(__xludf.DUMMYFUNCTION("""COMPUTED_VALUE"""),"Optimized")</f>
        <v>Optimized</v>
      </c>
      <c r="N28" s="158" t="str">
        <f>IFERROR(__xludf.DUMMYFUNCTION("""COMPUTED_VALUE"""),"Game Pass Essential launch title (9/14/23)")</f>
        <v>Game Pass Essential launch title (9/14/23)</v>
      </c>
      <c r="O28" s="158" t="str">
        <f>IFERROR(__xludf.DUMMYFUNCTION("""COMPUTED_VALUE"""),"M")</f>
        <v>M</v>
      </c>
      <c r="P28" s="158" t="str">
        <f>IFERROR(__xludf.DUMMYFUNCTION("""COMPUTED_VALUE"""),"Blood and Gore, Intense Violence")</f>
        <v>Blood and Gore, Intense Violence</v>
      </c>
      <c r="Q28" s="158"/>
      <c r="R28" s="165"/>
      <c r="S28" s="165"/>
    </row>
    <row r="29">
      <c r="A29" s="158" t="str">
        <f>IFERROR(__xludf.DUMMYFUNCTION("""COMPUTED_VALUE"""),"Grounded")</f>
        <v>Grounded</v>
      </c>
      <c r="B29" s="158" t="str">
        <f>IFERROR(__xludf.DUMMYFUNCTION("""COMPUTED_VALUE"""),"Xbox / PC")</f>
        <v>Xbox / PC</v>
      </c>
      <c r="C29" s="158" t="str">
        <f>IFERROR(__xludf.DUMMYFUNCTION("""COMPUTED_VALUE"""),"M+KB")</f>
        <v>M+KB</v>
      </c>
      <c r="D29" s="159" t="str">
        <f>IFERROR(__xludf.DUMMYFUNCTION("""COMPUTED_VALUE"""),"Active")</f>
        <v>Active</v>
      </c>
      <c r="E29" s="160">
        <f>IFERROR(__xludf.DUMMYFUNCTION("""COMPUTED_VALUE"""),44040.0)</f>
        <v>44040</v>
      </c>
      <c r="F29" s="161"/>
      <c r="G29" s="162">
        <f>IFERROR(__xludf.DUMMYFUNCTION("""COMPUTED_VALUE"""),62.56666666666666)</f>
        <v>62.56666667</v>
      </c>
      <c r="H29" s="163">
        <f>IFERROR(__xludf.DUMMYFUNCTION("""COMPUTED_VALUE"""),44040.0)</f>
        <v>44040</v>
      </c>
      <c r="I29" s="162">
        <f>IFERROR(__xludf.DUMMYFUNCTION("""COMPUTED_VALUE"""),0.0)</f>
        <v>0</v>
      </c>
      <c r="J29" s="164">
        <f>IFERROR(__xludf.DUMMYFUNCTION("""COMPUTED_VALUE"""),65.0)</f>
        <v>65</v>
      </c>
      <c r="K29" s="164">
        <f>IFERROR(__xludf.DUMMYFUNCTION("""COMPUTED_VALUE"""),6.5)</f>
        <v>6.5</v>
      </c>
      <c r="L29" s="158" t="str">
        <f>IFERROR(__xludf.DUMMYFUNCTION("""COMPUTED_VALUE"""),"Action-Adventure")</f>
        <v>Action-Adventure</v>
      </c>
      <c r="M29" s="158" t="str">
        <f>IFERROR(__xludf.DUMMYFUNCTION("""COMPUTED_VALUE"""),"Optimized")</f>
        <v>Optimized</v>
      </c>
      <c r="N29" s="158" t="str">
        <f>IFERROR(__xludf.DUMMYFUNCTION("""COMPUTED_VALUE"""),"Game Pass Essential launch title (9/14/23), Game launches with campaign 9/27/22, game preview up until then")</f>
        <v>Game Pass Essential launch title (9/14/23), Game launches with campaign 9/27/22, game preview up until then</v>
      </c>
      <c r="O29" s="158" t="str">
        <f>IFERROR(__xludf.DUMMYFUNCTION("""COMPUTED_VALUE"""),"T")</f>
        <v>T</v>
      </c>
      <c r="P29" s="158" t="str">
        <f>IFERROR(__xludf.DUMMYFUNCTION("""COMPUTED_VALUE"""),"Violence, Blood, Drug Reference, Language")</f>
        <v>Violence, Blood, Drug Reference, Language</v>
      </c>
      <c r="Q29" s="158"/>
      <c r="R29" s="165"/>
      <c r="S29" s="165"/>
    </row>
    <row r="30">
      <c r="A30" s="158" t="str">
        <f>IFERROR(__xludf.DUMMYFUNCTION("""COMPUTED_VALUE"""),"Fallout 76")</f>
        <v>Fallout 76</v>
      </c>
      <c r="B30" s="158" t="str">
        <f>IFERROR(__xludf.DUMMYFUNCTION("""COMPUTED_VALUE"""),"Xbox / PC")</f>
        <v>Xbox / PC</v>
      </c>
      <c r="C30" s="158" t="str">
        <f>IFERROR(__xludf.DUMMYFUNCTION("""COMPUTED_VALUE"""),"Yes")</f>
        <v>Yes</v>
      </c>
      <c r="D30" s="159" t="str">
        <f>IFERROR(__xludf.DUMMYFUNCTION("""COMPUTED_VALUE"""),"Active")</f>
        <v>Active</v>
      </c>
      <c r="E30" s="160">
        <f>IFERROR(__xludf.DUMMYFUNCTION("""COMPUTED_VALUE"""),44021.0)</f>
        <v>44021</v>
      </c>
      <c r="F30" s="161"/>
      <c r="G30" s="162">
        <f>IFERROR(__xludf.DUMMYFUNCTION("""COMPUTED_VALUE"""),63.2)</f>
        <v>63.2</v>
      </c>
      <c r="H30" s="163">
        <f>IFERROR(__xludf.DUMMYFUNCTION("""COMPUTED_VALUE"""),43418.0)</f>
        <v>43418</v>
      </c>
      <c r="I30" s="162">
        <f>IFERROR(__xludf.DUMMYFUNCTION("""COMPUTED_VALUE"""),1.6527777777777777)</f>
        <v>1.652777778</v>
      </c>
      <c r="J30" s="164">
        <f>IFERROR(__xludf.DUMMYFUNCTION("""COMPUTED_VALUE"""),68.0)</f>
        <v>68</v>
      </c>
      <c r="K30" s="164">
        <f>IFERROR(__xludf.DUMMYFUNCTION("""COMPUTED_VALUE"""),29.5)</f>
        <v>29.5</v>
      </c>
      <c r="L30" s="158" t="str">
        <f>IFERROR(__xludf.DUMMYFUNCTION("""COMPUTED_VALUE"""),"Sci-Fi / Alternate Historical / Post-Apocalyptic")</f>
        <v>Sci-Fi / Alternate Historical / Post-Apocalyptic</v>
      </c>
      <c r="M30" s="158" t="str">
        <f>IFERROR(__xludf.DUMMYFUNCTION("""COMPUTED_VALUE"""),"FPS Boost")</f>
        <v>FPS Boost</v>
      </c>
      <c r="N30" s="158" t="str">
        <f>IFERROR(__xludf.DUMMYFUNCTION("""COMPUTED_VALUE"""),"Game Pass Essential launch title (9/14/23), Official PC Mod Support")</f>
        <v>Game Pass Essential launch title (9/14/23), Official PC Mod Support</v>
      </c>
      <c r="O30" s="158" t="str">
        <f>IFERROR(__xludf.DUMMYFUNCTION("""COMPUTED_VALUE"""),"M")</f>
        <v>M</v>
      </c>
      <c r="P30" s="158" t="str">
        <f>IFERROR(__xludf.DUMMYFUNCTION("""COMPUTED_VALUE"""),"Use of Alcohol, Blood and Gore, Suggestive Themes, Drug Reference, Strong Language, Intense Violence")</f>
        <v>Use of Alcohol, Blood and Gore, Suggestive Themes, Drug Reference, Strong Language, Intense Violence</v>
      </c>
      <c r="Q30" s="158"/>
      <c r="R30" s="165"/>
      <c r="S30" s="165"/>
    </row>
    <row r="31">
      <c r="A31" s="158" t="str">
        <f>IFERROR(__xludf.DUMMYFUNCTION("""COMPUTED_VALUE"""),"Golf With Your Friends")</f>
        <v>Golf With Your Friends</v>
      </c>
      <c r="B31" s="158" t="str">
        <f>IFERROR(__xludf.DUMMYFUNCTION("""COMPUTED_VALUE"""),"Xbox / PC")</f>
        <v>Xbox / PC</v>
      </c>
      <c r="C31" s="158" t="str">
        <f>IFERROR(__xludf.DUMMYFUNCTION("""COMPUTED_VALUE"""),"Touch Controls")</f>
        <v>Touch Controls</v>
      </c>
      <c r="D31" s="159" t="str">
        <f>IFERROR(__xludf.DUMMYFUNCTION("""COMPUTED_VALUE"""),"Active")</f>
        <v>Active</v>
      </c>
      <c r="E31" s="160">
        <f>IFERROR(__xludf.DUMMYFUNCTION("""COMPUTED_VALUE"""),43970.0)</f>
        <v>43970</v>
      </c>
      <c r="F31" s="161"/>
      <c r="G31" s="162">
        <f>IFERROR(__xludf.DUMMYFUNCTION("""COMPUTED_VALUE"""),64.86666666666667)</f>
        <v>64.86666667</v>
      </c>
      <c r="H31" s="163">
        <f>IFERROR(__xludf.DUMMYFUNCTION("""COMPUTED_VALUE"""),43970.0)</f>
        <v>43970</v>
      </c>
      <c r="I31" s="162">
        <f>IFERROR(__xludf.DUMMYFUNCTION("""COMPUTED_VALUE"""),0.0)</f>
        <v>0</v>
      </c>
      <c r="J31" s="164">
        <f>IFERROR(__xludf.DUMMYFUNCTION("""COMPUTED_VALUE"""),68.0)</f>
        <v>68</v>
      </c>
      <c r="K31" s="164">
        <f>IFERROR(__xludf.DUMMYFUNCTION("""COMPUTED_VALUE"""),23.5)</f>
        <v>23.5</v>
      </c>
      <c r="L31" s="158" t="str">
        <f>IFERROR(__xludf.DUMMYFUNCTION("""COMPUTED_VALUE"""),"Sports / Golf")</f>
        <v>Sports / Golf</v>
      </c>
      <c r="M31" s="158" t="str">
        <f>IFERROR(__xludf.DUMMYFUNCTION("""COMPUTED_VALUE"""),"FPS Boost")</f>
        <v>FPS Boost</v>
      </c>
      <c r="N31" s="158" t="str">
        <f>IFERROR(__xludf.DUMMYFUNCTION("""COMPUTED_VALUE"""),"Game Pass Essential launch title (9/14/23)")</f>
        <v>Game Pass Essential launch title (9/14/23)</v>
      </c>
      <c r="O31" s="158" t="str">
        <f>IFERROR(__xludf.DUMMYFUNCTION("""COMPUTED_VALUE"""),"E10+")</f>
        <v>E10+</v>
      </c>
      <c r="P31" s="158" t="str">
        <f>IFERROR(__xludf.DUMMYFUNCTION("""COMPUTED_VALUE"""),"Mild Blood, Mild Fantasy Violence")</f>
        <v>Mild Blood, Mild Fantasy Violence</v>
      </c>
      <c r="Q31" s="158"/>
      <c r="R31" s="165"/>
      <c r="S31" s="165"/>
    </row>
    <row r="32">
      <c r="A32" s="158" t="str">
        <f>IFERROR(__xludf.DUMMYFUNCTION("""COMPUTED_VALUE"""),"DayZ")</f>
        <v>DayZ</v>
      </c>
      <c r="B32" s="158" t="str">
        <f>IFERROR(__xludf.DUMMYFUNCTION("""COMPUTED_VALUE"""),"Xbox")</f>
        <v>Xbox</v>
      </c>
      <c r="C32" s="158" t="str">
        <f>IFERROR(__xludf.DUMMYFUNCTION("""COMPUTED_VALUE"""),"Yes")</f>
        <v>Yes</v>
      </c>
      <c r="D32" s="159" t="str">
        <f>IFERROR(__xludf.DUMMYFUNCTION("""COMPUTED_VALUE"""),"Active")</f>
        <v>Active</v>
      </c>
      <c r="E32" s="160">
        <f>IFERROR(__xludf.DUMMYFUNCTION("""COMPUTED_VALUE"""),43958.0)</f>
        <v>43958</v>
      </c>
      <c r="F32" s="161"/>
      <c r="G32" s="162">
        <f>IFERROR(__xludf.DUMMYFUNCTION("""COMPUTED_VALUE"""),65.26666666666667)</f>
        <v>65.26666667</v>
      </c>
      <c r="H32" s="163">
        <f>IFERROR(__xludf.DUMMYFUNCTION("""COMPUTED_VALUE"""),41621.0)</f>
        <v>41621</v>
      </c>
      <c r="I32" s="162">
        <f>IFERROR(__xludf.DUMMYFUNCTION("""COMPUTED_VALUE"""),6.4)</f>
        <v>6.4</v>
      </c>
      <c r="J32" s="164">
        <f>IFERROR(__xludf.DUMMYFUNCTION("""COMPUTED_VALUE"""),56.0)</f>
        <v>56</v>
      </c>
      <c r="K32" s="164">
        <f>IFERROR(__xludf.DUMMYFUNCTION("""COMPUTED_VALUE"""),65.5)</f>
        <v>65.5</v>
      </c>
      <c r="L32" s="158" t="str">
        <f>IFERROR(__xludf.DUMMYFUNCTION("""COMPUTED_VALUE"""),"RPG / Simulation / First-Person Shooter")</f>
        <v>RPG / Simulation / First-Person Shooter</v>
      </c>
      <c r="M32" s="158"/>
      <c r="N32" s="158" t="str">
        <f>IFERROR(__xludf.DUMMYFUNCTION("""COMPUTED_VALUE"""),"Game Pass Essential (12/4/24)")</f>
        <v>Game Pass Essential (12/4/24)</v>
      </c>
      <c r="O32" s="158" t="str">
        <f>IFERROR(__xludf.DUMMYFUNCTION("""COMPUTED_VALUE"""),"M")</f>
        <v>M</v>
      </c>
      <c r="P32" s="158" t="str">
        <f>IFERROR(__xludf.DUMMYFUNCTION("""COMPUTED_VALUE"""),"Blood, Strong Language, Violence")</f>
        <v>Blood, Strong Language, Violence</v>
      </c>
      <c r="Q32" s="158"/>
      <c r="R32" s="165"/>
      <c r="S32" s="165"/>
    </row>
    <row r="33">
      <c r="A33" s="158" t="str">
        <f>IFERROR(__xludf.DUMMYFUNCTION("""COMPUTED_VALUE"""),"Totally Reliable Delivery Service")</f>
        <v>Totally Reliable Delivery Service</v>
      </c>
      <c r="B33" s="158" t="str">
        <f>IFERROR(__xludf.DUMMYFUNCTION("""COMPUTED_VALUE"""),"Xbox / PC")</f>
        <v>Xbox / PC</v>
      </c>
      <c r="C33" s="158" t="str">
        <f>IFERROR(__xludf.DUMMYFUNCTION("""COMPUTED_VALUE"""),"Yes")</f>
        <v>Yes</v>
      </c>
      <c r="D33" s="159" t="str">
        <f>IFERROR(__xludf.DUMMYFUNCTION("""COMPUTED_VALUE"""),"Active")</f>
        <v>Active</v>
      </c>
      <c r="E33" s="160">
        <f>IFERROR(__xludf.DUMMYFUNCTION("""COMPUTED_VALUE"""),43922.0)</f>
        <v>43922</v>
      </c>
      <c r="F33" s="161"/>
      <c r="G33" s="162">
        <f>IFERROR(__xludf.DUMMYFUNCTION("""COMPUTED_VALUE"""),66.46666666666667)</f>
        <v>66.46666667</v>
      </c>
      <c r="H33" s="163">
        <f>IFERROR(__xludf.DUMMYFUNCTION("""COMPUTED_VALUE"""),43922.0)</f>
        <v>43922</v>
      </c>
      <c r="I33" s="162">
        <f>IFERROR(__xludf.DUMMYFUNCTION("""COMPUTED_VALUE"""),0.0)</f>
        <v>0</v>
      </c>
      <c r="J33" s="164">
        <f>IFERROR(__xludf.DUMMYFUNCTION("""COMPUTED_VALUE"""),60.0)</f>
        <v>60</v>
      </c>
      <c r="K33" s="164">
        <f>IFERROR(__xludf.DUMMYFUNCTION("""COMPUTED_VALUE"""),1.0)</f>
        <v>1</v>
      </c>
      <c r="L33" s="158" t="str">
        <f>IFERROR(__xludf.DUMMYFUNCTION("""COMPUTED_VALUE"""),"Action / Simulation")</f>
        <v>Action / Simulation</v>
      </c>
      <c r="M33" s="158" t="str">
        <f>IFERROR(__xludf.DUMMYFUNCTION("""COMPUTED_VALUE"""),"FPS Boost")</f>
        <v>FPS Boost</v>
      </c>
      <c r="N33" s="158" t="str">
        <f>IFERROR(__xludf.DUMMYFUNCTION("""COMPUTED_VALUE"""),"Game Pass Essential (12/6/23), Joined PC 12/1/22")</f>
        <v>Game Pass Essential (12/6/23), Joined PC 12/1/22</v>
      </c>
      <c r="O33" s="158" t="str">
        <f>IFERROR(__xludf.DUMMYFUNCTION("""COMPUTED_VALUE"""),"E10+")</f>
        <v>E10+</v>
      </c>
      <c r="P33" s="158" t="str">
        <f>IFERROR(__xludf.DUMMYFUNCTION("""COMPUTED_VALUE"""),"Crude Humor, Mild Fantasy Violence")</f>
        <v>Crude Humor, Mild Fantasy Violence</v>
      </c>
      <c r="Q33" s="158"/>
      <c r="R33" s="165"/>
      <c r="S33" s="165"/>
    </row>
    <row r="34">
      <c r="A34" s="158" t="str">
        <f>IFERROR(__xludf.DUMMYFUNCTION("""COMPUTED_VALUE"""),"Ori and the Will of the Wisps")</f>
        <v>Ori and the Will of the Wisps</v>
      </c>
      <c r="B34" s="158" t="str">
        <f>IFERROR(__xludf.DUMMYFUNCTION("""COMPUTED_VALUE"""),"Xbox / PC")</f>
        <v>Xbox / PC</v>
      </c>
      <c r="C34" s="158" t="str">
        <f>IFERROR(__xludf.DUMMYFUNCTION("""COMPUTED_VALUE"""),"Yes")</f>
        <v>Yes</v>
      </c>
      <c r="D34" s="159" t="str">
        <f>IFERROR(__xludf.DUMMYFUNCTION("""COMPUTED_VALUE"""),"Active")</f>
        <v>Active</v>
      </c>
      <c r="E34" s="160">
        <f>IFERROR(__xludf.DUMMYFUNCTION("""COMPUTED_VALUE"""),43901.0)</f>
        <v>43901</v>
      </c>
      <c r="F34" s="161"/>
      <c r="G34" s="162">
        <f>IFERROR(__xludf.DUMMYFUNCTION("""COMPUTED_VALUE"""),67.13333333333333)</f>
        <v>67.13333333</v>
      </c>
      <c r="H34" s="163">
        <f>IFERROR(__xludf.DUMMYFUNCTION("""COMPUTED_VALUE"""),43901.0)</f>
        <v>43901</v>
      </c>
      <c r="I34" s="162">
        <f>IFERROR(__xludf.DUMMYFUNCTION("""COMPUTED_VALUE"""),0.0)</f>
        <v>0</v>
      </c>
      <c r="J34" s="164">
        <f>IFERROR(__xludf.DUMMYFUNCTION("""COMPUTED_VALUE"""),90.0)</f>
        <v>90</v>
      </c>
      <c r="K34" s="164">
        <f>IFERROR(__xludf.DUMMYFUNCTION("""COMPUTED_VALUE"""),11.0)</f>
        <v>11</v>
      </c>
      <c r="L34" s="158" t="str">
        <f>IFERROR(__xludf.DUMMYFUNCTION("""COMPUTED_VALUE"""),"Action / Platformer")</f>
        <v>Action / Platformer</v>
      </c>
      <c r="M34" s="158" t="str">
        <f>IFERROR(__xludf.DUMMYFUNCTION("""COMPUTED_VALUE"""),"Optimized")</f>
        <v>Optimized</v>
      </c>
      <c r="N34" s="158" t="str">
        <f>IFERROR(__xludf.DUMMYFUNCTION("""COMPUTED_VALUE"""),"Game Pass Essential launch title (9/14/23)")</f>
        <v>Game Pass Essential launch title (9/14/23)</v>
      </c>
      <c r="O34" s="158" t="str">
        <f>IFERROR(__xludf.DUMMYFUNCTION("""COMPUTED_VALUE"""),"E")</f>
        <v>E</v>
      </c>
      <c r="P34" s="158" t="str">
        <f>IFERROR(__xludf.DUMMYFUNCTION("""COMPUTED_VALUE"""),"Mild Fantasy Violence")</f>
        <v>Mild Fantasy Violence</v>
      </c>
      <c r="Q34" s="158"/>
      <c r="R34" s="165"/>
      <c r="S34" s="165"/>
    </row>
    <row r="35">
      <c r="A35" s="158" t="str">
        <f>IFERROR(__xludf.DUMMYFUNCTION("""COMPUTED_VALUE"""),"Overcooked! 2")</f>
        <v>Overcooked! 2</v>
      </c>
      <c r="B35" s="158" t="str">
        <f>IFERROR(__xludf.DUMMYFUNCTION("""COMPUTED_VALUE"""),"Xbox / PC")</f>
        <v>Xbox / PC</v>
      </c>
      <c r="C35" s="158" t="str">
        <f>IFERROR(__xludf.DUMMYFUNCTION("""COMPUTED_VALUE"""),"Touch Controls")</f>
        <v>Touch Controls</v>
      </c>
      <c r="D35" s="159" t="str">
        <f>IFERROR(__xludf.DUMMYFUNCTION("""COMPUTED_VALUE"""),"Active")</f>
        <v>Active</v>
      </c>
      <c r="E35" s="160">
        <f>IFERROR(__xludf.DUMMYFUNCTION("""COMPUTED_VALUE"""),43811.0)</f>
        <v>43811</v>
      </c>
      <c r="F35" s="161"/>
      <c r="G35" s="162">
        <f>IFERROR(__xludf.DUMMYFUNCTION("""COMPUTED_VALUE"""),70.1)</f>
        <v>70.1</v>
      </c>
      <c r="H35" s="163">
        <f>IFERROR(__xludf.DUMMYFUNCTION("""COMPUTED_VALUE"""),43319.0)</f>
        <v>43319</v>
      </c>
      <c r="I35" s="162">
        <f>IFERROR(__xludf.DUMMYFUNCTION("""COMPUTED_VALUE"""),1.3472222222222223)</f>
        <v>1.347222222</v>
      </c>
      <c r="J35" s="164">
        <f>IFERROR(__xludf.DUMMYFUNCTION("""COMPUTED_VALUE"""),83.0)</f>
        <v>83</v>
      </c>
      <c r="K35" s="164">
        <f>IFERROR(__xludf.DUMMYFUNCTION("""COMPUTED_VALUE"""),6.5)</f>
        <v>6.5</v>
      </c>
      <c r="L35" s="158" t="str">
        <f>IFERROR(__xludf.DUMMYFUNCTION("""COMPUTED_VALUE"""),"Simulation")</f>
        <v>Simulation</v>
      </c>
      <c r="M35" s="158" t="str">
        <f>IFERROR(__xludf.DUMMYFUNCTION("""COMPUTED_VALUE"""),"FPS Boost")</f>
        <v>FPS Boost</v>
      </c>
      <c r="N35" s="158" t="str">
        <f>IFERROR(__xludf.DUMMYFUNCTION("""COMPUTED_VALUE"""),"Game Pass Essential launch title (9/14/23)")</f>
        <v>Game Pass Essential launch title (9/14/23)</v>
      </c>
      <c r="O35" s="158" t="str">
        <f>IFERROR(__xludf.DUMMYFUNCTION("""COMPUTED_VALUE"""),"E")</f>
        <v>E</v>
      </c>
      <c r="P35" s="158"/>
      <c r="Q35" s="158"/>
      <c r="R35" s="165"/>
      <c r="S35" s="165"/>
    </row>
    <row r="36">
      <c r="A36" s="158" t="str">
        <f>IFERROR(__xludf.DUMMYFUNCTION("""COMPUTED_VALUE"""),"Dishonored 2")</f>
        <v>Dishonored 2</v>
      </c>
      <c r="B36" s="158" t="str">
        <f>IFERROR(__xludf.DUMMYFUNCTION("""COMPUTED_VALUE"""),"Xbox / PC")</f>
        <v>Xbox / PC</v>
      </c>
      <c r="C36" s="158" t="str">
        <f>IFERROR(__xludf.DUMMYFUNCTION("""COMPUTED_VALUE"""),"Yes")</f>
        <v>Yes</v>
      </c>
      <c r="D36" s="159" t="str">
        <f>IFERROR(__xludf.DUMMYFUNCTION("""COMPUTED_VALUE"""),"Active")</f>
        <v>Active</v>
      </c>
      <c r="E36" s="160">
        <f>IFERROR(__xludf.DUMMYFUNCTION("""COMPUTED_VALUE"""),43741.0)</f>
        <v>43741</v>
      </c>
      <c r="F36" s="161"/>
      <c r="G36" s="162">
        <f>IFERROR(__xludf.DUMMYFUNCTION("""COMPUTED_VALUE"""),72.4)</f>
        <v>72.4</v>
      </c>
      <c r="H36" s="163">
        <f>IFERROR(__xludf.DUMMYFUNCTION("""COMPUTED_VALUE"""),42685.0)</f>
        <v>42685</v>
      </c>
      <c r="I36" s="162">
        <f>IFERROR(__xludf.DUMMYFUNCTION("""COMPUTED_VALUE"""),2.8944444444444444)</f>
        <v>2.894444444</v>
      </c>
      <c r="J36" s="164">
        <f>IFERROR(__xludf.DUMMYFUNCTION("""COMPUTED_VALUE"""),88.0)</f>
        <v>88</v>
      </c>
      <c r="K36" s="164">
        <f>IFERROR(__xludf.DUMMYFUNCTION("""COMPUTED_VALUE"""),12.5)</f>
        <v>12.5</v>
      </c>
      <c r="L36" s="158" t="str">
        <f>IFERROR(__xludf.DUMMYFUNCTION("""COMPUTED_VALUE"""),"Action-Adventure")</f>
        <v>Action-Adventure</v>
      </c>
      <c r="M36" s="158"/>
      <c r="N36" s="158" t="str">
        <f>IFERROR(__xludf.DUMMYFUNCTION("""COMPUTED_VALUE"""),"Game Pass Essential launch title (9/14/23)")</f>
        <v>Game Pass Essential launch title (9/14/23)</v>
      </c>
      <c r="O36" s="158" t="str">
        <f>IFERROR(__xludf.DUMMYFUNCTION("""COMPUTED_VALUE"""),"M")</f>
        <v>M</v>
      </c>
      <c r="P36" s="158" t="str">
        <f>IFERROR(__xludf.DUMMYFUNCTION("""COMPUTED_VALUE"""),"Blood and Gore, Suggestive Themes, Strong Language, Intense Violence")</f>
        <v>Blood and Gore, Suggestive Themes, Strong Language, Intense Violence</v>
      </c>
      <c r="Q36" s="158"/>
      <c r="R36" s="165"/>
      <c r="S36" s="165"/>
    </row>
    <row r="37">
      <c r="A37" s="158" t="str">
        <f>IFERROR(__xludf.DUMMYFUNCTION("""COMPUTED_VALUE"""),"Gears 5: Game of the Year Edition")</f>
        <v>Gears 5: Game of the Year Edition</v>
      </c>
      <c r="B37" s="158" t="str">
        <f>IFERROR(__xludf.DUMMYFUNCTION("""COMPUTED_VALUE"""),"Xbox / PC")</f>
        <v>Xbox / PC</v>
      </c>
      <c r="C37" s="158" t="str">
        <f>IFERROR(__xludf.DUMMYFUNCTION("""COMPUTED_VALUE"""),"Touch Controls")</f>
        <v>Touch Controls</v>
      </c>
      <c r="D37" s="159" t="str">
        <f>IFERROR(__xludf.DUMMYFUNCTION("""COMPUTED_VALUE"""),"Active")</f>
        <v>Active</v>
      </c>
      <c r="E37" s="160">
        <f>IFERROR(__xludf.DUMMYFUNCTION("""COMPUTED_VALUE"""),43718.0)</f>
        <v>43718</v>
      </c>
      <c r="F37" s="161"/>
      <c r="G37" s="162">
        <f>IFERROR(__xludf.DUMMYFUNCTION("""COMPUTED_VALUE"""),73.16666666666667)</f>
        <v>73.16666667</v>
      </c>
      <c r="H37" s="163">
        <f>IFERROR(__xludf.DUMMYFUNCTION("""COMPUTED_VALUE"""),43718.0)</f>
        <v>43718</v>
      </c>
      <c r="I37" s="162">
        <f>IFERROR(__xludf.DUMMYFUNCTION("""COMPUTED_VALUE"""),0.0)</f>
        <v>0</v>
      </c>
      <c r="J37" s="164">
        <f>IFERROR(__xludf.DUMMYFUNCTION("""COMPUTED_VALUE"""),83.0)</f>
        <v>83</v>
      </c>
      <c r="K37" s="164">
        <f>IFERROR(__xludf.DUMMYFUNCTION("""COMPUTED_VALUE"""),10.5)</f>
        <v>10.5</v>
      </c>
      <c r="L37" s="158" t="str">
        <f>IFERROR(__xludf.DUMMYFUNCTION("""COMPUTED_VALUE"""),"Action")</f>
        <v>Action</v>
      </c>
      <c r="M37" s="158" t="str">
        <f>IFERROR(__xludf.DUMMYFUNCTION("""COMPUTED_VALUE"""),"Optimized")</f>
        <v>Optimized</v>
      </c>
      <c r="N37" s="158" t="str">
        <f>IFERROR(__xludf.DUMMYFUNCTION("""COMPUTED_VALUE"""),"Game Pass Essential launch title (9/14/23)")</f>
        <v>Game Pass Essential launch title (9/14/23)</v>
      </c>
      <c r="O37" s="158" t="str">
        <f>IFERROR(__xludf.DUMMYFUNCTION("""COMPUTED_VALUE"""),"M")</f>
        <v>M</v>
      </c>
      <c r="P37" s="158" t="str">
        <f>IFERROR(__xludf.DUMMYFUNCTION("""COMPUTED_VALUE"""),"Blood and Gore, Strong Language, Intense Violence")</f>
        <v>Blood and Gore, Strong Language, Intense Violence</v>
      </c>
      <c r="Q37" s="158"/>
      <c r="R37" s="165"/>
      <c r="S37" s="165"/>
    </row>
    <row r="38">
      <c r="A38" s="158" t="str">
        <f>IFERROR(__xludf.DUMMYFUNCTION("""COMPUTED_VALUE"""),"Dead Cells")</f>
        <v>Dead Cells</v>
      </c>
      <c r="B38" s="158" t="str">
        <f>IFERROR(__xludf.DUMMYFUNCTION("""COMPUTED_VALUE"""),"Xbox / PC")</f>
        <v>Xbox / PC</v>
      </c>
      <c r="C38" s="158" t="str">
        <f>IFERROR(__xludf.DUMMYFUNCTION("""COMPUTED_VALUE"""),"Touch Controls")</f>
        <v>Touch Controls</v>
      </c>
      <c r="D38" s="159" t="str">
        <f>IFERROR(__xludf.DUMMYFUNCTION("""COMPUTED_VALUE"""),"Active")</f>
        <v>Active</v>
      </c>
      <c r="E38" s="160">
        <f>IFERROR(__xludf.DUMMYFUNCTION("""COMPUTED_VALUE"""),43713.0)</f>
        <v>43713</v>
      </c>
      <c r="F38" s="161"/>
      <c r="G38" s="162">
        <f>IFERROR(__xludf.DUMMYFUNCTION("""COMPUTED_VALUE"""),73.33333333333333)</f>
        <v>73.33333333</v>
      </c>
      <c r="H38" s="163">
        <f>IFERROR(__xludf.DUMMYFUNCTION("""COMPUTED_VALUE"""),42865.0)</f>
        <v>42865</v>
      </c>
      <c r="I38" s="162">
        <f>IFERROR(__xludf.DUMMYFUNCTION("""COMPUTED_VALUE"""),2.3194444444444446)</f>
        <v>2.319444444</v>
      </c>
      <c r="J38" s="164">
        <f>IFERROR(__xludf.DUMMYFUNCTION("""COMPUTED_VALUE"""),91.0)</f>
        <v>91</v>
      </c>
      <c r="K38" s="164">
        <f>IFERROR(__xludf.DUMMYFUNCTION("""COMPUTED_VALUE"""),13.0)</f>
        <v>13</v>
      </c>
      <c r="L38" s="158" t="str">
        <f>IFERROR(__xludf.DUMMYFUNCTION("""COMPUTED_VALUE"""),"Platformer / Action-Adventure")</f>
        <v>Platformer / Action-Adventure</v>
      </c>
      <c r="M38" s="158"/>
      <c r="N38" s="158" t="str">
        <f>IFERROR(__xludf.DUMMYFUNCTION("""COMPUTED_VALUE"""),"Game Pass Essential launch title (9/14/23), Left EA Play 10/23/21")</f>
        <v>Game Pass Essential launch title (9/14/23), Left EA Play 10/23/21</v>
      </c>
      <c r="O38" s="158" t="str">
        <f>IFERROR(__xludf.DUMMYFUNCTION("""COMPUTED_VALUE"""),"T")</f>
        <v>T</v>
      </c>
      <c r="P38" s="158" t="str">
        <f>IFERROR(__xludf.DUMMYFUNCTION("""COMPUTED_VALUE"""),"Blood and Gore, Language, Violence")</f>
        <v>Blood and Gore, Language, Violence</v>
      </c>
      <c r="Q38" s="158"/>
      <c r="R38" s="165"/>
      <c r="S38" s="165"/>
    </row>
    <row r="39">
      <c r="A39" s="158" t="str">
        <f>IFERROR(__xludf.DUMMYFUNCTION("""COMPUTED_VALUE"""),"Slay the Spire")</f>
        <v>Slay the Spire</v>
      </c>
      <c r="B39" s="158" t="str">
        <f>IFERROR(__xludf.DUMMYFUNCTION("""COMPUTED_VALUE"""),"Xbox / PC")</f>
        <v>Xbox / PC</v>
      </c>
      <c r="C39" s="158" t="str">
        <f>IFERROR(__xludf.DUMMYFUNCTION("""COMPUTED_VALUE"""),"Touch Controls")</f>
        <v>Touch Controls</v>
      </c>
      <c r="D39" s="159" t="str">
        <f>IFERROR(__xludf.DUMMYFUNCTION("""COMPUTED_VALUE"""),"Active")</f>
        <v>Active</v>
      </c>
      <c r="E39" s="160">
        <f>IFERROR(__xludf.DUMMYFUNCTION("""COMPUTED_VALUE"""),43691.0)</f>
        <v>43691</v>
      </c>
      <c r="F39" s="161"/>
      <c r="G39" s="162">
        <f>IFERROR(__xludf.DUMMYFUNCTION("""COMPUTED_VALUE"""),74.03333333333333)</f>
        <v>74.03333333</v>
      </c>
      <c r="H39" s="163">
        <f>IFERROR(__xludf.DUMMYFUNCTION("""COMPUTED_VALUE"""),43054.0)</f>
        <v>43054</v>
      </c>
      <c r="I39" s="162">
        <f>IFERROR(__xludf.DUMMYFUNCTION("""COMPUTED_VALUE"""),1.7472222222222222)</f>
        <v>1.747222222</v>
      </c>
      <c r="J39" s="164">
        <f>IFERROR(__xludf.DUMMYFUNCTION("""COMPUTED_VALUE"""),88.0)</f>
        <v>88</v>
      </c>
      <c r="K39" s="164">
        <f>IFERROR(__xludf.DUMMYFUNCTION("""COMPUTED_VALUE"""),10.5)</f>
        <v>10.5</v>
      </c>
      <c r="L39" s="158" t="str">
        <f>IFERROR(__xludf.DUMMYFUNCTION("""COMPUTED_VALUE"""),"Strategy / Card Game")</f>
        <v>Strategy / Card Game</v>
      </c>
      <c r="M39" s="158"/>
      <c r="N39" s="158" t="str">
        <f>IFERROR(__xludf.DUMMYFUNCTION("""COMPUTED_VALUE"""),"Game Pass Essential launch title (9/14/23), Left EA Play 10/23/21")</f>
        <v>Game Pass Essential launch title (9/14/23), Left EA Play 10/23/21</v>
      </c>
      <c r="O39" s="158" t="str">
        <f>IFERROR(__xludf.DUMMYFUNCTION("""COMPUTED_VALUE"""),"E10+")</f>
        <v>E10+</v>
      </c>
      <c r="P39" s="158" t="str">
        <f>IFERROR(__xludf.DUMMYFUNCTION("""COMPUTED_VALUE"""),"Fantasy Violence, Mild Blood, Tobacco Reference")</f>
        <v>Fantasy Violence, Mild Blood, Tobacco Reference</v>
      </c>
      <c r="Q39" s="158"/>
      <c r="R39" s="165"/>
      <c r="S39" s="165"/>
    </row>
    <row r="40">
      <c r="A40" s="165" t="str">
        <f>IFERROR(__xludf.DUMMYFUNCTION("""COMPUTED_VALUE"""),"Forza Horizon 4")</f>
        <v>Forza Horizon 4</v>
      </c>
      <c r="B40" s="165" t="str">
        <f>IFERROR(__xludf.DUMMYFUNCTION("""COMPUTED_VALUE"""),"Xbox / PC")</f>
        <v>Xbox / PC</v>
      </c>
      <c r="C40" s="165" t="str">
        <f>IFERROR(__xludf.DUMMYFUNCTION("""COMPUTED_VALUE"""),"Yes")</f>
        <v>Yes</v>
      </c>
      <c r="D40" s="165" t="str">
        <f>IFERROR(__xludf.DUMMYFUNCTION("""COMPUTED_VALUE"""),"Removed")</f>
        <v>Removed</v>
      </c>
      <c r="E40" s="166">
        <f>IFERROR(__xludf.DUMMYFUNCTION("""COMPUTED_VALUE"""),43375.0)</f>
        <v>43375</v>
      </c>
      <c r="F40" s="165">
        <f>IFERROR(__xludf.DUMMYFUNCTION("""COMPUTED_VALUE"""),45641.0)</f>
        <v>45641</v>
      </c>
      <c r="G40" s="167">
        <f>IFERROR(__xludf.DUMMYFUNCTION("""COMPUTED_VALUE"""),74.43333333333334)</f>
        <v>74.43333333</v>
      </c>
      <c r="H40" s="166">
        <f>IFERROR(__xludf.DUMMYFUNCTION("""COMPUTED_VALUE"""),43371.0)</f>
        <v>43371</v>
      </c>
      <c r="I40" s="167">
        <f>IFERROR(__xludf.DUMMYFUNCTION("""COMPUTED_VALUE"""),0.011111111111111112)</f>
        <v>0.01111111111</v>
      </c>
      <c r="J40" s="168">
        <f>IFERROR(__xludf.DUMMYFUNCTION("""COMPUTED_VALUE"""),92.0)</f>
        <v>92</v>
      </c>
      <c r="K40" s="168">
        <f>IFERROR(__xludf.DUMMYFUNCTION("""COMPUTED_VALUE"""),11.0)</f>
        <v>11</v>
      </c>
      <c r="L40" s="165" t="str">
        <f>IFERROR(__xludf.DUMMYFUNCTION("""COMPUTED_VALUE"""),"Driving/Racing")</f>
        <v>Driving/Racing</v>
      </c>
      <c r="M40" s="165" t="str">
        <f>IFERROR(__xludf.DUMMYFUNCTION("""COMPUTED_VALUE"""),"Optimized")</f>
        <v>Optimized</v>
      </c>
      <c r="N40" s="165" t="str">
        <f>IFERROR(__xludf.DUMMYFUNCTION("""COMPUTED_VALUE"""),"Game Pass Essential launch title (9/14/23)")</f>
        <v>Game Pass Essential launch title (9/14/23)</v>
      </c>
      <c r="O40" s="165" t="str">
        <f>IFERROR(__xludf.DUMMYFUNCTION("""COMPUTED_VALUE"""),"E")</f>
        <v>E</v>
      </c>
      <c r="P40" s="165"/>
      <c r="Q40" s="165"/>
      <c r="R40" s="165"/>
      <c r="S40" s="165"/>
    </row>
    <row r="41">
      <c r="A41" s="165" t="str">
        <f>IFERROR(__xludf.DUMMYFUNCTION("""COMPUTED_VALUE"""),"ASTRONEER")</f>
        <v>ASTRONEER</v>
      </c>
      <c r="B41" s="165" t="str">
        <f>IFERROR(__xludf.DUMMYFUNCTION("""COMPUTED_VALUE"""),"Xbox / PC")</f>
        <v>Xbox / PC</v>
      </c>
      <c r="C41" s="165" t="str">
        <f>IFERROR(__xludf.DUMMYFUNCTION("""COMPUTED_VALUE"""),"Yes")</f>
        <v>Yes</v>
      </c>
      <c r="D41" s="165" t="str">
        <f>IFERROR(__xludf.DUMMYFUNCTION("""COMPUTED_VALUE"""),"Active")</f>
        <v>Active</v>
      </c>
      <c r="E41" s="166">
        <f>IFERROR(__xludf.DUMMYFUNCTION("""COMPUTED_VALUE"""),43625.0)</f>
        <v>43625</v>
      </c>
      <c r="F41" s="165"/>
      <c r="G41" s="167">
        <f>IFERROR(__xludf.DUMMYFUNCTION("""COMPUTED_VALUE"""),76.19999999999999)</f>
        <v>76.2</v>
      </c>
      <c r="H41" s="166">
        <f>IFERROR(__xludf.DUMMYFUNCTION("""COMPUTED_VALUE"""),42720.0)</f>
        <v>42720</v>
      </c>
      <c r="I41" s="167">
        <f>IFERROR(__xludf.DUMMYFUNCTION("""COMPUTED_VALUE"""),2.4805555555555556)</f>
        <v>2.480555556</v>
      </c>
      <c r="J41" s="168">
        <f>IFERROR(__xludf.DUMMYFUNCTION("""COMPUTED_VALUE"""),72.0)</f>
        <v>72</v>
      </c>
      <c r="K41" s="168">
        <f>IFERROR(__xludf.DUMMYFUNCTION("""COMPUTED_VALUE"""),18.5)</f>
        <v>18.5</v>
      </c>
      <c r="L41" s="165" t="str">
        <f>IFERROR(__xludf.DUMMYFUNCTION("""COMPUTED_VALUE"""),"Adventure")</f>
        <v>Adventure</v>
      </c>
      <c r="M41" s="165"/>
      <c r="N41" s="165" t="str">
        <f>IFERROR(__xludf.DUMMYFUNCTION("""COMPUTED_VALUE"""),"Game Pass Essential launch title (9/14/23)")</f>
        <v>Game Pass Essential launch title (9/14/23)</v>
      </c>
      <c r="O41" s="165" t="str">
        <f>IFERROR(__xludf.DUMMYFUNCTION("""COMPUTED_VALUE"""),"E")</f>
        <v>E</v>
      </c>
      <c r="P41" s="165" t="str">
        <f>IFERROR(__xludf.DUMMYFUNCTION("""COMPUTED_VALUE"""),"Mild Fantasy Violence")</f>
        <v>Mild Fantasy Violence</v>
      </c>
      <c r="Q41" s="165"/>
      <c r="R41" s="165"/>
      <c r="S41" s="165"/>
    </row>
    <row r="42">
      <c r="A42" s="165" t="str">
        <f>IFERROR(__xludf.DUMMYFUNCTION("""COMPUTED_VALUE"""),"Batman: Arkham Knight")</f>
        <v>Batman: Arkham Knight</v>
      </c>
      <c r="B42" s="165" t="str">
        <f>IFERROR(__xludf.DUMMYFUNCTION("""COMPUTED_VALUE"""),"Xbox")</f>
        <v>Xbox</v>
      </c>
      <c r="C42" s="165" t="str">
        <f>IFERROR(__xludf.DUMMYFUNCTION("""COMPUTED_VALUE"""),"Yes")</f>
        <v>Yes</v>
      </c>
      <c r="D42" s="165" t="str">
        <f>IFERROR(__xludf.DUMMYFUNCTION("""COMPUTED_VALUE"""),"Active")</f>
        <v>Active</v>
      </c>
      <c r="E42" s="166">
        <f>IFERROR(__xludf.DUMMYFUNCTION("""COMPUTED_VALUE"""),43625.0)</f>
        <v>43625</v>
      </c>
      <c r="F42" s="165"/>
      <c r="G42" s="167">
        <f>IFERROR(__xludf.DUMMYFUNCTION("""COMPUTED_VALUE"""),76.19999999999999)</f>
        <v>76.2</v>
      </c>
      <c r="H42" s="166">
        <f>IFERROR(__xludf.DUMMYFUNCTION("""COMPUTED_VALUE"""),42178.0)</f>
        <v>42178</v>
      </c>
      <c r="I42" s="167">
        <f>IFERROR(__xludf.DUMMYFUNCTION("""COMPUTED_VALUE"""),3.9611111111111112)</f>
        <v>3.961111111</v>
      </c>
      <c r="J42" s="168">
        <f>IFERROR(__xludf.DUMMYFUNCTION("""COMPUTED_VALUE"""),85.0)</f>
        <v>85</v>
      </c>
      <c r="K42" s="168">
        <f>IFERROR(__xludf.DUMMYFUNCTION("""COMPUTED_VALUE"""),16.5)</f>
        <v>16.5</v>
      </c>
      <c r="L42" s="165" t="str">
        <f>IFERROR(__xludf.DUMMYFUNCTION("""COMPUTED_VALUE"""),"Action-Adventure")</f>
        <v>Action-Adventure</v>
      </c>
      <c r="M42" s="165"/>
      <c r="N42" s="165" t="str">
        <f>IFERROR(__xludf.DUMMYFUNCTION("""COMPUTED_VALUE"""),"Game Pass Essential (3/26/25)")</f>
        <v>Game Pass Essential (3/26/25)</v>
      </c>
      <c r="O42" s="165" t="str">
        <f>IFERROR(__xludf.DUMMYFUNCTION("""COMPUTED_VALUE"""),"M")</f>
        <v>M</v>
      </c>
      <c r="P42" s="165" t="str">
        <f>IFERROR(__xludf.DUMMYFUNCTION("""COMPUTED_VALUE"""),"Blood, Suggestive Themes, Violence, Language")</f>
        <v>Blood, Suggestive Themes, Violence, Language</v>
      </c>
      <c r="Q42" s="165"/>
      <c r="R42" s="165"/>
      <c r="S42" s="165"/>
    </row>
    <row r="43">
      <c r="A43" s="165" t="str">
        <f>IFERROR(__xludf.DUMMYFUNCTION("""COMPUTED_VALUE"""),"Descenders")</f>
        <v>Descenders</v>
      </c>
      <c r="B43" s="165" t="str">
        <f>IFERROR(__xludf.DUMMYFUNCTION("""COMPUTED_VALUE"""),"Xbox / PC")</f>
        <v>Xbox / PC</v>
      </c>
      <c r="C43" s="165" t="str">
        <f>IFERROR(__xludf.DUMMYFUNCTION("""COMPUTED_VALUE"""),"Yes")</f>
        <v>Yes</v>
      </c>
      <c r="D43" s="165" t="str">
        <f>IFERROR(__xludf.DUMMYFUNCTION("""COMPUTED_VALUE"""),"Active")</f>
        <v>Active</v>
      </c>
      <c r="E43" s="166">
        <f>IFERROR(__xludf.DUMMYFUNCTION("""COMPUTED_VALUE"""),43592.0)</f>
        <v>43592</v>
      </c>
      <c r="F43" s="165"/>
      <c r="G43" s="167">
        <f>IFERROR(__xludf.DUMMYFUNCTION("""COMPUTED_VALUE"""),77.26666666666667)</f>
        <v>77.26666667</v>
      </c>
      <c r="H43" s="166">
        <f>IFERROR(__xludf.DUMMYFUNCTION("""COMPUTED_VALUE"""),43140.0)</f>
        <v>43140</v>
      </c>
      <c r="I43" s="167">
        <f>IFERROR(__xludf.DUMMYFUNCTION("""COMPUTED_VALUE"""),1.2444444444444445)</f>
        <v>1.244444444</v>
      </c>
      <c r="J43" s="168">
        <f>IFERROR(__xludf.DUMMYFUNCTION("""COMPUTED_VALUE"""),77.0)</f>
        <v>77</v>
      </c>
      <c r="K43" s="168">
        <f>IFERROR(__xludf.DUMMYFUNCTION("""COMPUTED_VALUE"""),4.0)</f>
        <v>4</v>
      </c>
      <c r="L43" s="165" t="str">
        <f>IFERROR(__xludf.DUMMYFUNCTION("""COMPUTED_VALUE"""),"Sports / Driving/Racing")</f>
        <v>Sports / Driving/Racing</v>
      </c>
      <c r="M43" s="165" t="str">
        <f>IFERROR(__xludf.DUMMYFUNCTION("""COMPUTED_VALUE"""),"Optimized")</f>
        <v>Optimized</v>
      </c>
      <c r="N43" s="165" t="str">
        <f>IFERROR(__xludf.DUMMYFUNCTION("""COMPUTED_VALUE"""),"Game Pass Essential launch title (9/14/23)")</f>
        <v>Game Pass Essential launch title (9/14/23)</v>
      </c>
      <c r="O43" s="165" t="str">
        <f>IFERROR(__xludf.DUMMYFUNCTION("""COMPUTED_VALUE"""),"E")</f>
        <v>E</v>
      </c>
      <c r="P43" s="165"/>
      <c r="Q43" s="165"/>
      <c r="R43" s="165"/>
      <c r="S43" s="165"/>
    </row>
    <row r="44">
      <c r="A44" s="165" t="str">
        <f>IFERROR(__xludf.DUMMYFUNCTION("""COMPUTED_VALUE"""),"Fallout 4")</f>
        <v>Fallout 4</v>
      </c>
      <c r="B44" s="165" t="str">
        <f>IFERROR(__xludf.DUMMYFUNCTION("""COMPUTED_VALUE"""),"Xbox / PC")</f>
        <v>Xbox / PC</v>
      </c>
      <c r="C44" s="165" t="str">
        <f>IFERROR(__xludf.DUMMYFUNCTION("""COMPUTED_VALUE"""),"Yes")</f>
        <v>Yes</v>
      </c>
      <c r="D44" s="165" t="str">
        <f>IFERROR(__xludf.DUMMYFUNCTION("""COMPUTED_VALUE"""),"Active")</f>
        <v>Active</v>
      </c>
      <c r="E44" s="166">
        <f>IFERROR(__xludf.DUMMYFUNCTION("""COMPUTED_VALUE"""),43538.0)</f>
        <v>43538</v>
      </c>
      <c r="F44" s="165"/>
      <c r="G44" s="167">
        <f>IFERROR(__xludf.DUMMYFUNCTION("""COMPUTED_VALUE"""),79.03333333333333)</f>
        <v>79.03333333</v>
      </c>
      <c r="H44" s="166">
        <f>IFERROR(__xludf.DUMMYFUNCTION("""COMPUTED_VALUE"""),42318.0)</f>
        <v>42318</v>
      </c>
      <c r="I44" s="167">
        <f>IFERROR(__xludf.DUMMYFUNCTION("""COMPUTED_VALUE"""),3.3444444444444446)</f>
        <v>3.344444444</v>
      </c>
      <c r="J44" s="168">
        <f>IFERROR(__xludf.DUMMYFUNCTION("""COMPUTED_VALUE"""),88.0)</f>
        <v>88</v>
      </c>
      <c r="K44" s="168">
        <f>IFERROR(__xludf.DUMMYFUNCTION("""COMPUTED_VALUE"""),26.5)</f>
        <v>26.5</v>
      </c>
      <c r="L44" s="165" t="str">
        <f>IFERROR(__xludf.DUMMYFUNCTION("""COMPUTED_VALUE"""),"RPG / Shooter")</f>
        <v>RPG / Shooter</v>
      </c>
      <c r="M44" s="165" t="str">
        <f>IFERROR(__xludf.DUMMYFUNCTION("""COMPUTED_VALUE"""),"FPS Boost")</f>
        <v>FPS Boost</v>
      </c>
      <c r="N44" s="165" t="str">
        <f>IFERROR(__xludf.DUMMYFUNCTION("""COMPUTED_VALUE"""),"Game Pass Essential launch title (9/14/23), Official PC Mod Support")</f>
        <v>Game Pass Essential launch title (9/14/23), Official PC Mod Support</v>
      </c>
      <c r="O44" s="165" t="str">
        <f>IFERROR(__xludf.DUMMYFUNCTION("""COMPUTED_VALUE"""),"M")</f>
        <v>M</v>
      </c>
      <c r="P44" s="165" t="str">
        <f>IFERROR(__xludf.DUMMYFUNCTION("""COMPUTED_VALUE"""),"Blood and Gore, Use of Drugs, Strong Language, Intense Violence")</f>
        <v>Blood and Gore, Use of Drugs, Strong Language, Intense Violence</v>
      </c>
      <c r="Q44" s="165"/>
      <c r="R44" s="165"/>
      <c r="S44" s="165"/>
    </row>
    <row r="45">
      <c r="A45" s="165" t="str">
        <f>IFERROR(__xludf.DUMMYFUNCTION("""COMPUTED_VALUE"""),"Hellblade: Senua's Sacrifice")</f>
        <v>Hellblade: Senua's Sacrifice</v>
      </c>
      <c r="B45" s="165" t="str">
        <f>IFERROR(__xludf.DUMMYFUNCTION("""COMPUTED_VALUE"""),"Xbox / PC")</f>
        <v>Xbox / PC</v>
      </c>
      <c r="C45" s="165" t="str">
        <f>IFERROR(__xludf.DUMMYFUNCTION("""COMPUTED_VALUE"""),"Touch Controls")</f>
        <v>Touch Controls</v>
      </c>
      <c r="D45" s="165" t="str">
        <f>IFERROR(__xludf.DUMMYFUNCTION("""COMPUTED_VALUE"""),"Active")</f>
        <v>Active</v>
      </c>
      <c r="E45" s="166">
        <f>IFERROR(__xludf.DUMMYFUNCTION("""COMPUTED_VALUE"""),43451.0)</f>
        <v>43451</v>
      </c>
      <c r="F45" s="165"/>
      <c r="G45" s="167">
        <f>IFERROR(__xludf.DUMMYFUNCTION("""COMPUTED_VALUE"""),81.93333333333334)</f>
        <v>81.93333333</v>
      </c>
      <c r="H45" s="166">
        <f>IFERROR(__xludf.DUMMYFUNCTION("""COMPUTED_VALUE"""),42955.0)</f>
        <v>42955</v>
      </c>
      <c r="I45" s="167">
        <f>IFERROR(__xludf.DUMMYFUNCTION("""COMPUTED_VALUE"""),1.3583333333333334)</f>
        <v>1.358333333</v>
      </c>
      <c r="J45" s="168">
        <f>IFERROR(__xludf.DUMMYFUNCTION("""COMPUTED_VALUE"""),88.0)</f>
        <v>88</v>
      </c>
      <c r="K45" s="168">
        <f>IFERROR(__xludf.DUMMYFUNCTION("""COMPUTED_VALUE"""),7.5)</f>
        <v>7.5</v>
      </c>
      <c r="L45" s="165" t="str">
        <f>IFERROR(__xludf.DUMMYFUNCTION("""COMPUTED_VALUE"""),"Action / Action-Adventure")</f>
        <v>Action / Action-Adventure</v>
      </c>
      <c r="M45" s="165" t="str">
        <f>IFERROR(__xludf.DUMMYFUNCTION("""COMPUTED_VALUE"""),"Optimized")</f>
        <v>Optimized</v>
      </c>
      <c r="N45" s="165" t="str">
        <f>IFERROR(__xludf.DUMMYFUNCTION("""COMPUTED_VALUE"""),"Game Pass Essential launch title (9/14/23)")</f>
        <v>Game Pass Essential launch title (9/14/23)</v>
      </c>
      <c r="O45" s="165" t="str">
        <f>IFERROR(__xludf.DUMMYFUNCTION("""COMPUTED_VALUE"""),"M")</f>
        <v>M</v>
      </c>
      <c r="P45" s="165" t="str">
        <f>IFERROR(__xludf.DUMMYFUNCTION("""COMPUTED_VALUE"""),"Blood and Gore, Strong Language, Intense Violence")</f>
        <v>Blood and Gore, Strong Language, Intense Violence</v>
      </c>
      <c r="Q45" s="165"/>
      <c r="R45" s="165"/>
      <c r="S45" s="165"/>
    </row>
    <row r="46">
      <c r="A46" s="165" t="str">
        <f>IFERROR(__xludf.DUMMYFUNCTION("""COMPUTED_VALUE"""),"DOOM (2016)")</f>
        <v>DOOM (2016)</v>
      </c>
      <c r="B46" s="165" t="str">
        <f>IFERROR(__xludf.DUMMYFUNCTION("""COMPUTED_VALUE"""),"Xbox")</f>
        <v>Xbox</v>
      </c>
      <c r="C46" s="165" t="str">
        <f>IFERROR(__xludf.DUMMYFUNCTION("""COMPUTED_VALUE"""),"Yes")</f>
        <v>Yes</v>
      </c>
      <c r="D46" s="165" t="str">
        <f>IFERROR(__xludf.DUMMYFUNCTION("""COMPUTED_VALUE"""),"Active")</f>
        <v>Active</v>
      </c>
      <c r="E46" s="166">
        <f>IFERROR(__xludf.DUMMYFUNCTION("""COMPUTED_VALUE"""),43322.0)</f>
        <v>43322</v>
      </c>
      <c r="F46" s="165"/>
      <c r="G46" s="167">
        <f>IFERROR(__xludf.DUMMYFUNCTION("""COMPUTED_VALUE"""),86.16666666666666)</f>
        <v>86.16666667</v>
      </c>
      <c r="H46" s="166">
        <f>IFERROR(__xludf.DUMMYFUNCTION("""COMPUTED_VALUE"""),42503.0)</f>
        <v>42503</v>
      </c>
      <c r="I46" s="167">
        <f>IFERROR(__xludf.DUMMYFUNCTION("""COMPUTED_VALUE"""),2.2416666666666667)</f>
        <v>2.241666667</v>
      </c>
      <c r="J46" s="168">
        <f>IFERROR(__xludf.DUMMYFUNCTION("""COMPUTED_VALUE"""),87.0)</f>
        <v>87</v>
      </c>
      <c r="K46" s="168">
        <f>IFERROR(__xludf.DUMMYFUNCTION("""COMPUTED_VALUE"""),11.5)</f>
        <v>11.5</v>
      </c>
      <c r="L46" s="165" t="str">
        <f>IFERROR(__xludf.DUMMYFUNCTION("""COMPUTED_VALUE"""),"First-Person Shooter")</f>
        <v>First-Person Shooter</v>
      </c>
      <c r="M46" s="165"/>
      <c r="N46" s="165" t="str">
        <f>IFERROR(__xludf.DUMMYFUNCTION("""COMPUTED_VALUE"""),"Game Pass Essential launch title (9/14/23)")</f>
        <v>Game Pass Essential launch title (9/14/23)</v>
      </c>
      <c r="O46" s="165" t="str">
        <f>IFERROR(__xludf.DUMMYFUNCTION("""COMPUTED_VALUE"""),"M")</f>
        <v>M</v>
      </c>
      <c r="P46" s="165" t="str">
        <f>IFERROR(__xludf.DUMMYFUNCTION("""COMPUTED_VALUE"""),"Blood and Gore, Strong Language, Intense Violence")</f>
        <v>Blood and Gore, Strong Language, Intense Violence</v>
      </c>
      <c r="Q46" s="165"/>
      <c r="R46" s="165"/>
      <c r="S46" s="165"/>
    </row>
    <row r="47">
      <c r="A47" s="165" t="str">
        <f>IFERROR(__xludf.DUMMYFUNCTION("""COMPUTED_VALUE"""),"Human: Fall Flat")</f>
        <v>Human: Fall Flat</v>
      </c>
      <c r="B47" s="165" t="str">
        <f>IFERROR(__xludf.DUMMYFUNCTION("""COMPUTED_VALUE"""),"Xbox / PC")</f>
        <v>Xbox / PC</v>
      </c>
      <c r="C47" s="165" t="str">
        <f>IFERROR(__xludf.DUMMYFUNCTION("""COMPUTED_VALUE"""),"Yes")</f>
        <v>Yes</v>
      </c>
      <c r="D47" s="165" t="str">
        <f>IFERROR(__xludf.DUMMYFUNCTION("""COMPUTED_VALUE"""),"Active")</f>
        <v>Active</v>
      </c>
      <c r="E47" s="166">
        <f>IFERROR(__xludf.DUMMYFUNCTION("""COMPUTED_VALUE"""),43282.0)</f>
        <v>43282</v>
      </c>
      <c r="F47" s="165"/>
      <c r="G47" s="167">
        <f>IFERROR(__xludf.DUMMYFUNCTION("""COMPUTED_VALUE"""),87.46666666666667)</f>
        <v>87.46666667</v>
      </c>
      <c r="H47" s="166">
        <f>IFERROR(__xludf.DUMMYFUNCTION("""COMPUTED_VALUE"""),42573.0)</f>
        <v>42573</v>
      </c>
      <c r="I47" s="167">
        <f>IFERROR(__xludf.DUMMYFUNCTION("""COMPUTED_VALUE"""),1.9416666666666667)</f>
        <v>1.941666667</v>
      </c>
      <c r="J47" s="168">
        <f>IFERROR(__xludf.DUMMYFUNCTION("""COMPUTED_VALUE"""),73.0)</f>
        <v>73</v>
      </c>
      <c r="K47" s="168">
        <f>IFERROR(__xludf.DUMMYFUNCTION("""COMPUTED_VALUE"""),5.5)</f>
        <v>5.5</v>
      </c>
      <c r="L47" s="165" t="str">
        <f>IFERROR(__xludf.DUMMYFUNCTION("""COMPUTED_VALUE"""),"Puzzle")</f>
        <v>Puzzle</v>
      </c>
      <c r="M47" s="165" t="str">
        <f>IFERROR(__xludf.DUMMYFUNCTION("""COMPUTED_VALUE"""),"Optimized")</f>
        <v>Optimized</v>
      </c>
      <c r="N47" s="165" t="str">
        <f>IFERROR(__xludf.DUMMYFUNCTION("""COMPUTED_VALUE"""),"Game Pass Essential launch title (9/14/23)")</f>
        <v>Game Pass Essential launch title (9/14/23)</v>
      </c>
      <c r="O47" s="165" t="str">
        <f>IFERROR(__xludf.DUMMYFUNCTION("""COMPUTED_VALUE"""),"E")</f>
        <v>E</v>
      </c>
      <c r="P47" s="165"/>
      <c r="Q47" s="165"/>
      <c r="R47" s="165"/>
      <c r="S47" s="165"/>
    </row>
    <row r="48">
      <c r="A48" s="165" t="str">
        <f>IFERROR(__xludf.DUMMYFUNCTION("""COMPUTED_VALUE"""),"The Elder Scrolls Online")</f>
        <v>The Elder Scrolls Online</v>
      </c>
      <c r="B48" s="165" t="str">
        <f>IFERROR(__xludf.DUMMYFUNCTION("""COMPUTED_VALUE"""),"Xbox")</f>
        <v>Xbox</v>
      </c>
      <c r="C48" s="165"/>
      <c r="D48" s="165" t="str">
        <f>IFERROR(__xludf.DUMMYFUNCTION("""COMPUTED_VALUE"""),"Active")</f>
        <v>Active</v>
      </c>
      <c r="E48" s="166">
        <f>IFERROR(__xludf.DUMMYFUNCTION("""COMPUTED_VALUE"""),43261.0)</f>
        <v>43261</v>
      </c>
      <c r="F48" s="165"/>
      <c r="G48" s="167">
        <f>IFERROR(__xludf.DUMMYFUNCTION("""COMPUTED_VALUE"""),88.16666666666667)</f>
        <v>88.16666667</v>
      </c>
      <c r="H48" s="166">
        <f>IFERROR(__xludf.DUMMYFUNCTION("""COMPUTED_VALUE"""),41733.0)</f>
        <v>41733</v>
      </c>
      <c r="I48" s="167">
        <f>IFERROR(__xludf.DUMMYFUNCTION("""COMPUTED_VALUE"""),4.183333333333334)</f>
        <v>4.183333333</v>
      </c>
      <c r="J48" s="168">
        <f>IFERROR(__xludf.DUMMYFUNCTION("""COMPUTED_VALUE"""),77.0)</f>
        <v>77</v>
      </c>
      <c r="K48" s="168">
        <f>IFERROR(__xludf.DUMMYFUNCTION("""COMPUTED_VALUE"""),87.0)</f>
        <v>87</v>
      </c>
      <c r="L48" s="165" t="str">
        <f>IFERROR(__xludf.DUMMYFUNCTION("""COMPUTED_VALUE"""),"MMORPG")</f>
        <v>MMORPG</v>
      </c>
      <c r="M48" s="165"/>
      <c r="N48" s="165" t="str">
        <f>IFERROR(__xludf.DUMMYFUNCTION("""COMPUTED_VALUE"""),"Game Pass Essential launch title (9/14/23), Temporarily removed from cloud 2/22/22 due to disconnect issues, reinstated 12/20/22")</f>
        <v>Game Pass Essential launch title (9/14/23), Temporarily removed from cloud 2/22/22 due to disconnect issues, reinstated 12/20/22</v>
      </c>
      <c r="O48" s="165" t="str">
        <f>IFERROR(__xludf.DUMMYFUNCTION("""COMPUTED_VALUE"""),"M")</f>
        <v>M</v>
      </c>
      <c r="P48" s="165" t="str">
        <f>IFERROR(__xludf.DUMMYFUNCTION("""COMPUTED_VALUE"""),"Use of Alcohol, Blood and Gore, Sexual Themes, Violence")</f>
        <v>Use of Alcohol, Blood and Gore, Sexual Themes, Violence</v>
      </c>
      <c r="Q48" s="165"/>
      <c r="R48" s="165"/>
      <c r="S48" s="165"/>
    </row>
    <row r="49">
      <c r="A49" s="165" t="str">
        <f>IFERROR(__xludf.DUMMYFUNCTION("""COMPUTED_VALUE"""),"State of Decay 2: Juggernaut Edition")</f>
        <v>State of Decay 2: Juggernaut Edition</v>
      </c>
      <c r="B49" s="165" t="str">
        <f>IFERROR(__xludf.DUMMYFUNCTION("""COMPUTED_VALUE"""),"Xbox / PC")</f>
        <v>Xbox / PC</v>
      </c>
      <c r="C49" s="165" t="str">
        <f>IFERROR(__xludf.DUMMYFUNCTION("""COMPUTED_VALUE"""),"M+KB")</f>
        <v>M+KB</v>
      </c>
      <c r="D49" s="165" t="str">
        <f>IFERROR(__xludf.DUMMYFUNCTION("""COMPUTED_VALUE"""),"Active")</f>
        <v>Active</v>
      </c>
      <c r="E49" s="166">
        <f>IFERROR(__xludf.DUMMYFUNCTION("""COMPUTED_VALUE"""),43242.0)</f>
        <v>43242</v>
      </c>
      <c r="F49" s="165"/>
      <c r="G49" s="167">
        <f>IFERROR(__xludf.DUMMYFUNCTION("""COMPUTED_VALUE"""),88.76666666666667)</f>
        <v>88.76666667</v>
      </c>
      <c r="H49" s="166">
        <f>IFERROR(__xludf.DUMMYFUNCTION("""COMPUTED_VALUE"""),43238.0)</f>
        <v>43238</v>
      </c>
      <c r="I49" s="167">
        <f>IFERROR(__xludf.DUMMYFUNCTION("""COMPUTED_VALUE"""),0.011111111111111112)</f>
        <v>0.01111111111</v>
      </c>
      <c r="J49" s="168">
        <f>IFERROR(__xludf.DUMMYFUNCTION("""COMPUTED_VALUE"""),78.0)</f>
        <v>78</v>
      </c>
      <c r="K49" s="168">
        <f>IFERROR(__xludf.DUMMYFUNCTION("""COMPUTED_VALUE"""),36.5)</f>
        <v>36.5</v>
      </c>
      <c r="L49" s="165" t="str">
        <f>IFERROR(__xludf.DUMMYFUNCTION("""COMPUTED_VALUE"""),"Action-Adventure")</f>
        <v>Action-Adventure</v>
      </c>
      <c r="M49" s="165" t="str">
        <f>IFERROR(__xludf.DUMMYFUNCTION("""COMPUTED_VALUE"""),"Optimized")</f>
        <v>Optimized</v>
      </c>
      <c r="N49" s="165" t="str">
        <f>IFERROR(__xludf.DUMMYFUNCTION("""COMPUTED_VALUE"""),"Game Pass Essential launch title (9/14/23), Official PC Mod Support")</f>
        <v>Game Pass Essential launch title (9/14/23), Official PC Mod Support</v>
      </c>
      <c r="O49" s="165" t="str">
        <f>IFERROR(__xludf.DUMMYFUNCTION("""COMPUTED_VALUE"""),"M")</f>
        <v>M</v>
      </c>
      <c r="P49" s="165" t="str">
        <f>IFERROR(__xludf.DUMMYFUNCTION("""COMPUTED_VALUE"""),"Blood and Gore, Drug Reference, Strong Language, Intense Violence")</f>
        <v>Blood and Gore, Drug Reference, Strong Language, Intense Violence</v>
      </c>
      <c r="Q49" s="165"/>
      <c r="R49" s="165"/>
      <c r="S49" s="165"/>
    </row>
    <row r="50">
      <c r="A50" s="165" t="str">
        <f>IFERROR(__xludf.DUMMYFUNCTION("""COMPUTED_VALUE"""),"Cities: Skylines - Remastered")</f>
        <v>Cities: Skylines - Remastered</v>
      </c>
      <c r="B50" s="165" t="str">
        <f>IFERROR(__xludf.DUMMYFUNCTION("""COMPUTED_VALUE"""),"Xbox / PC")</f>
        <v>Xbox / PC</v>
      </c>
      <c r="C50" s="165" t="str">
        <f>IFERROR(__xludf.DUMMYFUNCTION("""COMPUTED_VALUE"""),"M+KB")</f>
        <v>M+KB</v>
      </c>
      <c r="D50" s="165" t="str">
        <f>IFERROR(__xludf.DUMMYFUNCTION("""COMPUTED_VALUE"""),"Active")</f>
        <v>Active</v>
      </c>
      <c r="E50" s="166">
        <f>IFERROR(__xludf.DUMMYFUNCTION("""COMPUTED_VALUE"""),43191.0)</f>
        <v>43191</v>
      </c>
      <c r="F50" s="165"/>
      <c r="G50" s="167">
        <f>IFERROR(__xludf.DUMMYFUNCTION("""COMPUTED_VALUE"""),90.46666666666667)</f>
        <v>90.46666667</v>
      </c>
      <c r="H50" s="166">
        <f>IFERROR(__xludf.DUMMYFUNCTION("""COMPUTED_VALUE"""),42073.0)</f>
        <v>42073</v>
      </c>
      <c r="I50" s="167">
        <f>IFERROR(__xludf.DUMMYFUNCTION("""COMPUTED_VALUE"""),3.058333333333333)</f>
        <v>3.058333333</v>
      </c>
      <c r="J50" s="168">
        <f>IFERROR(__xludf.DUMMYFUNCTION("""COMPUTED_VALUE"""),83.0)</f>
        <v>83</v>
      </c>
      <c r="K50" s="168">
        <f>IFERROR(__xludf.DUMMYFUNCTION("""COMPUTED_VALUE"""),25.5)</f>
        <v>25.5</v>
      </c>
      <c r="L50" s="165" t="str">
        <f>IFERROR(__xludf.DUMMYFUNCTION("""COMPUTED_VALUE"""),"Simulation")</f>
        <v>Simulation</v>
      </c>
      <c r="M50" s="165"/>
      <c r="N50" s="165" t="str">
        <f>IFERROR(__xludf.DUMMYFUNCTION("""COMPUTED_VALUE"""),"Game Pass Essential (10/1/25). Remasted coming to Xbox Series X|S and cloud exclusively beginning 2/15/23. PC version is not remastered")</f>
        <v>Game Pass Essential (10/1/25). Remasted coming to Xbox Series X|S and cloud exclusively beginning 2/15/23. PC version is not remastered</v>
      </c>
      <c r="O50" s="165" t="str">
        <f>IFERROR(__xludf.DUMMYFUNCTION("""COMPUTED_VALUE"""),"E")</f>
        <v>E</v>
      </c>
      <c r="P50" s="165"/>
      <c r="Q50" s="165"/>
      <c r="R50" s="165"/>
      <c r="S50" s="165"/>
    </row>
    <row r="51">
      <c r="A51" s="165" t="str">
        <f>IFERROR(__xludf.DUMMYFUNCTION("""COMPUTED_VALUE"""),"Fable Anniversary")</f>
        <v>Fable Anniversary</v>
      </c>
      <c r="B51" s="165" t="str">
        <f>IFERROR(__xludf.DUMMYFUNCTION("""COMPUTED_VALUE"""),"Xbox")</f>
        <v>Xbox</v>
      </c>
      <c r="C51" s="165" t="str">
        <f>IFERROR(__xludf.DUMMYFUNCTION("""COMPUTED_VALUE"""),"Touch Controls")</f>
        <v>Touch Controls</v>
      </c>
      <c r="D51" s="165" t="str">
        <f>IFERROR(__xludf.DUMMYFUNCTION("""COMPUTED_VALUE"""),"Active")</f>
        <v>Active</v>
      </c>
      <c r="E51" s="166">
        <f>IFERROR(__xludf.DUMMYFUNCTION("""COMPUTED_VALUE"""),43132.0)</f>
        <v>43132</v>
      </c>
      <c r="F51" s="165"/>
      <c r="G51" s="167">
        <f>IFERROR(__xludf.DUMMYFUNCTION("""COMPUTED_VALUE"""),92.46666666666667)</f>
        <v>92.46666667</v>
      </c>
      <c r="H51" s="166">
        <f>IFERROR(__xludf.DUMMYFUNCTION("""COMPUTED_VALUE"""),41674.0)</f>
        <v>41674</v>
      </c>
      <c r="I51" s="167">
        <f>IFERROR(__xludf.DUMMYFUNCTION("""COMPUTED_VALUE"""),3.9916666666666667)</f>
        <v>3.991666667</v>
      </c>
      <c r="J51" s="168">
        <f>IFERROR(__xludf.DUMMYFUNCTION("""COMPUTED_VALUE"""),68.0)</f>
        <v>68</v>
      </c>
      <c r="K51" s="168">
        <f>IFERROR(__xludf.DUMMYFUNCTION("""COMPUTED_VALUE"""),14.0)</f>
        <v>14</v>
      </c>
      <c r="L51" s="165" t="str">
        <f>IFERROR(__xludf.DUMMYFUNCTION("""COMPUTED_VALUE"""),"RPG / Action-Adventure")</f>
        <v>RPG / Action-Adventure</v>
      </c>
      <c r="M51" s="165"/>
      <c r="N51" s="165" t="str">
        <f>IFERROR(__xludf.DUMMYFUNCTION("""COMPUTED_VALUE"""),"Game Pass Essential launch title (9/14/23)")</f>
        <v>Game Pass Essential launch title (9/14/23)</v>
      </c>
      <c r="O51" s="165" t="str">
        <f>IFERROR(__xludf.DUMMYFUNCTION("""COMPUTED_VALUE"""),"M")</f>
        <v>M</v>
      </c>
      <c r="P51" s="165" t="str">
        <f>IFERROR(__xludf.DUMMYFUNCTION("""COMPUTED_VALUE"""),"Blood and Gore, Language, Use of Alcohol, Violence, Sexual Content")</f>
        <v>Blood and Gore, Language, Use of Alcohol, Violence, Sexual Content</v>
      </c>
      <c r="Q51" s="165" t="str">
        <f>IFERROR(__xludf.DUMMYFUNCTION("""COMPUTED_VALUE"""),"Xbox 360")</f>
        <v>Xbox 360</v>
      </c>
      <c r="R51" s="165"/>
      <c r="S51" s="165"/>
    </row>
    <row r="52">
      <c r="A52" s="165" t="str">
        <f>IFERROR(__xludf.DUMMYFUNCTION("""COMPUTED_VALUE"""),"Halo Wars 2")</f>
        <v>Halo Wars 2</v>
      </c>
      <c r="B52" s="165" t="str">
        <f>IFERROR(__xludf.DUMMYFUNCTION("""COMPUTED_VALUE"""),"Xbox / PC")</f>
        <v>Xbox / PC</v>
      </c>
      <c r="C52" s="165" t="str">
        <f>IFERROR(__xludf.DUMMYFUNCTION("""COMPUTED_VALUE"""),"Touch Controls")</f>
        <v>Touch Controls</v>
      </c>
      <c r="D52" s="165" t="str">
        <f>IFERROR(__xludf.DUMMYFUNCTION("""COMPUTED_VALUE"""),"Active")</f>
        <v>Active</v>
      </c>
      <c r="E52" s="166">
        <f>IFERROR(__xludf.DUMMYFUNCTION("""COMPUTED_VALUE"""),43132.0)</f>
        <v>43132</v>
      </c>
      <c r="F52" s="165"/>
      <c r="G52" s="167">
        <f>IFERROR(__xludf.DUMMYFUNCTION("""COMPUTED_VALUE"""),92.46666666666667)</f>
        <v>92.46666667</v>
      </c>
      <c r="H52" s="166">
        <f>IFERROR(__xludf.DUMMYFUNCTION("""COMPUTED_VALUE"""),42783.0)</f>
        <v>42783</v>
      </c>
      <c r="I52" s="167">
        <f>IFERROR(__xludf.DUMMYFUNCTION("""COMPUTED_VALUE"""),0.9555555555555556)</f>
        <v>0.9555555556</v>
      </c>
      <c r="J52" s="168">
        <f>IFERROR(__xludf.DUMMYFUNCTION("""COMPUTED_VALUE"""),79.0)</f>
        <v>79</v>
      </c>
      <c r="K52" s="168">
        <f>IFERROR(__xludf.DUMMYFUNCTION("""COMPUTED_VALUE"""),8.0)</f>
        <v>8</v>
      </c>
      <c r="L52" s="165" t="str">
        <f>IFERROR(__xludf.DUMMYFUNCTION("""COMPUTED_VALUE"""),"Real-Time Strategy")</f>
        <v>Real-Time Strategy</v>
      </c>
      <c r="M52" s="165" t="str">
        <f>IFERROR(__xludf.DUMMYFUNCTION("""COMPUTED_VALUE"""),"FPS Boost")</f>
        <v>FPS Boost</v>
      </c>
      <c r="N52" s="165" t="str">
        <f>IFERROR(__xludf.DUMMYFUNCTION("""COMPUTED_VALUE"""),"Game Pass Essential launch title (9/14/23)")</f>
        <v>Game Pass Essential launch title (9/14/23)</v>
      </c>
      <c r="O52" s="165" t="str">
        <f>IFERROR(__xludf.DUMMYFUNCTION("""COMPUTED_VALUE"""),"T")</f>
        <v>T</v>
      </c>
      <c r="P52" s="165" t="str">
        <f>IFERROR(__xludf.DUMMYFUNCTION("""COMPUTED_VALUE"""),"Mild Blood, Mild Language, Violence")</f>
        <v>Mild Blood, Mild Language, Violence</v>
      </c>
      <c r="Q52" s="165"/>
      <c r="R52" s="165"/>
      <c r="S52" s="165"/>
    </row>
    <row r="53">
      <c r="A53" s="165" t="str">
        <f>IFERROR(__xludf.DUMMYFUNCTION("""COMPUTED_VALUE"""),"Halo 5: Guardians")</f>
        <v>Halo 5: Guardians</v>
      </c>
      <c r="B53" s="165" t="str">
        <f>IFERROR(__xludf.DUMMYFUNCTION("""COMPUTED_VALUE"""),"Xbox")</f>
        <v>Xbox</v>
      </c>
      <c r="C53" s="165" t="str">
        <f>IFERROR(__xludf.DUMMYFUNCTION("""COMPUTED_VALUE"""),"Yes")</f>
        <v>Yes</v>
      </c>
      <c r="D53" s="165" t="str">
        <f>IFERROR(__xludf.DUMMYFUNCTION("""COMPUTED_VALUE"""),"Active")</f>
        <v>Active</v>
      </c>
      <c r="E53" s="166">
        <f>IFERROR(__xludf.DUMMYFUNCTION("""COMPUTED_VALUE"""),42887.0)</f>
        <v>42887</v>
      </c>
      <c r="F53" s="165"/>
      <c r="G53" s="167">
        <f>IFERROR(__xludf.DUMMYFUNCTION("""COMPUTED_VALUE"""),100.46666666666667)</f>
        <v>100.4666667</v>
      </c>
      <c r="H53" s="166">
        <f>IFERROR(__xludf.DUMMYFUNCTION("""COMPUTED_VALUE"""),42304.0)</f>
        <v>42304</v>
      </c>
      <c r="I53" s="167">
        <f>IFERROR(__xludf.DUMMYFUNCTION("""COMPUTED_VALUE"""),1.5944444444444446)</f>
        <v>1.594444444</v>
      </c>
      <c r="J53" s="168">
        <f>IFERROR(__xludf.DUMMYFUNCTION("""COMPUTED_VALUE"""),84.0)</f>
        <v>84</v>
      </c>
      <c r="K53" s="168">
        <f>IFERROR(__xludf.DUMMYFUNCTION("""COMPUTED_VALUE"""),8.0)</f>
        <v>8</v>
      </c>
      <c r="L53" s="165" t="str">
        <f>IFERROR(__xludf.DUMMYFUNCTION("""COMPUTED_VALUE"""),"First-Person Shooter")</f>
        <v>First-Person Shooter</v>
      </c>
      <c r="M53" s="165"/>
      <c r="N53" s="165" t="str">
        <f>IFERROR(__xludf.DUMMYFUNCTION("""COMPUTED_VALUE"""),"Game Pass Essential launch title (9/14/23)")</f>
        <v>Game Pass Essential launch title (9/14/23)</v>
      </c>
      <c r="O53" s="165" t="str">
        <f>IFERROR(__xludf.DUMMYFUNCTION("""COMPUTED_VALUE"""),"T")</f>
        <v>T</v>
      </c>
      <c r="P53" s="165" t="str">
        <f>IFERROR(__xludf.DUMMYFUNCTION("""COMPUTED_VALUE"""),"Blood, Mild Language, Violence")</f>
        <v>Blood, Mild Language, Violence</v>
      </c>
      <c r="Q53" s="165"/>
      <c r="R53" s="165"/>
      <c r="S53" s="165"/>
    </row>
    <row r="54">
      <c r="A54" s="165" t="str">
        <f>IFERROR(__xludf.DUMMYFUNCTION("""COMPUTED_VALUE"""),"Payday 2: Crimewave Edition")</f>
        <v>Payday 2: Crimewave Edition</v>
      </c>
      <c r="B54" s="165" t="str">
        <f>IFERROR(__xludf.DUMMYFUNCTION("""COMPUTED_VALUE"""),"Xbox")</f>
        <v>Xbox</v>
      </c>
      <c r="C54" s="165"/>
      <c r="D54" s="165" t="str">
        <f>IFERROR(__xludf.DUMMYFUNCTION("""COMPUTED_VALUE"""),"Active")</f>
        <v>Active</v>
      </c>
      <c r="E54" s="166">
        <f>IFERROR(__xludf.DUMMYFUNCTION("""COMPUTED_VALUE"""),42887.0)</f>
        <v>42887</v>
      </c>
      <c r="F54" s="165"/>
      <c r="G54" s="167">
        <f>IFERROR(__xludf.DUMMYFUNCTION("""COMPUTED_VALUE"""),100.46666666666667)</f>
        <v>100.4666667</v>
      </c>
      <c r="H54" s="166">
        <f>IFERROR(__xludf.DUMMYFUNCTION("""COMPUTED_VALUE"""),41499.0)</f>
        <v>41499</v>
      </c>
      <c r="I54" s="167">
        <f>IFERROR(__xludf.DUMMYFUNCTION("""COMPUTED_VALUE"""),3.8)</f>
        <v>3.8</v>
      </c>
      <c r="J54" s="168">
        <f>IFERROR(__xludf.DUMMYFUNCTION("""COMPUTED_VALUE"""),65.0)</f>
        <v>65</v>
      </c>
      <c r="K54" s="168">
        <f>IFERROR(__xludf.DUMMYFUNCTION("""COMPUTED_VALUE"""),24.5)</f>
        <v>24.5</v>
      </c>
      <c r="L54" s="165" t="str">
        <f>IFERROR(__xludf.DUMMYFUNCTION("""COMPUTED_VALUE"""),"First-Person Shooter")</f>
        <v>First-Person Shooter</v>
      </c>
      <c r="M54" s="165"/>
      <c r="N54" s="165" t="str">
        <f>IFERROR(__xludf.DUMMYFUNCTION("""COMPUTED_VALUE"""),"Game Pass Essential launch title (9/14/23)")</f>
        <v>Game Pass Essential launch title (9/14/23)</v>
      </c>
      <c r="O54" s="165" t="str">
        <f>IFERROR(__xludf.DUMMYFUNCTION("""COMPUTED_VALUE"""),"M")</f>
        <v>M</v>
      </c>
      <c r="P54" s="165" t="str">
        <f>IFERROR(__xludf.DUMMYFUNCTION("""COMPUTED_VALUE"""),"Blood and Gore, Suggestive Themes, Drug Reference, Strong Language, Intense Violence")</f>
        <v>Blood and Gore, Suggestive Themes, Drug Reference, Strong Language, Intense Violence</v>
      </c>
      <c r="Q54" s="165"/>
      <c r="R54" s="165"/>
      <c r="S54" s="165"/>
    </row>
    <row r="55">
      <c r="A55" s="165"/>
      <c r="B55" s="165"/>
      <c r="C55" s="165"/>
      <c r="D55" s="165"/>
      <c r="E55" s="166"/>
      <c r="F55" s="165"/>
      <c r="G55" s="167"/>
      <c r="H55" s="166"/>
      <c r="I55" s="167"/>
      <c r="J55" s="168"/>
      <c r="K55" s="169"/>
      <c r="L55" s="165"/>
      <c r="M55" s="165"/>
      <c r="N55" s="165"/>
      <c r="O55" s="165"/>
      <c r="P55" s="165"/>
      <c r="Q55" s="165"/>
      <c r="R55" s="165"/>
      <c r="S55" s="165"/>
    </row>
    <row r="56">
      <c r="A56" s="165"/>
      <c r="B56" s="165"/>
      <c r="C56" s="165"/>
      <c r="D56" s="165"/>
      <c r="E56" s="166"/>
      <c r="F56" s="165"/>
      <c r="G56" s="167"/>
      <c r="H56" s="166"/>
      <c r="I56" s="167"/>
      <c r="J56" s="168"/>
      <c r="K56" s="169"/>
      <c r="L56" s="165"/>
      <c r="M56" s="165"/>
      <c r="N56" s="165"/>
      <c r="O56" s="165"/>
      <c r="P56" s="165"/>
      <c r="Q56" s="165"/>
      <c r="R56" s="165"/>
      <c r="S56" s="165"/>
    </row>
    <row r="57">
      <c r="A57" s="165"/>
      <c r="B57" s="165"/>
      <c r="C57" s="165"/>
      <c r="D57" s="165"/>
      <c r="E57" s="166"/>
      <c r="F57" s="165"/>
      <c r="G57" s="167"/>
      <c r="H57" s="166"/>
      <c r="I57" s="167"/>
      <c r="J57" s="168"/>
      <c r="K57" s="169"/>
      <c r="L57" s="165"/>
      <c r="M57" s="165"/>
      <c r="N57" s="165"/>
      <c r="O57" s="165"/>
      <c r="P57" s="165"/>
      <c r="Q57" s="165"/>
      <c r="R57" s="165"/>
      <c r="S57" s="165"/>
    </row>
    <row r="58">
      <c r="A58" s="165"/>
      <c r="B58" s="165"/>
      <c r="C58" s="165"/>
      <c r="D58" s="165"/>
      <c r="E58" s="166"/>
      <c r="F58" s="165"/>
      <c r="G58" s="167"/>
      <c r="H58" s="166"/>
      <c r="I58" s="167"/>
      <c r="J58" s="168"/>
      <c r="K58" s="169"/>
      <c r="L58" s="165"/>
      <c r="M58" s="165"/>
      <c r="N58" s="165"/>
      <c r="O58" s="165"/>
      <c r="P58" s="165"/>
      <c r="Q58" s="165"/>
      <c r="R58" s="165"/>
      <c r="S58" s="165"/>
    </row>
    <row r="59">
      <c r="A59" s="165"/>
      <c r="B59" s="165"/>
      <c r="C59" s="165"/>
      <c r="D59" s="165"/>
      <c r="E59" s="166"/>
      <c r="F59" s="165"/>
      <c r="G59" s="167"/>
      <c r="H59" s="166"/>
      <c r="I59" s="167"/>
      <c r="J59" s="168"/>
      <c r="K59" s="169"/>
      <c r="L59" s="165"/>
      <c r="M59" s="165"/>
      <c r="N59" s="165"/>
      <c r="O59" s="165"/>
      <c r="P59" s="165"/>
      <c r="Q59" s="165"/>
      <c r="R59" s="165"/>
      <c r="S59" s="165"/>
    </row>
    <row r="60">
      <c r="A60" s="165"/>
      <c r="B60" s="165"/>
      <c r="C60" s="165"/>
      <c r="D60" s="165"/>
      <c r="E60" s="166"/>
      <c r="F60" s="165"/>
      <c r="G60" s="167"/>
      <c r="H60" s="166"/>
      <c r="I60" s="167"/>
      <c r="J60" s="168"/>
      <c r="K60" s="169"/>
      <c r="L60" s="165"/>
      <c r="M60" s="165"/>
      <c r="N60" s="165"/>
      <c r="O60" s="165"/>
      <c r="P60" s="165"/>
      <c r="Q60" s="165"/>
      <c r="R60" s="165"/>
      <c r="S60" s="165"/>
    </row>
    <row r="61">
      <c r="A61" s="165"/>
      <c r="B61" s="165"/>
      <c r="C61" s="165"/>
      <c r="D61" s="165"/>
      <c r="E61" s="166"/>
      <c r="F61" s="165"/>
      <c r="G61" s="167"/>
      <c r="H61" s="166"/>
      <c r="I61" s="167"/>
      <c r="J61" s="168"/>
      <c r="K61" s="169"/>
      <c r="L61" s="165"/>
      <c r="M61" s="165"/>
      <c r="N61" s="165"/>
      <c r="O61" s="165"/>
      <c r="P61" s="165"/>
      <c r="Q61" s="165"/>
      <c r="R61" s="165"/>
      <c r="S61" s="165"/>
    </row>
    <row r="62">
      <c r="A62" s="165"/>
      <c r="B62" s="165"/>
      <c r="C62" s="165"/>
      <c r="D62" s="165"/>
      <c r="E62" s="166"/>
      <c r="F62" s="165"/>
      <c r="G62" s="167"/>
      <c r="H62" s="166"/>
      <c r="I62" s="167"/>
      <c r="J62" s="168"/>
      <c r="K62" s="169"/>
      <c r="L62" s="165"/>
      <c r="M62" s="165"/>
      <c r="N62" s="165"/>
      <c r="O62" s="165"/>
      <c r="P62" s="165"/>
      <c r="Q62" s="165"/>
      <c r="R62" s="165"/>
      <c r="S62" s="165"/>
    </row>
    <row r="63">
      <c r="A63" s="165"/>
      <c r="B63" s="165"/>
      <c r="C63" s="165"/>
      <c r="D63" s="165"/>
      <c r="E63" s="166"/>
      <c r="F63" s="165"/>
      <c r="G63" s="167"/>
      <c r="H63" s="166"/>
      <c r="I63" s="167"/>
      <c r="J63" s="168"/>
      <c r="K63" s="169"/>
      <c r="L63" s="165"/>
      <c r="M63" s="165"/>
      <c r="N63" s="165"/>
      <c r="O63" s="165"/>
      <c r="P63" s="165"/>
      <c r="Q63" s="165"/>
      <c r="R63" s="165"/>
      <c r="S63" s="165"/>
    </row>
    <row r="64">
      <c r="A64" s="165"/>
      <c r="B64" s="165"/>
      <c r="C64" s="165"/>
      <c r="D64" s="165"/>
      <c r="E64" s="166"/>
      <c r="F64" s="165"/>
      <c r="G64" s="167"/>
      <c r="H64" s="166"/>
      <c r="I64" s="167"/>
      <c r="J64" s="168"/>
      <c r="K64" s="169"/>
      <c r="L64" s="165"/>
      <c r="M64" s="165"/>
      <c r="N64" s="165"/>
      <c r="O64" s="165"/>
      <c r="P64" s="165"/>
      <c r="Q64" s="165"/>
      <c r="R64" s="165"/>
      <c r="S64" s="165"/>
    </row>
    <row r="65">
      <c r="A65" s="165"/>
      <c r="B65" s="165"/>
      <c r="C65" s="165"/>
      <c r="D65" s="165"/>
      <c r="E65" s="166"/>
      <c r="F65" s="165"/>
      <c r="G65" s="167"/>
      <c r="H65" s="166"/>
      <c r="I65" s="167"/>
      <c r="J65" s="168"/>
      <c r="K65" s="169"/>
      <c r="L65" s="165"/>
      <c r="M65" s="165"/>
      <c r="N65" s="165"/>
      <c r="O65" s="165"/>
      <c r="P65" s="165"/>
      <c r="Q65" s="165"/>
      <c r="R65" s="165"/>
      <c r="S65" s="165"/>
    </row>
    <row r="66">
      <c r="A66" s="165"/>
      <c r="B66" s="165"/>
      <c r="C66" s="165"/>
      <c r="D66" s="165"/>
      <c r="E66" s="166"/>
      <c r="F66" s="165"/>
      <c r="G66" s="167"/>
      <c r="H66" s="166"/>
      <c r="I66" s="167"/>
      <c r="J66" s="168"/>
      <c r="K66" s="169"/>
      <c r="L66" s="165"/>
      <c r="M66" s="165"/>
      <c r="N66" s="165"/>
      <c r="O66" s="165"/>
      <c r="P66" s="165"/>
      <c r="Q66" s="165"/>
      <c r="R66" s="165"/>
      <c r="S66" s="165"/>
    </row>
    <row r="67">
      <c r="A67" s="165"/>
      <c r="B67" s="165"/>
      <c r="C67" s="165"/>
      <c r="D67" s="165"/>
      <c r="E67" s="166"/>
      <c r="F67" s="165"/>
      <c r="G67" s="167"/>
      <c r="H67" s="166"/>
      <c r="I67" s="167"/>
      <c r="J67" s="168"/>
      <c r="K67" s="169"/>
      <c r="L67" s="165"/>
      <c r="M67" s="165"/>
      <c r="N67" s="165"/>
      <c r="O67" s="165"/>
      <c r="P67" s="165"/>
      <c r="Q67" s="165"/>
      <c r="R67" s="165"/>
      <c r="S67" s="165"/>
    </row>
    <row r="68">
      <c r="A68" s="165"/>
      <c r="B68" s="165"/>
      <c r="C68" s="165"/>
      <c r="D68" s="165"/>
      <c r="E68" s="166"/>
      <c r="F68" s="165"/>
      <c r="G68" s="167"/>
      <c r="H68" s="166"/>
      <c r="I68" s="167"/>
      <c r="J68" s="168"/>
      <c r="K68" s="169"/>
      <c r="L68" s="165"/>
      <c r="M68" s="165"/>
      <c r="N68" s="165"/>
      <c r="O68" s="165"/>
      <c r="P68" s="165"/>
      <c r="Q68" s="165"/>
      <c r="R68" s="165"/>
      <c r="S68" s="165"/>
    </row>
    <row r="69">
      <c r="A69" s="165"/>
      <c r="B69" s="165"/>
      <c r="C69" s="165"/>
      <c r="D69" s="165"/>
      <c r="E69" s="166"/>
      <c r="F69" s="165"/>
      <c r="G69" s="167"/>
      <c r="H69" s="166"/>
      <c r="I69" s="167"/>
      <c r="J69" s="168"/>
      <c r="K69" s="169"/>
      <c r="L69" s="165"/>
      <c r="M69" s="165"/>
      <c r="N69" s="165"/>
      <c r="O69" s="165"/>
      <c r="P69" s="165"/>
      <c r="Q69" s="165"/>
      <c r="R69" s="165"/>
      <c r="S69" s="165"/>
    </row>
    <row r="70">
      <c r="A70" s="165"/>
      <c r="B70" s="165"/>
      <c r="C70" s="165"/>
      <c r="D70" s="165"/>
      <c r="E70" s="166"/>
      <c r="F70" s="165"/>
      <c r="G70" s="167"/>
      <c r="H70" s="166"/>
      <c r="I70" s="167"/>
      <c r="J70" s="168"/>
      <c r="K70" s="169"/>
      <c r="L70" s="165"/>
      <c r="M70" s="165"/>
      <c r="N70" s="165"/>
      <c r="O70" s="165"/>
      <c r="P70" s="165"/>
      <c r="Q70" s="165"/>
      <c r="R70" s="165"/>
      <c r="S70" s="165"/>
    </row>
    <row r="71">
      <c r="A71" s="165"/>
      <c r="B71" s="165"/>
      <c r="C71" s="165"/>
      <c r="D71" s="165"/>
      <c r="E71" s="166"/>
      <c r="F71" s="165"/>
      <c r="G71" s="167"/>
      <c r="H71" s="166"/>
      <c r="I71" s="167"/>
      <c r="J71" s="168"/>
      <c r="K71" s="169"/>
      <c r="L71" s="165"/>
      <c r="M71" s="165"/>
      <c r="N71" s="165"/>
      <c r="O71" s="165"/>
      <c r="P71" s="165"/>
      <c r="Q71" s="165"/>
      <c r="R71" s="165"/>
      <c r="S71" s="165"/>
    </row>
    <row r="72">
      <c r="A72" s="165"/>
      <c r="B72" s="165"/>
      <c r="C72" s="165"/>
      <c r="D72" s="165"/>
      <c r="E72" s="166"/>
      <c r="F72" s="165"/>
      <c r="G72" s="167"/>
      <c r="H72" s="166"/>
      <c r="I72" s="167"/>
      <c r="J72" s="168"/>
      <c r="K72" s="169"/>
      <c r="L72" s="165"/>
      <c r="M72" s="165"/>
      <c r="N72" s="165"/>
      <c r="O72" s="165"/>
      <c r="P72" s="165"/>
      <c r="Q72" s="165"/>
      <c r="R72" s="165"/>
      <c r="S72" s="165"/>
    </row>
    <row r="73">
      <c r="A73" s="165"/>
      <c r="B73" s="165"/>
      <c r="C73" s="165"/>
      <c r="D73" s="165"/>
      <c r="E73" s="166"/>
      <c r="F73" s="165"/>
      <c r="G73" s="167"/>
      <c r="H73" s="166"/>
      <c r="I73" s="167"/>
      <c r="J73" s="168"/>
      <c r="K73" s="169"/>
      <c r="L73" s="165"/>
      <c r="M73" s="165"/>
      <c r="N73" s="165"/>
      <c r="O73" s="165"/>
      <c r="P73" s="165"/>
      <c r="Q73" s="165"/>
      <c r="R73" s="165"/>
      <c r="S73" s="165"/>
    </row>
    <row r="74">
      <c r="A74" s="165"/>
      <c r="B74" s="165"/>
      <c r="C74" s="165"/>
      <c r="D74" s="165"/>
      <c r="E74" s="166"/>
      <c r="F74" s="165"/>
      <c r="G74" s="167"/>
      <c r="H74" s="166"/>
      <c r="I74" s="167"/>
      <c r="J74" s="168"/>
      <c r="K74" s="169"/>
      <c r="L74" s="165"/>
      <c r="M74" s="165"/>
      <c r="N74" s="165"/>
      <c r="O74" s="165"/>
      <c r="P74" s="165"/>
      <c r="Q74" s="165"/>
      <c r="R74" s="165"/>
      <c r="S74" s="165"/>
    </row>
    <row r="75">
      <c r="A75" s="165"/>
      <c r="B75" s="165"/>
      <c r="C75" s="165"/>
      <c r="D75" s="165"/>
      <c r="E75" s="166"/>
      <c r="F75" s="165"/>
      <c r="G75" s="167"/>
      <c r="H75" s="166"/>
      <c r="I75" s="167"/>
      <c r="J75" s="168"/>
      <c r="K75" s="169"/>
      <c r="L75" s="165"/>
      <c r="M75" s="165"/>
      <c r="N75" s="165"/>
      <c r="O75" s="165"/>
      <c r="P75" s="165"/>
      <c r="Q75" s="165"/>
      <c r="R75" s="165"/>
      <c r="S75" s="165"/>
    </row>
    <row r="76">
      <c r="A76" s="165"/>
      <c r="B76" s="165"/>
      <c r="C76" s="165"/>
      <c r="D76" s="165"/>
      <c r="E76" s="166"/>
      <c r="F76" s="165"/>
      <c r="G76" s="167"/>
      <c r="H76" s="166"/>
      <c r="I76" s="167"/>
      <c r="J76" s="168"/>
      <c r="K76" s="169"/>
      <c r="L76" s="165"/>
      <c r="M76" s="165"/>
      <c r="N76" s="165"/>
      <c r="O76" s="165"/>
      <c r="P76" s="165"/>
      <c r="Q76" s="165"/>
      <c r="R76" s="165"/>
      <c r="S76" s="165"/>
    </row>
    <row r="77">
      <c r="A77" s="165"/>
      <c r="B77" s="165"/>
      <c r="C77" s="165"/>
      <c r="D77" s="165"/>
      <c r="E77" s="166"/>
      <c r="F77" s="165"/>
      <c r="G77" s="167"/>
      <c r="H77" s="166"/>
      <c r="I77" s="167"/>
      <c r="J77" s="168"/>
      <c r="K77" s="169"/>
      <c r="L77" s="165"/>
      <c r="M77" s="165"/>
      <c r="N77" s="165"/>
      <c r="O77" s="165"/>
      <c r="P77" s="165"/>
      <c r="Q77" s="165"/>
      <c r="R77" s="165"/>
      <c r="S77" s="165"/>
    </row>
    <row r="78">
      <c r="A78" s="165"/>
      <c r="B78" s="165"/>
      <c r="C78" s="165"/>
      <c r="D78" s="165"/>
      <c r="E78" s="166"/>
      <c r="F78" s="165"/>
      <c r="G78" s="167"/>
      <c r="H78" s="166"/>
      <c r="I78" s="167"/>
      <c r="J78" s="168"/>
      <c r="K78" s="169"/>
      <c r="L78" s="165"/>
      <c r="M78" s="165"/>
      <c r="N78" s="165"/>
      <c r="O78" s="165"/>
      <c r="P78" s="165"/>
      <c r="Q78" s="165"/>
      <c r="R78" s="165"/>
      <c r="S78" s="165"/>
    </row>
    <row r="79">
      <c r="A79" s="165"/>
      <c r="B79" s="165"/>
      <c r="C79" s="165"/>
      <c r="D79" s="165"/>
      <c r="E79" s="166"/>
      <c r="F79" s="165"/>
      <c r="G79" s="167"/>
      <c r="H79" s="166"/>
      <c r="I79" s="167"/>
      <c r="J79" s="168"/>
      <c r="K79" s="169"/>
      <c r="L79" s="165"/>
      <c r="M79" s="165"/>
      <c r="N79" s="165"/>
      <c r="O79" s="165"/>
      <c r="P79" s="165"/>
      <c r="Q79" s="165"/>
      <c r="R79" s="165"/>
      <c r="S79" s="165"/>
    </row>
    <row r="80">
      <c r="A80" s="165"/>
      <c r="B80" s="165"/>
      <c r="C80" s="165"/>
      <c r="D80" s="165"/>
      <c r="E80" s="166"/>
      <c r="F80" s="165"/>
      <c r="G80" s="167"/>
      <c r="H80" s="166"/>
      <c r="I80" s="167"/>
      <c r="J80" s="168"/>
      <c r="K80" s="169"/>
      <c r="L80" s="165"/>
      <c r="M80" s="165"/>
      <c r="N80" s="165"/>
      <c r="O80" s="165"/>
      <c r="P80" s="165"/>
      <c r="Q80" s="165"/>
      <c r="R80" s="165"/>
      <c r="S80" s="165"/>
    </row>
    <row r="81">
      <c r="A81" s="165"/>
      <c r="B81" s="165"/>
      <c r="C81" s="165"/>
      <c r="D81" s="165"/>
      <c r="E81" s="166"/>
      <c r="F81" s="165"/>
      <c r="G81" s="167"/>
      <c r="H81" s="166"/>
      <c r="I81" s="167"/>
      <c r="J81" s="168"/>
      <c r="K81" s="169"/>
      <c r="L81" s="165"/>
      <c r="M81" s="165"/>
      <c r="N81" s="165"/>
      <c r="O81" s="165"/>
      <c r="P81" s="165"/>
      <c r="Q81" s="165"/>
      <c r="R81" s="165"/>
      <c r="S81" s="165"/>
    </row>
    <row r="82">
      <c r="A82" s="165"/>
      <c r="B82" s="165"/>
      <c r="C82" s="165"/>
      <c r="D82" s="165"/>
      <c r="E82" s="166"/>
      <c r="F82" s="165"/>
      <c r="G82" s="167"/>
      <c r="H82" s="166"/>
      <c r="I82" s="167"/>
      <c r="J82" s="168"/>
      <c r="K82" s="169"/>
      <c r="L82" s="165"/>
      <c r="M82" s="165"/>
      <c r="N82" s="165"/>
      <c r="O82" s="165"/>
      <c r="P82" s="165"/>
      <c r="Q82" s="165"/>
      <c r="R82" s="165"/>
      <c r="S82" s="165"/>
    </row>
    <row r="83">
      <c r="A83" s="165"/>
      <c r="B83" s="165"/>
      <c r="C83" s="165"/>
      <c r="D83" s="165"/>
      <c r="E83" s="166"/>
      <c r="F83" s="165"/>
      <c r="G83" s="167"/>
      <c r="H83" s="166"/>
      <c r="I83" s="167"/>
      <c r="J83" s="168"/>
      <c r="K83" s="169"/>
      <c r="L83" s="165"/>
      <c r="M83" s="165"/>
      <c r="N83" s="165"/>
      <c r="O83" s="165"/>
      <c r="P83" s="165"/>
      <c r="Q83" s="165"/>
      <c r="R83" s="165"/>
      <c r="S83" s="165"/>
    </row>
    <row r="84">
      <c r="A84" s="165"/>
      <c r="B84" s="165"/>
      <c r="C84" s="165"/>
      <c r="D84" s="165"/>
      <c r="E84" s="166"/>
      <c r="F84" s="165"/>
      <c r="G84" s="167"/>
      <c r="H84" s="166"/>
      <c r="I84" s="167"/>
      <c r="J84" s="168"/>
      <c r="K84" s="169"/>
      <c r="L84" s="165"/>
      <c r="M84" s="165"/>
      <c r="N84" s="165"/>
      <c r="O84" s="165"/>
      <c r="P84" s="165"/>
      <c r="Q84" s="165"/>
      <c r="R84" s="165"/>
      <c r="S84" s="165"/>
    </row>
    <row r="85">
      <c r="A85" s="165"/>
      <c r="B85" s="165"/>
      <c r="C85" s="165"/>
      <c r="D85" s="165"/>
      <c r="E85" s="166"/>
      <c r="F85" s="165"/>
      <c r="G85" s="167"/>
      <c r="H85" s="166"/>
      <c r="I85" s="167"/>
      <c r="J85" s="168"/>
      <c r="K85" s="169"/>
      <c r="L85" s="165"/>
      <c r="M85" s="165"/>
      <c r="N85" s="165"/>
      <c r="O85" s="165"/>
      <c r="P85" s="165"/>
      <c r="Q85" s="165"/>
      <c r="R85" s="165"/>
      <c r="S85" s="165"/>
    </row>
    <row r="86">
      <c r="A86" s="165"/>
      <c r="B86" s="165"/>
      <c r="C86" s="165"/>
      <c r="D86" s="165"/>
      <c r="E86" s="166"/>
      <c r="F86" s="165"/>
      <c r="G86" s="167"/>
      <c r="H86" s="166"/>
      <c r="I86" s="167"/>
      <c r="J86" s="168"/>
      <c r="K86" s="169"/>
      <c r="L86" s="165"/>
      <c r="M86" s="165"/>
      <c r="N86" s="165"/>
      <c r="O86" s="165"/>
      <c r="P86" s="165"/>
      <c r="Q86" s="165"/>
      <c r="R86" s="165"/>
      <c r="S86" s="165"/>
    </row>
    <row r="87">
      <c r="A87" s="165"/>
      <c r="B87" s="165"/>
      <c r="C87" s="165"/>
      <c r="D87" s="165"/>
      <c r="E87" s="166"/>
      <c r="F87" s="165"/>
      <c r="G87" s="167"/>
      <c r="H87" s="166"/>
      <c r="I87" s="167"/>
      <c r="J87" s="168"/>
      <c r="K87" s="169"/>
      <c r="L87" s="165"/>
      <c r="M87" s="165"/>
      <c r="N87" s="165"/>
      <c r="O87" s="165"/>
      <c r="P87" s="165"/>
      <c r="Q87" s="165"/>
      <c r="R87" s="165"/>
      <c r="S87" s="165"/>
    </row>
    <row r="88">
      <c r="A88" s="165"/>
      <c r="B88" s="165"/>
      <c r="C88" s="165"/>
      <c r="D88" s="165"/>
      <c r="E88" s="166"/>
      <c r="F88" s="165"/>
      <c r="G88" s="167"/>
      <c r="H88" s="166"/>
      <c r="I88" s="167"/>
      <c r="J88" s="168"/>
      <c r="K88" s="169"/>
      <c r="L88" s="165"/>
      <c r="M88" s="165"/>
      <c r="N88" s="165"/>
      <c r="O88" s="165"/>
      <c r="P88" s="165"/>
      <c r="Q88" s="165"/>
      <c r="R88" s="165"/>
      <c r="S88" s="165"/>
    </row>
    <row r="89">
      <c r="A89" s="165"/>
      <c r="B89" s="165"/>
      <c r="C89" s="165"/>
      <c r="D89" s="165"/>
      <c r="E89" s="166"/>
      <c r="F89" s="165"/>
      <c r="G89" s="167"/>
      <c r="H89" s="166"/>
      <c r="I89" s="167"/>
      <c r="J89" s="168"/>
      <c r="K89" s="169"/>
      <c r="L89" s="165"/>
      <c r="M89" s="165"/>
      <c r="N89" s="165"/>
      <c r="O89" s="165"/>
      <c r="P89" s="165"/>
      <c r="Q89" s="165"/>
      <c r="R89" s="165"/>
      <c r="S89" s="165"/>
    </row>
    <row r="90">
      <c r="A90" s="165"/>
      <c r="B90" s="165"/>
      <c r="C90" s="165"/>
      <c r="D90" s="165"/>
      <c r="E90" s="166"/>
      <c r="F90" s="165"/>
      <c r="G90" s="167"/>
      <c r="H90" s="166"/>
      <c r="I90" s="167"/>
      <c r="J90" s="168"/>
      <c r="K90" s="169"/>
      <c r="L90" s="165"/>
      <c r="M90" s="165"/>
      <c r="N90" s="165"/>
      <c r="O90" s="165"/>
      <c r="P90" s="165"/>
      <c r="Q90" s="165"/>
      <c r="R90" s="165"/>
      <c r="S90" s="165"/>
    </row>
    <row r="91">
      <c r="A91" s="165"/>
      <c r="B91" s="165"/>
      <c r="C91" s="165"/>
      <c r="D91" s="165"/>
      <c r="E91" s="166"/>
      <c r="F91" s="165"/>
      <c r="G91" s="167"/>
      <c r="H91" s="166"/>
      <c r="I91" s="167"/>
      <c r="J91" s="168"/>
      <c r="K91" s="169"/>
      <c r="L91" s="165"/>
      <c r="M91" s="165"/>
      <c r="N91" s="165"/>
      <c r="O91" s="165"/>
      <c r="P91" s="165"/>
      <c r="Q91" s="165"/>
      <c r="R91" s="165"/>
      <c r="S91" s="165"/>
    </row>
    <row r="92">
      <c r="A92" s="165"/>
      <c r="B92" s="165"/>
      <c r="C92" s="165"/>
      <c r="D92" s="165"/>
      <c r="E92" s="166"/>
      <c r="F92" s="165"/>
      <c r="G92" s="167"/>
      <c r="H92" s="166"/>
      <c r="I92" s="167"/>
      <c r="J92" s="168"/>
      <c r="K92" s="169"/>
      <c r="L92" s="165"/>
      <c r="M92" s="165"/>
      <c r="N92" s="165"/>
      <c r="O92" s="165"/>
      <c r="P92" s="165"/>
      <c r="Q92" s="165"/>
      <c r="R92" s="165"/>
      <c r="S92" s="165"/>
    </row>
    <row r="93">
      <c r="A93" s="165"/>
      <c r="B93" s="165"/>
      <c r="C93" s="165"/>
      <c r="D93" s="165"/>
      <c r="E93" s="166"/>
      <c r="F93" s="165"/>
      <c r="G93" s="167"/>
      <c r="H93" s="166"/>
      <c r="I93" s="167"/>
      <c r="J93" s="168"/>
      <c r="K93" s="169"/>
      <c r="L93" s="165"/>
      <c r="M93" s="165"/>
      <c r="N93" s="165"/>
      <c r="O93" s="165"/>
      <c r="P93" s="165"/>
      <c r="Q93" s="165"/>
      <c r="R93" s="165"/>
      <c r="S93" s="165"/>
    </row>
    <row r="94">
      <c r="A94" s="165"/>
      <c r="B94" s="165"/>
      <c r="C94" s="165"/>
      <c r="D94" s="165"/>
      <c r="E94" s="166"/>
      <c r="F94" s="165"/>
      <c r="G94" s="167"/>
      <c r="H94" s="166"/>
      <c r="I94" s="167"/>
      <c r="J94" s="168"/>
      <c r="K94" s="169"/>
      <c r="L94" s="165"/>
      <c r="M94" s="165"/>
      <c r="N94" s="165"/>
      <c r="O94" s="165"/>
      <c r="P94" s="165"/>
      <c r="Q94" s="165"/>
      <c r="R94" s="165"/>
      <c r="S94" s="165"/>
    </row>
    <row r="95">
      <c r="A95" s="165"/>
      <c r="B95" s="165"/>
      <c r="C95" s="165"/>
      <c r="D95" s="165"/>
      <c r="E95" s="166"/>
      <c r="F95" s="165"/>
      <c r="G95" s="167"/>
      <c r="H95" s="166"/>
      <c r="I95" s="167"/>
      <c r="J95" s="168"/>
      <c r="K95" s="169"/>
      <c r="L95" s="165"/>
      <c r="M95" s="165"/>
      <c r="N95" s="165"/>
      <c r="O95" s="165"/>
      <c r="P95" s="165"/>
      <c r="Q95" s="165"/>
      <c r="R95" s="165"/>
      <c r="S95" s="165"/>
    </row>
    <row r="96">
      <c r="A96" s="165"/>
      <c r="B96" s="165"/>
      <c r="C96" s="165"/>
      <c r="D96" s="165"/>
      <c r="E96" s="166"/>
      <c r="F96" s="165"/>
      <c r="G96" s="167"/>
      <c r="H96" s="166"/>
      <c r="I96" s="167"/>
      <c r="J96" s="168"/>
      <c r="K96" s="169"/>
      <c r="L96" s="165"/>
      <c r="M96" s="165"/>
      <c r="N96" s="165"/>
      <c r="O96" s="165"/>
      <c r="P96" s="165"/>
      <c r="Q96" s="165"/>
      <c r="R96" s="165"/>
      <c r="S96" s="165"/>
    </row>
    <row r="97">
      <c r="A97" s="165"/>
      <c r="B97" s="165"/>
      <c r="C97" s="165"/>
      <c r="D97" s="165"/>
      <c r="E97" s="166"/>
      <c r="F97" s="165"/>
      <c r="G97" s="167"/>
      <c r="H97" s="166"/>
      <c r="I97" s="167"/>
      <c r="J97" s="168"/>
      <c r="K97" s="169"/>
      <c r="L97" s="165"/>
      <c r="M97" s="165"/>
      <c r="N97" s="165"/>
      <c r="O97" s="165"/>
      <c r="P97" s="165"/>
      <c r="Q97" s="165"/>
      <c r="R97" s="165"/>
      <c r="S97" s="165"/>
    </row>
    <row r="98">
      <c r="A98" s="165"/>
      <c r="B98" s="165"/>
      <c r="C98" s="165"/>
      <c r="D98" s="165"/>
      <c r="E98" s="166"/>
      <c r="F98" s="165"/>
      <c r="G98" s="167"/>
      <c r="H98" s="166"/>
      <c r="I98" s="167"/>
      <c r="J98" s="168"/>
      <c r="K98" s="169"/>
      <c r="L98" s="165"/>
      <c r="M98" s="165"/>
      <c r="N98" s="165"/>
      <c r="O98" s="165"/>
      <c r="P98" s="165"/>
      <c r="Q98" s="165"/>
      <c r="R98" s="165"/>
      <c r="S98" s="165"/>
    </row>
    <row r="99">
      <c r="A99" s="165"/>
      <c r="B99" s="165"/>
      <c r="C99" s="165"/>
      <c r="D99" s="165"/>
      <c r="E99" s="166"/>
      <c r="F99" s="165"/>
      <c r="G99" s="167"/>
      <c r="H99" s="166"/>
      <c r="I99" s="167"/>
      <c r="J99" s="168"/>
      <c r="K99" s="169"/>
      <c r="L99" s="165"/>
      <c r="M99" s="165"/>
      <c r="N99" s="165"/>
      <c r="O99" s="165"/>
      <c r="P99" s="165"/>
      <c r="Q99" s="165"/>
      <c r="R99" s="165"/>
      <c r="S99" s="165"/>
    </row>
    <row r="100">
      <c r="A100" s="165"/>
      <c r="B100" s="165"/>
      <c r="C100" s="165"/>
      <c r="D100" s="165"/>
      <c r="E100" s="166"/>
      <c r="F100" s="165"/>
      <c r="G100" s="167"/>
      <c r="H100" s="166"/>
      <c r="I100" s="167"/>
      <c r="J100" s="168"/>
      <c r="K100" s="169"/>
      <c r="L100" s="165"/>
      <c r="M100" s="165"/>
      <c r="N100" s="165"/>
      <c r="O100" s="165"/>
      <c r="P100" s="165"/>
      <c r="Q100" s="165"/>
      <c r="R100" s="165"/>
      <c r="S100" s="165"/>
    </row>
    <row r="101">
      <c r="A101" s="165"/>
      <c r="B101" s="165"/>
      <c r="C101" s="165"/>
      <c r="D101" s="165"/>
      <c r="E101" s="166"/>
      <c r="F101" s="165"/>
      <c r="G101" s="167"/>
      <c r="H101" s="166"/>
      <c r="I101" s="167"/>
      <c r="J101" s="168"/>
      <c r="K101" s="169"/>
      <c r="L101" s="165"/>
      <c r="M101" s="165"/>
      <c r="N101" s="165"/>
      <c r="O101" s="165"/>
      <c r="P101" s="165"/>
      <c r="Q101" s="165"/>
      <c r="R101" s="165"/>
      <c r="S101" s="165"/>
    </row>
    <row r="102">
      <c r="A102" s="165"/>
      <c r="B102" s="165"/>
      <c r="C102" s="165"/>
      <c r="D102" s="165"/>
      <c r="E102" s="166"/>
      <c r="F102" s="165"/>
      <c r="G102" s="167"/>
      <c r="H102" s="166"/>
      <c r="I102" s="167"/>
      <c r="J102" s="168"/>
      <c r="K102" s="169"/>
      <c r="L102" s="165"/>
      <c r="M102" s="165"/>
      <c r="N102" s="165"/>
      <c r="O102" s="165"/>
      <c r="P102" s="165"/>
      <c r="Q102" s="165"/>
      <c r="R102" s="165"/>
      <c r="S102" s="165"/>
    </row>
    <row r="103">
      <c r="A103" s="165"/>
      <c r="B103" s="165"/>
      <c r="C103" s="165"/>
      <c r="D103" s="165"/>
      <c r="E103" s="166"/>
      <c r="F103" s="165"/>
      <c r="G103" s="167"/>
      <c r="H103" s="166"/>
      <c r="I103" s="167"/>
      <c r="J103" s="168"/>
      <c r="K103" s="169"/>
      <c r="L103" s="165"/>
      <c r="M103" s="165"/>
      <c r="N103" s="165"/>
      <c r="O103" s="165"/>
      <c r="P103" s="165"/>
      <c r="Q103" s="165"/>
      <c r="R103" s="165"/>
      <c r="S103" s="165"/>
    </row>
    <row r="104">
      <c r="A104" s="165"/>
      <c r="B104" s="165"/>
      <c r="C104" s="165"/>
      <c r="D104" s="165"/>
      <c r="E104" s="166"/>
      <c r="F104" s="165"/>
      <c r="G104" s="167"/>
      <c r="H104" s="166"/>
      <c r="I104" s="167"/>
      <c r="J104" s="168"/>
      <c r="K104" s="169"/>
      <c r="L104" s="165"/>
      <c r="M104" s="165"/>
      <c r="N104" s="165"/>
      <c r="O104" s="165"/>
      <c r="P104" s="165"/>
      <c r="Q104" s="165"/>
      <c r="R104" s="165"/>
      <c r="S104" s="165"/>
    </row>
    <row r="105">
      <c r="A105" s="165"/>
      <c r="B105" s="165"/>
      <c r="C105" s="165"/>
      <c r="D105" s="165"/>
      <c r="E105" s="166"/>
      <c r="F105" s="165"/>
      <c r="G105" s="167"/>
      <c r="H105" s="166"/>
      <c r="I105" s="167"/>
      <c r="J105" s="168"/>
      <c r="K105" s="169"/>
      <c r="L105" s="165"/>
      <c r="M105" s="165"/>
      <c r="N105" s="165"/>
      <c r="O105" s="165"/>
      <c r="P105" s="165"/>
      <c r="Q105" s="165"/>
      <c r="R105" s="165"/>
      <c r="S105" s="165"/>
    </row>
    <row r="106">
      <c r="A106" s="165"/>
      <c r="B106" s="165"/>
      <c r="C106" s="165"/>
      <c r="D106" s="165"/>
      <c r="E106" s="166"/>
      <c r="F106" s="165"/>
      <c r="G106" s="167"/>
      <c r="H106" s="166"/>
      <c r="I106" s="167"/>
      <c r="J106" s="168"/>
      <c r="K106" s="169"/>
      <c r="L106" s="165"/>
      <c r="M106" s="165"/>
      <c r="N106" s="165"/>
      <c r="O106" s="165"/>
      <c r="P106" s="165"/>
      <c r="Q106" s="165"/>
      <c r="R106" s="165"/>
      <c r="S106" s="165"/>
    </row>
    <row r="107">
      <c r="A107" s="165"/>
      <c r="B107" s="165"/>
      <c r="C107" s="165"/>
      <c r="D107" s="165"/>
      <c r="E107" s="166"/>
      <c r="F107" s="165"/>
      <c r="G107" s="167"/>
      <c r="H107" s="166"/>
      <c r="I107" s="167"/>
      <c r="J107" s="168"/>
      <c r="K107" s="169"/>
      <c r="L107" s="165"/>
      <c r="M107" s="165"/>
      <c r="N107" s="165"/>
      <c r="O107" s="165"/>
      <c r="P107" s="165"/>
      <c r="Q107" s="165"/>
      <c r="R107" s="165"/>
      <c r="S107" s="165"/>
    </row>
    <row r="108">
      <c r="A108" s="165"/>
      <c r="B108" s="165"/>
      <c r="C108" s="165"/>
      <c r="D108" s="165"/>
      <c r="E108" s="166"/>
      <c r="F108" s="165"/>
      <c r="G108" s="167"/>
      <c r="H108" s="166"/>
      <c r="I108" s="167"/>
      <c r="J108" s="168"/>
      <c r="K108" s="169"/>
      <c r="L108" s="165"/>
      <c r="M108" s="165"/>
      <c r="N108" s="165"/>
      <c r="O108" s="165"/>
      <c r="P108" s="165"/>
      <c r="Q108" s="165"/>
      <c r="R108" s="165"/>
      <c r="S108" s="165"/>
    </row>
    <row r="109">
      <c r="A109" s="165"/>
      <c r="B109" s="165"/>
      <c r="C109" s="165"/>
      <c r="D109" s="165"/>
      <c r="E109" s="166"/>
      <c r="F109" s="165"/>
      <c r="G109" s="167"/>
      <c r="H109" s="166"/>
      <c r="I109" s="167"/>
      <c r="J109" s="168"/>
      <c r="K109" s="169"/>
      <c r="L109" s="165"/>
      <c r="M109" s="165"/>
      <c r="N109" s="165"/>
      <c r="O109" s="165"/>
      <c r="P109" s="165"/>
      <c r="Q109" s="165"/>
      <c r="R109" s="165"/>
      <c r="S109" s="165"/>
    </row>
    <row r="110">
      <c r="A110" s="165"/>
      <c r="B110" s="165"/>
      <c r="C110" s="165"/>
      <c r="D110" s="165"/>
      <c r="E110" s="166"/>
      <c r="F110" s="165"/>
      <c r="G110" s="167"/>
      <c r="H110" s="166"/>
      <c r="I110" s="167"/>
      <c r="J110" s="168"/>
      <c r="K110" s="169"/>
      <c r="L110" s="165"/>
      <c r="M110" s="165"/>
      <c r="N110" s="165"/>
      <c r="O110" s="165"/>
      <c r="P110" s="165"/>
      <c r="Q110" s="165"/>
      <c r="R110" s="165"/>
      <c r="S110" s="165"/>
    </row>
    <row r="111">
      <c r="A111" s="165"/>
      <c r="B111" s="165"/>
      <c r="C111" s="165"/>
      <c r="D111" s="165"/>
      <c r="E111" s="166"/>
      <c r="F111" s="165"/>
      <c r="G111" s="167"/>
      <c r="H111" s="166"/>
      <c r="I111" s="167"/>
      <c r="J111" s="168"/>
      <c r="K111" s="169"/>
      <c r="L111" s="165"/>
      <c r="M111" s="165"/>
      <c r="N111" s="165"/>
      <c r="O111" s="165"/>
      <c r="P111" s="165"/>
      <c r="Q111" s="165"/>
      <c r="R111" s="165"/>
      <c r="S111" s="165"/>
    </row>
    <row r="112">
      <c r="A112" s="165"/>
      <c r="B112" s="165"/>
      <c r="C112" s="165"/>
      <c r="D112" s="165"/>
      <c r="E112" s="166"/>
      <c r="F112" s="165"/>
      <c r="G112" s="167"/>
      <c r="H112" s="166"/>
      <c r="I112" s="167"/>
      <c r="J112" s="168"/>
      <c r="K112" s="169"/>
      <c r="L112" s="165"/>
      <c r="M112" s="165"/>
      <c r="N112" s="165"/>
      <c r="O112" s="165"/>
      <c r="P112" s="165"/>
      <c r="Q112" s="165"/>
      <c r="R112" s="165"/>
      <c r="S112" s="165"/>
    </row>
    <row r="113">
      <c r="A113" s="165"/>
      <c r="B113" s="165"/>
      <c r="C113" s="165"/>
      <c r="D113" s="165"/>
      <c r="E113" s="166"/>
      <c r="F113" s="165"/>
      <c r="G113" s="167"/>
      <c r="H113" s="166"/>
      <c r="I113" s="167"/>
      <c r="J113" s="168"/>
      <c r="K113" s="169"/>
      <c r="L113" s="165"/>
      <c r="M113" s="165"/>
      <c r="N113" s="165"/>
      <c r="O113" s="165"/>
      <c r="P113" s="165"/>
      <c r="Q113" s="165"/>
      <c r="R113" s="165"/>
      <c r="S113" s="165"/>
    </row>
    <row r="114">
      <c r="A114" s="165"/>
      <c r="B114" s="165"/>
      <c r="C114" s="165"/>
      <c r="D114" s="165"/>
      <c r="E114" s="166"/>
      <c r="F114" s="165"/>
      <c r="G114" s="167"/>
      <c r="H114" s="166"/>
      <c r="I114" s="167"/>
      <c r="J114" s="168"/>
      <c r="K114" s="169"/>
      <c r="L114" s="165"/>
      <c r="M114" s="165"/>
      <c r="N114" s="165"/>
      <c r="O114" s="165"/>
      <c r="P114" s="165"/>
      <c r="Q114" s="165"/>
      <c r="R114" s="165"/>
      <c r="S114" s="165"/>
    </row>
    <row r="115">
      <c r="A115" s="165"/>
      <c r="B115" s="165"/>
      <c r="C115" s="165"/>
      <c r="D115" s="165"/>
      <c r="E115" s="166"/>
      <c r="F115" s="165"/>
      <c r="G115" s="167"/>
      <c r="H115" s="166"/>
      <c r="I115" s="167"/>
      <c r="J115" s="168"/>
      <c r="K115" s="169"/>
      <c r="L115" s="165"/>
      <c r="M115" s="165"/>
      <c r="N115" s="165"/>
      <c r="O115" s="165"/>
      <c r="P115" s="165"/>
      <c r="Q115" s="165"/>
      <c r="R115" s="165"/>
      <c r="S115" s="165"/>
    </row>
    <row r="116">
      <c r="A116" s="165"/>
      <c r="B116" s="165"/>
      <c r="C116" s="165"/>
      <c r="D116" s="165"/>
      <c r="E116" s="166"/>
      <c r="F116" s="165"/>
      <c r="G116" s="167"/>
      <c r="H116" s="166"/>
      <c r="I116" s="167"/>
      <c r="J116" s="168"/>
      <c r="K116" s="169"/>
      <c r="L116" s="165"/>
      <c r="M116" s="165"/>
      <c r="N116" s="165"/>
      <c r="O116" s="165"/>
      <c r="P116" s="165"/>
      <c r="Q116" s="165"/>
      <c r="R116" s="165"/>
      <c r="S116" s="165"/>
    </row>
    <row r="117">
      <c r="A117" s="165"/>
      <c r="B117" s="165"/>
      <c r="C117" s="165"/>
      <c r="D117" s="165"/>
      <c r="E117" s="166"/>
      <c r="F117" s="165"/>
      <c r="G117" s="167"/>
      <c r="H117" s="166"/>
      <c r="I117" s="167"/>
      <c r="J117" s="168"/>
      <c r="K117" s="169"/>
      <c r="L117" s="165"/>
      <c r="M117" s="165"/>
      <c r="N117" s="165"/>
      <c r="O117" s="165"/>
      <c r="P117" s="165"/>
      <c r="Q117" s="165"/>
      <c r="R117" s="165"/>
      <c r="S117" s="165"/>
    </row>
    <row r="118">
      <c r="A118" s="165"/>
      <c r="B118" s="165"/>
      <c r="C118" s="165"/>
      <c r="D118" s="165"/>
      <c r="E118" s="166"/>
      <c r="F118" s="165"/>
      <c r="G118" s="167"/>
      <c r="H118" s="166"/>
      <c r="I118" s="167"/>
      <c r="J118" s="168"/>
      <c r="K118" s="169"/>
      <c r="L118" s="165"/>
      <c r="M118" s="165"/>
      <c r="N118" s="165"/>
      <c r="O118" s="165"/>
      <c r="P118" s="165"/>
      <c r="Q118" s="165"/>
      <c r="R118" s="165"/>
      <c r="S118" s="165"/>
    </row>
    <row r="119">
      <c r="A119" s="165"/>
      <c r="B119" s="165"/>
      <c r="C119" s="165"/>
      <c r="D119" s="165"/>
      <c r="E119" s="166"/>
      <c r="F119" s="165"/>
      <c r="G119" s="167"/>
      <c r="H119" s="166"/>
      <c r="I119" s="167"/>
      <c r="J119" s="168"/>
      <c r="K119" s="169"/>
      <c r="L119" s="165"/>
      <c r="M119" s="165"/>
      <c r="N119" s="165"/>
      <c r="O119" s="165"/>
      <c r="P119" s="165"/>
      <c r="Q119" s="165"/>
      <c r="R119" s="165"/>
      <c r="S119" s="165"/>
    </row>
    <row r="120">
      <c r="A120" s="165"/>
      <c r="B120" s="165"/>
      <c r="C120" s="165"/>
      <c r="D120" s="165"/>
      <c r="E120" s="166"/>
      <c r="F120" s="165"/>
      <c r="G120" s="167"/>
      <c r="H120" s="166"/>
      <c r="I120" s="167"/>
      <c r="J120" s="168"/>
      <c r="K120" s="169"/>
      <c r="L120" s="165"/>
      <c r="M120" s="165"/>
      <c r="N120" s="165"/>
      <c r="O120" s="165"/>
      <c r="P120" s="165"/>
      <c r="Q120" s="165"/>
      <c r="R120" s="165"/>
      <c r="S120" s="165"/>
    </row>
    <row r="121">
      <c r="A121" s="165"/>
      <c r="B121" s="165"/>
      <c r="C121" s="165"/>
      <c r="D121" s="165"/>
      <c r="E121" s="166"/>
      <c r="F121" s="165"/>
      <c r="G121" s="167"/>
      <c r="H121" s="166"/>
      <c r="I121" s="167"/>
      <c r="J121" s="168"/>
      <c r="K121" s="169"/>
      <c r="L121" s="165"/>
      <c r="M121" s="165"/>
      <c r="N121" s="165"/>
      <c r="O121" s="165"/>
      <c r="P121" s="165"/>
      <c r="Q121" s="165"/>
      <c r="R121" s="165"/>
      <c r="S121" s="165"/>
    </row>
    <row r="122">
      <c r="A122" s="165"/>
      <c r="B122" s="165"/>
      <c r="C122" s="165"/>
      <c r="D122" s="165"/>
      <c r="E122" s="166"/>
      <c r="F122" s="165"/>
      <c r="G122" s="167"/>
      <c r="H122" s="166"/>
      <c r="I122" s="167"/>
      <c r="J122" s="168"/>
      <c r="K122" s="169"/>
      <c r="L122" s="165"/>
      <c r="M122" s="165"/>
      <c r="N122" s="165"/>
      <c r="O122" s="165"/>
      <c r="P122" s="165"/>
      <c r="Q122" s="165"/>
      <c r="R122" s="165"/>
      <c r="S122" s="165"/>
    </row>
    <row r="123">
      <c r="A123" s="165"/>
      <c r="B123" s="165"/>
      <c r="C123" s="165"/>
      <c r="D123" s="165"/>
      <c r="E123" s="166"/>
      <c r="F123" s="165"/>
      <c r="G123" s="167"/>
      <c r="H123" s="166"/>
      <c r="I123" s="167"/>
      <c r="J123" s="168"/>
      <c r="K123" s="169"/>
      <c r="L123" s="165"/>
      <c r="M123" s="165"/>
      <c r="N123" s="165"/>
      <c r="O123" s="165"/>
      <c r="P123" s="165"/>
      <c r="Q123" s="165"/>
      <c r="R123" s="165"/>
      <c r="S123" s="165"/>
    </row>
    <row r="124">
      <c r="A124" s="165"/>
      <c r="B124" s="165"/>
      <c r="C124" s="165"/>
      <c r="D124" s="165"/>
      <c r="E124" s="166"/>
      <c r="F124" s="165"/>
      <c r="G124" s="167"/>
      <c r="H124" s="166"/>
      <c r="I124" s="167"/>
      <c r="J124" s="168"/>
      <c r="K124" s="169"/>
      <c r="L124" s="165"/>
      <c r="M124" s="165"/>
      <c r="N124" s="165"/>
      <c r="O124" s="165"/>
      <c r="P124" s="165"/>
      <c r="Q124" s="165"/>
      <c r="R124" s="165"/>
      <c r="S124" s="165"/>
    </row>
    <row r="125">
      <c r="A125" s="165"/>
      <c r="B125" s="165"/>
      <c r="C125" s="165"/>
      <c r="D125" s="165"/>
      <c r="E125" s="166"/>
      <c r="F125" s="165"/>
      <c r="G125" s="167"/>
      <c r="H125" s="166"/>
      <c r="I125" s="167"/>
      <c r="J125" s="168"/>
      <c r="K125" s="169"/>
      <c r="L125" s="165"/>
      <c r="M125" s="165"/>
      <c r="N125" s="165"/>
      <c r="O125" s="165"/>
      <c r="P125" s="165"/>
      <c r="Q125" s="165"/>
      <c r="R125" s="165"/>
      <c r="S125" s="165"/>
    </row>
    <row r="126">
      <c r="A126" s="165"/>
      <c r="B126" s="165"/>
      <c r="C126" s="165"/>
      <c r="D126" s="165"/>
      <c r="E126" s="166"/>
      <c r="F126" s="165"/>
      <c r="G126" s="167"/>
      <c r="H126" s="166"/>
      <c r="I126" s="167"/>
      <c r="J126" s="168"/>
      <c r="K126" s="169"/>
      <c r="L126" s="165"/>
      <c r="M126" s="165"/>
      <c r="N126" s="165"/>
      <c r="O126" s="165"/>
      <c r="P126" s="165"/>
      <c r="Q126" s="165"/>
      <c r="R126" s="165"/>
      <c r="S126" s="165"/>
    </row>
    <row r="127">
      <c r="A127" s="165"/>
      <c r="B127" s="165"/>
      <c r="C127" s="165"/>
      <c r="D127" s="165"/>
      <c r="E127" s="166"/>
      <c r="F127" s="165"/>
      <c r="G127" s="167"/>
      <c r="H127" s="166"/>
      <c r="I127" s="167"/>
      <c r="J127" s="168"/>
      <c r="K127" s="169"/>
      <c r="L127" s="165"/>
      <c r="M127" s="165"/>
      <c r="N127" s="165"/>
      <c r="O127" s="165"/>
      <c r="P127" s="165"/>
      <c r="Q127" s="165"/>
      <c r="R127" s="165"/>
      <c r="S127" s="165"/>
    </row>
    <row r="128">
      <c r="A128" s="165"/>
      <c r="B128" s="165"/>
      <c r="C128" s="165"/>
      <c r="D128" s="165"/>
      <c r="E128" s="166"/>
      <c r="F128" s="165"/>
      <c r="G128" s="167"/>
      <c r="H128" s="166"/>
      <c r="I128" s="167"/>
      <c r="J128" s="168"/>
      <c r="K128" s="169"/>
      <c r="L128" s="165"/>
      <c r="M128" s="165"/>
      <c r="N128" s="165"/>
      <c r="O128" s="165"/>
      <c r="P128" s="165"/>
      <c r="Q128" s="165"/>
      <c r="R128" s="165"/>
      <c r="S128" s="165"/>
    </row>
    <row r="129">
      <c r="A129" s="165"/>
      <c r="B129" s="165"/>
      <c r="C129" s="165"/>
      <c r="D129" s="165"/>
      <c r="E129" s="166"/>
      <c r="F129" s="165"/>
      <c r="G129" s="167"/>
      <c r="H129" s="166"/>
      <c r="I129" s="167"/>
      <c r="J129" s="168"/>
      <c r="K129" s="169"/>
      <c r="L129" s="165"/>
      <c r="M129" s="165"/>
      <c r="N129" s="165"/>
      <c r="O129" s="165"/>
      <c r="P129" s="165"/>
      <c r="Q129" s="165"/>
      <c r="R129" s="165"/>
      <c r="S129" s="165"/>
    </row>
    <row r="130">
      <c r="A130" s="165"/>
      <c r="B130" s="165"/>
      <c r="C130" s="165"/>
      <c r="D130" s="165"/>
      <c r="E130" s="166"/>
      <c r="F130" s="165"/>
      <c r="G130" s="167"/>
      <c r="H130" s="166"/>
      <c r="I130" s="167"/>
      <c r="J130" s="168"/>
      <c r="K130" s="169"/>
      <c r="L130" s="165"/>
      <c r="M130" s="165"/>
      <c r="N130" s="165"/>
      <c r="O130" s="165"/>
      <c r="P130" s="165"/>
      <c r="Q130" s="165"/>
      <c r="R130" s="165"/>
      <c r="S130" s="165"/>
    </row>
    <row r="131">
      <c r="A131" s="165"/>
      <c r="B131" s="165"/>
      <c r="C131" s="165"/>
      <c r="D131" s="165"/>
      <c r="E131" s="166"/>
      <c r="F131" s="165"/>
      <c r="G131" s="167"/>
      <c r="H131" s="166"/>
      <c r="I131" s="167"/>
      <c r="J131" s="168"/>
      <c r="K131" s="169"/>
      <c r="L131" s="165"/>
      <c r="M131" s="165"/>
      <c r="N131" s="165"/>
      <c r="O131" s="165"/>
      <c r="P131" s="165"/>
      <c r="Q131" s="165"/>
      <c r="R131" s="165"/>
      <c r="S131" s="165"/>
    </row>
    <row r="132">
      <c r="A132" s="165"/>
      <c r="B132" s="165"/>
      <c r="C132" s="165"/>
      <c r="D132" s="165"/>
      <c r="E132" s="166"/>
      <c r="F132" s="165"/>
      <c r="G132" s="167"/>
      <c r="H132" s="166"/>
      <c r="I132" s="167"/>
      <c r="J132" s="168"/>
      <c r="K132" s="169"/>
      <c r="L132" s="165"/>
      <c r="M132" s="165"/>
      <c r="N132" s="165"/>
      <c r="O132" s="165"/>
      <c r="P132" s="165"/>
      <c r="Q132" s="165"/>
      <c r="R132" s="165"/>
      <c r="S132" s="165"/>
    </row>
    <row r="133">
      <c r="A133" s="165"/>
      <c r="B133" s="165"/>
      <c r="C133" s="165"/>
      <c r="D133" s="165"/>
      <c r="E133" s="166"/>
      <c r="F133" s="165"/>
      <c r="G133" s="167"/>
      <c r="H133" s="166"/>
      <c r="I133" s="167"/>
      <c r="J133" s="168"/>
      <c r="K133" s="169"/>
      <c r="L133" s="165"/>
      <c r="M133" s="165"/>
      <c r="N133" s="165"/>
      <c r="O133" s="165"/>
      <c r="P133" s="165"/>
      <c r="Q133" s="165"/>
      <c r="R133" s="165"/>
      <c r="S133" s="165"/>
    </row>
    <row r="134">
      <c r="A134" s="165"/>
      <c r="B134" s="165"/>
      <c r="C134" s="165"/>
      <c r="D134" s="165"/>
      <c r="E134" s="166"/>
      <c r="F134" s="165"/>
      <c r="G134" s="167"/>
      <c r="H134" s="166"/>
      <c r="I134" s="167"/>
      <c r="J134" s="168"/>
      <c r="K134" s="169"/>
      <c r="L134" s="165"/>
      <c r="M134" s="165"/>
      <c r="N134" s="165"/>
      <c r="O134" s="165"/>
      <c r="P134" s="165"/>
      <c r="Q134" s="165"/>
      <c r="R134" s="165"/>
      <c r="S134" s="165"/>
    </row>
    <row r="135">
      <c r="A135" s="165"/>
      <c r="B135" s="165"/>
      <c r="C135" s="165"/>
      <c r="D135" s="165"/>
      <c r="E135" s="166"/>
      <c r="F135" s="165"/>
      <c r="G135" s="167"/>
      <c r="H135" s="166"/>
      <c r="I135" s="167"/>
      <c r="J135" s="168"/>
      <c r="K135" s="169"/>
      <c r="L135" s="165"/>
      <c r="M135" s="165"/>
      <c r="N135" s="165"/>
      <c r="O135" s="165"/>
      <c r="P135" s="165"/>
      <c r="Q135" s="165"/>
      <c r="R135" s="165"/>
      <c r="S135" s="165"/>
    </row>
    <row r="136">
      <c r="A136" s="165"/>
      <c r="B136" s="165"/>
      <c r="C136" s="165"/>
      <c r="D136" s="165"/>
      <c r="E136" s="166"/>
      <c r="F136" s="165"/>
      <c r="G136" s="167"/>
      <c r="H136" s="166"/>
      <c r="I136" s="167"/>
      <c r="J136" s="168"/>
      <c r="K136" s="169"/>
      <c r="L136" s="165"/>
      <c r="M136" s="165"/>
      <c r="N136" s="165"/>
      <c r="O136" s="165"/>
      <c r="P136" s="165"/>
      <c r="Q136" s="165"/>
      <c r="R136" s="165"/>
      <c r="S136" s="165"/>
    </row>
    <row r="137">
      <c r="A137" s="165"/>
      <c r="B137" s="165"/>
      <c r="C137" s="165"/>
      <c r="D137" s="165"/>
      <c r="E137" s="166"/>
      <c r="F137" s="165"/>
      <c r="G137" s="167"/>
      <c r="H137" s="166"/>
      <c r="I137" s="167"/>
      <c r="J137" s="168"/>
      <c r="K137" s="169"/>
      <c r="L137" s="165"/>
      <c r="M137" s="165"/>
      <c r="N137" s="165"/>
      <c r="O137" s="165"/>
      <c r="P137" s="165"/>
      <c r="Q137" s="165"/>
      <c r="R137" s="165"/>
      <c r="S137" s="165"/>
    </row>
    <row r="138">
      <c r="A138" s="165"/>
      <c r="B138" s="165"/>
      <c r="C138" s="165"/>
      <c r="D138" s="165"/>
      <c r="E138" s="166"/>
      <c r="F138" s="165"/>
      <c r="G138" s="167"/>
      <c r="H138" s="166"/>
      <c r="I138" s="167"/>
      <c r="J138" s="168"/>
      <c r="K138" s="169"/>
      <c r="L138" s="165"/>
      <c r="M138" s="165"/>
      <c r="N138" s="165"/>
      <c r="O138" s="165"/>
      <c r="P138" s="165"/>
      <c r="Q138" s="165"/>
      <c r="R138" s="165"/>
      <c r="S138" s="165"/>
    </row>
    <row r="139">
      <c r="A139" s="165"/>
      <c r="B139" s="165"/>
      <c r="C139" s="165"/>
      <c r="D139" s="165"/>
      <c r="E139" s="166"/>
      <c r="F139" s="165"/>
      <c r="G139" s="167"/>
      <c r="H139" s="166"/>
      <c r="I139" s="167"/>
      <c r="J139" s="168"/>
      <c r="K139" s="169"/>
      <c r="L139" s="165"/>
      <c r="M139" s="165"/>
      <c r="N139" s="165"/>
      <c r="O139" s="165"/>
      <c r="P139" s="165"/>
      <c r="Q139" s="165"/>
      <c r="R139" s="165"/>
      <c r="S139" s="165"/>
    </row>
    <row r="140">
      <c r="A140" s="165"/>
      <c r="B140" s="165"/>
      <c r="C140" s="165"/>
      <c r="D140" s="165"/>
      <c r="E140" s="166"/>
      <c r="F140" s="165"/>
      <c r="G140" s="167"/>
      <c r="H140" s="166"/>
      <c r="I140" s="167"/>
      <c r="J140" s="168"/>
      <c r="K140" s="169"/>
      <c r="L140" s="165"/>
      <c r="M140" s="165"/>
      <c r="N140" s="165"/>
      <c r="O140" s="165"/>
      <c r="P140" s="165"/>
      <c r="Q140" s="165"/>
      <c r="R140" s="165"/>
      <c r="S140" s="165"/>
    </row>
    <row r="141">
      <c r="A141" s="165"/>
      <c r="B141" s="165"/>
      <c r="C141" s="165"/>
      <c r="D141" s="165"/>
      <c r="E141" s="166"/>
      <c r="F141" s="165"/>
      <c r="G141" s="167"/>
      <c r="H141" s="166"/>
      <c r="I141" s="167"/>
      <c r="J141" s="168"/>
      <c r="K141" s="169"/>
      <c r="L141" s="165"/>
      <c r="M141" s="165"/>
      <c r="N141" s="165"/>
      <c r="O141" s="165"/>
      <c r="P141" s="165"/>
      <c r="Q141" s="165"/>
      <c r="R141" s="165"/>
      <c r="S141" s="165"/>
    </row>
    <row r="142">
      <c r="A142" s="165"/>
      <c r="B142" s="165"/>
      <c r="C142" s="165"/>
      <c r="D142" s="165"/>
      <c r="E142" s="166"/>
      <c r="F142" s="165"/>
      <c r="G142" s="167"/>
      <c r="H142" s="166"/>
      <c r="I142" s="167"/>
      <c r="J142" s="168"/>
      <c r="K142" s="169"/>
      <c r="L142" s="165"/>
      <c r="M142" s="165"/>
      <c r="N142" s="165"/>
      <c r="O142" s="165"/>
      <c r="P142" s="165"/>
      <c r="Q142" s="165"/>
      <c r="R142" s="165"/>
      <c r="S142" s="165"/>
    </row>
    <row r="143">
      <c r="A143" s="165"/>
      <c r="B143" s="165"/>
      <c r="C143" s="165"/>
      <c r="D143" s="165"/>
      <c r="E143" s="166"/>
      <c r="F143" s="165"/>
      <c r="G143" s="167"/>
      <c r="H143" s="166"/>
      <c r="I143" s="167"/>
      <c r="J143" s="168"/>
      <c r="K143" s="169"/>
      <c r="L143" s="165"/>
      <c r="M143" s="165"/>
      <c r="N143" s="165"/>
      <c r="O143" s="165"/>
      <c r="P143" s="165"/>
      <c r="Q143" s="165"/>
      <c r="R143" s="165"/>
      <c r="S143" s="165"/>
    </row>
    <row r="144">
      <c r="A144" s="165"/>
      <c r="B144" s="165"/>
      <c r="C144" s="165"/>
      <c r="D144" s="165"/>
      <c r="E144" s="166"/>
      <c r="F144" s="165"/>
      <c r="G144" s="167"/>
      <c r="H144" s="166"/>
      <c r="I144" s="167"/>
      <c r="J144" s="168"/>
      <c r="K144" s="169"/>
      <c r="L144" s="165"/>
      <c r="M144" s="165"/>
      <c r="N144" s="165"/>
      <c r="O144" s="165"/>
      <c r="P144" s="165"/>
      <c r="Q144" s="165"/>
      <c r="R144" s="165"/>
      <c r="S144" s="165"/>
    </row>
    <row r="145">
      <c r="A145" s="165"/>
      <c r="B145" s="165"/>
      <c r="C145" s="165"/>
      <c r="D145" s="165"/>
      <c r="E145" s="166"/>
      <c r="F145" s="165"/>
      <c r="G145" s="167"/>
      <c r="H145" s="166"/>
      <c r="I145" s="167"/>
      <c r="J145" s="168"/>
      <c r="K145" s="169"/>
      <c r="L145" s="165"/>
      <c r="M145" s="165"/>
      <c r="N145" s="165"/>
      <c r="O145" s="165"/>
      <c r="P145" s="165"/>
      <c r="Q145" s="165"/>
      <c r="R145" s="165"/>
      <c r="S145" s="165"/>
    </row>
    <row r="146">
      <c r="A146" s="165"/>
      <c r="B146" s="165"/>
      <c r="C146" s="165"/>
      <c r="D146" s="165"/>
      <c r="E146" s="166"/>
      <c r="F146" s="165"/>
      <c r="G146" s="167"/>
      <c r="H146" s="166"/>
      <c r="I146" s="167"/>
      <c r="J146" s="168"/>
      <c r="K146" s="169"/>
      <c r="L146" s="165"/>
      <c r="M146" s="165"/>
      <c r="N146" s="165"/>
      <c r="O146" s="165"/>
      <c r="P146" s="165"/>
      <c r="Q146" s="165"/>
      <c r="R146" s="165"/>
      <c r="S146" s="165"/>
    </row>
    <row r="147">
      <c r="A147" s="165"/>
      <c r="B147" s="165"/>
      <c r="C147" s="165"/>
      <c r="D147" s="165"/>
      <c r="E147" s="166"/>
      <c r="F147" s="165"/>
      <c r="G147" s="167"/>
      <c r="H147" s="166"/>
      <c r="I147" s="167"/>
      <c r="J147" s="168"/>
      <c r="K147" s="169"/>
      <c r="L147" s="165"/>
      <c r="M147" s="165"/>
      <c r="N147" s="165"/>
      <c r="O147" s="165"/>
      <c r="P147" s="165"/>
      <c r="Q147" s="165"/>
      <c r="R147" s="165"/>
      <c r="S147" s="165"/>
    </row>
    <row r="148">
      <c r="A148" s="165"/>
      <c r="B148" s="165"/>
      <c r="C148" s="165"/>
      <c r="D148" s="165"/>
      <c r="E148" s="166"/>
      <c r="F148" s="165"/>
      <c r="G148" s="167"/>
      <c r="H148" s="166"/>
      <c r="I148" s="167"/>
      <c r="J148" s="168"/>
      <c r="K148" s="169"/>
      <c r="L148" s="165"/>
      <c r="M148" s="165"/>
      <c r="N148" s="165"/>
      <c r="O148" s="165"/>
      <c r="P148" s="165"/>
      <c r="Q148" s="165"/>
      <c r="R148" s="165"/>
      <c r="S148" s="165"/>
    </row>
    <row r="149">
      <c r="A149" s="165"/>
      <c r="B149" s="165"/>
      <c r="C149" s="165"/>
      <c r="D149" s="165"/>
      <c r="E149" s="166"/>
      <c r="F149" s="165"/>
      <c r="G149" s="167"/>
      <c r="H149" s="166"/>
      <c r="I149" s="167"/>
      <c r="J149" s="168"/>
      <c r="K149" s="169"/>
      <c r="L149" s="165"/>
      <c r="M149" s="165"/>
      <c r="N149" s="165"/>
      <c r="O149" s="165"/>
      <c r="P149" s="165"/>
      <c r="Q149" s="165"/>
      <c r="R149" s="165"/>
      <c r="S149" s="165"/>
    </row>
    <row r="150">
      <c r="A150" s="165"/>
      <c r="B150" s="165"/>
      <c r="C150" s="165"/>
      <c r="D150" s="165"/>
      <c r="E150" s="166"/>
      <c r="F150" s="165"/>
      <c r="G150" s="167"/>
      <c r="H150" s="166"/>
      <c r="I150" s="167"/>
      <c r="J150" s="168"/>
      <c r="K150" s="169"/>
      <c r="L150" s="165"/>
      <c r="M150" s="165"/>
      <c r="N150" s="165"/>
      <c r="O150" s="165"/>
      <c r="P150" s="165"/>
      <c r="Q150" s="165"/>
      <c r="R150" s="165"/>
      <c r="S150" s="165"/>
    </row>
    <row r="151">
      <c r="A151" s="165"/>
      <c r="B151" s="165"/>
      <c r="C151" s="165"/>
      <c r="D151" s="165"/>
      <c r="E151" s="166"/>
      <c r="F151" s="165"/>
      <c r="G151" s="167"/>
      <c r="H151" s="166"/>
      <c r="I151" s="167"/>
      <c r="J151" s="168"/>
      <c r="K151" s="169"/>
      <c r="L151" s="165"/>
      <c r="M151" s="165"/>
      <c r="N151" s="165"/>
      <c r="O151" s="165"/>
      <c r="P151" s="165"/>
      <c r="Q151" s="165"/>
      <c r="R151" s="165"/>
      <c r="S151" s="165"/>
    </row>
    <row r="152">
      <c r="A152" s="165"/>
      <c r="B152" s="165"/>
      <c r="C152" s="165"/>
      <c r="D152" s="165"/>
      <c r="E152" s="166"/>
      <c r="F152" s="165"/>
      <c r="G152" s="167"/>
      <c r="H152" s="166"/>
      <c r="I152" s="167"/>
      <c r="J152" s="168"/>
      <c r="K152" s="169"/>
      <c r="L152" s="165"/>
      <c r="M152" s="165"/>
      <c r="N152" s="165"/>
      <c r="O152" s="165"/>
      <c r="P152" s="165"/>
      <c r="Q152" s="165"/>
      <c r="R152" s="165"/>
      <c r="S152" s="165"/>
    </row>
    <row r="153">
      <c r="A153" s="165"/>
      <c r="B153" s="165"/>
      <c r="C153" s="165"/>
      <c r="D153" s="165"/>
      <c r="E153" s="166"/>
      <c r="F153" s="165"/>
      <c r="G153" s="167"/>
      <c r="H153" s="166"/>
      <c r="I153" s="167"/>
      <c r="J153" s="168"/>
      <c r="K153" s="169"/>
      <c r="L153" s="165"/>
      <c r="M153" s="165"/>
      <c r="N153" s="165"/>
      <c r="O153" s="165"/>
      <c r="P153" s="165"/>
      <c r="Q153" s="165"/>
      <c r="R153" s="165"/>
      <c r="S153" s="165"/>
    </row>
    <row r="154">
      <c r="A154" s="165"/>
      <c r="B154" s="165"/>
      <c r="C154" s="165"/>
      <c r="D154" s="165"/>
      <c r="E154" s="166"/>
      <c r="F154" s="165"/>
      <c r="G154" s="167"/>
      <c r="H154" s="166"/>
      <c r="I154" s="167"/>
      <c r="J154" s="168"/>
      <c r="K154" s="169"/>
      <c r="L154" s="165"/>
      <c r="M154" s="165"/>
      <c r="N154" s="165"/>
      <c r="O154" s="165"/>
      <c r="P154" s="165"/>
      <c r="Q154" s="165"/>
      <c r="R154" s="165"/>
      <c r="S154" s="165"/>
    </row>
    <row r="155">
      <c r="A155" s="165"/>
      <c r="B155" s="165"/>
      <c r="C155" s="165"/>
      <c r="D155" s="165"/>
      <c r="E155" s="166"/>
      <c r="F155" s="165"/>
      <c r="G155" s="167"/>
      <c r="H155" s="166"/>
      <c r="I155" s="167"/>
      <c r="J155" s="168"/>
      <c r="K155" s="169"/>
      <c r="L155" s="165"/>
      <c r="M155" s="165"/>
      <c r="N155" s="165"/>
      <c r="O155" s="165"/>
      <c r="P155" s="165"/>
      <c r="Q155" s="165"/>
      <c r="R155" s="165"/>
      <c r="S155" s="165"/>
    </row>
    <row r="156">
      <c r="A156" s="165"/>
      <c r="B156" s="165"/>
      <c r="C156" s="165"/>
      <c r="D156" s="165"/>
      <c r="E156" s="166"/>
      <c r="F156" s="165"/>
      <c r="G156" s="167"/>
      <c r="H156" s="166"/>
      <c r="I156" s="167"/>
      <c r="J156" s="168"/>
      <c r="K156" s="169"/>
      <c r="L156" s="165"/>
      <c r="M156" s="165"/>
      <c r="N156" s="165"/>
      <c r="O156" s="165"/>
      <c r="P156" s="165"/>
      <c r="Q156" s="165"/>
      <c r="R156" s="165"/>
      <c r="S156" s="165"/>
    </row>
    <row r="157">
      <c r="A157" s="165"/>
      <c r="B157" s="165"/>
      <c r="C157" s="165"/>
      <c r="D157" s="165"/>
      <c r="E157" s="166"/>
      <c r="F157" s="165"/>
      <c r="G157" s="167"/>
      <c r="H157" s="166"/>
      <c r="I157" s="167"/>
      <c r="J157" s="168"/>
      <c r="K157" s="169"/>
      <c r="L157" s="165"/>
      <c r="M157" s="165"/>
      <c r="N157" s="165"/>
      <c r="O157" s="165"/>
      <c r="P157" s="165"/>
      <c r="Q157" s="165"/>
      <c r="R157" s="165"/>
      <c r="S157" s="165"/>
    </row>
    <row r="158">
      <c r="A158" s="165"/>
      <c r="B158" s="165"/>
      <c r="C158" s="165"/>
      <c r="D158" s="165"/>
      <c r="E158" s="166"/>
      <c r="F158" s="165"/>
      <c r="G158" s="167"/>
      <c r="H158" s="166"/>
      <c r="I158" s="167"/>
      <c r="J158" s="168"/>
      <c r="K158" s="169"/>
      <c r="L158" s="165"/>
      <c r="M158" s="165"/>
      <c r="N158" s="165"/>
      <c r="O158" s="165"/>
      <c r="P158" s="165"/>
      <c r="Q158" s="165"/>
      <c r="R158" s="165"/>
      <c r="S158" s="165"/>
    </row>
    <row r="159">
      <c r="A159" s="165"/>
      <c r="B159" s="165"/>
      <c r="C159" s="165"/>
      <c r="D159" s="165"/>
      <c r="E159" s="166"/>
      <c r="F159" s="165"/>
      <c r="G159" s="167"/>
      <c r="H159" s="166"/>
      <c r="I159" s="167"/>
      <c r="J159" s="168"/>
      <c r="K159" s="169"/>
      <c r="L159" s="165"/>
      <c r="M159" s="165"/>
      <c r="N159" s="165"/>
      <c r="O159" s="165"/>
      <c r="P159" s="165"/>
      <c r="Q159" s="165"/>
      <c r="R159" s="165"/>
      <c r="S159" s="165"/>
    </row>
    <row r="160">
      <c r="A160" s="165"/>
      <c r="B160" s="165"/>
      <c r="C160" s="165"/>
      <c r="D160" s="165"/>
      <c r="E160" s="166"/>
      <c r="F160" s="165"/>
      <c r="G160" s="167"/>
      <c r="H160" s="166"/>
      <c r="I160" s="167"/>
      <c r="J160" s="168"/>
      <c r="K160" s="169"/>
      <c r="L160" s="165"/>
      <c r="M160" s="165"/>
      <c r="N160" s="165"/>
      <c r="O160" s="165"/>
      <c r="P160" s="165"/>
      <c r="Q160" s="165"/>
      <c r="R160" s="165"/>
      <c r="S160" s="165"/>
    </row>
    <row r="161">
      <c r="A161" s="165"/>
      <c r="B161" s="165"/>
      <c r="C161" s="165"/>
      <c r="D161" s="165"/>
      <c r="E161" s="166"/>
      <c r="F161" s="165"/>
      <c r="G161" s="167"/>
      <c r="H161" s="166"/>
      <c r="I161" s="167"/>
      <c r="J161" s="168"/>
      <c r="K161" s="169"/>
      <c r="L161" s="165"/>
      <c r="M161" s="165"/>
      <c r="N161" s="165"/>
      <c r="O161" s="165"/>
      <c r="P161" s="165"/>
      <c r="Q161" s="165"/>
      <c r="R161" s="165"/>
      <c r="S161" s="165"/>
    </row>
    <row r="162">
      <c r="A162" s="165"/>
      <c r="B162" s="165"/>
      <c r="C162" s="165"/>
      <c r="D162" s="165"/>
      <c r="E162" s="166"/>
      <c r="F162" s="165"/>
      <c r="G162" s="167"/>
      <c r="H162" s="166"/>
      <c r="I162" s="167"/>
      <c r="J162" s="168"/>
      <c r="K162" s="169"/>
      <c r="L162" s="165"/>
      <c r="M162" s="165"/>
      <c r="N162" s="165"/>
      <c r="O162" s="165"/>
      <c r="P162" s="165"/>
      <c r="Q162" s="165"/>
      <c r="R162" s="165"/>
      <c r="S162" s="165"/>
    </row>
    <row r="163">
      <c r="A163" s="165"/>
      <c r="B163" s="165"/>
      <c r="C163" s="165"/>
      <c r="D163" s="165"/>
      <c r="E163" s="166"/>
      <c r="F163" s="165"/>
      <c r="G163" s="167"/>
      <c r="H163" s="166"/>
      <c r="I163" s="167"/>
      <c r="J163" s="168"/>
      <c r="K163" s="169"/>
      <c r="L163" s="165"/>
      <c r="M163" s="165"/>
      <c r="N163" s="165"/>
      <c r="O163" s="165"/>
      <c r="P163" s="165"/>
      <c r="Q163" s="165"/>
      <c r="R163" s="165"/>
      <c r="S163" s="165"/>
    </row>
    <row r="164">
      <c r="A164" s="165"/>
      <c r="B164" s="165"/>
      <c r="C164" s="165"/>
      <c r="D164" s="165"/>
      <c r="E164" s="166"/>
      <c r="F164" s="165"/>
      <c r="G164" s="167"/>
      <c r="H164" s="166"/>
      <c r="I164" s="167"/>
      <c r="J164" s="168"/>
      <c r="K164" s="169"/>
      <c r="L164" s="165"/>
      <c r="M164" s="165"/>
      <c r="N164" s="165"/>
      <c r="O164" s="165"/>
      <c r="P164" s="165"/>
      <c r="Q164" s="165"/>
      <c r="R164" s="165"/>
      <c r="S164" s="165"/>
    </row>
    <row r="165">
      <c r="A165" s="165"/>
      <c r="B165" s="165"/>
      <c r="C165" s="165"/>
      <c r="D165" s="165"/>
      <c r="E165" s="166"/>
      <c r="F165" s="165"/>
      <c r="G165" s="167"/>
      <c r="H165" s="166"/>
      <c r="I165" s="167"/>
      <c r="J165" s="168"/>
      <c r="K165" s="169"/>
      <c r="L165" s="165"/>
      <c r="M165" s="165"/>
      <c r="N165" s="165"/>
      <c r="O165" s="165"/>
      <c r="P165" s="165"/>
      <c r="Q165" s="165"/>
      <c r="R165" s="165"/>
      <c r="S165" s="165"/>
    </row>
    <row r="166">
      <c r="A166" s="165"/>
      <c r="B166" s="165"/>
      <c r="C166" s="165"/>
      <c r="D166" s="165"/>
      <c r="E166" s="166"/>
      <c r="F166" s="165"/>
      <c r="G166" s="167"/>
      <c r="H166" s="166"/>
      <c r="I166" s="167"/>
      <c r="J166" s="168"/>
      <c r="K166" s="169"/>
      <c r="L166" s="165"/>
      <c r="M166" s="165"/>
      <c r="N166" s="165"/>
      <c r="O166" s="165"/>
      <c r="P166" s="165"/>
      <c r="Q166" s="165"/>
      <c r="R166" s="165"/>
      <c r="S166" s="165"/>
    </row>
    <row r="167">
      <c r="A167" s="165"/>
      <c r="B167" s="165"/>
      <c r="C167" s="165"/>
      <c r="D167" s="165"/>
      <c r="E167" s="166"/>
      <c r="F167" s="165"/>
      <c r="G167" s="167"/>
      <c r="H167" s="166"/>
      <c r="I167" s="167"/>
      <c r="J167" s="168"/>
      <c r="K167" s="169"/>
      <c r="L167" s="165"/>
      <c r="M167" s="165"/>
      <c r="N167" s="165"/>
      <c r="O167" s="165"/>
      <c r="P167" s="165"/>
      <c r="Q167" s="165"/>
      <c r="R167" s="165"/>
      <c r="S167" s="165"/>
    </row>
    <row r="168">
      <c r="A168" s="165"/>
      <c r="B168" s="165"/>
      <c r="C168" s="165"/>
      <c r="D168" s="165"/>
      <c r="E168" s="166"/>
      <c r="F168" s="165"/>
      <c r="G168" s="167"/>
      <c r="H168" s="166"/>
      <c r="I168" s="167"/>
      <c r="J168" s="168"/>
      <c r="K168" s="169"/>
      <c r="L168" s="165"/>
      <c r="M168" s="165"/>
      <c r="N168" s="165"/>
      <c r="O168" s="165"/>
      <c r="P168" s="165"/>
      <c r="Q168" s="165"/>
      <c r="R168" s="165"/>
      <c r="S168" s="165"/>
    </row>
    <row r="169">
      <c r="A169" s="165"/>
      <c r="B169" s="165"/>
      <c r="C169" s="165"/>
      <c r="D169" s="165"/>
      <c r="E169" s="166"/>
      <c r="F169" s="165"/>
      <c r="G169" s="167"/>
      <c r="H169" s="166"/>
      <c r="I169" s="167"/>
      <c r="J169" s="168"/>
      <c r="K169" s="169"/>
      <c r="L169" s="165"/>
      <c r="M169" s="165"/>
      <c r="N169" s="165"/>
      <c r="O169" s="165"/>
      <c r="P169" s="165"/>
      <c r="Q169" s="165"/>
      <c r="R169" s="165"/>
      <c r="S169" s="165"/>
    </row>
    <row r="170">
      <c r="A170" s="165"/>
      <c r="B170" s="165"/>
      <c r="C170" s="165"/>
      <c r="D170" s="165"/>
      <c r="E170" s="166"/>
      <c r="F170" s="165"/>
      <c r="G170" s="167"/>
      <c r="H170" s="166"/>
      <c r="I170" s="167"/>
      <c r="J170" s="168"/>
      <c r="K170" s="169"/>
      <c r="L170" s="165"/>
      <c r="M170" s="165"/>
      <c r="N170" s="165"/>
      <c r="O170" s="165"/>
      <c r="P170" s="165"/>
      <c r="Q170" s="165"/>
      <c r="R170" s="165"/>
      <c r="S170" s="165"/>
    </row>
    <row r="171">
      <c r="A171" s="165"/>
      <c r="B171" s="165"/>
      <c r="C171" s="165"/>
      <c r="D171" s="165"/>
      <c r="E171" s="166"/>
      <c r="F171" s="165"/>
      <c r="G171" s="167"/>
      <c r="H171" s="166"/>
      <c r="I171" s="167"/>
      <c r="J171" s="168"/>
      <c r="K171" s="169"/>
      <c r="L171" s="165"/>
      <c r="M171" s="165"/>
      <c r="N171" s="165"/>
      <c r="O171" s="165"/>
      <c r="P171" s="165"/>
      <c r="Q171" s="165"/>
      <c r="R171" s="165"/>
      <c r="S171" s="165"/>
    </row>
    <row r="172">
      <c r="A172" s="165"/>
      <c r="B172" s="165"/>
      <c r="C172" s="165"/>
      <c r="D172" s="165"/>
      <c r="E172" s="166"/>
      <c r="F172" s="165"/>
      <c r="G172" s="167"/>
      <c r="H172" s="166"/>
      <c r="I172" s="167"/>
      <c r="J172" s="168"/>
      <c r="K172" s="169"/>
      <c r="L172" s="165"/>
      <c r="M172" s="165"/>
      <c r="N172" s="165"/>
      <c r="O172" s="165"/>
      <c r="P172" s="165"/>
      <c r="Q172" s="165"/>
      <c r="R172" s="165"/>
      <c r="S172" s="165"/>
    </row>
    <row r="173">
      <c r="A173" s="165"/>
      <c r="B173" s="165"/>
      <c r="C173" s="165"/>
      <c r="D173" s="165"/>
      <c r="E173" s="166"/>
      <c r="F173" s="165"/>
      <c r="G173" s="167"/>
      <c r="H173" s="166"/>
      <c r="I173" s="167"/>
      <c r="J173" s="168"/>
      <c r="K173" s="169"/>
      <c r="L173" s="165"/>
      <c r="M173" s="165"/>
      <c r="N173" s="165"/>
      <c r="O173" s="165"/>
      <c r="P173" s="165"/>
      <c r="Q173" s="165"/>
      <c r="R173" s="165"/>
      <c r="S173" s="165"/>
    </row>
    <row r="174">
      <c r="A174" s="165"/>
      <c r="B174" s="165"/>
      <c r="C174" s="165"/>
      <c r="D174" s="165"/>
      <c r="E174" s="166"/>
      <c r="F174" s="165"/>
      <c r="G174" s="167"/>
      <c r="H174" s="166"/>
      <c r="I174" s="167"/>
      <c r="J174" s="168"/>
      <c r="K174" s="169"/>
      <c r="L174" s="165"/>
      <c r="M174" s="165"/>
      <c r="N174" s="165"/>
      <c r="O174" s="165"/>
      <c r="P174" s="165"/>
      <c r="Q174" s="165"/>
      <c r="R174" s="165"/>
      <c r="S174" s="165"/>
    </row>
    <row r="175">
      <c r="A175" s="165"/>
      <c r="B175" s="165"/>
      <c r="C175" s="165"/>
      <c r="D175" s="165"/>
      <c r="E175" s="166"/>
      <c r="F175" s="165"/>
      <c r="G175" s="167"/>
      <c r="H175" s="166"/>
      <c r="I175" s="167"/>
      <c r="J175" s="168"/>
      <c r="K175" s="169"/>
      <c r="L175" s="165"/>
      <c r="M175" s="165"/>
      <c r="N175" s="165"/>
      <c r="O175" s="165"/>
      <c r="P175" s="165"/>
      <c r="Q175" s="165"/>
      <c r="R175" s="165"/>
      <c r="S175" s="165"/>
    </row>
    <row r="176">
      <c r="A176" s="165"/>
      <c r="B176" s="165"/>
      <c r="C176" s="165"/>
      <c r="D176" s="165"/>
      <c r="E176" s="166"/>
      <c r="F176" s="165"/>
      <c r="G176" s="167"/>
      <c r="H176" s="166"/>
      <c r="I176" s="167"/>
      <c r="J176" s="168"/>
      <c r="K176" s="169"/>
      <c r="L176" s="165"/>
      <c r="M176" s="165"/>
      <c r="N176" s="165"/>
      <c r="O176" s="165"/>
      <c r="P176" s="165"/>
      <c r="Q176" s="165"/>
      <c r="R176" s="165"/>
      <c r="S176" s="165"/>
    </row>
    <row r="177">
      <c r="A177" s="165"/>
      <c r="B177" s="165"/>
      <c r="C177" s="165"/>
      <c r="D177" s="165"/>
      <c r="E177" s="166"/>
      <c r="F177" s="165"/>
      <c r="G177" s="167"/>
      <c r="H177" s="166"/>
      <c r="I177" s="167"/>
      <c r="J177" s="168"/>
      <c r="K177" s="169"/>
      <c r="L177" s="165"/>
      <c r="M177" s="165"/>
      <c r="N177" s="165"/>
      <c r="O177" s="165"/>
      <c r="P177" s="165"/>
      <c r="Q177" s="165"/>
      <c r="R177" s="165"/>
      <c r="S177" s="165"/>
    </row>
    <row r="178">
      <c r="A178" s="165"/>
      <c r="B178" s="165"/>
      <c r="C178" s="165"/>
      <c r="D178" s="165"/>
      <c r="E178" s="166"/>
      <c r="F178" s="165"/>
      <c r="G178" s="167"/>
      <c r="H178" s="166"/>
      <c r="I178" s="167"/>
      <c r="J178" s="168"/>
      <c r="K178" s="169"/>
      <c r="L178" s="165"/>
      <c r="M178" s="165"/>
      <c r="N178" s="165"/>
      <c r="O178" s="165"/>
      <c r="P178" s="165"/>
      <c r="Q178" s="165"/>
      <c r="R178" s="165"/>
      <c r="S178" s="165"/>
    </row>
    <row r="179">
      <c r="A179" s="165"/>
      <c r="B179" s="165"/>
      <c r="C179" s="165"/>
      <c r="D179" s="165"/>
      <c r="E179" s="166"/>
      <c r="F179" s="165"/>
      <c r="G179" s="167"/>
      <c r="H179" s="166"/>
      <c r="I179" s="167"/>
      <c r="J179" s="168"/>
      <c r="K179" s="169"/>
      <c r="L179" s="165"/>
      <c r="M179" s="165"/>
      <c r="N179" s="165"/>
      <c r="O179" s="165"/>
      <c r="P179" s="165"/>
      <c r="Q179" s="165"/>
      <c r="R179" s="165"/>
      <c r="S179" s="165"/>
    </row>
    <row r="180">
      <c r="A180" s="165"/>
      <c r="B180" s="165"/>
      <c r="C180" s="165"/>
      <c r="D180" s="165"/>
      <c r="E180" s="166"/>
      <c r="F180" s="165"/>
      <c r="G180" s="167"/>
      <c r="H180" s="166"/>
      <c r="I180" s="167"/>
      <c r="J180" s="168"/>
      <c r="K180" s="169"/>
      <c r="L180" s="165"/>
      <c r="M180" s="165"/>
      <c r="N180" s="165"/>
      <c r="O180" s="165"/>
      <c r="P180" s="165"/>
      <c r="Q180" s="165"/>
      <c r="R180" s="165"/>
      <c r="S180" s="165"/>
    </row>
    <row r="181">
      <c r="A181" s="165"/>
      <c r="B181" s="165"/>
      <c r="C181" s="165"/>
      <c r="D181" s="165"/>
      <c r="E181" s="166"/>
      <c r="F181" s="165"/>
      <c r="G181" s="167"/>
      <c r="H181" s="166"/>
      <c r="I181" s="167"/>
      <c r="J181" s="168"/>
      <c r="K181" s="169"/>
      <c r="L181" s="165"/>
      <c r="M181" s="165"/>
      <c r="N181" s="165"/>
      <c r="O181" s="165"/>
      <c r="P181" s="165"/>
      <c r="Q181" s="165"/>
      <c r="R181" s="165"/>
      <c r="S181" s="165"/>
    </row>
    <row r="182">
      <c r="A182" s="165"/>
      <c r="B182" s="165"/>
      <c r="C182" s="165"/>
      <c r="D182" s="165"/>
      <c r="E182" s="166"/>
      <c r="F182" s="165"/>
      <c r="G182" s="167"/>
      <c r="H182" s="166"/>
      <c r="I182" s="167"/>
      <c r="J182" s="168"/>
      <c r="K182" s="169"/>
      <c r="L182" s="165"/>
      <c r="M182" s="165"/>
      <c r="N182" s="165"/>
      <c r="O182" s="165"/>
      <c r="P182" s="165"/>
      <c r="Q182" s="165"/>
      <c r="R182" s="165"/>
      <c r="S182" s="165"/>
    </row>
    <row r="183">
      <c r="A183" s="165"/>
      <c r="B183" s="165"/>
      <c r="C183" s="165"/>
      <c r="D183" s="165"/>
      <c r="E183" s="166"/>
      <c r="F183" s="165"/>
      <c r="G183" s="167"/>
      <c r="H183" s="166"/>
      <c r="I183" s="167"/>
      <c r="J183" s="168"/>
      <c r="K183" s="169"/>
      <c r="L183" s="165"/>
      <c r="M183" s="165"/>
      <c r="N183" s="165"/>
      <c r="O183" s="165"/>
      <c r="P183" s="165"/>
      <c r="Q183" s="165"/>
      <c r="R183" s="165"/>
      <c r="S183" s="165"/>
    </row>
    <row r="184">
      <c r="A184" s="165"/>
      <c r="B184" s="165"/>
      <c r="C184" s="165"/>
      <c r="D184" s="165"/>
      <c r="E184" s="166"/>
      <c r="F184" s="165"/>
      <c r="G184" s="167"/>
      <c r="H184" s="166"/>
      <c r="I184" s="167"/>
      <c r="J184" s="168"/>
      <c r="K184" s="169"/>
      <c r="L184" s="165"/>
      <c r="M184" s="165"/>
      <c r="N184" s="165"/>
      <c r="O184" s="165"/>
      <c r="P184" s="165"/>
      <c r="Q184" s="165"/>
      <c r="R184" s="165"/>
      <c r="S184" s="165"/>
    </row>
    <row r="185">
      <c r="A185" s="165"/>
      <c r="B185" s="165"/>
      <c r="C185" s="165"/>
      <c r="D185" s="165"/>
      <c r="E185" s="166"/>
      <c r="F185" s="165"/>
      <c r="G185" s="167"/>
      <c r="H185" s="166"/>
      <c r="I185" s="167"/>
      <c r="J185" s="168"/>
      <c r="K185" s="169"/>
      <c r="L185" s="165"/>
      <c r="M185" s="165"/>
      <c r="N185" s="165"/>
      <c r="O185" s="165"/>
      <c r="P185" s="165"/>
      <c r="Q185" s="165"/>
      <c r="R185" s="165"/>
      <c r="S185" s="165"/>
    </row>
    <row r="186">
      <c r="A186" s="165"/>
      <c r="B186" s="165"/>
      <c r="C186" s="165"/>
      <c r="D186" s="165"/>
      <c r="E186" s="166"/>
      <c r="F186" s="165"/>
      <c r="G186" s="167"/>
      <c r="H186" s="166"/>
      <c r="I186" s="167"/>
      <c r="J186" s="168"/>
      <c r="K186" s="169"/>
      <c r="L186" s="165"/>
      <c r="M186" s="165"/>
      <c r="N186" s="165"/>
      <c r="O186" s="165"/>
      <c r="P186" s="165"/>
      <c r="Q186" s="165"/>
      <c r="R186" s="165"/>
      <c r="S186" s="165"/>
    </row>
    <row r="187">
      <c r="A187" s="165"/>
      <c r="B187" s="165"/>
      <c r="C187" s="165"/>
      <c r="D187" s="165"/>
      <c r="E187" s="166"/>
      <c r="F187" s="165"/>
      <c r="G187" s="167"/>
      <c r="H187" s="166"/>
      <c r="I187" s="167"/>
      <c r="J187" s="168"/>
      <c r="K187" s="169"/>
      <c r="L187" s="165"/>
      <c r="M187" s="165"/>
      <c r="N187" s="165"/>
      <c r="O187" s="165"/>
      <c r="P187" s="165"/>
      <c r="Q187" s="165"/>
      <c r="R187" s="165"/>
      <c r="S187" s="165"/>
    </row>
    <row r="188">
      <c r="A188" s="165"/>
      <c r="B188" s="165"/>
      <c r="C188" s="165"/>
      <c r="D188" s="165"/>
      <c r="E188" s="166"/>
      <c r="F188" s="165"/>
      <c r="G188" s="167"/>
      <c r="H188" s="166"/>
      <c r="I188" s="167"/>
      <c r="J188" s="168"/>
      <c r="K188" s="169"/>
      <c r="L188" s="165"/>
      <c r="M188" s="165"/>
      <c r="N188" s="165"/>
      <c r="O188" s="165"/>
      <c r="P188" s="165"/>
      <c r="Q188" s="165"/>
      <c r="R188" s="165"/>
      <c r="S188" s="165"/>
    </row>
    <row r="189">
      <c r="A189" s="165"/>
      <c r="B189" s="165"/>
      <c r="C189" s="165"/>
      <c r="D189" s="165"/>
      <c r="E189" s="166"/>
      <c r="F189" s="165"/>
      <c r="G189" s="167"/>
      <c r="H189" s="166"/>
      <c r="I189" s="167"/>
      <c r="J189" s="168"/>
      <c r="K189" s="169"/>
      <c r="L189" s="165"/>
      <c r="M189" s="165"/>
      <c r="N189" s="165"/>
      <c r="O189" s="165"/>
      <c r="P189" s="165"/>
      <c r="Q189" s="165"/>
      <c r="R189" s="165"/>
      <c r="S189" s="165"/>
    </row>
    <row r="190">
      <c r="A190" s="165"/>
      <c r="B190" s="165"/>
      <c r="C190" s="165"/>
      <c r="D190" s="165"/>
      <c r="E190" s="166"/>
      <c r="F190" s="165"/>
      <c r="G190" s="167"/>
      <c r="H190" s="166"/>
      <c r="I190" s="167"/>
      <c r="J190" s="168"/>
      <c r="K190" s="169"/>
      <c r="L190" s="165"/>
      <c r="M190" s="165"/>
      <c r="N190" s="165"/>
      <c r="O190" s="165"/>
      <c r="P190" s="165"/>
      <c r="Q190" s="165"/>
      <c r="R190" s="165"/>
      <c r="S190" s="165"/>
    </row>
    <row r="191">
      <c r="A191" s="165"/>
      <c r="B191" s="165"/>
      <c r="C191" s="165"/>
      <c r="D191" s="165"/>
      <c r="E191" s="166"/>
      <c r="F191" s="165"/>
      <c r="G191" s="167"/>
      <c r="H191" s="166"/>
      <c r="I191" s="167"/>
      <c r="J191" s="168"/>
      <c r="K191" s="169"/>
      <c r="L191" s="165"/>
      <c r="M191" s="165"/>
      <c r="N191" s="165"/>
      <c r="O191" s="165"/>
      <c r="P191" s="165"/>
      <c r="Q191" s="165"/>
      <c r="R191" s="165"/>
      <c r="S191" s="165"/>
    </row>
    <row r="192">
      <c r="A192" s="165"/>
      <c r="B192" s="165"/>
      <c r="C192" s="165"/>
      <c r="D192" s="165"/>
      <c r="E192" s="166"/>
      <c r="F192" s="165"/>
      <c r="G192" s="167"/>
      <c r="H192" s="166"/>
      <c r="I192" s="167"/>
      <c r="J192" s="168"/>
      <c r="K192" s="169"/>
      <c r="L192" s="165"/>
      <c r="M192" s="165"/>
      <c r="N192" s="165"/>
      <c r="O192" s="165"/>
      <c r="P192" s="165"/>
      <c r="Q192" s="165"/>
      <c r="R192" s="165"/>
      <c r="S192" s="165"/>
    </row>
    <row r="193">
      <c r="A193" s="165"/>
      <c r="B193" s="165"/>
      <c r="C193" s="165"/>
      <c r="D193" s="165"/>
      <c r="E193" s="166"/>
      <c r="F193" s="165"/>
      <c r="G193" s="167"/>
      <c r="H193" s="166"/>
      <c r="I193" s="167"/>
      <c r="J193" s="168"/>
      <c r="K193" s="169"/>
      <c r="L193" s="165"/>
      <c r="M193" s="165"/>
      <c r="N193" s="165"/>
      <c r="O193" s="165"/>
      <c r="P193" s="165"/>
      <c r="Q193" s="165"/>
      <c r="R193" s="165"/>
      <c r="S193" s="165"/>
    </row>
    <row r="194">
      <c r="A194" s="165"/>
      <c r="B194" s="165"/>
      <c r="C194" s="165"/>
      <c r="D194" s="165"/>
      <c r="E194" s="166"/>
      <c r="F194" s="165"/>
      <c r="G194" s="167"/>
      <c r="H194" s="166"/>
      <c r="I194" s="167"/>
      <c r="J194" s="168"/>
      <c r="K194" s="169"/>
      <c r="L194" s="165"/>
      <c r="M194" s="165"/>
      <c r="N194" s="165"/>
      <c r="O194" s="165"/>
      <c r="P194" s="165"/>
      <c r="Q194" s="165"/>
      <c r="R194" s="165"/>
      <c r="S194" s="165"/>
    </row>
    <row r="195">
      <c r="A195" s="165"/>
      <c r="B195" s="165"/>
      <c r="C195" s="165"/>
      <c r="D195" s="165"/>
      <c r="E195" s="166"/>
      <c r="F195" s="165"/>
      <c r="G195" s="167"/>
      <c r="H195" s="166"/>
      <c r="I195" s="167"/>
      <c r="J195" s="168"/>
      <c r="K195" s="169"/>
      <c r="L195" s="165"/>
      <c r="M195" s="165"/>
      <c r="N195" s="165"/>
      <c r="O195" s="165"/>
      <c r="P195" s="165"/>
      <c r="Q195" s="165"/>
      <c r="R195" s="165"/>
      <c r="S195" s="165"/>
    </row>
    <row r="196">
      <c r="A196" s="165"/>
      <c r="B196" s="165"/>
      <c r="C196" s="165"/>
      <c r="D196" s="165"/>
      <c r="E196" s="166"/>
      <c r="F196" s="165"/>
      <c r="G196" s="167"/>
      <c r="H196" s="166"/>
      <c r="I196" s="167"/>
      <c r="J196" s="168"/>
      <c r="K196" s="169"/>
      <c r="L196" s="165"/>
      <c r="M196" s="165"/>
      <c r="N196" s="165"/>
      <c r="O196" s="165"/>
      <c r="P196" s="165"/>
      <c r="Q196" s="165"/>
      <c r="R196" s="165"/>
      <c r="S196" s="165"/>
    </row>
    <row r="197">
      <c r="A197" s="165"/>
      <c r="B197" s="165"/>
      <c r="C197" s="165"/>
      <c r="D197" s="165"/>
      <c r="E197" s="166"/>
      <c r="F197" s="165"/>
      <c r="G197" s="167"/>
      <c r="H197" s="166"/>
      <c r="I197" s="167"/>
      <c r="J197" s="168"/>
      <c r="K197" s="169"/>
      <c r="L197" s="165"/>
      <c r="M197" s="165"/>
      <c r="N197" s="165"/>
      <c r="O197" s="165"/>
      <c r="P197" s="165"/>
      <c r="Q197" s="165"/>
      <c r="R197" s="165"/>
      <c r="S197" s="165"/>
    </row>
    <row r="198">
      <c r="A198" s="165"/>
      <c r="B198" s="165"/>
      <c r="C198" s="165"/>
      <c r="D198" s="165"/>
      <c r="E198" s="166"/>
      <c r="F198" s="165"/>
      <c r="G198" s="167"/>
      <c r="H198" s="166"/>
      <c r="I198" s="167"/>
      <c r="J198" s="168"/>
      <c r="K198" s="169"/>
      <c r="L198" s="165"/>
      <c r="M198" s="165"/>
      <c r="N198" s="165"/>
      <c r="O198" s="165"/>
      <c r="P198" s="165"/>
      <c r="Q198" s="165"/>
      <c r="R198" s="165"/>
      <c r="S198" s="165"/>
    </row>
    <row r="199">
      <c r="A199" s="165"/>
      <c r="B199" s="165"/>
      <c r="C199" s="165"/>
      <c r="D199" s="165"/>
      <c r="E199" s="166"/>
      <c r="F199" s="165"/>
      <c r="G199" s="167"/>
      <c r="H199" s="166"/>
      <c r="I199" s="167"/>
      <c r="J199" s="168"/>
      <c r="K199" s="169"/>
      <c r="L199" s="165"/>
      <c r="M199" s="165"/>
      <c r="N199" s="165"/>
      <c r="O199" s="165"/>
      <c r="P199" s="165"/>
      <c r="Q199" s="165"/>
      <c r="R199" s="165"/>
      <c r="S199" s="165"/>
    </row>
    <row r="200">
      <c r="A200" s="165"/>
      <c r="B200" s="165"/>
      <c r="C200" s="165"/>
      <c r="D200" s="165"/>
      <c r="E200" s="166"/>
      <c r="F200" s="165"/>
      <c r="G200" s="167"/>
      <c r="H200" s="166"/>
      <c r="I200" s="167"/>
      <c r="J200" s="168"/>
      <c r="K200" s="169"/>
      <c r="L200" s="165"/>
      <c r="M200" s="165"/>
      <c r="N200" s="165"/>
      <c r="O200" s="165"/>
      <c r="P200" s="165"/>
      <c r="Q200" s="165"/>
      <c r="R200" s="165"/>
      <c r="S200" s="165"/>
    </row>
    <row r="201">
      <c r="A201" s="165"/>
      <c r="B201" s="165"/>
      <c r="C201" s="165"/>
      <c r="D201" s="165"/>
      <c r="E201" s="166"/>
      <c r="F201" s="165"/>
      <c r="G201" s="167"/>
      <c r="H201" s="166"/>
      <c r="I201" s="167"/>
      <c r="J201" s="168"/>
      <c r="K201" s="169"/>
      <c r="L201" s="165"/>
      <c r="M201" s="165"/>
      <c r="N201" s="165"/>
      <c r="O201" s="165"/>
      <c r="P201" s="165"/>
      <c r="Q201" s="165"/>
      <c r="R201" s="165"/>
      <c r="S201" s="165"/>
    </row>
    <row r="202">
      <c r="A202" s="165"/>
      <c r="B202" s="165"/>
      <c r="C202" s="165"/>
      <c r="D202" s="165"/>
      <c r="E202" s="166"/>
      <c r="F202" s="165"/>
      <c r="G202" s="167"/>
      <c r="H202" s="166"/>
      <c r="I202" s="167"/>
      <c r="J202" s="168"/>
      <c r="K202" s="169"/>
      <c r="L202" s="165"/>
      <c r="M202" s="165"/>
      <c r="N202" s="165"/>
      <c r="O202" s="165"/>
      <c r="P202" s="165"/>
      <c r="Q202" s="165"/>
      <c r="R202" s="165"/>
      <c r="S202" s="165"/>
    </row>
    <row r="203">
      <c r="A203" s="165"/>
      <c r="B203" s="165"/>
      <c r="C203" s="165"/>
      <c r="D203" s="165"/>
      <c r="E203" s="166"/>
      <c r="F203" s="165"/>
      <c r="G203" s="167"/>
      <c r="H203" s="166"/>
      <c r="I203" s="167"/>
      <c r="J203" s="168"/>
      <c r="K203" s="169"/>
      <c r="L203" s="165"/>
      <c r="M203" s="165"/>
      <c r="N203" s="165"/>
      <c r="O203" s="165"/>
      <c r="P203" s="165"/>
      <c r="Q203" s="165"/>
      <c r="R203" s="165"/>
      <c r="S203" s="165"/>
    </row>
    <row r="204">
      <c r="A204" s="165"/>
      <c r="B204" s="165"/>
      <c r="C204" s="165"/>
      <c r="D204" s="165"/>
      <c r="E204" s="166"/>
      <c r="F204" s="165"/>
      <c r="G204" s="167"/>
      <c r="H204" s="166"/>
      <c r="I204" s="167"/>
      <c r="J204" s="168"/>
      <c r="K204" s="169"/>
      <c r="L204" s="165"/>
      <c r="M204" s="165"/>
      <c r="N204" s="165"/>
      <c r="O204" s="165"/>
      <c r="P204" s="165"/>
      <c r="Q204" s="165"/>
      <c r="R204" s="165"/>
      <c r="S204" s="165"/>
    </row>
    <row r="205">
      <c r="A205" s="165"/>
      <c r="B205" s="165"/>
      <c r="C205" s="165"/>
      <c r="D205" s="165"/>
      <c r="E205" s="166"/>
      <c r="F205" s="165"/>
      <c r="G205" s="167"/>
      <c r="H205" s="166"/>
      <c r="I205" s="167"/>
      <c r="J205" s="168"/>
      <c r="K205" s="169"/>
      <c r="L205" s="165"/>
      <c r="M205" s="165"/>
      <c r="N205" s="165"/>
      <c r="O205" s="165"/>
      <c r="P205" s="165"/>
      <c r="Q205" s="165"/>
      <c r="R205" s="165"/>
      <c r="S205" s="165"/>
    </row>
    <row r="206">
      <c r="A206" s="165"/>
      <c r="B206" s="165"/>
      <c r="C206" s="165"/>
      <c r="D206" s="165"/>
      <c r="E206" s="166"/>
      <c r="F206" s="165"/>
      <c r="G206" s="167"/>
      <c r="H206" s="166"/>
      <c r="I206" s="167"/>
      <c r="J206" s="168"/>
      <c r="K206" s="169"/>
      <c r="L206" s="165"/>
      <c r="M206" s="165"/>
      <c r="N206" s="165"/>
      <c r="O206" s="165"/>
      <c r="P206" s="165"/>
      <c r="Q206" s="165"/>
      <c r="R206" s="165"/>
      <c r="S206" s="165"/>
    </row>
    <row r="207">
      <c r="A207" s="165"/>
      <c r="B207" s="165"/>
      <c r="C207" s="165"/>
      <c r="D207" s="165"/>
      <c r="E207" s="166"/>
      <c r="F207" s="165"/>
      <c r="G207" s="167"/>
      <c r="H207" s="166"/>
      <c r="I207" s="167"/>
      <c r="J207" s="168"/>
      <c r="K207" s="169"/>
      <c r="L207" s="165"/>
      <c r="M207" s="165"/>
      <c r="N207" s="165"/>
      <c r="O207" s="165"/>
      <c r="P207" s="165"/>
      <c r="Q207" s="165"/>
      <c r="R207" s="165"/>
      <c r="S207" s="165"/>
    </row>
    <row r="208">
      <c r="A208" s="165"/>
      <c r="B208" s="165"/>
      <c r="C208" s="165"/>
      <c r="D208" s="165"/>
      <c r="E208" s="166"/>
      <c r="F208" s="165"/>
      <c r="G208" s="167"/>
      <c r="H208" s="166"/>
      <c r="I208" s="167"/>
      <c r="J208" s="168"/>
      <c r="K208" s="169"/>
      <c r="L208" s="165"/>
      <c r="M208" s="165"/>
      <c r="N208" s="165"/>
      <c r="O208" s="165"/>
      <c r="P208" s="165"/>
      <c r="Q208" s="165"/>
      <c r="R208" s="165"/>
      <c r="S208" s="165"/>
    </row>
    <row r="209">
      <c r="A209" s="165"/>
      <c r="B209" s="165"/>
      <c r="C209" s="165"/>
      <c r="D209" s="165"/>
      <c r="E209" s="166"/>
      <c r="F209" s="165"/>
      <c r="G209" s="167"/>
      <c r="H209" s="166"/>
      <c r="I209" s="167"/>
      <c r="J209" s="168"/>
      <c r="K209" s="169"/>
      <c r="L209" s="165"/>
      <c r="M209" s="165"/>
      <c r="N209" s="165"/>
      <c r="O209" s="165"/>
      <c r="P209" s="165"/>
      <c r="Q209" s="165"/>
      <c r="R209" s="165"/>
      <c r="S209" s="165"/>
    </row>
    <row r="210">
      <c r="A210" s="165"/>
      <c r="B210" s="165"/>
      <c r="C210" s="165"/>
      <c r="D210" s="165"/>
      <c r="E210" s="166"/>
      <c r="F210" s="165"/>
      <c r="G210" s="167"/>
      <c r="H210" s="166"/>
      <c r="I210" s="167"/>
      <c r="J210" s="168"/>
      <c r="K210" s="169"/>
      <c r="L210" s="165"/>
      <c r="M210" s="165"/>
      <c r="N210" s="165"/>
      <c r="O210" s="165"/>
      <c r="P210" s="165"/>
      <c r="Q210" s="165"/>
      <c r="R210" s="165"/>
      <c r="S210" s="165"/>
    </row>
    <row r="211">
      <c r="A211" s="165"/>
      <c r="B211" s="165"/>
      <c r="C211" s="165"/>
      <c r="D211" s="165"/>
      <c r="E211" s="166"/>
      <c r="F211" s="165"/>
      <c r="G211" s="167"/>
      <c r="H211" s="166"/>
      <c r="I211" s="167"/>
      <c r="J211" s="168"/>
      <c r="K211" s="169"/>
      <c r="L211" s="165"/>
      <c r="M211" s="165"/>
      <c r="N211" s="165"/>
      <c r="O211" s="165"/>
      <c r="P211" s="165"/>
      <c r="Q211" s="165"/>
      <c r="R211" s="165"/>
      <c r="S211" s="165"/>
    </row>
    <row r="212">
      <c r="A212" s="165"/>
      <c r="B212" s="165"/>
      <c r="C212" s="165"/>
      <c r="D212" s="165"/>
      <c r="E212" s="166"/>
      <c r="F212" s="165"/>
      <c r="G212" s="167"/>
      <c r="H212" s="166"/>
      <c r="I212" s="167"/>
      <c r="J212" s="168"/>
      <c r="K212" s="169"/>
      <c r="L212" s="165"/>
      <c r="M212" s="165"/>
      <c r="N212" s="165"/>
      <c r="O212" s="165"/>
      <c r="P212" s="165"/>
      <c r="Q212" s="165"/>
      <c r="R212" s="165"/>
      <c r="S212" s="165"/>
    </row>
    <row r="213">
      <c r="A213" s="165"/>
      <c r="B213" s="165"/>
      <c r="C213" s="165"/>
      <c r="D213" s="165"/>
      <c r="E213" s="166"/>
      <c r="F213" s="165"/>
      <c r="G213" s="167"/>
      <c r="H213" s="166"/>
      <c r="I213" s="167"/>
      <c r="J213" s="168"/>
      <c r="K213" s="169"/>
      <c r="L213" s="165"/>
      <c r="M213" s="165"/>
      <c r="N213" s="165"/>
      <c r="O213" s="165"/>
      <c r="P213" s="165"/>
      <c r="Q213" s="165"/>
      <c r="R213" s="165"/>
      <c r="S213" s="165"/>
    </row>
    <row r="214">
      <c r="A214" s="165"/>
      <c r="B214" s="165"/>
      <c r="C214" s="165"/>
      <c r="D214" s="165"/>
      <c r="E214" s="166"/>
      <c r="F214" s="165"/>
      <c r="G214" s="167"/>
      <c r="H214" s="166"/>
      <c r="I214" s="167"/>
      <c r="J214" s="168"/>
      <c r="K214" s="169"/>
      <c r="L214" s="165"/>
      <c r="M214" s="165"/>
      <c r="N214" s="165"/>
      <c r="O214" s="165"/>
      <c r="P214" s="165"/>
      <c r="Q214" s="165"/>
      <c r="R214" s="165"/>
      <c r="S214" s="165"/>
    </row>
    <row r="215">
      <c r="A215" s="165"/>
      <c r="B215" s="165"/>
      <c r="C215" s="165"/>
      <c r="D215" s="165"/>
      <c r="E215" s="166"/>
      <c r="F215" s="165"/>
      <c r="G215" s="167"/>
      <c r="H215" s="166"/>
      <c r="I215" s="167"/>
      <c r="J215" s="168"/>
      <c r="K215" s="169"/>
      <c r="L215" s="165"/>
      <c r="M215" s="165"/>
      <c r="N215" s="165"/>
      <c r="O215" s="165"/>
      <c r="P215" s="165"/>
      <c r="Q215" s="165"/>
      <c r="R215" s="165"/>
      <c r="S215" s="165"/>
    </row>
    <row r="216">
      <c r="A216" s="165"/>
      <c r="B216" s="165"/>
      <c r="C216" s="165"/>
      <c r="D216" s="165"/>
      <c r="E216" s="166"/>
      <c r="F216" s="165"/>
      <c r="G216" s="167"/>
      <c r="H216" s="166"/>
      <c r="I216" s="167"/>
      <c r="J216" s="168"/>
      <c r="K216" s="169"/>
      <c r="L216" s="165"/>
      <c r="M216" s="165"/>
      <c r="N216" s="165"/>
      <c r="O216" s="165"/>
      <c r="P216" s="165"/>
      <c r="Q216" s="165"/>
      <c r="R216" s="165"/>
      <c r="S216" s="165"/>
    </row>
    <row r="217">
      <c r="A217" s="165"/>
      <c r="B217" s="165"/>
      <c r="C217" s="165"/>
      <c r="D217" s="165"/>
      <c r="E217" s="166"/>
      <c r="F217" s="165"/>
      <c r="G217" s="167"/>
      <c r="H217" s="166"/>
      <c r="I217" s="167"/>
      <c r="J217" s="168"/>
      <c r="K217" s="169"/>
      <c r="L217" s="165"/>
      <c r="M217" s="165"/>
      <c r="N217" s="165"/>
      <c r="O217" s="165"/>
      <c r="P217" s="165"/>
      <c r="Q217" s="165"/>
      <c r="R217" s="165"/>
      <c r="S217" s="165"/>
    </row>
    <row r="218">
      <c r="A218" s="165"/>
      <c r="B218" s="165"/>
      <c r="C218" s="165"/>
      <c r="D218" s="165"/>
      <c r="E218" s="166"/>
      <c r="F218" s="165"/>
      <c r="G218" s="167"/>
      <c r="H218" s="166"/>
      <c r="I218" s="167"/>
      <c r="J218" s="168"/>
      <c r="K218" s="169"/>
      <c r="L218" s="165"/>
      <c r="M218" s="165"/>
      <c r="N218" s="165"/>
      <c r="O218" s="165"/>
      <c r="P218" s="165"/>
      <c r="Q218" s="165"/>
      <c r="R218" s="165"/>
      <c r="S218" s="165"/>
    </row>
    <row r="219">
      <c r="A219" s="165"/>
      <c r="B219" s="165"/>
      <c r="C219" s="165"/>
      <c r="D219" s="165"/>
      <c r="E219" s="166"/>
      <c r="F219" s="165"/>
      <c r="G219" s="167"/>
      <c r="H219" s="166"/>
      <c r="I219" s="167"/>
      <c r="J219" s="168"/>
      <c r="K219" s="169"/>
      <c r="L219" s="165"/>
      <c r="M219" s="165"/>
      <c r="N219" s="165"/>
      <c r="O219" s="165"/>
      <c r="P219" s="165"/>
      <c r="Q219" s="165"/>
      <c r="R219" s="165"/>
      <c r="S219" s="165"/>
    </row>
    <row r="220">
      <c r="A220" s="165"/>
      <c r="B220" s="165"/>
      <c r="C220" s="165"/>
      <c r="D220" s="165"/>
      <c r="E220" s="166"/>
      <c r="F220" s="165"/>
      <c r="G220" s="167"/>
      <c r="H220" s="166"/>
      <c r="I220" s="167"/>
      <c r="J220" s="168"/>
      <c r="K220" s="169"/>
      <c r="L220" s="165"/>
      <c r="M220" s="165"/>
      <c r="N220" s="165"/>
      <c r="O220" s="165"/>
      <c r="P220" s="165"/>
      <c r="Q220" s="165"/>
      <c r="R220" s="165"/>
      <c r="S220" s="165"/>
    </row>
    <row r="221">
      <c r="A221" s="165"/>
      <c r="B221" s="165"/>
      <c r="C221" s="165"/>
      <c r="D221" s="165"/>
      <c r="E221" s="166"/>
      <c r="F221" s="165"/>
      <c r="G221" s="167"/>
      <c r="H221" s="166"/>
      <c r="I221" s="167"/>
      <c r="J221" s="168"/>
      <c r="K221" s="169"/>
      <c r="L221" s="165"/>
      <c r="M221" s="165"/>
      <c r="N221" s="165"/>
      <c r="O221" s="165"/>
      <c r="P221" s="165"/>
      <c r="Q221" s="165"/>
      <c r="R221" s="165"/>
      <c r="S221" s="165"/>
    </row>
    <row r="222">
      <c r="A222" s="165"/>
      <c r="B222" s="165"/>
      <c r="C222" s="165"/>
      <c r="D222" s="165"/>
      <c r="E222" s="166"/>
      <c r="F222" s="165"/>
      <c r="G222" s="167"/>
      <c r="H222" s="166"/>
      <c r="I222" s="167"/>
      <c r="J222" s="168"/>
      <c r="K222" s="169"/>
      <c r="L222" s="165"/>
      <c r="M222" s="165"/>
      <c r="N222" s="165"/>
      <c r="O222" s="165"/>
      <c r="P222" s="165"/>
      <c r="Q222" s="165"/>
      <c r="R222" s="165"/>
      <c r="S222" s="165"/>
    </row>
    <row r="223">
      <c r="A223" s="165"/>
      <c r="B223" s="165"/>
      <c r="C223" s="165"/>
      <c r="D223" s="165"/>
      <c r="E223" s="166"/>
      <c r="F223" s="165"/>
      <c r="G223" s="167"/>
      <c r="H223" s="166"/>
      <c r="I223" s="167"/>
      <c r="J223" s="168"/>
      <c r="K223" s="169"/>
      <c r="L223" s="165"/>
      <c r="M223" s="165"/>
      <c r="N223" s="165"/>
      <c r="O223" s="165"/>
      <c r="P223" s="165"/>
      <c r="Q223" s="165"/>
      <c r="R223" s="165"/>
      <c r="S223" s="165"/>
    </row>
    <row r="224">
      <c r="A224" s="165"/>
      <c r="B224" s="165"/>
      <c r="C224" s="165"/>
      <c r="D224" s="165"/>
      <c r="E224" s="166"/>
      <c r="F224" s="165"/>
      <c r="G224" s="167"/>
      <c r="H224" s="166"/>
      <c r="I224" s="167"/>
      <c r="J224" s="168"/>
      <c r="K224" s="169"/>
      <c r="L224" s="165"/>
      <c r="M224" s="165"/>
      <c r="N224" s="165"/>
      <c r="O224" s="165"/>
      <c r="P224" s="165"/>
      <c r="Q224" s="165"/>
      <c r="R224" s="165"/>
      <c r="S224" s="165"/>
    </row>
    <row r="225">
      <c r="A225" s="165"/>
      <c r="B225" s="165"/>
      <c r="C225" s="165"/>
      <c r="D225" s="165"/>
      <c r="E225" s="166"/>
      <c r="F225" s="165"/>
      <c r="G225" s="167"/>
      <c r="H225" s="166"/>
      <c r="I225" s="167"/>
      <c r="J225" s="168"/>
      <c r="K225" s="169"/>
      <c r="L225" s="165"/>
      <c r="M225" s="165"/>
      <c r="N225" s="165"/>
      <c r="O225" s="165"/>
      <c r="P225" s="165"/>
      <c r="Q225" s="165"/>
      <c r="R225" s="165"/>
      <c r="S225" s="165"/>
    </row>
    <row r="226">
      <c r="A226" s="165"/>
      <c r="B226" s="165"/>
      <c r="C226" s="165"/>
      <c r="D226" s="165"/>
      <c r="E226" s="166"/>
      <c r="F226" s="165"/>
      <c r="G226" s="167"/>
      <c r="H226" s="166"/>
      <c r="I226" s="167"/>
      <c r="J226" s="168"/>
      <c r="K226" s="169"/>
      <c r="L226" s="165"/>
      <c r="M226" s="165"/>
      <c r="N226" s="165"/>
      <c r="O226" s="165"/>
      <c r="P226" s="165"/>
      <c r="Q226" s="165"/>
      <c r="R226" s="165"/>
      <c r="S226" s="165"/>
    </row>
    <row r="227">
      <c r="A227" s="165"/>
      <c r="B227" s="165"/>
      <c r="C227" s="165"/>
      <c r="D227" s="165"/>
      <c r="E227" s="166"/>
      <c r="F227" s="165"/>
      <c r="G227" s="167"/>
      <c r="H227" s="166"/>
      <c r="I227" s="167"/>
      <c r="J227" s="168"/>
      <c r="K227" s="169"/>
      <c r="L227" s="165"/>
      <c r="M227" s="165"/>
      <c r="N227" s="165"/>
      <c r="O227" s="165"/>
      <c r="P227" s="165"/>
      <c r="Q227" s="165"/>
      <c r="R227" s="165"/>
      <c r="S227" s="165"/>
    </row>
    <row r="228">
      <c r="A228" s="165"/>
      <c r="B228" s="165"/>
      <c r="C228" s="165"/>
      <c r="D228" s="165"/>
      <c r="E228" s="166"/>
      <c r="F228" s="165"/>
      <c r="G228" s="167"/>
      <c r="H228" s="166"/>
      <c r="I228" s="167"/>
      <c r="J228" s="168"/>
      <c r="K228" s="169"/>
      <c r="L228" s="165"/>
      <c r="M228" s="165"/>
      <c r="N228" s="165"/>
      <c r="O228" s="165"/>
      <c r="P228" s="165"/>
      <c r="Q228" s="165"/>
      <c r="R228" s="165"/>
      <c r="S228" s="165"/>
    </row>
    <row r="229">
      <c r="A229" s="165"/>
      <c r="B229" s="165"/>
      <c r="C229" s="165"/>
      <c r="D229" s="165"/>
      <c r="E229" s="166"/>
      <c r="F229" s="165"/>
      <c r="G229" s="167"/>
      <c r="H229" s="166"/>
      <c r="I229" s="167"/>
      <c r="J229" s="168"/>
      <c r="K229" s="169"/>
      <c r="L229" s="165"/>
      <c r="M229" s="165"/>
      <c r="N229" s="165"/>
      <c r="O229" s="165"/>
      <c r="P229" s="165"/>
      <c r="Q229" s="165"/>
      <c r="R229" s="165"/>
      <c r="S229" s="165"/>
    </row>
    <row r="230">
      <c r="A230" s="165"/>
      <c r="B230" s="165"/>
      <c r="C230" s="165"/>
      <c r="D230" s="165"/>
      <c r="E230" s="166"/>
      <c r="F230" s="165"/>
      <c r="G230" s="167"/>
      <c r="H230" s="166"/>
      <c r="I230" s="167"/>
      <c r="J230" s="168"/>
      <c r="K230" s="169"/>
      <c r="L230" s="165"/>
      <c r="M230" s="165"/>
      <c r="N230" s="165"/>
      <c r="O230" s="165"/>
      <c r="P230" s="165"/>
      <c r="Q230" s="165"/>
      <c r="R230" s="165"/>
      <c r="S230" s="165"/>
    </row>
    <row r="231">
      <c r="A231" s="165"/>
      <c r="B231" s="165"/>
      <c r="C231" s="165"/>
      <c r="D231" s="165"/>
      <c r="E231" s="166"/>
      <c r="F231" s="165"/>
      <c r="G231" s="167"/>
      <c r="H231" s="166"/>
      <c r="I231" s="167"/>
      <c r="J231" s="168"/>
      <c r="K231" s="169"/>
      <c r="L231" s="165"/>
      <c r="M231" s="165"/>
      <c r="N231" s="165"/>
      <c r="O231" s="165"/>
      <c r="P231" s="165"/>
      <c r="Q231" s="165"/>
      <c r="R231" s="165"/>
      <c r="S231" s="165"/>
    </row>
    <row r="232">
      <c r="A232" s="165"/>
      <c r="B232" s="165"/>
      <c r="C232" s="165"/>
      <c r="D232" s="165"/>
      <c r="E232" s="166"/>
      <c r="F232" s="165"/>
      <c r="G232" s="167"/>
      <c r="H232" s="166"/>
      <c r="I232" s="167"/>
      <c r="J232" s="168"/>
      <c r="K232" s="169"/>
      <c r="L232" s="165"/>
      <c r="M232" s="165"/>
      <c r="N232" s="165"/>
      <c r="O232" s="165"/>
      <c r="P232" s="165"/>
      <c r="Q232" s="165"/>
      <c r="R232" s="165"/>
      <c r="S232" s="165"/>
    </row>
    <row r="233">
      <c r="A233" s="165"/>
      <c r="B233" s="165"/>
      <c r="C233" s="165"/>
      <c r="D233" s="165"/>
      <c r="E233" s="166"/>
      <c r="F233" s="165"/>
      <c r="G233" s="167"/>
      <c r="H233" s="166"/>
      <c r="I233" s="167"/>
      <c r="J233" s="168"/>
      <c r="K233" s="169"/>
      <c r="L233" s="165"/>
      <c r="M233" s="165"/>
      <c r="N233" s="165"/>
      <c r="O233" s="165"/>
      <c r="P233" s="165"/>
      <c r="Q233" s="165"/>
      <c r="R233" s="165"/>
      <c r="S233" s="165"/>
    </row>
    <row r="234">
      <c r="A234" s="165"/>
      <c r="B234" s="165"/>
      <c r="C234" s="165"/>
      <c r="D234" s="165"/>
      <c r="E234" s="166"/>
      <c r="F234" s="165"/>
      <c r="G234" s="167"/>
      <c r="H234" s="166"/>
      <c r="I234" s="167"/>
      <c r="J234" s="168"/>
      <c r="K234" s="169"/>
      <c r="L234" s="165"/>
      <c r="M234" s="165"/>
      <c r="N234" s="165"/>
      <c r="O234" s="165"/>
      <c r="P234" s="165"/>
      <c r="Q234" s="165"/>
      <c r="R234" s="165"/>
      <c r="S234" s="165"/>
    </row>
    <row r="235">
      <c r="A235" s="165"/>
      <c r="B235" s="165"/>
      <c r="C235" s="165"/>
      <c r="D235" s="165"/>
      <c r="E235" s="166"/>
      <c r="F235" s="165"/>
      <c r="G235" s="167"/>
      <c r="H235" s="166"/>
      <c r="I235" s="167"/>
      <c r="J235" s="168"/>
      <c r="K235" s="169"/>
      <c r="L235" s="165"/>
      <c r="M235" s="165"/>
      <c r="N235" s="165"/>
      <c r="O235" s="165"/>
      <c r="P235" s="165"/>
      <c r="Q235" s="165"/>
      <c r="R235" s="165"/>
      <c r="S235" s="165"/>
    </row>
    <row r="236">
      <c r="A236" s="165"/>
      <c r="B236" s="165"/>
      <c r="C236" s="165"/>
      <c r="D236" s="165"/>
      <c r="E236" s="166"/>
      <c r="F236" s="165"/>
      <c r="G236" s="167"/>
      <c r="H236" s="166"/>
      <c r="I236" s="167"/>
      <c r="J236" s="168"/>
      <c r="K236" s="169"/>
      <c r="L236" s="165"/>
      <c r="M236" s="165"/>
      <c r="N236" s="165"/>
      <c r="O236" s="165"/>
      <c r="P236" s="165"/>
      <c r="Q236" s="165"/>
      <c r="R236" s="165"/>
      <c r="S236" s="165"/>
    </row>
    <row r="237">
      <c r="A237" s="165"/>
      <c r="B237" s="165"/>
      <c r="C237" s="165"/>
      <c r="D237" s="165"/>
      <c r="E237" s="166"/>
      <c r="F237" s="165"/>
      <c r="G237" s="167"/>
      <c r="H237" s="166"/>
      <c r="I237" s="167"/>
      <c r="J237" s="168"/>
      <c r="K237" s="169"/>
      <c r="L237" s="165"/>
      <c r="M237" s="165"/>
      <c r="N237" s="165"/>
      <c r="O237" s="165"/>
      <c r="P237" s="165"/>
      <c r="Q237" s="165"/>
      <c r="R237" s="165"/>
      <c r="S237" s="165"/>
    </row>
    <row r="238">
      <c r="A238" s="165"/>
      <c r="B238" s="165"/>
      <c r="C238" s="165"/>
      <c r="D238" s="165"/>
      <c r="E238" s="166"/>
      <c r="F238" s="165"/>
      <c r="G238" s="167"/>
      <c r="H238" s="166"/>
      <c r="I238" s="167"/>
      <c r="J238" s="168"/>
      <c r="K238" s="169"/>
      <c r="L238" s="165"/>
      <c r="M238" s="165"/>
      <c r="N238" s="165"/>
      <c r="O238" s="165"/>
      <c r="P238" s="165"/>
      <c r="Q238" s="165"/>
      <c r="R238" s="165"/>
      <c r="S238" s="165"/>
    </row>
    <row r="239">
      <c r="A239" s="165"/>
      <c r="B239" s="165"/>
      <c r="C239" s="165"/>
      <c r="D239" s="165"/>
      <c r="E239" s="166"/>
      <c r="F239" s="165"/>
      <c r="G239" s="167"/>
      <c r="H239" s="166"/>
      <c r="I239" s="167"/>
      <c r="J239" s="168"/>
      <c r="K239" s="169"/>
      <c r="L239" s="165"/>
      <c r="M239" s="165"/>
      <c r="N239" s="165"/>
      <c r="O239" s="165"/>
      <c r="P239" s="165"/>
      <c r="Q239" s="165"/>
      <c r="R239" s="165"/>
      <c r="S239" s="165"/>
    </row>
    <row r="240">
      <c r="A240" s="165"/>
      <c r="B240" s="165"/>
      <c r="C240" s="165"/>
      <c r="D240" s="165"/>
      <c r="E240" s="166"/>
      <c r="F240" s="165"/>
      <c r="G240" s="167"/>
      <c r="H240" s="166"/>
      <c r="I240" s="167"/>
      <c r="J240" s="168"/>
      <c r="K240" s="169"/>
      <c r="L240" s="165"/>
      <c r="M240" s="165"/>
      <c r="N240" s="165"/>
      <c r="O240" s="165"/>
      <c r="P240" s="165"/>
      <c r="Q240" s="165"/>
      <c r="R240" s="165"/>
      <c r="S240" s="165"/>
    </row>
    <row r="241">
      <c r="A241" s="165"/>
      <c r="B241" s="165"/>
      <c r="C241" s="165"/>
      <c r="D241" s="165"/>
      <c r="E241" s="166"/>
      <c r="F241" s="165"/>
      <c r="G241" s="167"/>
      <c r="H241" s="166"/>
      <c r="I241" s="167"/>
      <c r="J241" s="168"/>
      <c r="K241" s="169"/>
      <c r="L241" s="165"/>
      <c r="M241" s="165"/>
      <c r="N241" s="165"/>
      <c r="O241" s="165"/>
      <c r="P241" s="165"/>
      <c r="Q241" s="165"/>
      <c r="R241" s="165"/>
      <c r="S241" s="165"/>
    </row>
    <row r="242">
      <c r="A242" s="165"/>
      <c r="B242" s="165"/>
      <c r="C242" s="165"/>
      <c r="D242" s="165"/>
      <c r="E242" s="166"/>
      <c r="F242" s="165"/>
      <c r="G242" s="167"/>
      <c r="H242" s="166"/>
      <c r="I242" s="167"/>
      <c r="J242" s="168"/>
      <c r="K242" s="169"/>
      <c r="L242" s="165"/>
      <c r="M242" s="165"/>
      <c r="N242" s="165"/>
      <c r="O242" s="165"/>
      <c r="P242" s="165"/>
      <c r="Q242" s="165"/>
      <c r="R242" s="165"/>
      <c r="S242" s="165"/>
    </row>
    <row r="243">
      <c r="A243" s="165"/>
      <c r="B243" s="165"/>
      <c r="C243" s="165"/>
      <c r="D243" s="165"/>
      <c r="E243" s="166"/>
      <c r="F243" s="165"/>
      <c r="G243" s="167"/>
      <c r="H243" s="166"/>
      <c r="I243" s="167"/>
      <c r="J243" s="168"/>
      <c r="K243" s="169"/>
      <c r="L243" s="165"/>
      <c r="M243" s="165"/>
      <c r="N243" s="165"/>
      <c r="O243" s="165"/>
      <c r="P243" s="165"/>
      <c r="Q243" s="165"/>
      <c r="R243" s="165"/>
      <c r="S243" s="165"/>
    </row>
    <row r="244">
      <c r="A244" s="165"/>
      <c r="B244" s="165"/>
      <c r="C244" s="165"/>
      <c r="D244" s="165"/>
      <c r="E244" s="166"/>
      <c r="F244" s="165"/>
      <c r="G244" s="167"/>
      <c r="H244" s="166"/>
      <c r="I244" s="167"/>
      <c r="J244" s="168"/>
      <c r="K244" s="169"/>
      <c r="L244" s="165"/>
      <c r="M244" s="165"/>
      <c r="N244" s="165"/>
      <c r="O244" s="165"/>
      <c r="P244" s="165"/>
      <c r="Q244" s="165"/>
      <c r="R244" s="165"/>
      <c r="S244" s="165"/>
    </row>
    <row r="245">
      <c r="A245" s="165"/>
      <c r="B245" s="165"/>
      <c r="C245" s="165"/>
      <c r="D245" s="165"/>
      <c r="E245" s="166"/>
      <c r="F245" s="165"/>
      <c r="G245" s="167"/>
      <c r="H245" s="166"/>
      <c r="I245" s="167"/>
      <c r="J245" s="168"/>
      <c r="K245" s="169"/>
      <c r="L245" s="165"/>
      <c r="M245" s="165"/>
      <c r="N245" s="165"/>
      <c r="O245" s="165"/>
      <c r="P245" s="165"/>
      <c r="Q245" s="165"/>
      <c r="R245" s="165"/>
      <c r="S245" s="165"/>
    </row>
    <row r="246">
      <c r="A246" s="165"/>
      <c r="B246" s="165"/>
      <c r="C246" s="165"/>
      <c r="D246" s="165"/>
      <c r="E246" s="166"/>
      <c r="F246" s="165"/>
      <c r="G246" s="167"/>
      <c r="H246" s="166"/>
      <c r="I246" s="167"/>
      <c r="J246" s="168"/>
      <c r="K246" s="169"/>
      <c r="L246" s="165"/>
      <c r="M246" s="165"/>
      <c r="N246" s="165"/>
      <c r="O246" s="165"/>
      <c r="P246" s="165"/>
      <c r="Q246" s="165"/>
      <c r="R246" s="165"/>
      <c r="S246" s="165"/>
    </row>
    <row r="247">
      <c r="A247" s="165"/>
      <c r="B247" s="165"/>
      <c r="C247" s="165"/>
      <c r="D247" s="165"/>
      <c r="E247" s="166"/>
      <c r="F247" s="165"/>
      <c r="G247" s="167"/>
      <c r="H247" s="166"/>
      <c r="I247" s="167"/>
      <c r="J247" s="168"/>
      <c r="K247" s="169"/>
      <c r="L247" s="165"/>
      <c r="M247" s="165"/>
      <c r="N247" s="165"/>
      <c r="O247" s="165"/>
      <c r="P247" s="165"/>
      <c r="Q247" s="165"/>
      <c r="R247" s="165"/>
      <c r="S247" s="165"/>
    </row>
    <row r="248">
      <c r="A248" s="165"/>
      <c r="B248" s="165"/>
      <c r="C248" s="165"/>
      <c r="D248" s="165"/>
      <c r="E248" s="166"/>
      <c r="F248" s="165"/>
      <c r="G248" s="167"/>
      <c r="H248" s="166"/>
      <c r="I248" s="167"/>
      <c r="J248" s="168"/>
      <c r="K248" s="169"/>
      <c r="L248" s="165"/>
      <c r="M248" s="165"/>
      <c r="N248" s="165"/>
      <c r="O248" s="165"/>
      <c r="P248" s="165"/>
      <c r="Q248" s="165"/>
      <c r="R248" s="165"/>
      <c r="S248" s="165"/>
    </row>
    <row r="249">
      <c r="A249" s="165"/>
      <c r="B249" s="165"/>
      <c r="C249" s="165"/>
      <c r="D249" s="165"/>
      <c r="E249" s="166"/>
      <c r="F249" s="165"/>
      <c r="G249" s="167"/>
      <c r="H249" s="166"/>
      <c r="I249" s="167"/>
      <c r="J249" s="168"/>
      <c r="K249" s="169"/>
      <c r="L249" s="165"/>
      <c r="M249" s="165"/>
      <c r="N249" s="165"/>
      <c r="O249" s="165"/>
      <c r="P249" s="165"/>
      <c r="Q249" s="165"/>
      <c r="R249" s="165"/>
      <c r="S249" s="165"/>
    </row>
    <row r="250">
      <c r="A250" s="165"/>
      <c r="B250" s="165"/>
      <c r="C250" s="165"/>
      <c r="D250" s="165"/>
      <c r="E250" s="166"/>
      <c r="F250" s="165"/>
      <c r="G250" s="167"/>
      <c r="H250" s="166"/>
      <c r="I250" s="167"/>
      <c r="J250" s="168"/>
      <c r="K250" s="169"/>
      <c r="L250" s="165"/>
      <c r="M250" s="165"/>
      <c r="N250" s="165"/>
      <c r="O250" s="165"/>
      <c r="P250" s="165"/>
      <c r="Q250" s="165"/>
      <c r="R250" s="165"/>
      <c r="S250" s="165"/>
    </row>
    <row r="251">
      <c r="A251" s="165"/>
      <c r="B251" s="165"/>
      <c r="C251" s="165"/>
      <c r="D251" s="165"/>
      <c r="E251" s="166"/>
      <c r="F251" s="165"/>
      <c r="G251" s="167"/>
      <c r="H251" s="166"/>
      <c r="I251" s="167"/>
      <c r="J251" s="168"/>
      <c r="K251" s="169"/>
      <c r="L251" s="165"/>
      <c r="M251" s="165"/>
      <c r="N251" s="165"/>
      <c r="O251" s="165"/>
      <c r="P251" s="165"/>
      <c r="Q251" s="165"/>
      <c r="R251" s="165"/>
      <c r="S251" s="165"/>
    </row>
    <row r="252">
      <c r="A252" s="165"/>
      <c r="B252" s="165"/>
      <c r="C252" s="165"/>
      <c r="D252" s="165"/>
      <c r="E252" s="166"/>
      <c r="F252" s="165"/>
      <c r="G252" s="167"/>
      <c r="H252" s="166"/>
      <c r="I252" s="167"/>
      <c r="J252" s="168"/>
      <c r="K252" s="169"/>
      <c r="L252" s="165"/>
      <c r="M252" s="165"/>
      <c r="N252" s="165"/>
      <c r="O252" s="165"/>
      <c r="P252" s="165"/>
      <c r="Q252" s="165"/>
      <c r="R252" s="165"/>
      <c r="S252" s="165"/>
    </row>
    <row r="253">
      <c r="A253" s="165"/>
      <c r="B253" s="165"/>
      <c r="C253" s="165"/>
      <c r="D253" s="165"/>
      <c r="E253" s="166"/>
      <c r="F253" s="165"/>
      <c r="G253" s="167"/>
      <c r="H253" s="166"/>
      <c r="I253" s="167"/>
      <c r="J253" s="168"/>
      <c r="K253" s="169"/>
      <c r="L253" s="165"/>
      <c r="M253" s="165"/>
      <c r="N253" s="165"/>
      <c r="O253" s="165"/>
      <c r="P253" s="165"/>
      <c r="Q253" s="165"/>
      <c r="R253" s="165"/>
      <c r="S253" s="165"/>
    </row>
    <row r="254">
      <c r="A254" s="165"/>
      <c r="B254" s="165"/>
      <c r="C254" s="165"/>
      <c r="D254" s="165"/>
      <c r="E254" s="166"/>
      <c r="F254" s="165"/>
      <c r="G254" s="167"/>
      <c r="H254" s="166"/>
      <c r="I254" s="167"/>
      <c r="J254" s="168"/>
      <c r="K254" s="169"/>
      <c r="L254" s="165"/>
      <c r="M254" s="165"/>
      <c r="N254" s="165"/>
      <c r="O254" s="165"/>
      <c r="P254" s="165"/>
      <c r="Q254" s="165"/>
      <c r="R254" s="165"/>
      <c r="S254" s="165"/>
    </row>
    <row r="255">
      <c r="A255" s="165"/>
      <c r="B255" s="165"/>
      <c r="C255" s="165"/>
      <c r="D255" s="165"/>
      <c r="E255" s="166"/>
      <c r="F255" s="165"/>
      <c r="G255" s="167"/>
      <c r="H255" s="166"/>
      <c r="I255" s="167"/>
      <c r="J255" s="168"/>
      <c r="K255" s="169"/>
      <c r="L255" s="165"/>
      <c r="M255" s="165"/>
      <c r="N255" s="165"/>
      <c r="O255" s="165"/>
      <c r="P255" s="165"/>
      <c r="Q255" s="165"/>
      <c r="R255" s="165"/>
      <c r="S255" s="165"/>
    </row>
    <row r="256">
      <c r="A256" s="165"/>
      <c r="B256" s="165"/>
      <c r="C256" s="165"/>
      <c r="D256" s="165"/>
      <c r="E256" s="166"/>
      <c r="F256" s="165"/>
      <c r="G256" s="167"/>
      <c r="H256" s="166"/>
      <c r="I256" s="167"/>
      <c r="J256" s="168"/>
      <c r="K256" s="169"/>
      <c r="L256" s="165"/>
      <c r="M256" s="165"/>
      <c r="N256" s="165"/>
      <c r="O256" s="165"/>
      <c r="P256" s="165"/>
      <c r="Q256" s="165"/>
      <c r="R256" s="165"/>
      <c r="S256" s="165"/>
    </row>
    <row r="257">
      <c r="A257" s="165"/>
      <c r="B257" s="165"/>
      <c r="C257" s="165"/>
      <c r="D257" s="165"/>
      <c r="E257" s="166"/>
      <c r="F257" s="165"/>
      <c r="G257" s="167"/>
      <c r="H257" s="166"/>
      <c r="I257" s="167"/>
      <c r="J257" s="168"/>
      <c r="K257" s="169"/>
      <c r="L257" s="165"/>
      <c r="M257" s="165"/>
      <c r="N257" s="165"/>
      <c r="O257" s="165"/>
      <c r="P257" s="165"/>
      <c r="Q257" s="165"/>
      <c r="R257" s="165"/>
      <c r="S257" s="165"/>
    </row>
    <row r="258">
      <c r="A258" s="165"/>
      <c r="B258" s="165"/>
      <c r="C258" s="165"/>
      <c r="D258" s="165"/>
      <c r="E258" s="166"/>
      <c r="F258" s="165"/>
      <c r="G258" s="167"/>
      <c r="H258" s="166"/>
      <c r="I258" s="167"/>
      <c r="J258" s="168"/>
      <c r="K258" s="169"/>
      <c r="L258" s="165"/>
      <c r="M258" s="165"/>
      <c r="N258" s="165"/>
      <c r="O258" s="165"/>
      <c r="P258" s="165"/>
      <c r="Q258" s="165"/>
      <c r="R258" s="165"/>
      <c r="S258" s="165"/>
    </row>
    <row r="259">
      <c r="A259" s="165"/>
      <c r="B259" s="165"/>
      <c r="C259" s="165"/>
      <c r="D259" s="165"/>
      <c r="E259" s="166"/>
      <c r="F259" s="165"/>
      <c r="G259" s="167"/>
      <c r="H259" s="166"/>
      <c r="I259" s="167"/>
      <c r="J259" s="168"/>
      <c r="K259" s="169"/>
      <c r="L259" s="165"/>
      <c r="M259" s="165"/>
      <c r="N259" s="165"/>
      <c r="O259" s="165"/>
      <c r="P259" s="165"/>
      <c r="Q259" s="165"/>
      <c r="R259" s="165"/>
      <c r="S259" s="165"/>
    </row>
    <row r="260">
      <c r="A260" s="165"/>
      <c r="B260" s="165"/>
      <c r="C260" s="165"/>
      <c r="D260" s="165"/>
      <c r="E260" s="166"/>
      <c r="F260" s="165"/>
      <c r="G260" s="167"/>
      <c r="H260" s="166"/>
      <c r="I260" s="167"/>
      <c r="J260" s="168"/>
      <c r="K260" s="169"/>
      <c r="L260" s="165"/>
      <c r="M260" s="165"/>
      <c r="N260" s="165"/>
      <c r="O260" s="165"/>
      <c r="P260" s="165"/>
      <c r="Q260" s="165"/>
      <c r="R260" s="165"/>
      <c r="S260" s="165"/>
    </row>
    <row r="261">
      <c r="A261" s="165"/>
      <c r="B261" s="165"/>
      <c r="C261" s="165"/>
      <c r="D261" s="165"/>
      <c r="E261" s="166"/>
      <c r="F261" s="165"/>
      <c r="G261" s="167"/>
      <c r="H261" s="166"/>
      <c r="I261" s="167"/>
      <c r="J261" s="168"/>
      <c r="K261" s="169"/>
      <c r="L261" s="165"/>
      <c r="M261" s="165"/>
      <c r="N261" s="165"/>
      <c r="O261" s="165"/>
      <c r="P261" s="165"/>
      <c r="Q261" s="165"/>
      <c r="R261" s="165"/>
      <c r="S261" s="165"/>
    </row>
    <row r="262">
      <c r="A262" s="165"/>
      <c r="B262" s="165"/>
      <c r="C262" s="165"/>
      <c r="D262" s="165"/>
      <c r="E262" s="166"/>
      <c r="F262" s="165"/>
      <c r="G262" s="167"/>
      <c r="H262" s="166"/>
      <c r="I262" s="167"/>
      <c r="J262" s="168"/>
      <c r="K262" s="169"/>
      <c r="L262" s="165"/>
      <c r="M262" s="165"/>
      <c r="N262" s="165"/>
      <c r="O262" s="165"/>
      <c r="P262" s="165"/>
      <c r="Q262" s="165"/>
      <c r="R262" s="165"/>
      <c r="S262" s="165"/>
    </row>
    <row r="263">
      <c r="A263" s="165"/>
      <c r="B263" s="165"/>
      <c r="C263" s="165"/>
      <c r="D263" s="165"/>
      <c r="E263" s="166"/>
      <c r="F263" s="165"/>
      <c r="G263" s="167"/>
      <c r="H263" s="166"/>
      <c r="I263" s="167"/>
      <c r="J263" s="168"/>
      <c r="K263" s="169"/>
      <c r="L263" s="165"/>
      <c r="M263" s="165"/>
      <c r="N263" s="165"/>
      <c r="O263" s="165"/>
      <c r="P263" s="165"/>
      <c r="Q263" s="165"/>
      <c r="R263" s="165"/>
      <c r="S263" s="165"/>
    </row>
    <row r="264">
      <c r="A264" s="165"/>
      <c r="B264" s="165"/>
      <c r="C264" s="165"/>
      <c r="D264" s="165"/>
      <c r="E264" s="166"/>
      <c r="F264" s="165"/>
      <c r="G264" s="167"/>
      <c r="H264" s="166"/>
      <c r="I264" s="167"/>
      <c r="J264" s="168"/>
      <c r="K264" s="169"/>
      <c r="L264" s="165"/>
      <c r="M264" s="165"/>
      <c r="N264" s="165"/>
      <c r="O264" s="165"/>
      <c r="P264" s="165"/>
      <c r="Q264" s="165"/>
      <c r="R264" s="165"/>
      <c r="S264" s="165"/>
    </row>
    <row r="265">
      <c r="A265" s="165"/>
      <c r="B265" s="165"/>
      <c r="C265" s="165"/>
      <c r="D265" s="165"/>
      <c r="E265" s="166"/>
      <c r="F265" s="165"/>
      <c r="G265" s="167"/>
      <c r="H265" s="166"/>
      <c r="I265" s="167"/>
      <c r="J265" s="168"/>
      <c r="K265" s="169"/>
      <c r="L265" s="165"/>
      <c r="M265" s="165"/>
      <c r="N265" s="165"/>
      <c r="O265" s="165"/>
      <c r="P265" s="165"/>
      <c r="Q265" s="165"/>
      <c r="R265" s="165"/>
      <c r="S265" s="165"/>
    </row>
    <row r="266">
      <c r="A266" s="165"/>
      <c r="B266" s="165"/>
      <c r="C266" s="165"/>
      <c r="D266" s="165"/>
      <c r="E266" s="166"/>
      <c r="F266" s="165"/>
      <c r="G266" s="167"/>
      <c r="H266" s="166"/>
      <c r="I266" s="167"/>
      <c r="J266" s="168"/>
      <c r="K266" s="169"/>
      <c r="L266" s="165"/>
      <c r="M266" s="165"/>
      <c r="N266" s="165"/>
      <c r="O266" s="165"/>
      <c r="P266" s="165"/>
      <c r="Q266" s="165"/>
      <c r="R266" s="165"/>
      <c r="S266" s="165"/>
    </row>
    <row r="267">
      <c r="A267" s="165"/>
      <c r="B267" s="165"/>
      <c r="C267" s="165"/>
      <c r="D267" s="165"/>
      <c r="E267" s="166"/>
      <c r="F267" s="165"/>
      <c r="G267" s="167"/>
      <c r="H267" s="166"/>
      <c r="I267" s="167"/>
      <c r="J267" s="168"/>
      <c r="K267" s="169"/>
      <c r="L267" s="165"/>
      <c r="M267" s="165"/>
      <c r="N267" s="165"/>
      <c r="O267" s="165"/>
      <c r="P267" s="165"/>
      <c r="Q267" s="165"/>
      <c r="R267" s="165"/>
      <c r="S267" s="165"/>
    </row>
    <row r="268">
      <c r="A268" s="165"/>
      <c r="B268" s="165"/>
      <c r="C268" s="165"/>
      <c r="D268" s="165"/>
      <c r="E268" s="166"/>
      <c r="F268" s="165"/>
      <c r="G268" s="167"/>
      <c r="H268" s="166"/>
      <c r="I268" s="167"/>
      <c r="J268" s="168"/>
      <c r="K268" s="169"/>
      <c r="L268" s="165"/>
      <c r="M268" s="165"/>
      <c r="N268" s="165"/>
      <c r="O268" s="165"/>
      <c r="P268" s="165"/>
      <c r="Q268" s="165"/>
      <c r="R268" s="165"/>
      <c r="S268" s="165"/>
    </row>
    <row r="269">
      <c r="A269" s="165"/>
      <c r="B269" s="165"/>
      <c r="C269" s="165"/>
      <c r="D269" s="165"/>
      <c r="E269" s="166"/>
      <c r="F269" s="165"/>
      <c r="G269" s="167"/>
      <c r="H269" s="166"/>
      <c r="I269" s="167"/>
      <c r="J269" s="168"/>
      <c r="K269" s="169"/>
      <c r="L269" s="165"/>
      <c r="M269" s="165"/>
      <c r="N269" s="165"/>
      <c r="O269" s="165"/>
      <c r="P269" s="165"/>
      <c r="Q269" s="165"/>
      <c r="R269" s="165"/>
      <c r="S269" s="165"/>
    </row>
    <row r="270">
      <c r="A270" s="165"/>
      <c r="B270" s="165"/>
      <c r="C270" s="165"/>
      <c r="D270" s="165"/>
      <c r="E270" s="166"/>
      <c r="F270" s="165"/>
      <c r="G270" s="167"/>
      <c r="H270" s="166"/>
      <c r="I270" s="167"/>
      <c r="J270" s="168"/>
      <c r="K270" s="169"/>
      <c r="L270" s="165"/>
      <c r="M270" s="165"/>
      <c r="N270" s="165"/>
      <c r="O270" s="165"/>
      <c r="P270" s="165"/>
      <c r="Q270" s="165"/>
      <c r="R270" s="165"/>
      <c r="S270" s="165"/>
    </row>
    <row r="271">
      <c r="A271" s="165"/>
      <c r="B271" s="165"/>
      <c r="C271" s="165"/>
      <c r="D271" s="165"/>
      <c r="E271" s="166"/>
      <c r="F271" s="165"/>
      <c r="G271" s="167"/>
      <c r="H271" s="166"/>
      <c r="I271" s="167"/>
      <c r="J271" s="168"/>
      <c r="K271" s="169"/>
      <c r="L271" s="165"/>
      <c r="M271" s="165"/>
      <c r="N271" s="165"/>
      <c r="O271" s="165"/>
      <c r="P271" s="165"/>
      <c r="Q271" s="165"/>
      <c r="R271" s="165"/>
      <c r="S271" s="165"/>
    </row>
    <row r="272">
      <c r="A272" s="165"/>
      <c r="B272" s="165"/>
      <c r="C272" s="165"/>
      <c r="D272" s="165"/>
      <c r="E272" s="166"/>
      <c r="F272" s="165"/>
      <c r="G272" s="167"/>
      <c r="H272" s="166"/>
      <c r="I272" s="167"/>
      <c r="J272" s="168"/>
      <c r="K272" s="169"/>
      <c r="L272" s="165"/>
      <c r="M272" s="165"/>
      <c r="N272" s="165"/>
      <c r="O272" s="165"/>
      <c r="P272" s="165"/>
      <c r="Q272" s="165"/>
      <c r="R272" s="165"/>
      <c r="S272" s="165"/>
    </row>
    <row r="273">
      <c r="A273" s="165"/>
      <c r="B273" s="165"/>
      <c r="C273" s="165"/>
      <c r="D273" s="165"/>
      <c r="E273" s="166"/>
      <c r="F273" s="165"/>
      <c r="G273" s="167"/>
      <c r="H273" s="166"/>
      <c r="I273" s="167"/>
      <c r="J273" s="168"/>
      <c r="K273" s="169"/>
      <c r="L273" s="165"/>
      <c r="M273" s="165"/>
      <c r="N273" s="165"/>
      <c r="O273" s="165"/>
      <c r="P273" s="165"/>
      <c r="Q273" s="165"/>
      <c r="R273" s="165"/>
      <c r="S273" s="165"/>
    </row>
    <row r="274">
      <c r="A274" s="165"/>
      <c r="B274" s="165"/>
      <c r="C274" s="165"/>
      <c r="D274" s="165"/>
      <c r="E274" s="166"/>
      <c r="F274" s="165"/>
      <c r="G274" s="167"/>
      <c r="H274" s="166"/>
      <c r="I274" s="167"/>
      <c r="J274" s="168"/>
      <c r="K274" s="169"/>
      <c r="L274" s="165"/>
      <c r="M274" s="165"/>
      <c r="N274" s="165"/>
      <c r="O274" s="165"/>
      <c r="P274" s="165"/>
      <c r="Q274" s="165"/>
      <c r="R274" s="165"/>
      <c r="S274" s="165"/>
    </row>
    <row r="275">
      <c r="A275" s="165"/>
      <c r="B275" s="165"/>
      <c r="C275" s="165"/>
      <c r="D275" s="165"/>
      <c r="E275" s="166"/>
      <c r="F275" s="165"/>
      <c r="G275" s="167"/>
      <c r="H275" s="166"/>
      <c r="I275" s="167"/>
      <c r="J275" s="168"/>
      <c r="K275" s="169"/>
      <c r="L275" s="165"/>
      <c r="M275" s="165"/>
      <c r="N275" s="165"/>
      <c r="O275" s="165"/>
      <c r="P275" s="165"/>
      <c r="Q275" s="165"/>
      <c r="R275" s="165"/>
      <c r="S275" s="165"/>
    </row>
    <row r="276">
      <c r="A276" s="165"/>
      <c r="B276" s="165"/>
      <c r="C276" s="165"/>
      <c r="D276" s="165"/>
      <c r="E276" s="166"/>
      <c r="F276" s="165"/>
      <c r="G276" s="167"/>
      <c r="H276" s="166"/>
      <c r="I276" s="167"/>
      <c r="J276" s="168"/>
      <c r="K276" s="169"/>
      <c r="L276" s="165"/>
      <c r="M276" s="165"/>
      <c r="N276" s="165"/>
      <c r="O276" s="165"/>
      <c r="P276" s="165"/>
      <c r="Q276" s="165"/>
      <c r="R276" s="165"/>
      <c r="S276" s="165"/>
    </row>
    <row r="277">
      <c r="A277" s="165"/>
      <c r="B277" s="165"/>
      <c r="C277" s="165"/>
      <c r="D277" s="165"/>
      <c r="E277" s="166"/>
      <c r="F277" s="165"/>
      <c r="G277" s="167"/>
      <c r="H277" s="166"/>
      <c r="I277" s="167"/>
      <c r="J277" s="168"/>
      <c r="K277" s="169"/>
      <c r="L277" s="165"/>
      <c r="M277" s="165"/>
      <c r="N277" s="165"/>
      <c r="O277" s="165"/>
      <c r="P277" s="165"/>
      <c r="Q277" s="165"/>
      <c r="R277" s="165"/>
      <c r="S277" s="165"/>
    </row>
    <row r="278">
      <c r="A278" s="165"/>
      <c r="B278" s="165"/>
      <c r="C278" s="165"/>
      <c r="D278" s="165"/>
      <c r="E278" s="166"/>
      <c r="F278" s="165"/>
      <c r="G278" s="167"/>
      <c r="H278" s="166"/>
      <c r="I278" s="167"/>
      <c r="J278" s="168"/>
      <c r="K278" s="169"/>
      <c r="L278" s="165"/>
      <c r="M278" s="165"/>
      <c r="N278" s="165"/>
      <c r="O278" s="165"/>
      <c r="P278" s="165"/>
      <c r="Q278" s="165"/>
      <c r="R278" s="165"/>
      <c r="S278" s="165"/>
    </row>
    <row r="279">
      <c r="A279" s="165"/>
      <c r="B279" s="165"/>
      <c r="C279" s="165"/>
      <c r="D279" s="165"/>
      <c r="E279" s="166"/>
      <c r="F279" s="165"/>
      <c r="G279" s="167"/>
      <c r="H279" s="166"/>
      <c r="I279" s="167"/>
      <c r="J279" s="168"/>
      <c r="K279" s="169"/>
      <c r="L279" s="165"/>
      <c r="M279" s="165"/>
      <c r="N279" s="165"/>
      <c r="O279" s="165"/>
      <c r="P279" s="165"/>
      <c r="Q279" s="165"/>
      <c r="R279" s="165"/>
      <c r="S279" s="165"/>
    </row>
    <row r="280">
      <c r="A280" s="165"/>
      <c r="B280" s="165"/>
      <c r="C280" s="165"/>
      <c r="D280" s="165"/>
      <c r="E280" s="166"/>
      <c r="F280" s="165"/>
      <c r="G280" s="167"/>
      <c r="H280" s="166"/>
      <c r="I280" s="167"/>
      <c r="J280" s="168"/>
      <c r="K280" s="169"/>
      <c r="L280" s="165"/>
      <c r="M280" s="165"/>
      <c r="N280" s="165"/>
      <c r="O280" s="165"/>
      <c r="P280" s="165"/>
      <c r="Q280" s="165"/>
      <c r="R280" s="165"/>
      <c r="S280" s="165"/>
    </row>
    <row r="281">
      <c r="A281" s="165"/>
      <c r="B281" s="165"/>
      <c r="C281" s="165"/>
      <c r="D281" s="165"/>
      <c r="E281" s="166"/>
      <c r="F281" s="165"/>
      <c r="G281" s="167"/>
      <c r="H281" s="166"/>
      <c r="I281" s="167"/>
      <c r="J281" s="168"/>
      <c r="K281" s="169"/>
      <c r="L281" s="165"/>
      <c r="M281" s="165"/>
      <c r="N281" s="165"/>
      <c r="O281" s="165"/>
      <c r="P281" s="165"/>
      <c r="Q281" s="165"/>
      <c r="R281" s="165"/>
      <c r="S281" s="165"/>
    </row>
    <row r="282">
      <c r="A282" s="165"/>
      <c r="B282" s="165"/>
      <c r="C282" s="165"/>
      <c r="D282" s="165"/>
      <c r="E282" s="166"/>
      <c r="F282" s="165"/>
      <c r="G282" s="167"/>
      <c r="H282" s="166"/>
      <c r="I282" s="167"/>
      <c r="J282" s="168"/>
      <c r="K282" s="169"/>
      <c r="L282" s="165"/>
      <c r="M282" s="165"/>
      <c r="N282" s="165"/>
      <c r="O282" s="165"/>
      <c r="P282" s="165"/>
      <c r="Q282" s="165"/>
      <c r="R282" s="165"/>
      <c r="S282" s="165"/>
    </row>
    <row r="283">
      <c r="A283" s="165"/>
      <c r="B283" s="165"/>
      <c r="C283" s="165"/>
      <c r="D283" s="165"/>
      <c r="E283" s="166"/>
      <c r="F283" s="165"/>
      <c r="G283" s="167"/>
      <c r="H283" s="166"/>
      <c r="I283" s="167"/>
      <c r="J283" s="168"/>
      <c r="K283" s="169"/>
      <c r="L283" s="165"/>
      <c r="M283" s="165"/>
      <c r="N283" s="165"/>
      <c r="O283" s="165"/>
      <c r="P283" s="165"/>
      <c r="Q283" s="165"/>
      <c r="R283" s="165"/>
      <c r="S283" s="165"/>
    </row>
    <row r="284">
      <c r="A284" s="165"/>
      <c r="B284" s="165"/>
      <c r="C284" s="165"/>
      <c r="D284" s="165"/>
      <c r="E284" s="166"/>
      <c r="F284" s="165"/>
      <c r="G284" s="167"/>
      <c r="H284" s="166"/>
      <c r="I284" s="167"/>
      <c r="J284" s="168"/>
      <c r="K284" s="169"/>
      <c r="L284" s="165"/>
      <c r="M284" s="165"/>
      <c r="N284" s="165"/>
      <c r="O284" s="165"/>
      <c r="P284" s="165"/>
      <c r="Q284" s="165"/>
      <c r="R284" s="165"/>
      <c r="S284" s="165"/>
    </row>
    <row r="285">
      <c r="A285" s="165"/>
      <c r="B285" s="165"/>
      <c r="C285" s="165"/>
      <c r="D285" s="165"/>
      <c r="E285" s="166"/>
      <c r="F285" s="165"/>
      <c r="G285" s="167"/>
      <c r="H285" s="166"/>
      <c r="I285" s="167"/>
      <c r="J285" s="168"/>
      <c r="K285" s="169"/>
      <c r="L285" s="165"/>
      <c r="M285" s="165"/>
      <c r="N285" s="165"/>
      <c r="O285" s="165"/>
      <c r="P285" s="165"/>
      <c r="Q285" s="165"/>
      <c r="R285" s="165"/>
      <c r="S285" s="165"/>
    </row>
    <row r="286">
      <c r="A286" s="165"/>
      <c r="B286" s="165"/>
      <c r="C286" s="165"/>
      <c r="D286" s="165"/>
      <c r="E286" s="166"/>
      <c r="F286" s="165"/>
      <c r="G286" s="167"/>
      <c r="H286" s="166"/>
      <c r="I286" s="167"/>
      <c r="J286" s="168"/>
      <c r="K286" s="169"/>
      <c r="L286" s="165"/>
      <c r="M286" s="165"/>
      <c r="N286" s="165"/>
      <c r="O286" s="165"/>
      <c r="P286" s="165"/>
      <c r="Q286" s="165"/>
      <c r="R286" s="165"/>
      <c r="S286" s="165"/>
    </row>
    <row r="287">
      <c r="A287" s="165"/>
      <c r="B287" s="165"/>
      <c r="C287" s="165"/>
      <c r="D287" s="165"/>
      <c r="E287" s="166"/>
      <c r="F287" s="165"/>
      <c r="G287" s="167"/>
      <c r="H287" s="166"/>
      <c r="I287" s="167"/>
      <c r="J287" s="168"/>
      <c r="K287" s="169"/>
      <c r="L287" s="165"/>
      <c r="M287" s="165"/>
      <c r="N287" s="165"/>
      <c r="O287" s="165"/>
      <c r="P287" s="165"/>
      <c r="Q287" s="165"/>
      <c r="R287" s="165"/>
      <c r="S287" s="165"/>
    </row>
    <row r="288">
      <c r="A288" s="165"/>
      <c r="B288" s="165"/>
      <c r="C288" s="165"/>
      <c r="D288" s="165"/>
      <c r="E288" s="166"/>
      <c r="F288" s="165"/>
      <c r="G288" s="167"/>
      <c r="H288" s="166"/>
      <c r="I288" s="167"/>
      <c r="J288" s="168"/>
      <c r="K288" s="169"/>
      <c r="L288" s="165"/>
      <c r="M288" s="165"/>
      <c r="N288" s="165"/>
      <c r="O288" s="165"/>
      <c r="P288" s="165"/>
      <c r="Q288" s="165"/>
      <c r="R288" s="165"/>
      <c r="S288" s="165"/>
    </row>
    <row r="289">
      <c r="A289" s="165"/>
      <c r="B289" s="165"/>
      <c r="C289" s="165"/>
      <c r="D289" s="165"/>
      <c r="E289" s="166"/>
      <c r="F289" s="165"/>
      <c r="G289" s="167"/>
      <c r="H289" s="166"/>
      <c r="I289" s="167"/>
      <c r="J289" s="168"/>
      <c r="K289" s="169"/>
      <c r="L289" s="165"/>
      <c r="M289" s="165"/>
      <c r="N289" s="165"/>
      <c r="O289" s="165"/>
      <c r="P289" s="165"/>
      <c r="Q289" s="165"/>
      <c r="R289" s="165"/>
      <c r="S289" s="165"/>
    </row>
    <row r="290">
      <c r="A290" s="165"/>
      <c r="B290" s="165"/>
      <c r="C290" s="165"/>
      <c r="D290" s="165"/>
      <c r="E290" s="166"/>
      <c r="F290" s="165"/>
      <c r="G290" s="167"/>
      <c r="H290" s="166"/>
      <c r="I290" s="167"/>
      <c r="J290" s="168"/>
      <c r="K290" s="169"/>
      <c r="L290" s="165"/>
      <c r="M290" s="165"/>
      <c r="N290" s="165"/>
      <c r="O290" s="165"/>
      <c r="P290" s="165"/>
      <c r="Q290" s="165"/>
      <c r="R290" s="165"/>
      <c r="S290" s="165"/>
    </row>
    <row r="291">
      <c r="A291" s="165"/>
      <c r="B291" s="165"/>
      <c r="C291" s="165"/>
      <c r="D291" s="165"/>
      <c r="E291" s="166"/>
      <c r="F291" s="165"/>
      <c r="G291" s="167"/>
      <c r="H291" s="166"/>
      <c r="I291" s="167"/>
      <c r="J291" s="168"/>
      <c r="K291" s="169"/>
      <c r="L291" s="165"/>
      <c r="M291" s="165"/>
      <c r="N291" s="165"/>
      <c r="O291" s="165"/>
      <c r="P291" s="165"/>
      <c r="Q291" s="165"/>
      <c r="R291" s="165"/>
      <c r="S291" s="165"/>
    </row>
    <row r="292">
      <c r="A292" s="165"/>
      <c r="B292" s="165"/>
      <c r="C292" s="165"/>
      <c r="D292" s="165"/>
      <c r="E292" s="166"/>
      <c r="F292" s="165"/>
      <c r="G292" s="167"/>
      <c r="H292" s="166"/>
      <c r="I292" s="167"/>
      <c r="J292" s="168"/>
      <c r="K292" s="169"/>
      <c r="L292" s="165"/>
      <c r="M292" s="165"/>
      <c r="N292" s="165"/>
      <c r="O292" s="165"/>
      <c r="P292" s="165"/>
      <c r="Q292" s="165"/>
      <c r="R292" s="165"/>
      <c r="S292" s="165"/>
    </row>
    <row r="293">
      <c r="A293" s="165"/>
      <c r="B293" s="165"/>
      <c r="C293" s="165"/>
      <c r="D293" s="165"/>
      <c r="E293" s="166"/>
      <c r="F293" s="165"/>
      <c r="G293" s="167"/>
      <c r="H293" s="166"/>
      <c r="I293" s="167"/>
      <c r="J293" s="168"/>
      <c r="K293" s="169"/>
      <c r="L293" s="165"/>
      <c r="M293" s="165"/>
      <c r="N293" s="165"/>
      <c r="O293" s="165"/>
      <c r="P293" s="165"/>
      <c r="Q293" s="165"/>
      <c r="R293" s="165"/>
      <c r="S293" s="165"/>
    </row>
    <row r="294">
      <c r="A294" s="165"/>
      <c r="B294" s="165"/>
      <c r="C294" s="165"/>
      <c r="D294" s="165"/>
      <c r="E294" s="166"/>
      <c r="F294" s="165"/>
      <c r="G294" s="167"/>
      <c r="H294" s="166"/>
      <c r="I294" s="167"/>
      <c r="J294" s="168"/>
      <c r="K294" s="169"/>
      <c r="L294" s="165"/>
      <c r="M294" s="165"/>
      <c r="N294" s="165"/>
      <c r="O294" s="165"/>
      <c r="P294" s="165"/>
      <c r="Q294" s="165"/>
      <c r="R294" s="165"/>
      <c r="S294" s="165"/>
    </row>
    <row r="295">
      <c r="A295" s="165"/>
      <c r="B295" s="165"/>
      <c r="C295" s="165"/>
      <c r="D295" s="165"/>
      <c r="E295" s="166"/>
      <c r="F295" s="165"/>
      <c r="G295" s="167"/>
      <c r="H295" s="166"/>
      <c r="I295" s="167"/>
      <c r="J295" s="168"/>
      <c r="K295" s="169"/>
      <c r="L295" s="165"/>
      <c r="M295" s="165"/>
      <c r="N295" s="165"/>
      <c r="O295" s="165"/>
      <c r="P295" s="165"/>
      <c r="Q295" s="165"/>
      <c r="R295" s="165"/>
      <c r="S295" s="165"/>
    </row>
    <row r="296">
      <c r="A296" s="165"/>
      <c r="B296" s="165"/>
      <c r="C296" s="165"/>
      <c r="D296" s="165"/>
      <c r="E296" s="166"/>
      <c r="F296" s="165"/>
      <c r="G296" s="167"/>
      <c r="H296" s="166"/>
      <c r="I296" s="167"/>
      <c r="J296" s="168"/>
      <c r="K296" s="169"/>
      <c r="L296" s="165"/>
      <c r="M296" s="165"/>
      <c r="N296" s="165"/>
      <c r="O296" s="165"/>
      <c r="P296" s="165"/>
      <c r="Q296" s="165"/>
      <c r="R296" s="165"/>
      <c r="S296" s="165"/>
    </row>
    <row r="297">
      <c r="A297" s="165"/>
      <c r="B297" s="165"/>
      <c r="C297" s="165"/>
      <c r="D297" s="165"/>
      <c r="E297" s="166"/>
      <c r="F297" s="165"/>
      <c r="G297" s="167"/>
      <c r="H297" s="166"/>
      <c r="I297" s="167"/>
      <c r="J297" s="168"/>
      <c r="K297" s="169"/>
      <c r="L297" s="165"/>
      <c r="M297" s="165"/>
      <c r="N297" s="165"/>
      <c r="O297" s="165"/>
      <c r="P297" s="165"/>
      <c r="Q297" s="165"/>
      <c r="R297" s="165"/>
      <c r="S297" s="165"/>
    </row>
    <row r="298">
      <c r="A298" s="165"/>
      <c r="B298" s="165"/>
      <c r="C298" s="165"/>
      <c r="D298" s="165"/>
      <c r="E298" s="166"/>
      <c r="F298" s="165"/>
      <c r="G298" s="167"/>
      <c r="H298" s="166"/>
      <c r="I298" s="167"/>
      <c r="J298" s="168"/>
      <c r="K298" s="169"/>
      <c r="L298" s="165"/>
      <c r="M298" s="165"/>
      <c r="N298" s="165"/>
      <c r="O298" s="165"/>
      <c r="P298" s="165"/>
      <c r="Q298" s="165"/>
      <c r="R298" s="165"/>
      <c r="S298" s="165"/>
    </row>
    <row r="299">
      <c r="A299" s="165"/>
      <c r="B299" s="165"/>
      <c r="C299" s="165"/>
      <c r="D299" s="165"/>
      <c r="E299" s="166"/>
      <c r="F299" s="165"/>
      <c r="G299" s="167"/>
      <c r="H299" s="166"/>
      <c r="I299" s="167"/>
      <c r="J299" s="168"/>
      <c r="K299" s="169"/>
      <c r="L299" s="165"/>
      <c r="M299" s="165"/>
      <c r="N299" s="165"/>
      <c r="O299" s="165"/>
      <c r="P299" s="165"/>
      <c r="Q299" s="165"/>
      <c r="R299" s="165"/>
      <c r="S299" s="165"/>
    </row>
    <row r="300">
      <c r="A300" s="165"/>
      <c r="B300" s="165"/>
      <c r="C300" s="165"/>
      <c r="D300" s="165"/>
      <c r="E300" s="166"/>
      <c r="F300" s="165"/>
      <c r="G300" s="167"/>
      <c r="H300" s="166"/>
      <c r="I300" s="167"/>
      <c r="J300" s="168"/>
      <c r="K300" s="169"/>
      <c r="L300" s="165"/>
      <c r="M300" s="165"/>
      <c r="N300" s="165"/>
      <c r="O300" s="165"/>
      <c r="P300" s="165"/>
      <c r="Q300" s="165"/>
      <c r="R300" s="165"/>
      <c r="S300" s="165"/>
    </row>
    <row r="301">
      <c r="A301" s="165"/>
      <c r="B301" s="165"/>
      <c r="C301" s="165"/>
      <c r="D301" s="165"/>
      <c r="E301" s="166"/>
      <c r="F301" s="165"/>
      <c r="G301" s="167"/>
      <c r="H301" s="166"/>
      <c r="I301" s="167"/>
      <c r="J301" s="168"/>
      <c r="K301" s="169"/>
      <c r="L301" s="165"/>
      <c r="M301" s="165"/>
      <c r="N301" s="165"/>
      <c r="O301" s="165"/>
      <c r="P301" s="165"/>
      <c r="Q301" s="165"/>
      <c r="R301" s="165"/>
      <c r="S301" s="165"/>
    </row>
    <row r="302">
      <c r="A302" s="165"/>
      <c r="B302" s="165"/>
      <c r="C302" s="165"/>
      <c r="D302" s="165"/>
      <c r="E302" s="166"/>
      <c r="F302" s="165"/>
      <c r="G302" s="167"/>
      <c r="H302" s="166"/>
      <c r="I302" s="167"/>
      <c r="J302" s="168"/>
      <c r="K302" s="169"/>
      <c r="L302" s="165"/>
      <c r="M302" s="165"/>
      <c r="N302" s="165"/>
      <c r="O302" s="165"/>
      <c r="P302" s="165"/>
      <c r="Q302" s="165"/>
      <c r="R302" s="165"/>
      <c r="S302" s="165"/>
    </row>
    <row r="303">
      <c r="A303" s="165"/>
      <c r="B303" s="165"/>
      <c r="C303" s="165"/>
      <c r="D303" s="165"/>
      <c r="E303" s="166"/>
      <c r="F303" s="165"/>
      <c r="G303" s="167"/>
      <c r="H303" s="166"/>
      <c r="I303" s="167"/>
      <c r="J303" s="168"/>
      <c r="K303" s="169"/>
      <c r="L303" s="165"/>
      <c r="M303" s="165"/>
      <c r="N303" s="165"/>
      <c r="O303" s="165"/>
      <c r="P303" s="165"/>
      <c r="Q303" s="165"/>
      <c r="R303" s="165"/>
      <c r="S303" s="165"/>
    </row>
    <row r="304">
      <c r="A304" s="165"/>
      <c r="B304" s="165"/>
      <c r="C304" s="165"/>
      <c r="D304" s="165"/>
      <c r="E304" s="166"/>
      <c r="F304" s="165"/>
      <c r="G304" s="167"/>
      <c r="H304" s="166"/>
      <c r="I304" s="167"/>
      <c r="J304" s="168"/>
      <c r="K304" s="169"/>
      <c r="L304" s="165"/>
      <c r="M304" s="165"/>
      <c r="N304" s="165"/>
      <c r="O304" s="165"/>
      <c r="P304" s="165"/>
      <c r="Q304" s="165"/>
      <c r="R304" s="165"/>
      <c r="S304" s="165"/>
    </row>
    <row r="305">
      <c r="A305" s="165"/>
      <c r="B305" s="165"/>
      <c r="C305" s="165"/>
      <c r="D305" s="165"/>
      <c r="E305" s="166"/>
      <c r="F305" s="165"/>
      <c r="G305" s="167"/>
      <c r="H305" s="166"/>
      <c r="I305" s="167"/>
      <c r="J305" s="168"/>
      <c r="K305" s="169"/>
      <c r="L305" s="165"/>
      <c r="M305" s="165"/>
      <c r="N305" s="165"/>
      <c r="O305" s="165"/>
      <c r="P305" s="165"/>
      <c r="Q305" s="165"/>
      <c r="R305" s="165"/>
      <c r="S305" s="165"/>
    </row>
    <row r="306">
      <c r="A306" s="165"/>
      <c r="B306" s="165"/>
      <c r="C306" s="165"/>
      <c r="D306" s="165"/>
      <c r="E306" s="166"/>
      <c r="F306" s="165"/>
      <c r="G306" s="167"/>
      <c r="H306" s="166"/>
      <c r="I306" s="167"/>
      <c r="J306" s="168"/>
      <c r="K306" s="169"/>
      <c r="L306" s="165"/>
      <c r="M306" s="165"/>
      <c r="N306" s="165"/>
      <c r="O306" s="165"/>
      <c r="P306" s="165"/>
      <c r="Q306" s="165"/>
      <c r="R306" s="165"/>
      <c r="S306" s="165"/>
    </row>
    <row r="307">
      <c r="A307" s="165"/>
      <c r="B307" s="165"/>
      <c r="C307" s="165"/>
      <c r="D307" s="165"/>
      <c r="E307" s="166"/>
      <c r="F307" s="165"/>
      <c r="G307" s="167"/>
      <c r="H307" s="166"/>
      <c r="I307" s="167"/>
      <c r="J307" s="168"/>
      <c r="K307" s="169"/>
      <c r="L307" s="165"/>
      <c r="M307" s="165"/>
      <c r="N307" s="165"/>
      <c r="O307" s="165"/>
      <c r="P307" s="165"/>
      <c r="Q307" s="165"/>
      <c r="R307" s="165"/>
      <c r="S307" s="165"/>
    </row>
    <row r="308">
      <c r="A308" s="165"/>
      <c r="B308" s="165"/>
      <c r="C308" s="165"/>
      <c r="D308" s="165"/>
      <c r="E308" s="166"/>
      <c r="F308" s="165"/>
      <c r="G308" s="167"/>
      <c r="H308" s="166"/>
      <c r="I308" s="167"/>
      <c r="J308" s="168"/>
      <c r="K308" s="169"/>
      <c r="L308" s="165"/>
      <c r="M308" s="165"/>
      <c r="N308" s="165"/>
      <c r="O308" s="165"/>
      <c r="P308" s="165"/>
      <c r="Q308" s="165"/>
      <c r="R308" s="165"/>
      <c r="S308" s="165"/>
    </row>
    <row r="309">
      <c r="A309" s="165"/>
      <c r="B309" s="165"/>
      <c r="C309" s="165"/>
      <c r="D309" s="165"/>
      <c r="E309" s="166"/>
      <c r="F309" s="165"/>
      <c r="G309" s="167"/>
      <c r="H309" s="166"/>
      <c r="I309" s="167"/>
      <c r="J309" s="168"/>
      <c r="K309" s="169"/>
      <c r="L309" s="165"/>
      <c r="M309" s="165"/>
      <c r="N309" s="165"/>
      <c r="O309" s="165"/>
      <c r="P309" s="165"/>
      <c r="Q309" s="165"/>
      <c r="R309" s="165"/>
      <c r="S309" s="165"/>
    </row>
    <row r="310">
      <c r="A310" s="165"/>
      <c r="B310" s="165"/>
      <c r="C310" s="165"/>
      <c r="D310" s="165"/>
      <c r="E310" s="166"/>
      <c r="F310" s="165"/>
      <c r="G310" s="167"/>
      <c r="H310" s="166"/>
      <c r="I310" s="167"/>
      <c r="J310" s="168"/>
      <c r="K310" s="169"/>
      <c r="L310" s="165"/>
      <c r="M310" s="165"/>
      <c r="N310" s="165"/>
      <c r="O310" s="165"/>
      <c r="P310" s="165"/>
      <c r="Q310" s="165"/>
      <c r="R310" s="165"/>
      <c r="S310" s="165"/>
    </row>
    <row r="311">
      <c r="A311" s="165"/>
      <c r="B311" s="165"/>
      <c r="C311" s="165"/>
      <c r="D311" s="165"/>
      <c r="E311" s="166"/>
      <c r="F311" s="165"/>
      <c r="G311" s="167"/>
      <c r="H311" s="166"/>
      <c r="I311" s="167"/>
      <c r="J311" s="168"/>
      <c r="K311" s="169"/>
      <c r="L311" s="165"/>
      <c r="M311" s="165"/>
      <c r="N311" s="165"/>
      <c r="O311" s="165"/>
      <c r="P311" s="165"/>
      <c r="Q311" s="165"/>
      <c r="R311" s="165"/>
      <c r="S311" s="165"/>
    </row>
    <row r="312">
      <c r="A312" s="165"/>
      <c r="B312" s="165"/>
      <c r="C312" s="165"/>
      <c r="D312" s="165"/>
      <c r="E312" s="166"/>
      <c r="F312" s="165"/>
      <c r="G312" s="167"/>
      <c r="H312" s="166"/>
      <c r="I312" s="167"/>
      <c r="J312" s="168"/>
      <c r="K312" s="169"/>
      <c r="L312" s="165"/>
      <c r="M312" s="165"/>
      <c r="N312" s="165"/>
      <c r="O312" s="165"/>
      <c r="P312" s="165"/>
      <c r="Q312" s="165"/>
      <c r="R312" s="165"/>
      <c r="S312" s="165"/>
    </row>
    <row r="313">
      <c r="A313" s="165"/>
      <c r="B313" s="165"/>
      <c r="C313" s="165"/>
      <c r="D313" s="165"/>
      <c r="E313" s="166"/>
      <c r="F313" s="165"/>
      <c r="G313" s="167"/>
      <c r="H313" s="166"/>
      <c r="I313" s="167"/>
      <c r="J313" s="168"/>
      <c r="K313" s="169"/>
      <c r="L313" s="165"/>
      <c r="M313" s="165"/>
      <c r="N313" s="165"/>
      <c r="O313" s="165"/>
      <c r="P313" s="165"/>
      <c r="Q313" s="165"/>
      <c r="R313" s="165"/>
      <c r="S313" s="165"/>
    </row>
    <row r="314">
      <c r="A314" s="165"/>
      <c r="B314" s="165"/>
      <c r="C314" s="165"/>
      <c r="D314" s="165"/>
      <c r="E314" s="166"/>
      <c r="F314" s="165"/>
      <c r="G314" s="167"/>
      <c r="H314" s="166"/>
      <c r="I314" s="167"/>
      <c r="J314" s="168"/>
      <c r="K314" s="169"/>
      <c r="L314" s="165"/>
      <c r="M314" s="165"/>
      <c r="N314" s="165"/>
      <c r="O314" s="165"/>
      <c r="P314" s="165"/>
      <c r="Q314" s="165"/>
      <c r="R314" s="165"/>
      <c r="S314" s="165"/>
    </row>
    <row r="315">
      <c r="A315" s="165"/>
      <c r="B315" s="165"/>
      <c r="C315" s="165"/>
      <c r="D315" s="165"/>
      <c r="E315" s="166"/>
      <c r="F315" s="165"/>
      <c r="G315" s="167"/>
      <c r="H315" s="166"/>
      <c r="I315" s="167"/>
      <c r="J315" s="168"/>
      <c r="K315" s="169"/>
      <c r="L315" s="165"/>
      <c r="M315" s="165"/>
      <c r="N315" s="165"/>
      <c r="O315" s="165"/>
      <c r="P315" s="165"/>
      <c r="Q315" s="165"/>
      <c r="R315" s="165"/>
      <c r="S315" s="165"/>
    </row>
    <row r="316">
      <c r="A316" s="165"/>
      <c r="B316" s="165"/>
      <c r="C316" s="165"/>
      <c r="D316" s="165"/>
      <c r="E316" s="166"/>
      <c r="F316" s="165"/>
      <c r="G316" s="167"/>
      <c r="H316" s="166"/>
      <c r="I316" s="167"/>
      <c r="J316" s="168"/>
      <c r="K316" s="169"/>
      <c r="L316" s="165"/>
      <c r="M316" s="165"/>
      <c r="N316" s="165"/>
      <c r="O316" s="165"/>
      <c r="P316" s="165"/>
      <c r="Q316" s="165"/>
      <c r="R316" s="165"/>
      <c r="S316" s="165"/>
    </row>
    <row r="317">
      <c r="A317" s="165"/>
      <c r="B317" s="165"/>
      <c r="C317" s="165"/>
      <c r="D317" s="165"/>
      <c r="E317" s="166"/>
      <c r="F317" s="165"/>
      <c r="G317" s="167"/>
      <c r="H317" s="166"/>
      <c r="I317" s="167"/>
      <c r="J317" s="168"/>
      <c r="K317" s="169"/>
      <c r="L317" s="165"/>
      <c r="M317" s="165"/>
      <c r="N317" s="165"/>
      <c r="O317" s="165"/>
      <c r="P317" s="165"/>
      <c r="Q317" s="165"/>
      <c r="R317" s="165"/>
      <c r="S317" s="165"/>
    </row>
    <row r="318">
      <c r="A318" s="165"/>
      <c r="B318" s="165"/>
      <c r="C318" s="165"/>
      <c r="D318" s="165"/>
      <c r="E318" s="166"/>
      <c r="F318" s="165"/>
      <c r="G318" s="167"/>
      <c r="H318" s="166"/>
      <c r="I318" s="167"/>
      <c r="J318" s="168"/>
      <c r="K318" s="169"/>
      <c r="L318" s="165"/>
      <c r="M318" s="165"/>
      <c r="N318" s="165"/>
      <c r="O318" s="165"/>
      <c r="P318" s="165"/>
      <c r="Q318" s="165"/>
      <c r="R318" s="165"/>
      <c r="S318" s="165"/>
    </row>
    <row r="319">
      <c r="A319" s="165"/>
      <c r="B319" s="165"/>
      <c r="C319" s="165"/>
      <c r="D319" s="165"/>
      <c r="E319" s="166"/>
      <c r="F319" s="165"/>
      <c r="G319" s="167"/>
      <c r="H319" s="166"/>
      <c r="I319" s="167"/>
      <c r="J319" s="168"/>
      <c r="K319" s="169"/>
      <c r="L319" s="165"/>
      <c r="M319" s="165"/>
      <c r="N319" s="165"/>
      <c r="O319" s="165"/>
      <c r="P319" s="165"/>
      <c r="Q319" s="165"/>
      <c r="R319" s="165"/>
      <c r="S319" s="165"/>
    </row>
    <row r="320">
      <c r="A320" s="165"/>
      <c r="B320" s="165"/>
      <c r="C320" s="165"/>
      <c r="D320" s="165"/>
      <c r="E320" s="166"/>
      <c r="F320" s="165"/>
      <c r="G320" s="167"/>
      <c r="H320" s="166"/>
      <c r="I320" s="167"/>
      <c r="J320" s="168"/>
      <c r="K320" s="169"/>
      <c r="L320" s="165"/>
      <c r="M320" s="165"/>
      <c r="N320" s="165"/>
      <c r="O320" s="165"/>
      <c r="P320" s="165"/>
      <c r="Q320" s="165"/>
      <c r="R320" s="165"/>
      <c r="S320" s="165"/>
    </row>
    <row r="321">
      <c r="A321" s="165"/>
      <c r="B321" s="165"/>
      <c r="C321" s="165"/>
      <c r="D321" s="165"/>
      <c r="E321" s="166"/>
      <c r="F321" s="165"/>
      <c r="G321" s="167"/>
      <c r="H321" s="166"/>
      <c r="I321" s="167"/>
      <c r="J321" s="168"/>
      <c r="K321" s="169"/>
      <c r="L321" s="165"/>
      <c r="M321" s="165"/>
      <c r="N321" s="165"/>
      <c r="O321" s="165"/>
      <c r="P321" s="165"/>
      <c r="Q321" s="165"/>
      <c r="R321" s="165"/>
      <c r="S321" s="165"/>
    </row>
    <row r="322">
      <c r="A322" s="165"/>
      <c r="B322" s="165"/>
      <c r="C322" s="165"/>
      <c r="D322" s="165"/>
      <c r="E322" s="166"/>
      <c r="F322" s="165"/>
      <c r="G322" s="167"/>
      <c r="H322" s="166"/>
      <c r="I322" s="167"/>
      <c r="J322" s="168"/>
      <c r="K322" s="169"/>
      <c r="L322" s="165"/>
      <c r="M322" s="165"/>
      <c r="N322" s="165"/>
      <c r="O322" s="165"/>
      <c r="P322" s="165"/>
      <c r="Q322" s="165"/>
      <c r="R322" s="165"/>
      <c r="S322" s="165"/>
    </row>
    <row r="323">
      <c r="A323" s="165"/>
      <c r="B323" s="165"/>
      <c r="C323" s="165"/>
      <c r="D323" s="165"/>
      <c r="E323" s="166"/>
      <c r="F323" s="165"/>
      <c r="G323" s="167"/>
      <c r="H323" s="166"/>
      <c r="I323" s="167"/>
      <c r="J323" s="168"/>
      <c r="K323" s="169"/>
      <c r="L323" s="165"/>
      <c r="M323" s="165"/>
      <c r="N323" s="165"/>
      <c r="O323" s="165"/>
      <c r="P323" s="165"/>
      <c r="Q323" s="165"/>
      <c r="R323" s="165"/>
      <c r="S323" s="165"/>
    </row>
    <row r="324">
      <c r="A324" s="165"/>
      <c r="B324" s="165"/>
      <c r="C324" s="165"/>
      <c r="D324" s="165"/>
      <c r="E324" s="166"/>
      <c r="F324" s="165"/>
      <c r="G324" s="167"/>
      <c r="H324" s="166"/>
      <c r="I324" s="167"/>
      <c r="J324" s="168"/>
      <c r="K324" s="169"/>
      <c r="L324" s="165"/>
      <c r="M324" s="165"/>
      <c r="N324" s="165"/>
      <c r="O324" s="165"/>
      <c r="P324" s="165"/>
      <c r="Q324" s="165"/>
      <c r="R324" s="165"/>
      <c r="S324" s="165"/>
    </row>
    <row r="325">
      <c r="A325" s="165"/>
      <c r="B325" s="165"/>
      <c r="C325" s="165"/>
      <c r="D325" s="165"/>
      <c r="E325" s="166"/>
      <c r="F325" s="165"/>
      <c r="G325" s="167"/>
      <c r="H325" s="166"/>
      <c r="I325" s="167"/>
      <c r="J325" s="168"/>
      <c r="K325" s="169"/>
      <c r="L325" s="165"/>
      <c r="M325" s="165"/>
      <c r="N325" s="165"/>
      <c r="O325" s="165"/>
      <c r="P325" s="165"/>
      <c r="Q325" s="165"/>
      <c r="R325" s="165"/>
      <c r="S325" s="165"/>
    </row>
    <row r="326">
      <c r="A326" s="165"/>
      <c r="B326" s="165"/>
      <c r="C326" s="165"/>
      <c r="D326" s="165"/>
      <c r="E326" s="166"/>
      <c r="F326" s="165"/>
      <c r="G326" s="167"/>
      <c r="H326" s="166"/>
      <c r="I326" s="167"/>
      <c r="J326" s="168"/>
      <c r="K326" s="169"/>
      <c r="L326" s="165"/>
      <c r="M326" s="165"/>
      <c r="N326" s="165"/>
      <c r="O326" s="165"/>
      <c r="P326" s="165"/>
      <c r="Q326" s="165"/>
      <c r="R326" s="165"/>
      <c r="S326" s="165"/>
    </row>
    <row r="327">
      <c r="A327" s="165"/>
      <c r="B327" s="165"/>
      <c r="C327" s="165"/>
      <c r="D327" s="165"/>
      <c r="E327" s="166"/>
      <c r="F327" s="165"/>
      <c r="G327" s="167"/>
      <c r="H327" s="166"/>
      <c r="I327" s="167"/>
      <c r="J327" s="168"/>
      <c r="K327" s="169"/>
      <c r="L327" s="165"/>
      <c r="M327" s="165"/>
      <c r="N327" s="165"/>
      <c r="O327" s="165"/>
      <c r="P327" s="165"/>
      <c r="Q327" s="165"/>
      <c r="R327" s="165"/>
      <c r="S327" s="165"/>
    </row>
    <row r="328">
      <c r="A328" s="165"/>
      <c r="B328" s="165"/>
      <c r="C328" s="165"/>
      <c r="D328" s="165"/>
      <c r="E328" s="166"/>
      <c r="F328" s="165"/>
      <c r="G328" s="167"/>
      <c r="H328" s="166"/>
      <c r="I328" s="167"/>
      <c r="J328" s="168"/>
      <c r="K328" s="169"/>
      <c r="L328" s="165"/>
      <c r="M328" s="165"/>
      <c r="N328" s="165"/>
      <c r="O328" s="165"/>
      <c r="P328" s="165"/>
      <c r="Q328" s="165"/>
      <c r="R328" s="165"/>
      <c r="S328" s="165"/>
    </row>
    <row r="329">
      <c r="A329" s="165"/>
      <c r="B329" s="165"/>
      <c r="C329" s="165"/>
      <c r="D329" s="165"/>
      <c r="E329" s="166"/>
      <c r="F329" s="165"/>
      <c r="G329" s="167"/>
      <c r="H329" s="166"/>
      <c r="I329" s="167"/>
      <c r="J329" s="168"/>
      <c r="K329" s="169"/>
      <c r="L329" s="165"/>
      <c r="M329" s="165"/>
      <c r="N329" s="165"/>
      <c r="O329" s="165"/>
      <c r="P329" s="165"/>
      <c r="Q329" s="165"/>
      <c r="R329" s="165"/>
      <c r="S329" s="165"/>
    </row>
    <row r="330">
      <c r="A330" s="165"/>
      <c r="B330" s="165"/>
      <c r="C330" s="165"/>
      <c r="D330" s="165"/>
      <c r="E330" s="166"/>
      <c r="F330" s="165"/>
      <c r="G330" s="167"/>
      <c r="H330" s="166"/>
      <c r="I330" s="167"/>
      <c r="J330" s="168"/>
      <c r="K330" s="169"/>
      <c r="L330" s="165"/>
      <c r="M330" s="165"/>
      <c r="N330" s="165"/>
      <c r="O330" s="165"/>
      <c r="P330" s="165"/>
      <c r="Q330" s="165"/>
      <c r="R330" s="165"/>
      <c r="S330" s="165"/>
    </row>
    <row r="331">
      <c r="A331" s="165"/>
      <c r="B331" s="165"/>
      <c r="C331" s="165"/>
      <c r="D331" s="165"/>
      <c r="E331" s="166"/>
      <c r="F331" s="165"/>
      <c r="G331" s="167"/>
      <c r="H331" s="166"/>
      <c r="I331" s="167"/>
      <c r="J331" s="168"/>
      <c r="K331" s="169"/>
      <c r="L331" s="165"/>
      <c r="M331" s="165"/>
      <c r="N331" s="165"/>
      <c r="O331" s="165"/>
      <c r="P331" s="165"/>
      <c r="Q331" s="165"/>
      <c r="R331" s="165"/>
      <c r="S331" s="165"/>
    </row>
    <row r="332">
      <c r="A332" s="165"/>
      <c r="B332" s="165"/>
      <c r="C332" s="165"/>
      <c r="D332" s="165"/>
      <c r="E332" s="166"/>
      <c r="F332" s="165"/>
      <c r="G332" s="167"/>
      <c r="H332" s="166"/>
      <c r="I332" s="167"/>
      <c r="J332" s="168"/>
      <c r="K332" s="169"/>
      <c r="L332" s="165"/>
      <c r="M332" s="165"/>
      <c r="N332" s="165"/>
      <c r="O332" s="165"/>
      <c r="P332" s="165"/>
      <c r="Q332" s="165"/>
      <c r="R332" s="165"/>
      <c r="S332" s="165"/>
    </row>
    <row r="333">
      <c r="A333" s="165"/>
      <c r="B333" s="165"/>
      <c r="C333" s="165"/>
      <c r="D333" s="165"/>
      <c r="E333" s="166"/>
      <c r="F333" s="165"/>
      <c r="G333" s="167"/>
      <c r="H333" s="166"/>
      <c r="I333" s="167"/>
      <c r="J333" s="168"/>
      <c r="K333" s="169"/>
      <c r="L333" s="165"/>
      <c r="M333" s="165"/>
      <c r="N333" s="165"/>
      <c r="O333" s="165"/>
      <c r="P333" s="165"/>
      <c r="Q333" s="165"/>
      <c r="R333" s="165"/>
      <c r="S333" s="165"/>
    </row>
    <row r="334">
      <c r="A334" s="165"/>
      <c r="B334" s="165"/>
      <c r="C334" s="165"/>
      <c r="D334" s="165"/>
      <c r="E334" s="166"/>
      <c r="F334" s="165"/>
      <c r="G334" s="167"/>
      <c r="H334" s="166"/>
      <c r="I334" s="167"/>
      <c r="J334" s="168"/>
      <c r="K334" s="169"/>
      <c r="L334" s="165"/>
      <c r="M334" s="165"/>
      <c r="N334" s="165"/>
      <c r="O334" s="165"/>
      <c r="P334" s="165"/>
      <c r="Q334" s="165"/>
      <c r="R334" s="165"/>
      <c r="S334" s="165"/>
    </row>
    <row r="335">
      <c r="A335" s="165"/>
      <c r="B335" s="165"/>
      <c r="C335" s="165"/>
      <c r="D335" s="165"/>
      <c r="E335" s="166"/>
      <c r="F335" s="165"/>
      <c r="G335" s="167"/>
      <c r="H335" s="166"/>
      <c r="I335" s="167"/>
      <c r="J335" s="168"/>
      <c r="K335" s="169"/>
      <c r="L335" s="165"/>
      <c r="M335" s="165"/>
      <c r="N335" s="165"/>
      <c r="O335" s="165"/>
      <c r="P335" s="165"/>
      <c r="Q335" s="165"/>
      <c r="R335" s="165"/>
      <c r="S335" s="165"/>
    </row>
    <row r="336">
      <c r="A336" s="165"/>
      <c r="B336" s="165"/>
      <c r="C336" s="165"/>
      <c r="D336" s="165"/>
      <c r="E336" s="166"/>
      <c r="F336" s="165"/>
      <c r="G336" s="167"/>
      <c r="H336" s="166"/>
      <c r="I336" s="167"/>
      <c r="J336" s="168"/>
      <c r="K336" s="169"/>
      <c r="L336" s="165"/>
      <c r="M336" s="165"/>
      <c r="N336" s="165"/>
      <c r="O336" s="165"/>
      <c r="P336" s="165"/>
      <c r="Q336" s="165"/>
      <c r="R336" s="165"/>
      <c r="S336" s="165"/>
    </row>
    <row r="337">
      <c r="A337" s="165"/>
      <c r="B337" s="165"/>
      <c r="C337" s="165"/>
      <c r="D337" s="165"/>
      <c r="E337" s="166"/>
      <c r="F337" s="165"/>
      <c r="G337" s="167"/>
      <c r="H337" s="166"/>
      <c r="I337" s="167"/>
      <c r="J337" s="168"/>
      <c r="K337" s="169"/>
      <c r="L337" s="165"/>
      <c r="M337" s="165"/>
      <c r="N337" s="165"/>
      <c r="O337" s="165"/>
      <c r="P337" s="165"/>
      <c r="Q337" s="165"/>
      <c r="R337" s="165"/>
      <c r="S337" s="165"/>
    </row>
    <row r="338">
      <c r="A338" s="165"/>
      <c r="B338" s="165"/>
      <c r="C338" s="165"/>
      <c r="D338" s="165"/>
      <c r="E338" s="166"/>
      <c r="F338" s="165"/>
      <c r="G338" s="167"/>
      <c r="H338" s="166"/>
      <c r="I338" s="167"/>
      <c r="J338" s="168"/>
      <c r="K338" s="169"/>
      <c r="L338" s="165"/>
      <c r="M338" s="165"/>
      <c r="N338" s="165"/>
      <c r="O338" s="165"/>
      <c r="P338" s="165"/>
      <c r="Q338" s="165"/>
      <c r="R338" s="165"/>
      <c r="S338" s="165"/>
    </row>
    <row r="339">
      <c r="A339" s="165"/>
      <c r="B339" s="165"/>
      <c r="C339" s="165"/>
      <c r="D339" s="165"/>
      <c r="E339" s="166"/>
      <c r="F339" s="165"/>
      <c r="G339" s="167"/>
      <c r="H339" s="166"/>
      <c r="I339" s="167"/>
      <c r="J339" s="168"/>
      <c r="K339" s="169"/>
      <c r="L339" s="165"/>
      <c r="M339" s="165"/>
      <c r="N339" s="165"/>
      <c r="O339" s="165"/>
      <c r="P339" s="165"/>
      <c r="Q339" s="165"/>
      <c r="R339" s="165"/>
      <c r="S339" s="165"/>
    </row>
    <row r="340">
      <c r="A340" s="165"/>
      <c r="B340" s="165"/>
      <c r="C340" s="165"/>
      <c r="D340" s="165"/>
      <c r="E340" s="166"/>
      <c r="F340" s="165"/>
      <c r="G340" s="167"/>
      <c r="H340" s="166"/>
      <c r="I340" s="167"/>
      <c r="J340" s="168"/>
      <c r="K340" s="169"/>
      <c r="L340" s="165"/>
      <c r="M340" s="165"/>
      <c r="N340" s="165"/>
      <c r="O340" s="165"/>
      <c r="P340" s="165"/>
      <c r="Q340" s="165"/>
      <c r="R340" s="165"/>
      <c r="S340" s="165"/>
    </row>
    <row r="341">
      <c r="A341" s="165"/>
      <c r="B341" s="165"/>
      <c r="C341" s="165"/>
      <c r="D341" s="165"/>
      <c r="E341" s="166"/>
      <c r="F341" s="165"/>
      <c r="G341" s="167"/>
      <c r="H341" s="166"/>
      <c r="I341" s="167"/>
      <c r="J341" s="168"/>
      <c r="K341" s="169"/>
      <c r="L341" s="165"/>
      <c r="M341" s="165"/>
      <c r="N341" s="165"/>
      <c r="O341" s="165"/>
      <c r="P341" s="165"/>
      <c r="Q341" s="165"/>
      <c r="R341" s="165"/>
      <c r="S341" s="165"/>
    </row>
    <row r="342">
      <c r="A342" s="165"/>
      <c r="B342" s="165"/>
      <c r="C342" s="165"/>
      <c r="D342" s="165"/>
      <c r="E342" s="166"/>
      <c r="F342" s="165"/>
      <c r="G342" s="167"/>
      <c r="H342" s="166"/>
      <c r="I342" s="167"/>
      <c r="J342" s="168"/>
      <c r="K342" s="169"/>
      <c r="L342" s="165"/>
      <c r="M342" s="165"/>
      <c r="N342" s="165"/>
      <c r="O342" s="165"/>
      <c r="P342" s="165"/>
      <c r="Q342" s="165"/>
      <c r="R342" s="165"/>
      <c r="S342" s="165"/>
    </row>
    <row r="343">
      <c r="A343" s="165"/>
      <c r="B343" s="165"/>
      <c r="C343" s="165"/>
      <c r="D343" s="165"/>
      <c r="E343" s="166"/>
      <c r="F343" s="165"/>
      <c r="G343" s="167"/>
      <c r="H343" s="166"/>
      <c r="I343" s="167"/>
      <c r="J343" s="168"/>
      <c r="K343" s="169"/>
      <c r="L343" s="165"/>
      <c r="M343" s="165"/>
      <c r="N343" s="165"/>
      <c r="O343" s="165"/>
      <c r="P343" s="165"/>
      <c r="Q343" s="165"/>
      <c r="R343" s="165"/>
      <c r="S343" s="165"/>
    </row>
    <row r="344">
      <c r="A344" s="165"/>
      <c r="B344" s="165"/>
      <c r="C344" s="165"/>
      <c r="D344" s="165"/>
      <c r="E344" s="166"/>
      <c r="F344" s="165"/>
      <c r="G344" s="167"/>
      <c r="H344" s="166"/>
      <c r="I344" s="167"/>
      <c r="J344" s="168"/>
      <c r="K344" s="169"/>
      <c r="L344" s="165"/>
      <c r="M344" s="165"/>
      <c r="N344" s="165"/>
      <c r="O344" s="165"/>
      <c r="P344" s="165"/>
      <c r="Q344" s="165"/>
      <c r="R344" s="165"/>
      <c r="S344" s="165"/>
    </row>
    <row r="345">
      <c r="A345" s="165"/>
      <c r="B345" s="165"/>
      <c r="C345" s="165"/>
      <c r="D345" s="165"/>
      <c r="E345" s="166"/>
      <c r="F345" s="165"/>
      <c r="G345" s="167"/>
      <c r="H345" s="166"/>
      <c r="I345" s="167"/>
      <c r="J345" s="168"/>
      <c r="K345" s="169"/>
      <c r="L345" s="165"/>
      <c r="M345" s="165"/>
      <c r="N345" s="165"/>
      <c r="O345" s="165"/>
      <c r="P345" s="165"/>
      <c r="Q345" s="165"/>
      <c r="R345" s="165"/>
      <c r="S345" s="165"/>
    </row>
    <row r="346">
      <c r="A346" s="165"/>
      <c r="B346" s="165"/>
      <c r="C346" s="165"/>
      <c r="D346" s="165"/>
      <c r="E346" s="166"/>
      <c r="F346" s="165"/>
      <c r="G346" s="167"/>
      <c r="H346" s="166"/>
      <c r="I346" s="167"/>
      <c r="J346" s="168"/>
      <c r="K346" s="169"/>
      <c r="L346" s="165"/>
      <c r="M346" s="165"/>
      <c r="N346" s="165"/>
      <c r="O346" s="165"/>
      <c r="P346" s="165"/>
      <c r="Q346" s="165"/>
      <c r="R346" s="165"/>
      <c r="S346" s="165"/>
    </row>
    <row r="347">
      <c r="A347" s="165"/>
      <c r="B347" s="165"/>
      <c r="C347" s="165"/>
      <c r="D347" s="165"/>
      <c r="E347" s="166"/>
      <c r="F347" s="165"/>
      <c r="G347" s="167"/>
      <c r="H347" s="166"/>
      <c r="I347" s="167"/>
      <c r="J347" s="168"/>
      <c r="K347" s="169"/>
      <c r="L347" s="165"/>
      <c r="M347" s="165"/>
      <c r="N347" s="165"/>
      <c r="O347" s="165"/>
      <c r="P347" s="165"/>
      <c r="Q347" s="165"/>
      <c r="R347" s="165"/>
      <c r="S347" s="165"/>
    </row>
    <row r="348">
      <c r="A348" s="165"/>
      <c r="B348" s="165"/>
      <c r="C348" s="165"/>
      <c r="D348" s="165"/>
      <c r="E348" s="166"/>
      <c r="F348" s="165"/>
      <c r="G348" s="167"/>
      <c r="H348" s="166"/>
      <c r="I348" s="167"/>
      <c r="J348" s="168"/>
      <c r="K348" s="169"/>
      <c r="L348" s="165"/>
      <c r="M348" s="165"/>
      <c r="N348" s="165"/>
      <c r="O348" s="165"/>
      <c r="P348" s="165"/>
      <c r="Q348" s="165"/>
      <c r="R348" s="165"/>
      <c r="S348" s="165"/>
    </row>
    <row r="349">
      <c r="A349" s="165"/>
      <c r="B349" s="165"/>
      <c r="C349" s="165"/>
      <c r="D349" s="165"/>
      <c r="E349" s="166"/>
      <c r="F349" s="165"/>
      <c r="G349" s="167"/>
      <c r="H349" s="166"/>
      <c r="I349" s="167"/>
      <c r="J349" s="168"/>
      <c r="K349" s="169"/>
      <c r="L349" s="165"/>
      <c r="M349" s="165"/>
      <c r="N349" s="165"/>
      <c r="O349" s="165"/>
      <c r="P349" s="165"/>
      <c r="Q349" s="165"/>
      <c r="R349" s="165"/>
      <c r="S349" s="165"/>
    </row>
    <row r="350">
      <c r="A350" s="165"/>
      <c r="B350" s="165"/>
      <c r="C350" s="165"/>
      <c r="D350" s="165"/>
      <c r="E350" s="166"/>
      <c r="F350" s="165"/>
      <c r="G350" s="167"/>
      <c r="H350" s="166"/>
      <c r="I350" s="167"/>
      <c r="J350" s="168"/>
      <c r="K350" s="169"/>
      <c r="L350" s="165"/>
      <c r="M350" s="165"/>
      <c r="N350" s="165"/>
      <c r="O350" s="165"/>
      <c r="P350" s="165"/>
      <c r="Q350" s="165"/>
      <c r="R350" s="165"/>
      <c r="S350" s="165"/>
    </row>
    <row r="351">
      <c r="A351" s="165"/>
      <c r="B351" s="165"/>
      <c r="C351" s="165"/>
      <c r="D351" s="165"/>
      <c r="E351" s="166"/>
      <c r="F351" s="165"/>
      <c r="G351" s="167"/>
      <c r="H351" s="166"/>
      <c r="I351" s="167"/>
      <c r="J351" s="168"/>
      <c r="K351" s="169"/>
      <c r="L351" s="165"/>
      <c r="M351" s="165"/>
      <c r="N351" s="165"/>
      <c r="O351" s="165"/>
      <c r="P351" s="165"/>
      <c r="Q351" s="165"/>
      <c r="R351" s="165"/>
      <c r="S351" s="165"/>
    </row>
    <row r="352">
      <c r="A352" s="165"/>
      <c r="B352" s="165"/>
      <c r="C352" s="165"/>
      <c r="D352" s="165"/>
      <c r="E352" s="166"/>
      <c r="F352" s="165"/>
      <c r="G352" s="167"/>
      <c r="H352" s="166"/>
      <c r="I352" s="167"/>
      <c r="J352" s="168"/>
      <c r="K352" s="169"/>
      <c r="L352" s="165"/>
      <c r="M352" s="165"/>
      <c r="N352" s="165"/>
      <c r="O352" s="165"/>
      <c r="P352" s="165"/>
      <c r="Q352" s="165"/>
      <c r="R352" s="165"/>
      <c r="S352" s="165"/>
    </row>
    <row r="353">
      <c r="A353" s="165"/>
      <c r="B353" s="165"/>
      <c r="C353" s="165"/>
      <c r="D353" s="165"/>
      <c r="E353" s="166"/>
      <c r="F353" s="165"/>
      <c r="G353" s="167"/>
      <c r="H353" s="166"/>
      <c r="I353" s="167"/>
      <c r="J353" s="168"/>
      <c r="K353" s="169"/>
      <c r="L353" s="165"/>
      <c r="M353" s="165"/>
      <c r="N353" s="165"/>
      <c r="O353" s="165"/>
      <c r="P353" s="165"/>
      <c r="Q353" s="165"/>
      <c r="R353" s="165"/>
      <c r="S353" s="165"/>
    </row>
    <row r="354">
      <c r="A354" s="165"/>
      <c r="B354" s="165"/>
      <c r="C354" s="165"/>
      <c r="D354" s="165"/>
      <c r="E354" s="166"/>
      <c r="F354" s="165"/>
      <c r="G354" s="167"/>
      <c r="H354" s="166"/>
      <c r="I354" s="167"/>
      <c r="J354" s="168"/>
      <c r="K354" s="169"/>
      <c r="L354" s="165"/>
      <c r="M354" s="165"/>
      <c r="N354" s="165"/>
      <c r="O354" s="165"/>
      <c r="P354" s="165"/>
      <c r="Q354" s="165"/>
      <c r="R354" s="165"/>
      <c r="S354" s="165"/>
    </row>
    <row r="355">
      <c r="A355" s="165"/>
      <c r="B355" s="165"/>
      <c r="C355" s="165"/>
      <c r="D355" s="165"/>
      <c r="E355" s="166"/>
      <c r="F355" s="165"/>
      <c r="G355" s="167"/>
      <c r="H355" s="166"/>
      <c r="I355" s="167"/>
      <c r="J355" s="168"/>
      <c r="K355" s="169"/>
      <c r="L355" s="165"/>
      <c r="M355" s="165"/>
      <c r="N355" s="165"/>
      <c r="O355" s="165"/>
      <c r="P355" s="165"/>
      <c r="Q355" s="165"/>
      <c r="R355" s="165"/>
      <c r="S355" s="165"/>
    </row>
    <row r="356">
      <c r="A356" s="165"/>
      <c r="B356" s="165"/>
      <c r="C356" s="165"/>
      <c r="D356" s="165"/>
      <c r="E356" s="166"/>
      <c r="F356" s="165"/>
      <c r="G356" s="167"/>
      <c r="H356" s="166"/>
      <c r="I356" s="167"/>
      <c r="J356" s="168"/>
      <c r="K356" s="169"/>
      <c r="L356" s="165"/>
      <c r="M356" s="165"/>
      <c r="N356" s="165"/>
      <c r="O356" s="165"/>
      <c r="P356" s="165"/>
      <c r="Q356" s="165"/>
      <c r="R356" s="165"/>
      <c r="S356" s="165"/>
    </row>
    <row r="357">
      <c r="A357" s="165"/>
      <c r="B357" s="165"/>
      <c r="C357" s="165"/>
      <c r="D357" s="165"/>
      <c r="E357" s="166"/>
      <c r="F357" s="165"/>
      <c r="G357" s="167"/>
      <c r="H357" s="166"/>
      <c r="I357" s="167"/>
      <c r="J357" s="168"/>
      <c r="K357" s="169"/>
      <c r="L357" s="165"/>
      <c r="M357" s="165"/>
      <c r="N357" s="165"/>
      <c r="O357" s="165"/>
      <c r="P357" s="165"/>
      <c r="Q357" s="165"/>
      <c r="R357" s="165"/>
      <c r="S357" s="165"/>
    </row>
    <row r="358">
      <c r="A358" s="165"/>
      <c r="B358" s="165"/>
      <c r="C358" s="165"/>
      <c r="D358" s="165"/>
      <c r="E358" s="166"/>
      <c r="F358" s="165"/>
      <c r="G358" s="167"/>
      <c r="H358" s="166"/>
      <c r="I358" s="167"/>
      <c r="J358" s="168"/>
      <c r="K358" s="169"/>
      <c r="L358" s="165"/>
      <c r="M358" s="165"/>
      <c r="N358" s="165"/>
      <c r="O358" s="165"/>
      <c r="P358" s="165"/>
      <c r="Q358" s="165"/>
      <c r="R358" s="165"/>
      <c r="S358" s="165"/>
    </row>
    <row r="359">
      <c r="A359" s="165"/>
      <c r="B359" s="165"/>
      <c r="C359" s="165"/>
      <c r="D359" s="165"/>
      <c r="E359" s="166"/>
      <c r="F359" s="165"/>
      <c r="G359" s="167"/>
      <c r="H359" s="166"/>
      <c r="I359" s="167"/>
      <c r="J359" s="168"/>
      <c r="K359" s="169"/>
      <c r="L359" s="165"/>
      <c r="M359" s="165"/>
      <c r="N359" s="165"/>
      <c r="O359" s="165"/>
      <c r="P359" s="165"/>
      <c r="Q359" s="165"/>
      <c r="R359" s="165"/>
      <c r="S359" s="165"/>
    </row>
    <row r="360">
      <c r="A360" s="165"/>
      <c r="B360" s="165"/>
      <c r="C360" s="165"/>
      <c r="D360" s="165"/>
      <c r="E360" s="166"/>
      <c r="F360" s="165"/>
      <c r="G360" s="167"/>
      <c r="H360" s="166"/>
      <c r="I360" s="167"/>
      <c r="J360" s="168"/>
      <c r="K360" s="169"/>
      <c r="L360" s="165"/>
      <c r="M360" s="165"/>
      <c r="N360" s="165"/>
      <c r="O360" s="165"/>
      <c r="P360" s="165"/>
      <c r="Q360" s="165"/>
      <c r="R360" s="165"/>
      <c r="S360" s="165"/>
    </row>
    <row r="361">
      <c r="A361" s="165"/>
      <c r="B361" s="165"/>
      <c r="C361" s="165"/>
      <c r="D361" s="165"/>
      <c r="E361" s="166"/>
      <c r="F361" s="165"/>
      <c r="G361" s="167"/>
      <c r="H361" s="166"/>
      <c r="I361" s="167"/>
      <c r="J361" s="168"/>
      <c r="K361" s="169"/>
      <c r="L361" s="165"/>
      <c r="M361" s="165"/>
      <c r="N361" s="165"/>
      <c r="O361" s="165"/>
      <c r="P361" s="165"/>
      <c r="Q361" s="165"/>
      <c r="R361" s="165"/>
      <c r="S361" s="165"/>
    </row>
    <row r="362">
      <c r="A362" s="165"/>
      <c r="B362" s="165"/>
      <c r="C362" s="165"/>
      <c r="D362" s="165"/>
      <c r="E362" s="166"/>
      <c r="F362" s="165"/>
      <c r="G362" s="167"/>
      <c r="H362" s="166"/>
      <c r="I362" s="167"/>
      <c r="J362" s="168"/>
      <c r="K362" s="169"/>
      <c r="L362" s="165"/>
      <c r="M362" s="165"/>
      <c r="N362" s="165"/>
      <c r="O362" s="165"/>
      <c r="P362" s="165"/>
      <c r="Q362" s="165"/>
      <c r="R362" s="165"/>
      <c r="S362" s="165"/>
    </row>
    <row r="363">
      <c r="A363" s="165"/>
      <c r="B363" s="165"/>
      <c r="C363" s="165"/>
      <c r="D363" s="165"/>
      <c r="E363" s="166"/>
      <c r="F363" s="165"/>
      <c r="G363" s="167"/>
      <c r="H363" s="166"/>
      <c r="I363" s="167"/>
      <c r="J363" s="168"/>
      <c r="K363" s="169"/>
      <c r="L363" s="165"/>
      <c r="M363" s="165"/>
      <c r="N363" s="165"/>
      <c r="O363" s="165"/>
      <c r="P363" s="165"/>
      <c r="Q363" s="165"/>
      <c r="R363" s="165"/>
      <c r="S363" s="165"/>
    </row>
    <row r="364">
      <c r="A364" s="165"/>
      <c r="B364" s="165"/>
      <c r="C364" s="165"/>
      <c r="D364" s="165"/>
      <c r="E364" s="166"/>
      <c r="F364" s="165"/>
      <c r="G364" s="167"/>
      <c r="H364" s="166"/>
      <c r="I364" s="167"/>
      <c r="J364" s="168"/>
      <c r="K364" s="169"/>
      <c r="L364" s="165"/>
      <c r="M364" s="165"/>
      <c r="N364" s="165"/>
      <c r="O364" s="165"/>
      <c r="P364" s="165"/>
      <c r="Q364" s="165"/>
      <c r="R364" s="165"/>
      <c r="S364" s="165"/>
    </row>
    <row r="365">
      <c r="A365" s="165"/>
      <c r="B365" s="165"/>
      <c r="C365" s="165"/>
      <c r="D365" s="165"/>
      <c r="E365" s="166"/>
      <c r="F365" s="165"/>
      <c r="G365" s="167"/>
      <c r="H365" s="166"/>
      <c r="I365" s="167"/>
      <c r="J365" s="168"/>
      <c r="K365" s="169"/>
      <c r="L365" s="165"/>
      <c r="M365" s="165"/>
      <c r="N365" s="165"/>
      <c r="O365" s="165"/>
      <c r="P365" s="165"/>
      <c r="Q365" s="165"/>
      <c r="R365" s="165"/>
      <c r="S365" s="165"/>
    </row>
    <row r="366">
      <c r="A366" s="165"/>
      <c r="B366" s="165"/>
      <c r="C366" s="165"/>
      <c r="D366" s="165"/>
      <c r="E366" s="166"/>
      <c r="F366" s="165"/>
      <c r="G366" s="167"/>
      <c r="H366" s="166"/>
      <c r="I366" s="167"/>
      <c r="J366" s="168"/>
      <c r="K366" s="169"/>
      <c r="L366" s="165"/>
      <c r="M366" s="165"/>
      <c r="N366" s="165"/>
      <c r="O366" s="165"/>
      <c r="P366" s="165"/>
      <c r="Q366" s="165"/>
      <c r="R366" s="165"/>
      <c r="S366" s="165"/>
    </row>
    <row r="367">
      <c r="A367" s="165"/>
      <c r="B367" s="165"/>
      <c r="C367" s="165"/>
      <c r="D367" s="165"/>
      <c r="E367" s="166"/>
      <c r="F367" s="165"/>
      <c r="G367" s="167"/>
      <c r="H367" s="166"/>
      <c r="I367" s="167"/>
      <c r="J367" s="168"/>
      <c r="K367" s="169"/>
      <c r="L367" s="165"/>
      <c r="M367" s="165"/>
      <c r="N367" s="165"/>
      <c r="O367" s="165"/>
      <c r="P367" s="165"/>
      <c r="Q367" s="165"/>
      <c r="R367" s="165"/>
      <c r="S367" s="165"/>
    </row>
    <row r="368">
      <c r="A368" s="165"/>
      <c r="B368" s="165"/>
      <c r="C368" s="165"/>
      <c r="D368" s="165"/>
      <c r="E368" s="166"/>
      <c r="F368" s="165"/>
      <c r="G368" s="167"/>
      <c r="H368" s="166"/>
      <c r="I368" s="167"/>
      <c r="J368" s="168"/>
      <c r="K368" s="169"/>
      <c r="L368" s="165"/>
      <c r="M368" s="165"/>
      <c r="N368" s="165"/>
      <c r="O368" s="165"/>
      <c r="P368" s="165"/>
      <c r="Q368" s="165"/>
      <c r="R368" s="165"/>
      <c r="S368" s="165"/>
    </row>
    <row r="369">
      <c r="A369" s="165"/>
      <c r="B369" s="165"/>
      <c r="C369" s="165"/>
      <c r="D369" s="165"/>
      <c r="E369" s="166"/>
      <c r="F369" s="165"/>
      <c r="G369" s="167"/>
      <c r="H369" s="166"/>
      <c r="I369" s="167"/>
      <c r="J369" s="168"/>
      <c r="K369" s="169"/>
      <c r="L369" s="165"/>
      <c r="M369" s="165"/>
      <c r="N369" s="165"/>
      <c r="O369" s="165"/>
      <c r="P369" s="165"/>
      <c r="Q369" s="165"/>
      <c r="R369" s="165"/>
      <c r="S369" s="165"/>
    </row>
    <row r="370">
      <c r="A370" s="165"/>
      <c r="B370" s="165"/>
      <c r="C370" s="165"/>
      <c r="D370" s="165"/>
      <c r="E370" s="166"/>
      <c r="F370" s="165"/>
      <c r="G370" s="167"/>
      <c r="H370" s="166"/>
      <c r="I370" s="167"/>
      <c r="J370" s="168"/>
      <c r="K370" s="169"/>
      <c r="L370" s="165"/>
      <c r="M370" s="165"/>
      <c r="N370" s="165"/>
      <c r="O370" s="165"/>
      <c r="P370" s="165"/>
      <c r="Q370" s="165"/>
      <c r="R370" s="165"/>
      <c r="S370" s="165"/>
    </row>
    <row r="371">
      <c r="A371" s="165"/>
      <c r="B371" s="165"/>
      <c r="C371" s="165"/>
      <c r="D371" s="165"/>
      <c r="E371" s="166"/>
      <c r="F371" s="165"/>
      <c r="G371" s="167"/>
      <c r="H371" s="166"/>
      <c r="I371" s="167"/>
      <c r="J371" s="168"/>
      <c r="K371" s="169"/>
      <c r="L371" s="165"/>
      <c r="M371" s="165"/>
      <c r="N371" s="165"/>
      <c r="O371" s="165"/>
      <c r="P371" s="165"/>
      <c r="Q371" s="165"/>
      <c r="R371" s="165"/>
      <c r="S371" s="165"/>
    </row>
    <row r="372">
      <c r="A372" s="165"/>
      <c r="B372" s="165"/>
      <c r="C372" s="165"/>
      <c r="D372" s="165"/>
      <c r="E372" s="166"/>
      <c r="F372" s="165"/>
      <c r="G372" s="167"/>
      <c r="H372" s="166"/>
      <c r="I372" s="167"/>
      <c r="J372" s="168"/>
      <c r="K372" s="169"/>
      <c r="L372" s="165"/>
      <c r="M372" s="165"/>
      <c r="N372" s="165"/>
      <c r="O372" s="165"/>
      <c r="P372" s="165"/>
      <c r="Q372" s="165"/>
      <c r="R372" s="165"/>
      <c r="S372" s="165"/>
    </row>
    <row r="373">
      <c r="A373" s="165"/>
      <c r="B373" s="165"/>
      <c r="C373" s="165"/>
      <c r="D373" s="165"/>
      <c r="E373" s="166"/>
      <c r="F373" s="165"/>
      <c r="G373" s="167"/>
      <c r="H373" s="166"/>
      <c r="I373" s="167"/>
      <c r="J373" s="168"/>
      <c r="K373" s="169"/>
      <c r="L373" s="165"/>
      <c r="M373" s="165"/>
      <c r="N373" s="165"/>
      <c r="O373" s="165"/>
      <c r="P373" s="165"/>
      <c r="Q373" s="165"/>
      <c r="R373" s="165"/>
      <c r="S373" s="165"/>
    </row>
    <row r="374">
      <c r="A374" s="165"/>
      <c r="B374" s="165"/>
      <c r="C374" s="165"/>
      <c r="D374" s="165"/>
      <c r="E374" s="166"/>
      <c r="F374" s="165"/>
      <c r="G374" s="167"/>
      <c r="H374" s="166"/>
      <c r="I374" s="167"/>
      <c r="J374" s="168"/>
      <c r="K374" s="169"/>
      <c r="L374" s="165"/>
      <c r="M374" s="165"/>
      <c r="N374" s="165"/>
      <c r="O374" s="165"/>
      <c r="P374" s="165"/>
      <c r="Q374" s="165"/>
      <c r="R374" s="165"/>
      <c r="S374" s="165"/>
    </row>
    <row r="375">
      <c r="A375" s="165"/>
      <c r="B375" s="165"/>
      <c r="C375" s="165"/>
      <c r="D375" s="165"/>
      <c r="E375" s="166"/>
      <c r="F375" s="165"/>
      <c r="G375" s="167"/>
      <c r="H375" s="166"/>
      <c r="I375" s="167"/>
      <c r="J375" s="168"/>
      <c r="K375" s="169"/>
      <c r="L375" s="165"/>
      <c r="M375" s="165"/>
      <c r="N375" s="165"/>
      <c r="O375" s="165"/>
      <c r="P375" s="165"/>
      <c r="Q375" s="165"/>
      <c r="R375" s="165"/>
      <c r="S375" s="165"/>
    </row>
    <row r="376">
      <c r="A376" s="165"/>
      <c r="B376" s="165"/>
      <c r="C376" s="165"/>
      <c r="D376" s="165"/>
      <c r="E376" s="166"/>
      <c r="F376" s="165"/>
      <c r="G376" s="167"/>
      <c r="H376" s="166"/>
      <c r="I376" s="167"/>
      <c r="J376" s="168"/>
      <c r="K376" s="169"/>
      <c r="L376" s="165"/>
      <c r="M376" s="165"/>
      <c r="N376" s="165"/>
      <c r="O376" s="165"/>
      <c r="P376" s="165"/>
      <c r="Q376" s="165"/>
      <c r="R376" s="165"/>
      <c r="S376" s="165"/>
    </row>
    <row r="377">
      <c r="A377" s="165"/>
      <c r="B377" s="165"/>
      <c r="C377" s="165"/>
      <c r="D377" s="165"/>
      <c r="E377" s="166"/>
      <c r="F377" s="165"/>
      <c r="G377" s="167"/>
      <c r="H377" s="166"/>
      <c r="I377" s="167"/>
      <c r="J377" s="168"/>
      <c r="K377" s="169"/>
      <c r="L377" s="165"/>
      <c r="M377" s="165"/>
      <c r="N377" s="165"/>
      <c r="O377" s="165"/>
      <c r="P377" s="165"/>
      <c r="Q377" s="165"/>
      <c r="R377" s="165"/>
      <c r="S377" s="165"/>
    </row>
    <row r="378">
      <c r="A378" s="165"/>
      <c r="B378" s="165"/>
      <c r="C378" s="165"/>
      <c r="D378" s="165"/>
      <c r="E378" s="166"/>
      <c r="F378" s="165"/>
      <c r="G378" s="167"/>
      <c r="H378" s="166"/>
      <c r="I378" s="167"/>
      <c r="J378" s="168"/>
      <c r="K378" s="169"/>
      <c r="L378" s="165"/>
      <c r="M378" s="165"/>
      <c r="N378" s="165"/>
      <c r="O378" s="165"/>
      <c r="P378" s="165"/>
      <c r="Q378" s="165"/>
      <c r="R378" s="165"/>
      <c r="S378" s="165"/>
    </row>
    <row r="379">
      <c r="A379" s="165"/>
      <c r="B379" s="165"/>
      <c r="C379" s="165"/>
      <c r="D379" s="165"/>
      <c r="E379" s="166"/>
      <c r="F379" s="165"/>
      <c r="G379" s="167"/>
      <c r="H379" s="166"/>
      <c r="I379" s="167"/>
      <c r="J379" s="168"/>
      <c r="K379" s="169"/>
      <c r="L379" s="165"/>
      <c r="M379" s="165"/>
      <c r="N379" s="165"/>
      <c r="O379" s="165"/>
      <c r="P379" s="165"/>
      <c r="Q379" s="165"/>
      <c r="R379" s="165"/>
      <c r="S379" s="165"/>
    </row>
    <row r="380">
      <c r="A380" s="165"/>
      <c r="B380" s="165"/>
      <c r="C380" s="165"/>
      <c r="D380" s="165"/>
      <c r="E380" s="166"/>
      <c r="F380" s="165"/>
      <c r="G380" s="167"/>
      <c r="H380" s="166"/>
      <c r="I380" s="167"/>
      <c r="J380" s="168"/>
      <c r="K380" s="169"/>
      <c r="L380" s="165"/>
      <c r="M380" s="165"/>
      <c r="N380" s="165"/>
      <c r="O380" s="165"/>
      <c r="P380" s="165"/>
      <c r="Q380" s="165"/>
      <c r="R380" s="165"/>
      <c r="S380" s="165"/>
    </row>
    <row r="381">
      <c r="A381" s="165"/>
      <c r="B381" s="165"/>
      <c r="C381" s="165"/>
      <c r="D381" s="165"/>
      <c r="E381" s="166"/>
      <c r="F381" s="165"/>
      <c r="G381" s="167"/>
      <c r="H381" s="166"/>
      <c r="I381" s="167"/>
      <c r="J381" s="168"/>
      <c r="K381" s="169"/>
      <c r="L381" s="165"/>
      <c r="M381" s="165"/>
      <c r="N381" s="165"/>
      <c r="O381" s="165"/>
      <c r="P381" s="165"/>
      <c r="Q381" s="165"/>
      <c r="R381" s="165"/>
      <c r="S381" s="165"/>
    </row>
    <row r="382">
      <c r="A382" s="165"/>
      <c r="B382" s="165"/>
      <c r="C382" s="165"/>
      <c r="D382" s="165"/>
      <c r="E382" s="166"/>
      <c r="F382" s="165"/>
      <c r="G382" s="167"/>
      <c r="H382" s="166"/>
      <c r="I382" s="167"/>
      <c r="J382" s="168"/>
      <c r="K382" s="169"/>
      <c r="L382" s="165"/>
      <c r="M382" s="165"/>
      <c r="N382" s="165"/>
      <c r="O382" s="165"/>
      <c r="P382" s="165"/>
      <c r="Q382" s="165"/>
      <c r="R382" s="165"/>
      <c r="S382" s="165"/>
    </row>
    <row r="383">
      <c r="A383" s="165"/>
      <c r="B383" s="165"/>
      <c r="C383" s="165"/>
      <c r="D383" s="165"/>
      <c r="E383" s="166"/>
      <c r="F383" s="165"/>
      <c r="G383" s="167"/>
      <c r="H383" s="166"/>
      <c r="I383" s="167"/>
      <c r="J383" s="168"/>
      <c r="K383" s="169"/>
      <c r="L383" s="165"/>
      <c r="M383" s="165"/>
      <c r="N383" s="165"/>
      <c r="O383" s="165"/>
      <c r="P383" s="165"/>
      <c r="Q383" s="165"/>
      <c r="R383" s="165"/>
      <c r="S383" s="165"/>
    </row>
    <row r="384">
      <c r="A384" s="165"/>
      <c r="B384" s="165"/>
      <c r="C384" s="165"/>
      <c r="D384" s="165"/>
      <c r="E384" s="166"/>
      <c r="F384" s="165"/>
      <c r="G384" s="167"/>
      <c r="H384" s="166"/>
      <c r="I384" s="167"/>
      <c r="J384" s="168"/>
      <c r="K384" s="169"/>
      <c r="L384" s="165"/>
      <c r="M384" s="165"/>
      <c r="N384" s="165"/>
      <c r="O384" s="165"/>
      <c r="P384" s="165"/>
      <c r="Q384" s="165"/>
      <c r="R384" s="165"/>
      <c r="S384" s="165"/>
    </row>
    <row r="385">
      <c r="A385" s="165"/>
      <c r="B385" s="165"/>
      <c r="C385" s="165"/>
      <c r="D385" s="165"/>
      <c r="E385" s="166"/>
      <c r="F385" s="165"/>
      <c r="G385" s="167"/>
      <c r="H385" s="166"/>
      <c r="I385" s="167"/>
      <c r="J385" s="168"/>
      <c r="K385" s="169"/>
      <c r="L385" s="165"/>
      <c r="M385" s="165"/>
      <c r="N385" s="165"/>
      <c r="O385" s="165"/>
      <c r="P385" s="165"/>
      <c r="Q385" s="165"/>
      <c r="R385" s="165"/>
      <c r="S385" s="165"/>
    </row>
    <row r="386">
      <c r="A386" s="165"/>
      <c r="B386" s="165"/>
      <c r="C386" s="165"/>
      <c r="D386" s="165"/>
      <c r="E386" s="166"/>
      <c r="F386" s="165"/>
      <c r="G386" s="167"/>
      <c r="H386" s="166"/>
      <c r="I386" s="167"/>
      <c r="J386" s="168"/>
      <c r="K386" s="169"/>
      <c r="L386" s="165"/>
      <c r="M386" s="165"/>
      <c r="N386" s="165"/>
      <c r="O386" s="165"/>
      <c r="P386" s="165"/>
      <c r="Q386" s="165"/>
      <c r="R386" s="165"/>
      <c r="S386" s="165"/>
    </row>
    <row r="387">
      <c r="A387" s="165"/>
      <c r="B387" s="165"/>
      <c r="C387" s="165"/>
      <c r="D387" s="165"/>
      <c r="E387" s="166"/>
      <c r="F387" s="165"/>
      <c r="G387" s="167"/>
      <c r="H387" s="166"/>
      <c r="I387" s="167"/>
      <c r="J387" s="168"/>
      <c r="K387" s="169"/>
      <c r="L387" s="165"/>
      <c r="M387" s="165"/>
      <c r="N387" s="165"/>
      <c r="O387" s="165"/>
      <c r="P387" s="165"/>
      <c r="Q387" s="165"/>
      <c r="R387" s="165"/>
      <c r="S387" s="165"/>
    </row>
    <row r="388">
      <c r="A388" s="165"/>
      <c r="B388" s="165"/>
      <c r="C388" s="165"/>
      <c r="D388" s="165"/>
      <c r="E388" s="166"/>
      <c r="F388" s="165"/>
      <c r="G388" s="167"/>
      <c r="H388" s="166"/>
      <c r="I388" s="167"/>
      <c r="J388" s="168"/>
      <c r="K388" s="169"/>
      <c r="L388" s="165"/>
      <c r="M388" s="165"/>
      <c r="N388" s="165"/>
      <c r="O388" s="165"/>
      <c r="P388" s="165"/>
      <c r="Q388" s="165"/>
      <c r="R388" s="165"/>
      <c r="S388" s="165"/>
    </row>
    <row r="389">
      <c r="A389" s="165"/>
      <c r="B389" s="165"/>
      <c r="C389" s="165"/>
      <c r="D389" s="165"/>
      <c r="E389" s="166"/>
      <c r="F389" s="165"/>
      <c r="G389" s="167"/>
      <c r="H389" s="166"/>
      <c r="I389" s="167"/>
      <c r="J389" s="168"/>
      <c r="K389" s="169"/>
      <c r="L389" s="165"/>
      <c r="M389" s="165"/>
      <c r="N389" s="165"/>
      <c r="O389" s="165"/>
      <c r="P389" s="165"/>
      <c r="Q389" s="165"/>
      <c r="R389" s="165"/>
      <c r="S389" s="165"/>
    </row>
    <row r="390">
      <c r="A390" s="165"/>
      <c r="B390" s="165"/>
      <c r="C390" s="165"/>
      <c r="D390" s="165"/>
      <c r="E390" s="166"/>
      <c r="F390" s="165"/>
      <c r="G390" s="167"/>
      <c r="H390" s="166"/>
      <c r="I390" s="167"/>
      <c r="J390" s="168"/>
      <c r="K390" s="169"/>
      <c r="L390" s="165"/>
      <c r="M390" s="165"/>
      <c r="N390" s="165"/>
      <c r="O390" s="165"/>
      <c r="P390" s="165"/>
      <c r="Q390" s="165"/>
      <c r="R390" s="165"/>
      <c r="S390" s="165"/>
    </row>
    <row r="391">
      <c r="A391" s="165"/>
      <c r="B391" s="165"/>
      <c r="C391" s="165"/>
      <c r="D391" s="165"/>
      <c r="E391" s="166"/>
      <c r="F391" s="165"/>
      <c r="G391" s="167"/>
      <c r="H391" s="166"/>
      <c r="I391" s="167"/>
      <c r="J391" s="168"/>
      <c r="K391" s="169"/>
      <c r="L391" s="165"/>
      <c r="M391" s="165"/>
      <c r="N391" s="165"/>
      <c r="O391" s="165"/>
      <c r="P391" s="165"/>
      <c r="Q391" s="165"/>
      <c r="R391" s="165"/>
      <c r="S391" s="165"/>
    </row>
    <row r="392">
      <c r="A392" s="165"/>
      <c r="B392" s="165"/>
      <c r="C392" s="165"/>
      <c r="D392" s="165"/>
      <c r="E392" s="166"/>
      <c r="F392" s="165"/>
      <c r="G392" s="167"/>
      <c r="H392" s="166"/>
      <c r="I392" s="167"/>
      <c r="J392" s="168"/>
      <c r="K392" s="169"/>
      <c r="L392" s="165"/>
      <c r="M392" s="165"/>
      <c r="N392" s="165"/>
      <c r="O392" s="165"/>
      <c r="P392" s="165"/>
      <c r="Q392" s="165"/>
      <c r="R392" s="165"/>
      <c r="S392" s="165"/>
    </row>
    <row r="393">
      <c r="A393" s="165"/>
      <c r="B393" s="165"/>
      <c r="C393" s="165"/>
      <c r="D393" s="165"/>
      <c r="E393" s="166"/>
      <c r="F393" s="165"/>
      <c r="G393" s="167"/>
      <c r="H393" s="166"/>
      <c r="I393" s="167"/>
      <c r="J393" s="168"/>
      <c r="K393" s="169"/>
      <c r="L393" s="165"/>
      <c r="M393" s="165"/>
      <c r="N393" s="165"/>
      <c r="O393" s="165"/>
      <c r="P393" s="165"/>
      <c r="Q393" s="165"/>
      <c r="R393" s="165"/>
      <c r="S393" s="165"/>
    </row>
    <row r="394">
      <c r="A394" s="165"/>
      <c r="B394" s="165"/>
      <c r="C394" s="165"/>
      <c r="D394" s="165"/>
      <c r="E394" s="166"/>
      <c r="F394" s="165"/>
      <c r="G394" s="167"/>
      <c r="H394" s="166"/>
      <c r="I394" s="167"/>
      <c r="J394" s="168"/>
      <c r="K394" s="169"/>
      <c r="L394" s="165"/>
      <c r="M394" s="165"/>
      <c r="N394" s="165"/>
      <c r="O394" s="165"/>
      <c r="P394" s="165"/>
      <c r="Q394" s="165"/>
      <c r="R394" s="165"/>
      <c r="S394" s="165"/>
    </row>
    <row r="395">
      <c r="A395" s="165"/>
      <c r="B395" s="165"/>
      <c r="C395" s="165"/>
      <c r="D395" s="165"/>
      <c r="E395" s="166"/>
      <c r="F395" s="165"/>
      <c r="G395" s="167"/>
      <c r="H395" s="166"/>
      <c r="I395" s="167"/>
      <c r="J395" s="168"/>
      <c r="K395" s="169"/>
      <c r="L395" s="165"/>
      <c r="M395" s="165"/>
      <c r="N395" s="165"/>
      <c r="O395" s="165"/>
      <c r="P395" s="165"/>
      <c r="Q395" s="165"/>
      <c r="R395" s="165"/>
      <c r="S395" s="165"/>
    </row>
    <row r="396">
      <c r="A396" s="165"/>
      <c r="B396" s="165"/>
      <c r="C396" s="165"/>
      <c r="D396" s="165"/>
      <c r="E396" s="166"/>
      <c r="F396" s="165"/>
      <c r="G396" s="167"/>
      <c r="H396" s="166"/>
      <c r="I396" s="167"/>
      <c r="J396" s="168"/>
      <c r="K396" s="169"/>
      <c r="L396" s="165"/>
      <c r="M396" s="165"/>
      <c r="N396" s="165"/>
      <c r="O396" s="165"/>
      <c r="P396" s="165"/>
      <c r="Q396" s="165"/>
      <c r="R396" s="165"/>
      <c r="S396" s="165"/>
    </row>
    <row r="397">
      <c r="A397" s="165"/>
      <c r="B397" s="165"/>
      <c r="C397" s="165"/>
      <c r="D397" s="165"/>
      <c r="E397" s="166"/>
      <c r="F397" s="165"/>
      <c r="G397" s="167"/>
      <c r="H397" s="166"/>
      <c r="I397" s="167"/>
      <c r="J397" s="168"/>
      <c r="K397" s="169"/>
      <c r="L397" s="165"/>
      <c r="M397" s="165"/>
      <c r="N397" s="165"/>
      <c r="O397" s="165"/>
      <c r="P397" s="165"/>
      <c r="Q397" s="165"/>
      <c r="R397" s="165"/>
      <c r="S397" s="165"/>
    </row>
    <row r="398">
      <c r="A398" s="165"/>
      <c r="B398" s="165"/>
      <c r="C398" s="165"/>
      <c r="D398" s="165"/>
      <c r="E398" s="166"/>
      <c r="F398" s="165"/>
      <c r="G398" s="167"/>
      <c r="H398" s="166"/>
      <c r="I398" s="167"/>
      <c r="J398" s="168"/>
      <c r="K398" s="169"/>
      <c r="L398" s="165"/>
      <c r="M398" s="165"/>
      <c r="N398" s="165"/>
      <c r="O398" s="165"/>
      <c r="P398" s="165"/>
      <c r="Q398" s="165"/>
      <c r="R398" s="165"/>
      <c r="S398" s="165"/>
    </row>
    <row r="399">
      <c r="A399" s="165"/>
      <c r="B399" s="165"/>
      <c r="C399" s="165"/>
      <c r="D399" s="165"/>
      <c r="E399" s="166"/>
      <c r="F399" s="165"/>
      <c r="G399" s="167"/>
      <c r="H399" s="166"/>
      <c r="I399" s="167"/>
      <c r="J399" s="168"/>
      <c r="K399" s="169"/>
      <c r="L399" s="165"/>
      <c r="M399" s="165"/>
      <c r="N399" s="165"/>
      <c r="O399" s="165"/>
      <c r="P399" s="165"/>
      <c r="Q399" s="165"/>
      <c r="R399" s="165"/>
      <c r="S399" s="165"/>
    </row>
    <row r="400">
      <c r="A400" s="165"/>
      <c r="B400" s="165"/>
      <c r="C400" s="165"/>
      <c r="D400" s="165"/>
      <c r="E400" s="166"/>
      <c r="F400" s="165"/>
      <c r="G400" s="167"/>
      <c r="H400" s="166"/>
      <c r="I400" s="167"/>
      <c r="J400" s="168"/>
      <c r="K400" s="169"/>
      <c r="L400" s="165"/>
      <c r="M400" s="165"/>
      <c r="N400" s="165"/>
      <c r="O400" s="165"/>
      <c r="P400" s="165"/>
      <c r="Q400" s="165"/>
      <c r="R400" s="165"/>
      <c r="S400" s="165"/>
    </row>
    <row r="401">
      <c r="A401" s="165"/>
      <c r="B401" s="165"/>
      <c r="C401" s="165"/>
      <c r="D401" s="165"/>
      <c r="E401" s="166"/>
      <c r="F401" s="165"/>
      <c r="G401" s="167"/>
      <c r="H401" s="166"/>
      <c r="I401" s="167"/>
      <c r="J401" s="168"/>
      <c r="K401" s="169"/>
      <c r="L401" s="165"/>
      <c r="M401" s="165"/>
      <c r="N401" s="165"/>
      <c r="O401" s="165"/>
      <c r="P401" s="165"/>
      <c r="Q401" s="165"/>
      <c r="R401" s="165"/>
      <c r="S401" s="165"/>
    </row>
    <row r="402">
      <c r="A402" s="165"/>
      <c r="B402" s="165"/>
      <c r="C402" s="165"/>
      <c r="D402" s="165"/>
      <c r="E402" s="166"/>
      <c r="F402" s="165"/>
      <c r="G402" s="167"/>
      <c r="H402" s="166"/>
      <c r="I402" s="167"/>
      <c r="J402" s="168"/>
      <c r="K402" s="169"/>
      <c r="L402" s="165"/>
      <c r="M402" s="165"/>
      <c r="N402" s="165"/>
      <c r="O402" s="165"/>
      <c r="P402" s="165"/>
      <c r="Q402" s="165"/>
      <c r="R402" s="165"/>
      <c r="S402" s="165"/>
    </row>
    <row r="403">
      <c r="A403" s="165"/>
      <c r="B403" s="165"/>
      <c r="C403" s="165"/>
      <c r="D403" s="165"/>
      <c r="E403" s="166"/>
      <c r="F403" s="165"/>
      <c r="G403" s="167"/>
      <c r="H403" s="166"/>
      <c r="I403" s="167"/>
      <c r="J403" s="168"/>
      <c r="K403" s="169"/>
      <c r="L403" s="165"/>
      <c r="M403" s="165"/>
      <c r="N403" s="165"/>
      <c r="O403" s="165"/>
      <c r="P403" s="165"/>
      <c r="Q403" s="165"/>
      <c r="R403" s="165"/>
      <c r="S403" s="165"/>
    </row>
    <row r="404">
      <c r="A404" s="165"/>
      <c r="B404" s="165"/>
      <c r="C404" s="165"/>
      <c r="D404" s="165"/>
      <c r="E404" s="166"/>
      <c r="F404" s="165"/>
      <c r="G404" s="167"/>
      <c r="H404" s="166"/>
      <c r="I404" s="167"/>
      <c r="J404" s="168"/>
      <c r="K404" s="169"/>
      <c r="L404" s="165"/>
      <c r="M404" s="165"/>
      <c r="N404" s="165"/>
      <c r="O404" s="165"/>
      <c r="P404" s="165"/>
      <c r="Q404" s="165"/>
      <c r="R404" s="165"/>
      <c r="S404" s="165"/>
    </row>
    <row r="405">
      <c r="A405" s="165"/>
      <c r="B405" s="165"/>
      <c r="C405" s="165"/>
      <c r="D405" s="165"/>
      <c r="E405" s="166"/>
      <c r="F405" s="165"/>
      <c r="G405" s="167"/>
      <c r="H405" s="166"/>
      <c r="I405" s="167"/>
      <c r="J405" s="168"/>
      <c r="K405" s="169"/>
      <c r="L405" s="165"/>
      <c r="M405" s="165"/>
      <c r="N405" s="165"/>
      <c r="O405" s="165"/>
      <c r="P405" s="165"/>
      <c r="Q405" s="165"/>
      <c r="R405" s="165"/>
      <c r="S405" s="165"/>
    </row>
    <row r="406">
      <c r="A406" s="165"/>
      <c r="B406" s="165"/>
      <c r="C406" s="165"/>
      <c r="D406" s="165"/>
      <c r="E406" s="166"/>
      <c r="F406" s="165"/>
      <c r="G406" s="167"/>
      <c r="H406" s="166"/>
      <c r="I406" s="167"/>
      <c r="J406" s="168"/>
      <c r="K406" s="169"/>
      <c r="L406" s="165"/>
      <c r="M406" s="165"/>
      <c r="N406" s="165"/>
      <c r="O406" s="165"/>
      <c r="P406" s="165"/>
      <c r="Q406" s="165"/>
      <c r="R406" s="165"/>
      <c r="S406" s="165"/>
    </row>
    <row r="407">
      <c r="A407" s="165"/>
      <c r="B407" s="165"/>
      <c r="C407" s="165"/>
      <c r="D407" s="165"/>
      <c r="E407" s="166"/>
      <c r="F407" s="165"/>
      <c r="G407" s="167"/>
      <c r="H407" s="166"/>
      <c r="I407" s="167"/>
      <c r="J407" s="168"/>
      <c r="K407" s="169"/>
      <c r="L407" s="165"/>
      <c r="M407" s="165"/>
      <c r="N407" s="165"/>
      <c r="O407" s="165"/>
      <c r="P407" s="165"/>
      <c r="Q407" s="165"/>
      <c r="R407" s="165"/>
      <c r="S407" s="165"/>
    </row>
    <row r="408">
      <c r="A408" s="165"/>
      <c r="B408" s="165"/>
      <c r="C408" s="165"/>
      <c r="D408" s="165"/>
      <c r="E408" s="166"/>
      <c r="F408" s="165"/>
      <c r="G408" s="167"/>
      <c r="H408" s="166"/>
      <c r="I408" s="167"/>
      <c r="J408" s="168"/>
      <c r="K408" s="169"/>
      <c r="L408" s="165"/>
      <c r="M408" s="165"/>
      <c r="N408" s="165"/>
      <c r="O408" s="165"/>
      <c r="P408" s="165"/>
      <c r="Q408" s="165"/>
      <c r="R408" s="165"/>
      <c r="S408" s="165"/>
    </row>
    <row r="409">
      <c r="A409" s="165"/>
      <c r="B409" s="165"/>
      <c r="C409" s="165"/>
      <c r="D409" s="165"/>
      <c r="E409" s="166"/>
      <c r="F409" s="165"/>
      <c r="G409" s="167"/>
      <c r="H409" s="166"/>
      <c r="I409" s="167"/>
      <c r="J409" s="168"/>
      <c r="K409" s="169"/>
      <c r="L409" s="165"/>
      <c r="M409" s="165"/>
      <c r="N409" s="165"/>
      <c r="O409" s="165"/>
      <c r="P409" s="165"/>
      <c r="Q409" s="165"/>
      <c r="R409" s="165"/>
      <c r="S409" s="165"/>
    </row>
    <row r="410">
      <c r="A410" s="165"/>
      <c r="B410" s="165"/>
      <c r="C410" s="165"/>
      <c r="D410" s="165"/>
      <c r="E410" s="166"/>
      <c r="F410" s="165"/>
      <c r="G410" s="167"/>
      <c r="H410" s="166"/>
      <c r="I410" s="167"/>
      <c r="J410" s="168"/>
      <c r="K410" s="169"/>
      <c r="L410" s="165"/>
      <c r="M410" s="165"/>
      <c r="N410" s="165"/>
      <c r="O410" s="165"/>
      <c r="P410" s="165"/>
      <c r="Q410" s="165"/>
      <c r="R410" s="165"/>
      <c r="S410" s="165"/>
    </row>
    <row r="411">
      <c r="A411" s="165"/>
      <c r="B411" s="165"/>
      <c r="C411" s="165"/>
      <c r="D411" s="165"/>
      <c r="E411" s="166"/>
      <c r="F411" s="165"/>
      <c r="G411" s="167"/>
      <c r="H411" s="166"/>
      <c r="I411" s="167"/>
      <c r="J411" s="168"/>
      <c r="K411" s="169"/>
      <c r="L411" s="165"/>
      <c r="M411" s="165"/>
      <c r="N411" s="165"/>
      <c r="O411" s="165"/>
      <c r="P411" s="165"/>
      <c r="Q411" s="165"/>
      <c r="R411" s="165"/>
      <c r="S411" s="165"/>
    </row>
    <row r="412">
      <c r="A412" s="165"/>
      <c r="B412" s="165"/>
      <c r="C412" s="165"/>
      <c r="D412" s="165"/>
      <c r="E412" s="166"/>
      <c r="F412" s="165"/>
      <c r="G412" s="167"/>
      <c r="H412" s="166"/>
      <c r="I412" s="167"/>
      <c r="J412" s="168"/>
      <c r="K412" s="169"/>
      <c r="L412" s="165"/>
      <c r="M412" s="165"/>
      <c r="N412" s="165"/>
      <c r="O412" s="165"/>
      <c r="P412" s="165"/>
      <c r="Q412" s="165"/>
      <c r="R412" s="165"/>
      <c r="S412" s="165"/>
    </row>
    <row r="413">
      <c r="A413" s="165"/>
      <c r="B413" s="165"/>
      <c r="C413" s="165"/>
      <c r="D413" s="165"/>
      <c r="E413" s="166"/>
      <c r="F413" s="165"/>
      <c r="G413" s="167"/>
      <c r="H413" s="166"/>
      <c r="I413" s="167"/>
      <c r="J413" s="168"/>
      <c r="K413" s="169"/>
      <c r="L413" s="165"/>
      <c r="M413" s="165"/>
      <c r="N413" s="165"/>
      <c r="O413" s="165"/>
      <c r="P413" s="165"/>
      <c r="Q413" s="165"/>
      <c r="R413" s="165"/>
      <c r="S413" s="165"/>
    </row>
    <row r="414">
      <c r="A414" s="165"/>
      <c r="B414" s="165"/>
      <c r="C414" s="165"/>
      <c r="D414" s="165"/>
      <c r="E414" s="166"/>
      <c r="F414" s="165"/>
      <c r="G414" s="167"/>
      <c r="H414" s="166"/>
      <c r="I414" s="167"/>
      <c r="J414" s="168"/>
      <c r="K414" s="169"/>
      <c r="L414" s="165"/>
      <c r="M414" s="165"/>
      <c r="N414" s="165"/>
      <c r="O414" s="165"/>
      <c r="P414" s="165"/>
      <c r="Q414" s="165"/>
      <c r="R414" s="165"/>
      <c r="S414" s="165"/>
    </row>
    <row r="415">
      <c r="A415" s="165"/>
      <c r="B415" s="165"/>
      <c r="C415" s="165"/>
      <c r="D415" s="165"/>
      <c r="E415" s="166"/>
      <c r="F415" s="165"/>
      <c r="G415" s="167"/>
      <c r="H415" s="166"/>
      <c r="I415" s="167"/>
      <c r="J415" s="168"/>
      <c r="K415" s="169"/>
      <c r="L415" s="165"/>
      <c r="M415" s="165"/>
      <c r="N415" s="165"/>
      <c r="O415" s="165"/>
      <c r="P415" s="165"/>
      <c r="Q415" s="165"/>
      <c r="R415" s="165"/>
      <c r="S415" s="165"/>
    </row>
    <row r="416">
      <c r="A416" s="165"/>
      <c r="B416" s="165"/>
      <c r="C416" s="165"/>
      <c r="D416" s="165"/>
      <c r="E416" s="166"/>
      <c r="F416" s="165"/>
      <c r="G416" s="167"/>
      <c r="H416" s="166"/>
      <c r="I416" s="167"/>
      <c r="J416" s="168"/>
      <c r="K416" s="169"/>
      <c r="L416" s="165"/>
      <c r="M416" s="165"/>
      <c r="N416" s="165"/>
      <c r="O416" s="165"/>
      <c r="P416" s="165"/>
      <c r="Q416" s="165"/>
      <c r="R416" s="165"/>
      <c r="S416" s="165"/>
    </row>
    <row r="417">
      <c r="A417" s="165"/>
      <c r="B417" s="165"/>
      <c r="C417" s="165"/>
      <c r="D417" s="165"/>
      <c r="E417" s="166"/>
      <c r="F417" s="165"/>
      <c r="G417" s="167"/>
      <c r="H417" s="166"/>
      <c r="I417" s="167"/>
      <c r="J417" s="168"/>
      <c r="K417" s="169"/>
      <c r="L417" s="165"/>
      <c r="M417" s="165"/>
      <c r="N417" s="165"/>
      <c r="O417" s="165"/>
      <c r="P417" s="165"/>
      <c r="Q417" s="165"/>
      <c r="R417" s="165"/>
      <c r="S417" s="165"/>
    </row>
    <row r="418">
      <c r="A418" s="165"/>
      <c r="B418" s="165"/>
      <c r="C418" s="165"/>
      <c r="D418" s="165"/>
      <c r="E418" s="166"/>
      <c r="F418" s="165"/>
      <c r="G418" s="167"/>
      <c r="H418" s="166"/>
      <c r="I418" s="167"/>
      <c r="J418" s="168"/>
      <c r="K418" s="169"/>
      <c r="L418" s="165"/>
      <c r="M418" s="165"/>
      <c r="N418" s="165"/>
      <c r="O418" s="165"/>
      <c r="P418" s="165"/>
      <c r="Q418" s="165"/>
      <c r="R418" s="165"/>
      <c r="S418" s="165"/>
    </row>
    <row r="419">
      <c r="A419" s="165"/>
      <c r="B419" s="165"/>
      <c r="C419" s="165"/>
      <c r="D419" s="165"/>
      <c r="E419" s="166"/>
      <c r="F419" s="165"/>
      <c r="G419" s="167"/>
      <c r="H419" s="166"/>
      <c r="I419" s="167"/>
      <c r="J419" s="168"/>
      <c r="K419" s="169"/>
      <c r="L419" s="165"/>
      <c r="M419" s="165"/>
      <c r="N419" s="165"/>
      <c r="O419" s="165"/>
      <c r="P419" s="165"/>
      <c r="Q419" s="165"/>
      <c r="R419" s="165"/>
      <c r="S419" s="165"/>
    </row>
    <row r="420">
      <c r="A420" s="165"/>
      <c r="B420" s="165"/>
      <c r="C420" s="165"/>
      <c r="D420" s="165"/>
      <c r="E420" s="166"/>
      <c r="F420" s="165"/>
      <c r="G420" s="167"/>
      <c r="H420" s="166"/>
      <c r="I420" s="167"/>
      <c r="J420" s="168"/>
      <c r="K420" s="169"/>
      <c r="L420" s="165"/>
      <c r="M420" s="165"/>
      <c r="N420" s="165"/>
      <c r="O420" s="165"/>
      <c r="P420" s="165"/>
      <c r="Q420" s="165"/>
      <c r="R420" s="165"/>
      <c r="S420" s="165"/>
    </row>
    <row r="421">
      <c r="A421" s="165"/>
      <c r="B421" s="165"/>
      <c r="C421" s="165"/>
      <c r="D421" s="165"/>
      <c r="E421" s="166"/>
      <c r="F421" s="165"/>
      <c r="G421" s="167"/>
      <c r="H421" s="166"/>
      <c r="I421" s="167"/>
      <c r="J421" s="168"/>
      <c r="K421" s="169"/>
      <c r="L421" s="165"/>
      <c r="M421" s="165"/>
      <c r="N421" s="165"/>
      <c r="O421" s="165"/>
      <c r="P421" s="165"/>
      <c r="Q421" s="165"/>
      <c r="R421" s="165"/>
      <c r="S421" s="165"/>
    </row>
    <row r="422">
      <c r="A422" s="165"/>
      <c r="B422" s="165"/>
      <c r="C422" s="165"/>
      <c r="D422" s="165"/>
      <c r="E422" s="166"/>
      <c r="F422" s="165"/>
      <c r="G422" s="167"/>
      <c r="H422" s="166"/>
      <c r="I422" s="167"/>
      <c r="J422" s="168"/>
      <c r="K422" s="169"/>
      <c r="L422" s="165"/>
      <c r="M422" s="165"/>
      <c r="N422" s="165"/>
      <c r="O422" s="165"/>
      <c r="P422" s="165"/>
      <c r="Q422" s="165"/>
      <c r="R422" s="165"/>
      <c r="S422" s="165"/>
    </row>
    <row r="423">
      <c r="A423" s="165"/>
      <c r="B423" s="165"/>
      <c r="C423" s="165"/>
      <c r="D423" s="165"/>
      <c r="E423" s="166"/>
      <c r="F423" s="165"/>
      <c r="G423" s="167"/>
      <c r="H423" s="166"/>
      <c r="I423" s="167"/>
      <c r="J423" s="168"/>
      <c r="K423" s="169"/>
      <c r="L423" s="165"/>
      <c r="M423" s="165"/>
      <c r="N423" s="165"/>
      <c r="O423" s="165"/>
      <c r="P423" s="165"/>
      <c r="Q423" s="165"/>
      <c r="R423" s="165"/>
      <c r="S423" s="165"/>
    </row>
    <row r="424">
      <c r="A424" s="165"/>
      <c r="B424" s="165"/>
      <c r="C424" s="165"/>
      <c r="D424" s="165"/>
      <c r="E424" s="166"/>
      <c r="F424" s="165"/>
      <c r="G424" s="167"/>
      <c r="H424" s="166"/>
      <c r="I424" s="167"/>
      <c r="J424" s="168"/>
      <c r="K424" s="169"/>
      <c r="L424" s="165"/>
      <c r="M424" s="165"/>
      <c r="N424" s="165"/>
      <c r="O424" s="165"/>
      <c r="P424" s="165"/>
      <c r="Q424" s="165"/>
      <c r="R424" s="165"/>
      <c r="S424" s="165"/>
    </row>
    <row r="425">
      <c r="A425" s="165"/>
      <c r="B425" s="165"/>
      <c r="C425" s="165"/>
      <c r="D425" s="165"/>
      <c r="E425" s="166"/>
      <c r="F425" s="165"/>
      <c r="G425" s="167"/>
      <c r="H425" s="166"/>
      <c r="I425" s="167"/>
      <c r="J425" s="168"/>
      <c r="K425" s="169"/>
      <c r="L425" s="165"/>
      <c r="M425" s="165"/>
      <c r="N425" s="165"/>
      <c r="O425" s="165"/>
      <c r="P425" s="165"/>
      <c r="Q425" s="165"/>
      <c r="R425" s="165"/>
      <c r="S425" s="165"/>
    </row>
    <row r="426">
      <c r="A426" s="165"/>
      <c r="B426" s="165"/>
      <c r="C426" s="165"/>
      <c r="D426" s="165"/>
      <c r="E426" s="166"/>
      <c r="F426" s="165"/>
      <c r="G426" s="167"/>
      <c r="H426" s="166"/>
      <c r="I426" s="167"/>
      <c r="J426" s="168"/>
      <c r="K426" s="169"/>
      <c r="L426" s="165"/>
      <c r="M426" s="165"/>
      <c r="N426" s="165"/>
      <c r="O426" s="165"/>
      <c r="P426" s="165"/>
      <c r="Q426" s="165"/>
      <c r="R426" s="165"/>
      <c r="S426" s="165"/>
    </row>
    <row r="427">
      <c r="A427" s="165"/>
      <c r="B427" s="165"/>
      <c r="C427" s="165"/>
      <c r="D427" s="165"/>
      <c r="E427" s="166"/>
      <c r="F427" s="165"/>
      <c r="G427" s="167"/>
      <c r="H427" s="166"/>
      <c r="I427" s="167"/>
      <c r="J427" s="168"/>
      <c r="K427" s="169"/>
      <c r="L427" s="165"/>
      <c r="M427" s="165"/>
      <c r="N427" s="165"/>
      <c r="O427" s="165"/>
      <c r="P427" s="165"/>
      <c r="Q427" s="165"/>
      <c r="R427" s="165"/>
      <c r="S427" s="165"/>
    </row>
    <row r="428">
      <c r="A428" s="165"/>
      <c r="B428" s="165"/>
      <c r="C428" s="165"/>
      <c r="D428" s="165"/>
      <c r="E428" s="166"/>
      <c r="F428" s="165"/>
      <c r="G428" s="167"/>
      <c r="H428" s="166"/>
      <c r="I428" s="167"/>
      <c r="J428" s="168"/>
      <c r="K428" s="169"/>
      <c r="L428" s="165"/>
      <c r="M428" s="165"/>
      <c r="N428" s="165"/>
      <c r="O428" s="165"/>
      <c r="P428" s="165"/>
      <c r="Q428" s="165"/>
      <c r="R428" s="165"/>
      <c r="S428" s="165"/>
    </row>
    <row r="429">
      <c r="A429" s="165"/>
      <c r="B429" s="165"/>
      <c r="C429" s="165"/>
      <c r="D429" s="165"/>
      <c r="E429" s="166"/>
      <c r="F429" s="165"/>
      <c r="G429" s="167"/>
      <c r="H429" s="166"/>
      <c r="I429" s="167"/>
      <c r="J429" s="168"/>
      <c r="K429" s="169"/>
      <c r="L429" s="165"/>
      <c r="M429" s="165"/>
      <c r="N429" s="165"/>
      <c r="O429" s="165"/>
      <c r="P429" s="165"/>
      <c r="Q429" s="165"/>
      <c r="R429" s="165"/>
      <c r="S429" s="165"/>
    </row>
    <row r="430">
      <c r="A430" s="165"/>
      <c r="B430" s="165"/>
      <c r="C430" s="165"/>
      <c r="D430" s="165"/>
      <c r="E430" s="166"/>
      <c r="F430" s="165"/>
      <c r="G430" s="167"/>
      <c r="H430" s="166"/>
      <c r="I430" s="167"/>
      <c r="J430" s="168"/>
      <c r="K430" s="169"/>
      <c r="L430" s="165"/>
      <c r="M430" s="165"/>
      <c r="N430" s="165"/>
      <c r="O430" s="165"/>
      <c r="P430" s="165"/>
      <c r="Q430" s="165"/>
      <c r="R430" s="165"/>
      <c r="S430" s="165"/>
    </row>
    <row r="431">
      <c r="A431" s="165"/>
      <c r="B431" s="165"/>
      <c r="C431" s="165"/>
      <c r="D431" s="165"/>
      <c r="E431" s="166"/>
      <c r="F431" s="165"/>
      <c r="G431" s="167"/>
      <c r="H431" s="166"/>
      <c r="I431" s="167"/>
      <c r="J431" s="168"/>
      <c r="K431" s="169"/>
      <c r="L431" s="165"/>
      <c r="M431" s="165"/>
      <c r="N431" s="165"/>
      <c r="O431" s="165"/>
      <c r="P431" s="165"/>
      <c r="Q431" s="165"/>
      <c r="R431" s="165"/>
      <c r="S431" s="165"/>
    </row>
    <row r="432">
      <c r="A432" s="165"/>
      <c r="B432" s="165"/>
      <c r="C432" s="165"/>
      <c r="D432" s="165"/>
      <c r="E432" s="166"/>
      <c r="F432" s="165"/>
      <c r="G432" s="167"/>
      <c r="H432" s="166"/>
      <c r="I432" s="167"/>
      <c r="J432" s="168"/>
      <c r="K432" s="169"/>
      <c r="L432" s="165"/>
      <c r="M432" s="165"/>
      <c r="N432" s="165"/>
      <c r="O432" s="165"/>
      <c r="P432" s="165"/>
      <c r="Q432" s="165"/>
      <c r="R432" s="165"/>
      <c r="S432" s="165"/>
    </row>
    <row r="433">
      <c r="A433" s="165"/>
      <c r="B433" s="165"/>
      <c r="C433" s="165"/>
      <c r="D433" s="165"/>
      <c r="E433" s="166"/>
      <c r="F433" s="165"/>
      <c r="G433" s="167"/>
      <c r="H433" s="166"/>
      <c r="I433" s="167"/>
      <c r="J433" s="168"/>
      <c r="K433" s="169"/>
      <c r="L433" s="165"/>
      <c r="M433" s="165"/>
      <c r="N433" s="165"/>
      <c r="O433" s="165"/>
      <c r="P433" s="165"/>
      <c r="Q433" s="165"/>
      <c r="R433" s="165"/>
      <c r="S433" s="165"/>
    </row>
    <row r="434">
      <c r="A434" s="165"/>
      <c r="B434" s="165"/>
      <c r="C434" s="165"/>
      <c r="D434" s="165"/>
      <c r="E434" s="166"/>
      <c r="F434" s="165"/>
      <c r="G434" s="167"/>
      <c r="H434" s="166"/>
      <c r="I434" s="167"/>
      <c r="J434" s="168"/>
      <c r="K434" s="169"/>
      <c r="L434" s="165"/>
      <c r="M434" s="165"/>
      <c r="N434" s="165"/>
      <c r="O434" s="165"/>
      <c r="P434" s="165"/>
      <c r="Q434" s="165"/>
      <c r="R434" s="165"/>
      <c r="S434" s="165"/>
    </row>
    <row r="435">
      <c r="A435" s="165"/>
      <c r="B435" s="165"/>
      <c r="C435" s="165"/>
      <c r="D435" s="165"/>
      <c r="E435" s="166"/>
      <c r="F435" s="165"/>
      <c r="G435" s="167"/>
      <c r="H435" s="166"/>
      <c r="I435" s="167"/>
      <c r="J435" s="168"/>
      <c r="K435" s="169"/>
      <c r="L435" s="165"/>
      <c r="M435" s="165"/>
      <c r="N435" s="165"/>
      <c r="O435" s="165"/>
      <c r="P435" s="165"/>
      <c r="Q435" s="165"/>
      <c r="R435" s="165"/>
      <c r="S435" s="165"/>
    </row>
    <row r="436">
      <c r="A436" s="165"/>
      <c r="B436" s="165"/>
      <c r="C436" s="165"/>
      <c r="D436" s="165"/>
      <c r="E436" s="166"/>
      <c r="F436" s="165"/>
      <c r="G436" s="167"/>
      <c r="H436" s="166"/>
      <c r="I436" s="167"/>
      <c r="J436" s="168"/>
      <c r="K436" s="169"/>
      <c r="L436" s="165"/>
      <c r="M436" s="165"/>
      <c r="N436" s="165"/>
      <c r="O436" s="165"/>
      <c r="P436" s="165"/>
      <c r="Q436" s="165"/>
      <c r="R436" s="165"/>
      <c r="S436" s="165"/>
    </row>
    <row r="437">
      <c r="A437" s="165"/>
      <c r="B437" s="165"/>
      <c r="C437" s="165"/>
      <c r="D437" s="165"/>
      <c r="E437" s="166"/>
      <c r="F437" s="165"/>
      <c r="G437" s="167"/>
      <c r="H437" s="166"/>
      <c r="I437" s="167"/>
      <c r="J437" s="168"/>
      <c r="K437" s="169"/>
      <c r="L437" s="165"/>
      <c r="M437" s="165"/>
      <c r="N437" s="165"/>
      <c r="O437" s="165"/>
      <c r="P437" s="165"/>
      <c r="Q437" s="165"/>
      <c r="R437" s="165"/>
      <c r="S437" s="165"/>
    </row>
    <row r="438">
      <c r="A438" s="165"/>
      <c r="B438" s="165"/>
      <c r="C438" s="165"/>
      <c r="D438" s="165"/>
      <c r="E438" s="166"/>
      <c r="F438" s="165"/>
      <c r="G438" s="167"/>
      <c r="H438" s="166"/>
      <c r="I438" s="167"/>
      <c r="J438" s="168"/>
      <c r="K438" s="169"/>
      <c r="L438" s="165"/>
      <c r="M438" s="165"/>
      <c r="N438" s="165"/>
      <c r="O438" s="165"/>
      <c r="P438" s="165"/>
      <c r="Q438" s="165"/>
      <c r="R438" s="165"/>
      <c r="S438" s="165"/>
    </row>
    <row r="439">
      <c r="A439" s="165"/>
      <c r="B439" s="165"/>
      <c r="C439" s="165"/>
      <c r="D439" s="165"/>
      <c r="E439" s="166"/>
      <c r="F439" s="165"/>
      <c r="G439" s="167"/>
      <c r="H439" s="166"/>
      <c r="I439" s="167"/>
      <c r="J439" s="168"/>
      <c r="K439" s="169"/>
      <c r="L439" s="165"/>
      <c r="M439" s="165"/>
      <c r="N439" s="165"/>
      <c r="O439" s="165"/>
      <c r="P439" s="165"/>
      <c r="Q439" s="165"/>
      <c r="R439" s="165"/>
      <c r="S439" s="165"/>
    </row>
    <row r="440">
      <c r="A440" s="165"/>
      <c r="B440" s="165"/>
      <c r="C440" s="165"/>
      <c r="D440" s="165"/>
      <c r="E440" s="166"/>
      <c r="F440" s="165"/>
      <c r="G440" s="167"/>
      <c r="H440" s="166"/>
      <c r="I440" s="167"/>
      <c r="J440" s="168"/>
      <c r="K440" s="169"/>
      <c r="L440" s="165"/>
      <c r="M440" s="165"/>
      <c r="N440" s="165"/>
      <c r="O440" s="165"/>
      <c r="P440" s="165"/>
      <c r="Q440" s="165"/>
      <c r="R440" s="165"/>
      <c r="S440" s="165"/>
    </row>
    <row r="441">
      <c r="A441" s="165"/>
      <c r="B441" s="165"/>
      <c r="C441" s="165"/>
      <c r="D441" s="165"/>
      <c r="E441" s="166"/>
      <c r="F441" s="165"/>
      <c r="G441" s="167"/>
      <c r="H441" s="166"/>
      <c r="I441" s="167"/>
      <c r="J441" s="168"/>
      <c r="K441" s="169"/>
      <c r="L441" s="165"/>
      <c r="M441" s="165"/>
      <c r="N441" s="165"/>
      <c r="O441" s="165"/>
      <c r="P441" s="165"/>
      <c r="Q441" s="165"/>
      <c r="R441" s="165"/>
      <c r="S441" s="165"/>
    </row>
    <row r="442">
      <c r="A442" s="165"/>
      <c r="B442" s="165"/>
      <c r="C442" s="165"/>
      <c r="D442" s="165"/>
      <c r="E442" s="166"/>
      <c r="F442" s="165"/>
      <c r="G442" s="167"/>
      <c r="H442" s="166"/>
      <c r="I442" s="167"/>
      <c r="J442" s="168"/>
      <c r="K442" s="169"/>
      <c r="L442" s="165"/>
      <c r="M442" s="165"/>
      <c r="N442" s="165"/>
      <c r="O442" s="165"/>
      <c r="P442" s="165"/>
      <c r="Q442" s="165"/>
      <c r="R442" s="165"/>
      <c r="S442" s="165"/>
    </row>
    <row r="443">
      <c r="A443" s="165"/>
      <c r="B443" s="165"/>
      <c r="C443" s="165"/>
      <c r="D443" s="165"/>
      <c r="E443" s="166"/>
      <c r="F443" s="165"/>
      <c r="G443" s="167"/>
      <c r="H443" s="166"/>
      <c r="I443" s="167"/>
      <c r="J443" s="168"/>
      <c r="K443" s="169"/>
      <c r="L443" s="165"/>
      <c r="M443" s="165"/>
      <c r="N443" s="165"/>
      <c r="O443" s="165"/>
      <c r="P443" s="165"/>
      <c r="Q443" s="165"/>
      <c r="R443" s="165"/>
      <c r="S443" s="165"/>
    </row>
    <row r="444">
      <c r="A444" s="165"/>
      <c r="B444" s="165"/>
      <c r="C444" s="165"/>
      <c r="D444" s="165"/>
      <c r="E444" s="166"/>
      <c r="F444" s="165"/>
      <c r="G444" s="167"/>
      <c r="H444" s="166"/>
      <c r="I444" s="167"/>
      <c r="J444" s="168"/>
      <c r="K444" s="169"/>
      <c r="L444" s="165"/>
      <c r="M444" s="165"/>
      <c r="N444" s="165"/>
      <c r="O444" s="165"/>
      <c r="P444" s="165"/>
      <c r="Q444" s="165"/>
      <c r="R444" s="165"/>
      <c r="S444" s="165"/>
    </row>
    <row r="445">
      <c r="A445" s="165"/>
      <c r="B445" s="165"/>
      <c r="C445" s="165"/>
      <c r="D445" s="165"/>
      <c r="E445" s="166"/>
      <c r="F445" s="165"/>
      <c r="G445" s="167"/>
      <c r="H445" s="166"/>
      <c r="I445" s="167"/>
      <c r="J445" s="168"/>
      <c r="K445" s="169"/>
      <c r="L445" s="165"/>
      <c r="M445" s="165"/>
      <c r="N445" s="165"/>
      <c r="O445" s="165"/>
      <c r="P445" s="165"/>
      <c r="Q445" s="165"/>
      <c r="R445" s="165"/>
      <c r="S445" s="165"/>
    </row>
    <row r="446">
      <c r="A446" s="165"/>
      <c r="B446" s="165"/>
      <c r="C446" s="165"/>
      <c r="D446" s="165"/>
      <c r="E446" s="166"/>
      <c r="F446" s="165"/>
      <c r="G446" s="167"/>
      <c r="H446" s="166"/>
      <c r="I446" s="167"/>
      <c r="J446" s="168"/>
      <c r="K446" s="169"/>
      <c r="L446" s="165"/>
      <c r="M446" s="165"/>
      <c r="N446" s="165"/>
      <c r="O446" s="165"/>
      <c r="P446" s="165"/>
      <c r="Q446" s="165"/>
      <c r="R446" s="165"/>
      <c r="S446" s="165"/>
    </row>
    <row r="447">
      <c r="A447" s="165"/>
      <c r="B447" s="165"/>
      <c r="C447" s="165"/>
      <c r="D447" s="165"/>
      <c r="E447" s="166"/>
      <c r="F447" s="165"/>
      <c r="G447" s="167"/>
      <c r="H447" s="166"/>
      <c r="I447" s="167"/>
      <c r="J447" s="168"/>
      <c r="K447" s="169"/>
      <c r="L447" s="165"/>
      <c r="M447" s="165"/>
      <c r="N447" s="165"/>
      <c r="O447" s="165"/>
      <c r="P447" s="165"/>
      <c r="Q447" s="165"/>
      <c r="R447" s="165"/>
      <c r="S447" s="165"/>
    </row>
    <row r="448">
      <c r="A448" s="165"/>
      <c r="B448" s="165"/>
      <c r="C448" s="165"/>
      <c r="D448" s="165"/>
      <c r="E448" s="166"/>
      <c r="F448" s="165"/>
      <c r="G448" s="167"/>
      <c r="H448" s="166"/>
      <c r="I448" s="167"/>
      <c r="J448" s="168"/>
      <c r="K448" s="169"/>
      <c r="L448" s="165"/>
      <c r="M448" s="165"/>
      <c r="N448" s="165"/>
      <c r="O448" s="165"/>
      <c r="P448" s="165"/>
      <c r="Q448" s="165"/>
      <c r="R448" s="165"/>
      <c r="S448" s="165"/>
    </row>
    <row r="449">
      <c r="A449" s="165"/>
      <c r="B449" s="165"/>
      <c r="C449" s="165"/>
      <c r="D449" s="165"/>
      <c r="E449" s="166"/>
      <c r="F449" s="165"/>
      <c r="G449" s="167"/>
      <c r="H449" s="166"/>
      <c r="I449" s="167"/>
      <c r="J449" s="168"/>
      <c r="K449" s="169"/>
      <c r="L449" s="165"/>
      <c r="M449" s="165"/>
      <c r="N449" s="165"/>
      <c r="O449" s="165"/>
      <c r="P449" s="165"/>
      <c r="Q449" s="165"/>
      <c r="R449" s="165"/>
      <c r="S449" s="165"/>
    </row>
    <row r="450">
      <c r="A450" s="165"/>
      <c r="B450" s="165"/>
      <c r="C450" s="165"/>
      <c r="D450" s="165"/>
      <c r="E450" s="166"/>
      <c r="F450" s="165"/>
      <c r="G450" s="167"/>
      <c r="H450" s="166"/>
      <c r="I450" s="167"/>
      <c r="J450" s="168"/>
      <c r="K450" s="169"/>
      <c r="L450" s="165"/>
      <c r="M450" s="165"/>
      <c r="N450" s="165"/>
      <c r="O450" s="165"/>
      <c r="P450" s="165"/>
      <c r="Q450" s="165"/>
      <c r="R450" s="165"/>
      <c r="S450" s="165"/>
    </row>
    <row r="451">
      <c r="A451" s="165"/>
      <c r="B451" s="165"/>
      <c r="C451" s="165"/>
      <c r="D451" s="165"/>
      <c r="E451" s="166"/>
      <c r="F451" s="165"/>
      <c r="G451" s="167"/>
      <c r="H451" s="166"/>
      <c r="I451" s="167"/>
      <c r="J451" s="168"/>
      <c r="K451" s="169"/>
      <c r="L451" s="165"/>
      <c r="M451" s="165"/>
      <c r="N451" s="165"/>
      <c r="O451" s="165"/>
      <c r="P451" s="165"/>
      <c r="Q451" s="165"/>
      <c r="R451" s="165"/>
      <c r="S451" s="165"/>
    </row>
    <row r="452">
      <c r="A452" s="165"/>
      <c r="B452" s="165"/>
      <c r="C452" s="165"/>
      <c r="D452" s="165"/>
      <c r="E452" s="166"/>
      <c r="F452" s="165"/>
      <c r="G452" s="167"/>
      <c r="H452" s="166"/>
      <c r="I452" s="167"/>
      <c r="J452" s="168"/>
      <c r="K452" s="169"/>
      <c r="L452" s="165"/>
      <c r="M452" s="165"/>
      <c r="N452" s="165"/>
      <c r="O452" s="165"/>
      <c r="P452" s="165"/>
      <c r="Q452" s="165"/>
      <c r="R452" s="165"/>
      <c r="S452" s="165"/>
    </row>
    <row r="453">
      <c r="A453" s="165"/>
      <c r="B453" s="165"/>
      <c r="C453" s="165"/>
      <c r="D453" s="165"/>
      <c r="E453" s="166"/>
      <c r="F453" s="165"/>
      <c r="G453" s="167"/>
      <c r="H453" s="166"/>
      <c r="I453" s="167"/>
      <c r="J453" s="168"/>
      <c r="K453" s="169"/>
      <c r="L453" s="165"/>
      <c r="M453" s="165"/>
      <c r="N453" s="165"/>
      <c r="O453" s="165"/>
      <c r="P453" s="165"/>
      <c r="Q453" s="165"/>
      <c r="R453" s="165"/>
      <c r="S453" s="165"/>
    </row>
    <row r="454">
      <c r="A454" s="165"/>
      <c r="B454" s="165"/>
      <c r="C454" s="165"/>
      <c r="D454" s="165"/>
      <c r="E454" s="166"/>
      <c r="F454" s="165"/>
      <c r="G454" s="167"/>
      <c r="H454" s="166"/>
      <c r="I454" s="167"/>
      <c r="J454" s="168"/>
      <c r="K454" s="169"/>
      <c r="L454" s="165"/>
      <c r="M454" s="165"/>
      <c r="N454" s="165"/>
      <c r="O454" s="165"/>
      <c r="P454" s="165"/>
      <c r="Q454" s="165"/>
      <c r="R454" s="165"/>
      <c r="S454" s="165"/>
    </row>
    <row r="455">
      <c r="A455" s="165"/>
      <c r="B455" s="165"/>
      <c r="C455" s="165"/>
      <c r="D455" s="165"/>
      <c r="E455" s="166"/>
      <c r="F455" s="165"/>
      <c r="G455" s="167"/>
      <c r="H455" s="166"/>
      <c r="I455" s="167"/>
      <c r="J455" s="168"/>
      <c r="K455" s="169"/>
      <c r="L455" s="165"/>
      <c r="M455" s="165"/>
      <c r="N455" s="165"/>
      <c r="O455" s="165"/>
      <c r="P455" s="165"/>
      <c r="Q455" s="165"/>
      <c r="R455" s="165"/>
      <c r="S455" s="165"/>
    </row>
    <row r="456">
      <c r="A456" s="165"/>
      <c r="B456" s="165"/>
      <c r="C456" s="165"/>
      <c r="D456" s="165"/>
      <c r="E456" s="166"/>
      <c r="F456" s="165"/>
      <c r="G456" s="167"/>
      <c r="H456" s="166"/>
      <c r="I456" s="167"/>
      <c r="J456" s="168"/>
      <c r="K456" s="169"/>
      <c r="L456" s="165"/>
      <c r="M456" s="165"/>
      <c r="N456" s="165"/>
      <c r="O456" s="165"/>
      <c r="P456" s="165"/>
      <c r="Q456" s="165"/>
      <c r="R456" s="165"/>
      <c r="S456" s="165"/>
    </row>
    <row r="457">
      <c r="A457" s="165"/>
      <c r="B457" s="165"/>
      <c r="C457" s="165"/>
      <c r="D457" s="165"/>
      <c r="E457" s="166"/>
      <c r="F457" s="165"/>
      <c r="G457" s="167"/>
      <c r="H457" s="166"/>
      <c r="I457" s="167"/>
      <c r="J457" s="168"/>
      <c r="K457" s="169"/>
      <c r="L457" s="165"/>
      <c r="M457" s="165"/>
      <c r="N457" s="165"/>
      <c r="O457" s="165"/>
      <c r="P457" s="165"/>
      <c r="Q457" s="165"/>
      <c r="R457" s="165"/>
      <c r="S457" s="165"/>
    </row>
    <row r="458">
      <c r="A458" s="165"/>
      <c r="B458" s="165"/>
      <c r="C458" s="165"/>
      <c r="D458" s="165"/>
      <c r="E458" s="166"/>
      <c r="F458" s="165"/>
      <c r="G458" s="167"/>
      <c r="H458" s="166"/>
      <c r="I458" s="167"/>
      <c r="J458" s="168"/>
      <c r="K458" s="169"/>
      <c r="L458" s="165"/>
      <c r="M458" s="165"/>
      <c r="N458" s="165"/>
      <c r="O458" s="165"/>
      <c r="P458" s="165"/>
      <c r="Q458" s="165"/>
      <c r="R458" s="165"/>
      <c r="S458" s="165"/>
    </row>
    <row r="459">
      <c r="A459" s="165"/>
      <c r="B459" s="165"/>
      <c r="C459" s="165"/>
      <c r="D459" s="165"/>
      <c r="E459" s="166"/>
      <c r="F459" s="165"/>
      <c r="G459" s="167"/>
      <c r="H459" s="166"/>
      <c r="I459" s="167"/>
      <c r="J459" s="168"/>
      <c r="K459" s="169"/>
      <c r="L459" s="165"/>
      <c r="M459" s="165"/>
      <c r="N459" s="165"/>
      <c r="O459" s="165"/>
      <c r="P459" s="165"/>
      <c r="Q459" s="165"/>
      <c r="R459" s="165"/>
      <c r="S459" s="165"/>
    </row>
    <row r="460">
      <c r="A460" s="165"/>
      <c r="B460" s="165"/>
      <c r="C460" s="165"/>
      <c r="D460" s="165"/>
      <c r="E460" s="166"/>
      <c r="F460" s="165"/>
      <c r="G460" s="167"/>
      <c r="H460" s="166"/>
      <c r="I460" s="167"/>
      <c r="J460" s="168"/>
      <c r="K460" s="169"/>
      <c r="L460" s="165"/>
      <c r="M460" s="165"/>
      <c r="N460" s="165"/>
      <c r="O460" s="165"/>
      <c r="P460" s="165"/>
      <c r="Q460" s="165"/>
      <c r="R460" s="165"/>
      <c r="S460" s="165"/>
    </row>
    <row r="461">
      <c r="A461" s="165"/>
      <c r="B461" s="165"/>
      <c r="C461" s="165"/>
      <c r="D461" s="165"/>
      <c r="E461" s="166"/>
      <c r="F461" s="165"/>
      <c r="G461" s="167"/>
      <c r="H461" s="166"/>
      <c r="I461" s="167"/>
      <c r="J461" s="168"/>
      <c r="K461" s="169"/>
      <c r="L461" s="165"/>
      <c r="M461" s="165"/>
      <c r="N461" s="165"/>
      <c r="O461" s="165"/>
      <c r="P461" s="165"/>
      <c r="Q461" s="165"/>
      <c r="R461" s="165"/>
      <c r="S461" s="165"/>
    </row>
    <row r="462">
      <c r="A462" s="165"/>
      <c r="B462" s="165"/>
      <c r="C462" s="165"/>
      <c r="D462" s="165"/>
      <c r="E462" s="166"/>
      <c r="F462" s="165"/>
      <c r="G462" s="167"/>
      <c r="H462" s="166"/>
      <c r="I462" s="167"/>
      <c r="J462" s="168"/>
      <c r="K462" s="169"/>
      <c r="L462" s="165"/>
      <c r="M462" s="165"/>
      <c r="N462" s="165"/>
      <c r="O462" s="165"/>
      <c r="P462" s="165"/>
      <c r="Q462" s="165"/>
      <c r="R462" s="165"/>
      <c r="S462" s="165"/>
    </row>
    <row r="463">
      <c r="A463" s="165"/>
      <c r="B463" s="165"/>
      <c r="C463" s="165"/>
      <c r="D463" s="165"/>
      <c r="E463" s="166"/>
      <c r="F463" s="165"/>
      <c r="G463" s="167"/>
      <c r="H463" s="166"/>
      <c r="I463" s="167"/>
      <c r="J463" s="168"/>
      <c r="K463" s="169"/>
      <c r="L463" s="165"/>
      <c r="M463" s="165"/>
      <c r="N463" s="165"/>
      <c r="O463" s="165"/>
      <c r="P463" s="165"/>
      <c r="Q463" s="165"/>
      <c r="R463" s="165"/>
      <c r="S463" s="165"/>
    </row>
    <row r="464">
      <c r="A464" s="165"/>
      <c r="B464" s="165"/>
      <c r="C464" s="165"/>
      <c r="D464" s="165"/>
      <c r="E464" s="166"/>
      <c r="F464" s="165"/>
      <c r="G464" s="167"/>
      <c r="H464" s="166"/>
      <c r="I464" s="167"/>
      <c r="J464" s="168"/>
      <c r="K464" s="169"/>
      <c r="L464" s="165"/>
      <c r="M464" s="165"/>
      <c r="N464" s="165"/>
      <c r="O464" s="165"/>
      <c r="P464" s="165"/>
      <c r="Q464" s="165"/>
      <c r="R464" s="165"/>
      <c r="S464" s="165"/>
    </row>
    <row r="465">
      <c r="A465" s="165"/>
      <c r="B465" s="165"/>
      <c r="C465" s="165"/>
      <c r="D465" s="165"/>
      <c r="E465" s="166"/>
      <c r="F465" s="165"/>
      <c r="G465" s="167"/>
      <c r="H465" s="166"/>
      <c r="I465" s="167"/>
      <c r="J465" s="168"/>
      <c r="K465" s="169"/>
      <c r="L465" s="165"/>
      <c r="M465" s="165"/>
      <c r="N465" s="165"/>
      <c r="O465" s="165"/>
      <c r="P465" s="165"/>
      <c r="Q465" s="165"/>
      <c r="R465" s="165"/>
      <c r="S465" s="165"/>
    </row>
    <row r="466">
      <c r="A466" s="165"/>
      <c r="B466" s="165"/>
      <c r="C466" s="165"/>
      <c r="D466" s="165"/>
      <c r="E466" s="166"/>
      <c r="F466" s="165"/>
      <c r="G466" s="167"/>
      <c r="H466" s="166"/>
      <c r="I466" s="167"/>
      <c r="J466" s="168"/>
      <c r="K466" s="169"/>
      <c r="L466" s="165"/>
      <c r="M466" s="165"/>
      <c r="N466" s="165"/>
      <c r="O466" s="165"/>
      <c r="P466" s="165"/>
      <c r="Q466" s="165"/>
      <c r="R466" s="165"/>
      <c r="S466" s="165"/>
    </row>
    <row r="467">
      <c r="A467" s="165"/>
      <c r="B467" s="165"/>
      <c r="C467" s="165"/>
      <c r="D467" s="165"/>
      <c r="E467" s="166"/>
      <c r="F467" s="165"/>
      <c r="G467" s="167"/>
      <c r="H467" s="166"/>
      <c r="I467" s="167"/>
      <c r="J467" s="168"/>
      <c r="K467" s="169"/>
      <c r="L467" s="165"/>
      <c r="M467" s="165"/>
      <c r="N467" s="165"/>
      <c r="O467" s="165"/>
      <c r="P467" s="165"/>
      <c r="Q467" s="165"/>
      <c r="R467" s="165"/>
      <c r="S467" s="165"/>
    </row>
    <row r="468">
      <c r="A468" s="165"/>
      <c r="B468" s="165"/>
      <c r="C468" s="165"/>
      <c r="D468" s="165"/>
      <c r="E468" s="166"/>
      <c r="F468" s="165"/>
      <c r="G468" s="167"/>
      <c r="H468" s="166"/>
      <c r="I468" s="167"/>
      <c r="J468" s="168"/>
      <c r="K468" s="169"/>
      <c r="L468" s="165"/>
      <c r="M468" s="165"/>
      <c r="N468" s="165"/>
      <c r="O468" s="165"/>
      <c r="P468" s="165"/>
      <c r="Q468" s="165"/>
      <c r="R468" s="165"/>
      <c r="S468" s="165"/>
    </row>
    <row r="469">
      <c r="A469" s="165"/>
      <c r="B469" s="165"/>
      <c r="C469" s="165"/>
      <c r="D469" s="165"/>
      <c r="E469" s="166"/>
      <c r="F469" s="165"/>
      <c r="G469" s="167"/>
      <c r="H469" s="166"/>
      <c r="I469" s="167"/>
      <c r="J469" s="168"/>
      <c r="K469" s="169"/>
      <c r="L469" s="165"/>
      <c r="M469" s="165"/>
      <c r="N469" s="165"/>
      <c r="O469" s="165"/>
      <c r="P469" s="165"/>
      <c r="Q469" s="165"/>
      <c r="R469" s="165"/>
      <c r="S469" s="165"/>
    </row>
    <row r="470">
      <c r="A470" s="165"/>
      <c r="B470" s="165"/>
      <c r="C470" s="165"/>
      <c r="D470" s="165"/>
      <c r="E470" s="166"/>
      <c r="F470" s="165"/>
      <c r="G470" s="167"/>
      <c r="H470" s="166"/>
      <c r="I470" s="167"/>
      <c r="J470" s="168"/>
      <c r="K470" s="169"/>
      <c r="L470" s="165"/>
      <c r="M470" s="165"/>
      <c r="N470" s="165"/>
      <c r="O470" s="165"/>
      <c r="P470" s="165"/>
      <c r="Q470" s="165"/>
      <c r="R470" s="165"/>
      <c r="S470" s="165"/>
    </row>
    <row r="471">
      <c r="A471" s="165"/>
      <c r="B471" s="165"/>
      <c r="C471" s="165"/>
      <c r="D471" s="165"/>
      <c r="E471" s="166"/>
      <c r="F471" s="165"/>
      <c r="G471" s="167"/>
      <c r="H471" s="166"/>
      <c r="I471" s="167"/>
      <c r="J471" s="168"/>
      <c r="K471" s="169"/>
      <c r="L471" s="165"/>
      <c r="M471" s="165"/>
      <c r="N471" s="165"/>
      <c r="O471" s="165"/>
      <c r="P471" s="165"/>
      <c r="Q471" s="165"/>
      <c r="R471" s="165"/>
      <c r="S471" s="165"/>
    </row>
    <row r="472">
      <c r="A472" s="165"/>
      <c r="B472" s="165"/>
      <c r="C472" s="165"/>
      <c r="D472" s="165"/>
      <c r="E472" s="166"/>
      <c r="F472" s="165"/>
      <c r="G472" s="167"/>
      <c r="H472" s="166"/>
      <c r="I472" s="167"/>
      <c r="J472" s="168"/>
      <c r="K472" s="169"/>
      <c r="L472" s="165"/>
      <c r="M472" s="165"/>
      <c r="N472" s="165"/>
      <c r="O472" s="165"/>
      <c r="P472" s="165"/>
      <c r="Q472" s="165"/>
      <c r="R472" s="165"/>
      <c r="S472" s="165"/>
    </row>
    <row r="473">
      <c r="A473" s="165"/>
      <c r="B473" s="165"/>
      <c r="C473" s="165"/>
      <c r="D473" s="165"/>
      <c r="E473" s="166"/>
      <c r="F473" s="165"/>
      <c r="G473" s="167"/>
      <c r="H473" s="166"/>
      <c r="I473" s="167"/>
      <c r="J473" s="168"/>
      <c r="K473" s="169"/>
      <c r="L473" s="165"/>
      <c r="M473" s="165"/>
      <c r="N473" s="165"/>
      <c r="O473" s="165"/>
      <c r="P473" s="165"/>
      <c r="Q473" s="165"/>
      <c r="R473" s="165"/>
      <c r="S473" s="165"/>
    </row>
    <row r="474">
      <c r="A474" s="165"/>
      <c r="B474" s="165"/>
      <c r="C474" s="165"/>
      <c r="D474" s="165"/>
      <c r="E474" s="166"/>
      <c r="F474" s="165"/>
      <c r="G474" s="167"/>
      <c r="H474" s="166"/>
      <c r="I474" s="167"/>
      <c r="J474" s="168"/>
      <c r="K474" s="169"/>
      <c r="L474" s="165"/>
      <c r="M474" s="165"/>
      <c r="N474" s="165"/>
      <c r="O474" s="165"/>
      <c r="P474" s="165"/>
      <c r="Q474" s="165"/>
      <c r="R474" s="165"/>
      <c r="S474" s="165"/>
    </row>
    <row r="475">
      <c r="A475" s="165"/>
      <c r="B475" s="165"/>
      <c r="C475" s="165"/>
      <c r="D475" s="165"/>
      <c r="E475" s="166"/>
      <c r="F475" s="165"/>
      <c r="G475" s="167"/>
      <c r="H475" s="166"/>
      <c r="I475" s="167"/>
      <c r="J475" s="168"/>
      <c r="K475" s="169"/>
      <c r="L475" s="165"/>
      <c r="M475" s="165"/>
      <c r="N475" s="165"/>
      <c r="O475" s="165"/>
      <c r="P475" s="165"/>
      <c r="Q475" s="165"/>
      <c r="R475" s="165"/>
      <c r="S475" s="165"/>
    </row>
    <row r="476">
      <c r="A476" s="165"/>
      <c r="B476" s="165"/>
      <c r="C476" s="165"/>
      <c r="D476" s="165"/>
      <c r="E476" s="166"/>
      <c r="F476" s="165"/>
      <c r="G476" s="167"/>
      <c r="H476" s="166"/>
      <c r="I476" s="167"/>
      <c r="J476" s="168"/>
      <c r="K476" s="169"/>
      <c r="L476" s="165"/>
      <c r="M476" s="165"/>
      <c r="N476" s="165"/>
      <c r="O476" s="165"/>
      <c r="P476" s="165"/>
      <c r="Q476" s="165"/>
      <c r="R476" s="165"/>
      <c r="S476" s="165"/>
    </row>
    <row r="477">
      <c r="A477" s="165"/>
      <c r="B477" s="165"/>
      <c r="C477" s="165"/>
      <c r="D477" s="165"/>
      <c r="E477" s="166"/>
      <c r="F477" s="165"/>
      <c r="G477" s="167"/>
      <c r="H477" s="166"/>
      <c r="I477" s="167"/>
      <c r="J477" s="168"/>
      <c r="K477" s="169"/>
      <c r="L477" s="165"/>
      <c r="M477" s="165"/>
      <c r="N477" s="165"/>
      <c r="O477" s="165"/>
      <c r="P477" s="165"/>
      <c r="Q477" s="165"/>
      <c r="R477" s="165"/>
      <c r="S477" s="165"/>
    </row>
    <row r="478">
      <c r="A478" s="165"/>
      <c r="B478" s="165"/>
      <c r="C478" s="165"/>
      <c r="D478" s="165"/>
      <c r="E478" s="166"/>
      <c r="F478" s="165"/>
      <c r="G478" s="167"/>
      <c r="H478" s="166"/>
      <c r="I478" s="167"/>
      <c r="J478" s="168"/>
      <c r="K478" s="169"/>
      <c r="L478" s="165"/>
      <c r="M478" s="165"/>
      <c r="N478" s="165"/>
      <c r="O478" s="165"/>
      <c r="P478" s="165"/>
      <c r="Q478" s="165"/>
      <c r="R478" s="165"/>
      <c r="S478" s="165"/>
    </row>
    <row r="479">
      <c r="A479" s="165"/>
      <c r="B479" s="165"/>
      <c r="C479" s="165"/>
      <c r="D479" s="165"/>
      <c r="E479" s="166"/>
      <c r="F479" s="165"/>
      <c r="G479" s="167"/>
      <c r="H479" s="166"/>
      <c r="I479" s="167"/>
      <c r="J479" s="168"/>
      <c r="K479" s="169"/>
      <c r="L479" s="165"/>
      <c r="M479" s="165"/>
      <c r="N479" s="165"/>
      <c r="O479" s="165"/>
      <c r="P479" s="165"/>
      <c r="Q479" s="165"/>
      <c r="R479" s="165"/>
      <c r="S479" s="165"/>
    </row>
    <row r="480">
      <c r="A480" s="165"/>
      <c r="B480" s="165"/>
      <c r="C480" s="165"/>
      <c r="D480" s="165"/>
      <c r="E480" s="166"/>
      <c r="F480" s="165"/>
      <c r="G480" s="167"/>
      <c r="H480" s="166"/>
      <c r="I480" s="167"/>
      <c r="J480" s="168"/>
      <c r="K480" s="169"/>
      <c r="L480" s="165"/>
      <c r="M480" s="165"/>
      <c r="N480" s="165"/>
      <c r="O480" s="165"/>
      <c r="P480" s="165"/>
      <c r="Q480" s="165"/>
      <c r="R480" s="165"/>
      <c r="S480" s="165"/>
    </row>
    <row r="481">
      <c r="A481" s="165"/>
      <c r="B481" s="165"/>
      <c r="C481" s="165"/>
      <c r="D481" s="165"/>
      <c r="E481" s="166"/>
      <c r="F481" s="165"/>
      <c r="G481" s="167"/>
      <c r="H481" s="166"/>
      <c r="I481" s="167"/>
      <c r="J481" s="168"/>
      <c r="K481" s="169"/>
      <c r="L481" s="165"/>
      <c r="M481" s="165"/>
      <c r="N481" s="165"/>
      <c r="O481" s="165"/>
      <c r="P481" s="165"/>
      <c r="Q481" s="165"/>
      <c r="R481" s="165"/>
      <c r="S481" s="165"/>
    </row>
    <row r="482">
      <c r="A482" s="165"/>
      <c r="B482" s="165"/>
      <c r="C482" s="165"/>
      <c r="D482" s="165"/>
      <c r="E482" s="166"/>
      <c r="F482" s="165"/>
      <c r="G482" s="167"/>
      <c r="H482" s="166"/>
      <c r="I482" s="167"/>
      <c r="J482" s="168"/>
      <c r="K482" s="169"/>
      <c r="L482" s="165"/>
      <c r="M482" s="165"/>
      <c r="N482" s="165"/>
      <c r="O482" s="165"/>
      <c r="P482" s="165"/>
      <c r="Q482" s="165"/>
      <c r="R482" s="165"/>
      <c r="S482" s="165"/>
    </row>
    <row r="483">
      <c r="A483" s="165"/>
      <c r="B483" s="165"/>
      <c r="C483" s="165"/>
      <c r="D483" s="165"/>
      <c r="E483" s="166"/>
      <c r="F483" s="165"/>
      <c r="G483" s="167"/>
      <c r="H483" s="166"/>
      <c r="I483" s="167"/>
      <c r="J483" s="168"/>
      <c r="K483" s="169"/>
      <c r="L483" s="165"/>
      <c r="M483" s="165"/>
      <c r="N483" s="165"/>
      <c r="O483" s="165"/>
      <c r="P483" s="165"/>
      <c r="Q483" s="165"/>
      <c r="R483" s="165"/>
      <c r="S483" s="165"/>
    </row>
    <row r="484">
      <c r="A484" s="165"/>
      <c r="B484" s="165"/>
      <c r="C484" s="165"/>
      <c r="D484" s="165"/>
      <c r="E484" s="166"/>
      <c r="F484" s="165"/>
      <c r="G484" s="167"/>
      <c r="H484" s="166"/>
      <c r="I484" s="167"/>
      <c r="J484" s="168"/>
      <c r="K484" s="169"/>
      <c r="L484" s="165"/>
      <c r="M484" s="165"/>
      <c r="N484" s="165"/>
      <c r="O484" s="165"/>
      <c r="P484" s="165"/>
      <c r="Q484" s="165"/>
      <c r="R484" s="165"/>
      <c r="S484" s="165"/>
    </row>
    <row r="485">
      <c r="A485" s="165"/>
      <c r="B485" s="165"/>
      <c r="C485" s="165"/>
      <c r="D485" s="165"/>
      <c r="E485" s="166"/>
      <c r="F485" s="165"/>
      <c r="G485" s="167"/>
      <c r="H485" s="166"/>
      <c r="I485" s="167"/>
      <c r="J485" s="168"/>
      <c r="K485" s="169"/>
      <c r="L485" s="165"/>
      <c r="M485" s="165"/>
      <c r="N485" s="165"/>
      <c r="O485" s="165"/>
      <c r="P485" s="165"/>
      <c r="Q485" s="165"/>
      <c r="R485" s="165"/>
      <c r="S485" s="165"/>
    </row>
    <row r="486">
      <c r="A486" s="165"/>
      <c r="B486" s="165"/>
      <c r="C486" s="165"/>
      <c r="D486" s="165"/>
      <c r="E486" s="166"/>
      <c r="F486" s="165"/>
      <c r="G486" s="167"/>
      <c r="H486" s="166"/>
      <c r="I486" s="167"/>
      <c r="J486" s="168"/>
      <c r="K486" s="169"/>
      <c r="L486" s="165"/>
      <c r="M486" s="165"/>
      <c r="N486" s="165"/>
      <c r="O486" s="165"/>
      <c r="P486" s="165"/>
      <c r="Q486" s="165"/>
      <c r="R486" s="165"/>
      <c r="S486" s="165"/>
    </row>
    <row r="487">
      <c r="A487" s="165"/>
      <c r="B487" s="165"/>
      <c r="C487" s="165"/>
      <c r="D487" s="165"/>
      <c r="E487" s="166"/>
      <c r="F487" s="165"/>
      <c r="G487" s="167"/>
      <c r="H487" s="166"/>
      <c r="I487" s="167"/>
      <c r="J487" s="168"/>
      <c r="K487" s="169"/>
      <c r="L487" s="165"/>
      <c r="M487" s="165"/>
      <c r="N487" s="165"/>
      <c r="O487" s="165"/>
      <c r="P487" s="165"/>
      <c r="Q487" s="165"/>
      <c r="R487" s="165"/>
      <c r="S487" s="165"/>
    </row>
    <row r="488">
      <c r="A488" s="165"/>
      <c r="B488" s="165"/>
      <c r="C488" s="165"/>
      <c r="D488" s="165"/>
      <c r="E488" s="166"/>
      <c r="F488" s="165"/>
      <c r="G488" s="167"/>
      <c r="H488" s="166"/>
      <c r="I488" s="167"/>
      <c r="J488" s="168"/>
      <c r="K488" s="169"/>
      <c r="L488" s="165"/>
      <c r="M488" s="165"/>
      <c r="N488" s="165"/>
      <c r="O488" s="165"/>
      <c r="P488" s="165"/>
      <c r="Q488" s="165"/>
      <c r="R488" s="165"/>
      <c r="S488" s="165"/>
    </row>
    <row r="489">
      <c r="A489" s="165"/>
      <c r="B489" s="165"/>
      <c r="C489" s="165"/>
      <c r="D489" s="165"/>
      <c r="E489" s="166"/>
      <c r="F489" s="165"/>
      <c r="G489" s="167"/>
      <c r="H489" s="166"/>
      <c r="I489" s="167"/>
      <c r="J489" s="168"/>
      <c r="K489" s="169"/>
      <c r="L489" s="165"/>
      <c r="M489" s="165"/>
      <c r="N489" s="165"/>
      <c r="O489" s="165"/>
      <c r="P489" s="165"/>
      <c r="Q489" s="165"/>
      <c r="R489" s="165"/>
      <c r="S489" s="165"/>
    </row>
    <row r="490">
      <c r="A490" s="165"/>
      <c r="B490" s="165"/>
      <c r="C490" s="165"/>
      <c r="D490" s="165"/>
      <c r="E490" s="166"/>
      <c r="F490" s="165"/>
      <c r="G490" s="167"/>
      <c r="H490" s="166"/>
      <c r="I490" s="167"/>
      <c r="J490" s="168"/>
      <c r="K490" s="169"/>
      <c r="L490" s="165"/>
      <c r="M490" s="165"/>
      <c r="N490" s="165"/>
      <c r="O490" s="165"/>
      <c r="P490" s="165"/>
      <c r="Q490" s="165"/>
      <c r="R490" s="165"/>
      <c r="S490" s="165"/>
    </row>
    <row r="491">
      <c r="A491" s="165"/>
      <c r="B491" s="165"/>
      <c r="C491" s="165"/>
      <c r="D491" s="165"/>
      <c r="E491" s="166"/>
      <c r="F491" s="165"/>
      <c r="G491" s="167"/>
      <c r="H491" s="166"/>
      <c r="I491" s="167"/>
      <c r="J491" s="168"/>
      <c r="K491" s="169"/>
      <c r="L491" s="165"/>
      <c r="M491" s="165"/>
      <c r="N491" s="165"/>
      <c r="O491" s="165"/>
      <c r="P491" s="165"/>
      <c r="Q491" s="165"/>
      <c r="R491" s="165"/>
      <c r="S491" s="165"/>
    </row>
    <row r="492">
      <c r="A492" s="165"/>
      <c r="B492" s="165"/>
      <c r="C492" s="165"/>
      <c r="D492" s="165"/>
      <c r="E492" s="166"/>
      <c r="F492" s="165"/>
      <c r="G492" s="167"/>
      <c r="H492" s="166"/>
      <c r="I492" s="167"/>
      <c r="J492" s="168"/>
      <c r="K492" s="169"/>
      <c r="L492" s="165"/>
      <c r="M492" s="165"/>
      <c r="N492" s="165"/>
      <c r="O492" s="165"/>
      <c r="P492" s="165"/>
      <c r="Q492" s="165"/>
      <c r="R492" s="165"/>
      <c r="S492" s="165"/>
    </row>
    <row r="493">
      <c r="A493" s="165"/>
      <c r="B493" s="165"/>
      <c r="C493" s="165"/>
      <c r="D493" s="165"/>
      <c r="E493" s="166"/>
      <c r="F493" s="165"/>
      <c r="G493" s="167"/>
      <c r="H493" s="166"/>
      <c r="I493" s="167"/>
      <c r="J493" s="168"/>
      <c r="K493" s="169"/>
      <c r="L493" s="165"/>
      <c r="M493" s="165"/>
      <c r="N493" s="165"/>
      <c r="O493" s="165"/>
      <c r="P493" s="165"/>
      <c r="Q493" s="165"/>
      <c r="R493" s="165"/>
      <c r="S493" s="165"/>
    </row>
    <row r="494">
      <c r="A494" s="165"/>
      <c r="B494" s="165"/>
      <c r="C494" s="165"/>
      <c r="D494" s="165"/>
      <c r="E494" s="166"/>
      <c r="F494" s="165"/>
      <c r="G494" s="167"/>
      <c r="H494" s="166"/>
      <c r="I494" s="167"/>
      <c r="J494" s="168"/>
      <c r="K494" s="169"/>
      <c r="L494" s="165"/>
      <c r="M494" s="165"/>
      <c r="N494" s="165"/>
      <c r="O494" s="165"/>
      <c r="P494" s="165"/>
      <c r="Q494" s="165"/>
      <c r="R494" s="165"/>
      <c r="S494" s="165"/>
    </row>
    <row r="495">
      <c r="A495" s="165"/>
      <c r="B495" s="165"/>
      <c r="C495" s="165"/>
      <c r="D495" s="165"/>
      <c r="E495" s="166"/>
      <c r="F495" s="165"/>
      <c r="G495" s="167"/>
      <c r="H495" s="166"/>
      <c r="I495" s="167"/>
      <c r="J495" s="168"/>
      <c r="K495" s="169"/>
      <c r="L495" s="165"/>
      <c r="M495" s="165"/>
      <c r="N495" s="165"/>
      <c r="O495" s="165"/>
      <c r="P495" s="165"/>
      <c r="Q495" s="165"/>
      <c r="R495" s="165"/>
      <c r="S495" s="165"/>
    </row>
    <row r="496">
      <c r="A496" s="165"/>
      <c r="B496" s="165"/>
      <c r="C496" s="165"/>
      <c r="D496" s="165"/>
      <c r="E496" s="166"/>
      <c r="F496" s="165"/>
      <c r="G496" s="167"/>
      <c r="H496" s="166"/>
      <c r="I496" s="167"/>
      <c r="J496" s="168"/>
      <c r="K496" s="169"/>
      <c r="L496" s="165"/>
      <c r="M496" s="165"/>
      <c r="N496" s="165"/>
      <c r="O496" s="165"/>
      <c r="P496" s="165"/>
      <c r="Q496" s="165"/>
      <c r="R496" s="165"/>
      <c r="S496" s="165"/>
    </row>
    <row r="497">
      <c r="A497" s="165"/>
      <c r="B497" s="165"/>
      <c r="C497" s="165"/>
      <c r="D497" s="165"/>
      <c r="E497" s="166"/>
      <c r="F497" s="165"/>
      <c r="G497" s="167"/>
      <c r="H497" s="166"/>
      <c r="I497" s="167"/>
      <c r="J497" s="168"/>
      <c r="K497" s="169"/>
      <c r="L497" s="165"/>
      <c r="M497" s="165"/>
      <c r="N497" s="165"/>
      <c r="O497" s="165"/>
      <c r="P497" s="165"/>
      <c r="Q497" s="165"/>
      <c r="R497" s="165"/>
      <c r="S497" s="165"/>
    </row>
    <row r="498">
      <c r="A498" s="165"/>
      <c r="B498" s="165"/>
      <c r="C498" s="165"/>
      <c r="D498" s="165"/>
      <c r="E498" s="166"/>
      <c r="F498" s="165"/>
      <c r="G498" s="167"/>
      <c r="H498" s="166"/>
      <c r="I498" s="167"/>
      <c r="J498" s="168"/>
      <c r="K498" s="169"/>
      <c r="L498" s="165"/>
      <c r="M498" s="165"/>
      <c r="N498" s="165"/>
      <c r="O498" s="165"/>
      <c r="P498" s="165"/>
      <c r="Q498" s="165"/>
      <c r="R498" s="165"/>
      <c r="S498" s="165"/>
    </row>
    <row r="499">
      <c r="A499" s="165"/>
      <c r="B499" s="165"/>
      <c r="C499" s="165"/>
      <c r="D499" s="165"/>
      <c r="E499" s="166"/>
      <c r="F499" s="165"/>
      <c r="G499" s="167"/>
      <c r="H499" s="166"/>
      <c r="I499" s="167"/>
      <c r="J499" s="168"/>
      <c r="K499" s="169"/>
      <c r="L499" s="165"/>
      <c r="M499" s="165"/>
      <c r="N499" s="165"/>
      <c r="O499" s="165"/>
      <c r="P499" s="165"/>
      <c r="Q499" s="165"/>
      <c r="R499" s="165"/>
      <c r="S499" s="165"/>
    </row>
    <row r="500">
      <c r="A500" s="165"/>
      <c r="B500" s="165"/>
      <c r="C500" s="165"/>
      <c r="D500" s="165"/>
      <c r="E500" s="166"/>
      <c r="F500" s="165"/>
      <c r="G500" s="167"/>
      <c r="H500" s="166"/>
      <c r="I500" s="167"/>
      <c r="J500" s="168"/>
      <c r="K500" s="169"/>
      <c r="L500" s="165"/>
      <c r="M500" s="165"/>
      <c r="N500" s="165"/>
      <c r="O500" s="165"/>
      <c r="P500" s="165"/>
      <c r="Q500" s="165"/>
      <c r="R500" s="165"/>
      <c r="S500" s="165"/>
    </row>
    <row r="501">
      <c r="A501" s="165"/>
      <c r="B501" s="165"/>
      <c r="C501" s="165"/>
      <c r="D501" s="165"/>
      <c r="E501" s="166"/>
      <c r="F501" s="165"/>
      <c r="G501" s="167"/>
      <c r="H501" s="166"/>
      <c r="I501" s="167"/>
      <c r="J501" s="168"/>
      <c r="K501" s="169"/>
      <c r="L501" s="165"/>
      <c r="M501" s="165"/>
      <c r="N501" s="165"/>
      <c r="O501" s="165"/>
      <c r="P501" s="165"/>
      <c r="Q501" s="165"/>
      <c r="R501" s="165"/>
      <c r="S501" s="165"/>
    </row>
    <row r="502">
      <c r="A502" s="165"/>
      <c r="B502" s="165"/>
      <c r="C502" s="165"/>
      <c r="D502" s="165"/>
      <c r="E502" s="166"/>
      <c r="F502" s="165"/>
      <c r="G502" s="167"/>
      <c r="H502" s="166"/>
      <c r="I502" s="167"/>
      <c r="J502" s="168"/>
      <c r="K502" s="169"/>
      <c r="L502" s="165"/>
      <c r="M502" s="165"/>
      <c r="N502" s="165"/>
      <c r="O502" s="165"/>
      <c r="P502" s="165"/>
      <c r="Q502" s="165"/>
      <c r="R502" s="165"/>
      <c r="S502" s="165"/>
    </row>
    <row r="503">
      <c r="A503" s="165"/>
      <c r="B503" s="165"/>
      <c r="C503" s="165"/>
      <c r="D503" s="165"/>
      <c r="E503" s="166"/>
      <c r="F503" s="165"/>
      <c r="G503" s="167"/>
      <c r="H503" s="166"/>
      <c r="I503" s="167"/>
      <c r="J503" s="168"/>
      <c r="K503" s="169"/>
      <c r="L503" s="165"/>
      <c r="M503" s="165"/>
      <c r="N503" s="165"/>
      <c r="O503" s="165"/>
      <c r="P503" s="165"/>
      <c r="Q503" s="165"/>
      <c r="R503" s="165"/>
      <c r="S503" s="165"/>
    </row>
    <row r="504">
      <c r="A504" s="165"/>
      <c r="B504" s="165"/>
      <c r="C504" s="165"/>
      <c r="D504" s="165"/>
      <c r="E504" s="166"/>
      <c r="F504" s="165"/>
      <c r="G504" s="167"/>
      <c r="H504" s="166"/>
      <c r="I504" s="167"/>
      <c r="J504" s="168"/>
      <c r="K504" s="169"/>
      <c r="L504" s="165"/>
      <c r="M504" s="165"/>
      <c r="N504" s="165"/>
      <c r="O504" s="165"/>
      <c r="P504" s="165"/>
      <c r="Q504" s="165"/>
      <c r="R504" s="165"/>
      <c r="S504" s="165"/>
    </row>
    <row r="505">
      <c r="A505" s="165"/>
      <c r="B505" s="165"/>
      <c r="C505" s="165"/>
      <c r="D505" s="165"/>
      <c r="E505" s="166"/>
      <c r="F505" s="165"/>
      <c r="G505" s="167"/>
      <c r="H505" s="166"/>
      <c r="I505" s="167"/>
      <c r="J505" s="168"/>
      <c r="K505" s="169"/>
      <c r="L505" s="165"/>
      <c r="M505" s="165"/>
      <c r="N505" s="165"/>
      <c r="O505" s="165"/>
      <c r="P505" s="165"/>
      <c r="Q505" s="165"/>
      <c r="R505" s="165"/>
      <c r="S505" s="165"/>
    </row>
    <row r="506">
      <c r="A506" s="165"/>
      <c r="B506" s="165"/>
      <c r="C506" s="165"/>
      <c r="D506" s="165"/>
      <c r="E506" s="166"/>
      <c r="F506" s="165"/>
      <c r="G506" s="167"/>
      <c r="H506" s="166"/>
      <c r="I506" s="167"/>
      <c r="J506" s="168"/>
      <c r="K506" s="169"/>
      <c r="L506" s="165"/>
      <c r="M506" s="165"/>
      <c r="N506" s="165"/>
      <c r="O506" s="165"/>
      <c r="P506" s="165"/>
      <c r="Q506" s="165"/>
      <c r="R506" s="165"/>
      <c r="S506" s="165"/>
    </row>
  </sheetData>
  <conditionalFormatting sqref="E3:E39 I3:I39">
    <cfRule type="expression" dxfId="0" priority="1">
      <formula>AND($E3&lt;&gt;"",(($E3-$H3)/365*12)&lt;1)</formula>
    </cfRule>
  </conditionalFormatting>
  <conditionalFormatting sqref="J3:J39">
    <cfRule type="cellIs" dxfId="2" priority="2" operator="between">
      <formula>75</formula>
      <formula>90</formula>
    </cfRule>
  </conditionalFormatting>
  <conditionalFormatting sqref="J3:J39">
    <cfRule type="cellIs" dxfId="1" priority="3" operator="between">
      <formula>50</formula>
      <formula>75</formula>
    </cfRule>
  </conditionalFormatting>
  <conditionalFormatting sqref="J3:J39">
    <cfRule type="cellIs" dxfId="4" priority="4" operator="between">
      <formula>1</formula>
      <formula>50</formula>
    </cfRule>
  </conditionalFormatting>
  <conditionalFormatting sqref="I3:I39">
    <cfRule type="colorScale" priority="5">
      <colorScale>
        <cfvo type="min"/>
        <cfvo type="percentile" val="50"/>
        <cfvo type="max"/>
        <color rgb="FFB6D7A8"/>
        <color rgb="FFFFE599"/>
        <color rgb="FFEA9999"/>
      </colorScale>
    </cfRule>
  </conditionalFormatting>
  <conditionalFormatting sqref="J3:J39">
    <cfRule type="cellIs" dxfId="9" priority="6" operator="between">
      <formula>90</formula>
      <formula>100</formula>
    </cfRule>
  </conditionalFormatting>
  <conditionalFormatting sqref="G3:G39">
    <cfRule type="expression" dxfId="10" priority="7">
      <formula>MATCH(A3,INDIRECT("'Xbox Game Studios'!A:A"),0)</formula>
    </cfRule>
  </conditionalFormatting>
  <conditionalFormatting sqref="G3:G39">
    <cfRule type="expression" dxfId="10" priority="8">
      <formula>MATCH(A3,INDIRECT("'EA Play'!A:A"),0)</formula>
    </cfRule>
  </conditionalFormatting>
  <conditionalFormatting sqref="G3:G39">
    <cfRule type="expression" dxfId="5" priority="9">
      <formula>AND(D3="Active",OR(AND(G3&gt;10.5,G3&lt;13),AND(G3&gt;22.5,G3&lt;25),AND(G3&gt;34.5,G3&lt;37),AND(G3&gt;46.5,G3&lt;49),AND(G3&gt;58.5,G3&lt;61)),)</formula>
    </cfRule>
  </conditionalFormatting>
  <conditionalFormatting sqref="B1">
    <cfRule type="cellIs" dxfId="0" priority="10" operator="equal">
      <formula>"Xbox"</formula>
    </cfRule>
  </conditionalFormatting>
  <conditionalFormatting sqref="J2:K39 L2 O2">
    <cfRule type="containsBlanks" dxfId="11" priority="11">
      <formula>LEN(TRIM(J2))=0</formula>
    </cfRule>
  </conditionalFormatting>
  <conditionalFormatting sqref="O2">
    <cfRule type="containsText" dxfId="11" priority="12" operator="containsText" text="RP">
      <formula>NOT(ISERROR(SEARCH(("RP"),(O2))))</formula>
    </cfRule>
  </conditionalFormatting>
  <conditionalFormatting sqref="O2">
    <cfRule type="containsText" dxfId="12" priority="13" operator="containsText" text="NR">
      <formula>NOT(ISERROR(SEARCH(("NR"),(O2))))</formula>
    </cfRule>
  </conditionalFormatting>
  <conditionalFormatting sqref="A1:A2 D1:D39">
    <cfRule type="expression" dxfId="3" priority="14">
      <formula>$D1="Coming Soon"</formula>
    </cfRule>
  </conditionalFormatting>
  <conditionalFormatting sqref="A1:A2 D1:D39">
    <cfRule type="expression" dxfId="4" priority="15">
      <formula>$D1="Removed"</formula>
    </cfRule>
  </conditionalFormatting>
  <conditionalFormatting sqref="A1:A2 D1:D39">
    <cfRule type="expression" dxfId="5" priority="16">
      <formula>$D1="Leaving Soon"</formula>
    </cfRule>
  </conditionalFormatting>
  <conditionalFormatting sqref="J1:J506">
    <cfRule type="cellIs" dxfId="2" priority="17" operator="between">
      <formula>75</formula>
      <formula>100</formula>
    </cfRule>
  </conditionalFormatting>
  <conditionalFormatting sqref="J1:J506">
    <cfRule type="cellIs" dxfId="1" priority="18" operator="between">
      <formula>50</formula>
      <formula>74</formula>
    </cfRule>
  </conditionalFormatting>
  <conditionalFormatting sqref="J1:J506">
    <cfRule type="cellIs" dxfId="4" priority="19" operator="between">
      <formula>1</formula>
      <formula>49</formula>
    </cfRule>
  </conditionalFormatting>
  <conditionalFormatting sqref="A1:A2 C1:C2">
    <cfRule type="expression" dxfId="4" priority="20">
      <formula>$C1="Removed"</formula>
    </cfRule>
  </conditionalFormatting>
  <conditionalFormatting sqref="A1:A2">
    <cfRule type="expression" dxfId="1" priority="21">
      <formula>MATCH(A1,INDIRECT("'Xbox Game Studios'!A:A"),0)</formula>
    </cfRule>
  </conditionalFormatting>
  <conditionalFormatting sqref="A1:A2 C1:C2">
    <cfRule type="expression" dxfId="5" priority="22">
      <formula>$C1="Leaving Soon"</formula>
    </cfRule>
  </conditionalFormatting>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7.13"/>
    <col customWidth="1" min="2" max="3" width="44.13"/>
  </cols>
  <sheetData>
    <row r="1">
      <c r="A1" s="217" t="s">
        <v>2960</v>
      </c>
      <c r="B1" s="218" t="s">
        <v>2961</v>
      </c>
      <c r="C1" s="219" t="s">
        <v>2962</v>
      </c>
    </row>
    <row r="2">
      <c r="A2" s="220" t="s">
        <v>2963</v>
      </c>
      <c r="B2" s="221" t="s">
        <v>13</v>
      </c>
      <c r="C2" s="222" t="s">
        <v>2964</v>
      </c>
    </row>
    <row r="3">
      <c r="A3" s="223" t="s">
        <v>2965</v>
      </c>
      <c r="B3" s="224" t="s">
        <v>2966</v>
      </c>
      <c r="C3" s="225" t="s">
        <v>2967</v>
      </c>
    </row>
    <row r="4">
      <c r="A4" s="226" t="s">
        <v>2968</v>
      </c>
      <c r="B4" s="226" t="s">
        <v>2969</v>
      </c>
      <c r="C4" s="226" t="s">
        <v>2970</v>
      </c>
    </row>
    <row r="5">
      <c r="A5" s="227" t="s">
        <v>2971</v>
      </c>
      <c r="B5" s="228" t="s">
        <v>2972</v>
      </c>
      <c r="C5" s="229" t="s">
        <v>2973</v>
      </c>
    </row>
    <row r="6">
      <c r="A6" s="230" t="s">
        <v>2974</v>
      </c>
      <c r="B6" s="228" t="s">
        <v>2975</v>
      </c>
      <c r="C6" s="229" t="s">
        <v>2976</v>
      </c>
    </row>
    <row r="7">
      <c r="A7" s="230" t="s">
        <v>2977</v>
      </c>
      <c r="B7" s="228" t="s">
        <v>2978</v>
      </c>
      <c r="C7" s="229" t="s">
        <v>2979</v>
      </c>
    </row>
    <row r="8">
      <c r="A8" s="230" t="s">
        <v>2980</v>
      </c>
      <c r="B8" s="228" t="s">
        <v>2981</v>
      </c>
      <c r="C8" s="231" t="s">
        <v>2982</v>
      </c>
    </row>
    <row r="9">
      <c r="A9" s="230" t="s">
        <v>2983</v>
      </c>
      <c r="B9" s="228" t="s">
        <v>2984</v>
      </c>
      <c r="C9" s="232" t="s">
        <v>2985</v>
      </c>
    </row>
    <row r="10">
      <c r="A10" s="230" t="s">
        <v>2986</v>
      </c>
      <c r="B10" s="228" t="s">
        <v>2987</v>
      </c>
      <c r="C10" s="229" t="s">
        <v>2988</v>
      </c>
    </row>
    <row r="11">
      <c r="A11" s="230" t="s">
        <v>2989</v>
      </c>
      <c r="B11" s="228" t="s">
        <v>2990</v>
      </c>
      <c r="C11" s="232" t="s">
        <v>2991</v>
      </c>
    </row>
    <row r="12">
      <c r="A12" s="230" t="s">
        <v>2992</v>
      </c>
      <c r="B12" s="228" t="s">
        <v>2993</v>
      </c>
      <c r="C12" s="229" t="s">
        <v>2994</v>
      </c>
    </row>
    <row r="13">
      <c r="A13" s="230" t="s">
        <v>2995</v>
      </c>
      <c r="B13" s="228" t="s">
        <v>2996</v>
      </c>
      <c r="C13" s="229" t="s">
        <v>2994</v>
      </c>
    </row>
    <row r="14">
      <c r="A14" s="230" t="s">
        <v>2997</v>
      </c>
      <c r="B14" s="233" t="s">
        <v>2998</v>
      </c>
      <c r="C14" s="231" t="s">
        <v>2999</v>
      </c>
    </row>
    <row r="15">
      <c r="A15" s="230" t="s">
        <v>3000</v>
      </c>
      <c r="B15" s="228" t="s">
        <v>3001</v>
      </c>
      <c r="C15" s="231" t="s">
        <v>3002</v>
      </c>
    </row>
    <row r="16">
      <c r="A16" s="230" t="s">
        <v>3003</v>
      </c>
      <c r="B16" s="233" t="s">
        <v>3004</v>
      </c>
      <c r="C16" s="231" t="s">
        <v>3005</v>
      </c>
    </row>
    <row r="17">
      <c r="A17" s="230" t="s">
        <v>3003</v>
      </c>
      <c r="B17" s="228" t="s">
        <v>3006</v>
      </c>
      <c r="C17" s="231" t="s">
        <v>3007</v>
      </c>
    </row>
    <row r="18">
      <c r="A18" s="230" t="s">
        <v>3003</v>
      </c>
      <c r="B18" s="228" t="s">
        <v>3008</v>
      </c>
      <c r="C18" s="231" t="s">
        <v>3005</v>
      </c>
    </row>
    <row r="19">
      <c r="A19" s="230" t="s">
        <v>3003</v>
      </c>
      <c r="B19" s="228" t="s">
        <v>3009</v>
      </c>
      <c r="C19" s="231" t="s">
        <v>3005</v>
      </c>
    </row>
    <row r="20">
      <c r="A20" s="230" t="s">
        <v>3010</v>
      </c>
      <c r="B20" s="228" t="s">
        <v>3011</v>
      </c>
      <c r="C20" s="231" t="s">
        <v>3005</v>
      </c>
    </row>
    <row r="21">
      <c r="A21" s="230" t="s">
        <v>3010</v>
      </c>
      <c r="B21" s="228" t="s">
        <v>3012</v>
      </c>
      <c r="C21" s="231" t="s">
        <v>3005</v>
      </c>
    </row>
    <row r="22">
      <c r="A22" s="230" t="s">
        <v>3010</v>
      </c>
      <c r="B22" s="228" t="s">
        <v>3013</v>
      </c>
      <c r="C22" s="231" t="s">
        <v>3005</v>
      </c>
    </row>
    <row r="23">
      <c r="A23" s="230" t="s">
        <v>3010</v>
      </c>
      <c r="B23" s="233" t="s">
        <v>3014</v>
      </c>
      <c r="C23" s="231" t="s">
        <v>3005</v>
      </c>
    </row>
    <row r="24">
      <c r="A24" s="230" t="s">
        <v>3010</v>
      </c>
      <c r="B24" s="228" t="s">
        <v>3015</v>
      </c>
      <c r="C24" s="231" t="s">
        <v>3005</v>
      </c>
    </row>
    <row r="25">
      <c r="A25" s="230" t="s">
        <v>3016</v>
      </c>
      <c r="B25" s="228" t="s">
        <v>3017</v>
      </c>
      <c r="C25" s="229" t="s">
        <v>3018</v>
      </c>
    </row>
    <row r="26">
      <c r="A26" s="230" t="s">
        <v>3019</v>
      </c>
      <c r="B26" s="228" t="s">
        <v>3020</v>
      </c>
      <c r="C26" s="229" t="s">
        <v>2994</v>
      </c>
    </row>
    <row r="27">
      <c r="A27" s="234" t="s">
        <v>3021</v>
      </c>
      <c r="B27" s="228" t="s">
        <v>3022</v>
      </c>
      <c r="C27" s="231" t="s">
        <v>12</v>
      </c>
    </row>
    <row r="28">
      <c r="A28" s="230" t="s">
        <v>3023</v>
      </c>
      <c r="B28" s="228" t="s">
        <v>3024</v>
      </c>
      <c r="C28" s="232" t="s">
        <v>3025</v>
      </c>
    </row>
    <row r="29">
      <c r="A29" s="230" t="s">
        <v>3026</v>
      </c>
      <c r="B29" s="228" t="s">
        <v>3027</v>
      </c>
      <c r="C29" s="231" t="s">
        <v>3028</v>
      </c>
    </row>
    <row r="30">
      <c r="A30" s="230" t="s">
        <v>3029</v>
      </c>
      <c r="B30" s="228" t="s">
        <v>3030</v>
      </c>
      <c r="C30" s="235" t="s">
        <v>3031</v>
      </c>
    </row>
    <row r="31">
      <c r="A31" s="230" t="s">
        <v>3029</v>
      </c>
      <c r="B31" s="228" t="s">
        <v>3032</v>
      </c>
      <c r="C31" s="231" t="s">
        <v>3005</v>
      </c>
    </row>
    <row r="32">
      <c r="A32" s="230" t="s">
        <v>3029</v>
      </c>
      <c r="B32" s="228" t="s">
        <v>3033</v>
      </c>
      <c r="C32" s="231" t="s">
        <v>3034</v>
      </c>
    </row>
    <row r="33">
      <c r="A33" s="236" t="s">
        <v>3010</v>
      </c>
      <c r="B33" s="237" t="s">
        <v>3035</v>
      </c>
      <c r="C33" s="231" t="s">
        <v>12</v>
      </c>
    </row>
    <row r="34">
      <c r="A34" s="236" t="s">
        <v>3036</v>
      </c>
      <c r="B34" s="228" t="s">
        <v>3037</v>
      </c>
      <c r="C34" s="231" t="s">
        <v>3038</v>
      </c>
    </row>
    <row r="35">
      <c r="A35" s="236" t="s">
        <v>3010</v>
      </c>
      <c r="B35" s="228" t="s">
        <v>3039</v>
      </c>
      <c r="C35" s="231" t="s">
        <v>12</v>
      </c>
    </row>
    <row r="36">
      <c r="A36" s="236" t="s">
        <v>3010</v>
      </c>
      <c r="B36" s="228" t="s">
        <v>3040</v>
      </c>
      <c r="C36" s="231" t="s">
        <v>12</v>
      </c>
    </row>
    <row r="37">
      <c r="A37" s="236" t="s">
        <v>3041</v>
      </c>
      <c r="B37" s="228" t="s">
        <v>3042</v>
      </c>
      <c r="C37" s="232" t="s">
        <v>3043</v>
      </c>
    </row>
    <row r="38">
      <c r="A38" s="236" t="s">
        <v>3044</v>
      </c>
      <c r="B38" s="228" t="s">
        <v>3045</v>
      </c>
      <c r="C38" s="231" t="s">
        <v>12</v>
      </c>
    </row>
    <row r="39">
      <c r="A39" s="236" t="s">
        <v>3046</v>
      </c>
      <c r="B39" s="233" t="s">
        <v>3047</v>
      </c>
      <c r="C39" s="231" t="s">
        <v>12</v>
      </c>
    </row>
    <row r="40">
      <c r="A40" s="236" t="s">
        <v>3046</v>
      </c>
      <c r="B40" s="228" t="s">
        <v>3048</v>
      </c>
      <c r="C40" s="235" t="s">
        <v>3049</v>
      </c>
    </row>
    <row r="41">
      <c r="A41" s="236" t="s">
        <v>3050</v>
      </c>
      <c r="B41" s="228" t="s">
        <v>3051</v>
      </c>
      <c r="C41" s="231" t="s">
        <v>3052</v>
      </c>
    </row>
    <row r="42">
      <c r="A42" s="236" t="s">
        <v>3010</v>
      </c>
      <c r="B42" s="237" t="s">
        <v>3053</v>
      </c>
      <c r="C42" s="231" t="s">
        <v>3054</v>
      </c>
    </row>
    <row r="43">
      <c r="A43" s="236" t="s">
        <v>3055</v>
      </c>
      <c r="B43" s="237" t="s">
        <v>3056</v>
      </c>
      <c r="C43" s="231" t="s">
        <v>12</v>
      </c>
    </row>
    <row r="44">
      <c r="A44" s="236" t="s">
        <v>3055</v>
      </c>
      <c r="B44" s="228" t="s">
        <v>3057</v>
      </c>
      <c r="C44" s="231" t="s">
        <v>3058</v>
      </c>
    </row>
    <row r="45">
      <c r="A45" s="236" t="s">
        <v>3055</v>
      </c>
      <c r="B45" s="238" t="s">
        <v>3059</v>
      </c>
      <c r="C45" s="231" t="s">
        <v>3058</v>
      </c>
    </row>
    <row r="46">
      <c r="A46" s="236" t="s">
        <v>3055</v>
      </c>
      <c r="B46" s="228" t="s">
        <v>3060</v>
      </c>
      <c r="C46" s="235" t="s">
        <v>3061</v>
      </c>
    </row>
    <row r="47">
      <c r="A47" s="236" t="s">
        <v>3055</v>
      </c>
      <c r="B47" s="228" t="s">
        <v>3062</v>
      </c>
      <c r="C47" s="229" t="s">
        <v>3063</v>
      </c>
    </row>
    <row r="48">
      <c r="A48" s="236" t="s">
        <v>3064</v>
      </c>
      <c r="B48" s="233" t="s">
        <v>3065</v>
      </c>
      <c r="C48" s="232" t="s">
        <v>3066</v>
      </c>
    </row>
    <row r="49">
      <c r="A49" s="236" t="s">
        <v>3064</v>
      </c>
      <c r="B49" s="228" t="s">
        <v>3067</v>
      </c>
      <c r="C49" s="231" t="s">
        <v>3054</v>
      </c>
    </row>
    <row r="50">
      <c r="A50" s="236" t="s">
        <v>3068</v>
      </c>
      <c r="B50" s="239" t="s">
        <v>3069</v>
      </c>
      <c r="C50" s="231" t="s">
        <v>3070</v>
      </c>
    </row>
    <row r="51">
      <c r="A51" s="236" t="s">
        <v>3071</v>
      </c>
      <c r="B51" s="233" t="s">
        <v>3072</v>
      </c>
      <c r="C51" s="231" t="s">
        <v>3073</v>
      </c>
    </row>
    <row r="52">
      <c r="A52" s="236" t="s">
        <v>3064</v>
      </c>
      <c r="B52" s="233" t="s">
        <v>3074</v>
      </c>
      <c r="C52" s="235" t="s">
        <v>3075</v>
      </c>
    </row>
    <row r="53">
      <c r="A53" s="236" t="s">
        <v>3064</v>
      </c>
      <c r="B53" s="237" t="s">
        <v>3076</v>
      </c>
      <c r="C53" s="231" t="s">
        <v>3077</v>
      </c>
    </row>
    <row r="54">
      <c r="A54" s="236" t="s">
        <v>3078</v>
      </c>
      <c r="B54" s="233" t="s">
        <v>3079</v>
      </c>
      <c r="C54" s="235" t="s">
        <v>3080</v>
      </c>
    </row>
    <row r="55">
      <c r="A55" s="236" t="s">
        <v>3081</v>
      </c>
      <c r="B55" s="228" t="s">
        <v>3082</v>
      </c>
      <c r="C55" s="231" t="s">
        <v>3070</v>
      </c>
    </row>
    <row r="56">
      <c r="A56" s="236" t="s">
        <v>3083</v>
      </c>
      <c r="B56" s="228" t="s">
        <v>3084</v>
      </c>
      <c r="C56" s="231" t="s">
        <v>3085</v>
      </c>
    </row>
    <row r="57">
      <c r="A57" s="236" t="s">
        <v>3086</v>
      </c>
      <c r="B57" s="228" t="s">
        <v>3087</v>
      </c>
      <c r="C57" s="231" t="s">
        <v>3058</v>
      </c>
    </row>
    <row r="58">
      <c r="A58" s="236" t="s">
        <v>3088</v>
      </c>
      <c r="B58" s="228" t="s">
        <v>3089</v>
      </c>
      <c r="C58" s="240" t="s">
        <v>3090</v>
      </c>
    </row>
    <row r="59">
      <c r="A59" s="236" t="s">
        <v>3091</v>
      </c>
      <c r="B59" s="238" t="s">
        <v>3092</v>
      </c>
      <c r="C59" s="231" t="s">
        <v>3058</v>
      </c>
    </row>
    <row r="60">
      <c r="A60" s="236" t="s">
        <v>3093</v>
      </c>
      <c r="B60" s="233" t="s">
        <v>3094</v>
      </c>
      <c r="C60" s="231" t="s">
        <v>3077</v>
      </c>
    </row>
    <row r="61">
      <c r="A61" s="236" t="s">
        <v>3095</v>
      </c>
      <c r="B61" s="228" t="s">
        <v>3096</v>
      </c>
      <c r="C61" s="229" t="s">
        <v>3097</v>
      </c>
    </row>
    <row r="62">
      <c r="A62" s="236" t="s">
        <v>3098</v>
      </c>
      <c r="B62" s="228" t="s">
        <v>3099</v>
      </c>
      <c r="C62" s="235" t="s">
        <v>3100</v>
      </c>
    </row>
    <row r="63">
      <c r="A63" s="236" t="s">
        <v>3101</v>
      </c>
      <c r="B63" s="228" t="s">
        <v>3102</v>
      </c>
      <c r="C63" s="231" t="s">
        <v>3103</v>
      </c>
    </row>
    <row r="64">
      <c r="A64" s="236" t="s">
        <v>3104</v>
      </c>
      <c r="B64" s="228" t="s">
        <v>3105</v>
      </c>
      <c r="C64" s="235" t="s">
        <v>3106</v>
      </c>
    </row>
    <row r="65">
      <c r="A65" s="236" t="s">
        <v>3107</v>
      </c>
      <c r="B65" s="241" t="s">
        <v>3108</v>
      </c>
      <c r="C65" s="231" t="s">
        <v>3109</v>
      </c>
    </row>
    <row r="66">
      <c r="A66" s="236" t="s">
        <v>3110</v>
      </c>
      <c r="B66" s="228" t="s">
        <v>3111</v>
      </c>
      <c r="C66" s="231" t="s">
        <v>3112</v>
      </c>
    </row>
    <row r="67">
      <c r="A67" s="236" t="s">
        <v>3050</v>
      </c>
      <c r="B67" s="233" t="s">
        <v>3113</v>
      </c>
      <c r="C67" s="231" t="s">
        <v>3114</v>
      </c>
    </row>
    <row r="68">
      <c r="A68" s="236" t="s">
        <v>3115</v>
      </c>
      <c r="B68" s="228" t="s">
        <v>3116</v>
      </c>
      <c r="C68" s="231" t="s">
        <v>3117</v>
      </c>
    </row>
    <row r="69">
      <c r="A69" s="236" t="s">
        <v>3118</v>
      </c>
      <c r="B69" s="233" t="s">
        <v>3119</v>
      </c>
      <c r="C69" s="231" t="s">
        <v>3120</v>
      </c>
    </row>
    <row r="70">
      <c r="A70" s="236" t="s">
        <v>3121</v>
      </c>
      <c r="B70" s="233" t="s">
        <v>3122</v>
      </c>
      <c r="C70" s="235" t="s">
        <v>3106</v>
      </c>
    </row>
    <row r="71">
      <c r="A71" s="236" t="s">
        <v>3123</v>
      </c>
      <c r="B71" s="228" t="s">
        <v>3124</v>
      </c>
      <c r="C71" s="231" t="s">
        <v>3125</v>
      </c>
    </row>
    <row r="72">
      <c r="A72" s="236" t="s">
        <v>3126</v>
      </c>
      <c r="B72" s="233" t="s">
        <v>3127</v>
      </c>
      <c r="C72" s="231" t="s">
        <v>3128</v>
      </c>
    </row>
    <row r="73">
      <c r="A73" s="236" t="s">
        <v>3129</v>
      </c>
      <c r="B73" s="228" t="s">
        <v>3130</v>
      </c>
      <c r="C73" s="229" t="s">
        <v>3131</v>
      </c>
    </row>
    <row r="74">
      <c r="A74" s="236" t="s">
        <v>3132</v>
      </c>
      <c r="B74" s="228" t="s">
        <v>3133</v>
      </c>
      <c r="C74" s="229" t="s">
        <v>3134</v>
      </c>
    </row>
    <row r="75">
      <c r="A75" s="236" t="s">
        <v>3135</v>
      </c>
      <c r="B75" s="237" t="s">
        <v>3136</v>
      </c>
      <c r="C75" s="231" t="s">
        <v>3058</v>
      </c>
    </row>
    <row r="76">
      <c r="A76" s="236" t="s">
        <v>3137</v>
      </c>
      <c r="B76" s="228" t="s">
        <v>3138</v>
      </c>
      <c r="C76" s="229" t="s">
        <v>3139</v>
      </c>
    </row>
    <row r="77">
      <c r="A77" s="236" t="s">
        <v>3140</v>
      </c>
      <c r="B77" s="233" t="s">
        <v>3141</v>
      </c>
      <c r="C77" s="229" t="s">
        <v>3139</v>
      </c>
    </row>
    <row r="78">
      <c r="A78" s="236" t="s">
        <v>3137</v>
      </c>
      <c r="B78" s="228" t="s">
        <v>3142</v>
      </c>
      <c r="C78" s="229" t="s">
        <v>3143</v>
      </c>
    </row>
    <row r="79">
      <c r="A79" s="236" t="s">
        <v>3144</v>
      </c>
      <c r="B79" s="228" t="s">
        <v>3145</v>
      </c>
      <c r="C79" s="229" t="s">
        <v>3139</v>
      </c>
    </row>
    <row r="80">
      <c r="A80" s="236" t="s">
        <v>3146</v>
      </c>
      <c r="B80" s="228" t="s">
        <v>3147</v>
      </c>
      <c r="C80" s="231" t="s">
        <v>3058</v>
      </c>
    </row>
    <row r="81">
      <c r="A81" s="236" t="s">
        <v>3148</v>
      </c>
      <c r="B81" s="228" t="s">
        <v>3149</v>
      </c>
      <c r="C81" s="229" t="s">
        <v>3139</v>
      </c>
    </row>
    <row r="82">
      <c r="A82" s="236" t="s">
        <v>3150</v>
      </c>
      <c r="B82" s="228" t="s">
        <v>3151</v>
      </c>
      <c r="C82" s="231" t="s">
        <v>3058</v>
      </c>
    </row>
    <row r="83">
      <c r="A83" s="236" t="s">
        <v>3137</v>
      </c>
      <c r="B83" s="237" t="s">
        <v>3152</v>
      </c>
      <c r="C83" s="231" t="s">
        <v>3058</v>
      </c>
    </row>
    <row r="84">
      <c r="A84" s="236" t="s">
        <v>3086</v>
      </c>
      <c r="B84" s="228" t="s">
        <v>3153</v>
      </c>
      <c r="C84" s="232" t="s">
        <v>3154</v>
      </c>
    </row>
    <row r="85">
      <c r="A85" s="236" t="s">
        <v>3155</v>
      </c>
      <c r="B85" s="228" t="s">
        <v>3156</v>
      </c>
      <c r="C85" s="231" t="s">
        <v>12</v>
      </c>
    </row>
    <row r="86">
      <c r="A86" s="236" t="s">
        <v>3157</v>
      </c>
      <c r="B86" s="228" t="s">
        <v>3158</v>
      </c>
      <c r="C86" s="231" t="s">
        <v>3058</v>
      </c>
    </row>
    <row r="87">
      <c r="A87" s="236" t="s">
        <v>3137</v>
      </c>
      <c r="B87" s="233" t="s">
        <v>3159</v>
      </c>
      <c r="C87" s="231" t="s">
        <v>3160</v>
      </c>
    </row>
    <row r="88">
      <c r="A88" s="236" t="s">
        <v>3088</v>
      </c>
      <c r="B88" s="228" t="s">
        <v>3161</v>
      </c>
      <c r="C88" s="231" t="s">
        <v>3058</v>
      </c>
    </row>
    <row r="89">
      <c r="A89" s="236" t="s">
        <v>3137</v>
      </c>
      <c r="B89" s="228" t="s">
        <v>3162</v>
      </c>
      <c r="C89" s="231" t="s">
        <v>3163</v>
      </c>
    </row>
    <row r="90">
      <c r="A90" s="236" t="s">
        <v>3164</v>
      </c>
      <c r="B90" s="228" t="s">
        <v>3165</v>
      </c>
      <c r="C90" s="231" t="s">
        <v>3058</v>
      </c>
    </row>
    <row r="91">
      <c r="A91" s="236" t="s">
        <v>3166</v>
      </c>
      <c r="B91" s="228" t="s">
        <v>3167</v>
      </c>
      <c r="C91" s="229" t="s">
        <v>3168</v>
      </c>
    </row>
    <row r="92">
      <c r="A92" s="236" t="s">
        <v>3169</v>
      </c>
      <c r="B92" s="228" t="s">
        <v>3170</v>
      </c>
      <c r="C92" s="232" t="s">
        <v>3171</v>
      </c>
    </row>
    <row r="93">
      <c r="A93" s="236" t="s">
        <v>3137</v>
      </c>
      <c r="B93" s="227" t="s">
        <v>3172</v>
      </c>
      <c r="C93" s="229" t="s">
        <v>3173</v>
      </c>
    </row>
    <row r="94">
      <c r="A94" s="236" t="s">
        <v>3174</v>
      </c>
      <c r="B94" s="228" t="s">
        <v>3175</v>
      </c>
      <c r="C94" s="231" t="s">
        <v>3058</v>
      </c>
    </row>
    <row r="95">
      <c r="A95" s="236" t="s">
        <v>3174</v>
      </c>
      <c r="B95" s="228" t="s">
        <v>3176</v>
      </c>
      <c r="C95" s="231" t="s">
        <v>3058</v>
      </c>
    </row>
    <row r="96">
      <c r="A96" s="236" t="s">
        <v>3177</v>
      </c>
      <c r="B96" s="228" t="s">
        <v>3178</v>
      </c>
      <c r="C96" s="231" t="s">
        <v>12</v>
      </c>
    </row>
    <row r="97">
      <c r="A97" s="236" t="s">
        <v>3179</v>
      </c>
      <c r="B97" s="228" t="s">
        <v>3180</v>
      </c>
      <c r="C97" s="229" t="s">
        <v>3181</v>
      </c>
    </row>
    <row r="98">
      <c r="A98" s="236" t="s">
        <v>3182</v>
      </c>
      <c r="B98" s="233" t="s">
        <v>3183</v>
      </c>
      <c r="C98" s="229" t="s">
        <v>3139</v>
      </c>
    </row>
    <row r="99">
      <c r="A99" s="236" t="s">
        <v>3184</v>
      </c>
      <c r="B99" s="228" t="s">
        <v>3185</v>
      </c>
      <c r="C99" s="231" t="s">
        <v>3058</v>
      </c>
    </row>
    <row r="100">
      <c r="A100" s="236" t="s">
        <v>3184</v>
      </c>
      <c r="B100" s="228" t="s">
        <v>3186</v>
      </c>
      <c r="C100" s="231" t="s">
        <v>3058</v>
      </c>
    </row>
    <row r="101">
      <c r="A101" s="236" t="s">
        <v>3184</v>
      </c>
      <c r="B101" s="228" t="s">
        <v>3187</v>
      </c>
      <c r="C101" s="231" t="s">
        <v>3058</v>
      </c>
    </row>
    <row r="102">
      <c r="A102" s="236" t="s">
        <v>3184</v>
      </c>
      <c r="B102" s="228" t="s">
        <v>3188</v>
      </c>
      <c r="C102" s="231" t="s">
        <v>3058</v>
      </c>
    </row>
    <row r="103">
      <c r="A103" s="236" t="s">
        <v>3184</v>
      </c>
      <c r="B103" s="228" t="s">
        <v>3189</v>
      </c>
      <c r="C103" s="231" t="s">
        <v>3058</v>
      </c>
    </row>
    <row r="104">
      <c r="A104" s="236" t="s">
        <v>3184</v>
      </c>
      <c r="B104" s="228" t="s">
        <v>3190</v>
      </c>
      <c r="C104" s="231" t="s">
        <v>3058</v>
      </c>
    </row>
    <row r="105">
      <c r="A105" s="236" t="s">
        <v>3184</v>
      </c>
      <c r="B105" s="228" t="s">
        <v>3191</v>
      </c>
      <c r="C105" s="231" t="s">
        <v>3192</v>
      </c>
    </row>
    <row r="106">
      <c r="A106" s="236" t="s">
        <v>3193</v>
      </c>
      <c r="B106" s="228" t="s">
        <v>3194</v>
      </c>
      <c r="C106" s="231" t="s">
        <v>3195</v>
      </c>
    </row>
    <row r="107">
      <c r="A107" s="236" t="s">
        <v>3155</v>
      </c>
      <c r="B107" s="228" t="s">
        <v>3196</v>
      </c>
      <c r="C107" s="231" t="s">
        <v>3058</v>
      </c>
    </row>
    <row r="108">
      <c r="A108" s="236" t="s">
        <v>3197</v>
      </c>
      <c r="B108" s="233" t="s">
        <v>3198</v>
      </c>
      <c r="C108" s="231" t="s">
        <v>3199</v>
      </c>
    </row>
    <row r="109">
      <c r="A109" s="236" t="s">
        <v>3200</v>
      </c>
      <c r="B109" s="233" t="s">
        <v>3201</v>
      </c>
      <c r="C109" s="229" t="s">
        <v>3202</v>
      </c>
    </row>
    <row r="110">
      <c r="A110" s="236" t="s">
        <v>3203</v>
      </c>
      <c r="B110" s="228" t="s">
        <v>3204</v>
      </c>
      <c r="C110" s="229" t="s">
        <v>3139</v>
      </c>
    </row>
    <row r="111">
      <c r="A111" s="236" t="s">
        <v>3137</v>
      </c>
      <c r="B111" s="228" t="s">
        <v>3205</v>
      </c>
      <c r="C111" s="229" t="s">
        <v>3206</v>
      </c>
    </row>
    <row r="112">
      <c r="A112" s="236" t="s">
        <v>3137</v>
      </c>
      <c r="B112" s="228" t="s">
        <v>3207</v>
      </c>
      <c r="C112" s="231" t="s">
        <v>3058</v>
      </c>
    </row>
    <row r="113">
      <c r="A113" s="227" t="s">
        <v>3208</v>
      </c>
      <c r="B113" s="228" t="s">
        <v>3209</v>
      </c>
      <c r="C113" s="231" t="s">
        <v>12</v>
      </c>
    </row>
    <row r="114">
      <c r="A114" s="236" t="s">
        <v>3210</v>
      </c>
      <c r="B114" s="237" t="s">
        <v>3211</v>
      </c>
      <c r="C114" s="229" t="s">
        <v>3212</v>
      </c>
    </row>
    <row r="115">
      <c r="A115" s="236" t="s">
        <v>3213</v>
      </c>
      <c r="B115" s="228" t="s">
        <v>3214</v>
      </c>
      <c r="C115" s="229" t="s">
        <v>3206</v>
      </c>
    </row>
    <row r="116">
      <c r="A116" s="236" t="s">
        <v>3213</v>
      </c>
      <c r="B116" s="228" t="s">
        <v>3215</v>
      </c>
      <c r="C116" s="229" t="s">
        <v>3216</v>
      </c>
    </row>
    <row r="117">
      <c r="A117" s="236" t="s">
        <v>3217</v>
      </c>
      <c r="B117" s="228" t="s">
        <v>3218</v>
      </c>
      <c r="C117" s="229" t="s">
        <v>3206</v>
      </c>
    </row>
    <row r="118">
      <c r="A118" s="236" t="s">
        <v>3197</v>
      </c>
      <c r="B118" s="228" t="s">
        <v>3219</v>
      </c>
      <c r="C118" s="229" t="s">
        <v>3139</v>
      </c>
    </row>
    <row r="119">
      <c r="A119" s="236" t="s">
        <v>3197</v>
      </c>
      <c r="B119" s="228" t="s">
        <v>3220</v>
      </c>
      <c r="C119" s="231" t="s">
        <v>3221</v>
      </c>
    </row>
    <row r="120">
      <c r="A120" s="236" t="s">
        <v>3222</v>
      </c>
      <c r="B120" s="228" t="s">
        <v>3223</v>
      </c>
      <c r="C120" s="231" t="s">
        <v>3058</v>
      </c>
    </row>
    <row r="121">
      <c r="A121" s="236" t="s">
        <v>3224</v>
      </c>
      <c r="B121" s="228" t="s">
        <v>3225</v>
      </c>
      <c r="C121" s="231" t="s">
        <v>3195</v>
      </c>
    </row>
    <row r="122">
      <c r="A122" s="236" t="s">
        <v>3226</v>
      </c>
      <c r="B122" s="228" t="s">
        <v>3227</v>
      </c>
      <c r="C122" s="231" t="s">
        <v>12</v>
      </c>
    </row>
    <row r="123">
      <c r="A123" s="236" t="s">
        <v>3203</v>
      </c>
      <c r="B123" s="228" t="s">
        <v>3228</v>
      </c>
      <c r="C123" s="231" t="s">
        <v>3058</v>
      </c>
    </row>
    <row r="124">
      <c r="A124" s="236" t="s">
        <v>3203</v>
      </c>
      <c r="B124" s="228" t="s">
        <v>3229</v>
      </c>
      <c r="C124" s="231" t="s">
        <v>3058</v>
      </c>
    </row>
    <row r="125">
      <c r="A125" s="236" t="s">
        <v>2986</v>
      </c>
      <c r="B125" s="228" t="s">
        <v>3230</v>
      </c>
      <c r="C125" s="231" t="s">
        <v>3058</v>
      </c>
    </row>
    <row r="126">
      <c r="A126" s="236" t="s">
        <v>3208</v>
      </c>
      <c r="B126" s="228" t="s">
        <v>3231</v>
      </c>
      <c r="C126" s="229" t="s">
        <v>3232</v>
      </c>
    </row>
    <row r="127">
      <c r="A127" s="236" t="s">
        <v>3144</v>
      </c>
      <c r="B127" s="228" t="s">
        <v>3233</v>
      </c>
      <c r="C127" s="231" t="s">
        <v>12</v>
      </c>
    </row>
    <row r="128">
      <c r="A128" s="236" t="s">
        <v>3234</v>
      </c>
      <c r="B128" s="228" t="s">
        <v>3235</v>
      </c>
      <c r="C128" s="231" t="s">
        <v>3236</v>
      </c>
    </row>
    <row r="129">
      <c r="A129" s="236" t="s">
        <v>3237</v>
      </c>
      <c r="B129" s="228" t="s">
        <v>3238</v>
      </c>
      <c r="C129" s="231" t="s">
        <v>12</v>
      </c>
    </row>
    <row r="130">
      <c r="A130" s="236" t="s">
        <v>3239</v>
      </c>
      <c r="B130" s="228" t="s">
        <v>3240</v>
      </c>
      <c r="C130" s="229" t="s">
        <v>3241</v>
      </c>
    </row>
    <row r="131">
      <c r="A131" s="236" t="s">
        <v>3242</v>
      </c>
      <c r="B131" s="233" t="s">
        <v>3243</v>
      </c>
      <c r="C131" s="231" t="s">
        <v>3244</v>
      </c>
    </row>
    <row r="132">
      <c r="A132" s="236" t="s">
        <v>3245</v>
      </c>
      <c r="B132" s="233" t="s">
        <v>3246</v>
      </c>
      <c r="C132" s="231" t="s">
        <v>3247</v>
      </c>
    </row>
    <row r="133">
      <c r="A133" s="236" t="s">
        <v>3203</v>
      </c>
      <c r="B133" s="228" t="s">
        <v>3248</v>
      </c>
      <c r="C133" s="231" t="s">
        <v>12</v>
      </c>
    </row>
    <row r="134">
      <c r="A134" s="236" t="s">
        <v>3245</v>
      </c>
      <c r="B134" s="228" t="s">
        <v>3249</v>
      </c>
      <c r="C134" s="231" t="s">
        <v>3058</v>
      </c>
    </row>
    <row r="135">
      <c r="A135" s="236" t="s">
        <v>3137</v>
      </c>
      <c r="B135" s="228" t="s">
        <v>3250</v>
      </c>
      <c r="C135" s="229" t="s">
        <v>3251</v>
      </c>
    </row>
    <row r="136">
      <c r="A136" s="236" t="s">
        <v>3252</v>
      </c>
      <c r="B136" s="237" t="s">
        <v>3253</v>
      </c>
      <c r="C136" s="229" t="s">
        <v>3254</v>
      </c>
    </row>
    <row r="137">
      <c r="A137" s="236" t="s">
        <v>3255</v>
      </c>
      <c r="B137" s="228" t="s">
        <v>3256</v>
      </c>
      <c r="C137" s="231" t="s">
        <v>12</v>
      </c>
    </row>
    <row r="138">
      <c r="A138" s="236" t="s">
        <v>3203</v>
      </c>
      <c r="B138" s="228" t="s">
        <v>3257</v>
      </c>
      <c r="C138" s="231" t="s">
        <v>3258</v>
      </c>
    </row>
    <row r="139">
      <c r="A139" s="236" t="s">
        <v>3234</v>
      </c>
      <c r="B139" s="228" t="s">
        <v>3259</v>
      </c>
      <c r="C139" s="231" t="s">
        <v>13</v>
      </c>
    </row>
    <row r="140">
      <c r="A140" s="236" t="s">
        <v>3260</v>
      </c>
      <c r="B140" s="228" t="s">
        <v>3261</v>
      </c>
      <c r="C140" s="231" t="s">
        <v>13</v>
      </c>
    </row>
    <row r="141">
      <c r="A141" s="236" t="s">
        <v>3137</v>
      </c>
      <c r="B141" s="228" t="s">
        <v>3262</v>
      </c>
      <c r="C141" s="231" t="s">
        <v>3263</v>
      </c>
    </row>
    <row r="142">
      <c r="A142" s="236" t="s">
        <v>3264</v>
      </c>
      <c r="B142" s="228" t="s">
        <v>3265</v>
      </c>
      <c r="C142" s="231" t="s">
        <v>12</v>
      </c>
    </row>
    <row r="143">
      <c r="A143" s="236" t="s">
        <v>3266</v>
      </c>
      <c r="B143" s="237" t="s">
        <v>3267</v>
      </c>
      <c r="C143" s="231" t="s">
        <v>3058</v>
      </c>
    </row>
    <row r="144">
      <c r="A144" s="236" t="s">
        <v>3268</v>
      </c>
      <c r="B144" s="228" t="s">
        <v>3269</v>
      </c>
      <c r="C144" s="231" t="s">
        <v>3270</v>
      </c>
    </row>
    <row r="145">
      <c r="A145" s="236" t="s">
        <v>3169</v>
      </c>
      <c r="B145" s="228" t="s">
        <v>3271</v>
      </c>
      <c r="C145" s="229" t="s">
        <v>3272</v>
      </c>
    </row>
    <row r="146">
      <c r="A146" s="236" t="s">
        <v>3273</v>
      </c>
      <c r="B146" s="233" t="s">
        <v>3274</v>
      </c>
      <c r="C146" s="232" t="s">
        <v>3275</v>
      </c>
    </row>
    <row r="147">
      <c r="A147" s="236" t="s">
        <v>3276</v>
      </c>
      <c r="B147" s="233" t="s">
        <v>3277</v>
      </c>
      <c r="C147" s="231" t="s">
        <v>3058</v>
      </c>
    </row>
    <row r="148">
      <c r="A148" s="236" t="s">
        <v>3137</v>
      </c>
      <c r="B148" s="228" t="s">
        <v>3278</v>
      </c>
      <c r="C148" s="229" t="s">
        <v>3279</v>
      </c>
    </row>
    <row r="149">
      <c r="A149" s="236" t="s">
        <v>3280</v>
      </c>
      <c r="B149" s="233" t="s">
        <v>3281</v>
      </c>
      <c r="C149" s="231" t="s">
        <v>3058</v>
      </c>
    </row>
    <row r="150">
      <c r="A150" s="236" t="s">
        <v>3280</v>
      </c>
      <c r="B150" s="233" t="s">
        <v>3282</v>
      </c>
      <c r="C150" s="231" t="s">
        <v>3058</v>
      </c>
    </row>
    <row r="151">
      <c r="A151" s="236" t="s">
        <v>3280</v>
      </c>
      <c r="B151" s="233" t="s">
        <v>3283</v>
      </c>
      <c r="C151" s="231" t="s">
        <v>3284</v>
      </c>
    </row>
    <row r="152">
      <c r="A152" s="236" t="s">
        <v>3285</v>
      </c>
      <c r="B152" s="228" t="s">
        <v>3286</v>
      </c>
      <c r="C152" s="229" t="s">
        <v>3287</v>
      </c>
    </row>
    <row r="153">
      <c r="A153" s="236" t="s">
        <v>3137</v>
      </c>
      <c r="B153" s="233" t="s">
        <v>3288</v>
      </c>
      <c r="C153" s="231" t="s">
        <v>3058</v>
      </c>
    </row>
    <row r="154">
      <c r="A154" s="236" t="s">
        <v>3137</v>
      </c>
      <c r="B154" s="242" t="s">
        <v>3289</v>
      </c>
      <c r="C154" s="231" t="s">
        <v>3290</v>
      </c>
    </row>
    <row r="155">
      <c r="A155" s="236" t="s">
        <v>3291</v>
      </c>
      <c r="B155" s="228" t="s">
        <v>3292</v>
      </c>
      <c r="C155" s="231" t="s">
        <v>3293</v>
      </c>
    </row>
    <row r="156">
      <c r="A156" s="236" t="s">
        <v>3291</v>
      </c>
      <c r="B156" s="228" t="s">
        <v>3294</v>
      </c>
      <c r="C156" s="231" t="s">
        <v>3295</v>
      </c>
    </row>
    <row r="157">
      <c r="A157" s="236" t="s">
        <v>3296</v>
      </c>
      <c r="B157" s="228" t="s">
        <v>3297</v>
      </c>
      <c r="C157" s="231" t="s">
        <v>3058</v>
      </c>
    </row>
    <row r="158">
      <c r="A158" s="236" t="s">
        <v>3298</v>
      </c>
      <c r="B158" s="228" t="s">
        <v>3299</v>
      </c>
      <c r="C158" s="229" t="s">
        <v>3300</v>
      </c>
    </row>
    <row r="159">
      <c r="A159" s="236" t="s">
        <v>3280</v>
      </c>
      <c r="B159" s="228" t="s">
        <v>3301</v>
      </c>
      <c r="C159" s="231" t="s">
        <v>3302</v>
      </c>
    </row>
    <row r="160">
      <c r="A160" s="236" t="s">
        <v>3303</v>
      </c>
      <c r="B160" s="233" t="s">
        <v>3304</v>
      </c>
      <c r="C160" s="231" t="s">
        <v>3058</v>
      </c>
    </row>
    <row r="161">
      <c r="A161" s="243" t="s">
        <v>3021</v>
      </c>
      <c r="B161" s="238" t="s">
        <v>3305</v>
      </c>
      <c r="C161" s="229" t="s">
        <v>3306</v>
      </c>
    </row>
    <row r="162">
      <c r="A162" s="236" t="s">
        <v>3307</v>
      </c>
      <c r="B162" s="228" t="s">
        <v>3308</v>
      </c>
      <c r="C162" s="231" t="s">
        <v>3309</v>
      </c>
    </row>
    <row r="163">
      <c r="A163" s="236" t="s">
        <v>3310</v>
      </c>
      <c r="B163" s="228" t="s">
        <v>3311</v>
      </c>
      <c r="C163" s="231" t="s">
        <v>3058</v>
      </c>
    </row>
    <row r="164">
      <c r="A164" s="236" t="s">
        <v>3312</v>
      </c>
      <c r="B164" s="233" t="s">
        <v>3313</v>
      </c>
      <c r="C164" s="231" t="s">
        <v>3314</v>
      </c>
    </row>
    <row r="165">
      <c r="A165" s="236" t="s">
        <v>3315</v>
      </c>
      <c r="B165" s="233" t="s">
        <v>3316</v>
      </c>
      <c r="C165" s="231" t="s">
        <v>3058</v>
      </c>
    </row>
    <row r="166">
      <c r="A166" s="236" t="s">
        <v>3317</v>
      </c>
      <c r="B166" s="228" t="s">
        <v>3318</v>
      </c>
      <c r="C166" s="231" t="s">
        <v>3319</v>
      </c>
    </row>
    <row r="167">
      <c r="A167" s="236" t="s">
        <v>3320</v>
      </c>
      <c r="B167" s="228" t="s">
        <v>3321</v>
      </c>
      <c r="C167" s="232" t="s">
        <v>3322</v>
      </c>
    </row>
    <row r="168">
      <c r="A168" s="236" t="s">
        <v>3323</v>
      </c>
      <c r="B168" s="228" t="s">
        <v>3324</v>
      </c>
      <c r="C168" s="231" t="s">
        <v>3058</v>
      </c>
    </row>
    <row r="169">
      <c r="A169" s="236" t="s">
        <v>3323</v>
      </c>
      <c r="B169" s="228" t="s">
        <v>3325</v>
      </c>
      <c r="C169" s="231" t="s">
        <v>3058</v>
      </c>
    </row>
    <row r="170">
      <c r="A170" s="236" t="s">
        <v>3323</v>
      </c>
      <c r="B170" s="233" t="s">
        <v>3326</v>
      </c>
      <c r="C170" s="231" t="s">
        <v>3058</v>
      </c>
    </row>
    <row r="171">
      <c r="A171" s="236" t="s">
        <v>3323</v>
      </c>
      <c r="B171" s="228" t="s">
        <v>3327</v>
      </c>
      <c r="C171" s="231" t="s">
        <v>3058</v>
      </c>
    </row>
    <row r="172">
      <c r="A172" s="236" t="s">
        <v>3323</v>
      </c>
      <c r="B172" s="228" t="s">
        <v>3328</v>
      </c>
      <c r="C172" s="231" t="s">
        <v>3329</v>
      </c>
    </row>
    <row r="173">
      <c r="A173" s="236" t="s">
        <v>3323</v>
      </c>
      <c r="B173" s="228" t="s">
        <v>3330</v>
      </c>
      <c r="C173" s="229" t="s">
        <v>3331</v>
      </c>
    </row>
    <row r="174">
      <c r="A174" s="236" t="s">
        <v>3323</v>
      </c>
      <c r="B174" s="228" t="s">
        <v>3332</v>
      </c>
      <c r="C174" s="231" t="s">
        <v>3333</v>
      </c>
    </row>
    <row r="175">
      <c r="A175" s="236" t="s">
        <v>3323</v>
      </c>
      <c r="B175" s="228" t="s">
        <v>3334</v>
      </c>
      <c r="C175" s="231" t="s">
        <v>3058</v>
      </c>
    </row>
    <row r="176">
      <c r="A176" s="236" t="s">
        <v>3335</v>
      </c>
      <c r="B176" s="228" t="s">
        <v>3336</v>
      </c>
      <c r="C176" s="232" t="s">
        <v>3322</v>
      </c>
    </row>
    <row r="177">
      <c r="A177" s="236" t="s">
        <v>3310</v>
      </c>
      <c r="B177" s="228" t="s">
        <v>3337</v>
      </c>
      <c r="C177" s="232" t="s">
        <v>3322</v>
      </c>
    </row>
    <row r="178">
      <c r="A178" s="236" t="s">
        <v>3338</v>
      </c>
      <c r="B178" s="228" t="s">
        <v>3339</v>
      </c>
      <c r="C178" s="231" t="s">
        <v>3058</v>
      </c>
    </row>
    <row r="179">
      <c r="A179" s="236" t="s">
        <v>3338</v>
      </c>
      <c r="B179" s="241" t="s">
        <v>3340</v>
      </c>
      <c r="C179" s="231" t="s">
        <v>3058</v>
      </c>
    </row>
    <row r="180">
      <c r="A180" s="236" t="s">
        <v>3315</v>
      </c>
      <c r="B180" s="228" t="s">
        <v>3341</v>
      </c>
      <c r="C180" s="231" t="s">
        <v>3058</v>
      </c>
    </row>
    <row r="181">
      <c r="A181" s="236" t="s">
        <v>3315</v>
      </c>
      <c r="B181" s="228" t="s">
        <v>3342</v>
      </c>
      <c r="C181" s="231" t="s">
        <v>3058</v>
      </c>
    </row>
    <row r="182">
      <c r="A182" s="227" t="s">
        <v>3343</v>
      </c>
      <c r="B182" s="228" t="s">
        <v>3344</v>
      </c>
      <c r="C182" s="231" t="s">
        <v>3058</v>
      </c>
    </row>
    <row r="183">
      <c r="A183" s="236" t="s">
        <v>3343</v>
      </c>
      <c r="B183" s="233" t="s">
        <v>3345</v>
      </c>
      <c r="C183" s="231" t="s">
        <v>3322</v>
      </c>
    </row>
    <row r="184">
      <c r="A184" s="236" t="s">
        <v>3335</v>
      </c>
      <c r="B184" s="233" t="s">
        <v>3346</v>
      </c>
      <c r="C184" s="231" t="s">
        <v>3347</v>
      </c>
    </row>
    <row r="185">
      <c r="A185" s="236" t="s">
        <v>3197</v>
      </c>
      <c r="B185" s="244" t="s">
        <v>3348</v>
      </c>
      <c r="C185" s="231" t="s">
        <v>3349</v>
      </c>
    </row>
    <row r="186">
      <c r="A186" s="236" t="s">
        <v>3197</v>
      </c>
      <c r="B186" s="228" t="s">
        <v>3350</v>
      </c>
      <c r="C186" s="231" t="s">
        <v>3058</v>
      </c>
    </row>
    <row r="187">
      <c r="A187" s="236" t="s">
        <v>3351</v>
      </c>
      <c r="B187" s="228" t="s">
        <v>3352</v>
      </c>
      <c r="C187" s="231" t="s">
        <v>3058</v>
      </c>
    </row>
    <row r="188">
      <c r="A188" s="236" t="s">
        <v>3137</v>
      </c>
      <c r="B188" s="228" t="s">
        <v>3353</v>
      </c>
      <c r="C188" s="232" t="s">
        <v>3354</v>
      </c>
    </row>
    <row r="189">
      <c r="A189" s="236" t="s">
        <v>3137</v>
      </c>
      <c r="B189" s="233" t="s">
        <v>3355</v>
      </c>
      <c r="C189" s="229" t="s">
        <v>3356</v>
      </c>
    </row>
    <row r="190">
      <c r="A190" s="236" t="s">
        <v>3357</v>
      </c>
      <c r="B190" s="241" t="s">
        <v>3358</v>
      </c>
      <c r="C190" s="229" t="s">
        <v>3359</v>
      </c>
    </row>
    <row r="191">
      <c r="A191" s="236" t="s">
        <v>3317</v>
      </c>
      <c r="B191" s="228" t="s">
        <v>3360</v>
      </c>
      <c r="C191" s="231" t="s">
        <v>3058</v>
      </c>
    </row>
    <row r="192">
      <c r="A192" s="236" t="s">
        <v>3315</v>
      </c>
      <c r="B192" s="228" t="s">
        <v>3361</v>
      </c>
      <c r="C192" s="231" t="s">
        <v>3058</v>
      </c>
    </row>
    <row r="193">
      <c r="A193" s="236" t="s">
        <v>3362</v>
      </c>
      <c r="B193" s="228" t="s">
        <v>3363</v>
      </c>
      <c r="C193" s="231" t="s">
        <v>3364</v>
      </c>
    </row>
    <row r="194">
      <c r="A194" s="236" t="s">
        <v>3315</v>
      </c>
      <c r="B194" s="228" t="s">
        <v>3365</v>
      </c>
      <c r="C194" s="229" t="s">
        <v>3366</v>
      </c>
    </row>
    <row r="195">
      <c r="A195" s="236" t="s">
        <v>3315</v>
      </c>
      <c r="B195" s="228" t="s">
        <v>3367</v>
      </c>
      <c r="C195" s="231" t="s">
        <v>3058</v>
      </c>
    </row>
    <row r="196">
      <c r="A196" s="236" t="s">
        <v>3315</v>
      </c>
      <c r="B196" s="228" t="s">
        <v>3368</v>
      </c>
      <c r="C196" s="229" t="s">
        <v>3369</v>
      </c>
    </row>
    <row r="197">
      <c r="A197" s="236" t="s">
        <v>3370</v>
      </c>
      <c r="B197" s="233" t="s">
        <v>3371</v>
      </c>
      <c r="C197" s="231" t="s">
        <v>3058</v>
      </c>
    </row>
    <row r="198">
      <c r="A198" s="236" t="s">
        <v>3370</v>
      </c>
      <c r="B198" s="233" t="s">
        <v>3372</v>
      </c>
      <c r="C198" s="231" t="s">
        <v>3373</v>
      </c>
    </row>
    <row r="199">
      <c r="A199" s="236" t="s">
        <v>3370</v>
      </c>
      <c r="B199" s="228" t="s">
        <v>3374</v>
      </c>
      <c r="C199" s="229" t="s">
        <v>3375</v>
      </c>
    </row>
    <row r="200">
      <c r="A200" s="236" t="s">
        <v>3252</v>
      </c>
      <c r="B200" s="228" t="s">
        <v>3376</v>
      </c>
      <c r="C200" s="229" t="s">
        <v>3377</v>
      </c>
    </row>
    <row r="201">
      <c r="A201" s="236" t="s">
        <v>3303</v>
      </c>
      <c r="B201" s="228" t="s">
        <v>3378</v>
      </c>
      <c r="C201" s="229" t="s">
        <v>3379</v>
      </c>
    </row>
    <row r="202">
      <c r="A202" s="236" t="s">
        <v>3380</v>
      </c>
      <c r="B202" s="228" t="s">
        <v>3381</v>
      </c>
      <c r="C202" s="231" t="s">
        <v>3058</v>
      </c>
    </row>
    <row r="203">
      <c r="A203" s="236" t="s">
        <v>3382</v>
      </c>
      <c r="B203" s="228" t="s">
        <v>3383</v>
      </c>
      <c r="C203" s="231" t="s">
        <v>3384</v>
      </c>
    </row>
    <row r="204">
      <c r="A204" s="236" t="s">
        <v>3382</v>
      </c>
      <c r="B204" s="228" t="s">
        <v>3385</v>
      </c>
      <c r="C204" s="231" t="s">
        <v>3058</v>
      </c>
    </row>
    <row r="205">
      <c r="A205" s="236" t="s">
        <v>3382</v>
      </c>
      <c r="B205" s="228" t="s">
        <v>3386</v>
      </c>
      <c r="C205" s="231" t="s">
        <v>3058</v>
      </c>
    </row>
    <row r="206">
      <c r="A206" s="236" t="s">
        <v>3315</v>
      </c>
      <c r="B206" s="237" t="s">
        <v>3387</v>
      </c>
      <c r="C206" s="229" t="s">
        <v>3388</v>
      </c>
    </row>
    <row r="207">
      <c r="A207" s="236" t="s">
        <v>3291</v>
      </c>
      <c r="B207" s="228" t="s">
        <v>3389</v>
      </c>
      <c r="C207" s="231" t="s">
        <v>3390</v>
      </c>
    </row>
    <row r="208">
      <c r="A208" s="236" t="s">
        <v>3291</v>
      </c>
      <c r="B208" s="228" t="s">
        <v>3391</v>
      </c>
      <c r="C208" s="231" t="s">
        <v>3058</v>
      </c>
    </row>
    <row r="209">
      <c r="A209" s="236" t="s">
        <v>3392</v>
      </c>
      <c r="B209" s="228" t="s">
        <v>3393</v>
      </c>
      <c r="C209" s="229" t="s">
        <v>3394</v>
      </c>
    </row>
    <row r="210">
      <c r="A210" s="236" t="s">
        <v>3291</v>
      </c>
      <c r="B210" s="228" t="s">
        <v>3395</v>
      </c>
      <c r="C210" s="231" t="s">
        <v>3058</v>
      </c>
    </row>
    <row r="211">
      <c r="A211" s="236" t="s">
        <v>3148</v>
      </c>
      <c r="B211" s="233" t="s">
        <v>3396</v>
      </c>
      <c r="C211" s="231" t="s">
        <v>3397</v>
      </c>
    </row>
    <row r="212">
      <c r="A212" s="236" t="s">
        <v>3398</v>
      </c>
      <c r="B212" s="228" t="s">
        <v>3399</v>
      </c>
      <c r="C212" s="231" t="s">
        <v>3400</v>
      </c>
    </row>
    <row r="213">
      <c r="A213" s="236" t="s">
        <v>3197</v>
      </c>
      <c r="B213" s="228" t="s">
        <v>3401</v>
      </c>
      <c r="C213" s="229" t="s">
        <v>3402</v>
      </c>
    </row>
    <row r="214">
      <c r="A214" s="236" t="s">
        <v>3291</v>
      </c>
      <c r="B214" s="228" t="s">
        <v>3403</v>
      </c>
      <c r="C214" s="231" t="s">
        <v>3005</v>
      </c>
    </row>
    <row r="215">
      <c r="A215" s="236" t="s">
        <v>3315</v>
      </c>
      <c r="B215" s="237" t="s">
        <v>3404</v>
      </c>
      <c r="C215" s="231" t="s">
        <v>3058</v>
      </c>
    </row>
    <row r="216">
      <c r="A216" s="236" t="s">
        <v>3405</v>
      </c>
      <c r="B216" s="237" t="s">
        <v>3406</v>
      </c>
      <c r="C216" s="231" t="s">
        <v>3058</v>
      </c>
    </row>
    <row r="217">
      <c r="A217" s="236" t="s">
        <v>3291</v>
      </c>
      <c r="B217" s="228" t="s">
        <v>3407</v>
      </c>
      <c r="C217" s="231" t="s">
        <v>3058</v>
      </c>
    </row>
    <row r="218">
      <c r="A218" s="236" t="s">
        <v>3291</v>
      </c>
      <c r="B218" s="228" t="s">
        <v>3408</v>
      </c>
      <c r="C218" s="231" t="s">
        <v>3058</v>
      </c>
    </row>
    <row r="219">
      <c r="A219" s="236" t="s">
        <v>3335</v>
      </c>
      <c r="B219" s="228" t="s">
        <v>3409</v>
      </c>
      <c r="C219" s="231" t="s">
        <v>3058</v>
      </c>
    </row>
    <row r="220">
      <c r="A220" s="236" t="s">
        <v>3335</v>
      </c>
      <c r="B220" s="228" t="s">
        <v>3410</v>
      </c>
      <c r="C220" s="231" t="s">
        <v>3058</v>
      </c>
    </row>
    <row r="221">
      <c r="A221" s="236" t="s">
        <v>3335</v>
      </c>
      <c r="B221" s="228" t="s">
        <v>3411</v>
      </c>
      <c r="C221" s="231" t="s">
        <v>3412</v>
      </c>
    </row>
    <row r="222">
      <c r="A222" s="236" t="s">
        <v>3335</v>
      </c>
      <c r="B222" s="239" t="s">
        <v>3413</v>
      </c>
      <c r="C222" s="231" t="s">
        <v>3052</v>
      </c>
    </row>
    <row r="223">
      <c r="A223" s="236" t="s">
        <v>3335</v>
      </c>
      <c r="B223" s="228" t="s">
        <v>3414</v>
      </c>
      <c r="C223" s="231" t="s">
        <v>3058</v>
      </c>
    </row>
    <row r="224">
      <c r="A224" s="236" t="s">
        <v>3415</v>
      </c>
      <c r="B224" s="228" t="s">
        <v>3416</v>
      </c>
      <c r="C224" s="231" t="s">
        <v>3058</v>
      </c>
    </row>
    <row r="225">
      <c r="A225" s="236" t="s">
        <v>3335</v>
      </c>
      <c r="B225" s="237" t="s">
        <v>3417</v>
      </c>
      <c r="C225" s="231" t="s">
        <v>3418</v>
      </c>
    </row>
    <row r="226">
      <c r="A226" s="236" t="s">
        <v>3335</v>
      </c>
      <c r="B226" s="237" t="s">
        <v>3419</v>
      </c>
      <c r="C226" s="231" t="s">
        <v>12</v>
      </c>
    </row>
    <row r="227">
      <c r="A227" s="236" t="s">
        <v>3420</v>
      </c>
      <c r="B227" s="241" t="s">
        <v>3421</v>
      </c>
      <c r="C227" s="231" t="s">
        <v>3058</v>
      </c>
    </row>
    <row r="228">
      <c r="A228" s="236" t="s">
        <v>3420</v>
      </c>
      <c r="B228" s="237" t="s">
        <v>3422</v>
      </c>
      <c r="C228" s="231" t="s">
        <v>3058</v>
      </c>
    </row>
    <row r="229">
      <c r="A229" s="236" t="s">
        <v>3420</v>
      </c>
      <c r="B229" s="237" t="s">
        <v>3423</v>
      </c>
      <c r="C229" s="231" t="s">
        <v>3058</v>
      </c>
    </row>
    <row r="230">
      <c r="A230" s="236" t="s">
        <v>3335</v>
      </c>
      <c r="B230" s="239" t="s">
        <v>3424</v>
      </c>
      <c r="C230" s="231" t="s">
        <v>3058</v>
      </c>
    </row>
    <row r="231">
      <c r="A231" s="236" t="s">
        <v>3197</v>
      </c>
      <c r="B231" s="237" t="s">
        <v>3425</v>
      </c>
      <c r="C231" s="231" t="s">
        <v>3058</v>
      </c>
    </row>
    <row r="232">
      <c r="A232" s="236" t="s">
        <v>3426</v>
      </c>
      <c r="B232" s="233" t="s">
        <v>3427</v>
      </c>
      <c r="C232" s="232" t="s">
        <v>3428</v>
      </c>
    </row>
    <row r="233">
      <c r="A233" s="236" t="s">
        <v>3429</v>
      </c>
      <c r="B233" s="228" t="s">
        <v>3430</v>
      </c>
      <c r="C233" s="231" t="s">
        <v>3431</v>
      </c>
    </row>
    <row r="234">
      <c r="A234" s="236" t="s">
        <v>3429</v>
      </c>
      <c r="B234" s="228" t="s">
        <v>3432</v>
      </c>
      <c r="C234" s="231" t="s">
        <v>3433</v>
      </c>
    </row>
    <row r="235">
      <c r="A235" s="236" t="s">
        <v>3429</v>
      </c>
      <c r="B235" s="228" t="s">
        <v>3434</v>
      </c>
      <c r="C235" s="231" t="s">
        <v>3435</v>
      </c>
    </row>
    <row r="236">
      <c r="A236" s="236" t="s">
        <v>3429</v>
      </c>
      <c r="B236" s="233" t="s">
        <v>3436</v>
      </c>
      <c r="C236" s="231" t="s">
        <v>3437</v>
      </c>
    </row>
    <row r="237">
      <c r="A237" s="236" t="s">
        <v>3155</v>
      </c>
      <c r="B237" s="233" t="s">
        <v>3438</v>
      </c>
      <c r="C237" s="231" t="s">
        <v>3058</v>
      </c>
    </row>
    <row r="238">
      <c r="A238" s="236" t="s">
        <v>3439</v>
      </c>
      <c r="B238" s="237" t="s">
        <v>3440</v>
      </c>
      <c r="C238" s="231" t="s">
        <v>3058</v>
      </c>
    </row>
    <row r="239">
      <c r="A239" s="236" t="s">
        <v>3441</v>
      </c>
      <c r="B239" s="233" t="s">
        <v>3442</v>
      </c>
      <c r="C239" s="231" t="s">
        <v>3443</v>
      </c>
    </row>
    <row r="240">
      <c r="A240" s="236" t="s">
        <v>3197</v>
      </c>
      <c r="B240" s="228" t="s">
        <v>3444</v>
      </c>
      <c r="C240" s="231" t="s">
        <v>3445</v>
      </c>
    </row>
    <row r="241">
      <c r="A241" s="236" t="s">
        <v>3446</v>
      </c>
      <c r="B241" s="233" t="s">
        <v>3447</v>
      </c>
      <c r="C241" s="231" t="s">
        <v>3448</v>
      </c>
    </row>
    <row r="242">
      <c r="A242" s="236" t="s">
        <v>3449</v>
      </c>
      <c r="B242" s="228" t="s">
        <v>3450</v>
      </c>
      <c r="C242" s="232" t="s">
        <v>3451</v>
      </c>
    </row>
    <row r="243">
      <c r="A243" s="236" t="s">
        <v>3449</v>
      </c>
      <c r="B243" s="228" t="s">
        <v>3452</v>
      </c>
      <c r="C243" s="231" t="s">
        <v>3453</v>
      </c>
    </row>
    <row r="244">
      <c r="A244" s="236" t="s">
        <v>3197</v>
      </c>
      <c r="B244" s="233" t="s">
        <v>3454</v>
      </c>
      <c r="C244" s="231" t="s">
        <v>3058</v>
      </c>
    </row>
    <row r="245">
      <c r="A245" s="236" t="s">
        <v>3197</v>
      </c>
      <c r="B245" s="233" t="s">
        <v>3455</v>
      </c>
      <c r="C245" s="229" t="s">
        <v>3456</v>
      </c>
    </row>
    <row r="246">
      <c r="A246" s="236" t="s">
        <v>3457</v>
      </c>
      <c r="B246" s="233" t="s">
        <v>3458</v>
      </c>
      <c r="C246" s="232" t="s">
        <v>3459</v>
      </c>
    </row>
    <row r="247">
      <c r="A247" s="236" t="s">
        <v>3197</v>
      </c>
      <c r="B247" s="228" t="s">
        <v>3460</v>
      </c>
      <c r="C247" s="231" t="s">
        <v>13</v>
      </c>
    </row>
    <row r="248">
      <c r="A248" s="236" t="s">
        <v>3335</v>
      </c>
      <c r="B248" s="228" t="s">
        <v>3461</v>
      </c>
      <c r="C248" s="231" t="s">
        <v>3462</v>
      </c>
    </row>
    <row r="249">
      <c r="A249" s="236" t="s">
        <v>3335</v>
      </c>
      <c r="B249" s="237" t="s">
        <v>3463</v>
      </c>
      <c r="C249" s="231" t="s">
        <v>3058</v>
      </c>
    </row>
    <row r="250">
      <c r="A250" s="236" t="s">
        <v>3335</v>
      </c>
      <c r="B250" s="228" t="s">
        <v>3464</v>
      </c>
      <c r="C250" s="231" t="s">
        <v>3058</v>
      </c>
    </row>
    <row r="251">
      <c r="A251" s="236" t="s">
        <v>3197</v>
      </c>
      <c r="B251" s="228" t="s">
        <v>3465</v>
      </c>
      <c r="C251" s="231" t="s">
        <v>3466</v>
      </c>
    </row>
    <row r="252">
      <c r="A252" s="236" t="s">
        <v>3457</v>
      </c>
      <c r="B252" s="228" t="s">
        <v>3467</v>
      </c>
      <c r="C252" s="231" t="s">
        <v>3058</v>
      </c>
    </row>
    <row r="253">
      <c r="A253" s="236" t="s">
        <v>3335</v>
      </c>
      <c r="B253" s="228" t="s">
        <v>3468</v>
      </c>
      <c r="C253" s="231" t="s">
        <v>3058</v>
      </c>
    </row>
    <row r="254">
      <c r="A254" s="236" t="s">
        <v>3469</v>
      </c>
      <c r="B254" s="228" t="s">
        <v>3470</v>
      </c>
      <c r="C254" s="231" t="s">
        <v>3471</v>
      </c>
    </row>
    <row r="255">
      <c r="A255" s="236" t="s">
        <v>3118</v>
      </c>
      <c r="B255" s="233" t="s">
        <v>3472</v>
      </c>
      <c r="C255" s="231" t="s">
        <v>3473</v>
      </c>
    </row>
    <row r="256">
      <c r="A256" s="236" t="s">
        <v>3118</v>
      </c>
      <c r="B256" s="241" t="s">
        <v>3474</v>
      </c>
      <c r="C256" s="231" t="s">
        <v>3475</v>
      </c>
    </row>
    <row r="257">
      <c r="A257" s="236" t="s">
        <v>3476</v>
      </c>
      <c r="B257" s="228" t="s">
        <v>3477</v>
      </c>
      <c r="C257" s="231" t="s">
        <v>13</v>
      </c>
    </row>
    <row r="258">
      <c r="A258" s="236" t="s">
        <v>3478</v>
      </c>
      <c r="B258" s="233" t="s">
        <v>3479</v>
      </c>
      <c r="C258" s="231" t="s">
        <v>3480</v>
      </c>
    </row>
    <row r="259">
      <c r="A259" s="236" t="s">
        <v>3481</v>
      </c>
      <c r="B259" s="228" t="s">
        <v>3482</v>
      </c>
      <c r="C259" s="231" t="s">
        <v>3058</v>
      </c>
    </row>
    <row r="260">
      <c r="A260" s="236" t="s">
        <v>3335</v>
      </c>
      <c r="B260" s="228" t="s">
        <v>3483</v>
      </c>
      <c r="C260" s="231" t="s">
        <v>3484</v>
      </c>
    </row>
    <row r="261">
      <c r="A261" s="236" t="s">
        <v>3485</v>
      </c>
      <c r="B261" s="228" t="s">
        <v>3486</v>
      </c>
      <c r="C261" s="231" t="s">
        <v>3487</v>
      </c>
    </row>
    <row r="262">
      <c r="A262" s="236" t="s">
        <v>3485</v>
      </c>
      <c r="B262" s="228" t="s">
        <v>3488</v>
      </c>
      <c r="C262" s="229" t="s">
        <v>3489</v>
      </c>
    </row>
    <row r="263">
      <c r="A263" s="236" t="s">
        <v>3155</v>
      </c>
      <c r="B263" s="228" t="s">
        <v>3490</v>
      </c>
      <c r="C263" s="231" t="s">
        <v>3491</v>
      </c>
    </row>
    <row r="264">
      <c r="A264" s="236" t="s">
        <v>3335</v>
      </c>
      <c r="B264" s="228" t="s">
        <v>3492</v>
      </c>
      <c r="C264" s="231" t="s">
        <v>3058</v>
      </c>
    </row>
    <row r="265">
      <c r="A265" s="236" t="s">
        <v>3335</v>
      </c>
      <c r="B265" s="237" t="s">
        <v>3493</v>
      </c>
      <c r="C265" s="231" t="s">
        <v>3058</v>
      </c>
    </row>
    <row r="266">
      <c r="A266" s="236" t="s">
        <v>3335</v>
      </c>
      <c r="B266" s="237" t="s">
        <v>3494</v>
      </c>
      <c r="C266" s="231" t="s">
        <v>3495</v>
      </c>
    </row>
    <row r="267">
      <c r="A267" s="236" t="s">
        <v>3315</v>
      </c>
      <c r="B267" s="228" t="s">
        <v>3496</v>
      </c>
      <c r="C267" s="231" t="s">
        <v>3058</v>
      </c>
    </row>
    <row r="268">
      <c r="A268" s="236" t="s">
        <v>3315</v>
      </c>
      <c r="B268" s="233" t="s">
        <v>3497</v>
      </c>
      <c r="C268" s="229" t="s">
        <v>3498</v>
      </c>
    </row>
    <row r="269">
      <c r="A269" s="236" t="s">
        <v>3499</v>
      </c>
      <c r="B269" s="228" t="s">
        <v>3500</v>
      </c>
      <c r="C269" s="231" t="s">
        <v>3058</v>
      </c>
    </row>
    <row r="270">
      <c r="A270" s="236" t="s">
        <v>3197</v>
      </c>
      <c r="B270" s="228" t="s">
        <v>3501</v>
      </c>
      <c r="C270" s="229" t="s">
        <v>3502</v>
      </c>
    </row>
    <row r="271">
      <c r="A271" s="236" t="s">
        <v>3503</v>
      </c>
      <c r="B271" s="239" t="s">
        <v>3504</v>
      </c>
      <c r="C271" s="231" t="s">
        <v>12</v>
      </c>
    </row>
    <row r="272">
      <c r="A272" s="236" t="s">
        <v>3338</v>
      </c>
      <c r="B272" s="233" t="s">
        <v>3505</v>
      </c>
      <c r="C272" s="231" t="s">
        <v>3058</v>
      </c>
    </row>
    <row r="273">
      <c r="A273" s="236" t="s">
        <v>3338</v>
      </c>
      <c r="B273" s="237" t="s">
        <v>3506</v>
      </c>
      <c r="C273" s="231" t="s">
        <v>3058</v>
      </c>
    </row>
    <row r="274">
      <c r="A274" s="236" t="s">
        <v>3338</v>
      </c>
      <c r="B274" s="237" t="s">
        <v>3507</v>
      </c>
      <c r="C274" s="231" t="s">
        <v>3058</v>
      </c>
    </row>
    <row r="275">
      <c r="A275" s="236" t="s">
        <v>3338</v>
      </c>
      <c r="B275" s="237" t="s">
        <v>3508</v>
      </c>
      <c r="C275" s="231" t="s">
        <v>12</v>
      </c>
    </row>
    <row r="276">
      <c r="A276" s="236" t="s">
        <v>3338</v>
      </c>
      <c r="B276" s="237" t="s">
        <v>3509</v>
      </c>
      <c r="C276" s="231" t="s">
        <v>12</v>
      </c>
    </row>
    <row r="277">
      <c r="A277" s="236" t="s">
        <v>3338</v>
      </c>
      <c r="B277" s="237" t="s">
        <v>3510</v>
      </c>
      <c r="C277" s="231" t="s">
        <v>12</v>
      </c>
    </row>
    <row r="278">
      <c r="A278" s="236" t="s">
        <v>3335</v>
      </c>
      <c r="B278" s="237" t="s">
        <v>3511</v>
      </c>
      <c r="C278" s="231" t="s">
        <v>3058</v>
      </c>
    </row>
    <row r="279">
      <c r="A279" s="236" t="s">
        <v>3512</v>
      </c>
      <c r="B279" s="228" t="s">
        <v>3513</v>
      </c>
      <c r="C279" s="231" t="s">
        <v>3058</v>
      </c>
    </row>
    <row r="280">
      <c r="A280" s="236" t="s">
        <v>3335</v>
      </c>
      <c r="B280" s="228" t="s">
        <v>3514</v>
      </c>
      <c r="C280" s="231" t="s">
        <v>3058</v>
      </c>
    </row>
    <row r="281">
      <c r="A281" s="236" t="s">
        <v>3208</v>
      </c>
      <c r="B281" s="227" t="s">
        <v>3515</v>
      </c>
      <c r="C281" s="231" t="s">
        <v>3516</v>
      </c>
    </row>
    <row r="282">
      <c r="A282" s="236" t="s">
        <v>3517</v>
      </c>
      <c r="B282" s="228" t="s">
        <v>3518</v>
      </c>
      <c r="C282" s="231" t="s">
        <v>3519</v>
      </c>
    </row>
    <row r="283">
      <c r="A283" s="236" t="s">
        <v>3338</v>
      </c>
      <c r="B283" s="233" t="s">
        <v>3520</v>
      </c>
      <c r="C283" s="231" t="s">
        <v>3058</v>
      </c>
    </row>
    <row r="284">
      <c r="A284" s="236" t="s">
        <v>3144</v>
      </c>
      <c r="B284" s="241" t="s">
        <v>3521</v>
      </c>
      <c r="C284" s="231" t="s">
        <v>3522</v>
      </c>
    </row>
    <row r="285">
      <c r="A285" s="236" t="s">
        <v>3335</v>
      </c>
      <c r="B285" s="228" t="s">
        <v>3523</v>
      </c>
      <c r="C285" s="231" t="s">
        <v>3058</v>
      </c>
    </row>
    <row r="286" ht="52.5" customHeight="1">
      <c r="A286" s="236" t="s">
        <v>3118</v>
      </c>
      <c r="B286" s="245" t="s">
        <v>3524</v>
      </c>
      <c r="C286" s="229" t="s">
        <v>3525</v>
      </c>
    </row>
    <row r="287">
      <c r="A287" s="236" t="s">
        <v>3335</v>
      </c>
      <c r="B287" s="239" t="s">
        <v>3526</v>
      </c>
      <c r="C287" s="231" t="s">
        <v>3058</v>
      </c>
    </row>
    <row r="288">
      <c r="A288" s="236" t="s">
        <v>3527</v>
      </c>
      <c r="B288" s="237" t="s">
        <v>3528</v>
      </c>
      <c r="C288" s="229" t="s">
        <v>3529</v>
      </c>
    </row>
    <row r="289">
      <c r="A289" s="236" t="s">
        <v>3335</v>
      </c>
      <c r="B289" s="246" t="s">
        <v>3530</v>
      </c>
      <c r="C289" s="231" t="s">
        <v>3531</v>
      </c>
    </row>
    <row r="290">
      <c r="A290" s="236" t="s">
        <v>3335</v>
      </c>
      <c r="B290" s="228" t="s">
        <v>3532</v>
      </c>
      <c r="C290" s="231" t="s">
        <v>3058</v>
      </c>
    </row>
    <row r="291">
      <c r="A291" s="236" t="s">
        <v>3335</v>
      </c>
      <c r="B291" s="228" t="s">
        <v>3533</v>
      </c>
      <c r="C291" s="231" t="s">
        <v>3058</v>
      </c>
    </row>
    <row r="292">
      <c r="A292" s="236" t="s">
        <v>3137</v>
      </c>
      <c r="B292" s="228" t="s">
        <v>3534</v>
      </c>
      <c r="C292" s="229" t="s">
        <v>3535</v>
      </c>
    </row>
    <row r="293">
      <c r="A293" s="236" t="s">
        <v>3527</v>
      </c>
      <c r="B293" s="228" t="s">
        <v>3536</v>
      </c>
      <c r="C293" s="231" t="s">
        <v>3058</v>
      </c>
    </row>
    <row r="294">
      <c r="A294" s="236" t="s">
        <v>3527</v>
      </c>
      <c r="B294" s="237" t="s">
        <v>3537</v>
      </c>
      <c r="C294" s="231" t="s">
        <v>3058</v>
      </c>
    </row>
    <row r="295">
      <c r="A295" s="236" t="s">
        <v>3335</v>
      </c>
      <c r="B295" s="237" t="s">
        <v>3538</v>
      </c>
      <c r="C295" s="231" t="s">
        <v>3539</v>
      </c>
    </row>
    <row r="296">
      <c r="A296" s="236" t="s">
        <v>3335</v>
      </c>
      <c r="B296" s="237" t="s">
        <v>3540</v>
      </c>
      <c r="C296" s="231" t="s">
        <v>3058</v>
      </c>
    </row>
    <row r="297">
      <c r="A297" s="236" t="s">
        <v>3335</v>
      </c>
      <c r="B297" s="228" t="s">
        <v>3541</v>
      </c>
      <c r="C297" s="231" t="s">
        <v>3058</v>
      </c>
    </row>
    <row r="298">
      <c r="A298" s="236" t="s">
        <v>3335</v>
      </c>
      <c r="B298" s="241" t="s">
        <v>3542</v>
      </c>
      <c r="C298" s="231" t="s">
        <v>3058</v>
      </c>
    </row>
    <row r="299">
      <c r="A299" s="236" t="s">
        <v>3315</v>
      </c>
      <c r="B299" s="233" t="s">
        <v>3543</v>
      </c>
      <c r="C299" s="229" t="s">
        <v>3544</v>
      </c>
    </row>
    <row r="300">
      <c r="A300" s="236" t="s">
        <v>3545</v>
      </c>
      <c r="B300" s="228" t="s">
        <v>3546</v>
      </c>
      <c r="C300" s="231" t="s">
        <v>3058</v>
      </c>
    </row>
    <row r="301">
      <c r="A301" s="236" t="s">
        <v>3547</v>
      </c>
      <c r="B301" s="228" t="s">
        <v>3548</v>
      </c>
      <c r="C301" s="231" t="s">
        <v>3058</v>
      </c>
    </row>
    <row r="302">
      <c r="A302" s="236" t="s">
        <v>3335</v>
      </c>
      <c r="B302" s="228" t="s">
        <v>3549</v>
      </c>
      <c r="C302" s="231" t="s">
        <v>3058</v>
      </c>
    </row>
    <row r="303">
      <c r="A303" s="236" t="s">
        <v>3335</v>
      </c>
      <c r="B303" s="228" t="s">
        <v>3550</v>
      </c>
      <c r="C303" s="231" t="s">
        <v>3058</v>
      </c>
    </row>
    <row r="304">
      <c r="A304" s="236" t="s">
        <v>3551</v>
      </c>
      <c r="B304" s="228" t="s">
        <v>3552</v>
      </c>
      <c r="C304" s="231" t="s">
        <v>3058</v>
      </c>
    </row>
    <row r="305">
      <c r="A305" s="236" t="s">
        <v>3335</v>
      </c>
      <c r="B305" s="228" t="s">
        <v>3553</v>
      </c>
      <c r="C305" s="231" t="s">
        <v>3058</v>
      </c>
    </row>
    <row r="306">
      <c r="A306" s="236" t="s">
        <v>3335</v>
      </c>
      <c r="B306" s="228" t="s">
        <v>3554</v>
      </c>
      <c r="C306" s="231" t="s">
        <v>3058</v>
      </c>
    </row>
    <row r="307">
      <c r="A307" s="236" t="s">
        <v>3291</v>
      </c>
      <c r="B307" s="228" t="s">
        <v>3555</v>
      </c>
      <c r="C307" s="231" t="s">
        <v>3058</v>
      </c>
    </row>
    <row r="308">
      <c r="A308" s="236" t="s">
        <v>3291</v>
      </c>
      <c r="B308" s="228" t="s">
        <v>3556</v>
      </c>
      <c r="C308" s="231" t="s">
        <v>3058</v>
      </c>
    </row>
    <row r="309">
      <c r="A309" s="236" t="s">
        <v>3335</v>
      </c>
      <c r="B309" s="228" t="s">
        <v>3557</v>
      </c>
      <c r="C309" s="231" t="s">
        <v>3058</v>
      </c>
    </row>
    <row r="310">
      <c r="A310" s="236" t="s">
        <v>3558</v>
      </c>
      <c r="B310" s="233" t="s">
        <v>3559</v>
      </c>
      <c r="C310" s="232" t="s">
        <v>3560</v>
      </c>
    </row>
    <row r="311">
      <c r="A311" s="236" t="s">
        <v>3558</v>
      </c>
      <c r="B311" s="228" t="s">
        <v>3561</v>
      </c>
      <c r="C311" s="232" t="s">
        <v>3562</v>
      </c>
    </row>
    <row r="312">
      <c r="A312" s="236" t="s">
        <v>3558</v>
      </c>
      <c r="B312" s="228" t="s">
        <v>3563</v>
      </c>
      <c r="C312" s="232" t="s">
        <v>3564</v>
      </c>
    </row>
    <row r="313">
      <c r="A313" s="236" t="s">
        <v>3565</v>
      </c>
      <c r="B313" s="228" t="s">
        <v>3566</v>
      </c>
      <c r="C313" s="231" t="s">
        <v>3567</v>
      </c>
    </row>
    <row r="314">
      <c r="A314" s="236" t="s">
        <v>3568</v>
      </c>
      <c r="B314" s="228" t="s">
        <v>3569</v>
      </c>
      <c r="C314" s="231" t="s">
        <v>3058</v>
      </c>
    </row>
    <row r="315">
      <c r="A315" s="236" t="s">
        <v>3568</v>
      </c>
      <c r="B315" s="228" t="s">
        <v>3570</v>
      </c>
      <c r="C315" s="231" t="s">
        <v>3571</v>
      </c>
    </row>
    <row r="316">
      <c r="A316" s="236" t="s">
        <v>3197</v>
      </c>
      <c r="B316" s="228" t="s">
        <v>3572</v>
      </c>
      <c r="C316" s="231" t="s">
        <v>3573</v>
      </c>
    </row>
    <row r="317">
      <c r="A317" s="236" t="s">
        <v>3574</v>
      </c>
      <c r="B317" s="233" t="s">
        <v>3575</v>
      </c>
      <c r="C317" s="231" t="s">
        <v>3058</v>
      </c>
    </row>
    <row r="318">
      <c r="A318" s="236" t="s">
        <v>3574</v>
      </c>
      <c r="B318" s="247" t="s">
        <v>3576</v>
      </c>
      <c r="C318" s="231" t="s">
        <v>3577</v>
      </c>
    </row>
    <row r="319">
      <c r="A319" s="236" t="s">
        <v>3197</v>
      </c>
      <c r="B319" s="228" t="s">
        <v>3578</v>
      </c>
      <c r="C319" s="231" t="s">
        <v>3579</v>
      </c>
    </row>
    <row r="320">
      <c r="A320" s="236" t="s">
        <v>3420</v>
      </c>
      <c r="B320" s="237" t="s">
        <v>3580</v>
      </c>
      <c r="C320" s="231" t="s">
        <v>3058</v>
      </c>
    </row>
    <row r="321">
      <c r="A321" s="236" t="s">
        <v>3581</v>
      </c>
      <c r="B321" s="228" t="s">
        <v>3582</v>
      </c>
      <c r="C321" s="229" t="s">
        <v>3583</v>
      </c>
    </row>
    <row r="322">
      <c r="A322" s="236" t="s">
        <v>3584</v>
      </c>
      <c r="B322" s="228" t="s">
        <v>3585</v>
      </c>
      <c r="C322" s="231" t="s">
        <v>3586</v>
      </c>
    </row>
    <row r="323">
      <c r="A323" s="236" t="s">
        <v>3587</v>
      </c>
      <c r="B323" s="228" t="s">
        <v>3588</v>
      </c>
      <c r="C323" s="231" t="s">
        <v>3058</v>
      </c>
    </row>
    <row r="324">
      <c r="A324" s="236" t="s">
        <v>3587</v>
      </c>
      <c r="B324" s="228" t="s">
        <v>3589</v>
      </c>
      <c r="C324" s="231" t="s">
        <v>3058</v>
      </c>
    </row>
    <row r="325">
      <c r="A325" s="236" t="s">
        <v>3590</v>
      </c>
      <c r="B325" s="228" t="s">
        <v>3591</v>
      </c>
      <c r="C325" s="229" t="s">
        <v>3592</v>
      </c>
    </row>
    <row r="326">
      <c r="A326" s="236" t="s">
        <v>3593</v>
      </c>
      <c r="B326" s="228" t="s">
        <v>3594</v>
      </c>
      <c r="C326" s="231" t="s">
        <v>12</v>
      </c>
    </row>
    <row r="327">
      <c r="A327" s="236" t="s">
        <v>3595</v>
      </c>
      <c r="B327" s="228" t="s">
        <v>3596</v>
      </c>
      <c r="C327" s="231" t="s">
        <v>3058</v>
      </c>
    </row>
    <row r="328">
      <c r="A328" s="236" t="s">
        <v>3527</v>
      </c>
      <c r="B328" s="228" t="s">
        <v>3597</v>
      </c>
      <c r="C328" s="231" t="s">
        <v>3058</v>
      </c>
    </row>
    <row r="329">
      <c r="A329" s="236" t="s">
        <v>3598</v>
      </c>
      <c r="B329" s="233" t="s">
        <v>3599</v>
      </c>
      <c r="C329" s="229" t="s">
        <v>3600</v>
      </c>
    </row>
    <row r="330">
      <c r="A330" s="236" t="s">
        <v>3565</v>
      </c>
      <c r="B330" s="228" t="s">
        <v>3601</v>
      </c>
      <c r="C330" s="231" t="s">
        <v>3058</v>
      </c>
    </row>
    <row r="331">
      <c r="A331" s="236" t="s">
        <v>3197</v>
      </c>
      <c r="B331" s="228" t="s">
        <v>3602</v>
      </c>
      <c r="C331" s="231" t="s">
        <v>3603</v>
      </c>
    </row>
    <row r="332">
      <c r="A332" s="236" t="s">
        <v>3197</v>
      </c>
      <c r="B332" s="228" t="s">
        <v>3604</v>
      </c>
      <c r="C332" s="231" t="s">
        <v>3605</v>
      </c>
    </row>
    <row r="333">
      <c r="A333" s="236" t="s">
        <v>3606</v>
      </c>
      <c r="B333" s="233" t="s">
        <v>3607</v>
      </c>
      <c r="C333" s="231" t="s">
        <v>3608</v>
      </c>
    </row>
    <row r="334">
      <c r="A334" s="236" t="s">
        <v>3609</v>
      </c>
      <c r="B334" s="228" t="s">
        <v>3610</v>
      </c>
      <c r="C334" s="231" t="s">
        <v>3611</v>
      </c>
    </row>
    <row r="335">
      <c r="A335" s="236" t="s">
        <v>3590</v>
      </c>
      <c r="B335" s="228" t="s">
        <v>3612</v>
      </c>
      <c r="C335" s="231" t="s">
        <v>3058</v>
      </c>
    </row>
    <row r="336">
      <c r="A336" s="236" t="s">
        <v>3613</v>
      </c>
      <c r="B336" s="228" t="s">
        <v>3614</v>
      </c>
      <c r="C336" s="231" t="s">
        <v>3058</v>
      </c>
    </row>
    <row r="337">
      <c r="A337" s="236" t="s">
        <v>3615</v>
      </c>
      <c r="B337" s="228" t="s">
        <v>3616</v>
      </c>
      <c r="C337" s="229" t="s">
        <v>3617</v>
      </c>
    </row>
    <row r="338">
      <c r="A338" s="236" t="s">
        <v>3335</v>
      </c>
      <c r="B338" s="228" t="s">
        <v>3618</v>
      </c>
      <c r="C338" s="231" t="s">
        <v>3058</v>
      </c>
    </row>
    <row r="339">
      <c r="A339" s="236" t="s">
        <v>3291</v>
      </c>
      <c r="B339" s="233" t="s">
        <v>3619</v>
      </c>
      <c r="C339" s="231" t="s">
        <v>3058</v>
      </c>
    </row>
    <row r="340">
      <c r="A340" s="236" t="s">
        <v>3197</v>
      </c>
      <c r="B340" s="228" t="s">
        <v>3620</v>
      </c>
      <c r="C340" s="231" t="s">
        <v>3058</v>
      </c>
    </row>
    <row r="341">
      <c r="A341" s="236" t="s">
        <v>3621</v>
      </c>
      <c r="B341" s="228" t="s">
        <v>3622</v>
      </c>
      <c r="C341" s="232" t="s">
        <v>3623</v>
      </c>
    </row>
    <row r="342">
      <c r="A342" s="236" t="s">
        <v>3197</v>
      </c>
      <c r="B342" s="233" t="s">
        <v>3624</v>
      </c>
      <c r="C342" s="231" t="s">
        <v>3058</v>
      </c>
    </row>
    <row r="343">
      <c r="A343" s="236" t="s">
        <v>3197</v>
      </c>
      <c r="B343" s="228" t="s">
        <v>3625</v>
      </c>
      <c r="C343" s="232" t="s">
        <v>3626</v>
      </c>
    </row>
    <row r="344">
      <c r="A344" s="236" t="s">
        <v>3527</v>
      </c>
      <c r="B344" s="228" t="s">
        <v>3627</v>
      </c>
      <c r="C344" s="231" t="s">
        <v>3058</v>
      </c>
    </row>
    <row r="345">
      <c r="A345" s="236" t="s">
        <v>3527</v>
      </c>
      <c r="B345" s="227" t="s">
        <v>3628</v>
      </c>
      <c r="C345" s="231" t="s">
        <v>3058</v>
      </c>
    </row>
    <row r="346">
      <c r="A346" s="236" t="s">
        <v>3629</v>
      </c>
      <c r="B346" s="228" t="s">
        <v>3630</v>
      </c>
      <c r="C346" s="231" t="s">
        <v>3058</v>
      </c>
    </row>
    <row r="347">
      <c r="A347" s="236" t="s">
        <v>3335</v>
      </c>
      <c r="B347" s="228" t="s">
        <v>3631</v>
      </c>
      <c r="C347" s="231" t="s">
        <v>3058</v>
      </c>
    </row>
    <row r="348">
      <c r="A348" s="236" t="s">
        <v>3335</v>
      </c>
      <c r="B348" s="227" t="s">
        <v>3632</v>
      </c>
      <c r="C348" s="231" t="s">
        <v>3058</v>
      </c>
    </row>
    <row r="349">
      <c r="A349" s="236" t="s">
        <v>3633</v>
      </c>
      <c r="B349" s="228" t="s">
        <v>3634</v>
      </c>
      <c r="C349" s="231" t="s">
        <v>3635</v>
      </c>
    </row>
    <row r="350">
      <c r="A350" s="236" t="s">
        <v>3636</v>
      </c>
      <c r="B350" s="228" t="s">
        <v>3637</v>
      </c>
      <c r="C350" s="231" t="s">
        <v>3638</v>
      </c>
    </row>
    <row r="351">
      <c r="A351" s="236" t="s">
        <v>3639</v>
      </c>
      <c r="B351" s="228" t="s">
        <v>3640</v>
      </c>
      <c r="C351" s="231" t="s">
        <v>3641</v>
      </c>
    </row>
    <row r="352">
      <c r="A352" s="236" t="s">
        <v>3639</v>
      </c>
      <c r="B352" s="233" t="s">
        <v>3642</v>
      </c>
      <c r="C352" s="231" t="s">
        <v>3058</v>
      </c>
    </row>
    <row r="353">
      <c r="A353" s="236" t="s">
        <v>3643</v>
      </c>
      <c r="B353" s="228" t="s">
        <v>3644</v>
      </c>
      <c r="C353" s="231" t="s">
        <v>3058</v>
      </c>
    </row>
    <row r="354">
      <c r="A354" s="236" t="s">
        <v>3645</v>
      </c>
      <c r="B354" s="228" t="s">
        <v>3646</v>
      </c>
      <c r="C354" s="231" t="s">
        <v>3058</v>
      </c>
    </row>
    <row r="355">
      <c r="A355" s="236" t="s">
        <v>3647</v>
      </c>
      <c r="B355" s="228" t="s">
        <v>3648</v>
      </c>
      <c r="C355" s="232" t="s">
        <v>3649</v>
      </c>
    </row>
    <row r="356">
      <c r="A356" s="236" t="s">
        <v>3650</v>
      </c>
      <c r="B356" s="233" t="s">
        <v>3651</v>
      </c>
      <c r="C356" s="232" t="s">
        <v>3652</v>
      </c>
    </row>
    <row r="357">
      <c r="A357" s="236" t="s">
        <v>3527</v>
      </c>
      <c r="B357" s="228" t="s">
        <v>3653</v>
      </c>
      <c r="C357" s="231" t="s">
        <v>3654</v>
      </c>
    </row>
    <row r="358">
      <c r="A358" s="236" t="s">
        <v>3655</v>
      </c>
      <c r="B358" s="237" t="s">
        <v>3656</v>
      </c>
      <c r="C358" s="232" t="s">
        <v>3652</v>
      </c>
    </row>
    <row r="359">
      <c r="A359" s="236" t="s">
        <v>3639</v>
      </c>
      <c r="B359" s="233" t="s">
        <v>3657</v>
      </c>
      <c r="C359" s="231" t="s">
        <v>3658</v>
      </c>
    </row>
    <row r="360">
      <c r="A360" s="236" t="s">
        <v>3659</v>
      </c>
      <c r="B360" s="228" t="s">
        <v>3660</v>
      </c>
      <c r="C360" s="231" t="s">
        <v>3058</v>
      </c>
    </row>
    <row r="361">
      <c r="A361" s="236" t="s">
        <v>3659</v>
      </c>
      <c r="B361" s="228" t="s">
        <v>3661</v>
      </c>
      <c r="C361" s="231" t="s">
        <v>3058</v>
      </c>
    </row>
    <row r="362">
      <c r="A362" s="236" t="s">
        <v>3662</v>
      </c>
      <c r="B362" s="228" t="s">
        <v>3663</v>
      </c>
      <c r="C362" s="232" t="s">
        <v>3652</v>
      </c>
    </row>
    <row r="363">
      <c r="A363" s="236" t="s">
        <v>3664</v>
      </c>
      <c r="B363" s="237" t="s">
        <v>3665</v>
      </c>
      <c r="C363" s="231" t="s">
        <v>3058</v>
      </c>
    </row>
    <row r="364">
      <c r="A364" s="236" t="s">
        <v>3666</v>
      </c>
      <c r="B364" s="228" t="s">
        <v>3667</v>
      </c>
      <c r="C364" s="231" t="s">
        <v>3058</v>
      </c>
    </row>
    <row r="365">
      <c r="A365" s="236" t="s">
        <v>3668</v>
      </c>
      <c r="B365" s="233" t="s">
        <v>3669</v>
      </c>
      <c r="C365" s="231" t="s">
        <v>3670</v>
      </c>
    </row>
    <row r="366">
      <c r="A366" s="236" t="s">
        <v>3671</v>
      </c>
      <c r="B366" s="233" t="s">
        <v>3672</v>
      </c>
      <c r="C366" s="232" t="s">
        <v>3673</v>
      </c>
    </row>
    <row r="367">
      <c r="A367" s="236" t="s">
        <v>3674</v>
      </c>
      <c r="B367" s="228" t="s">
        <v>3675</v>
      </c>
      <c r="C367" s="231" t="s">
        <v>3058</v>
      </c>
    </row>
    <row r="368">
      <c r="A368" s="236" t="s">
        <v>3676</v>
      </c>
      <c r="B368" s="228" t="s">
        <v>3677</v>
      </c>
      <c r="C368" s="231" t="s">
        <v>3678</v>
      </c>
    </row>
    <row r="369">
      <c r="A369" s="236" t="s">
        <v>3676</v>
      </c>
      <c r="B369" s="233" t="s">
        <v>3679</v>
      </c>
      <c r="C369" s="232" t="s">
        <v>3680</v>
      </c>
    </row>
    <row r="370">
      <c r="A370" s="236" t="s">
        <v>3527</v>
      </c>
      <c r="B370" s="228" t="s">
        <v>3681</v>
      </c>
      <c r="C370" s="231" t="s">
        <v>3058</v>
      </c>
    </row>
    <row r="371">
      <c r="A371" s="236" t="s">
        <v>3636</v>
      </c>
      <c r="B371" s="237" t="s">
        <v>3682</v>
      </c>
      <c r="C371" s="231" t="s">
        <v>3058</v>
      </c>
    </row>
    <row r="372">
      <c r="A372" s="236" t="s">
        <v>3615</v>
      </c>
      <c r="B372" s="233" t="s">
        <v>3683</v>
      </c>
      <c r="C372" s="231" t="s">
        <v>3684</v>
      </c>
    </row>
    <row r="373">
      <c r="A373" s="236" t="s">
        <v>3197</v>
      </c>
      <c r="B373" s="228" t="s">
        <v>3685</v>
      </c>
      <c r="C373" s="231" t="s">
        <v>3058</v>
      </c>
    </row>
    <row r="374">
      <c r="A374" s="178" t="s">
        <v>3208</v>
      </c>
      <c r="B374" s="248" t="s">
        <v>3686</v>
      </c>
      <c r="C374" s="231" t="s">
        <v>3687</v>
      </c>
    </row>
    <row r="375">
      <c r="A375" s="248" t="s">
        <v>3688</v>
      </c>
      <c r="B375" s="248" t="s">
        <v>3689</v>
      </c>
      <c r="C375" s="231" t="s">
        <v>3690</v>
      </c>
    </row>
    <row r="376">
      <c r="A376" s="248" t="s">
        <v>3691</v>
      </c>
      <c r="B376" s="248" t="s">
        <v>3692</v>
      </c>
      <c r="C376" s="249"/>
    </row>
    <row r="377">
      <c r="A377" s="248" t="s">
        <v>3693</v>
      </c>
      <c r="B377" s="248" t="s">
        <v>3694</v>
      </c>
      <c r="C377" s="231" t="s">
        <v>12</v>
      </c>
    </row>
    <row r="378">
      <c r="A378" s="248" t="s">
        <v>3695</v>
      </c>
      <c r="B378" s="248" t="s">
        <v>3696</v>
      </c>
      <c r="C378" s="232" t="s">
        <v>3697</v>
      </c>
    </row>
    <row r="379">
      <c r="A379" s="248" t="s">
        <v>3698</v>
      </c>
      <c r="B379" s="248" t="s">
        <v>3699</v>
      </c>
      <c r="C379" s="231" t="s">
        <v>3700</v>
      </c>
    </row>
    <row r="380">
      <c r="A380" s="248" t="s">
        <v>3701</v>
      </c>
      <c r="B380" s="248" t="s">
        <v>3702</v>
      </c>
      <c r="C380" s="231" t="s">
        <v>3058</v>
      </c>
    </row>
    <row r="381">
      <c r="A381" s="248" t="s">
        <v>3703</v>
      </c>
      <c r="B381" s="248" t="s">
        <v>3704</v>
      </c>
      <c r="C381" s="231" t="s">
        <v>3058</v>
      </c>
    </row>
    <row r="382">
      <c r="A382" s="248" t="s">
        <v>3705</v>
      </c>
      <c r="B382" s="248" t="s">
        <v>3706</v>
      </c>
      <c r="C382" s="249"/>
    </row>
    <row r="383">
      <c r="A383" s="248" t="s">
        <v>3137</v>
      </c>
      <c r="B383" s="248" t="s">
        <v>3707</v>
      </c>
      <c r="C383" s="231" t="s">
        <v>3058</v>
      </c>
    </row>
    <row r="384">
      <c r="A384" s="248" t="s">
        <v>3708</v>
      </c>
      <c r="B384" s="248" t="s">
        <v>3709</v>
      </c>
      <c r="C384" s="231" t="s">
        <v>3058</v>
      </c>
    </row>
    <row r="385">
      <c r="A385" s="248" t="s">
        <v>3137</v>
      </c>
      <c r="B385" s="248" t="s">
        <v>3710</v>
      </c>
      <c r="C385" s="231" t="s">
        <v>3058</v>
      </c>
    </row>
    <row r="386">
      <c r="A386" s="248" t="s">
        <v>3711</v>
      </c>
      <c r="B386" s="248" t="s">
        <v>3712</v>
      </c>
      <c r="C386" s="229" t="s">
        <v>3713</v>
      </c>
    </row>
    <row r="387">
      <c r="A387" s="248" t="s">
        <v>3714</v>
      </c>
      <c r="B387" s="248" t="s">
        <v>3715</v>
      </c>
      <c r="C387" s="231" t="s">
        <v>3716</v>
      </c>
    </row>
    <row r="388">
      <c r="A388" s="248" t="s">
        <v>3137</v>
      </c>
      <c r="B388" s="248" t="s">
        <v>3717</v>
      </c>
      <c r="C388" s="231" t="s">
        <v>3718</v>
      </c>
    </row>
    <row r="389">
      <c r="A389" s="248" t="s">
        <v>3719</v>
      </c>
      <c r="B389" s="248" t="s">
        <v>3720</v>
      </c>
      <c r="C389" s="249"/>
    </row>
    <row r="390">
      <c r="A390" s="248" t="s">
        <v>3721</v>
      </c>
      <c r="B390" s="248" t="s">
        <v>3722</v>
      </c>
      <c r="C390" s="249"/>
    </row>
    <row r="391">
      <c r="A391" s="248" t="s">
        <v>3723</v>
      </c>
      <c r="B391" s="248" t="s">
        <v>3724</v>
      </c>
      <c r="C391" s="249"/>
    </row>
    <row r="392">
      <c r="A392" s="248"/>
      <c r="B392" s="248"/>
      <c r="C392" s="249"/>
    </row>
    <row r="393">
      <c r="A393" s="248"/>
      <c r="B393" s="248"/>
      <c r="C393" s="249"/>
    </row>
    <row r="394">
      <c r="A394" s="248"/>
      <c r="B394" s="248"/>
      <c r="C394" s="249"/>
    </row>
    <row r="395">
      <c r="A395" s="248"/>
      <c r="B395" s="248"/>
      <c r="C395" s="249"/>
    </row>
    <row r="396">
      <c r="A396" s="248"/>
      <c r="B396" s="248"/>
      <c r="C396" s="249"/>
    </row>
    <row r="397">
      <c r="A397" s="248"/>
      <c r="B397" s="248"/>
      <c r="C397" s="249"/>
    </row>
    <row r="398">
      <c r="A398" s="248"/>
      <c r="B398" s="248"/>
      <c r="C398" s="249"/>
    </row>
    <row r="399">
      <c r="A399" s="248"/>
      <c r="B399" s="248"/>
      <c r="C399" s="249"/>
    </row>
    <row r="400">
      <c r="A400" s="248"/>
      <c r="B400" s="248"/>
      <c r="C400" s="249"/>
    </row>
    <row r="401">
      <c r="A401" s="248"/>
      <c r="B401" s="248"/>
      <c r="C401" s="249"/>
    </row>
    <row r="402">
      <c r="A402" s="248"/>
      <c r="B402" s="248"/>
      <c r="C402" s="249"/>
    </row>
  </sheetData>
  <conditionalFormatting sqref="B283 B318 B345 B348">
    <cfRule type="expression" dxfId="1" priority="1">
      <formula>MATCH(B283,INDIRECT("'Xbox Game Studios'!A:A"),0)</formula>
    </cfRule>
  </conditionalFormatting>
  <conditionalFormatting sqref="B283 B345 B348">
    <cfRule type="expression" dxfId="2" priority="2">
      <formula>MATCH(B283,INDIRECT("'EA Play'!A:A"),0)</formula>
    </cfRule>
  </conditionalFormatting>
  <conditionalFormatting sqref="B283 B318 B345 B348">
    <cfRule type="expression" dxfId="3" priority="3">
      <formula>$D283="Coming Soon"</formula>
    </cfRule>
  </conditionalFormatting>
  <conditionalFormatting sqref="B283 B318 B345 B348">
    <cfRule type="expression" dxfId="5" priority="4">
      <formula>$D283="Leaving Soon"</formula>
    </cfRule>
  </conditionalFormatting>
  <conditionalFormatting sqref="A185:A186">
    <cfRule type="expression" dxfId="4" priority="5">
      <formula>$D182="Removed"</formula>
    </cfRule>
  </conditionalFormatting>
  <conditionalFormatting sqref="A1">
    <cfRule type="cellIs" dxfId="9" priority="6" operator="between">
      <formula>90</formula>
      <formula>100</formula>
    </cfRule>
  </conditionalFormatting>
  <conditionalFormatting sqref="A1:A2 A4:A112 B4:C4 B113 A114:A181 A183:A184 A186:A373 B283 B318 B345 B348 B374 A375:A402">
    <cfRule type="expression" dxfId="4" priority="7">
      <formula>$D1="Removed"</formula>
    </cfRule>
  </conditionalFormatting>
  <conditionalFormatting sqref="B391">
    <cfRule type="notContainsBlanks" dxfId="2" priority="8">
      <formula>LEN(TRIM(B391))&gt;0</formula>
    </cfRule>
  </conditionalFormatting>
  <hyperlinks>
    <hyperlink r:id="rId1" ref="B33"/>
    <hyperlink r:id="rId2" ref="B42"/>
    <hyperlink r:id="rId3" ref="B43"/>
    <hyperlink r:id="rId4" ref="B50"/>
    <hyperlink r:id="rId5" ref="B53"/>
    <hyperlink r:id="rId6" ref="C58"/>
    <hyperlink r:id="rId7" ref="B65"/>
    <hyperlink r:id="rId8" ref="B75"/>
    <hyperlink r:id="rId9" ref="B83"/>
    <hyperlink r:id="rId10" ref="B114"/>
    <hyperlink r:id="rId11" ref="B136"/>
    <hyperlink r:id="rId12" ref="B143"/>
    <hyperlink r:id="rId13" ref="B154"/>
    <hyperlink r:id="rId14" ref="B179"/>
    <hyperlink r:id="rId15" ref="B190"/>
    <hyperlink r:id="rId16" ref="B206"/>
    <hyperlink r:id="rId17" ref="B215"/>
    <hyperlink r:id="rId18" ref="B216"/>
    <hyperlink r:id="rId19" ref="B222"/>
    <hyperlink r:id="rId20" ref="B225"/>
    <hyperlink r:id="rId21" ref="B226"/>
    <hyperlink r:id="rId22" ref="B227"/>
    <hyperlink r:id="rId23" ref="B228"/>
    <hyperlink r:id="rId24" ref="B229"/>
    <hyperlink r:id="rId25" ref="B230"/>
    <hyperlink r:id="rId26" ref="B231"/>
    <hyperlink r:id="rId27" ref="B238"/>
    <hyperlink r:id="rId28" ref="B249"/>
    <hyperlink r:id="rId29" ref="B256"/>
    <hyperlink r:id="rId30" ref="B265"/>
    <hyperlink r:id="rId31" ref="B266"/>
    <hyperlink r:id="rId32" ref="B271"/>
    <hyperlink r:id="rId33" location="!" ref="B273"/>
    <hyperlink r:id="rId34" ref="B274"/>
    <hyperlink r:id="rId35" ref="B275"/>
    <hyperlink r:id="rId36" ref="B276"/>
    <hyperlink r:id="rId37" ref="B277"/>
    <hyperlink r:id="rId38" ref="B278"/>
    <hyperlink r:id="rId39" ref="B284"/>
    <hyperlink r:id="rId40" ref="B286"/>
    <hyperlink r:id="rId41" ref="B287"/>
    <hyperlink r:id="rId42" ref="B288"/>
    <hyperlink r:id="rId43" ref="B289"/>
    <hyperlink r:id="rId44" ref="B294"/>
    <hyperlink r:id="rId45" ref="B295"/>
    <hyperlink r:id="rId46" ref="B296"/>
    <hyperlink r:id="rId47" ref="B298"/>
    <hyperlink r:id="rId48" ref="B320"/>
    <hyperlink r:id="rId49" ref="B358"/>
    <hyperlink r:id="rId50" ref="B363"/>
    <hyperlink r:id="rId51" ref="B371"/>
  </hyperlinks>
  <printOptions gridLines="1" horizontalCentered="1"/>
  <pageMargins bottom="0.75" footer="0.0" header="0.0" left="0.7" right="0.7" top="0.75"/>
  <pageSetup fitToHeight="0" paperSize="9" cellComments="atEnd" orientation="landscape" pageOrder="overThenDown"/>
  <drawing r:id="rId5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10.5"/>
    <col customWidth="1" min="3" max="3" width="48.75"/>
  </cols>
  <sheetData>
    <row r="1">
      <c r="A1" s="172" t="s">
        <v>3725</v>
      </c>
      <c r="B1" s="250"/>
      <c r="C1" s="172" t="s">
        <v>3726</v>
      </c>
    </row>
    <row r="2">
      <c r="A2" s="174" t="s">
        <v>3727</v>
      </c>
      <c r="B2" s="250"/>
      <c r="C2" s="180" t="s">
        <v>2274</v>
      </c>
    </row>
    <row r="3">
      <c r="A3" s="190" t="s">
        <v>1074</v>
      </c>
      <c r="B3" s="250"/>
      <c r="C3" s="180" t="s">
        <v>3727</v>
      </c>
    </row>
    <row r="4">
      <c r="A4" s="180" t="s">
        <v>1099</v>
      </c>
      <c r="B4" s="250"/>
      <c r="C4" s="180" t="s">
        <v>3728</v>
      </c>
    </row>
    <row r="5">
      <c r="A5" s="180" t="s">
        <v>1084</v>
      </c>
      <c r="B5" s="250"/>
      <c r="C5" s="180" t="s">
        <v>2150</v>
      </c>
    </row>
    <row r="6">
      <c r="A6" s="180" t="s">
        <v>956</v>
      </c>
      <c r="B6" s="250"/>
      <c r="C6" s="180" t="s">
        <v>1019</v>
      </c>
    </row>
    <row r="7">
      <c r="A7" s="180" t="s">
        <v>2131</v>
      </c>
      <c r="B7" s="250"/>
      <c r="C7" s="180" t="s">
        <v>552</v>
      </c>
    </row>
    <row r="8">
      <c r="A8" s="180" t="s">
        <v>1371</v>
      </c>
      <c r="B8" s="250"/>
      <c r="C8" s="180" t="s">
        <v>1938</v>
      </c>
    </row>
    <row r="9">
      <c r="A9" s="180" t="s">
        <v>1151</v>
      </c>
      <c r="B9" s="250"/>
      <c r="C9" s="180" t="s">
        <v>1099</v>
      </c>
    </row>
    <row r="10">
      <c r="A10" s="189" t="s">
        <v>3729</v>
      </c>
      <c r="B10" s="250"/>
      <c r="C10" s="180" t="s">
        <v>958</v>
      </c>
    </row>
    <row r="11">
      <c r="A11" s="180" t="s">
        <v>3730</v>
      </c>
      <c r="B11" s="250"/>
      <c r="C11" s="180" t="s">
        <v>956</v>
      </c>
    </row>
    <row r="12">
      <c r="A12" s="180" t="s">
        <v>1112</v>
      </c>
      <c r="B12" s="250"/>
      <c r="C12" s="180" t="s">
        <v>1085</v>
      </c>
    </row>
    <row r="13">
      <c r="A13" s="180" t="s">
        <v>1149</v>
      </c>
      <c r="B13" s="250"/>
      <c r="C13" s="180" t="s">
        <v>1133</v>
      </c>
    </row>
    <row r="14">
      <c r="A14" s="180" t="s">
        <v>1973</v>
      </c>
      <c r="B14" s="251"/>
      <c r="C14" s="180" t="s">
        <v>2166</v>
      </c>
    </row>
    <row r="15">
      <c r="A15" s="180" t="s">
        <v>1001</v>
      </c>
      <c r="B15" s="252"/>
      <c r="C15" s="180" t="s">
        <v>1798</v>
      </c>
    </row>
    <row r="16">
      <c r="A16" s="174" t="s">
        <v>1715</v>
      </c>
      <c r="B16" s="252"/>
      <c r="C16" s="180" t="s">
        <v>332</v>
      </c>
    </row>
    <row r="17">
      <c r="A17" s="180" t="s">
        <v>1144</v>
      </c>
      <c r="B17" s="252"/>
      <c r="C17" s="180" t="s">
        <v>2403</v>
      </c>
    </row>
    <row r="18">
      <c r="A18" s="174" t="s">
        <v>1137</v>
      </c>
      <c r="B18" s="252"/>
      <c r="C18" s="180" t="s">
        <v>2224</v>
      </c>
    </row>
    <row r="19">
      <c r="A19" s="180" t="s">
        <v>2251</v>
      </c>
      <c r="B19" s="252"/>
      <c r="C19" s="180" t="s">
        <v>2110</v>
      </c>
    </row>
    <row r="20">
      <c r="A20" s="180" t="s">
        <v>3731</v>
      </c>
      <c r="B20" s="252"/>
      <c r="C20" s="180" t="s">
        <v>2111</v>
      </c>
    </row>
    <row r="21">
      <c r="A21" s="174" t="s">
        <v>1150</v>
      </c>
      <c r="B21" s="253"/>
      <c r="C21" s="180" t="s">
        <v>2112</v>
      </c>
    </row>
    <row r="22">
      <c r="A22" s="180" t="s">
        <v>1374</v>
      </c>
      <c r="B22" s="253"/>
      <c r="C22" s="180" t="s">
        <v>2113</v>
      </c>
    </row>
    <row r="23">
      <c r="A23" s="180" t="s">
        <v>1994</v>
      </c>
      <c r="B23" s="253"/>
      <c r="C23" s="180" t="s">
        <v>1371</v>
      </c>
    </row>
    <row r="24">
      <c r="A24" s="180" t="s">
        <v>2037</v>
      </c>
      <c r="B24" s="253"/>
      <c r="C24" s="180" t="s">
        <v>719</v>
      </c>
    </row>
    <row r="25">
      <c r="A25" s="180" t="s">
        <v>1093</v>
      </c>
      <c r="B25" s="253"/>
      <c r="C25" s="180" t="s">
        <v>2134</v>
      </c>
    </row>
    <row r="26">
      <c r="A26" s="180" t="s">
        <v>1589</v>
      </c>
      <c r="B26" s="252"/>
      <c r="C26" s="180" t="s">
        <v>2428</v>
      </c>
    </row>
    <row r="27">
      <c r="A27" s="180" t="s">
        <v>190</v>
      </c>
      <c r="B27" s="252"/>
      <c r="C27" s="180" t="s">
        <v>959</v>
      </c>
    </row>
    <row r="28">
      <c r="A28" s="180" t="s">
        <v>986</v>
      </c>
      <c r="B28" s="252"/>
      <c r="C28" s="189" t="s">
        <v>3729</v>
      </c>
    </row>
    <row r="29">
      <c r="A29" s="180" t="s">
        <v>1506</v>
      </c>
      <c r="B29" s="252"/>
      <c r="C29" s="180" t="s">
        <v>1151</v>
      </c>
    </row>
    <row r="30">
      <c r="A30" s="180" t="s">
        <v>719</v>
      </c>
      <c r="B30" s="252"/>
      <c r="C30" s="180" t="s">
        <v>1014</v>
      </c>
    </row>
    <row r="31">
      <c r="A31" s="180" t="s">
        <v>963</v>
      </c>
      <c r="B31" s="252"/>
      <c r="C31" s="180" t="s">
        <v>3730</v>
      </c>
    </row>
    <row r="32">
      <c r="A32" s="180" t="s">
        <v>1693</v>
      </c>
      <c r="B32" s="252"/>
      <c r="C32" s="180" t="s">
        <v>2083</v>
      </c>
    </row>
    <row r="33">
      <c r="A33" s="173" t="s">
        <v>1782</v>
      </c>
      <c r="B33" s="252"/>
      <c r="C33" s="180" t="s">
        <v>1149</v>
      </c>
    </row>
    <row r="34">
      <c r="A34" s="180" t="s">
        <v>735</v>
      </c>
      <c r="B34" s="252"/>
      <c r="C34" s="180" t="s">
        <v>1154</v>
      </c>
    </row>
    <row r="35">
      <c r="A35" s="173" t="s">
        <v>1715</v>
      </c>
      <c r="B35" s="252"/>
      <c r="C35" s="180" t="s">
        <v>2090</v>
      </c>
    </row>
    <row r="36">
      <c r="A36" s="180" t="s">
        <v>686</v>
      </c>
      <c r="B36" s="252"/>
      <c r="C36" s="180" t="s">
        <v>2093</v>
      </c>
    </row>
    <row r="37">
      <c r="A37" s="180" t="s">
        <v>846</v>
      </c>
      <c r="B37" s="252"/>
      <c r="C37" s="180" t="s">
        <v>2254</v>
      </c>
    </row>
    <row r="38">
      <c r="A38" s="180" t="s">
        <v>1608</v>
      </c>
      <c r="B38" s="252"/>
      <c r="C38" s="180" t="s">
        <v>1246</v>
      </c>
    </row>
    <row r="39">
      <c r="A39" s="173" t="s">
        <v>1624</v>
      </c>
      <c r="B39" s="252"/>
      <c r="C39" s="180" t="s">
        <v>2175</v>
      </c>
    </row>
    <row r="40">
      <c r="A40" s="173" t="s">
        <v>1019</v>
      </c>
      <c r="B40" s="252"/>
      <c r="C40" s="180" t="s">
        <v>3732</v>
      </c>
    </row>
    <row r="41">
      <c r="A41" s="180" t="s">
        <v>1888</v>
      </c>
      <c r="B41" s="254"/>
      <c r="C41" s="180" t="s">
        <v>3733</v>
      </c>
    </row>
    <row r="42">
      <c r="A42" s="180" t="s">
        <v>1768</v>
      </c>
      <c r="B42" s="254"/>
      <c r="C42" s="180" t="s">
        <v>2109</v>
      </c>
    </row>
    <row r="43">
      <c r="A43" s="180" t="s">
        <v>782</v>
      </c>
      <c r="B43" s="254"/>
      <c r="C43" s="180" t="s">
        <v>2236</v>
      </c>
    </row>
    <row r="44">
      <c r="A44" s="180" t="s">
        <v>713</v>
      </c>
      <c r="B44" s="254"/>
      <c r="C44" s="180" t="s">
        <v>2446</v>
      </c>
    </row>
    <row r="45">
      <c r="A45" s="180" t="s">
        <v>3734</v>
      </c>
      <c r="B45" s="254"/>
      <c r="C45" s="180" t="s">
        <v>1399</v>
      </c>
    </row>
    <row r="46">
      <c r="A46" s="180" t="s">
        <v>1011</v>
      </c>
      <c r="B46" s="254"/>
      <c r="C46" s="180" t="s">
        <v>1313</v>
      </c>
    </row>
    <row r="47">
      <c r="A47" s="180" t="s">
        <v>982</v>
      </c>
      <c r="B47" s="254"/>
      <c r="C47" s="180" t="s">
        <v>3735</v>
      </c>
    </row>
    <row r="48">
      <c r="A48" s="173" t="s">
        <v>3736</v>
      </c>
      <c r="B48" s="254"/>
      <c r="C48" s="180" t="s">
        <v>2474</v>
      </c>
    </row>
    <row r="49">
      <c r="A49" s="180" t="s">
        <v>1712</v>
      </c>
      <c r="B49" s="254"/>
      <c r="C49" s="180" t="s">
        <v>1067</v>
      </c>
    </row>
    <row r="50">
      <c r="A50" s="180" t="s">
        <v>338</v>
      </c>
      <c r="B50" s="254"/>
      <c r="C50" s="180" t="s">
        <v>338</v>
      </c>
    </row>
    <row r="51">
      <c r="A51" s="180" t="s">
        <v>708</v>
      </c>
      <c r="B51" s="254"/>
      <c r="C51" s="180" t="s">
        <v>1080</v>
      </c>
    </row>
    <row r="52">
      <c r="A52" s="180" t="s">
        <v>1036</v>
      </c>
      <c r="B52" s="254"/>
      <c r="C52" s="180" t="s">
        <v>2088</v>
      </c>
    </row>
    <row r="53">
      <c r="A53" s="180" t="s">
        <v>3737</v>
      </c>
      <c r="B53" s="254"/>
      <c r="C53" s="180" t="s">
        <v>2257</v>
      </c>
    </row>
    <row r="54">
      <c r="A54" s="180" t="s">
        <v>3738</v>
      </c>
      <c r="B54" s="254"/>
      <c r="C54" s="180" t="s">
        <v>981</v>
      </c>
    </row>
    <row r="55">
      <c r="A55" s="180" t="s">
        <v>1353</v>
      </c>
      <c r="B55" s="254"/>
      <c r="C55" s="180" t="s">
        <v>2200</v>
      </c>
    </row>
    <row r="56">
      <c r="A56" s="180" t="s">
        <v>761</v>
      </c>
      <c r="B56" s="254"/>
      <c r="C56" s="180" t="s">
        <v>2455</v>
      </c>
    </row>
    <row r="57">
      <c r="A57" s="180" t="s">
        <v>1561</v>
      </c>
      <c r="B57" s="254"/>
      <c r="C57" s="180" t="s">
        <v>1020</v>
      </c>
    </row>
    <row r="58">
      <c r="A58" s="180" t="s">
        <v>3739</v>
      </c>
      <c r="B58" s="254"/>
      <c r="C58" s="180" t="s">
        <v>1715</v>
      </c>
    </row>
    <row r="59">
      <c r="A59" s="180" t="s">
        <v>3740</v>
      </c>
      <c r="B59" s="254"/>
      <c r="C59" s="180" t="s">
        <v>1161</v>
      </c>
    </row>
    <row r="60">
      <c r="A60" s="180" t="s">
        <v>3741</v>
      </c>
      <c r="B60" s="254"/>
      <c r="C60" s="180" t="s">
        <v>1978</v>
      </c>
    </row>
    <row r="61">
      <c r="A61" s="180" t="s">
        <v>664</v>
      </c>
      <c r="B61" s="254"/>
      <c r="C61" s="180" t="s">
        <v>2409</v>
      </c>
    </row>
    <row r="62">
      <c r="A62" s="180" t="s">
        <v>674</v>
      </c>
      <c r="B62" s="254"/>
      <c r="C62" s="180" t="s">
        <v>3742</v>
      </c>
    </row>
    <row r="63">
      <c r="A63" s="180" t="s">
        <v>3743</v>
      </c>
      <c r="B63" s="254"/>
      <c r="C63" s="180" t="s">
        <v>1118</v>
      </c>
    </row>
    <row r="64">
      <c r="A64" s="180" t="s">
        <v>1416</v>
      </c>
      <c r="B64" s="254"/>
      <c r="C64" s="180" t="s">
        <v>1878</v>
      </c>
    </row>
    <row r="65">
      <c r="A65" s="180" t="s">
        <v>1318</v>
      </c>
      <c r="B65" s="254"/>
      <c r="C65" s="180" t="s">
        <v>1144</v>
      </c>
    </row>
    <row r="66">
      <c r="A66" s="180" t="s">
        <v>3744</v>
      </c>
      <c r="B66" s="254"/>
      <c r="C66" s="180" t="s">
        <v>2299</v>
      </c>
    </row>
    <row r="67">
      <c r="A67" s="180" t="s">
        <v>1469</v>
      </c>
      <c r="B67" s="254"/>
      <c r="C67" s="180" t="s">
        <v>2426</v>
      </c>
    </row>
    <row r="68">
      <c r="A68" s="180" t="s">
        <v>571</v>
      </c>
      <c r="B68" s="254"/>
      <c r="C68" s="180" t="s">
        <v>2271</v>
      </c>
    </row>
    <row r="69">
      <c r="A69" s="180" t="s">
        <v>3745</v>
      </c>
      <c r="B69" s="254"/>
      <c r="C69" s="180" t="s">
        <v>1137</v>
      </c>
    </row>
    <row r="70">
      <c r="A70" s="180" t="s">
        <v>3746</v>
      </c>
      <c r="B70" s="254"/>
      <c r="C70" s="180" t="s">
        <v>1232</v>
      </c>
    </row>
    <row r="71">
      <c r="A71" s="180" t="s">
        <v>3747</v>
      </c>
      <c r="B71" s="254"/>
      <c r="C71" s="180" t="s">
        <v>1994</v>
      </c>
    </row>
    <row r="72">
      <c r="A72" s="180" t="s">
        <v>1356</v>
      </c>
      <c r="B72" s="254"/>
      <c r="C72" s="180" t="s">
        <v>1825</v>
      </c>
    </row>
    <row r="73">
      <c r="A73" s="253" t="s">
        <v>617</v>
      </c>
      <c r="B73" s="254"/>
      <c r="C73" s="180" t="s">
        <v>1146</v>
      </c>
    </row>
    <row r="74">
      <c r="A74" s="253" t="s">
        <v>1435</v>
      </c>
      <c r="B74" s="254"/>
      <c r="C74" s="180" t="s">
        <v>2342</v>
      </c>
    </row>
    <row r="75">
      <c r="A75" s="253" t="s">
        <v>1407</v>
      </c>
      <c r="B75" s="254"/>
      <c r="C75" s="180" t="s">
        <v>1693</v>
      </c>
    </row>
    <row r="76">
      <c r="A76" s="253" t="s">
        <v>1391</v>
      </c>
      <c r="B76" s="254"/>
      <c r="C76" s="180" t="s">
        <v>1050</v>
      </c>
    </row>
    <row r="77">
      <c r="A77" s="253" t="s">
        <v>1351</v>
      </c>
      <c r="B77" s="254"/>
      <c r="C77" s="180" t="s">
        <v>1058</v>
      </c>
    </row>
    <row r="78">
      <c r="A78" s="253"/>
      <c r="B78" s="254"/>
      <c r="C78" s="180" t="s">
        <v>2103</v>
      </c>
    </row>
    <row r="79">
      <c r="A79" s="253"/>
      <c r="B79" s="254"/>
      <c r="C79" s="180" t="s">
        <v>1707</v>
      </c>
    </row>
    <row r="80">
      <c r="A80" s="253"/>
      <c r="B80" s="254"/>
      <c r="C80" s="180" t="s">
        <v>2451</v>
      </c>
    </row>
    <row r="81">
      <c r="A81" s="253"/>
      <c r="B81" s="254"/>
      <c r="C81" s="180" t="s">
        <v>2315</v>
      </c>
    </row>
    <row r="82">
      <c r="A82" s="253"/>
      <c r="B82" s="254"/>
      <c r="C82" s="180" t="s">
        <v>3748</v>
      </c>
    </row>
    <row r="83">
      <c r="A83" s="253"/>
      <c r="B83" s="254"/>
      <c r="C83" s="180" t="s">
        <v>986</v>
      </c>
    </row>
    <row r="84">
      <c r="A84" s="253"/>
      <c r="B84" s="254"/>
      <c r="C84" s="180" t="s">
        <v>2176</v>
      </c>
    </row>
    <row r="85">
      <c r="A85" s="253"/>
      <c r="B85" s="254"/>
      <c r="C85" s="180" t="s">
        <v>2081</v>
      </c>
    </row>
    <row r="86">
      <c r="A86" s="253"/>
      <c r="B86" s="254"/>
      <c r="C86" s="180" t="s">
        <v>2144</v>
      </c>
    </row>
    <row r="87">
      <c r="A87" s="253"/>
      <c r="B87" s="254"/>
      <c r="C87" s="180" t="s">
        <v>1135</v>
      </c>
    </row>
    <row r="88">
      <c r="A88" s="253"/>
      <c r="B88" s="254"/>
      <c r="C88" s="180" t="s">
        <v>1022</v>
      </c>
    </row>
    <row r="89">
      <c r="A89" s="253"/>
      <c r="B89" s="254"/>
      <c r="C89" s="180" t="s">
        <v>504</v>
      </c>
    </row>
    <row r="90">
      <c r="A90" s="253"/>
      <c r="B90" s="254"/>
      <c r="C90" s="180" t="s">
        <v>1150</v>
      </c>
    </row>
    <row r="91">
      <c r="A91" s="253"/>
      <c r="B91" s="254"/>
      <c r="C91" s="180" t="s">
        <v>120</v>
      </c>
    </row>
    <row r="92">
      <c r="A92" s="253"/>
      <c r="B92" s="254"/>
      <c r="C92" s="180" t="s">
        <v>190</v>
      </c>
    </row>
    <row r="93">
      <c r="A93" s="253"/>
      <c r="B93" s="254"/>
      <c r="C93" s="180" t="s">
        <v>1297</v>
      </c>
    </row>
    <row r="94">
      <c r="A94" s="253"/>
      <c r="B94" s="254"/>
      <c r="C94" s="180" t="s">
        <v>1823</v>
      </c>
    </row>
    <row r="95">
      <c r="A95" s="253"/>
      <c r="B95" s="254"/>
      <c r="C95" s="180" t="s">
        <v>3749</v>
      </c>
    </row>
    <row r="96">
      <c r="A96" s="253"/>
      <c r="B96" s="254"/>
      <c r="C96" s="180" t="s">
        <v>3750</v>
      </c>
    </row>
    <row r="97">
      <c r="A97" s="253"/>
      <c r="B97" s="254"/>
      <c r="C97" s="180" t="s">
        <v>838</v>
      </c>
    </row>
    <row r="98">
      <c r="A98" s="253"/>
      <c r="B98" s="254"/>
      <c r="C98" s="180" t="s">
        <v>1916</v>
      </c>
    </row>
    <row r="99">
      <c r="A99" s="253"/>
      <c r="B99" s="254"/>
      <c r="C99" s="180" t="s">
        <v>1775</v>
      </c>
    </row>
    <row r="100">
      <c r="A100" s="253"/>
      <c r="B100" s="255" t="s">
        <v>3751</v>
      </c>
      <c r="C100" s="180" t="s">
        <v>1487</v>
      </c>
    </row>
    <row r="101">
      <c r="A101" s="253"/>
      <c r="B101" s="255" t="s">
        <v>3752</v>
      </c>
      <c r="C101" s="180" t="s">
        <v>1726</v>
      </c>
    </row>
    <row r="102">
      <c r="A102" s="179"/>
      <c r="B102" s="254" t="s">
        <v>3753</v>
      </c>
      <c r="C102" s="179"/>
    </row>
    <row r="103">
      <c r="A103" s="180" t="s">
        <v>3754</v>
      </c>
      <c r="B103" s="254" t="s">
        <v>3755</v>
      </c>
      <c r="C103" s="180"/>
    </row>
    <row r="104">
      <c r="A104" s="180" t="s">
        <v>412</v>
      </c>
      <c r="B104" s="254" t="s">
        <v>3756</v>
      </c>
      <c r="C104" s="180"/>
    </row>
    <row r="105">
      <c r="A105" s="180" t="s">
        <v>725</v>
      </c>
      <c r="B105" s="254" t="s">
        <v>3757</v>
      </c>
      <c r="C105" s="180"/>
    </row>
    <row r="106">
      <c r="A106" s="178" t="s">
        <v>3758</v>
      </c>
      <c r="B106" s="254" t="s">
        <v>3759</v>
      </c>
      <c r="C106" s="180"/>
    </row>
    <row r="107">
      <c r="A107" s="180" t="s">
        <v>3760</v>
      </c>
      <c r="B107" s="254" t="s">
        <v>3761</v>
      </c>
      <c r="C107" s="180"/>
    </row>
    <row r="108">
      <c r="A108" s="180" t="s">
        <v>2214</v>
      </c>
      <c r="B108" s="254" t="s">
        <v>3762</v>
      </c>
      <c r="C108" s="180"/>
    </row>
    <row r="109">
      <c r="A109" s="180" t="s">
        <v>3763</v>
      </c>
      <c r="B109" s="254"/>
      <c r="C109" s="180"/>
    </row>
    <row r="110">
      <c r="A110" s="180" t="s">
        <v>3764</v>
      </c>
      <c r="B110" s="254"/>
      <c r="C110" s="180"/>
    </row>
    <row r="111">
      <c r="A111" s="180"/>
      <c r="B111" s="254"/>
      <c r="C111" s="180"/>
    </row>
    <row r="112">
      <c r="A112" s="180"/>
      <c r="B112" s="254"/>
      <c r="C112" s="180"/>
    </row>
    <row r="113">
      <c r="A113" s="180"/>
      <c r="B113" s="254"/>
      <c r="C113" s="180"/>
    </row>
    <row r="114">
      <c r="A114" s="180"/>
      <c r="B114" s="254"/>
      <c r="C114" s="180"/>
    </row>
    <row r="115">
      <c r="A115" s="180"/>
      <c r="B115" s="254"/>
      <c r="C115" s="180"/>
    </row>
    <row r="116">
      <c r="A116" s="180"/>
      <c r="B116" s="254"/>
      <c r="C116" s="180"/>
    </row>
    <row r="117">
      <c r="A117" s="180"/>
      <c r="B117" s="254"/>
      <c r="C117" s="180"/>
    </row>
    <row r="118">
      <c r="A118" s="180"/>
      <c r="B118" s="254"/>
      <c r="C118" s="180"/>
    </row>
    <row r="119">
      <c r="A119" s="180"/>
      <c r="B119" s="254"/>
      <c r="C119" s="180"/>
    </row>
    <row r="120">
      <c r="A120" s="180"/>
      <c r="B120" s="254"/>
      <c r="C120" s="180"/>
    </row>
    <row r="121">
      <c r="A121" s="180"/>
      <c r="B121" s="254"/>
      <c r="C121" s="180"/>
    </row>
    <row r="122">
      <c r="A122" s="180"/>
      <c r="B122" s="254"/>
      <c r="C122" s="180"/>
    </row>
    <row r="123">
      <c r="A123" s="180"/>
      <c r="B123" s="254"/>
      <c r="C123" s="180"/>
    </row>
    <row r="124">
      <c r="A124" s="180"/>
      <c r="B124" s="254"/>
      <c r="C124" s="180"/>
    </row>
    <row r="125">
      <c r="A125" s="180"/>
      <c r="B125" s="254"/>
      <c r="C125" s="180"/>
    </row>
    <row r="126">
      <c r="A126" s="180"/>
      <c r="B126" s="254"/>
      <c r="C126" s="180"/>
    </row>
    <row r="127">
      <c r="A127" s="180"/>
      <c r="B127" s="254"/>
      <c r="C127" s="180"/>
    </row>
    <row r="128">
      <c r="A128" s="180"/>
      <c r="B128" s="254"/>
      <c r="C128" s="180"/>
    </row>
    <row r="129">
      <c r="A129" s="180"/>
      <c r="B129" s="254"/>
      <c r="C129" s="180"/>
    </row>
    <row r="130">
      <c r="A130" s="180"/>
      <c r="B130" s="254"/>
      <c r="C130" s="180"/>
    </row>
    <row r="131">
      <c r="A131" s="180"/>
      <c r="B131" s="254"/>
      <c r="C131" s="180"/>
    </row>
    <row r="132">
      <c r="A132" s="180"/>
      <c r="B132" s="254"/>
      <c r="C132" s="180"/>
    </row>
    <row r="133">
      <c r="A133" s="180"/>
      <c r="B133" s="254"/>
      <c r="C133" s="180"/>
    </row>
    <row r="134">
      <c r="A134" s="180"/>
      <c r="B134" s="254"/>
      <c r="C134" s="180"/>
    </row>
    <row r="135">
      <c r="A135" s="180"/>
      <c r="B135" s="254"/>
      <c r="C135" s="180"/>
    </row>
    <row r="136">
      <c r="A136" s="180"/>
      <c r="B136" s="254"/>
      <c r="C136" s="180"/>
    </row>
    <row r="137">
      <c r="A137" s="180"/>
      <c r="B137" s="254"/>
      <c r="C137" s="180"/>
    </row>
    <row r="138">
      <c r="A138" s="180"/>
      <c r="B138" s="254"/>
      <c r="C138" s="180"/>
    </row>
    <row r="139">
      <c r="A139" s="180"/>
      <c r="B139" s="254"/>
      <c r="C139" s="180"/>
    </row>
    <row r="140">
      <c r="A140" s="180"/>
      <c r="B140" s="254"/>
      <c r="C140" s="180"/>
    </row>
    <row r="141">
      <c r="A141" s="180"/>
      <c r="B141" s="254"/>
      <c r="C141" s="180"/>
    </row>
    <row r="142">
      <c r="A142" s="180"/>
      <c r="B142" s="254"/>
      <c r="C142" s="180"/>
    </row>
    <row r="143">
      <c r="A143" s="180"/>
      <c r="B143" s="254"/>
      <c r="C143" s="180"/>
    </row>
    <row r="144">
      <c r="A144" s="180"/>
      <c r="B144" s="254"/>
      <c r="C144" s="180"/>
    </row>
    <row r="145">
      <c r="A145" s="180"/>
      <c r="B145" s="254"/>
      <c r="C145" s="180"/>
    </row>
    <row r="146">
      <c r="A146" s="180"/>
      <c r="B146" s="254"/>
      <c r="C146" s="180"/>
    </row>
    <row r="147">
      <c r="A147" s="180"/>
      <c r="B147" s="254"/>
      <c r="C147" s="180"/>
    </row>
    <row r="148">
      <c r="A148" s="180"/>
      <c r="B148" s="254"/>
      <c r="C148" s="180"/>
    </row>
    <row r="149">
      <c r="A149" s="180"/>
      <c r="B149" s="254"/>
      <c r="C149" s="180"/>
    </row>
    <row r="150">
      <c r="A150" s="180"/>
      <c r="B150" s="254"/>
      <c r="C150" s="180"/>
    </row>
  </sheetData>
  <conditionalFormatting sqref="A1 C1">
    <cfRule type="expression" dxfId="3" priority="1">
      <formula>$D1="Coming Soon"</formula>
    </cfRule>
  </conditionalFormatting>
  <conditionalFormatting sqref="A1 C1">
    <cfRule type="expression" dxfId="4" priority="2">
      <formula>$D1="Removed"</formula>
    </cfRule>
  </conditionalFormatting>
  <conditionalFormatting sqref="A1 C1">
    <cfRule type="expression" dxfId="5" priority="3">
      <formula>$D1="Leaving Soon"</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7.63"/>
    <col customWidth="1" min="2" max="2" width="11.5"/>
    <col customWidth="1" min="3" max="3" width="9.0"/>
  </cols>
  <sheetData>
    <row r="1">
      <c r="A1" s="208" t="s">
        <v>2956</v>
      </c>
      <c r="B1" s="192">
        <f>COUNTA(A3:A42)</f>
        <v>40</v>
      </c>
      <c r="C1" s="192"/>
    </row>
    <row r="2">
      <c r="A2" s="193" t="s">
        <v>8</v>
      </c>
      <c r="B2" s="172" t="s">
        <v>3765</v>
      </c>
      <c r="C2" s="172"/>
    </row>
    <row r="3">
      <c r="A3" s="190" t="s">
        <v>3766</v>
      </c>
      <c r="B3" s="256" t="s">
        <v>3767</v>
      </c>
      <c r="C3" s="257" t="str">
        <f>VLOOKUP(A3,'Master List'!A:A,1,)</f>
        <v>#N/A</v>
      </c>
    </row>
    <row r="4">
      <c r="A4" s="190" t="s">
        <v>3768</v>
      </c>
      <c r="B4" s="256" t="s">
        <v>3767</v>
      </c>
      <c r="C4" s="257" t="str">
        <f>VLOOKUP(A4,'Master List'!A:A,1,)</f>
        <v>#N/A</v>
      </c>
    </row>
    <row r="5">
      <c r="A5" s="190" t="s">
        <v>3769</v>
      </c>
      <c r="B5" s="256">
        <v>2023.0</v>
      </c>
      <c r="C5" s="257" t="str">
        <f>VLOOKUP(A5,'Master List'!A:A,1,)</f>
        <v>#N/A</v>
      </c>
    </row>
    <row r="6">
      <c r="A6" s="190" t="s">
        <v>3770</v>
      </c>
      <c r="B6" s="256">
        <v>2023.0</v>
      </c>
      <c r="C6" s="257" t="str">
        <f>VLOOKUP(A6,'Master List'!A:A,1,)</f>
        <v>#N/A</v>
      </c>
    </row>
    <row r="7">
      <c r="A7" s="190" t="s">
        <v>3771</v>
      </c>
      <c r="B7" s="256">
        <v>2023.0</v>
      </c>
      <c r="C7" s="257" t="str">
        <f>VLOOKUP(A7,'Master List'!A:A,1,)</f>
        <v>#N/A</v>
      </c>
    </row>
    <row r="8">
      <c r="A8" s="190" t="s">
        <v>3772</v>
      </c>
      <c r="B8" s="256">
        <v>2024.0</v>
      </c>
      <c r="C8" s="257" t="str">
        <f>VLOOKUP(A8,'Master List'!A:A,1,)</f>
        <v>#N/A</v>
      </c>
    </row>
    <row r="9">
      <c r="A9" s="190" t="s">
        <v>3773</v>
      </c>
      <c r="B9" s="256">
        <v>2024.0</v>
      </c>
      <c r="C9" s="257" t="str">
        <f>VLOOKUP(A9,'Master List'!A:A,1,)</f>
        <v>#N/A</v>
      </c>
    </row>
    <row r="10">
      <c r="A10" s="190" t="s">
        <v>3774</v>
      </c>
      <c r="B10" s="256">
        <v>2024.0</v>
      </c>
      <c r="C10" s="257" t="str">
        <f>VLOOKUP(A10,'Master List'!A:A,1,)</f>
        <v>#N/A</v>
      </c>
    </row>
    <row r="11">
      <c r="A11" s="190" t="s">
        <v>3775</v>
      </c>
      <c r="B11" s="256">
        <v>2024.0</v>
      </c>
      <c r="C11" s="257" t="str">
        <f>VLOOKUP(A11,'Master List'!A:A,1,)</f>
        <v>#N/A</v>
      </c>
    </row>
    <row r="12">
      <c r="A12" s="190" t="s">
        <v>213</v>
      </c>
      <c r="B12" s="256">
        <v>2024.0</v>
      </c>
      <c r="C12" s="257" t="str">
        <f>VLOOKUP(A12,'Master List'!A:A,1,)</f>
        <v>The Alters</v>
      </c>
    </row>
    <row r="13">
      <c r="A13" s="190" t="s">
        <v>3776</v>
      </c>
      <c r="B13" s="258">
        <v>2025.0</v>
      </c>
      <c r="C13" s="257" t="str">
        <f>VLOOKUP(A13,'Master List'!A:A,1,)</f>
        <v>#N/A</v>
      </c>
    </row>
    <row r="14">
      <c r="A14" s="190" t="s">
        <v>169</v>
      </c>
      <c r="B14" s="258" t="s">
        <v>3777</v>
      </c>
      <c r="C14" s="257" t="str">
        <f>VLOOKUP(A14,'Master List'!A:A,1,)</f>
        <v>Abiotic Factor</v>
      </c>
    </row>
    <row r="15">
      <c r="A15" s="190" t="s">
        <v>3778</v>
      </c>
      <c r="B15" s="258" t="s">
        <v>3777</v>
      </c>
      <c r="C15" s="257" t="str">
        <f>VLOOKUP(A15,'Master List'!A:A,1,)</f>
        <v>#N/A</v>
      </c>
    </row>
    <row r="16">
      <c r="A16" s="190" t="s">
        <v>212</v>
      </c>
      <c r="B16" s="258">
        <v>2025.0</v>
      </c>
      <c r="C16" s="257" t="str">
        <f>VLOOKUP(A16,'Master List'!A:A,1,)</f>
        <v>Lost in Random: The Eternal Die</v>
      </c>
    </row>
    <row r="17">
      <c r="A17" s="77" t="s">
        <v>3779</v>
      </c>
      <c r="B17" s="258">
        <v>2026.0</v>
      </c>
      <c r="C17" s="257" t="str">
        <f>VLOOKUP(A17,'Master List'!A:A,1,)</f>
        <v>#N/A</v>
      </c>
    </row>
    <row r="18">
      <c r="A18" s="259" t="s">
        <v>3780</v>
      </c>
      <c r="B18" s="258">
        <v>2025.0</v>
      </c>
      <c r="C18" s="257" t="str">
        <f>VLOOKUP(A18,'Master List'!A:A,1,)</f>
        <v>#N/A</v>
      </c>
    </row>
    <row r="19">
      <c r="A19" s="260" t="s">
        <v>3781</v>
      </c>
      <c r="B19" s="258">
        <v>2025.0</v>
      </c>
      <c r="C19" s="257" t="str">
        <f>VLOOKUP(A19,'Master List'!A:A,1,)</f>
        <v>#N/A</v>
      </c>
    </row>
    <row r="20">
      <c r="A20" s="190" t="s">
        <v>3782</v>
      </c>
      <c r="B20" s="258">
        <v>2025.0</v>
      </c>
      <c r="C20" s="257" t="str">
        <f>VLOOKUP(A20,'Master List'!A:A,1,)</f>
        <v>#N/A</v>
      </c>
    </row>
    <row r="21">
      <c r="A21" s="261" t="s">
        <v>167</v>
      </c>
      <c r="B21" s="262">
        <v>2025.0</v>
      </c>
      <c r="C21" s="263" t="str">
        <f>VLOOKUP(A21,'Master List'!A:A,1,)</f>
        <v>WUCHANG: Fallen Feathers</v>
      </c>
    </row>
    <row r="22">
      <c r="A22" s="190" t="s">
        <v>3783</v>
      </c>
      <c r="B22" s="257" t="s">
        <v>3784</v>
      </c>
      <c r="C22" s="257" t="str">
        <f>VLOOKUP(A22,'Master List'!A:A,1,)</f>
        <v>#N/A</v>
      </c>
    </row>
    <row r="23">
      <c r="A23" s="77" t="s">
        <v>3785</v>
      </c>
      <c r="B23" s="264" t="s">
        <v>3784</v>
      </c>
      <c r="C23" s="257" t="str">
        <f>VLOOKUP(A23,'Master List'!A:A,1,)</f>
        <v>#N/A</v>
      </c>
    </row>
    <row r="24">
      <c r="A24" s="190" t="s">
        <v>3786</v>
      </c>
      <c r="B24" s="257" t="s">
        <v>3784</v>
      </c>
      <c r="C24" s="257" t="str">
        <f>VLOOKUP(A24,'Master List'!A:A,1,)</f>
        <v>#N/A</v>
      </c>
    </row>
    <row r="25">
      <c r="A25" s="77" t="s">
        <v>3787</v>
      </c>
      <c r="B25" s="264" t="s">
        <v>3784</v>
      </c>
      <c r="C25" s="257" t="str">
        <f>VLOOKUP(A25,'Master List'!A:A,1,)</f>
        <v>#N/A</v>
      </c>
    </row>
    <row r="26">
      <c r="A26" s="190" t="s">
        <v>3788</v>
      </c>
      <c r="B26" s="257" t="s">
        <v>3784</v>
      </c>
      <c r="C26" s="257" t="str">
        <f>VLOOKUP(A26,'Master List'!A:A,1,)</f>
        <v>#N/A</v>
      </c>
    </row>
    <row r="27">
      <c r="A27" s="190" t="s">
        <v>134</v>
      </c>
      <c r="B27" s="257" t="s">
        <v>3784</v>
      </c>
      <c r="C27" s="257" t="str">
        <f>VLOOKUP(A27,'Master List'!A:A,1,)</f>
        <v>Hollow Knight: Silksong</v>
      </c>
    </row>
    <row r="28">
      <c r="A28" s="190" t="s">
        <v>3789</v>
      </c>
      <c r="B28" s="264" t="s">
        <v>3784</v>
      </c>
      <c r="C28" s="257" t="str">
        <f>VLOOKUP(A28,'Master List'!A:A,1,)</f>
        <v>#N/A</v>
      </c>
    </row>
    <row r="29">
      <c r="A29" s="77" t="s">
        <v>3790</v>
      </c>
      <c r="B29" s="264" t="s">
        <v>3784</v>
      </c>
      <c r="C29" s="257" t="str">
        <f>VLOOKUP(A29,'Master List'!A:A,1,)</f>
        <v>#N/A</v>
      </c>
    </row>
    <row r="30">
      <c r="A30" s="190" t="s">
        <v>3791</v>
      </c>
      <c r="B30" s="257" t="s">
        <v>3784</v>
      </c>
      <c r="C30" s="257" t="str">
        <f>VLOOKUP(A30,'Master List'!A:A,1,)</f>
        <v>#N/A</v>
      </c>
    </row>
    <row r="31">
      <c r="A31" s="190" t="s">
        <v>3792</v>
      </c>
      <c r="B31" s="257" t="s">
        <v>3784</v>
      </c>
      <c r="C31" s="257" t="str">
        <f>VLOOKUP(A31,'Master List'!A:A,1,)</f>
        <v>#N/A</v>
      </c>
    </row>
    <row r="32">
      <c r="A32" s="77" t="s">
        <v>3793</v>
      </c>
      <c r="B32" s="264" t="s">
        <v>3784</v>
      </c>
      <c r="C32" s="257" t="str">
        <f>VLOOKUP(A32,'Master List'!A:A,1,)</f>
        <v>#N/A</v>
      </c>
    </row>
    <row r="33">
      <c r="A33" s="190" t="s">
        <v>3794</v>
      </c>
      <c r="B33" s="257" t="s">
        <v>3784</v>
      </c>
      <c r="C33" s="257" t="str">
        <f>VLOOKUP(A33,'Master List'!A:A,1,)</f>
        <v>#N/A</v>
      </c>
    </row>
    <row r="34">
      <c r="A34" s="190" t="s">
        <v>3795</v>
      </c>
      <c r="B34" s="257" t="s">
        <v>3784</v>
      </c>
      <c r="C34" s="257" t="str">
        <f>VLOOKUP(A34,'Master List'!A:A,1,)</f>
        <v>#N/A</v>
      </c>
    </row>
    <row r="35">
      <c r="A35" s="190" t="s">
        <v>3796</v>
      </c>
      <c r="B35" s="257" t="s">
        <v>3784</v>
      </c>
      <c r="C35" s="257" t="str">
        <f>VLOOKUP(A35,'Master List'!A:A,1,)</f>
        <v>#N/A</v>
      </c>
    </row>
    <row r="36">
      <c r="A36" s="77" t="s">
        <v>3797</v>
      </c>
      <c r="B36" s="264" t="s">
        <v>3784</v>
      </c>
      <c r="C36" s="257" t="str">
        <f>VLOOKUP(A36,'Master List'!A:A,1,)</f>
        <v>#N/A</v>
      </c>
    </row>
    <row r="37">
      <c r="A37" s="77" t="s">
        <v>3798</v>
      </c>
      <c r="B37" s="264" t="s">
        <v>3784</v>
      </c>
      <c r="C37" s="257" t="str">
        <f>VLOOKUP(A37,'Master List'!A:A,1,)</f>
        <v>#N/A</v>
      </c>
    </row>
    <row r="38">
      <c r="A38" s="77" t="s">
        <v>26</v>
      </c>
      <c r="B38" s="264" t="s">
        <v>3784</v>
      </c>
      <c r="C38" s="257" t="str">
        <f>VLOOKUP(A38,'Master List'!A:A,1,)</f>
        <v>The Outer Worlds 2</v>
      </c>
    </row>
    <row r="39">
      <c r="A39" s="190" t="s">
        <v>3799</v>
      </c>
      <c r="B39" s="257" t="s">
        <v>3784</v>
      </c>
      <c r="C39" s="257" t="str">
        <f>VLOOKUP(A39,'Master List'!A:A,1,)</f>
        <v>#N/A</v>
      </c>
    </row>
    <row r="40">
      <c r="A40" s="190" t="s">
        <v>3800</v>
      </c>
      <c r="B40" s="257" t="s">
        <v>3784</v>
      </c>
      <c r="C40" s="257" t="str">
        <f>VLOOKUP(A40,'Master List'!A:A,1,)</f>
        <v>#N/A</v>
      </c>
    </row>
    <row r="41">
      <c r="A41" s="190" t="s">
        <v>3801</v>
      </c>
      <c r="B41" s="264" t="s">
        <v>3784</v>
      </c>
      <c r="C41" s="257" t="str">
        <f>VLOOKUP(A41,'Master List'!A:A,1,)</f>
        <v>#N/A</v>
      </c>
    </row>
    <row r="42">
      <c r="A42" s="190" t="s">
        <v>3802</v>
      </c>
      <c r="B42" s="264" t="s">
        <v>3784</v>
      </c>
      <c r="C42" s="257" t="str">
        <f>VLOOKUP(A42,'Master List'!A:A,1,)</f>
        <v>WUCHANG: Fallen Feathers</v>
      </c>
    </row>
  </sheetData>
  <autoFilter ref="$A$2:$A$39">
    <sortState ref="A2:A39">
      <sortCondition ref="A2:A39"/>
    </sortState>
  </autoFilter>
  <conditionalFormatting sqref="B1:C1">
    <cfRule type="cellIs" dxfId="0" priority="1" operator="equal">
      <formula>"Xbox"</formula>
    </cfRule>
  </conditionalFormatting>
  <conditionalFormatting sqref="A2:A42">
    <cfRule type="expression" dxfId="3" priority="2">
      <formula>#REF!="Coming Soon"</formula>
    </cfRule>
  </conditionalFormatting>
  <conditionalFormatting sqref="A2:A42">
    <cfRule type="expression" dxfId="4" priority="3">
      <formula>#REF!="Removed"</formula>
    </cfRule>
  </conditionalFormatting>
  <conditionalFormatting sqref="A2:A42">
    <cfRule type="expression" dxfId="1" priority="4">
      <formula>MATCH(A2,INDIRECT("'Xbox Game Studios'!A:A"),0)</formula>
    </cfRule>
  </conditionalFormatting>
  <conditionalFormatting sqref="A2:A42">
    <cfRule type="expression" dxfId="5" priority="5">
      <formula>#REF!="Leaving Soon"</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75"/>
    <col customWidth="1" min="2" max="2" width="9.38"/>
    <col customWidth="1" min="3" max="3" width="12.13"/>
    <col customWidth="1" min="4" max="4" width="11.25"/>
    <col customWidth="1" min="5" max="5" width="11.5"/>
    <col customWidth="1" min="6" max="6" width="17.38"/>
    <col customWidth="1" min="7" max="7" width="9.63"/>
    <col customWidth="1" min="8" max="8" width="11.5"/>
    <col customWidth="1" min="9" max="9" width="7.75"/>
    <col customWidth="1" min="10" max="10" width="11.88"/>
    <col customWidth="1" min="11" max="11" width="12.63"/>
    <col customWidth="1" min="12" max="12" width="42.25"/>
    <col customWidth="1" min="13" max="13" width="16.25"/>
  </cols>
  <sheetData>
    <row r="1">
      <c r="A1" s="191" t="s">
        <v>2957</v>
      </c>
      <c r="B1" s="192">
        <f>COUNTA(A3:A926)</f>
        <v>92</v>
      </c>
      <c r="C1" s="191"/>
      <c r="D1" s="191"/>
      <c r="E1" s="191"/>
      <c r="F1" s="191"/>
      <c r="G1" s="191"/>
      <c r="H1" s="191"/>
      <c r="I1" s="191"/>
      <c r="J1" s="191"/>
      <c r="K1" s="191"/>
      <c r="L1" s="191"/>
      <c r="M1" s="191"/>
    </row>
    <row r="2">
      <c r="A2" s="193" t="s">
        <v>8</v>
      </c>
      <c r="B2" s="171" t="s">
        <v>9</v>
      </c>
      <c r="C2" s="170" t="s">
        <v>10</v>
      </c>
      <c r="D2" s="171" t="s">
        <v>11</v>
      </c>
      <c r="E2" s="171" t="s">
        <v>12</v>
      </c>
      <c r="F2" s="170" t="s">
        <v>13</v>
      </c>
      <c r="G2" s="194" t="s">
        <v>14</v>
      </c>
      <c r="H2" s="172" t="s">
        <v>15</v>
      </c>
      <c r="I2" s="172" t="s">
        <v>16</v>
      </c>
      <c r="J2" s="172" t="s">
        <v>17</v>
      </c>
      <c r="K2" s="172" t="s">
        <v>18</v>
      </c>
      <c r="L2" s="172" t="s">
        <v>2847</v>
      </c>
      <c r="M2" s="172" t="s">
        <v>2848</v>
      </c>
    </row>
    <row r="3">
      <c r="A3" s="190" t="str">
        <f>IFERROR(__xludf.DUMMYFUNCTION("SORT(FILTER('Master List'!A2:M926, REGEXMATCH('Master List'!M2:M926, ""Exclusive""), NOT(REGEXMATCH('Master List'!D2:D926, ""Removed"")) ), 10, false)"),"Metaphor: ReFantazio")</f>
        <v>Metaphor: ReFantazio</v>
      </c>
      <c r="B3" s="195" t="str">
        <f>IFERROR(__xludf.DUMMYFUNCTION("""COMPUTED_VALUE"""),"Xbox / PC")</f>
        <v>Xbox / PC</v>
      </c>
      <c r="C3" s="196" t="str">
        <f>IFERROR(__xludf.DUMMYFUNCTION("""COMPUTED_VALUE"""),"Yes")</f>
        <v>Yes</v>
      </c>
      <c r="D3" s="196" t="str">
        <f>IFERROR(__xludf.DUMMYFUNCTION("""COMPUTED_VALUE"""),"Active")</f>
        <v>Active</v>
      </c>
      <c r="E3" s="197">
        <f>IFERROR(__xludf.DUMMYFUNCTION("""COMPUTED_VALUE"""),45806.0)</f>
        <v>45806</v>
      </c>
      <c r="F3" s="198"/>
      <c r="G3" s="199">
        <f>IFERROR(__xludf.DUMMYFUNCTION("""COMPUTED_VALUE"""),4.533333333333333)</f>
        <v>4.533333333</v>
      </c>
      <c r="H3" s="197">
        <f>IFERROR(__xludf.DUMMYFUNCTION("""COMPUTED_VALUE"""),45576.0)</f>
        <v>45576</v>
      </c>
      <c r="I3" s="199">
        <f>IFERROR(__xludf.DUMMYFUNCTION("""COMPUTED_VALUE"""),0.6333333333333333)</f>
        <v>0.6333333333</v>
      </c>
      <c r="J3" s="200">
        <f>IFERROR(__xludf.DUMMYFUNCTION("""COMPUTED_VALUE"""),94.0)</f>
        <v>94</v>
      </c>
      <c r="K3" s="200">
        <f>IFERROR(__xludf.DUMMYFUNCTION("""COMPUTED_VALUE"""),66.0)</f>
        <v>66</v>
      </c>
      <c r="L3" s="201" t="str">
        <f>IFERROR(__xludf.DUMMYFUNCTION("""COMPUTED_VALUE"""),"RPG")</f>
        <v>RPG</v>
      </c>
      <c r="M3" s="201" t="str">
        <f>IFERROR(__xludf.DUMMYFUNCTION("""COMPUTED_VALUE"""),"Exclusive")</f>
        <v>Exclusive</v>
      </c>
    </row>
    <row r="4">
      <c r="A4" s="190" t="str">
        <f>IFERROR(__xludf.DUMMYFUNCTION("""COMPUTED_VALUE"""),"Blue Prince")</f>
        <v>Blue Prince</v>
      </c>
      <c r="B4" s="195" t="str">
        <f>IFERROR(__xludf.DUMMYFUNCTION("""COMPUTED_VALUE"""),"Xbox / PC")</f>
        <v>Xbox / PC</v>
      </c>
      <c r="C4" s="196" t="str">
        <f>IFERROR(__xludf.DUMMYFUNCTION("""COMPUTED_VALUE"""),"Yes")</f>
        <v>Yes</v>
      </c>
      <c r="D4" s="196" t="str">
        <f>IFERROR(__xludf.DUMMYFUNCTION("""COMPUTED_VALUE"""),"Active")</f>
        <v>Active</v>
      </c>
      <c r="E4" s="197">
        <f>IFERROR(__xludf.DUMMYFUNCTION("""COMPUTED_VALUE"""),45757.0)</f>
        <v>45757</v>
      </c>
      <c r="F4" s="198"/>
      <c r="G4" s="199">
        <f>IFERROR(__xludf.DUMMYFUNCTION("""COMPUTED_VALUE"""),6.166666666666666)</f>
        <v>6.166666667</v>
      </c>
      <c r="H4" s="197">
        <f>IFERROR(__xludf.DUMMYFUNCTION("""COMPUTED_VALUE"""),45757.0)</f>
        <v>45757</v>
      </c>
      <c r="I4" s="199">
        <f>IFERROR(__xludf.DUMMYFUNCTION("""COMPUTED_VALUE"""),0.0)</f>
        <v>0</v>
      </c>
      <c r="J4" s="200">
        <f>IFERROR(__xludf.DUMMYFUNCTION("""COMPUTED_VALUE"""),93.0)</f>
        <v>93</v>
      </c>
      <c r="K4" s="200">
        <f>IFERROR(__xludf.DUMMYFUNCTION("""COMPUTED_VALUE"""),14.0)</f>
        <v>14</v>
      </c>
      <c r="L4" s="201" t="str">
        <f>IFERROR(__xludf.DUMMYFUNCTION("""COMPUTED_VALUE"""),"Action-Adventure")</f>
        <v>Action-Adventure</v>
      </c>
      <c r="M4" s="201" t="str">
        <f>IFERROR(__xludf.DUMMYFUNCTION("""COMPUTED_VALUE"""),"Exclusive")</f>
        <v>Exclusive</v>
      </c>
    </row>
    <row r="5">
      <c r="A5" s="190" t="str">
        <f>IFERROR(__xludf.DUMMYFUNCTION("""COMPUTED_VALUE"""),"Clair Obscur: Expedition 33")</f>
        <v>Clair Obscur: Expedition 33</v>
      </c>
      <c r="B5" s="195" t="str">
        <f>IFERROR(__xludf.DUMMYFUNCTION("""COMPUTED_VALUE"""),"Xbox / PC")</f>
        <v>Xbox / PC</v>
      </c>
      <c r="C5" s="196" t="str">
        <f>IFERROR(__xludf.DUMMYFUNCTION("""COMPUTED_VALUE"""),"Yes")</f>
        <v>Yes</v>
      </c>
      <c r="D5" s="196" t="str">
        <f>IFERROR(__xludf.DUMMYFUNCTION("""COMPUTED_VALUE"""),"Active")</f>
        <v>Active</v>
      </c>
      <c r="E5" s="197">
        <f>IFERROR(__xludf.DUMMYFUNCTION("""COMPUTED_VALUE"""),45771.0)</f>
        <v>45771</v>
      </c>
      <c r="F5" s="198"/>
      <c r="G5" s="199">
        <f>IFERROR(__xludf.DUMMYFUNCTION("""COMPUTED_VALUE"""),5.699999999999999)</f>
        <v>5.7</v>
      </c>
      <c r="H5" s="197">
        <f>IFERROR(__xludf.DUMMYFUNCTION("""COMPUTED_VALUE"""),45771.0)</f>
        <v>45771</v>
      </c>
      <c r="I5" s="199">
        <f>IFERROR(__xludf.DUMMYFUNCTION("""COMPUTED_VALUE"""),0.0)</f>
        <v>0</v>
      </c>
      <c r="J5" s="200">
        <f>IFERROR(__xludf.DUMMYFUNCTION("""COMPUTED_VALUE"""),92.0)</f>
        <v>92</v>
      </c>
      <c r="K5" s="200">
        <f>IFERROR(__xludf.DUMMYFUNCTION("""COMPUTED_VALUE"""),26.0)</f>
        <v>26</v>
      </c>
      <c r="L5" s="201" t="str">
        <f>IFERROR(__xludf.DUMMYFUNCTION("""COMPUTED_VALUE"""),"RPG")</f>
        <v>RPG</v>
      </c>
      <c r="M5" s="201" t="str">
        <f>IFERROR(__xludf.DUMMYFUNCTION("""COMPUTED_VALUE"""),"Exclusive")</f>
        <v>Exclusive</v>
      </c>
    </row>
    <row r="6">
      <c r="A6" s="190" t="str">
        <f>IFERROR(__xludf.DUMMYFUNCTION("""COMPUTED_VALUE"""),"Microsoft Flight Simulator (2020): Game of the Year Edition")</f>
        <v>Microsoft Flight Simulator (2020): Game of the Year Edition</v>
      </c>
      <c r="B6" s="195" t="str">
        <f>IFERROR(__xludf.DUMMYFUNCTION("""COMPUTED_VALUE"""),"Xbox / PC")</f>
        <v>Xbox / PC</v>
      </c>
      <c r="C6" s="196" t="str">
        <f>IFERROR(__xludf.DUMMYFUNCTION("""COMPUTED_VALUE"""),"Yes")</f>
        <v>Yes</v>
      </c>
      <c r="D6" s="196" t="str">
        <f>IFERROR(__xludf.DUMMYFUNCTION("""COMPUTED_VALUE"""),"Active")</f>
        <v>Active</v>
      </c>
      <c r="E6" s="197">
        <f>IFERROR(__xludf.DUMMYFUNCTION("""COMPUTED_VALUE"""),44061.0)</f>
        <v>44061</v>
      </c>
      <c r="F6" s="198"/>
      <c r="G6" s="199">
        <f>IFERROR(__xludf.DUMMYFUNCTION("""COMPUTED_VALUE"""),61.9)</f>
        <v>61.9</v>
      </c>
      <c r="H6" s="197">
        <f>IFERROR(__xludf.DUMMYFUNCTION("""COMPUTED_VALUE"""),44061.0)</f>
        <v>44061</v>
      </c>
      <c r="I6" s="199">
        <f>IFERROR(__xludf.DUMMYFUNCTION("""COMPUTED_VALUE"""),0.0)</f>
        <v>0</v>
      </c>
      <c r="J6" s="200">
        <f>IFERROR(__xludf.DUMMYFUNCTION("""COMPUTED_VALUE"""),92.0)</f>
        <v>92</v>
      </c>
      <c r="K6" s="200">
        <f>IFERROR(__xludf.DUMMYFUNCTION("""COMPUTED_VALUE"""),41.5)</f>
        <v>41.5</v>
      </c>
      <c r="L6" s="201" t="str">
        <f>IFERROR(__xludf.DUMMYFUNCTION("""COMPUTED_VALUE"""),"Simulation / Flight Simulator")</f>
        <v>Simulation / Flight Simulator</v>
      </c>
      <c r="M6" s="201" t="str">
        <f>IFERROR(__xludf.DUMMYFUNCTION("""COMPUTED_VALUE"""),"Exclusive, Optimized")</f>
        <v>Exclusive, Optimized</v>
      </c>
    </row>
    <row r="7">
      <c r="A7" s="190" t="str">
        <f>IFERROR(__xludf.DUMMYFUNCTION("""COMPUTED_VALUE"""),"Crusader Kings III")</f>
        <v>Crusader Kings III</v>
      </c>
      <c r="B7" s="195" t="str">
        <f>IFERROR(__xludf.DUMMYFUNCTION("""COMPUTED_VALUE"""),"Xbox / PC")</f>
        <v>Xbox / PC</v>
      </c>
      <c r="C7" s="196" t="str">
        <f>IFERROR(__xludf.DUMMYFUNCTION("""COMPUTED_VALUE"""),"Yes")</f>
        <v>Yes</v>
      </c>
      <c r="D7" s="196" t="str">
        <f>IFERROR(__xludf.DUMMYFUNCTION("""COMPUTED_VALUE"""),"Active")</f>
        <v>Active</v>
      </c>
      <c r="E7" s="197">
        <f>IFERROR(__xludf.DUMMYFUNCTION("""COMPUTED_VALUE"""),44075.0)</f>
        <v>44075</v>
      </c>
      <c r="F7" s="198"/>
      <c r="G7" s="199">
        <f>IFERROR(__xludf.DUMMYFUNCTION("""COMPUTED_VALUE"""),61.46666666666666)</f>
        <v>61.46666667</v>
      </c>
      <c r="H7" s="197">
        <f>IFERROR(__xludf.DUMMYFUNCTION("""COMPUTED_VALUE"""),44075.0)</f>
        <v>44075</v>
      </c>
      <c r="I7" s="199">
        <f>IFERROR(__xludf.DUMMYFUNCTION("""COMPUTED_VALUE"""),0.0)</f>
        <v>0</v>
      </c>
      <c r="J7" s="200">
        <f>IFERROR(__xludf.DUMMYFUNCTION("""COMPUTED_VALUE"""),91.0)</f>
        <v>91</v>
      </c>
      <c r="K7" s="200">
        <f>IFERROR(__xludf.DUMMYFUNCTION("""COMPUTED_VALUE"""),12.5)</f>
        <v>12.5</v>
      </c>
      <c r="L7" s="201" t="str">
        <f>IFERROR(__xludf.DUMMYFUNCTION("""COMPUTED_VALUE"""),"Strategy")</f>
        <v>Strategy</v>
      </c>
      <c r="M7" s="201" t="str">
        <f>IFERROR(__xludf.DUMMYFUNCTION("""COMPUTED_VALUE"""),"Exclusive")</f>
        <v>Exclusive</v>
      </c>
    </row>
    <row r="8">
      <c r="A8" s="190" t="str">
        <f>IFERROR(__xludf.DUMMYFUNCTION("""COMPUTED_VALUE"""),"Monster Train 2")</f>
        <v>Monster Train 2</v>
      </c>
      <c r="B8" s="195" t="str">
        <f>IFERROR(__xludf.DUMMYFUNCTION("""COMPUTED_VALUE"""),"Xbox / PC")</f>
        <v>Xbox / PC</v>
      </c>
      <c r="C8" s="196" t="str">
        <f>IFERROR(__xludf.DUMMYFUNCTION("""COMPUTED_VALUE"""),"Yes")</f>
        <v>Yes</v>
      </c>
      <c r="D8" s="196" t="str">
        <f>IFERROR(__xludf.DUMMYFUNCTION("""COMPUTED_VALUE"""),"Active")</f>
        <v>Active</v>
      </c>
      <c r="E8" s="197">
        <f>IFERROR(__xludf.DUMMYFUNCTION("""COMPUTED_VALUE"""),45798.0)</f>
        <v>45798</v>
      </c>
      <c r="F8" s="198"/>
      <c r="G8" s="199">
        <f>IFERROR(__xludf.DUMMYFUNCTION("""COMPUTED_VALUE"""),4.800000000000001)</f>
        <v>4.8</v>
      </c>
      <c r="H8" s="197">
        <f>IFERROR(__xludf.DUMMYFUNCTION("""COMPUTED_VALUE"""),45798.0)</f>
        <v>45798</v>
      </c>
      <c r="I8" s="199">
        <f>IFERROR(__xludf.DUMMYFUNCTION("""COMPUTED_VALUE"""),0.0)</f>
        <v>0</v>
      </c>
      <c r="J8" s="200">
        <f>IFERROR(__xludf.DUMMYFUNCTION("""COMPUTED_VALUE"""),90.0)</f>
        <v>90</v>
      </c>
      <c r="K8" s="200">
        <f>IFERROR(__xludf.DUMMYFUNCTION("""COMPUTED_VALUE"""),6.0)</f>
        <v>6</v>
      </c>
      <c r="L8" s="201" t="str">
        <f>IFERROR(__xludf.DUMMYFUNCTION("""COMPUTED_VALUE"""),"Card Battle")</f>
        <v>Card Battle</v>
      </c>
      <c r="M8" s="201" t="str">
        <f>IFERROR(__xludf.DUMMYFUNCTION("""COMPUTED_VALUE"""),"Exclusive")</f>
        <v>Exclusive</v>
      </c>
    </row>
    <row r="9">
      <c r="A9" s="190" t="str">
        <f>IFERROR(__xludf.DUMMYFUNCTION("""COMPUTED_VALUE"""),"Hi-Fi RUSH")</f>
        <v>Hi-Fi RUSH</v>
      </c>
      <c r="B9" s="195" t="str">
        <f>IFERROR(__xludf.DUMMYFUNCTION("""COMPUTED_VALUE"""),"Xbox / PC")</f>
        <v>Xbox / PC</v>
      </c>
      <c r="C9" s="196" t="str">
        <f>IFERROR(__xludf.DUMMYFUNCTION("""COMPUTED_VALUE"""),"Yes")</f>
        <v>Yes</v>
      </c>
      <c r="D9" s="196" t="str">
        <f>IFERROR(__xludf.DUMMYFUNCTION("""COMPUTED_VALUE"""),"Active")</f>
        <v>Active</v>
      </c>
      <c r="E9" s="197">
        <f>IFERROR(__xludf.DUMMYFUNCTION("""COMPUTED_VALUE"""),44951.0)</f>
        <v>44951</v>
      </c>
      <c r="F9" s="198"/>
      <c r="G9" s="199">
        <f>IFERROR(__xludf.DUMMYFUNCTION("""COMPUTED_VALUE"""),32.66666666666667)</f>
        <v>32.66666667</v>
      </c>
      <c r="H9" s="197">
        <f>IFERROR(__xludf.DUMMYFUNCTION("""COMPUTED_VALUE"""),44951.0)</f>
        <v>44951</v>
      </c>
      <c r="I9" s="199">
        <f>IFERROR(__xludf.DUMMYFUNCTION("""COMPUTED_VALUE"""),0.0)</f>
        <v>0</v>
      </c>
      <c r="J9" s="200">
        <f>IFERROR(__xludf.DUMMYFUNCTION("""COMPUTED_VALUE"""),89.0)</f>
        <v>89</v>
      </c>
      <c r="K9" s="200">
        <f>IFERROR(__xludf.DUMMYFUNCTION("""COMPUTED_VALUE"""),10.0)</f>
        <v>10</v>
      </c>
      <c r="L9" s="201" t="str">
        <f>IFERROR(__xludf.DUMMYFUNCTION("""COMPUTED_VALUE"""),"Action / Music/Rhythm")</f>
        <v>Action / Music/Rhythm</v>
      </c>
      <c r="M9" s="201" t="str">
        <f>IFERROR(__xludf.DUMMYFUNCTION("""COMPUTED_VALUE"""),"Exclusive")</f>
        <v>Exclusive</v>
      </c>
    </row>
    <row r="10">
      <c r="A10" s="190" t="str">
        <f>IFERROR(__xludf.DUMMYFUNCTION("""COMPUTED_VALUE"""),"DEATHLOOP")</f>
        <v>DEATHLOOP</v>
      </c>
      <c r="B10" s="195" t="str">
        <f>IFERROR(__xludf.DUMMYFUNCTION("""COMPUTED_VALUE"""),"Xbox / PC")</f>
        <v>Xbox / PC</v>
      </c>
      <c r="C10" s="196" t="str">
        <f>IFERROR(__xludf.DUMMYFUNCTION("""COMPUTED_VALUE"""),"Yes")</f>
        <v>Yes</v>
      </c>
      <c r="D10" s="196" t="str">
        <f>IFERROR(__xludf.DUMMYFUNCTION("""COMPUTED_VALUE"""),"Active")</f>
        <v>Active</v>
      </c>
      <c r="E10" s="197">
        <f>IFERROR(__xludf.DUMMYFUNCTION("""COMPUTED_VALUE"""),44824.0)</f>
        <v>44824</v>
      </c>
      <c r="F10" s="198"/>
      <c r="G10" s="199">
        <f>IFERROR(__xludf.DUMMYFUNCTION("""COMPUTED_VALUE"""),36.833333333333336)</f>
        <v>36.83333333</v>
      </c>
      <c r="H10" s="197">
        <f>IFERROR(__xludf.DUMMYFUNCTION("""COMPUTED_VALUE"""),44453.0)</f>
        <v>44453</v>
      </c>
      <c r="I10" s="199">
        <f>IFERROR(__xludf.DUMMYFUNCTION("""COMPUTED_VALUE"""),1.0166666666666666)</f>
        <v>1.016666667</v>
      </c>
      <c r="J10" s="200">
        <f>IFERROR(__xludf.DUMMYFUNCTION("""COMPUTED_VALUE"""),89.0)</f>
        <v>89</v>
      </c>
      <c r="K10" s="200">
        <f>IFERROR(__xludf.DUMMYFUNCTION("""COMPUTED_VALUE"""),16.0)</f>
        <v>16</v>
      </c>
      <c r="L10" s="201" t="str">
        <f>IFERROR(__xludf.DUMMYFUNCTION("""COMPUTED_VALUE"""),"Action / Strategy")</f>
        <v>Action / Strategy</v>
      </c>
      <c r="M10" s="201" t="str">
        <f>IFERROR(__xludf.DUMMYFUNCTION("""COMPUTED_VALUE"""),"Exclusive")</f>
        <v>Exclusive</v>
      </c>
    </row>
    <row r="11">
      <c r="A11" s="190" t="str">
        <f>IFERROR(__xludf.DUMMYFUNCTION("""COMPUTED_VALUE"""),"Abiotic Factor")</f>
        <v>Abiotic Factor</v>
      </c>
      <c r="B11" s="195" t="str">
        <f>IFERROR(__xludf.DUMMYFUNCTION("""COMPUTED_VALUE"""),"Xbox / PC")</f>
        <v>Xbox / PC</v>
      </c>
      <c r="C11" s="196" t="str">
        <f>IFERROR(__xludf.DUMMYFUNCTION("""COMPUTED_VALUE"""),"Yes")</f>
        <v>Yes</v>
      </c>
      <c r="D11" s="196" t="str">
        <f>IFERROR(__xludf.DUMMYFUNCTION("""COMPUTED_VALUE"""),"Active")</f>
        <v>Active</v>
      </c>
      <c r="E11" s="197">
        <f>IFERROR(__xludf.DUMMYFUNCTION("""COMPUTED_VALUE"""),45860.0)</f>
        <v>45860</v>
      </c>
      <c r="F11" s="198"/>
      <c r="G11" s="199">
        <f>IFERROR(__xludf.DUMMYFUNCTION("""COMPUTED_VALUE"""),2.7666666666666666)</f>
        <v>2.766666667</v>
      </c>
      <c r="H11" s="197">
        <f>IFERROR(__xludf.DUMMYFUNCTION("""COMPUTED_VALUE"""),45860.0)</f>
        <v>45860</v>
      </c>
      <c r="I11" s="199">
        <f>IFERROR(__xludf.DUMMYFUNCTION("""COMPUTED_VALUE"""),0.0)</f>
        <v>0</v>
      </c>
      <c r="J11" s="200">
        <f>IFERROR(__xludf.DUMMYFUNCTION("""COMPUTED_VALUE"""),88.0)</f>
        <v>88</v>
      </c>
      <c r="K11" s="200">
        <f>IFERROR(__xludf.DUMMYFUNCTION("""COMPUTED_VALUE"""),33.0)</f>
        <v>33</v>
      </c>
      <c r="L11" s="201" t="str">
        <f>IFERROR(__xludf.DUMMYFUNCTION("""COMPUTED_VALUE"""),"Survival")</f>
        <v>Survival</v>
      </c>
      <c r="M11" s="201" t="str">
        <f>IFERROR(__xludf.DUMMYFUNCTION("""COMPUTED_VALUE"""),"Exclusive")</f>
        <v>Exclusive</v>
      </c>
    </row>
    <row r="12">
      <c r="A12" s="190" t="str">
        <f>IFERROR(__xludf.DUMMYFUNCTION("""COMPUTED_VALUE"""),"Mullet Madjack")</f>
        <v>Mullet Madjack</v>
      </c>
      <c r="B12" s="195" t="str">
        <f>IFERROR(__xludf.DUMMYFUNCTION("""COMPUTED_VALUE"""),"Xbox / PC")</f>
        <v>Xbox / PC</v>
      </c>
      <c r="C12" s="196" t="str">
        <f>IFERROR(__xludf.DUMMYFUNCTION("""COMPUTED_VALUE"""),"Yes")</f>
        <v>Yes</v>
      </c>
      <c r="D12" s="196" t="str">
        <f>IFERROR(__xludf.DUMMYFUNCTION("""COMPUTED_VALUE"""),"Active")</f>
        <v>Active</v>
      </c>
      <c r="E12" s="197">
        <f>IFERROR(__xludf.DUMMYFUNCTION("""COMPUTED_VALUE"""),45729.0)</f>
        <v>45729</v>
      </c>
      <c r="F12" s="198"/>
      <c r="G12" s="199">
        <f>IFERROR(__xludf.DUMMYFUNCTION("""COMPUTED_VALUE"""),7.066666666666666)</f>
        <v>7.066666667</v>
      </c>
      <c r="H12" s="197">
        <f>IFERROR(__xludf.DUMMYFUNCTION("""COMPUTED_VALUE"""),45427.0)</f>
        <v>45427</v>
      </c>
      <c r="I12" s="199">
        <f>IFERROR(__xludf.DUMMYFUNCTION("""COMPUTED_VALUE"""),0.8277777777777777)</f>
        <v>0.8277777778</v>
      </c>
      <c r="J12" s="200">
        <f>IFERROR(__xludf.DUMMYFUNCTION("""COMPUTED_VALUE"""),88.0)</f>
        <v>88</v>
      </c>
      <c r="K12" s="200">
        <f>IFERROR(__xludf.DUMMYFUNCTION("""COMPUTED_VALUE"""),4.0)</f>
        <v>4</v>
      </c>
      <c r="L12" s="201" t="str">
        <f>IFERROR(__xludf.DUMMYFUNCTION("""COMPUTED_VALUE"""),"Shooter")</f>
        <v>Shooter</v>
      </c>
      <c r="M12" s="201" t="str">
        <f>IFERROR(__xludf.DUMMYFUNCTION("""COMPUTED_VALUE"""),"Exclusive")</f>
        <v>Exclusive</v>
      </c>
    </row>
    <row r="13">
      <c r="A13" s="190" t="str">
        <f>IFERROR(__xludf.DUMMYFUNCTION("""COMPUTED_VALUE"""),"Dead Space (2023)")</f>
        <v>Dead Space (2023)</v>
      </c>
      <c r="B13" s="195" t="str">
        <f>IFERROR(__xludf.DUMMYFUNCTION("""COMPUTED_VALUE"""),"Xbox / PC")</f>
        <v>Xbox / PC</v>
      </c>
      <c r="C13" s="196" t="str">
        <f>IFERROR(__xludf.DUMMYFUNCTION("""COMPUTED_VALUE"""),"Yes")</f>
        <v>Yes</v>
      </c>
      <c r="D13" s="196" t="str">
        <f>IFERROR(__xludf.DUMMYFUNCTION("""COMPUTED_VALUE"""),"Active")</f>
        <v>Active</v>
      </c>
      <c r="E13" s="197">
        <f>IFERROR(__xludf.DUMMYFUNCTION("""COMPUTED_VALUE"""),45225.0)</f>
        <v>45225</v>
      </c>
      <c r="F13" s="198"/>
      <c r="G13" s="199">
        <f>IFERROR(__xludf.DUMMYFUNCTION("""COMPUTED_VALUE"""),23.633333333333333)</f>
        <v>23.63333333</v>
      </c>
      <c r="H13" s="197">
        <f>IFERROR(__xludf.DUMMYFUNCTION("""COMPUTED_VALUE"""),44953.0)</f>
        <v>44953</v>
      </c>
      <c r="I13" s="199">
        <f>IFERROR(__xludf.DUMMYFUNCTION("""COMPUTED_VALUE"""),0.7472222222222222)</f>
        <v>0.7472222222</v>
      </c>
      <c r="J13" s="200">
        <f>IFERROR(__xludf.DUMMYFUNCTION("""COMPUTED_VALUE"""),88.0)</f>
        <v>88</v>
      </c>
      <c r="K13" s="200">
        <f>IFERROR(__xludf.DUMMYFUNCTION("""COMPUTED_VALUE"""),12.0)</f>
        <v>12</v>
      </c>
      <c r="L13" s="201" t="str">
        <f>IFERROR(__xludf.DUMMYFUNCTION("""COMPUTED_VALUE"""),"Shooter / Action-Adventure")</f>
        <v>Shooter / Action-Adventure</v>
      </c>
      <c r="M13" s="201" t="str">
        <f>IFERROR(__xludf.DUMMYFUNCTION("""COMPUTED_VALUE"""),"Exclusive")</f>
        <v>Exclusive</v>
      </c>
    </row>
    <row r="14">
      <c r="A14" s="190" t="str">
        <f>IFERROR(__xludf.DUMMYFUNCTION("""COMPUTED_VALUE"""),"Return to Monkey Island")</f>
        <v>Return to Monkey Island</v>
      </c>
      <c r="B14" s="195" t="str">
        <f>IFERROR(__xludf.DUMMYFUNCTION("""COMPUTED_VALUE"""),"Xbox / PC")</f>
        <v>Xbox / PC</v>
      </c>
      <c r="C14" s="196" t="str">
        <f>IFERROR(__xludf.DUMMYFUNCTION("""COMPUTED_VALUE"""),"Yes")</f>
        <v>Yes</v>
      </c>
      <c r="D14" s="196" t="str">
        <f>IFERROR(__xludf.DUMMYFUNCTION("""COMPUTED_VALUE"""),"Active")</f>
        <v>Active</v>
      </c>
      <c r="E14" s="197">
        <f>IFERROR(__xludf.DUMMYFUNCTION("""COMPUTED_VALUE"""),44873.0)</f>
        <v>44873</v>
      </c>
      <c r="F14" s="198"/>
      <c r="G14" s="199">
        <f>IFERROR(__xludf.DUMMYFUNCTION("""COMPUTED_VALUE"""),35.233333333333334)</f>
        <v>35.23333333</v>
      </c>
      <c r="H14" s="197">
        <f>IFERROR(__xludf.DUMMYFUNCTION("""COMPUTED_VALUE"""),44823.0)</f>
        <v>44823</v>
      </c>
      <c r="I14" s="199">
        <f>IFERROR(__xludf.DUMMYFUNCTION("""COMPUTED_VALUE"""),0.1361111111111111)</f>
        <v>0.1361111111</v>
      </c>
      <c r="J14" s="200">
        <f>IFERROR(__xludf.DUMMYFUNCTION("""COMPUTED_VALUE"""),87.0)</f>
        <v>87</v>
      </c>
      <c r="K14" s="200">
        <f>IFERROR(__xludf.DUMMYFUNCTION("""COMPUTED_VALUE"""),10.5)</f>
        <v>10.5</v>
      </c>
      <c r="L14" s="201" t="str">
        <f>IFERROR(__xludf.DUMMYFUNCTION("""COMPUTED_VALUE"""),"Adventure")</f>
        <v>Adventure</v>
      </c>
      <c r="M14" s="201" t="str">
        <f>IFERROR(__xludf.DUMMYFUNCTION("""COMPUTED_VALUE"""),"Exclusive")</f>
        <v>Exclusive</v>
      </c>
    </row>
    <row r="15">
      <c r="A15" s="190" t="str">
        <f>IFERROR(__xludf.DUMMYFUNCTION("""COMPUTED_VALUE"""),"Warhammer 40,000: Rogue Trader")</f>
        <v>Warhammer 40,000: Rogue Trader</v>
      </c>
      <c r="B15" s="195" t="str">
        <f>IFERROR(__xludf.DUMMYFUNCTION("""COMPUTED_VALUE"""),"Xbox / PC")</f>
        <v>Xbox / PC</v>
      </c>
      <c r="C15" s="196" t="str">
        <f>IFERROR(__xludf.DUMMYFUNCTION("""COMPUTED_VALUE"""),"Yes")</f>
        <v>Yes</v>
      </c>
      <c r="D15" s="196" t="str">
        <f>IFERROR(__xludf.DUMMYFUNCTION("""COMPUTED_VALUE"""),"Active")</f>
        <v>Active</v>
      </c>
      <c r="E15" s="197">
        <f>IFERROR(__xludf.DUMMYFUNCTION("""COMPUTED_VALUE"""),45708.0)</f>
        <v>45708</v>
      </c>
      <c r="F15" s="198"/>
      <c r="G15" s="199">
        <f>IFERROR(__xludf.DUMMYFUNCTION("""COMPUTED_VALUE"""),7.833333333333334)</f>
        <v>7.833333333</v>
      </c>
      <c r="H15" s="197">
        <f>IFERROR(__xludf.DUMMYFUNCTION("""COMPUTED_VALUE"""),45559.0)</f>
        <v>45559</v>
      </c>
      <c r="I15" s="199">
        <f>IFERROR(__xludf.DUMMYFUNCTION("""COMPUTED_VALUE"""),0.40555555555555556)</f>
        <v>0.4055555556</v>
      </c>
      <c r="J15" s="200">
        <f>IFERROR(__xludf.DUMMYFUNCTION("""COMPUTED_VALUE"""),86.0)</f>
        <v>86</v>
      </c>
      <c r="K15" s="200">
        <f>IFERROR(__xludf.DUMMYFUNCTION("""COMPUTED_VALUE"""),65.0)</f>
        <v>65</v>
      </c>
      <c r="L15" s="201" t="str">
        <f>IFERROR(__xludf.DUMMYFUNCTION("""COMPUTED_VALUE"""),"RPG")</f>
        <v>RPG</v>
      </c>
      <c r="M15" s="201" t="str">
        <f>IFERROR(__xludf.DUMMYFUNCTION("""COMPUTED_VALUE"""),"Exclusive")</f>
        <v>Exclusive</v>
      </c>
    </row>
    <row r="16">
      <c r="A16" s="190" t="str">
        <f>IFERROR(__xludf.DUMMYFUNCTION("""COMPUTED_VALUE"""),"Indiana Jones and the Great Circle")</f>
        <v>Indiana Jones and the Great Circle</v>
      </c>
      <c r="B16" s="195" t="str">
        <f>IFERROR(__xludf.DUMMYFUNCTION("""COMPUTED_VALUE"""),"Xbox / PC")</f>
        <v>Xbox / PC</v>
      </c>
      <c r="C16" s="196" t="str">
        <f>IFERROR(__xludf.DUMMYFUNCTION("""COMPUTED_VALUE"""),"Yes")</f>
        <v>Yes</v>
      </c>
      <c r="D16" s="196" t="str">
        <f>IFERROR(__xludf.DUMMYFUNCTION("""COMPUTED_VALUE"""),"Active")</f>
        <v>Active</v>
      </c>
      <c r="E16" s="197">
        <f>IFERROR(__xludf.DUMMYFUNCTION("""COMPUTED_VALUE"""),45635.0)</f>
        <v>45635</v>
      </c>
      <c r="F16" s="198"/>
      <c r="G16" s="199">
        <f>IFERROR(__xludf.DUMMYFUNCTION("""COMPUTED_VALUE"""),10.2)</f>
        <v>10.2</v>
      </c>
      <c r="H16" s="197">
        <f>IFERROR(__xludf.DUMMYFUNCTION("""COMPUTED_VALUE"""),45635.0)</f>
        <v>45635</v>
      </c>
      <c r="I16" s="199">
        <f>IFERROR(__xludf.DUMMYFUNCTION("""COMPUTED_VALUE"""),0.0)</f>
        <v>0</v>
      </c>
      <c r="J16" s="200">
        <f>IFERROR(__xludf.DUMMYFUNCTION("""COMPUTED_VALUE"""),86.0)</f>
        <v>86</v>
      </c>
      <c r="K16" s="200">
        <f>IFERROR(__xludf.DUMMYFUNCTION("""COMPUTED_VALUE"""),15.0)</f>
        <v>15</v>
      </c>
      <c r="L16" s="201" t="str">
        <f>IFERROR(__xludf.DUMMYFUNCTION("""COMPUTED_VALUE"""),"Action-Adventure")</f>
        <v>Action-Adventure</v>
      </c>
      <c r="M16" s="201" t="str">
        <f>IFERROR(__xludf.DUMMYFUNCTION("""COMPUTED_VALUE"""),"Exclusive")</f>
        <v>Exclusive</v>
      </c>
    </row>
    <row r="17">
      <c r="A17" s="190" t="str">
        <f>IFERROR(__xludf.DUMMYFUNCTION("""COMPUTED_VALUE"""),"Frostpunk 2")</f>
        <v>Frostpunk 2</v>
      </c>
      <c r="B17" s="195" t="str">
        <f>IFERROR(__xludf.DUMMYFUNCTION("""COMPUTED_VALUE"""),"Xbox / PC")</f>
        <v>Xbox / PC</v>
      </c>
      <c r="C17" s="196" t="str">
        <f>IFERROR(__xludf.DUMMYFUNCTION("""COMPUTED_VALUE"""),"Yes")</f>
        <v>Yes</v>
      </c>
      <c r="D17" s="196" t="str">
        <f>IFERROR(__xludf.DUMMYFUNCTION("""COMPUTED_VALUE"""),"Active")</f>
        <v>Active</v>
      </c>
      <c r="E17" s="197">
        <f>IFERROR(__xludf.DUMMYFUNCTION("""COMPUTED_VALUE"""),45555.0)</f>
        <v>45555</v>
      </c>
      <c r="F17" s="198"/>
      <c r="G17" s="199">
        <f>IFERROR(__xludf.DUMMYFUNCTION("""COMPUTED_VALUE"""),12.833333333333332)</f>
        <v>12.83333333</v>
      </c>
      <c r="H17" s="197">
        <f>IFERROR(__xludf.DUMMYFUNCTION("""COMPUTED_VALUE"""),45555.0)</f>
        <v>45555</v>
      </c>
      <c r="I17" s="199">
        <f>IFERROR(__xludf.DUMMYFUNCTION("""COMPUTED_VALUE"""),0.0)</f>
        <v>0</v>
      </c>
      <c r="J17" s="200">
        <f>IFERROR(__xludf.DUMMYFUNCTION("""COMPUTED_VALUE"""),86.0)</f>
        <v>86</v>
      </c>
      <c r="K17" s="200">
        <f>IFERROR(__xludf.DUMMYFUNCTION("""COMPUTED_VALUE"""),11.0)</f>
        <v>11</v>
      </c>
      <c r="L17" s="201" t="str">
        <f>IFERROR(__xludf.DUMMYFUNCTION("""COMPUTED_VALUE"""),"Simulation")</f>
        <v>Simulation</v>
      </c>
      <c r="M17" s="201" t="str">
        <f>IFERROR(__xludf.DUMMYFUNCTION("""COMPUTED_VALUE"""),"Exclusive")</f>
        <v>Exclusive</v>
      </c>
    </row>
    <row r="18">
      <c r="A18" s="190" t="str">
        <f>IFERROR(__xludf.DUMMYFUNCTION("""COMPUTED_VALUE"""),"Frostpunk 2")</f>
        <v>Frostpunk 2</v>
      </c>
      <c r="B18" s="195" t="str">
        <f>IFERROR(__xludf.DUMMYFUNCTION("""COMPUTED_VALUE"""),"Xbox / PC")</f>
        <v>Xbox / PC</v>
      </c>
      <c r="C18" s="196"/>
      <c r="D18" s="196" t="str">
        <f>IFERROR(__xludf.DUMMYFUNCTION("""COMPUTED_VALUE"""),"Active")</f>
        <v>Active</v>
      </c>
      <c r="E18" s="197">
        <f>IFERROR(__xludf.DUMMYFUNCTION("""COMPUTED_VALUE"""),45918.0)</f>
        <v>45918</v>
      </c>
      <c r="F18" s="198"/>
      <c r="G18" s="199">
        <f>IFERROR(__xludf.DUMMYFUNCTION("""COMPUTED_VALUE"""),0.8999999999999999)</f>
        <v>0.9</v>
      </c>
      <c r="H18" s="197">
        <f>IFERROR(__xludf.DUMMYFUNCTION("""COMPUTED_VALUE"""),45552.0)</f>
        <v>45552</v>
      </c>
      <c r="I18" s="199">
        <f>IFERROR(__xludf.DUMMYFUNCTION("""COMPUTED_VALUE"""),1.0027777777777778)</f>
        <v>1.002777778</v>
      </c>
      <c r="J18" s="200">
        <f>IFERROR(__xludf.DUMMYFUNCTION("""COMPUTED_VALUE"""),85.0)</f>
        <v>85</v>
      </c>
      <c r="K18" s="200">
        <f>IFERROR(__xludf.DUMMYFUNCTION("""COMPUTED_VALUE"""),12.0)</f>
        <v>12</v>
      </c>
      <c r="L18" s="201" t="str">
        <f>IFERROR(__xludf.DUMMYFUNCTION("""COMPUTED_VALUE"""),"Management")</f>
        <v>Management</v>
      </c>
      <c r="M18" s="201" t="str">
        <f>IFERROR(__xludf.DUMMYFUNCTION("""COMPUTED_VALUE"""),"Exclusive")</f>
        <v>Exclusive</v>
      </c>
    </row>
    <row r="19">
      <c r="A19" s="190" t="str">
        <f>IFERROR(__xludf.DUMMYFUNCTION("""COMPUTED_VALUE"""),"DOOM: The Dark Ages")</f>
        <v>DOOM: The Dark Ages</v>
      </c>
      <c r="B19" s="195" t="str">
        <f>IFERROR(__xludf.DUMMYFUNCTION("""COMPUTED_VALUE"""),"Xbox / PC")</f>
        <v>Xbox / PC</v>
      </c>
      <c r="C19" s="196" t="str">
        <f>IFERROR(__xludf.DUMMYFUNCTION("""COMPUTED_VALUE"""),"Yes")</f>
        <v>Yes</v>
      </c>
      <c r="D19" s="196" t="str">
        <f>IFERROR(__xludf.DUMMYFUNCTION("""COMPUTED_VALUE"""),"Active")</f>
        <v>Active</v>
      </c>
      <c r="E19" s="197">
        <f>IFERROR(__xludf.DUMMYFUNCTION("""COMPUTED_VALUE"""),45792.0)</f>
        <v>45792</v>
      </c>
      <c r="F19" s="198"/>
      <c r="G19" s="199">
        <f>IFERROR(__xludf.DUMMYFUNCTION("""COMPUTED_VALUE"""),5.0)</f>
        <v>5</v>
      </c>
      <c r="H19" s="197">
        <f>IFERROR(__xludf.DUMMYFUNCTION("""COMPUTED_VALUE"""),45792.0)</f>
        <v>45792</v>
      </c>
      <c r="I19" s="199">
        <f>IFERROR(__xludf.DUMMYFUNCTION("""COMPUTED_VALUE"""),0.0)</f>
        <v>0</v>
      </c>
      <c r="J19" s="200">
        <f>IFERROR(__xludf.DUMMYFUNCTION("""COMPUTED_VALUE"""),85.0)</f>
        <v>85</v>
      </c>
      <c r="K19" s="200">
        <f>IFERROR(__xludf.DUMMYFUNCTION("""COMPUTED_VALUE"""),13.0)</f>
        <v>13</v>
      </c>
      <c r="L19" s="201" t="str">
        <f>IFERROR(__xludf.DUMMYFUNCTION("""COMPUTED_VALUE"""),"Shooter")</f>
        <v>Shooter</v>
      </c>
      <c r="M19" s="201" t="str">
        <f>IFERROR(__xludf.DUMMYFUNCTION("""COMPUTED_VALUE"""),"Exclusive")</f>
        <v>Exclusive</v>
      </c>
    </row>
    <row r="20">
      <c r="A20" s="190" t="str">
        <f>IFERROR(__xludf.DUMMYFUNCTION("""COMPUTED_VALUE"""),"Citizen Sleeper 2: Starward Vector")</f>
        <v>Citizen Sleeper 2: Starward Vector</v>
      </c>
      <c r="B20" s="195" t="str">
        <f>IFERROR(__xludf.DUMMYFUNCTION("""COMPUTED_VALUE"""),"Xbox / PC")</f>
        <v>Xbox / PC</v>
      </c>
      <c r="C20" s="196" t="str">
        <f>IFERROR(__xludf.DUMMYFUNCTION("""COMPUTED_VALUE"""),"Yes")</f>
        <v>Yes</v>
      </c>
      <c r="D20" s="196" t="str">
        <f>IFERROR(__xludf.DUMMYFUNCTION("""COMPUTED_VALUE"""),"Active")</f>
        <v>Active</v>
      </c>
      <c r="E20" s="197">
        <f>IFERROR(__xludf.DUMMYFUNCTION("""COMPUTED_VALUE"""),45688.0)</f>
        <v>45688</v>
      </c>
      <c r="F20" s="198"/>
      <c r="G20" s="199">
        <f>IFERROR(__xludf.DUMMYFUNCTION("""COMPUTED_VALUE"""),8.5)</f>
        <v>8.5</v>
      </c>
      <c r="H20" s="197">
        <f>IFERROR(__xludf.DUMMYFUNCTION("""COMPUTED_VALUE"""),45688.0)</f>
        <v>45688</v>
      </c>
      <c r="I20" s="199">
        <f>IFERROR(__xludf.DUMMYFUNCTION("""COMPUTED_VALUE"""),0.0)</f>
        <v>0</v>
      </c>
      <c r="J20" s="200">
        <f>IFERROR(__xludf.DUMMYFUNCTION("""COMPUTED_VALUE"""),85.0)</f>
        <v>85</v>
      </c>
      <c r="K20" s="200">
        <f>IFERROR(__xludf.DUMMYFUNCTION("""COMPUTED_VALUE"""),10.0)</f>
        <v>10</v>
      </c>
      <c r="L20" s="201" t="str">
        <f>IFERROR(__xludf.DUMMYFUNCTION("""COMPUTED_VALUE"""),"RPG")</f>
        <v>RPG</v>
      </c>
      <c r="M20" s="201" t="str">
        <f>IFERROR(__xludf.DUMMYFUNCTION("""COMPUTED_VALUE"""),"Exclusive")</f>
        <v>Exclusive</v>
      </c>
    </row>
    <row r="21">
      <c r="A21" s="190" t="str">
        <f>IFERROR(__xludf.DUMMYFUNCTION("""COMPUTED_VALUE"""),"Octopath Traveler II")</f>
        <v>Octopath Traveler II</v>
      </c>
      <c r="B21" s="195" t="str">
        <f>IFERROR(__xludf.DUMMYFUNCTION("""COMPUTED_VALUE"""),"Xbox / PC")</f>
        <v>Xbox / PC</v>
      </c>
      <c r="C21" s="196" t="str">
        <f>IFERROR(__xludf.DUMMYFUNCTION("""COMPUTED_VALUE"""),"Yes")</f>
        <v>Yes</v>
      </c>
      <c r="D21" s="196" t="str">
        <f>IFERROR(__xludf.DUMMYFUNCTION("""COMPUTED_VALUE"""),"Active")</f>
        <v>Active</v>
      </c>
      <c r="E21" s="197">
        <f>IFERROR(__xludf.DUMMYFUNCTION("""COMPUTED_VALUE"""),45449.0)</f>
        <v>45449</v>
      </c>
      <c r="F21" s="198"/>
      <c r="G21" s="199">
        <f>IFERROR(__xludf.DUMMYFUNCTION("""COMPUTED_VALUE"""),16.3)</f>
        <v>16.3</v>
      </c>
      <c r="H21" s="197">
        <f>IFERROR(__xludf.DUMMYFUNCTION("""COMPUTED_VALUE"""),44981.0)</f>
        <v>44981</v>
      </c>
      <c r="I21" s="199">
        <f>IFERROR(__xludf.DUMMYFUNCTION("""COMPUTED_VALUE"""),1.2833333333333334)</f>
        <v>1.283333333</v>
      </c>
      <c r="J21" s="200">
        <f>IFERROR(__xludf.DUMMYFUNCTION("""COMPUTED_VALUE"""),85.0)</f>
        <v>85</v>
      </c>
      <c r="K21" s="200">
        <f>IFERROR(__xludf.DUMMYFUNCTION("""COMPUTED_VALUE"""),61.0)</f>
        <v>61</v>
      </c>
      <c r="L21" s="201" t="str">
        <f>IFERROR(__xludf.DUMMYFUNCTION("""COMPUTED_VALUE"""),"RPG")</f>
        <v>RPG</v>
      </c>
      <c r="M21" s="201" t="str">
        <f>IFERROR(__xludf.DUMMYFUNCTION("""COMPUTED_VALUE"""),"Exclusive")</f>
        <v>Exclusive</v>
      </c>
    </row>
    <row r="22">
      <c r="A22" s="190" t="str">
        <f>IFERROR(__xludf.DUMMYFUNCTION("""COMPUTED_VALUE"""),"Forza Motorsport (2023)")</f>
        <v>Forza Motorsport (2023)</v>
      </c>
      <c r="B22" s="195" t="str">
        <f>IFERROR(__xludf.DUMMYFUNCTION("""COMPUTED_VALUE"""),"Xbox / PC")</f>
        <v>Xbox / PC</v>
      </c>
      <c r="C22" s="196" t="str">
        <f>IFERROR(__xludf.DUMMYFUNCTION("""COMPUTED_VALUE"""),"Yes")</f>
        <v>Yes</v>
      </c>
      <c r="D22" s="196" t="str">
        <f>IFERROR(__xludf.DUMMYFUNCTION("""COMPUTED_VALUE"""),"Active")</f>
        <v>Active</v>
      </c>
      <c r="E22" s="197">
        <f>IFERROR(__xludf.DUMMYFUNCTION("""COMPUTED_VALUE"""),45209.0)</f>
        <v>45209</v>
      </c>
      <c r="F22" s="198"/>
      <c r="G22" s="199">
        <f>IFERROR(__xludf.DUMMYFUNCTION("""COMPUTED_VALUE"""),24.166666666666664)</f>
        <v>24.16666667</v>
      </c>
      <c r="H22" s="197">
        <f>IFERROR(__xludf.DUMMYFUNCTION("""COMPUTED_VALUE"""),45209.0)</f>
        <v>45209</v>
      </c>
      <c r="I22" s="199">
        <f>IFERROR(__xludf.DUMMYFUNCTION("""COMPUTED_VALUE"""),0.0)</f>
        <v>0</v>
      </c>
      <c r="J22" s="200">
        <f>IFERROR(__xludf.DUMMYFUNCTION("""COMPUTED_VALUE"""),85.0)</f>
        <v>85</v>
      </c>
      <c r="K22" s="200">
        <f>IFERROR(__xludf.DUMMYFUNCTION("""COMPUTED_VALUE"""),8.0)</f>
        <v>8</v>
      </c>
      <c r="L22" s="201" t="str">
        <f>IFERROR(__xludf.DUMMYFUNCTION("""COMPUTED_VALUE"""),"Driving/Racing")</f>
        <v>Driving/Racing</v>
      </c>
      <c r="M22" s="201" t="str">
        <f>IFERROR(__xludf.DUMMYFUNCTION("""COMPUTED_VALUE"""),"Exclusive")</f>
        <v>Exclusive</v>
      </c>
    </row>
    <row r="23">
      <c r="A23" s="190" t="str">
        <f>IFERROR(__xludf.DUMMYFUNCTION("""COMPUTED_VALUE"""),"A Plague Tale: Requiem")</f>
        <v>A Plague Tale: Requiem</v>
      </c>
      <c r="B23" s="195" t="str">
        <f>IFERROR(__xludf.DUMMYFUNCTION("""COMPUTED_VALUE"""),"Xbox / PC")</f>
        <v>Xbox / PC</v>
      </c>
      <c r="C23" s="196" t="str">
        <f>IFERROR(__xludf.DUMMYFUNCTION("""COMPUTED_VALUE"""),"Yes")</f>
        <v>Yes</v>
      </c>
      <c r="D23" s="196" t="str">
        <f>IFERROR(__xludf.DUMMYFUNCTION("""COMPUTED_VALUE"""),"Active")</f>
        <v>Active</v>
      </c>
      <c r="E23" s="197">
        <f>IFERROR(__xludf.DUMMYFUNCTION("""COMPUTED_VALUE"""),44852.0)</f>
        <v>44852</v>
      </c>
      <c r="F23" s="198"/>
      <c r="G23" s="199">
        <f>IFERROR(__xludf.DUMMYFUNCTION("""COMPUTED_VALUE"""),35.9)</f>
        <v>35.9</v>
      </c>
      <c r="H23" s="197">
        <f>IFERROR(__xludf.DUMMYFUNCTION("""COMPUTED_VALUE"""),44852.0)</f>
        <v>44852</v>
      </c>
      <c r="I23" s="199">
        <f>IFERROR(__xludf.DUMMYFUNCTION("""COMPUTED_VALUE"""),0.0)</f>
        <v>0</v>
      </c>
      <c r="J23" s="200">
        <f>IFERROR(__xludf.DUMMYFUNCTION("""COMPUTED_VALUE"""),85.0)</f>
        <v>85</v>
      </c>
      <c r="K23" s="200">
        <f>IFERROR(__xludf.DUMMYFUNCTION("""COMPUTED_VALUE"""),15.0)</f>
        <v>15</v>
      </c>
      <c r="L23" s="201" t="str">
        <f>IFERROR(__xludf.DUMMYFUNCTION("""COMPUTED_VALUE"""),"Action-Adventure")</f>
        <v>Action-Adventure</v>
      </c>
      <c r="M23" s="201" t="str">
        <f>IFERROR(__xludf.DUMMYFUNCTION("""COMPUTED_VALUE"""),"Exclusive")</f>
        <v>Exclusive</v>
      </c>
    </row>
    <row r="24">
      <c r="A24" s="190" t="str">
        <f>IFERROR(__xludf.DUMMYFUNCTION("""COMPUTED_VALUE"""),"The Alters")</f>
        <v>The Alters</v>
      </c>
      <c r="B24" s="195" t="str">
        <f>IFERROR(__xludf.DUMMYFUNCTION("""COMPUTED_VALUE"""),"Xbox / PC")</f>
        <v>Xbox / PC</v>
      </c>
      <c r="C24" s="196" t="str">
        <f>IFERROR(__xludf.DUMMYFUNCTION("""COMPUTED_VALUE"""),"Yes")</f>
        <v>Yes</v>
      </c>
      <c r="D24" s="196" t="str">
        <f>IFERROR(__xludf.DUMMYFUNCTION("""COMPUTED_VALUE"""),"Active")</f>
        <v>Active</v>
      </c>
      <c r="E24" s="197">
        <f>IFERROR(__xludf.DUMMYFUNCTION("""COMPUTED_VALUE"""),45821.0)</f>
        <v>45821</v>
      </c>
      <c r="F24" s="198"/>
      <c r="G24" s="199">
        <f>IFERROR(__xludf.DUMMYFUNCTION("""COMPUTED_VALUE"""),4.066666666666666)</f>
        <v>4.066666667</v>
      </c>
      <c r="H24" s="197">
        <f>IFERROR(__xludf.DUMMYFUNCTION("""COMPUTED_VALUE"""),45821.0)</f>
        <v>45821</v>
      </c>
      <c r="I24" s="199">
        <f>IFERROR(__xludf.DUMMYFUNCTION("""COMPUTED_VALUE"""),0.0)</f>
        <v>0</v>
      </c>
      <c r="J24" s="200">
        <f>IFERROR(__xludf.DUMMYFUNCTION("""COMPUTED_VALUE"""),84.0)</f>
        <v>84</v>
      </c>
      <c r="K24" s="200">
        <f>IFERROR(__xludf.DUMMYFUNCTION("""COMPUTED_VALUE"""),19.0)</f>
        <v>19</v>
      </c>
      <c r="L24" s="201" t="str">
        <f>IFERROR(__xludf.DUMMYFUNCTION("""COMPUTED_VALUE"""),"Survival")</f>
        <v>Survival</v>
      </c>
      <c r="M24" s="201" t="str">
        <f>IFERROR(__xludf.DUMMYFUNCTION("""COMPUTED_VALUE"""),"Exclusive")</f>
        <v>Exclusive</v>
      </c>
    </row>
    <row r="25">
      <c r="A25" s="190" t="str">
        <f>IFERROR(__xludf.DUMMYFUNCTION("""COMPUTED_VALUE"""),"Lonely Mountain: Snow Riders")</f>
        <v>Lonely Mountain: Snow Riders</v>
      </c>
      <c r="B25" s="195" t="str">
        <f>IFERROR(__xludf.DUMMYFUNCTION("""COMPUTED_VALUE"""),"Xbox / PC")</f>
        <v>Xbox / PC</v>
      </c>
      <c r="C25" s="196" t="str">
        <f>IFERROR(__xludf.DUMMYFUNCTION("""COMPUTED_VALUE"""),"Yes")</f>
        <v>Yes</v>
      </c>
      <c r="D25" s="196" t="str">
        <f>IFERROR(__xludf.DUMMYFUNCTION("""COMPUTED_VALUE"""),"Active")</f>
        <v>Active</v>
      </c>
      <c r="E25" s="197">
        <f>IFERROR(__xludf.DUMMYFUNCTION("""COMPUTED_VALUE"""),45678.0)</f>
        <v>45678</v>
      </c>
      <c r="F25" s="198"/>
      <c r="G25" s="199">
        <f>IFERROR(__xludf.DUMMYFUNCTION("""COMPUTED_VALUE"""),8.799999999999999)</f>
        <v>8.8</v>
      </c>
      <c r="H25" s="197">
        <f>IFERROR(__xludf.DUMMYFUNCTION("""COMPUTED_VALUE"""),43958.0)</f>
        <v>43958</v>
      </c>
      <c r="I25" s="199">
        <f>IFERROR(__xludf.DUMMYFUNCTION("""COMPUTED_VALUE"""),4.705555555555556)</f>
        <v>4.705555556</v>
      </c>
      <c r="J25" s="200">
        <f>IFERROR(__xludf.DUMMYFUNCTION("""COMPUTED_VALUE"""),84.0)</f>
        <v>84</v>
      </c>
      <c r="K25" s="200">
        <f>IFERROR(__xludf.DUMMYFUNCTION("""COMPUTED_VALUE"""),3.0)</f>
        <v>3</v>
      </c>
      <c r="L25" s="201" t="str">
        <f>IFERROR(__xludf.DUMMYFUNCTION("""COMPUTED_VALUE"""),"Biking")</f>
        <v>Biking</v>
      </c>
      <c r="M25" s="201" t="str">
        <f>IFERROR(__xludf.DUMMYFUNCTION("""COMPUTED_VALUE"""),"Exclusive")</f>
        <v>Exclusive</v>
      </c>
    </row>
    <row r="26">
      <c r="A26" s="190" t="str">
        <f>IFERROR(__xludf.DUMMYFUNCTION("""COMPUTED_VALUE"""),"Age of Mythology: Retold")</f>
        <v>Age of Mythology: Retold</v>
      </c>
      <c r="B26" s="195" t="str">
        <f>IFERROR(__xludf.DUMMYFUNCTION("""COMPUTED_VALUE"""),"Xbox / PC")</f>
        <v>Xbox / PC</v>
      </c>
      <c r="C26" s="196" t="str">
        <f>IFERROR(__xludf.DUMMYFUNCTION("""COMPUTED_VALUE"""),"Yes")</f>
        <v>Yes</v>
      </c>
      <c r="D26" s="196" t="str">
        <f>IFERROR(__xludf.DUMMYFUNCTION("""COMPUTED_VALUE"""),"Active")</f>
        <v>Active</v>
      </c>
      <c r="E26" s="197">
        <f>IFERROR(__xludf.DUMMYFUNCTION("""COMPUTED_VALUE"""),45539.0)</f>
        <v>45539</v>
      </c>
      <c r="F26" s="198"/>
      <c r="G26" s="199">
        <f>IFERROR(__xludf.DUMMYFUNCTION("""COMPUTED_VALUE"""),13.366666666666667)</f>
        <v>13.36666667</v>
      </c>
      <c r="H26" s="197">
        <f>IFERROR(__xludf.DUMMYFUNCTION("""COMPUTED_VALUE"""),45539.0)</f>
        <v>45539</v>
      </c>
      <c r="I26" s="199">
        <f>IFERROR(__xludf.DUMMYFUNCTION("""COMPUTED_VALUE"""),0.0)</f>
        <v>0</v>
      </c>
      <c r="J26" s="200">
        <f>IFERROR(__xludf.DUMMYFUNCTION("""COMPUTED_VALUE"""),84.0)</f>
        <v>84</v>
      </c>
      <c r="K26" s="200">
        <f>IFERROR(__xludf.DUMMYFUNCTION("""COMPUTED_VALUE"""),21.0)</f>
        <v>21</v>
      </c>
      <c r="L26" s="201" t="str">
        <f>IFERROR(__xludf.DUMMYFUNCTION("""COMPUTED_VALUE"""),"Strategy")</f>
        <v>Strategy</v>
      </c>
      <c r="M26" s="201" t="str">
        <f>IFERROR(__xludf.DUMMYFUNCTION("""COMPUTED_VALUE"""),"Exclusive")</f>
        <v>Exclusive</v>
      </c>
    </row>
    <row r="27">
      <c r="A27" s="190" t="str">
        <f>IFERROR(__xludf.DUMMYFUNCTION("""COMPUTED_VALUE"""),"Starfield")</f>
        <v>Starfield</v>
      </c>
      <c r="B27" s="195" t="str">
        <f>IFERROR(__xludf.DUMMYFUNCTION("""COMPUTED_VALUE"""),"Xbox / PC")</f>
        <v>Xbox / PC</v>
      </c>
      <c r="C27" s="196" t="str">
        <f>IFERROR(__xludf.DUMMYFUNCTION("""COMPUTED_VALUE"""),"Yes")</f>
        <v>Yes</v>
      </c>
      <c r="D27" s="196" t="str">
        <f>IFERROR(__xludf.DUMMYFUNCTION("""COMPUTED_VALUE"""),"Active")</f>
        <v>Active</v>
      </c>
      <c r="E27" s="197">
        <f>IFERROR(__xludf.DUMMYFUNCTION("""COMPUTED_VALUE"""),45175.0)</f>
        <v>45175</v>
      </c>
      <c r="F27" s="198"/>
      <c r="G27" s="199">
        <f>IFERROR(__xludf.DUMMYFUNCTION("""COMPUTED_VALUE"""),25.3)</f>
        <v>25.3</v>
      </c>
      <c r="H27" s="197">
        <f>IFERROR(__xludf.DUMMYFUNCTION("""COMPUTED_VALUE"""),45175.0)</f>
        <v>45175</v>
      </c>
      <c r="I27" s="199">
        <f>IFERROR(__xludf.DUMMYFUNCTION("""COMPUTED_VALUE"""),0.0)</f>
        <v>0</v>
      </c>
      <c r="J27" s="200">
        <f>IFERROR(__xludf.DUMMYFUNCTION("""COMPUTED_VALUE"""),84.0)</f>
        <v>84</v>
      </c>
      <c r="K27" s="200">
        <f>IFERROR(__xludf.DUMMYFUNCTION("""COMPUTED_VALUE"""),20.0)</f>
        <v>20</v>
      </c>
      <c r="L27" s="201" t="str">
        <f>IFERROR(__xludf.DUMMYFUNCTION("""COMPUTED_VALUE"""),"RPG / Action-Adventure")</f>
        <v>RPG / Action-Adventure</v>
      </c>
      <c r="M27" s="201" t="str">
        <f>IFERROR(__xludf.DUMMYFUNCTION("""COMPUTED_VALUE"""),"Exclusive")</f>
        <v>Exclusive</v>
      </c>
    </row>
    <row r="28">
      <c r="A28" s="190" t="str">
        <f>IFERROR(__xludf.DUMMYFUNCTION("""COMPUTED_VALUE"""),"EA Sports College Football 25")</f>
        <v>EA Sports College Football 25</v>
      </c>
      <c r="B28" s="195" t="str">
        <f>IFERROR(__xludf.DUMMYFUNCTION("""COMPUTED_VALUE"""),"Xbox")</f>
        <v>Xbox</v>
      </c>
      <c r="C28" s="196" t="str">
        <f>IFERROR(__xludf.DUMMYFUNCTION("""COMPUTED_VALUE"""),"Yes")</f>
        <v>Yes</v>
      </c>
      <c r="D28" s="196" t="str">
        <f>IFERROR(__xludf.DUMMYFUNCTION("""COMPUTED_VALUE"""),"Active")</f>
        <v>Active</v>
      </c>
      <c r="E28" s="197">
        <f>IFERROR(__xludf.DUMMYFUNCTION("""COMPUTED_VALUE"""),45743.0)</f>
        <v>45743</v>
      </c>
      <c r="F28" s="198"/>
      <c r="G28" s="199">
        <f>IFERROR(__xludf.DUMMYFUNCTION("""COMPUTED_VALUE"""),6.6000000000000005)</f>
        <v>6.6</v>
      </c>
      <c r="H28" s="197">
        <f>IFERROR(__xludf.DUMMYFUNCTION("""COMPUTED_VALUE"""),45492.0)</f>
        <v>45492</v>
      </c>
      <c r="I28" s="199">
        <f>IFERROR(__xludf.DUMMYFUNCTION("""COMPUTED_VALUE"""),0.6888888888888889)</f>
        <v>0.6888888889</v>
      </c>
      <c r="J28" s="200">
        <f>IFERROR(__xludf.DUMMYFUNCTION("""COMPUTED_VALUE"""),83.0)</f>
        <v>83</v>
      </c>
      <c r="K28" s="200">
        <f>IFERROR(__xludf.DUMMYFUNCTION("""COMPUTED_VALUE"""),11.0)</f>
        <v>11</v>
      </c>
      <c r="L28" s="201" t="str">
        <f>IFERROR(__xludf.DUMMYFUNCTION("""COMPUTED_VALUE"""),"Sports")</f>
        <v>Sports</v>
      </c>
      <c r="M28" s="201" t="str">
        <f>IFERROR(__xludf.DUMMYFUNCTION("""COMPUTED_VALUE"""),"Exclusive")</f>
        <v>Exclusive</v>
      </c>
    </row>
    <row r="29">
      <c r="A29" s="190" t="str">
        <f>IFERROR(__xludf.DUMMYFUNCTION("""COMPUTED_VALUE"""),"Nine Sols")</f>
        <v>Nine Sols</v>
      </c>
      <c r="B29" s="195" t="str">
        <f>IFERROR(__xludf.DUMMYFUNCTION("""COMPUTED_VALUE"""),"Xbox / PC")</f>
        <v>Xbox / PC</v>
      </c>
      <c r="C29" s="196" t="str">
        <f>IFERROR(__xludf.DUMMYFUNCTION("""COMPUTED_VALUE"""),"Yes")</f>
        <v>Yes</v>
      </c>
      <c r="D29" s="196" t="str">
        <f>IFERROR(__xludf.DUMMYFUNCTION("""COMPUTED_VALUE"""),"Active")</f>
        <v>Active</v>
      </c>
      <c r="E29" s="197">
        <f>IFERROR(__xludf.DUMMYFUNCTION("""COMPUTED_VALUE"""),45622.0)</f>
        <v>45622</v>
      </c>
      <c r="F29" s="198"/>
      <c r="G29" s="199">
        <f>IFERROR(__xludf.DUMMYFUNCTION("""COMPUTED_VALUE"""),10.633333333333333)</f>
        <v>10.63333333</v>
      </c>
      <c r="H29" s="197">
        <f>IFERROR(__xludf.DUMMYFUNCTION("""COMPUTED_VALUE"""),45440.0)</f>
        <v>45440</v>
      </c>
      <c r="I29" s="199">
        <f>IFERROR(__xludf.DUMMYFUNCTION("""COMPUTED_VALUE"""),0.49444444444444446)</f>
        <v>0.4944444444</v>
      </c>
      <c r="J29" s="200">
        <f>IFERROR(__xludf.DUMMYFUNCTION("""COMPUTED_VALUE"""),83.0)</f>
        <v>83</v>
      </c>
      <c r="K29" s="200">
        <f>IFERROR(__xludf.DUMMYFUNCTION("""COMPUTED_VALUE"""),21.0)</f>
        <v>21</v>
      </c>
      <c r="L29" s="201" t="str">
        <f>IFERROR(__xludf.DUMMYFUNCTION("""COMPUTED_VALUE"""),"Platformer")</f>
        <v>Platformer</v>
      </c>
      <c r="M29" s="201" t="str">
        <f>IFERROR(__xludf.DUMMYFUNCTION("""COMPUTED_VALUE"""),"Exclusive")</f>
        <v>Exclusive</v>
      </c>
    </row>
    <row r="30">
      <c r="A30" s="190" t="str">
        <f>IFERROR(__xludf.DUMMYFUNCTION("""COMPUTED_VALUE"""),"Dragon Age: The Veilguard")</f>
        <v>Dragon Age: The Veilguard</v>
      </c>
      <c r="B30" s="195" t="str">
        <f>IFERROR(__xludf.DUMMYFUNCTION("""COMPUTED_VALUE"""),"Xbox / PC")</f>
        <v>Xbox / PC</v>
      </c>
      <c r="C30" s="196" t="str">
        <f>IFERROR(__xludf.DUMMYFUNCTION("""COMPUTED_VALUE"""),"Yes")</f>
        <v>Yes</v>
      </c>
      <c r="D30" s="196" t="str">
        <f>IFERROR(__xludf.DUMMYFUNCTION("""COMPUTED_VALUE"""),"Active")</f>
        <v>Active</v>
      </c>
      <c r="E30" s="197">
        <f>IFERROR(__xludf.DUMMYFUNCTION("""COMPUTED_VALUE"""),45897.0)</f>
        <v>45897</v>
      </c>
      <c r="F30" s="198"/>
      <c r="G30" s="199">
        <f>IFERROR(__xludf.DUMMYFUNCTION("""COMPUTED_VALUE"""),1.5666666666666669)</f>
        <v>1.566666667</v>
      </c>
      <c r="H30" s="197">
        <f>IFERROR(__xludf.DUMMYFUNCTION("""COMPUTED_VALUE"""),45596.0)</f>
        <v>45596</v>
      </c>
      <c r="I30" s="199">
        <f>IFERROR(__xludf.DUMMYFUNCTION("""COMPUTED_VALUE"""),0.8277777777777777)</f>
        <v>0.8277777778</v>
      </c>
      <c r="J30" s="200">
        <f>IFERROR(__xludf.DUMMYFUNCTION("""COMPUTED_VALUE"""),82.0)</f>
        <v>82</v>
      </c>
      <c r="K30" s="200">
        <f>IFERROR(__xludf.DUMMYFUNCTION("""COMPUTED_VALUE"""),29.0)</f>
        <v>29</v>
      </c>
      <c r="L30" s="201" t="str">
        <f>IFERROR(__xludf.DUMMYFUNCTION("""COMPUTED_VALUE"""),"RPG")</f>
        <v>RPG</v>
      </c>
      <c r="M30" s="201" t="str">
        <f>IFERROR(__xludf.DUMMYFUNCTION("""COMPUTED_VALUE"""),"Exclusive")</f>
        <v>Exclusive</v>
      </c>
    </row>
    <row r="31">
      <c r="A31" s="190" t="str">
        <f>IFERROR(__xludf.DUMMYFUNCTION("""COMPUTED_VALUE"""),"The Elder Scrolls IV: Oblivion - Remastered")</f>
        <v>The Elder Scrolls IV: Oblivion - Remastered</v>
      </c>
      <c r="B31" s="195" t="str">
        <f>IFERROR(__xludf.DUMMYFUNCTION("""COMPUTED_VALUE"""),"Xbox / PC")</f>
        <v>Xbox / PC</v>
      </c>
      <c r="C31" s="196" t="str">
        <f>IFERROR(__xludf.DUMMYFUNCTION("""COMPUTED_VALUE"""),"Yes")</f>
        <v>Yes</v>
      </c>
      <c r="D31" s="196" t="str">
        <f>IFERROR(__xludf.DUMMYFUNCTION("""COMPUTED_VALUE"""),"Active")</f>
        <v>Active</v>
      </c>
      <c r="E31" s="197">
        <f>IFERROR(__xludf.DUMMYFUNCTION("""COMPUTED_VALUE"""),45769.0)</f>
        <v>45769</v>
      </c>
      <c r="F31" s="198"/>
      <c r="G31" s="199">
        <f>IFERROR(__xludf.DUMMYFUNCTION("""COMPUTED_VALUE"""),5.766666666666667)</f>
        <v>5.766666667</v>
      </c>
      <c r="H31" s="197">
        <f>IFERROR(__xludf.DUMMYFUNCTION("""COMPUTED_VALUE"""),45769.0)</f>
        <v>45769</v>
      </c>
      <c r="I31" s="199">
        <f>IFERROR(__xludf.DUMMYFUNCTION("""COMPUTED_VALUE"""),0.0)</f>
        <v>0</v>
      </c>
      <c r="J31" s="200">
        <f>IFERROR(__xludf.DUMMYFUNCTION("""COMPUTED_VALUE"""),82.0)</f>
        <v>82</v>
      </c>
      <c r="K31" s="200">
        <f>IFERROR(__xludf.DUMMYFUNCTION("""COMPUTED_VALUE"""),14.0)</f>
        <v>14</v>
      </c>
      <c r="L31" s="201" t="str">
        <f>IFERROR(__xludf.DUMMYFUNCTION("""COMPUTED_VALUE"""),"RPG")</f>
        <v>RPG</v>
      </c>
      <c r="M31" s="201" t="str">
        <f>IFERROR(__xludf.DUMMYFUNCTION("""COMPUTED_VALUE"""),"Exclusive")</f>
        <v>Exclusive</v>
      </c>
    </row>
    <row r="32">
      <c r="A32" s="190" t="str">
        <f>IFERROR(__xludf.DUMMYFUNCTION("""COMPUTED_VALUE"""),"Dungeons Of Hinterberg")</f>
        <v>Dungeons Of Hinterberg</v>
      </c>
      <c r="B32" s="195" t="str">
        <f>IFERROR(__xludf.DUMMYFUNCTION("""COMPUTED_VALUE"""),"Xbox / PC")</f>
        <v>Xbox / PC</v>
      </c>
      <c r="C32" s="196" t="str">
        <f>IFERROR(__xludf.DUMMYFUNCTION("""COMPUTED_VALUE"""),"Yes")</f>
        <v>Yes</v>
      </c>
      <c r="D32" s="196" t="str">
        <f>IFERROR(__xludf.DUMMYFUNCTION("""COMPUTED_VALUE"""),"Active")</f>
        <v>Active</v>
      </c>
      <c r="E32" s="197">
        <f>IFERROR(__xludf.DUMMYFUNCTION("""COMPUTED_VALUE"""),45491.0)</f>
        <v>45491</v>
      </c>
      <c r="F32" s="198"/>
      <c r="G32" s="199">
        <f>IFERROR(__xludf.DUMMYFUNCTION("""COMPUTED_VALUE"""),14.9)</f>
        <v>14.9</v>
      </c>
      <c r="H32" s="197">
        <f>IFERROR(__xludf.DUMMYFUNCTION("""COMPUTED_VALUE"""),45491.0)</f>
        <v>45491</v>
      </c>
      <c r="I32" s="199">
        <f>IFERROR(__xludf.DUMMYFUNCTION("""COMPUTED_VALUE"""),0.0)</f>
        <v>0</v>
      </c>
      <c r="J32" s="200">
        <f>IFERROR(__xludf.DUMMYFUNCTION("""COMPUTED_VALUE"""),82.0)</f>
        <v>82</v>
      </c>
      <c r="K32" s="200">
        <f>IFERROR(__xludf.DUMMYFUNCTION("""COMPUTED_VALUE"""),13.0)</f>
        <v>13</v>
      </c>
      <c r="L32" s="201" t="str">
        <f>IFERROR(__xludf.DUMMYFUNCTION("""COMPUTED_VALUE"""),"Action-Adventure")</f>
        <v>Action-Adventure</v>
      </c>
      <c r="M32" s="201" t="str">
        <f>IFERROR(__xludf.DUMMYFUNCTION("""COMPUTED_VALUE"""),"Exclusive")</f>
        <v>Exclusive</v>
      </c>
    </row>
    <row r="33">
      <c r="A33" s="202" t="str">
        <f>IFERROR(__xludf.DUMMYFUNCTION("""COMPUTED_VALUE"""),"Clone Drone in the Danger Zone")</f>
        <v>Clone Drone in the Danger Zone</v>
      </c>
      <c r="B33" s="195" t="str">
        <f>IFERROR(__xludf.DUMMYFUNCTION("""COMPUTED_VALUE"""),"Xbox / PC")</f>
        <v>Xbox / PC</v>
      </c>
      <c r="C33" s="196" t="str">
        <f>IFERROR(__xludf.DUMMYFUNCTION("""COMPUTED_VALUE"""),"Yes")</f>
        <v>Yes</v>
      </c>
      <c r="D33" s="196" t="str">
        <f>IFERROR(__xludf.DUMMYFUNCTION("""COMPUTED_VALUE"""),"Active")</f>
        <v>Active</v>
      </c>
      <c r="E33" s="197">
        <f>IFERROR(__xludf.DUMMYFUNCTION("""COMPUTED_VALUE"""),45265.0)</f>
        <v>45265</v>
      </c>
      <c r="F33" s="198"/>
      <c r="G33" s="199">
        <f>IFERROR(__xludf.DUMMYFUNCTION("""COMPUTED_VALUE"""),22.333333333333336)</f>
        <v>22.33333333</v>
      </c>
      <c r="H33" s="197">
        <f>IFERROR(__xludf.DUMMYFUNCTION("""COMPUTED_VALUE"""),42702.0)</f>
        <v>42702</v>
      </c>
      <c r="I33" s="199">
        <f>IFERROR(__xludf.DUMMYFUNCTION("""COMPUTED_VALUE"""),7.019444444444445)</f>
        <v>7.019444444</v>
      </c>
      <c r="J33" s="200">
        <f>IFERROR(__xludf.DUMMYFUNCTION("""COMPUTED_VALUE"""),82.0)</f>
        <v>82</v>
      </c>
      <c r="K33" s="200">
        <f>IFERROR(__xludf.DUMMYFUNCTION("""COMPUTED_VALUE"""),2.0)</f>
        <v>2</v>
      </c>
      <c r="L33" s="201" t="str">
        <f>IFERROR(__xludf.DUMMYFUNCTION("""COMPUTED_VALUE"""),"Action / Simulation / Fighting / Brawler")</f>
        <v>Action / Simulation / Fighting / Brawler</v>
      </c>
      <c r="M33" s="201" t="str">
        <f>IFERROR(__xludf.DUMMYFUNCTION("""COMPUTED_VALUE"""),"Exclusive")</f>
        <v>Exclusive</v>
      </c>
    </row>
    <row r="34">
      <c r="A34" s="190" t="str">
        <f>IFERROR(__xludf.DUMMYFUNCTION("""COMPUTED_VALUE"""),"Anno 1800")</f>
        <v>Anno 1800</v>
      </c>
      <c r="B34" s="195" t="str">
        <f>IFERROR(__xludf.DUMMYFUNCTION("""COMPUTED_VALUE"""),"Xbox / PC")</f>
        <v>Xbox / PC</v>
      </c>
      <c r="C34" s="196" t="str">
        <f>IFERROR(__xludf.DUMMYFUNCTION("""COMPUTED_VALUE"""),"Yes")</f>
        <v>Yes</v>
      </c>
      <c r="D34" s="196" t="str">
        <f>IFERROR(__xludf.DUMMYFUNCTION("""COMPUTED_VALUE"""),"Active")</f>
        <v>Active</v>
      </c>
      <c r="E34" s="197">
        <f>IFERROR(__xludf.DUMMYFUNCTION("""COMPUTED_VALUE"""),45778.0)</f>
        <v>45778</v>
      </c>
      <c r="F34" s="198"/>
      <c r="G34" s="199">
        <f>IFERROR(__xludf.DUMMYFUNCTION("""COMPUTED_VALUE"""),5.466666666666667)</f>
        <v>5.466666667</v>
      </c>
      <c r="H34" s="197">
        <f>IFERROR(__xludf.DUMMYFUNCTION("""COMPUTED_VALUE"""),43571.0)</f>
        <v>43571</v>
      </c>
      <c r="I34" s="199">
        <f>IFERROR(__xludf.DUMMYFUNCTION("""COMPUTED_VALUE"""),6.041666666666667)</f>
        <v>6.041666667</v>
      </c>
      <c r="J34" s="200">
        <f>IFERROR(__xludf.DUMMYFUNCTION("""COMPUTED_VALUE"""),81.0)</f>
        <v>81</v>
      </c>
      <c r="K34" s="200">
        <f>IFERROR(__xludf.DUMMYFUNCTION("""COMPUTED_VALUE"""),15.0)</f>
        <v>15</v>
      </c>
      <c r="L34" s="201" t="str">
        <f>IFERROR(__xludf.DUMMYFUNCTION("""COMPUTED_VALUE"""),"Management")</f>
        <v>Management</v>
      </c>
      <c r="M34" s="201" t="str">
        <f>IFERROR(__xludf.DUMMYFUNCTION("""COMPUTED_VALUE"""),"Exclusive")</f>
        <v>Exclusive</v>
      </c>
    </row>
    <row r="35">
      <c r="A35" s="190" t="str">
        <f>IFERROR(__xludf.DUMMYFUNCTION("""COMPUTED_VALUE"""),"Avowed")</f>
        <v>Avowed</v>
      </c>
      <c r="B35" s="195" t="str">
        <f>IFERROR(__xludf.DUMMYFUNCTION("""COMPUTED_VALUE"""),"Xbox / PC")</f>
        <v>Xbox / PC</v>
      </c>
      <c r="C35" s="196" t="str">
        <f>IFERROR(__xludf.DUMMYFUNCTION("""COMPUTED_VALUE"""),"Yes")</f>
        <v>Yes</v>
      </c>
      <c r="D35" s="196" t="str">
        <f>IFERROR(__xludf.DUMMYFUNCTION("""COMPUTED_VALUE"""),"Active")</f>
        <v>Active</v>
      </c>
      <c r="E35" s="197">
        <f>IFERROR(__xludf.DUMMYFUNCTION("""COMPUTED_VALUE"""),45706.0)</f>
        <v>45706</v>
      </c>
      <c r="F35" s="198"/>
      <c r="G35" s="199">
        <f>IFERROR(__xludf.DUMMYFUNCTION("""COMPUTED_VALUE"""),7.9)</f>
        <v>7.9</v>
      </c>
      <c r="H35" s="197">
        <f>IFERROR(__xludf.DUMMYFUNCTION("""COMPUTED_VALUE"""),45706.0)</f>
        <v>45706</v>
      </c>
      <c r="I35" s="199">
        <f>IFERROR(__xludf.DUMMYFUNCTION("""COMPUTED_VALUE"""),0.0)</f>
        <v>0</v>
      </c>
      <c r="J35" s="200">
        <f>IFERROR(__xludf.DUMMYFUNCTION("""COMPUTED_VALUE"""),81.0)</f>
        <v>81</v>
      </c>
      <c r="K35" s="200">
        <f>IFERROR(__xludf.DUMMYFUNCTION("""COMPUTED_VALUE"""),17.0)</f>
        <v>17</v>
      </c>
      <c r="L35" s="201" t="str">
        <f>IFERROR(__xludf.DUMMYFUNCTION("""COMPUTED_VALUE"""),"RPG")</f>
        <v>RPG</v>
      </c>
      <c r="M35" s="201" t="str">
        <f>IFERROR(__xludf.DUMMYFUNCTION("""COMPUTED_VALUE"""),"Exclusive")</f>
        <v>Exclusive</v>
      </c>
    </row>
    <row r="36">
      <c r="A36" s="190" t="str">
        <f>IFERROR(__xludf.DUMMYFUNCTION("""COMPUTED_VALUE"""),"Wobbly Life")</f>
        <v>Wobbly Life</v>
      </c>
      <c r="B36" s="195" t="str">
        <f>IFERROR(__xludf.DUMMYFUNCTION("""COMPUTED_VALUE"""),"Xbox / PC")</f>
        <v>Xbox / PC</v>
      </c>
      <c r="C36" s="196" t="str">
        <f>IFERROR(__xludf.DUMMYFUNCTION("""COMPUTED_VALUE"""),"Yes")</f>
        <v>Yes</v>
      </c>
      <c r="D36" s="196" t="str">
        <f>IFERROR(__xludf.DUMMYFUNCTION("""COMPUTED_VALUE"""),"Active")</f>
        <v>Active</v>
      </c>
      <c r="E36" s="197">
        <f>IFERROR(__xludf.DUMMYFUNCTION("""COMPUTED_VALUE"""),45918.0)</f>
        <v>45918</v>
      </c>
      <c r="F36" s="198"/>
      <c r="G36" s="199">
        <f>IFERROR(__xludf.DUMMYFUNCTION("""COMPUTED_VALUE"""),0.8999999999999999)</f>
        <v>0.9</v>
      </c>
      <c r="H36" s="197">
        <f>IFERROR(__xludf.DUMMYFUNCTION("""COMPUTED_VALUE"""),45898.0)</f>
        <v>45898</v>
      </c>
      <c r="I36" s="199">
        <f>IFERROR(__xludf.DUMMYFUNCTION("""COMPUTED_VALUE"""),0.05277777777777778)</f>
        <v>0.05277777778</v>
      </c>
      <c r="J36" s="200">
        <f>IFERROR(__xludf.DUMMYFUNCTION("""COMPUTED_VALUE"""),80.0)</f>
        <v>80</v>
      </c>
      <c r="K36" s="200">
        <f>IFERROR(__xludf.DUMMYFUNCTION("""COMPUTED_VALUE"""),3.0)</f>
        <v>3</v>
      </c>
      <c r="L36" s="201" t="str">
        <f>IFERROR(__xludf.DUMMYFUNCTION("""COMPUTED_VALUE"""),"Action-Adventure")</f>
        <v>Action-Adventure</v>
      </c>
      <c r="M36" s="201" t="str">
        <f>IFERROR(__xludf.DUMMYFUNCTION("""COMPUTED_VALUE"""),"Exclusive")</f>
        <v>Exclusive</v>
      </c>
    </row>
    <row r="37">
      <c r="A37" s="190" t="str">
        <f>IFERROR(__xludf.DUMMYFUNCTION("""COMPUTED_VALUE"""),"DREDGE")</f>
        <v>DREDGE</v>
      </c>
      <c r="B37" s="195" t="str">
        <f>IFERROR(__xludf.DUMMYFUNCTION("""COMPUTED_VALUE"""),"Xbox / PC")</f>
        <v>Xbox / PC</v>
      </c>
      <c r="C37" s="196" t="str">
        <f>IFERROR(__xludf.DUMMYFUNCTION("""COMPUTED_VALUE"""),"Yes")</f>
        <v>Yes</v>
      </c>
      <c r="D37" s="196" t="str">
        <f>IFERROR(__xludf.DUMMYFUNCTION("""COMPUTED_VALUE"""),"Active")</f>
        <v>Active</v>
      </c>
      <c r="E37" s="197">
        <f>IFERROR(__xludf.DUMMYFUNCTION("""COMPUTED_VALUE"""),45783.0)</f>
        <v>45783</v>
      </c>
      <c r="F37" s="198"/>
      <c r="G37" s="199">
        <f>IFERROR(__xludf.DUMMYFUNCTION("""COMPUTED_VALUE"""),5.3)</f>
        <v>5.3</v>
      </c>
      <c r="H37" s="197">
        <f>IFERROR(__xludf.DUMMYFUNCTION("""COMPUTED_VALUE"""),45015.0)</f>
        <v>45015</v>
      </c>
      <c r="I37" s="199">
        <f>IFERROR(__xludf.DUMMYFUNCTION("""COMPUTED_VALUE"""),2.1)</f>
        <v>2.1</v>
      </c>
      <c r="J37" s="200">
        <f>IFERROR(__xludf.DUMMYFUNCTION("""COMPUTED_VALUE"""),80.0)</f>
        <v>80</v>
      </c>
      <c r="K37" s="200">
        <f>IFERROR(__xludf.DUMMYFUNCTION("""COMPUTED_VALUE"""),10.0)</f>
        <v>10</v>
      </c>
      <c r="L37" s="201" t="str">
        <f>IFERROR(__xludf.DUMMYFUNCTION("""COMPUTED_VALUE"""),"Action-Adventure")</f>
        <v>Action-Adventure</v>
      </c>
      <c r="M37" s="201" t="str">
        <f>IFERROR(__xludf.DUMMYFUNCTION("""COMPUTED_VALUE"""),"Exclusive")</f>
        <v>Exclusive</v>
      </c>
    </row>
    <row r="38">
      <c r="A38" s="190" t="str">
        <f>IFERROR(__xludf.DUMMYFUNCTION("""COMPUTED_VALUE"""),"Hunt: Showdown 1896")</f>
        <v>Hunt: Showdown 1896</v>
      </c>
      <c r="B38" s="195" t="str">
        <f>IFERROR(__xludf.DUMMYFUNCTION("""COMPUTED_VALUE"""),"Xbox / PC")</f>
        <v>Xbox / PC</v>
      </c>
      <c r="C38" s="196" t="str">
        <f>IFERROR(__xludf.DUMMYFUNCTION("""COMPUTED_VALUE"""),"Yes")</f>
        <v>Yes</v>
      </c>
      <c r="D38" s="196" t="str">
        <f>IFERROR(__xludf.DUMMYFUNCTION("""COMPUTED_VALUE"""),"Active")</f>
        <v>Active</v>
      </c>
      <c r="E38" s="197">
        <f>IFERROR(__xludf.DUMMYFUNCTION("""COMPUTED_VALUE"""),45638.0)</f>
        <v>45638</v>
      </c>
      <c r="F38" s="198"/>
      <c r="G38" s="199">
        <f>IFERROR(__xludf.DUMMYFUNCTION("""COMPUTED_VALUE"""),10.1)</f>
        <v>10.1</v>
      </c>
      <c r="H38" s="197">
        <f>IFERROR(__xludf.DUMMYFUNCTION("""COMPUTED_VALUE"""),45519.0)</f>
        <v>45519</v>
      </c>
      <c r="I38" s="199">
        <f>IFERROR(__xludf.DUMMYFUNCTION("""COMPUTED_VALUE"""),0.325)</f>
        <v>0.325</v>
      </c>
      <c r="J38" s="200">
        <f>IFERROR(__xludf.DUMMYFUNCTION("""COMPUTED_VALUE"""),80.0)</f>
        <v>80</v>
      </c>
      <c r="K38" s="200">
        <f>IFERROR(__xludf.DUMMYFUNCTION("""COMPUTED_VALUE"""),41.0)</f>
        <v>41</v>
      </c>
      <c r="L38" s="201" t="str">
        <f>IFERROR(__xludf.DUMMYFUNCTION("""COMPUTED_VALUE"""),"Shooter")</f>
        <v>Shooter</v>
      </c>
      <c r="M38" s="201" t="str">
        <f>IFERROR(__xludf.DUMMYFUNCTION("""COMPUTED_VALUE"""),"Exclusive")</f>
        <v>Exclusive</v>
      </c>
    </row>
    <row r="39">
      <c r="A39" s="190" t="str">
        <f>IFERROR(__xludf.DUMMYFUNCTION("""COMPUTED_VALUE"""),"EA Sports WRC")</f>
        <v>EA Sports WRC</v>
      </c>
      <c r="B39" s="195" t="str">
        <f>IFERROR(__xludf.DUMMYFUNCTION("""COMPUTED_VALUE"""),"Xbox / PC")</f>
        <v>Xbox / PC</v>
      </c>
      <c r="C39" s="196" t="str">
        <f>IFERROR(__xludf.DUMMYFUNCTION("""COMPUTED_VALUE"""),"Yes")</f>
        <v>Yes</v>
      </c>
      <c r="D39" s="196" t="str">
        <f>IFERROR(__xludf.DUMMYFUNCTION("""COMPUTED_VALUE"""),"Active")</f>
        <v>Active</v>
      </c>
      <c r="E39" s="197">
        <f>IFERROR(__xludf.DUMMYFUNCTION("""COMPUTED_VALUE"""),45631.0)</f>
        <v>45631</v>
      </c>
      <c r="F39" s="198"/>
      <c r="G39" s="199">
        <f>IFERROR(__xludf.DUMMYFUNCTION("""COMPUTED_VALUE"""),10.333333333333334)</f>
        <v>10.33333333</v>
      </c>
      <c r="H39" s="197">
        <f>IFERROR(__xludf.DUMMYFUNCTION("""COMPUTED_VALUE"""),45233.0)</f>
        <v>45233</v>
      </c>
      <c r="I39" s="199">
        <f>IFERROR(__xludf.DUMMYFUNCTION("""COMPUTED_VALUE"""),1.0888888888888888)</f>
        <v>1.088888889</v>
      </c>
      <c r="J39" s="200">
        <f>IFERROR(__xludf.DUMMYFUNCTION("""COMPUTED_VALUE"""),80.0)</f>
        <v>80</v>
      </c>
      <c r="K39" s="200">
        <f>IFERROR(__xludf.DUMMYFUNCTION("""COMPUTED_VALUE"""),11.0)</f>
        <v>11</v>
      </c>
      <c r="L39" s="201" t="str">
        <f>IFERROR(__xludf.DUMMYFUNCTION("""COMPUTED_VALUE"""),"Racing")</f>
        <v>Racing</v>
      </c>
      <c r="M39" s="201" t="str">
        <f>IFERROR(__xludf.DUMMYFUNCTION("""COMPUTED_VALUE"""),"Exclusive")</f>
        <v>Exclusive</v>
      </c>
    </row>
    <row r="40">
      <c r="A40" s="190" t="str">
        <f>IFERROR(__xludf.DUMMYFUNCTION("""COMPUTED_VALUE"""),"Moving Out 2")</f>
        <v>Moving Out 2</v>
      </c>
      <c r="B40" s="195" t="str">
        <f>IFERROR(__xludf.DUMMYFUNCTION("""COMPUTED_VALUE"""),"Xbox / PC")</f>
        <v>Xbox / PC</v>
      </c>
      <c r="C40" s="196" t="str">
        <f>IFERROR(__xludf.DUMMYFUNCTION("""COMPUTED_VALUE"""),"Yes")</f>
        <v>Yes</v>
      </c>
      <c r="D40" s="196" t="str">
        <f>IFERROR(__xludf.DUMMYFUNCTION("""COMPUTED_VALUE"""),"Active")</f>
        <v>Active</v>
      </c>
      <c r="E40" s="197">
        <f>IFERROR(__xludf.DUMMYFUNCTION("""COMPUTED_VALUE"""),45440.0)</f>
        <v>45440</v>
      </c>
      <c r="F40" s="198"/>
      <c r="G40" s="199">
        <f>IFERROR(__xludf.DUMMYFUNCTION("""COMPUTED_VALUE"""),16.566666666666666)</f>
        <v>16.56666667</v>
      </c>
      <c r="H40" s="197">
        <f>IFERROR(__xludf.DUMMYFUNCTION("""COMPUTED_VALUE"""),45153.0)</f>
        <v>45153</v>
      </c>
      <c r="I40" s="199">
        <f>IFERROR(__xludf.DUMMYFUNCTION("""COMPUTED_VALUE"""),0.7861111111111111)</f>
        <v>0.7861111111</v>
      </c>
      <c r="J40" s="200">
        <f>IFERROR(__xludf.DUMMYFUNCTION("""COMPUTED_VALUE"""),80.0)</f>
        <v>80</v>
      </c>
      <c r="K40" s="200">
        <f>IFERROR(__xludf.DUMMYFUNCTION("""COMPUTED_VALUE"""),10.0)</f>
        <v>10</v>
      </c>
      <c r="L40" s="201" t="str">
        <f>IFERROR(__xludf.DUMMYFUNCTION("""COMPUTED_VALUE"""),"Simulation")</f>
        <v>Simulation</v>
      </c>
      <c r="M40" s="201" t="str">
        <f>IFERROR(__xludf.DUMMYFUNCTION("""COMPUTED_VALUE"""),"Exclusive")</f>
        <v>Exclusive</v>
      </c>
    </row>
    <row r="41">
      <c r="A41" s="190" t="str">
        <f>IFERROR(__xludf.DUMMYFUNCTION("""COMPUTED_VALUE"""),"Galacticare")</f>
        <v>Galacticare</v>
      </c>
      <c r="B41" s="195" t="str">
        <f>IFERROR(__xludf.DUMMYFUNCTION("""COMPUTED_VALUE"""),"Xbox / PC")</f>
        <v>Xbox / PC</v>
      </c>
      <c r="C41" s="196" t="str">
        <f>IFERROR(__xludf.DUMMYFUNCTION("""COMPUTED_VALUE"""),"Yes")</f>
        <v>Yes</v>
      </c>
      <c r="D41" s="196" t="str">
        <f>IFERROR(__xludf.DUMMYFUNCTION("""COMPUTED_VALUE"""),"Active")</f>
        <v>Active</v>
      </c>
      <c r="E41" s="197">
        <f>IFERROR(__xludf.DUMMYFUNCTION("""COMPUTED_VALUE"""),45435.0)</f>
        <v>45435</v>
      </c>
      <c r="F41" s="198"/>
      <c r="G41" s="199">
        <f>IFERROR(__xludf.DUMMYFUNCTION("""COMPUTED_VALUE"""),16.733333333333334)</f>
        <v>16.73333333</v>
      </c>
      <c r="H41" s="197">
        <f>IFERROR(__xludf.DUMMYFUNCTION("""COMPUTED_VALUE"""),45435.0)</f>
        <v>45435</v>
      </c>
      <c r="I41" s="199">
        <f>IFERROR(__xludf.DUMMYFUNCTION("""COMPUTED_VALUE"""),0.0)</f>
        <v>0</v>
      </c>
      <c r="J41" s="200">
        <f>IFERROR(__xludf.DUMMYFUNCTION("""COMPUTED_VALUE"""),80.0)</f>
        <v>80</v>
      </c>
      <c r="K41" s="200">
        <f>IFERROR(__xludf.DUMMYFUNCTION("""COMPUTED_VALUE"""),20.0)</f>
        <v>20</v>
      </c>
      <c r="L41" s="201" t="str">
        <f>IFERROR(__xludf.DUMMYFUNCTION("""COMPUTED_VALUE"""),"Tycoon")</f>
        <v>Tycoon</v>
      </c>
      <c r="M41" s="201" t="str">
        <f>IFERROR(__xludf.DUMMYFUNCTION("""COMPUTED_VALUE"""),"Exclusive")</f>
        <v>Exclusive</v>
      </c>
    </row>
    <row r="42">
      <c r="A42" s="190" t="str">
        <f>IFERROR(__xludf.DUMMYFUNCTION("""COMPUTED_VALUE"""),"Senua's Saga: Hellblade II")</f>
        <v>Senua's Saga: Hellblade II</v>
      </c>
      <c r="B42" s="195" t="str">
        <f>IFERROR(__xludf.DUMMYFUNCTION("""COMPUTED_VALUE"""),"Xbox / PC")</f>
        <v>Xbox / PC</v>
      </c>
      <c r="C42" s="196" t="str">
        <f>IFERROR(__xludf.DUMMYFUNCTION("""COMPUTED_VALUE"""),"Yes")</f>
        <v>Yes</v>
      </c>
      <c r="D42" s="196" t="str">
        <f>IFERROR(__xludf.DUMMYFUNCTION("""COMPUTED_VALUE"""),"Active")</f>
        <v>Active</v>
      </c>
      <c r="E42" s="197">
        <f>IFERROR(__xludf.DUMMYFUNCTION("""COMPUTED_VALUE"""),45433.0)</f>
        <v>45433</v>
      </c>
      <c r="F42" s="198"/>
      <c r="G42" s="199">
        <f>IFERROR(__xludf.DUMMYFUNCTION("""COMPUTED_VALUE"""),16.799999999999997)</f>
        <v>16.8</v>
      </c>
      <c r="H42" s="197">
        <f>IFERROR(__xludf.DUMMYFUNCTION("""COMPUTED_VALUE"""),45433.0)</f>
        <v>45433</v>
      </c>
      <c r="I42" s="199">
        <f>IFERROR(__xludf.DUMMYFUNCTION("""COMPUTED_VALUE"""),0.0)</f>
        <v>0</v>
      </c>
      <c r="J42" s="200">
        <f>IFERROR(__xludf.DUMMYFUNCTION("""COMPUTED_VALUE"""),80.0)</f>
        <v>80</v>
      </c>
      <c r="K42" s="200">
        <f>IFERROR(__xludf.DUMMYFUNCTION("""COMPUTED_VALUE"""),7.0)</f>
        <v>7</v>
      </c>
      <c r="L42" s="201" t="str">
        <f>IFERROR(__xludf.DUMMYFUNCTION("""COMPUTED_VALUE"""),"Action / Action-Adventure")</f>
        <v>Action / Action-Adventure</v>
      </c>
      <c r="M42" s="201" t="str">
        <f>IFERROR(__xludf.DUMMYFUNCTION("""COMPUTED_VALUE"""),"Exclusive")</f>
        <v>Exclusive</v>
      </c>
    </row>
    <row r="43">
      <c r="A43" s="190" t="str">
        <f>IFERROR(__xludf.DUMMYFUNCTION("""COMPUTED_VALUE"""),"I Am Your Beast")</f>
        <v>I Am Your Beast</v>
      </c>
      <c r="B43" s="195" t="str">
        <f>IFERROR(__xludf.DUMMYFUNCTION("""COMPUTED_VALUE"""),"Xbox / PC")</f>
        <v>Xbox / PC</v>
      </c>
      <c r="C43" s="196" t="str">
        <f>IFERROR(__xludf.DUMMYFUNCTION("""COMPUTED_VALUE"""),"Yes")</f>
        <v>Yes</v>
      </c>
      <c r="D43" s="196" t="str">
        <f>IFERROR(__xludf.DUMMYFUNCTION("""COMPUTED_VALUE"""),"Active")</f>
        <v>Active</v>
      </c>
      <c r="E43" s="197">
        <f>IFERROR(__xludf.DUMMYFUNCTION("""COMPUTED_VALUE"""),45901.0)</f>
        <v>45901</v>
      </c>
      <c r="F43" s="198"/>
      <c r="G43" s="199">
        <f>IFERROR(__xludf.DUMMYFUNCTION("""COMPUTED_VALUE"""),1.4666666666666666)</f>
        <v>1.466666667</v>
      </c>
      <c r="H43" s="197">
        <f>IFERROR(__xludf.DUMMYFUNCTION("""COMPUTED_VALUE"""),45545.0)</f>
        <v>45545</v>
      </c>
      <c r="I43" s="199">
        <f>IFERROR(__xludf.DUMMYFUNCTION("""COMPUTED_VALUE"""),0.975)</f>
        <v>0.975</v>
      </c>
      <c r="J43" s="200">
        <f>IFERROR(__xludf.DUMMYFUNCTION("""COMPUTED_VALUE"""),79.0)</f>
        <v>79</v>
      </c>
      <c r="K43" s="200">
        <f>IFERROR(__xludf.DUMMYFUNCTION("""COMPUTED_VALUE"""),3.0)</f>
        <v>3</v>
      </c>
      <c r="L43" s="201" t="str">
        <f>IFERROR(__xludf.DUMMYFUNCTION("""COMPUTED_VALUE"""),"Shooter")</f>
        <v>Shooter</v>
      </c>
      <c r="M43" s="201" t="str">
        <f>IFERROR(__xludf.DUMMYFUNCTION("""COMPUTED_VALUE"""),"Exclusive")</f>
        <v>Exclusive</v>
      </c>
    </row>
    <row r="44">
      <c r="A44" s="190" t="str">
        <f>IFERROR(__xludf.DUMMYFUNCTION("""COMPUTED_VALUE"""),"Gears of War: Reloaded")</f>
        <v>Gears of War: Reloaded</v>
      </c>
      <c r="B44" s="195" t="str">
        <f>IFERROR(__xludf.DUMMYFUNCTION("""COMPUTED_VALUE"""),"Xbox / PC")</f>
        <v>Xbox / PC</v>
      </c>
      <c r="C44" s="196" t="str">
        <f>IFERROR(__xludf.DUMMYFUNCTION("""COMPUTED_VALUE"""),"Yes")</f>
        <v>Yes</v>
      </c>
      <c r="D44" s="196" t="str">
        <f>IFERROR(__xludf.DUMMYFUNCTION("""COMPUTED_VALUE"""),"Active")</f>
        <v>Active</v>
      </c>
      <c r="E44" s="197">
        <f>IFERROR(__xludf.DUMMYFUNCTION("""COMPUTED_VALUE"""),45895.0)</f>
        <v>45895</v>
      </c>
      <c r="F44" s="198"/>
      <c r="G44" s="199">
        <f>IFERROR(__xludf.DUMMYFUNCTION("""COMPUTED_VALUE"""),1.6333333333333333)</f>
        <v>1.633333333</v>
      </c>
      <c r="H44" s="197">
        <f>IFERROR(__xludf.DUMMYFUNCTION("""COMPUTED_VALUE"""),45895.0)</f>
        <v>45895</v>
      </c>
      <c r="I44" s="199">
        <f>IFERROR(__xludf.DUMMYFUNCTION("""COMPUTED_VALUE"""),0.0)</f>
        <v>0</v>
      </c>
      <c r="J44" s="200">
        <f>IFERROR(__xludf.DUMMYFUNCTION("""COMPUTED_VALUE"""),79.0)</f>
        <v>79</v>
      </c>
      <c r="K44" s="200">
        <f>IFERROR(__xludf.DUMMYFUNCTION("""COMPUTED_VALUE"""),7.0)</f>
        <v>7</v>
      </c>
      <c r="L44" s="201" t="str">
        <f>IFERROR(__xludf.DUMMYFUNCTION("""COMPUTED_VALUE"""),"Shooter")</f>
        <v>Shooter</v>
      </c>
      <c r="M44" s="201" t="str">
        <f>IFERROR(__xludf.DUMMYFUNCTION("""COMPUTED_VALUE"""),"Exclusive")</f>
        <v>Exclusive</v>
      </c>
    </row>
    <row r="45">
      <c r="A45" s="190" t="str">
        <f>IFERROR(__xludf.DUMMYFUNCTION("""COMPUTED_VALUE"""),"Mechwarrior 5: Clans")</f>
        <v>Mechwarrior 5: Clans</v>
      </c>
      <c r="B45" s="195" t="str">
        <f>IFERROR(__xludf.DUMMYFUNCTION("""COMPUTED_VALUE"""),"Xbox / PC")</f>
        <v>Xbox / PC</v>
      </c>
      <c r="C45" s="196" t="str">
        <f>IFERROR(__xludf.DUMMYFUNCTION("""COMPUTED_VALUE"""),"Yes")</f>
        <v>Yes</v>
      </c>
      <c r="D45" s="196" t="str">
        <f>IFERROR(__xludf.DUMMYFUNCTION("""COMPUTED_VALUE"""),"Active")</f>
        <v>Active</v>
      </c>
      <c r="E45" s="197">
        <f>IFERROR(__xludf.DUMMYFUNCTION("""COMPUTED_VALUE"""),45582.0)</f>
        <v>45582</v>
      </c>
      <c r="F45" s="198"/>
      <c r="G45" s="199">
        <f>IFERROR(__xludf.DUMMYFUNCTION("""COMPUTED_VALUE"""),11.933333333333334)</f>
        <v>11.93333333</v>
      </c>
      <c r="H45" s="197">
        <f>IFERROR(__xludf.DUMMYFUNCTION("""COMPUTED_VALUE"""),45582.0)</f>
        <v>45582</v>
      </c>
      <c r="I45" s="199">
        <f>IFERROR(__xludf.DUMMYFUNCTION("""COMPUTED_VALUE"""),0.0)</f>
        <v>0</v>
      </c>
      <c r="J45" s="200">
        <f>IFERROR(__xludf.DUMMYFUNCTION("""COMPUTED_VALUE"""),79.0)</f>
        <v>79</v>
      </c>
      <c r="K45" s="200">
        <f>IFERROR(__xludf.DUMMYFUNCTION("""COMPUTED_VALUE"""),23.0)</f>
        <v>23</v>
      </c>
      <c r="L45" s="201" t="str">
        <f>IFERROR(__xludf.DUMMYFUNCTION("""COMPUTED_VALUE"""),"Simulation")</f>
        <v>Simulation</v>
      </c>
      <c r="M45" s="201" t="str">
        <f>IFERROR(__xludf.DUMMYFUNCTION("""COMPUTED_VALUE"""),"Exclusive")</f>
        <v>Exclusive</v>
      </c>
    </row>
    <row r="46">
      <c r="A46" s="190" t="str">
        <f>IFERROR(__xludf.DUMMYFUNCTION("""COMPUTED_VALUE"""),"Hell Let Loose")</f>
        <v>Hell Let Loose</v>
      </c>
      <c r="B46" s="195" t="str">
        <f>IFERROR(__xludf.DUMMYFUNCTION("""COMPUTED_VALUE"""),"Xbox / PC")</f>
        <v>Xbox / PC</v>
      </c>
      <c r="C46" s="196" t="str">
        <f>IFERROR(__xludf.DUMMYFUNCTION("""COMPUTED_VALUE"""),"Yes")</f>
        <v>Yes</v>
      </c>
      <c r="D46" s="196" t="str">
        <f>IFERROR(__xludf.DUMMYFUNCTION("""COMPUTED_VALUE"""),"Active")</f>
        <v>Active</v>
      </c>
      <c r="E46" s="197">
        <f>IFERROR(__xludf.DUMMYFUNCTION("""COMPUTED_VALUE"""),45295.0)</f>
        <v>45295</v>
      </c>
      <c r="F46" s="198"/>
      <c r="G46" s="199">
        <f>IFERROR(__xludf.DUMMYFUNCTION("""COMPUTED_VALUE"""),21.366666666666667)</f>
        <v>21.36666667</v>
      </c>
      <c r="H46" s="197">
        <f>IFERROR(__xludf.DUMMYFUNCTION("""COMPUTED_VALUE"""),43622.0)</f>
        <v>43622</v>
      </c>
      <c r="I46" s="199">
        <f>IFERROR(__xludf.DUMMYFUNCTION("""COMPUTED_VALUE"""),4.5777777777777775)</f>
        <v>4.577777778</v>
      </c>
      <c r="J46" s="200">
        <f>IFERROR(__xludf.DUMMYFUNCTION("""COMPUTED_VALUE"""),79.0)</f>
        <v>79</v>
      </c>
      <c r="K46" s="200">
        <f>IFERROR(__xludf.DUMMYFUNCTION("""COMPUTED_VALUE"""),30.0)</f>
        <v>30</v>
      </c>
      <c r="L46" s="201" t="str">
        <f>IFERROR(__xludf.DUMMYFUNCTION("""COMPUTED_VALUE"""),"Action / First-Person Shooter / Vehicular Combat")</f>
        <v>Action / First-Person Shooter / Vehicular Combat</v>
      </c>
      <c r="M46" s="201" t="str">
        <f>IFERROR(__xludf.DUMMYFUNCTION("""COMPUTED_VALUE"""),"Exclusive")</f>
        <v>Exclusive</v>
      </c>
    </row>
    <row r="47">
      <c r="A47" s="190" t="str">
        <f>IFERROR(__xludf.DUMMYFUNCTION("""COMPUTED_VALUE"""),"Rematch")</f>
        <v>Rematch</v>
      </c>
      <c r="B47" s="195" t="str">
        <f>IFERROR(__xludf.DUMMYFUNCTION("""COMPUTED_VALUE"""),"Xbox / PC")</f>
        <v>Xbox / PC</v>
      </c>
      <c r="C47" s="196" t="str">
        <f>IFERROR(__xludf.DUMMYFUNCTION("""COMPUTED_VALUE"""),"Yes")</f>
        <v>Yes</v>
      </c>
      <c r="D47" s="196" t="str">
        <f>IFERROR(__xludf.DUMMYFUNCTION("""COMPUTED_VALUE"""),"Active")</f>
        <v>Active</v>
      </c>
      <c r="E47" s="197">
        <f>IFERROR(__xludf.DUMMYFUNCTION("""COMPUTED_VALUE"""),45827.0)</f>
        <v>45827</v>
      </c>
      <c r="F47" s="198"/>
      <c r="G47" s="199">
        <f>IFERROR(__xludf.DUMMYFUNCTION("""COMPUTED_VALUE"""),3.866666666666667)</f>
        <v>3.866666667</v>
      </c>
      <c r="H47" s="197">
        <f>IFERROR(__xludf.DUMMYFUNCTION("""COMPUTED_VALUE"""),45827.0)</f>
        <v>45827</v>
      </c>
      <c r="I47" s="199">
        <f>IFERROR(__xludf.DUMMYFUNCTION("""COMPUTED_VALUE"""),0.0)</f>
        <v>0</v>
      </c>
      <c r="J47" s="200">
        <f>IFERROR(__xludf.DUMMYFUNCTION("""COMPUTED_VALUE"""),78.0)</f>
        <v>78</v>
      </c>
      <c r="K47" s="200">
        <f>IFERROR(__xludf.DUMMYFUNCTION("""COMPUTED_VALUE"""),37.0)</f>
        <v>37</v>
      </c>
      <c r="L47" s="201" t="str">
        <f>IFERROR(__xludf.DUMMYFUNCTION("""COMPUTED_VALUE"""),"Sports")</f>
        <v>Sports</v>
      </c>
      <c r="M47" s="201" t="str">
        <f>IFERROR(__xludf.DUMMYFUNCTION("""COMPUTED_VALUE"""),"Exclusive")</f>
        <v>Exclusive</v>
      </c>
    </row>
    <row r="48">
      <c r="A48" s="190" t="str">
        <f>IFERROR(__xludf.DUMMYFUNCTION("""COMPUTED_VALUE"""),"Lost in Random: The Eternal Die")</f>
        <v>Lost in Random: The Eternal Die</v>
      </c>
      <c r="B48" s="195" t="str">
        <f>IFERROR(__xludf.DUMMYFUNCTION("""COMPUTED_VALUE"""),"Xbox / PC")</f>
        <v>Xbox / PC</v>
      </c>
      <c r="C48" s="196" t="str">
        <f>IFERROR(__xludf.DUMMYFUNCTION("""COMPUTED_VALUE"""),"Yes")</f>
        <v>Yes</v>
      </c>
      <c r="D48" s="196" t="str">
        <f>IFERROR(__xludf.DUMMYFUNCTION("""COMPUTED_VALUE"""),"Active")</f>
        <v>Active</v>
      </c>
      <c r="E48" s="197">
        <f>IFERROR(__xludf.DUMMYFUNCTION("""COMPUTED_VALUE"""),45825.0)</f>
        <v>45825</v>
      </c>
      <c r="F48" s="198"/>
      <c r="G48" s="199">
        <f>IFERROR(__xludf.DUMMYFUNCTION("""COMPUTED_VALUE"""),3.9333333333333336)</f>
        <v>3.933333333</v>
      </c>
      <c r="H48" s="197">
        <f>IFERROR(__xludf.DUMMYFUNCTION("""COMPUTED_VALUE"""),45825.0)</f>
        <v>45825</v>
      </c>
      <c r="I48" s="199">
        <f>IFERROR(__xludf.DUMMYFUNCTION("""COMPUTED_VALUE"""),0.0)</f>
        <v>0</v>
      </c>
      <c r="J48" s="200">
        <f>IFERROR(__xludf.DUMMYFUNCTION("""COMPUTED_VALUE"""),78.0)</f>
        <v>78</v>
      </c>
      <c r="K48" s="200">
        <f>IFERROR(__xludf.DUMMYFUNCTION("""COMPUTED_VALUE"""),6.0)</f>
        <v>6</v>
      </c>
      <c r="L48" s="201" t="str">
        <f>IFERROR(__xludf.DUMMYFUNCTION("""COMPUTED_VALUE"""),"Action-Adventure")</f>
        <v>Action-Adventure</v>
      </c>
      <c r="M48" s="201" t="str">
        <f>IFERROR(__xludf.DUMMYFUNCTION("""COMPUTED_VALUE"""),"Exclusive")</f>
        <v>Exclusive</v>
      </c>
    </row>
    <row r="49">
      <c r="A49" s="190" t="str">
        <f>IFERROR(__xludf.DUMMYFUNCTION("""COMPUTED_VALUE"""),"Spray Paint Simulator")</f>
        <v>Spray Paint Simulator</v>
      </c>
      <c r="B49" s="195" t="str">
        <f>IFERROR(__xludf.DUMMYFUNCTION("""COMPUTED_VALUE"""),"Xbox / PC")</f>
        <v>Xbox / PC</v>
      </c>
      <c r="C49" s="196" t="str">
        <f>IFERROR(__xludf.DUMMYFUNCTION("""COMPUTED_VALUE"""),"Yes")</f>
        <v>Yes</v>
      </c>
      <c r="D49" s="196" t="str">
        <f>IFERROR(__xludf.DUMMYFUNCTION("""COMPUTED_VALUE"""),"Active")</f>
        <v>Active</v>
      </c>
      <c r="E49" s="197">
        <f>IFERROR(__xludf.DUMMYFUNCTION("""COMPUTED_VALUE"""),45806.0)</f>
        <v>45806</v>
      </c>
      <c r="F49" s="198"/>
      <c r="G49" s="199">
        <f>IFERROR(__xludf.DUMMYFUNCTION("""COMPUTED_VALUE"""),4.533333333333333)</f>
        <v>4.533333333</v>
      </c>
      <c r="H49" s="197">
        <f>IFERROR(__xludf.DUMMYFUNCTION("""COMPUTED_VALUE"""),45806.0)</f>
        <v>45806</v>
      </c>
      <c r="I49" s="199">
        <f>IFERROR(__xludf.DUMMYFUNCTION("""COMPUTED_VALUE"""),0.0)</f>
        <v>0</v>
      </c>
      <c r="J49" s="200">
        <f>IFERROR(__xludf.DUMMYFUNCTION("""COMPUTED_VALUE"""),78.0)</f>
        <v>78</v>
      </c>
      <c r="K49" s="200">
        <f>IFERROR(__xludf.DUMMYFUNCTION("""COMPUTED_VALUE"""),9.0)</f>
        <v>9</v>
      </c>
      <c r="L49" s="201" t="str">
        <f>IFERROR(__xludf.DUMMYFUNCTION("""COMPUTED_VALUE"""),"Simulation")</f>
        <v>Simulation</v>
      </c>
      <c r="M49" s="201" t="str">
        <f>IFERROR(__xludf.DUMMYFUNCTION("""COMPUTED_VALUE"""),"Exclusive")</f>
        <v>Exclusive</v>
      </c>
    </row>
    <row r="50">
      <c r="A50" s="190" t="str">
        <f>IFERROR(__xludf.DUMMYFUNCTION("""COMPUTED_VALUE"""),"EA Sports UFC 5")</f>
        <v>EA Sports UFC 5</v>
      </c>
      <c r="B50" s="195" t="str">
        <f>IFERROR(__xludf.DUMMYFUNCTION("""COMPUTED_VALUE"""),"Xbox")</f>
        <v>Xbox</v>
      </c>
      <c r="C50" s="196" t="str">
        <f>IFERROR(__xludf.DUMMYFUNCTION("""COMPUTED_VALUE"""),"Yes")</f>
        <v>Yes</v>
      </c>
      <c r="D50" s="196" t="str">
        <f>IFERROR(__xludf.DUMMYFUNCTION("""COMPUTED_VALUE"""),"Active")</f>
        <v>Active</v>
      </c>
      <c r="E50" s="197">
        <f>IFERROR(__xludf.DUMMYFUNCTION("""COMPUTED_VALUE"""),45671.0)</f>
        <v>45671</v>
      </c>
      <c r="F50" s="198"/>
      <c r="G50" s="199">
        <f>IFERROR(__xludf.DUMMYFUNCTION("""COMPUTED_VALUE"""),9.033333333333333)</f>
        <v>9.033333333</v>
      </c>
      <c r="H50" s="197">
        <f>IFERROR(__xludf.DUMMYFUNCTION("""COMPUTED_VALUE"""),45226.0)</f>
        <v>45226</v>
      </c>
      <c r="I50" s="199">
        <f>IFERROR(__xludf.DUMMYFUNCTION("""COMPUTED_VALUE"""),1.2138888888888888)</f>
        <v>1.213888889</v>
      </c>
      <c r="J50" s="200">
        <f>IFERROR(__xludf.DUMMYFUNCTION("""COMPUTED_VALUE"""),78.0)</f>
        <v>78</v>
      </c>
      <c r="K50" s="200">
        <f>IFERROR(__xludf.DUMMYFUNCTION("""COMPUTED_VALUE"""),14.0)</f>
        <v>14</v>
      </c>
      <c r="L50" s="201" t="str">
        <f>IFERROR(__xludf.DUMMYFUNCTION("""COMPUTED_VALUE"""),"Fighting")</f>
        <v>Fighting</v>
      </c>
      <c r="M50" s="201" t="str">
        <f>IFERROR(__xludf.DUMMYFUNCTION("""COMPUTED_VALUE"""),"Exclusive")</f>
        <v>Exclusive</v>
      </c>
    </row>
    <row r="51">
      <c r="A51" s="190" t="str">
        <f>IFERROR(__xludf.DUMMYFUNCTION("""COMPUTED_VALUE"""),"Microsoft Flight Simulator 2024")</f>
        <v>Microsoft Flight Simulator 2024</v>
      </c>
      <c r="B51" s="195" t="str">
        <f>IFERROR(__xludf.DUMMYFUNCTION("""COMPUTED_VALUE"""),"Xbox / PC")</f>
        <v>Xbox / PC</v>
      </c>
      <c r="C51" s="196" t="str">
        <f>IFERROR(__xludf.DUMMYFUNCTION("""COMPUTED_VALUE"""),"Yes")</f>
        <v>Yes</v>
      </c>
      <c r="D51" s="196" t="str">
        <f>IFERROR(__xludf.DUMMYFUNCTION("""COMPUTED_VALUE"""),"Active")</f>
        <v>Active</v>
      </c>
      <c r="E51" s="197">
        <f>IFERROR(__xludf.DUMMYFUNCTION("""COMPUTED_VALUE"""),45615.0)</f>
        <v>45615</v>
      </c>
      <c r="F51" s="198"/>
      <c r="G51" s="199">
        <f>IFERROR(__xludf.DUMMYFUNCTION("""COMPUTED_VALUE"""),10.866666666666667)</f>
        <v>10.86666667</v>
      </c>
      <c r="H51" s="197">
        <f>IFERROR(__xludf.DUMMYFUNCTION("""COMPUTED_VALUE"""),45615.0)</f>
        <v>45615</v>
      </c>
      <c r="I51" s="199">
        <f>IFERROR(__xludf.DUMMYFUNCTION("""COMPUTED_VALUE"""),0.0)</f>
        <v>0</v>
      </c>
      <c r="J51" s="200">
        <f>IFERROR(__xludf.DUMMYFUNCTION("""COMPUTED_VALUE"""),78.0)</f>
        <v>78</v>
      </c>
      <c r="K51" s="200">
        <f>IFERROR(__xludf.DUMMYFUNCTION("""COMPUTED_VALUE"""),50.0)</f>
        <v>50</v>
      </c>
      <c r="L51" s="201" t="str">
        <f>IFERROR(__xludf.DUMMYFUNCTION("""COMPUTED_VALUE"""),"Simulation")</f>
        <v>Simulation</v>
      </c>
      <c r="M51" s="201" t="str">
        <f>IFERROR(__xludf.DUMMYFUNCTION("""COMPUTED_VALUE"""),"Exclusive")</f>
        <v>Exclusive</v>
      </c>
    </row>
    <row r="52">
      <c r="A52" s="190" t="str">
        <f>IFERROR(__xludf.DUMMYFUNCTION("""COMPUTED_VALUE"""),"Warhammer 40,000: Darktide")</f>
        <v>Warhammer 40,000: Darktide</v>
      </c>
      <c r="B52" s="195" t="str">
        <f>IFERROR(__xludf.DUMMYFUNCTION("""COMPUTED_VALUE"""),"Xbox / PC")</f>
        <v>Xbox / PC</v>
      </c>
      <c r="C52" s="196" t="str">
        <f>IFERROR(__xludf.DUMMYFUNCTION("""COMPUTED_VALUE"""),"Yes")</f>
        <v>Yes</v>
      </c>
      <c r="D52" s="196" t="str">
        <f>IFERROR(__xludf.DUMMYFUNCTION("""COMPUTED_VALUE"""),"Active")</f>
        <v>Active</v>
      </c>
      <c r="E52" s="197">
        <f>IFERROR(__xludf.DUMMYFUNCTION("""COMPUTED_VALUE"""),44895.0)</f>
        <v>44895</v>
      </c>
      <c r="F52" s="198"/>
      <c r="G52" s="199">
        <f>IFERROR(__xludf.DUMMYFUNCTION("""COMPUTED_VALUE"""),34.5)</f>
        <v>34.5</v>
      </c>
      <c r="H52" s="197">
        <f>IFERROR(__xludf.DUMMYFUNCTION("""COMPUTED_VALUE"""),44895.0)</f>
        <v>44895</v>
      </c>
      <c r="I52" s="199">
        <f>IFERROR(__xludf.DUMMYFUNCTION("""COMPUTED_VALUE"""),0.0)</f>
        <v>0</v>
      </c>
      <c r="J52" s="200">
        <f>IFERROR(__xludf.DUMMYFUNCTION("""COMPUTED_VALUE"""),78.0)</f>
        <v>78</v>
      </c>
      <c r="K52" s="200">
        <f>IFERROR(__xludf.DUMMYFUNCTION("""COMPUTED_VALUE"""),41.0)</f>
        <v>41</v>
      </c>
      <c r="L52" s="201" t="str">
        <f>IFERROR(__xludf.DUMMYFUNCTION("""COMPUTED_VALUE"""),"Action")</f>
        <v>Action</v>
      </c>
      <c r="M52" s="201" t="str">
        <f>IFERROR(__xludf.DUMMYFUNCTION("""COMPUTED_VALUE"""),"Exclusive")</f>
        <v>Exclusive</v>
      </c>
    </row>
    <row r="53">
      <c r="A53" s="190" t="str">
        <f>IFERROR(__xludf.DUMMYFUNCTION("""COMPUTED_VALUE"""),"RoadCraft")</f>
        <v>RoadCraft</v>
      </c>
      <c r="B53" s="195" t="str">
        <f>IFERROR(__xludf.DUMMYFUNCTION("""COMPUTED_VALUE"""),"Xbox")</f>
        <v>Xbox</v>
      </c>
      <c r="C53" s="196" t="str">
        <f>IFERROR(__xludf.DUMMYFUNCTION("""COMPUTED_VALUE"""),"Yes")</f>
        <v>Yes</v>
      </c>
      <c r="D53" s="196" t="str">
        <f>IFERROR(__xludf.DUMMYFUNCTION("""COMPUTED_VALUE"""),"Active")</f>
        <v>Active</v>
      </c>
      <c r="E53" s="197">
        <f>IFERROR(__xludf.DUMMYFUNCTION("""COMPUTED_VALUE"""),45916.0)</f>
        <v>45916</v>
      </c>
      <c r="F53" s="198"/>
      <c r="G53" s="199">
        <f>IFERROR(__xludf.DUMMYFUNCTION("""COMPUTED_VALUE"""),0.9666666666666668)</f>
        <v>0.9666666667</v>
      </c>
      <c r="H53" s="197">
        <f>IFERROR(__xludf.DUMMYFUNCTION("""COMPUTED_VALUE"""),45797.0)</f>
        <v>45797</v>
      </c>
      <c r="I53" s="199">
        <f>IFERROR(__xludf.DUMMYFUNCTION("""COMPUTED_VALUE"""),0.32222222222222224)</f>
        <v>0.3222222222</v>
      </c>
      <c r="J53" s="200">
        <f>IFERROR(__xludf.DUMMYFUNCTION("""COMPUTED_VALUE"""),77.0)</f>
        <v>77</v>
      </c>
      <c r="K53" s="200">
        <f>IFERROR(__xludf.DUMMYFUNCTION("""COMPUTED_VALUE"""),51.0)</f>
        <v>51</v>
      </c>
      <c r="L53" s="201" t="str">
        <f>IFERROR(__xludf.DUMMYFUNCTION("""COMPUTED_VALUE"""),"Racing")</f>
        <v>Racing</v>
      </c>
      <c r="M53" s="201" t="str">
        <f>IFERROR(__xludf.DUMMYFUNCTION("""COMPUTED_VALUE"""),"Exclusive")</f>
        <v>Exclusive</v>
      </c>
    </row>
    <row r="54">
      <c r="A54" s="190" t="str">
        <f>IFERROR(__xludf.DUMMYFUNCTION("""COMPUTED_VALUE"""),"Herdling")</f>
        <v>Herdling</v>
      </c>
      <c r="B54" s="195" t="str">
        <f>IFERROR(__xludf.DUMMYFUNCTION("""COMPUTED_VALUE"""),"Xbox / PC")</f>
        <v>Xbox / PC</v>
      </c>
      <c r="C54" s="196" t="str">
        <f>IFERROR(__xludf.DUMMYFUNCTION("""COMPUTED_VALUE"""),"Yes")</f>
        <v>Yes</v>
      </c>
      <c r="D54" s="196" t="str">
        <f>IFERROR(__xludf.DUMMYFUNCTION("""COMPUTED_VALUE"""),"Active")</f>
        <v>Active</v>
      </c>
      <c r="E54" s="197">
        <f>IFERROR(__xludf.DUMMYFUNCTION("""COMPUTED_VALUE"""),45890.0)</f>
        <v>45890</v>
      </c>
      <c r="F54" s="198"/>
      <c r="G54" s="199">
        <f>IFERROR(__xludf.DUMMYFUNCTION("""COMPUTED_VALUE"""),1.7999999999999998)</f>
        <v>1.8</v>
      </c>
      <c r="H54" s="197">
        <f>IFERROR(__xludf.DUMMYFUNCTION("""COMPUTED_VALUE"""),45890.0)</f>
        <v>45890</v>
      </c>
      <c r="I54" s="199">
        <f>IFERROR(__xludf.DUMMYFUNCTION("""COMPUTED_VALUE"""),0.0)</f>
        <v>0</v>
      </c>
      <c r="J54" s="200">
        <f>IFERROR(__xludf.DUMMYFUNCTION("""COMPUTED_VALUE"""),77.0)</f>
        <v>77</v>
      </c>
      <c r="K54" s="200">
        <f>IFERROR(__xludf.DUMMYFUNCTION("""COMPUTED_VALUE"""),4.0)</f>
        <v>4</v>
      </c>
      <c r="L54" s="201" t="str">
        <f>IFERROR(__xludf.DUMMYFUNCTION("""COMPUTED_VALUE"""),"Action-Adventure")</f>
        <v>Action-Adventure</v>
      </c>
      <c r="M54" s="201" t="str">
        <f>IFERROR(__xludf.DUMMYFUNCTION("""COMPUTED_VALUE"""),"Exclusive")</f>
        <v>Exclusive</v>
      </c>
    </row>
    <row r="55">
      <c r="A55" s="190" t="str">
        <f>IFERROR(__xludf.DUMMYFUNCTION("""COMPUTED_VALUE"""),"Revenge of the Savage Planet")</f>
        <v>Revenge of the Savage Planet</v>
      </c>
      <c r="B55" s="195" t="str">
        <f>IFERROR(__xludf.DUMMYFUNCTION("""COMPUTED_VALUE"""),"Xbox / PC")</f>
        <v>Xbox / PC</v>
      </c>
      <c r="C55" s="196" t="str">
        <f>IFERROR(__xludf.DUMMYFUNCTION("""COMPUTED_VALUE"""),"Yes")</f>
        <v>Yes</v>
      </c>
      <c r="D55" s="196" t="str">
        <f>IFERROR(__xludf.DUMMYFUNCTION("""COMPUTED_VALUE"""),"Active")</f>
        <v>Active</v>
      </c>
      <c r="E55" s="197">
        <f>IFERROR(__xludf.DUMMYFUNCTION("""COMPUTED_VALUE"""),45785.0)</f>
        <v>45785</v>
      </c>
      <c r="F55" s="198"/>
      <c r="G55" s="199">
        <f>IFERROR(__xludf.DUMMYFUNCTION("""COMPUTED_VALUE"""),5.233333333333333)</f>
        <v>5.233333333</v>
      </c>
      <c r="H55" s="197">
        <f>IFERROR(__xludf.DUMMYFUNCTION("""COMPUTED_VALUE"""),45785.0)</f>
        <v>45785</v>
      </c>
      <c r="I55" s="199">
        <f>IFERROR(__xludf.DUMMYFUNCTION("""COMPUTED_VALUE"""),0.0)</f>
        <v>0</v>
      </c>
      <c r="J55" s="200">
        <f>IFERROR(__xludf.DUMMYFUNCTION("""COMPUTED_VALUE"""),77.0)</f>
        <v>77</v>
      </c>
      <c r="K55" s="200">
        <f>IFERROR(__xludf.DUMMYFUNCTION("""COMPUTED_VALUE"""),9.0)</f>
        <v>9</v>
      </c>
      <c r="L55" s="201" t="str">
        <f>IFERROR(__xludf.DUMMYFUNCTION("""COMPUTED_VALUE"""),"Action-Adventure")</f>
        <v>Action-Adventure</v>
      </c>
      <c r="M55" s="201" t="str">
        <f>IFERROR(__xludf.DUMMYFUNCTION("""COMPUTED_VALUE"""),"Exclusive")</f>
        <v>Exclusive</v>
      </c>
    </row>
    <row r="56">
      <c r="A56" s="190" t="str">
        <f>IFERROR(__xludf.DUMMYFUNCTION("""COMPUTED_VALUE"""),"South of Midnight")</f>
        <v>South of Midnight</v>
      </c>
      <c r="B56" s="195" t="str">
        <f>IFERROR(__xludf.DUMMYFUNCTION("""COMPUTED_VALUE"""),"Xbox / PC")</f>
        <v>Xbox / PC</v>
      </c>
      <c r="C56" s="196"/>
      <c r="D56" s="196" t="str">
        <f>IFERROR(__xludf.DUMMYFUNCTION("""COMPUTED_VALUE"""),"Active")</f>
        <v>Active</v>
      </c>
      <c r="E56" s="197">
        <f>IFERROR(__xludf.DUMMYFUNCTION("""COMPUTED_VALUE"""),45755.0)</f>
        <v>45755</v>
      </c>
      <c r="F56" s="198"/>
      <c r="G56" s="199">
        <f>IFERROR(__xludf.DUMMYFUNCTION("""COMPUTED_VALUE"""),6.233333333333334)</f>
        <v>6.233333333</v>
      </c>
      <c r="H56" s="197">
        <f>IFERROR(__xludf.DUMMYFUNCTION("""COMPUTED_VALUE"""),45755.0)</f>
        <v>45755</v>
      </c>
      <c r="I56" s="199">
        <f>IFERROR(__xludf.DUMMYFUNCTION("""COMPUTED_VALUE"""),0.0)</f>
        <v>0</v>
      </c>
      <c r="J56" s="200">
        <f>IFERROR(__xludf.DUMMYFUNCTION("""COMPUTED_VALUE"""),77.0)</f>
        <v>77</v>
      </c>
      <c r="K56" s="200">
        <f>IFERROR(__xludf.DUMMYFUNCTION("""COMPUTED_VALUE"""),10.0)</f>
        <v>10</v>
      </c>
      <c r="L56" s="201" t="str">
        <f>IFERROR(__xludf.DUMMYFUNCTION("""COMPUTED_VALUE"""),"Action-Adventure")</f>
        <v>Action-Adventure</v>
      </c>
      <c r="M56" s="201" t="str">
        <f>IFERROR(__xludf.DUMMYFUNCTION("""COMPUTED_VALUE"""),"Exclusive")</f>
        <v>Exclusive</v>
      </c>
    </row>
    <row r="57">
      <c r="A57" s="190" t="str">
        <f>IFERROR(__xludf.DUMMYFUNCTION("""COMPUTED_VALUE"""),"Need for Speed: Unbound")</f>
        <v>Need for Speed: Unbound</v>
      </c>
      <c r="B57" s="195" t="str">
        <f>IFERROR(__xludf.DUMMYFUNCTION("""COMPUTED_VALUE"""),"Xbox / PC")</f>
        <v>Xbox / PC</v>
      </c>
      <c r="C57" s="196" t="str">
        <f>IFERROR(__xludf.DUMMYFUNCTION("""COMPUTED_VALUE"""),"Yes")</f>
        <v>Yes</v>
      </c>
      <c r="D57" s="196" t="str">
        <f>IFERROR(__xludf.DUMMYFUNCTION("""COMPUTED_VALUE"""),"Active")</f>
        <v>Active</v>
      </c>
      <c r="E57" s="197">
        <f>IFERROR(__xludf.DUMMYFUNCTION("""COMPUTED_VALUE"""),45099.0)</f>
        <v>45099</v>
      </c>
      <c r="F57" s="198"/>
      <c r="G57" s="199">
        <f>IFERROR(__xludf.DUMMYFUNCTION("""COMPUTED_VALUE"""),27.76666666666667)</f>
        <v>27.76666667</v>
      </c>
      <c r="H57" s="197">
        <f>IFERROR(__xludf.DUMMYFUNCTION("""COMPUTED_VALUE"""),44894.0)</f>
        <v>44894</v>
      </c>
      <c r="I57" s="199">
        <f>IFERROR(__xludf.DUMMYFUNCTION("""COMPUTED_VALUE"""),0.5638888888888889)</f>
        <v>0.5638888889</v>
      </c>
      <c r="J57" s="200">
        <f>IFERROR(__xludf.DUMMYFUNCTION("""COMPUTED_VALUE"""),77.0)</f>
        <v>77</v>
      </c>
      <c r="K57" s="200">
        <f>IFERROR(__xludf.DUMMYFUNCTION("""COMPUTED_VALUE"""),23.0)</f>
        <v>23</v>
      </c>
      <c r="L57" s="201" t="str">
        <f>IFERROR(__xludf.DUMMYFUNCTION("""COMPUTED_VALUE"""),"Driving/Racing")</f>
        <v>Driving/Racing</v>
      </c>
      <c r="M57" s="201" t="str">
        <f>IFERROR(__xludf.DUMMYFUNCTION("""COMPUTED_VALUE"""),"Exclusive")</f>
        <v>Exclusive</v>
      </c>
    </row>
    <row r="58">
      <c r="A58" s="190" t="str">
        <f>IFERROR(__xludf.DUMMYFUNCTION("""COMPUTED_VALUE"""),"Crime Scene Cleaner")</f>
        <v>Crime Scene Cleaner</v>
      </c>
      <c r="B58" s="195" t="str">
        <f>IFERROR(__xludf.DUMMYFUNCTION("""COMPUTED_VALUE"""),"Xbox / PC")</f>
        <v>Xbox / PC</v>
      </c>
      <c r="C58" s="196" t="str">
        <f>IFERROR(__xludf.DUMMYFUNCTION("""COMPUTED_VALUE"""),"Yes")</f>
        <v>Yes</v>
      </c>
      <c r="D58" s="196" t="str">
        <f>IFERROR(__xludf.DUMMYFUNCTION("""COMPUTED_VALUE"""),"Active")</f>
        <v>Active</v>
      </c>
      <c r="E58" s="197">
        <f>IFERROR(__xludf.DUMMYFUNCTION("""COMPUTED_VALUE"""),45764.0)</f>
        <v>45764</v>
      </c>
      <c r="F58" s="198"/>
      <c r="G58" s="199">
        <f>IFERROR(__xludf.DUMMYFUNCTION("""COMPUTED_VALUE"""),5.933333333333334)</f>
        <v>5.933333333</v>
      </c>
      <c r="H58" s="197">
        <f>IFERROR(__xludf.DUMMYFUNCTION("""COMPUTED_VALUE"""),45518.0)</f>
        <v>45518</v>
      </c>
      <c r="I58" s="199">
        <f>IFERROR(__xludf.DUMMYFUNCTION("""COMPUTED_VALUE"""),0.675)</f>
        <v>0.675</v>
      </c>
      <c r="J58" s="200">
        <f>IFERROR(__xludf.DUMMYFUNCTION("""COMPUTED_VALUE"""),76.66666666666667)</f>
        <v>76.66666667</v>
      </c>
      <c r="K58" s="200">
        <f>IFERROR(__xludf.DUMMYFUNCTION("""COMPUTED_VALUE"""),13.0)</f>
        <v>13</v>
      </c>
      <c r="L58" s="201" t="str">
        <f>IFERROR(__xludf.DUMMYFUNCTION("""COMPUTED_VALUE"""),"Simulation")</f>
        <v>Simulation</v>
      </c>
      <c r="M58" s="201" t="str">
        <f>IFERROR(__xludf.DUMMYFUNCTION("""COMPUTED_VALUE"""),"Exclusive")</f>
        <v>Exclusive</v>
      </c>
    </row>
    <row r="59">
      <c r="A59" s="190" t="str">
        <f>IFERROR(__xludf.DUMMYFUNCTION("""COMPUTED_VALUE"""),"Warhammer 40,000: Space Marine - Master Crafted Edition")</f>
        <v>Warhammer 40,000: Space Marine - Master Crafted Edition</v>
      </c>
      <c r="B59" s="195" t="str">
        <f>IFERROR(__xludf.DUMMYFUNCTION("""COMPUTED_VALUE"""),"Xbox / PC")</f>
        <v>Xbox / PC</v>
      </c>
      <c r="C59" s="196" t="str">
        <f>IFERROR(__xludf.DUMMYFUNCTION("""COMPUTED_VALUE"""),"Yes")</f>
        <v>Yes</v>
      </c>
      <c r="D59" s="196" t="str">
        <f>IFERROR(__xludf.DUMMYFUNCTION("""COMPUTED_VALUE"""),"Active")</f>
        <v>Active</v>
      </c>
      <c r="E59" s="197">
        <f>IFERROR(__xludf.DUMMYFUNCTION("""COMPUTED_VALUE"""),45818.0)</f>
        <v>45818</v>
      </c>
      <c r="F59" s="198"/>
      <c r="G59" s="199">
        <f>IFERROR(__xludf.DUMMYFUNCTION("""COMPUTED_VALUE"""),4.166666666666666)</f>
        <v>4.166666667</v>
      </c>
      <c r="H59" s="197">
        <f>IFERROR(__xludf.DUMMYFUNCTION("""COMPUTED_VALUE"""),40792.0)</f>
        <v>40792</v>
      </c>
      <c r="I59" s="199">
        <f>IFERROR(__xludf.DUMMYFUNCTION("""COMPUTED_VALUE"""),13.761111111111111)</f>
        <v>13.76111111</v>
      </c>
      <c r="J59" s="200">
        <f>IFERROR(__xludf.DUMMYFUNCTION("""COMPUTED_VALUE"""),76.0)</f>
        <v>76</v>
      </c>
      <c r="K59" s="200">
        <f>IFERROR(__xludf.DUMMYFUNCTION("""COMPUTED_VALUE"""),8.0)</f>
        <v>8</v>
      </c>
      <c r="L59" s="201" t="str">
        <f>IFERROR(__xludf.DUMMYFUNCTION("""COMPUTED_VALUE"""),"Shooter")</f>
        <v>Shooter</v>
      </c>
      <c r="M59" s="201" t="str">
        <f>IFERROR(__xludf.DUMMYFUNCTION("""COMPUTED_VALUE"""),"Exclusive")</f>
        <v>Exclusive</v>
      </c>
    </row>
    <row r="60">
      <c r="A60" s="190" t="str">
        <f>IFERROR(__xludf.DUMMYFUNCTION("""COMPUTED_VALUE"""),"Tales of Kenzera: ZAU")</f>
        <v>Tales of Kenzera: ZAU</v>
      </c>
      <c r="B60" s="195" t="str">
        <f>IFERROR(__xludf.DUMMYFUNCTION("""COMPUTED_VALUE"""),"Xbox / PC")</f>
        <v>Xbox / PC</v>
      </c>
      <c r="C60" s="196" t="str">
        <f>IFERROR(__xludf.DUMMYFUNCTION("""COMPUTED_VALUE"""),"Yes")</f>
        <v>Yes</v>
      </c>
      <c r="D60" s="196" t="str">
        <f>IFERROR(__xludf.DUMMYFUNCTION("""COMPUTED_VALUE"""),"Active")</f>
        <v>Active</v>
      </c>
      <c r="E60" s="197">
        <f>IFERROR(__xludf.DUMMYFUNCTION("""COMPUTED_VALUE"""),45799.0)</f>
        <v>45799</v>
      </c>
      <c r="F60" s="198"/>
      <c r="G60" s="199">
        <f>IFERROR(__xludf.DUMMYFUNCTION("""COMPUTED_VALUE"""),4.766666666666667)</f>
        <v>4.766666667</v>
      </c>
      <c r="H60" s="197">
        <f>IFERROR(__xludf.DUMMYFUNCTION("""COMPUTED_VALUE"""),45405.0)</f>
        <v>45405</v>
      </c>
      <c r="I60" s="199">
        <f>IFERROR(__xludf.DUMMYFUNCTION("""COMPUTED_VALUE"""),1.0805555555555555)</f>
        <v>1.080555556</v>
      </c>
      <c r="J60" s="200">
        <f>IFERROR(__xludf.DUMMYFUNCTION("""COMPUTED_VALUE"""),76.0)</f>
        <v>76</v>
      </c>
      <c r="K60" s="200">
        <f>IFERROR(__xludf.DUMMYFUNCTION("""COMPUTED_VALUE"""),8.0)</f>
        <v>8</v>
      </c>
      <c r="L60" s="201" t="str">
        <f>IFERROR(__xludf.DUMMYFUNCTION("""COMPUTED_VALUE"""),"Metroidvania ")</f>
        <v>Metroidvania </v>
      </c>
      <c r="M60" s="201" t="str">
        <f>IFERROR(__xludf.DUMMYFUNCTION("""COMPUTED_VALUE"""),"Exclusive")</f>
        <v>Exclusive</v>
      </c>
    </row>
    <row r="61">
      <c r="A61" s="190" t="str">
        <f>IFERROR(__xludf.DUMMYFUNCTION("""COMPUTED_VALUE"""),"Commandos: Origins")</f>
        <v>Commandos: Origins</v>
      </c>
      <c r="B61" s="195" t="str">
        <f>IFERROR(__xludf.DUMMYFUNCTION("""COMPUTED_VALUE"""),"Xbox / PC")</f>
        <v>Xbox / PC</v>
      </c>
      <c r="C61" s="196" t="str">
        <f>IFERROR(__xludf.DUMMYFUNCTION("""COMPUTED_VALUE"""),"Yes")</f>
        <v>Yes</v>
      </c>
      <c r="D61" s="196" t="str">
        <f>IFERROR(__xludf.DUMMYFUNCTION("""COMPUTED_VALUE"""),"Active")</f>
        <v>Active</v>
      </c>
      <c r="E61" s="197">
        <f>IFERROR(__xludf.DUMMYFUNCTION("""COMPUTED_VALUE"""),45756.0)</f>
        <v>45756</v>
      </c>
      <c r="F61" s="198"/>
      <c r="G61" s="199">
        <f>IFERROR(__xludf.DUMMYFUNCTION("""COMPUTED_VALUE"""),6.200000000000001)</f>
        <v>6.2</v>
      </c>
      <c r="H61" s="197">
        <f>IFERROR(__xludf.DUMMYFUNCTION("""COMPUTED_VALUE"""),45756.0)</f>
        <v>45756</v>
      </c>
      <c r="I61" s="199">
        <f>IFERROR(__xludf.DUMMYFUNCTION("""COMPUTED_VALUE"""),0.0)</f>
        <v>0</v>
      </c>
      <c r="J61" s="200">
        <f>IFERROR(__xludf.DUMMYFUNCTION("""COMPUTED_VALUE"""),76.0)</f>
        <v>76</v>
      </c>
      <c r="K61" s="200">
        <f>IFERROR(__xludf.DUMMYFUNCTION("""COMPUTED_VALUE"""),31.0)</f>
        <v>31</v>
      </c>
      <c r="L61" s="201" t="str">
        <f>IFERROR(__xludf.DUMMYFUNCTION("""COMPUTED_VALUE"""),"Strategy")</f>
        <v>Strategy</v>
      </c>
      <c r="M61" s="201" t="str">
        <f>IFERROR(__xludf.DUMMYFUNCTION("""COMPUTED_VALUE"""),"Exclusive")</f>
        <v>Exclusive</v>
      </c>
    </row>
    <row r="62">
      <c r="A62" s="190" t="str">
        <f>IFERROR(__xludf.DUMMYFUNCTION("""COMPUTED_VALUE"""),"EA Sports PGA Tour")</f>
        <v>EA Sports PGA Tour</v>
      </c>
      <c r="B62" s="195" t="str">
        <f>IFERROR(__xludf.DUMMYFUNCTION("""COMPUTED_VALUE"""),"Xbox / PC")</f>
        <v>Xbox / PC</v>
      </c>
      <c r="C62" s="196" t="str">
        <f>IFERROR(__xludf.DUMMYFUNCTION("""COMPUTED_VALUE"""),"Yes")</f>
        <v>Yes</v>
      </c>
      <c r="D62" s="196" t="str">
        <f>IFERROR(__xludf.DUMMYFUNCTION("""COMPUTED_VALUE"""),"Active")</f>
        <v>Active</v>
      </c>
      <c r="E62" s="197">
        <f>IFERROR(__xludf.DUMMYFUNCTION("""COMPUTED_VALUE"""),45386.0)</f>
        <v>45386</v>
      </c>
      <c r="F62" s="198"/>
      <c r="G62" s="199">
        <f>IFERROR(__xludf.DUMMYFUNCTION("""COMPUTED_VALUE"""),18.366666666666667)</f>
        <v>18.36666667</v>
      </c>
      <c r="H62" s="197">
        <f>IFERROR(__xludf.DUMMYFUNCTION("""COMPUTED_VALUE"""),45020.0)</f>
        <v>45020</v>
      </c>
      <c r="I62" s="199">
        <f>IFERROR(__xludf.DUMMYFUNCTION("""COMPUTED_VALUE"""),1.0)</f>
        <v>1</v>
      </c>
      <c r="J62" s="200">
        <f>IFERROR(__xludf.DUMMYFUNCTION("""COMPUTED_VALUE"""),76.0)</f>
        <v>76</v>
      </c>
      <c r="K62" s="200"/>
      <c r="L62" s="201" t="str">
        <f>IFERROR(__xludf.DUMMYFUNCTION("""COMPUTED_VALUE"""),"Sports")</f>
        <v>Sports</v>
      </c>
      <c r="M62" s="201" t="str">
        <f>IFERROR(__xludf.DUMMYFUNCTION("""COMPUTED_VALUE"""),"Exclusive")</f>
        <v>Exclusive</v>
      </c>
    </row>
    <row r="63">
      <c r="A63" s="190" t="str">
        <f>IFERROR(__xludf.DUMMYFUNCTION("""COMPUTED_VALUE"""),"Ghostwire: Tokyo")</f>
        <v>Ghostwire: Tokyo</v>
      </c>
      <c r="B63" s="195" t="str">
        <f>IFERROR(__xludf.DUMMYFUNCTION("""COMPUTED_VALUE"""),"Xbox / PC")</f>
        <v>Xbox / PC</v>
      </c>
      <c r="C63" s="196" t="str">
        <f>IFERROR(__xludf.DUMMYFUNCTION("""COMPUTED_VALUE"""),"Yes")</f>
        <v>Yes</v>
      </c>
      <c r="D63" s="196" t="str">
        <f>IFERROR(__xludf.DUMMYFUNCTION("""COMPUTED_VALUE"""),"Active")</f>
        <v>Active</v>
      </c>
      <c r="E63" s="197">
        <f>IFERROR(__xludf.DUMMYFUNCTION("""COMPUTED_VALUE"""),45028.0)</f>
        <v>45028</v>
      </c>
      <c r="F63" s="198"/>
      <c r="G63" s="199">
        <f>IFERROR(__xludf.DUMMYFUNCTION("""COMPUTED_VALUE"""),30.1)</f>
        <v>30.1</v>
      </c>
      <c r="H63" s="197">
        <f>IFERROR(__xludf.DUMMYFUNCTION("""COMPUTED_VALUE"""),44645.0)</f>
        <v>44645</v>
      </c>
      <c r="I63" s="199">
        <f>IFERROR(__xludf.DUMMYFUNCTION("""COMPUTED_VALUE"""),1.0472222222222223)</f>
        <v>1.047222222</v>
      </c>
      <c r="J63" s="200">
        <f>IFERROR(__xludf.DUMMYFUNCTION("""COMPUTED_VALUE"""),76.0)</f>
        <v>76</v>
      </c>
      <c r="K63" s="200">
        <f>IFERROR(__xludf.DUMMYFUNCTION("""COMPUTED_VALUE"""),11.0)</f>
        <v>11</v>
      </c>
      <c r="L63" s="201" t="str">
        <f>IFERROR(__xludf.DUMMYFUNCTION("""COMPUTED_VALUE"""),"Action-Adventure")</f>
        <v>Action-Adventure</v>
      </c>
      <c r="M63" s="201" t="str">
        <f>IFERROR(__xludf.DUMMYFUNCTION("""COMPUTED_VALUE"""),"Exclusive")</f>
        <v>Exclusive</v>
      </c>
    </row>
    <row r="64">
      <c r="A64" s="190" t="str">
        <f>IFERROR(__xludf.DUMMYFUNCTION("""COMPUTED_VALUE"""),"Visions of Mana")</f>
        <v>Visions of Mana</v>
      </c>
      <c r="B64" s="195" t="str">
        <f>IFERROR(__xludf.DUMMYFUNCTION("""COMPUTED_VALUE"""),"Xbox / PC")</f>
        <v>Xbox / PC</v>
      </c>
      <c r="C64" s="196" t="str">
        <f>IFERROR(__xludf.DUMMYFUNCTION("""COMPUTED_VALUE"""),"Yes")</f>
        <v>Yes</v>
      </c>
      <c r="D64" s="196" t="str">
        <f>IFERROR(__xludf.DUMMYFUNCTION("""COMPUTED_VALUE"""),"Active")</f>
        <v>Active</v>
      </c>
      <c r="E64" s="197">
        <f>IFERROR(__xludf.DUMMYFUNCTION("""COMPUTED_VALUE"""),45925.0)</f>
        <v>45925</v>
      </c>
      <c r="F64" s="198"/>
      <c r="G64" s="199">
        <f>IFERROR(__xludf.DUMMYFUNCTION("""COMPUTED_VALUE"""),0.6666666666666666)</f>
        <v>0.6666666667</v>
      </c>
      <c r="H64" s="197">
        <f>IFERROR(__xludf.DUMMYFUNCTION("""COMPUTED_VALUE"""),45533.0)</f>
        <v>45533</v>
      </c>
      <c r="I64" s="199">
        <f>IFERROR(__xludf.DUMMYFUNCTION("""COMPUTED_VALUE"""),1.0722222222222222)</f>
        <v>1.072222222</v>
      </c>
      <c r="J64" s="200">
        <f>IFERROR(__xludf.DUMMYFUNCTION("""COMPUTED_VALUE"""),75.0)</f>
        <v>75</v>
      </c>
      <c r="K64" s="200">
        <f>IFERROR(__xludf.DUMMYFUNCTION("""COMPUTED_VALUE"""),29.0)</f>
        <v>29</v>
      </c>
      <c r="L64" s="201" t="str">
        <f>IFERROR(__xludf.DUMMYFUNCTION("""COMPUTED_VALUE"""),"RPG")</f>
        <v>RPG</v>
      </c>
      <c r="M64" s="201" t="str">
        <f>IFERROR(__xludf.DUMMYFUNCTION("""COMPUTED_VALUE"""),"Exclusive")</f>
        <v>Exclusive</v>
      </c>
    </row>
    <row r="65">
      <c r="A65" s="190" t="str">
        <f>IFERROR(__xludf.DUMMYFUNCTION("""COMPUTED_VALUE"""),"Creatures of Ava")</f>
        <v>Creatures of Ava</v>
      </c>
      <c r="B65" s="195" t="str">
        <f>IFERROR(__xludf.DUMMYFUNCTION("""COMPUTED_VALUE"""),"Xbox / PC")</f>
        <v>Xbox / PC</v>
      </c>
      <c r="C65" s="196" t="str">
        <f>IFERROR(__xludf.DUMMYFUNCTION("""COMPUTED_VALUE"""),"Yes")</f>
        <v>Yes</v>
      </c>
      <c r="D65" s="196" t="str">
        <f>IFERROR(__xludf.DUMMYFUNCTION("""COMPUTED_VALUE"""),"Active")</f>
        <v>Active</v>
      </c>
      <c r="E65" s="197">
        <f>IFERROR(__xludf.DUMMYFUNCTION("""COMPUTED_VALUE"""),45511.0)</f>
        <v>45511</v>
      </c>
      <c r="F65" s="198"/>
      <c r="G65" s="199">
        <f>IFERROR(__xludf.DUMMYFUNCTION("""COMPUTED_VALUE"""),14.266666666666666)</f>
        <v>14.26666667</v>
      </c>
      <c r="H65" s="197">
        <f>IFERROR(__xludf.DUMMYFUNCTION("""COMPUTED_VALUE"""),45511.0)</f>
        <v>45511</v>
      </c>
      <c r="I65" s="199">
        <f>IFERROR(__xludf.DUMMYFUNCTION("""COMPUTED_VALUE"""),0.0)</f>
        <v>0</v>
      </c>
      <c r="J65" s="200">
        <f>IFERROR(__xludf.DUMMYFUNCTION("""COMPUTED_VALUE"""),75.0)</f>
        <v>75</v>
      </c>
      <c r="K65" s="200">
        <f>IFERROR(__xludf.DUMMYFUNCTION("""COMPUTED_VALUE"""),9.0)</f>
        <v>9</v>
      </c>
      <c r="L65" s="201" t="str">
        <f>IFERROR(__xludf.DUMMYFUNCTION("""COMPUTED_VALUE"""),"Action-Adventure")</f>
        <v>Action-Adventure</v>
      </c>
      <c r="M65" s="201" t="str">
        <f>IFERROR(__xludf.DUMMYFUNCTION("""COMPUTED_VALUE"""),"Exclusive")</f>
        <v>Exclusive</v>
      </c>
    </row>
    <row r="66">
      <c r="A66" s="190" t="str">
        <f>IFERROR(__xludf.DUMMYFUNCTION("""COMPUTED_VALUE"""),"Lords of the Fallen")</f>
        <v>Lords of the Fallen</v>
      </c>
      <c r="B66" s="195" t="str">
        <f>IFERROR(__xludf.DUMMYFUNCTION("""COMPUTED_VALUE"""),"Xbox / PC")</f>
        <v>Xbox / PC</v>
      </c>
      <c r="C66" s="196" t="str">
        <f>IFERROR(__xludf.DUMMYFUNCTION("""COMPUTED_VALUE"""),"Yes")</f>
        <v>Yes</v>
      </c>
      <c r="D66" s="196" t="str">
        <f>IFERROR(__xludf.DUMMYFUNCTION("""COMPUTED_VALUE"""),"Active")</f>
        <v>Active</v>
      </c>
      <c r="E66" s="197">
        <f>IFERROR(__xludf.DUMMYFUNCTION("""COMPUTED_VALUE"""),45442.0)</f>
        <v>45442</v>
      </c>
      <c r="F66" s="198"/>
      <c r="G66" s="199">
        <f>IFERROR(__xludf.DUMMYFUNCTION("""COMPUTED_VALUE"""),16.5)</f>
        <v>16.5</v>
      </c>
      <c r="H66" s="197">
        <f>IFERROR(__xludf.DUMMYFUNCTION("""COMPUTED_VALUE"""),45212.0)</f>
        <v>45212</v>
      </c>
      <c r="I66" s="199">
        <f>IFERROR(__xludf.DUMMYFUNCTION("""COMPUTED_VALUE"""),0.6305555555555555)</f>
        <v>0.6305555556</v>
      </c>
      <c r="J66" s="200">
        <f>IFERROR(__xludf.DUMMYFUNCTION("""COMPUTED_VALUE"""),75.0)</f>
        <v>75</v>
      </c>
      <c r="K66" s="200">
        <f>IFERROR(__xludf.DUMMYFUNCTION("""COMPUTED_VALUE"""),15.0)</f>
        <v>15</v>
      </c>
      <c r="L66" s="201" t="str">
        <f>IFERROR(__xludf.DUMMYFUNCTION("""COMPUTED_VALUE"""),"RPG")</f>
        <v>RPG</v>
      </c>
      <c r="M66" s="201" t="str">
        <f>IFERROR(__xludf.DUMMYFUNCTION("""COMPUTED_VALUE"""),"Exclusive")</f>
        <v>Exclusive</v>
      </c>
    </row>
    <row r="67">
      <c r="A67" s="190" t="str">
        <f>IFERROR(__xludf.DUMMYFUNCTION("""COMPUTED_VALUE"""),"WUCHANG: Fallen Feathers")</f>
        <v>WUCHANG: Fallen Feathers</v>
      </c>
      <c r="B67" s="195" t="str">
        <f>IFERROR(__xludf.DUMMYFUNCTION("""COMPUTED_VALUE"""),"Xbox / PC")</f>
        <v>Xbox / PC</v>
      </c>
      <c r="C67" s="196" t="str">
        <f>IFERROR(__xludf.DUMMYFUNCTION("""COMPUTED_VALUE"""),"Yes")</f>
        <v>Yes</v>
      </c>
      <c r="D67" s="196" t="str">
        <f>IFERROR(__xludf.DUMMYFUNCTION("""COMPUTED_VALUE"""),"Active")</f>
        <v>Active</v>
      </c>
      <c r="E67" s="197">
        <f>IFERROR(__xludf.DUMMYFUNCTION("""COMPUTED_VALUE"""),45862.0)</f>
        <v>45862</v>
      </c>
      <c r="F67" s="198"/>
      <c r="G67" s="199">
        <f>IFERROR(__xludf.DUMMYFUNCTION("""COMPUTED_VALUE"""),2.7)</f>
        <v>2.7</v>
      </c>
      <c r="H67" s="197">
        <f>IFERROR(__xludf.DUMMYFUNCTION("""COMPUTED_VALUE"""),45862.0)</f>
        <v>45862</v>
      </c>
      <c r="I67" s="199">
        <f>IFERROR(__xludf.DUMMYFUNCTION("""COMPUTED_VALUE"""),0.0)</f>
        <v>0</v>
      </c>
      <c r="J67" s="200">
        <f>IFERROR(__xludf.DUMMYFUNCTION("""COMPUTED_VALUE"""),74.0)</f>
        <v>74</v>
      </c>
      <c r="K67" s="200">
        <f>IFERROR(__xludf.DUMMYFUNCTION("""COMPUTED_VALUE"""),32.0)</f>
        <v>32</v>
      </c>
      <c r="L67" s="201" t="str">
        <f>IFERROR(__xludf.DUMMYFUNCTION("""COMPUTED_VALUE"""),"RPG")</f>
        <v>RPG</v>
      </c>
      <c r="M67" s="201" t="str">
        <f>IFERROR(__xludf.DUMMYFUNCTION("""COMPUTED_VALUE"""),"Exclusive")</f>
        <v>Exclusive</v>
      </c>
    </row>
    <row r="68">
      <c r="A68" s="190" t="str">
        <f>IFERROR(__xludf.DUMMYFUNCTION("""COMPUTED_VALUE"""),"Still Wakes the Deep")</f>
        <v>Still Wakes the Deep</v>
      </c>
      <c r="B68" s="195" t="str">
        <f>IFERROR(__xludf.DUMMYFUNCTION("""COMPUTED_VALUE"""),"Xbox / PC")</f>
        <v>Xbox / PC</v>
      </c>
      <c r="C68" s="196" t="str">
        <f>IFERROR(__xludf.DUMMYFUNCTION("""COMPUTED_VALUE"""),"Yes")</f>
        <v>Yes</v>
      </c>
      <c r="D68" s="196" t="str">
        <f>IFERROR(__xludf.DUMMYFUNCTION("""COMPUTED_VALUE"""),"Active")</f>
        <v>Active</v>
      </c>
      <c r="E68" s="197">
        <f>IFERROR(__xludf.DUMMYFUNCTION("""COMPUTED_VALUE"""),45461.0)</f>
        <v>45461</v>
      </c>
      <c r="F68" s="198"/>
      <c r="G68" s="199">
        <f>IFERROR(__xludf.DUMMYFUNCTION("""COMPUTED_VALUE"""),15.899999999999999)</f>
        <v>15.9</v>
      </c>
      <c r="H68" s="197">
        <f>IFERROR(__xludf.DUMMYFUNCTION("""COMPUTED_VALUE"""),45461.0)</f>
        <v>45461</v>
      </c>
      <c r="I68" s="199">
        <f>IFERROR(__xludf.DUMMYFUNCTION("""COMPUTED_VALUE"""),0.0)</f>
        <v>0</v>
      </c>
      <c r="J68" s="200">
        <f>IFERROR(__xludf.DUMMYFUNCTION("""COMPUTED_VALUE"""),74.0)</f>
        <v>74</v>
      </c>
      <c r="K68" s="200">
        <f>IFERROR(__xludf.DUMMYFUNCTION("""COMPUTED_VALUE"""),5.0)</f>
        <v>5</v>
      </c>
      <c r="L68" s="201" t="str">
        <f>IFERROR(__xludf.DUMMYFUNCTION("""COMPUTED_VALUE"""),"Survival")</f>
        <v>Survival</v>
      </c>
      <c r="M68" s="201" t="str">
        <f>IFERROR(__xludf.DUMMYFUNCTION("""COMPUTED_VALUE"""),"Exclusive")</f>
        <v>Exclusive</v>
      </c>
    </row>
    <row r="69">
      <c r="A69" s="190" t="str">
        <f>IFERROR(__xludf.DUMMYFUNCTION("""COMPUTED_VALUE"""),"To a T")</f>
        <v>To a T</v>
      </c>
      <c r="B69" s="195" t="str">
        <f>IFERROR(__xludf.DUMMYFUNCTION("""COMPUTED_VALUE"""),"Xbox / PC")</f>
        <v>Xbox / PC</v>
      </c>
      <c r="C69" s="196" t="str">
        <f>IFERROR(__xludf.DUMMYFUNCTION("""COMPUTED_VALUE"""),"Yes")</f>
        <v>Yes</v>
      </c>
      <c r="D69" s="196" t="str">
        <f>IFERROR(__xludf.DUMMYFUNCTION("""COMPUTED_VALUE"""),"Active")</f>
        <v>Active</v>
      </c>
      <c r="E69" s="197">
        <f>IFERROR(__xludf.DUMMYFUNCTION("""COMPUTED_VALUE"""),45805.0)</f>
        <v>45805</v>
      </c>
      <c r="F69" s="198"/>
      <c r="G69" s="199">
        <f>IFERROR(__xludf.DUMMYFUNCTION("""COMPUTED_VALUE"""),4.566666666666666)</f>
        <v>4.566666667</v>
      </c>
      <c r="H69" s="197">
        <f>IFERROR(__xludf.DUMMYFUNCTION("""COMPUTED_VALUE"""),45805.0)</f>
        <v>45805</v>
      </c>
      <c r="I69" s="199">
        <f>IFERROR(__xludf.DUMMYFUNCTION("""COMPUTED_VALUE"""),0.0)</f>
        <v>0</v>
      </c>
      <c r="J69" s="200">
        <f>IFERROR(__xludf.DUMMYFUNCTION("""COMPUTED_VALUE"""),73.0)</f>
        <v>73</v>
      </c>
      <c r="K69" s="200">
        <f>IFERROR(__xludf.DUMMYFUNCTION("""COMPUTED_VALUE"""),6.0)</f>
        <v>6</v>
      </c>
      <c r="L69" s="201" t="str">
        <f>IFERROR(__xludf.DUMMYFUNCTION("""COMPUTED_VALUE"""),"Action-Adventure")</f>
        <v>Action-Adventure</v>
      </c>
      <c r="M69" s="201" t="str">
        <f>IFERROR(__xludf.DUMMYFUNCTION("""COMPUTED_VALUE"""),"Exclusive")</f>
        <v>Exclusive</v>
      </c>
    </row>
    <row r="70">
      <c r="A70" s="190" t="str">
        <f>IFERROR(__xludf.DUMMYFUNCTION("""COMPUTED_VALUE"""),"S.T.A.L.K.E.R. 2: Heart of Chornobyl")</f>
        <v>S.T.A.L.K.E.R. 2: Heart of Chornobyl</v>
      </c>
      <c r="B70" s="195" t="str">
        <f>IFERROR(__xludf.DUMMYFUNCTION("""COMPUTED_VALUE"""),"Xbox / PC")</f>
        <v>Xbox / PC</v>
      </c>
      <c r="C70" s="196" t="str">
        <f>IFERROR(__xludf.DUMMYFUNCTION("""COMPUTED_VALUE"""),"Yes")</f>
        <v>Yes</v>
      </c>
      <c r="D70" s="196" t="str">
        <f>IFERROR(__xludf.DUMMYFUNCTION("""COMPUTED_VALUE"""),"Active")</f>
        <v>Active</v>
      </c>
      <c r="E70" s="197">
        <f>IFERROR(__xludf.DUMMYFUNCTION("""COMPUTED_VALUE"""),45616.0)</f>
        <v>45616</v>
      </c>
      <c r="F70" s="198"/>
      <c r="G70" s="199">
        <f>IFERROR(__xludf.DUMMYFUNCTION("""COMPUTED_VALUE"""),10.833333333333334)</f>
        <v>10.83333333</v>
      </c>
      <c r="H70" s="197">
        <f>IFERROR(__xludf.DUMMYFUNCTION("""COMPUTED_VALUE"""),45616.0)</f>
        <v>45616</v>
      </c>
      <c r="I70" s="199">
        <f>IFERROR(__xludf.DUMMYFUNCTION("""COMPUTED_VALUE"""),0.0)</f>
        <v>0</v>
      </c>
      <c r="J70" s="200">
        <f>IFERROR(__xludf.DUMMYFUNCTION("""COMPUTED_VALUE"""),73.0)</f>
        <v>73</v>
      </c>
      <c r="K70" s="200">
        <f>IFERROR(__xludf.DUMMYFUNCTION("""COMPUTED_VALUE"""),31.0)</f>
        <v>31</v>
      </c>
      <c r="L70" s="201" t="str">
        <f>IFERROR(__xludf.DUMMYFUNCTION("""COMPUTED_VALUE"""),"Action-Adventure")</f>
        <v>Action-Adventure</v>
      </c>
      <c r="M70" s="201" t="str">
        <f>IFERROR(__xludf.DUMMYFUNCTION("""COMPUTED_VALUE"""),"Exclusive")</f>
        <v>Exclusive</v>
      </c>
    </row>
    <row r="71">
      <c r="A71" s="190" t="str">
        <f>IFERROR(__xludf.DUMMYFUNCTION("""COMPUTED_VALUE"""),"Peppa Pig: World Adventures")</f>
        <v>Peppa Pig: World Adventures</v>
      </c>
      <c r="B71" s="195" t="str">
        <f>IFERROR(__xludf.DUMMYFUNCTION("""COMPUTED_VALUE"""),"Xbox / PC")</f>
        <v>Xbox / PC</v>
      </c>
      <c r="C71" s="196" t="str">
        <f>IFERROR(__xludf.DUMMYFUNCTION("""COMPUTED_VALUE"""),"Yes")</f>
        <v>Yes</v>
      </c>
      <c r="D71" s="196" t="str">
        <f>IFERROR(__xludf.DUMMYFUNCTION("""COMPUTED_VALUE"""),"Active")</f>
        <v>Active</v>
      </c>
      <c r="E71" s="197">
        <f>IFERROR(__xludf.DUMMYFUNCTION("""COMPUTED_VALUE"""),45925.0)</f>
        <v>45925</v>
      </c>
      <c r="F71" s="198"/>
      <c r="G71" s="199">
        <f>IFERROR(__xludf.DUMMYFUNCTION("""COMPUTED_VALUE"""),0.6666666666666666)</f>
        <v>0.6666666667</v>
      </c>
      <c r="H71" s="197">
        <f>IFERROR(__xludf.DUMMYFUNCTION("""COMPUTED_VALUE"""),45002.0)</f>
        <v>45002</v>
      </c>
      <c r="I71" s="199">
        <f>IFERROR(__xludf.DUMMYFUNCTION("""COMPUTED_VALUE"""),2.522222222222222)</f>
        <v>2.522222222</v>
      </c>
      <c r="J71" s="200">
        <f>IFERROR(__xludf.DUMMYFUNCTION("""COMPUTED_VALUE"""),72.0)</f>
        <v>72</v>
      </c>
      <c r="K71" s="200">
        <f>IFERROR(__xludf.DUMMYFUNCTION("""COMPUTED_VALUE"""),2.0)</f>
        <v>2</v>
      </c>
      <c r="L71" s="201" t="str">
        <f>IFERROR(__xludf.DUMMYFUNCTION("""COMPUTED_VALUE"""),"Action-Adventure")</f>
        <v>Action-Adventure</v>
      </c>
      <c r="M71" s="201" t="str">
        <f>IFERROR(__xludf.DUMMYFUNCTION("""COMPUTED_VALUE"""),"Exclusive")</f>
        <v>Exclusive</v>
      </c>
    </row>
    <row r="72">
      <c r="A72" s="190" t="str">
        <f>IFERROR(__xludf.DUMMYFUNCTION("""COMPUTED_VALUE"""),"RoboCop: Rogue City")</f>
        <v>RoboCop: Rogue City</v>
      </c>
      <c r="B72" s="195" t="str">
        <f>IFERROR(__xludf.DUMMYFUNCTION("""COMPUTED_VALUE"""),"Xbox / PC")</f>
        <v>Xbox / PC</v>
      </c>
      <c r="C72" s="196" t="str">
        <f>IFERROR(__xludf.DUMMYFUNCTION("""COMPUTED_VALUE"""),"Yes")</f>
        <v>Yes</v>
      </c>
      <c r="D72" s="196" t="str">
        <f>IFERROR(__xludf.DUMMYFUNCTION("""COMPUTED_VALUE"""),"Active")</f>
        <v>Active</v>
      </c>
      <c r="E72" s="197">
        <f>IFERROR(__xludf.DUMMYFUNCTION("""COMPUTED_VALUE"""),45855.0)</f>
        <v>45855</v>
      </c>
      <c r="F72" s="198"/>
      <c r="G72" s="199">
        <f>IFERROR(__xludf.DUMMYFUNCTION("""COMPUTED_VALUE"""),2.933333333333333)</f>
        <v>2.933333333</v>
      </c>
      <c r="H72" s="197">
        <f>IFERROR(__xludf.DUMMYFUNCTION("""COMPUTED_VALUE"""),45232.0)</f>
        <v>45232</v>
      </c>
      <c r="I72" s="199">
        <f>IFERROR(__xludf.DUMMYFUNCTION("""COMPUTED_VALUE"""),1.7083333333333333)</f>
        <v>1.708333333</v>
      </c>
      <c r="J72" s="200">
        <f>IFERROR(__xludf.DUMMYFUNCTION("""COMPUTED_VALUE"""),72.0)</f>
        <v>72</v>
      </c>
      <c r="K72" s="200">
        <f>IFERROR(__xludf.DUMMYFUNCTION("""COMPUTED_VALUE"""),12.0)</f>
        <v>12</v>
      </c>
      <c r="L72" s="201" t="str">
        <f>IFERROR(__xludf.DUMMYFUNCTION("""COMPUTED_VALUE"""),"Shooter")</f>
        <v>Shooter</v>
      </c>
      <c r="M72" s="201" t="str">
        <f>IFERROR(__xludf.DUMMYFUNCTION("""COMPUTED_VALUE"""),"Exclusive")</f>
        <v>Exclusive</v>
      </c>
    </row>
    <row r="73">
      <c r="A73" s="190" t="str">
        <f>IFERROR(__xludf.DUMMYFUNCTION("""COMPUTED_VALUE"""),"Wheel World")</f>
        <v>Wheel World</v>
      </c>
      <c r="B73" s="195" t="str">
        <f>IFERROR(__xludf.DUMMYFUNCTION("""COMPUTED_VALUE"""),"Xbox / PC")</f>
        <v>Xbox / PC</v>
      </c>
      <c r="C73" s="196" t="str">
        <f>IFERROR(__xludf.DUMMYFUNCTION("""COMPUTED_VALUE"""),"Yes")</f>
        <v>Yes</v>
      </c>
      <c r="D73" s="196" t="str">
        <f>IFERROR(__xludf.DUMMYFUNCTION("""COMPUTED_VALUE"""),"Active")</f>
        <v>Active</v>
      </c>
      <c r="E73" s="197">
        <f>IFERROR(__xludf.DUMMYFUNCTION("""COMPUTED_VALUE"""),45861.0)</f>
        <v>45861</v>
      </c>
      <c r="F73" s="198"/>
      <c r="G73" s="199">
        <f>IFERROR(__xludf.DUMMYFUNCTION("""COMPUTED_VALUE"""),2.7333333333333334)</f>
        <v>2.733333333</v>
      </c>
      <c r="H73" s="197">
        <f>IFERROR(__xludf.DUMMYFUNCTION("""COMPUTED_VALUE"""),45861.0)</f>
        <v>45861</v>
      </c>
      <c r="I73" s="199">
        <f>IFERROR(__xludf.DUMMYFUNCTION("""COMPUTED_VALUE"""),0.0)</f>
        <v>0</v>
      </c>
      <c r="J73" s="200">
        <f>IFERROR(__xludf.DUMMYFUNCTION("""COMPUTED_VALUE"""),71.0)</f>
        <v>71</v>
      </c>
      <c r="K73" s="200">
        <f>IFERROR(__xludf.DUMMYFUNCTION("""COMPUTED_VALUE"""),5.0)</f>
        <v>5</v>
      </c>
      <c r="L73" s="201" t="str">
        <f>IFERROR(__xludf.DUMMYFUNCTION("""COMPUTED_VALUE"""),"Action-Adventure")</f>
        <v>Action-Adventure</v>
      </c>
      <c r="M73" s="201" t="str">
        <f>IFERROR(__xludf.DUMMYFUNCTION("""COMPUTED_VALUE"""),"Exclusive")</f>
        <v>Exclusive</v>
      </c>
    </row>
    <row r="74">
      <c r="A74" s="190" t="str">
        <f>IFERROR(__xludf.DUMMYFUNCTION("""COMPUTED_VALUE"""),"Flintlock: The Siege of Dawn")</f>
        <v>Flintlock: The Siege of Dawn</v>
      </c>
      <c r="B74" s="195" t="str">
        <f>IFERROR(__xludf.DUMMYFUNCTION("""COMPUTED_VALUE"""),"Xbox / PC")</f>
        <v>Xbox / PC</v>
      </c>
      <c r="C74" s="196" t="str">
        <f>IFERROR(__xludf.DUMMYFUNCTION("""COMPUTED_VALUE"""),"Yes")</f>
        <v>Yes</v>
      </c>
      <c r="D74" s="196" t="str">
        <f>IFERROR(__xludf.DUMMYFUNCTION("""COMPUTED_VALUE"""),"Active")</f>
        <v>Active</v>
      </c>
      <c r="E74" s="197">
        <f>IFERROR(__xludf.DUMMYFUNCTION("""COMPUTED_VALUE"""),45491.0)</f>
        <v>45491</v>
      </c>
      <c r="F74" s="198"/>
      <c r="G74" s="199">
        <f>IFERROR(__xludf.DUMMYFUNCTION("""COMPUTED_VALUE"""),14.9)</f>
        <v>14.9</v>
      </c>
      <c r="H74" s="197">
        <f>IFERROR(__xludf.DUMMYFUNCTION("""COMPUTED_VALUE"""),45491.0)</f>
        <v>45491</v>
      </c>
      <c r="I74" s="199">
        <f>IFERROR(__xludf.DUMMYFUNCTION("""COMPUTED_VALUE"""),0.0)</f>
        <v>0</v>
      </c>
      <c r="J74" s="200">
        <f>IFERROR(__xludf.DUMMYFUNCTION("""COMPUTED_VALUE"""),71.0)</f>
        <v>71</v>
      </c>
      <c r="K74" s="200">
        <f>IFERROR(__xludf.DUMMYFUNCTION("""COMPUTED_VALUE"""),9.0)</f>
        <v>9</v>
      </c>
      <c r="L74" s="201" t="str">
        <f>IFERROR(__xludf.DUMMYFUNCTION("""COMPUTED_VALUE"""),"Action-Adventure")</f>
        <v>Action-Adventure</v>
      </c>
      <c r="M74" s="201" t="str">
        <f>IFERROR(__xludf.DUMMYFUNCTION("""COMPUTED_VALUE"""),"Exclusive")</f>
        <v>Exclusive</v>
      </c>
    </row>
    <row r="75">
      <c r="A75" s="190" t="str">
        <f>IFERROR(__xludf.DUMMYFUNCTION("""COMPUTED_VALUE"""),"Orcs Must Die! Deathtrap")</f>
        <v>Orcs Must Die! Deathtrap</v>
      </c>
      <c r="B75" s="195" t="str">
        <f>IFERROR(__xludf.DUMMYFUNCTION("""COMPUTED_VALUE"""),"Xbox / PC")</f>
        <v>Xbox / PC</v>
      </c>
      <c r="C75" s="196" t="str">
        <f>IFERROR(__xludf.DUMMYFUNCTION("""COMPUTED_VALUE"""),"Yes")</f>
        <v>Yes</v>
      </c>
      <c r="D75" s="196" t="str">
        <f>IFERROR(__xludf.DUMMYFUNCTION("""COMPUTED_VALUE"""),"Active")</f>
        <v>Active</v>
      </c>
      <c r="E75" s="197">
        <f>IFERROR(__xludf.DUMMYFUNCTION("""COMPUTED_VALUE"""),45685.0)</f>
        <v>45685</v>
      </c>
      <c r="F75" s="198"/>
      <c r="G75" s="199">
        <f>IFERROR(__xludf.DUMMYFUNCTION("""COMPUTED_VALUE"""),8.566666666666666)</f>
        <v>8.566666667</v>
      </c>
      <c r="H75" s="197">
        <f>IFERROR(__xludf.DUMMYFUNCTION("""COMPUTED_VALUE"""),45685.0)</f>
        <v>45685</v>
      </c>
      <c r="I75" s="199">
        <f>IFERROR(__xludf.DUMMYFUNCTION("""COMPUTED_VALUE"""),0.0)</f>
        <v>0</v>
      </c>
      <c r="J75" s="200">
        <f>IFERROR(__xludf.DUMMYFUNCTION("""COMPUTED_VALUE"""),70.0)</f>
        <v>70</v>
      </c>
      <c r="K75" s="200">
        <f>IFERROR(__xludf.DUMMYFUNCTION("""COMPUTED_VALUE"""),21.0)</f>
        <v>21</v>
      </c>
      <c r="L75" s="201" t="str">
        <f>IFERROR(__xludf.DUMMYFUNCTION("""COMPUTED_VALUE"""),"Roguelike")</f>
        <v>Roguelike</v>
      </c>
      <c r="M75" s="201" t="str">
        <f>IFERROR(__xludf.DUMMYFUNCTION("""COMPUTED_VALUE"""),"Exclusive")</f>
        <v>Exclusive</v>
      </c>
    </row>
    <row r="76">
      <c r="A76" s="190" t="str">
        <f>IFERROR(__xludf.DUMMYFUNCTION("""COMPUTED_VALUE"""),"Immortals of Aveum")</f>
        <v>Immortals of Aveum</v>
      </c>
      <c r="B76" s="195" t="str">
        <f>IFERROR(__xludf.DUMMYFUNCTION("""COMPUTED_VALUE"""),"Xbox / PC")</f>
        <v>Xbox / PC</v>
      </c>
      <c r="C76" s="196" t="str">
        <f>IFERROR(__xludf.DUMMYFUNCTION("""COMPUTED_VALUE"""),"Yes")</f>
        <v>Yes</v>
      </c>
      <c r="D76" s="196" t="str">
        <f>IFERROR(__xludf.DUMMYFUNCTION("""COMPUTED_VALUE"""),"Active")</f>
        <v>Active</v>
      </c>
      <c r="E76" s="197">
        <f>IFERROR(__xludf.DUMMYFUNCTION("""COMPUTED_VALUE"""),45427.0)</f>
        <v>45427</v>
      </c>
      <c r="F76" s="198"/>
      <c r="G76" s="199">
        <f>IFERROR(__xludf.DUMMYFUNCTION("""COMPUTED_VALUE"""),17.0)</f>
        <v>17</v>
      </c>
      <c r="H76" s="197">
        <f>IFERROR(__xludf.DUMMYFUNCTION("""COMPUTED_VALUE"""),45160.0)</f>
        <v>45160</v>
      </c>
      <c r="I76" s="199">
        <f>IFERROR(__xludf.DUMMYFUNCTION("""COMPUTED_VALUE"""),0.7305555555555555)</f>
        <v>0.7305555556</v>
      </c>
      <c r="J76" s="200">
        <f>IFERROR(__xludf.DUMMYFUNCTION("""COMPUTED_VALUE"""),69.0)</f>
        <v>69</v>
      </c>
      <c r="K76" s="200">
        <f>IFERROR(__xludf.DUMMYFUNCTION("""COMPUTED_VALUE"""),15.0)</f>
        <v>15</v>
      </c>
      <c r="L76" s="201" t="str">
        <f>IFERROR(__xludf.DUMMYFUNCTION("""COMPUTED_VALUE"""),"Shooter")</f>
        <v>Shooter</v>
      </c>
      <c r="M76" s="201" t="str">
        <f>IFERROR(__xludf.DUMMYFUNCTION("""COMPUTED_VALUE"""),"Exclusive")</f>
        <v>Exclusive</v>
      </c>
    </row>
    <row r="77">
      <c r="A77" s="190" t="str">
        <f>IFERROR(__xludf.DUMMYFUNCTION("""COMPUTED_VALUE"""),"Minecraft: Legends")</f>
        <v>Minecraft: Legends</v>
      </c>
      <c r="B77" s="195" t="str">
        <f>IFERROR(__xludf.DUMMYFUNCTION("""COMPUTED_VALUE"""),"Xbox / PC")</f>
        <v>Xbox / PC</v>
      </c>
      <c r="C77" s="196" t="str">
        <f>IFERROR(__xludf.DUMMYFUNCTION("""COMPUTED_VALUE"""),"Yes")</f>
        <v>Yes</v>
      </c>
      <c r="D77" s="196" t="str">
        <f>IFERROR(__xludf.DUMMYFUNCTION("""COMPUTED_VALUE"""),"Active")</f>
        <v>Active</v>
      </c>
      <c r="E77" s="197">
        <f>IFERROR(__xludf.DUMMYFUNCTION("""COMPUTED_VALUE"""),45034.0)</f>
        <v>45034</v>
      </c>
      <c r="F77" s="198"/>
      <c r="G77" s="199">
        <f>IFERROR(__xludf.DUMMYFUNCTION("""COMPUTED_VALUE"""),29.9)</f>
        <v>29.9</v>
      </c>
      <c r="H77" s="197">
        <f>IFERROR(__xludf.DUMMYFUNCTION("""COMPUTED_VALUE"""),45034.0)</f>
        <v>45034</v>
      </c>
      <c r="I77" s="199">
        <f>IFERROR(__xludf.DUMMYFUNCTION("""COMPUTED_VALUE"""),0.0)</f>
        <v>0</v>
      </c>
      <c r="J77" s="200">
        <f>IFERROR(__xludf.DUMMYFUNCTION("""COMPUTED_VALUE"""),69.0)</f>
        <v>69</v>
      </c>
      <c r="K77" s="200">
        <f>IFERROR(__xludf.DUMMYFUNCTION("""COMPUTED_VALUE"""),8.0)</f>
        <v>8</v>
      </c>
      <c r="L77" s="201" t="str">
        <f>IFERROR(__xludf.DUMMYFUNCTION("""COMPUTED_VALUE"""),"Action / Strategy")</f>
        <v>Action / Strategy</v>
      </c>
      <c r="M77" s="201" t="str">
        <f>IFERROR(__xludf.DUMMYFUNCTION("""COMPUTED_VALUE"""),"Exclusive")</f>
        <v>Exclusive</v>
      </c>
    </row>
    <row r="78">
      <c r="A78" s="190" t="str">
        <f>IFERROR(__xludf.DUMMYFUNCTION("""COMPUTED_VALUE"""),"The Casting of Frank Stone")</f>
        <v>The Casting of Frank Stone</v>
      </c>
      <c r="B78" s="195" t="str">
        <f>IFERROR(__xludf.DUMMYFUNCTION("""COMPUTED_VALUE"""),"Xbox / PC")</f>
        <v>Xbox / PC</v>
      </c>
      <c r="C78" s="196" t="str">
        <f>IFERROR(__xludf.DUMMYFUNCTION("""COMPUTED_VALUE"""),"Yes")</f>
        <v>Yes</v>
      </c>
      <c r="D78" s="196" t="str">
        <f>IFERROR(__xludf.DUMMYFUNCTION("""COMPUTED_VALUE"""),"Active")</f>
        <v>Active</v>
      </c>
      <c r="E78" s="197">
        <f>IFERROR(__xludf.DUMMYFUNCTION("""COMPUTED_VALUE"""),45944.0)</f>
        <v>45944</v>
      </c>
      <c r="F78" s="198"/>
      <c r="G78" s="199">
        <f>IFERROR(__xludf.DUMMYFUNCTION("""COMPUTED_VALUE"""),0.03333333333333333)</f>
        <v>0.03333333333</v>
      </c>
      <c r="H78" s="197">
        <f>IFERROR(__xludf.DUMMYFUNCTION("""COMPUTED_VALUE"""),45538.0)</f>
        <v>45538</v>
      </c>
      <c r="I78" s="199">
        <f>IFERROR(__xludf.DUMMYFUNCTION("""COMPUTED_VALUE"""),1.113888888888889)</f>
        <v>1.113888889</v>
      </c>
      <c r="J78" s="200">
        <f>IFERROR(__xludf.DUMMYFUNCTION("""COMPUTED_VALUE"""),68.0)</f>
        <v>68</v>
      </c>
      <c r="K78" s="200">
        <f>IFERROR(__xludf.DUMMYFUNCTION("""COMPUTED_VALUE"""),6.0)</f>
        <v>6</v>
      </c>
      <c r="L78" s="201" t="str">
        <f>IFERROR(__xludf.DUMMYFUNCTION("""COMPUTED_VALUE"""),"Action-Adventure")</f>
        <v>Action-Adventure</v>
      </c>
      <c r="M78" s="201" t="str">
        <f>IFERROR(__xludf.DUMMYFUNCTION("""COMPUTED_VALUE"""),"Exclusive")</f>
        <v>Exclusive</v>
      </c>
    </row>
    <row r="79">
      <c r="A79" s="202" t="str">
        <f>IFERROR(__xludf.DUMMYFUNCTION("""COMPUTED_VALUE"""),"Goat Simulator 3")</f>
        <v>Goat Simulator 3</v>
      </c>
      <c r="B79" s="195" t="str">
        <f>IFERROR(__xludf.DUMMYFUNCTION("""COMPUTED_VALUE"""),"Xbox / PC")</f>
        <v>Xbox / PC</v>
      </c>
      <c r="C79" s="196" t="str">
        <f>IFERROR(__xludf.DUMMYFUNCTION("""COMPUTED_VALUE"""),"Yes")</f>
        <v>Yes</v>
      </c>
      <c r="D79" s="196" t="str">
        <f>IFERROR(__xludf.DUMMYFUNCTION("""COMPUTED_VALUE"""),"Active")</f>
        <v>Active</v>
      </c>
      <c r="E79" s="197">
        <f>IFERROR(__xludf.DUMMYFUNCTION("""COMPUTED_VALUE"""),45267.0)</f>
        <v>45267</v>
      </c>
      <c r="F79" s="198"/>
      <c r="G79" s="199">
        <f>IFERROR(__xludf.DUMMYFUNCTION("""COMPUTED_VALUE"""),22.266666666666666)</f>
        <v>22.26666667</v>
      </c>
      <c r="H79" s="197">
        <f>IFERROR(__xludf.DUMMYFUNCTION("""COMPUTED_VALUE"""),44882.0)</f>
        <v>44882</v>
      </c>
      <c r="I79" s="199">
        <f>IFERROR(__xludf.DUMMYFUNCTION("""COMPUTED_VALUE"""),1.0555555555555556)</f>
        <v>1.055555556</v>
      </c>
      <c r="J79" s="200">
        <f>IFERROR(__xludf.DUMMYFUNCTION("""COMPUTED_VALUE"""),68.0)</f>
        <v>68</v>
      </c>
      <c r="K79" s="200">
        <f>IFERROR(__xludf.DUMMYFUNCTION("""COMPUTED_VALUE"""),8.0)</f>
        <v>8</v>
      </c>
      <c r="L79" s="201" t="str">
        <f>IFERROR(__xludf.DUMMYFUNCTION("""COMPUTED_VALUE"""),"Simulation")</f>
        <v>Simulation</v>
      </c>
      <c r="M79" s="201" t="str">
        <f>IFERROR(__xludf.DUMMYFUNCTION("""COMPUTED_VALUE"""),"Exclusive")</f>
        <v>Exclusive</v>
      </c>
    </row>
    <row r="80">
      <c r="A80" s="190" t="str">
        <f>IFERROR(__xludf.DUMMYFUNCTION("""COMPUTED_VALUE"""),"Ark: Survival Ascended")</f>
        <v>Ark: Survival Ascended</v>
      </c>
      <c r="B80" s="195" t="str">
        <f>IFERROR(__xludf.DUMMYFUNCTION("""COMPUTED_VALUE"""),"Xbox / PC")</f>
        <v>Xbox / PC</v>
      </c>
      <c r="C80" s="196" t="str">
        <f>IFERROR(__xludf.DUMMYFUNCTION("""COMPUTED_VALUE"""),"M+KB")</f>
        <v>M+KB</v>
      </c>
      <c r="D80" s="196" t="str">
        <f>IFERROR(__xludf.DUMMYFUNCTION("""COMPUTED_VALUE"""),"Active")</f>
        <v>Active</v>
      </c>
      <c r="E80" s="197">
        <f>IFERROR(__xludf.DUMMYFUNCTION("""COMPUTED_VALUE"""),45383.0)</f>
        <v>45383</v>
      </c>
      <c r="F80" s="198"/>
      <c r="G80" s="199">
        <f>IFERROR(__xludf.DUMMYFUNCTION("""COMPUTED_VALUE"""),18.46666666666667)</f>
        <v>18.46666667</v>
      </c>
      <c r="H80" s="197">
        <f>IFERROR(__xludf.DUMMYFUNCTION("""COMPUTED_VALUE"""),45260.0)</f>
        <v>45260</v>
      </c>
      <c r="I80" s="199">
        <f>IFERROR(__xludf.DUMMYFUNCTION("""COMPUTED_VALUE"""),0.33611111111111114)</f>
        <v>0.3361111111</v>
      </c>
      <c r="J80" s="200">
        <f>IFERROR(__xludf.DUMMYFUNCTION("""COMPUTED_VALUE"""),66.66666666666667)</f>
        <v>66.66666667</v>
      </c>
      <c r="K80" s="200">
        <f>IFERROR(__xludf.DUMMYFUNCTION("""COMPUTED_VALUE"""),380.0)</f>
        <v>380</v>
      </c>
      <c r="L80" s="201" t="str">
        <f>IFERROR(__xludf.DUMMYFUNCTION("""COMPUTED_VALUE"""),"Sandbox")</f>
        <v>Sandbox</v>
      </c>
      <c r="M80" s="201" t="str">
        <f>IFERROR(__xludf.DUMMYFUNCTION("""COMPUTED_VALUE"""),"Exclusive")</f>
        <v>Exclusive</v>
      </c>
    </row>
    <row r="81">
      <c r="A81" s="190" t="str">
        <f>IFERROR(__xludf.DUMMYFUNCTION("""COMPUTED_VALUE"""),"Goat Simulator: Remastered")</f>
        <v>Goat Simulator: Remastered</v>
      </c>
      <c r="B81" s="195" t="str">
        <f>IFERROR(__xludf.DUMMYFUNCTION("""COMPUTED_VALUE"""),"Xbox / PC")</f>
        <v>Xbox / PC</v>
      </c>
      <c r="C81" s="196" t="str">
        <f>IFERROR(__xludf.DUMMYFUNCTION("""COMPUTED_VALUE"""),"Yes")</f>
        <v>Yes</v>
      </c>
      <c r="D81" s="196" t="str">
        <f>IFERROR(__xludf.DUMMYFUNCTION("""COMPUTED_VALUE"""),"Active")</f>
        <v>Active</v>
      </c>
      <c r="E81" s="197">
        <f>IFERROR(__xludf.DUMMYFUNCTION("""COMPUTED_VALUE"""),45603.0)</f>
        <v>45603</v>
      </c>
      <c r="F81" s="198"/>
      <c r="G81" s="199">
        <f>IFERROR(__xludf.DUMMYFUNCTION("""COMPUTED_VALUE"""),11.266666666666666)</f>
        <v>11.26666667</v>
      </c>
      <c r="H81" s="197">
        <f>IFERROR(__xludf.DUMMYFUNCTION("""COMPUTED_VALUE"""),45603.0)</f>
        <v>45603</v>
      </c>
      <c r="I81" s="199">
        <f>IFERROR(__xludf.DUMMYFUNCTION("""COMPUTED_VALUE"""),0.0)</f>
        <v>0</v>
      </c>
      <c r="J81" s="200">
        <f>IFERROR(__xludf.DUMMYFUNCTION("""COMPUTED_VALUE"""),65.0)</f>
        <v>65</v>
      </c>
      <c r="K81" s="200">
        <f>IFERROR(__xludf.DUMMYFUNCTION("""COMPUTED_VALUE"""),3.0)</f>
        <v>3</v>
      </c>
      <c r="L81" s="201" t="str">
        <f>IFERROR(__xludf.DUMMYFUNCTION("""COMPUTED_VALUE"""),"Action-Adventure")</f>
        <v>Action-Adventure</v>
      </c>
      <c r="M81" s="201" t="str">
        <f>IFERROR(__xludf.DUMMYFUNCTION("""COMPUTED_VALUE"""),"Exclusive")</f>
        <v>Exclusive</v>
      </c>
    </row>
    <row r="82">
      <c r="A82" s="190" t="str">
        <f>IFERROR(__xludf.DUMMYFUNCTION("""COMPUTED_VALUE"""),"FBC: Firebreak")</f>
        <v>FBC: Firebreak</v>
      </c>
      <c r="B82" s="195" t="str">
        <f>IFERROR(__xludf.DUMMYFUNCTION("""COMPUTED_VALUE"""),"Xbox / PC")</f>
        <v>Xbox / PC</v>
      </c>
      <c r="C82" s="196" t="str">
        <f>IFERROR(__xludf.DUMMYFUNCTION("""COMPUTED_VALUE"""),"Yes")</f>
        <v>Yes</v>
      </c>
      <c r="D82" s="196" t="str">
        <f>IFERROR(__xludf.DUMMYFUNCTION("""COMPUTED_VALUE"""),"Active")</f>
        <v>Active</v>
      </c>
      <c r="E82" s="197">
        <f>IFERROR(__xludf.DUMMYFUNCTION("""COMPUTED_VALUE"""),45825.0)</f>
        <v>45825</v>
      </c>
      <c r="F82" s="198"/>
      <c r="G82" s="199">
        <f>IFERROR(__xludf.DUMMYFUNCTION("""COMPUTED_VALUE"""),3.9333333333333336)</f>
        <v>3.933333333</v>
      </c>
      <c r="H82" s="197">
        <f>IFERROR(__xludf.DUMMYFUNCTION("""COMPUTED_VALUE"""),45825.0)</f>
        <v>45825</v>
      </c>
      <c r="I82" s="199">
        <f>IFERROR(__xludf.DUMMYFUNCTION("""COMPUTED_VALUE"""),0.0)</f>
        <v>0</v>
      </c>
      <c r="J82" s="200">
        <f>IFERROR(__xludf.DUMMYFUNCTION("""COMPUTED_VALUE"""),64.0)</f>
        <v>64</v>
      </c>
      <c r="K82" s="200">
        <f>IFERROR(__xludf.DUMMYFUNCTION("""COMPUTED_VALUE"""),7.0)</f>
        <v>7</v>
      </c>
      <c r="L82" s="201" t="str">
        <f>IFERROR(__xludf.DUMMYFUNCTION("""COMPUTED_VALUE"""),"Shooter")</f>
        <v>Shooter</v>
      </c>
      <c r="M82" s="201" t="str">
        <f>IFERROR(__xludf.DUMMYFUNCTION("""COMPUTED_VALUE"""),"Exclusive")</f>
        <v>Exclusive</v>
      </c>
    </row>
    <row r="83">
      <c r="A83" s="190" t="str">
        <f>IFERROR(__xludf.DUMMYFUNCTION("""COMPUTED_VALUE"""),"Atlas Fallen: Reign of Sand")</f>
        <v>Atlas Fallen: Reign of Sand</v>
      </c>
      <c r="B83" s="195" t="str">
        <f>IFERROR(__xludf.DUMMYFUNCTION("""COMPUTED_VALUE"""),"Xbox / PC")</f>
        <v>Xbox / PC</v>
      </c>
      <c r="C83" s="196" t="str">
        <f>IFERROR(__xludf.DUMMYFUNCTION("""COMPUTED_VALUE"""),"Yes")</f>
        <v>Yes</v>
      </c>
      <c r="D83" s="196" t="str">
        <f>IFERROR(__xludf.DUMMYFUNCTION("""COMPUTED_VALUE"""),"Active")</f>
        <v>Active</v>
      </c>
      <c r="E83" s="197">
        <f>IFERROR(__xludf.DUMMYFUNCTION("""COMPUTED_VALUE"""),45526.0)</f>
        <v>45526</v>
      </c>
      <c r="F83" s="198"/>
      <c r="G83" s="199">
        <f>IFERROR(__xludf.DUMMYFUNCTION("""COMPUTED_VALUE"""),13.766666666666666)</f>
        <v>13.76666667</v>
      </c>
      <c r="H83" s="197">
        <f>IFERROR(__xludf.DUMMYFUNCTION("""COMPUTED_VALUE"""),45148.0)</f>
        <v>45148</v>
      </c>
      <c r="I83" s="199">
        <f>IFERROR(__xludf.DUMMYFUNCTION("""COMPUTED_VALUE"""),1.0333333333333334)</f>
        <v>1.033333333</v>
      </c>
      <c r="J83" s="200">
        <f>IFERROR(__xludf.DUMMYFUNCTION("""COMPUTED_VALUE"""),64.0)</f>
        <v>64</v>
      </c>
      <c r="K83" s="200">
        <f>IFERROR(__xludf.DUMMYFUNCTION("""COMPUTED_VALUE"""),11.0)</f>
        <v>11</v>
      </c>
      <c r="L83" s="201" t="str">
        <f>IFERROR(__xludf.DUMMYFUNCTION("""COMPUTED_VALUE"""),"RPG")</f>
        <v>RPG</v>
      </c>
      <c r="M83" s="201" t="str">
        <f>IFERROR(__xludf.DUMMYFUNCTION("""COMPUTED_VALUE"""),"Exclusive")</f>
        <v>Exclusive</v>
      </c>
    </row>
    <row r="84">
      <c r="A84" s="190" t="str">
        <f>IFERROR(__xludf.DUMMYFUNCTION("""COMPUTED_VALUE"""),"Redfall")</f>
        <v>Redfall</v>
      </c>
      <c r="B84" s="195" t="str">
        <f>IFERROR(__xludf.DUMMYFUNCTION("""COMPUTED_VALUE"""),"Xbox / PC")</f>
        <v>Xbox / PC</v>
      </c>
      <c r="C84" s="196" t="str">
        <f>IFERROR(__xludf.DUMMYFUNCTION("""COMPUTED_VALUE"""),"Yes")</f>
        <v>Yes</v>
      </c>
      <c r="D84" s="196" t="str">
        <f>IFERROR(__xludf.DUMMYFUNCTION("""COMPUTED_VALUE"""),"Active")</f>
        <v>Active</v>
      </c>
      <c r="E84" s="197">
        <f>IFERROR(__xludf.DUMMYFUNCTION("""COMPUTED_VALUE"""),45048.0)</f>
        <v>45048</v>
      </c>
      <c r="F84" s="198"/>
      <c r="G84" s="199">
        <f>IFERROR(__xludf.DUMMYFUNCTION("""COMPUTED_VALUE"""),29.433333333333337)</f>
        <v>29.43333333</v>
      </c>
      <c r="H84" s="197">
        <f>IFERROR(__xludf.DUMMYFUNCTION("""COMPUTED_VALUE"""),45048.0)</f>
        <v>45048</v>
      </c>
      <c r="I84" s="199">
        <f>IFERROR(__xludf.DUMMYFUNCTION("""COMPUTED_VALUE"""),0.0)</f>
        <v>0</v>
      </c>
      <c r="J84" s="200">
        <f>IFERROR(__xludf.DUMMYFUNCTION("""COMPUTED_VALUE"""),55.0)</f>
        <v>55</v>
      </c>
      <c r="K84" s="200">
        <f>IFERROR(__xludf.DUMMYFUNCTION("""COMPUTED_VALUE"""),11.0)</f>
        <v>11</v>
      </c>
      <c r="L84" s="201" t="str">
        <f>IFERROR(__xludf.DUMMYFUNCTION("""COMPUTED_VALUE"""),"First-Person Shooter")</f>
        <v>First-Person Shooter</v>
      </c>
      <c r="M84" s="201" t="str">
        <f>IFERROR(__xludf.DUMMYFUNCTION("""COMPUTED_VALUE"""),"Exclusive")</f>
        <v>Exclusive</v>
      </c>
    </row>
    <row r="85">
      <c r="A85" s="190" t="str">
        <f>IFERROR(__xludf.DUMMYFUNCTION("""COMPUTED_VALUE"""),"The Outer Worlds 2")</f>
        <v>The Outer Worlds 2</v>
      </c>
      <c r="B85" s="195" t="str">
        <f>IFERROR(__xludf.DUMMYFUNCTION("""COMPUTED_VALUE"""),"Xbox / PC")</f>
        <v>Xbox / PC</v>
      </c>
      <c r="C85" s="196" t="str">
        <f>IFERROR(__xludf.DUMMYFUNCTION("""COMPUTED_VALUE"""),"Yes")</f>
        <v>Yes</v>
      </c>
      <c r="D85" s="196" t="str">
        <f>IFERROR(__xludf.DUMMYFUNCTION("""COMPUTED_VALUE"""),"Coming Soon")</f>
        <v>Coming Soon</v>
      </c>
      <c r="E85" s="197">
        <f>IFERROR(__xludf.DUMMYFUNCTION("""COMPUTED_VALUE"""),45959.0)</f>
        <v>45959</v>
      </c>
      <c r="F85" s="198"/>
      <c r="G85" s="199">
        <f>IFERROR(__xludf.DUMMYFUNCTION("""COMPUTED_VALUE"""),-0.4666666666666667)</f>
        <v>-0.4666666667</v>
      </c>
      <c r="H85" s="197">
        <f>IFERROR(__xludf.DUMMYFUNCTION("""COMPUTED_VALUE"""),45959.0)</f>
        <v>45959</v>
      </c>
      <c r="I85" s="199">
        <f>IFERROR(__xludf.DUMMYFUNCTION("""COMPUTED_VALUE"""),0.0)</f>
        <v>0</v>
      </c>
      <c r="J85" s="200"/>
      <c r="K85" s="200"/>
      <c r="L85" s="201" t="str">
        <f>IFERROR(__xludf.DUMMYFUNCTION("""COMPUTED_VALUE"""),"RPG")</f>
        <v>RPG</v>
      </c>
      <c r="M85" s="201" t="str">
        <f>IFERROR(__xludf.DUMMYFUNCTION("""COMPUTED_VALUE"""),"Exclusive")</f>
        <v>Exclusive</v>
      </c>
    </row>
    <row r="86">
      <c r="A86" s="190" t="str">
        <f>IFERROR(__xludf.DUMMYFUNCTION("""COMPUTED_VALUE"""),"Ninja Gaiden 4")</f>
        <v>Ninja Gaiden 4</v>
      </c>
      <c r="B86" s="195" t="str">
        <f>IFERROR(__xludf.DUMMYFUNCTION("""COMPUTED_VALUE"""),"Xbox / PC")</f>
        <v>Xbox / PC</v>
      </c>
      <c r="C86" s="196" t="str">
        <f>IFERROR(__xludf.DUMMYFUNCTION("""COMPUTED_VALUE"""),"Yes")</f>
        <v>Yes</v>
      </c>
      <c r="D86" s="196" t="str">
        <f>IFERROR(__xludf.DUMMYFUNCTION("""COMPUTED_VALUE"""),"Coming Soon")</f>
        <v>Coming Soon</v>
      </c>
      <c r="E86" s="197">
        <f>IFERROR(__xludf.DUMMYFUNCTION("""COMPUTED_VALUE"""),45951.0)</f>
        <v>45951</v>
      </c>
      <c r="F86" s="198"/>
      <c r="G86" s="199">
        <f>IFERROR(__xludf.DUMMYFUNCTION("""COMPUTED_VALUE"""),-0.2)</f>
        <v>-0.2</v>
      </c>
      <c r="H86" s="197">
        <f>IFERROR(__xludf.DUMMYFUNCTION("""COMPUTED_VALUE"""),45951.0)</f>
        <v>45951</v>
      </c>
      <c r="I86" s="199">
        <f>IFERROR(__xludf.DUMMYFUNCTION("""COMPUTED_VALUE"""),0.0)</f>
        <v>0</v>
      </c>
      <c r="J86" s="200"/>
      <c r="K86" s="200"/>
      <c r="L86" s="201" t="str">
        <f>IFERROR(__xludf.DUMMYFUNCTION("""COMPUTED_VALUE"""),"Action-Adventure")</f>
        <v>Action-Adventure</v>
      </c>
      <c r="M86" s="201" t="str">
        <f>IFERROR(__xludf.DUMMYFUNCTION("""COMPUTED_VALUE"""),"Exclusive")</f>
        <v>Exclusive</v>
      </c>
    </row>
    <row r="87">
      <c r="A87" s="190" t="str">
        <f>IFERROR(__xludf.DUMMYFUNCTION("""COMPUTED_VALUE"""),"Keeper")</f>
        <v>Keeper</v>
      </c>
      <c r="B87" s="195" t="str">
        <f>IFERROR(__xludf.DUMMYFUNCTION("""COMPUTED_VALUE"""),"Xbox / PC")</f>
        <v>Xbox / PC</v>
      </c>
      <c r="C87" s="196" t="str">
        <f>IFERROR(__xludf.DUMMYFUNCTION("""COMPUTED_VALUE"""),"Yes")</f>
        <v>Yes</v>
      </c>
      <c r="D87" s="196" t="str">
        <f>IFERROR(__xludf.DUMMYFUNCTION("""COMPUTED_VALUE"""),"Coming Soon")</f>
        <v>Coming Soon</v>
      </c>
      <c r="E87" s="197">
        <f>IFERROR(__xludf.DUMMYFUNCTION("""COMPUTED_VALUE"""),45947.0)</f>
        <v>45947</v>
      </c>
      <c r="F87" s="198"/>
      <c r="G87" s="199">
        <f>IFERROR(__xludf.DUMMYFUNCTION("""COMPUTED_VALUE"""),-0.06666666666666667)</f>
        <v>-0.06666666667</v>
      </c>
      <c r="H87" s="197">
        <f>IFERROR(__xludf.DUMMYFUNCTION("""COMPUTED_VALUE"""),45947.0)</f>
        <v>45947</v>
      </c>
      <c r="I87" s="199">
        <f>IFERROR(__xludf.DUMMYFUNCTION("""COMPUTED_VALUE"""),0.0)</f>
        <v>0</v>
      </c>
      <c r="J87" s="200"/>
      <c r="K87" s="200"/>
      <c r="L87" s="201" t="str">
        <f>IFERROR(__xludf.DUMMYFUNCTION("""COMPUTED_VALUE"""),"Action-Adventure")</f>
        <v>Action-Adventure</v>
      </c>
      <c r="M87" s="201" t="str">
        <f>IFERROR(__xludf.DUMMYFUNCTION("""COMPUTED_VALUE"""),"Exclusive")</f>
        <v>Exclusive</v>
      </c>
    </row>
    <row r="88">
      <c r="A88" s="190" t="str">
        <f>IFERROR(__xludf.DUMMYFUNCTION("""COMPUTED_VALUE"""),"SWORN")</f>
        <v>SWORN</v>
      </c>
      <c r="B88" s="195" t="str">
        <f>IFERROR(__xludf.DUMMYFUNCTION("""COMPUTED_VALUE"""),"Xbox / PC")</f>
        <v>Xbox / PC</v>
      </c>
      <c r="C88" s="196" t="str">
        <f>IFERROR(__xludf.DUMMYFUNCTION("""COMPUTED_VALUE"""),"Yes")</f>
        <v>Yes</v>
      </c>
      <c r="D88" s="196" t="str">
        <f>IFERROR(__xludf.DUMMYFUNCTION("""COMPUTED_VALUE"""),"Active")</f>
        <v>Active</v>
      </c>
      <c r="E88" s="197">
        <f>IFERROR(__xludf.DUMMYFUNCTION("""COMPUTED_VALUE"""),45923.0)</f>
        <v>45923</v>
      </c>
      <c r="F88" s="198"/>
      <c r="G88" s="199">
        <f>IFERROR(__xludf.DUMMYFUNCTION("""COMPUTED_VALUE"""),0.7333333333333333)</f>
        <v>0.7333333333</v>
      </c>
      <c r="H88" s="197">
        <f>IFERROR(__xludf.DUMMYFUNCTION("""COMPUTED_VALUE"""),45923.0)</f>
        <v>45923</v>
      </c>
      <c r="I88" s="199">
        <f>IFERROR(__xludf.DUMMYFUNCTION("""COMPUTED_VALUE"""),0.0)</f>
        <v>0</v>
      </c>
      <c r="J88" s="200"/>
      <c r="K88" s="200"/>
      <c r="L88" s="201" t="str">
        <f>IFERROR(__xludf.DUMMYFUNCTION("""COMPUTED_VALUE"""),"RPG")</f>
        <v>RPG</v>
      </c>
      <c r="M88" s="201" t="str">
        <f>IFERROR(__xludf.DUMMYFUNCTION("""COMPUTED_VALUE"""),"Exclusive")</f>
        <v>Exclusive</v>
      </c>
    </row>
    <row r="89">
      <c r="A89" s="190" t="str">
        <f>IFERROR(__xludf.DUMMYFUNCTION("""COMPUTED_VALUE"""),"Deep Rock Galactic: Survivor")</f>
        <v>Deep Rock Galactic: Survivor</v>
      </c>
      <c r="B89" s="195" t="str">
        <f>IFERROR(__xludf.DUMMYFUNCTION("""COMPUTED_VALUE"""),"Xbox / PC")</f>
        <v>Xbox / PC</v>
      </c>
      <c r="C89" s="196" t="str">
        <f>IFERROR(__xludf.DUMMYFUNCTION("""COMPUTED_VALUE"""),"Yes")</f>
        <v>Yes</v>
      </c>
      <c r="D89" s="196" t="str">
        <f>IFERROR(__xludf.DUMMYFUNCTION("""COMPUTED_VALUE"""),"Active")</f>
        <v>Active</v>
      </c>
      <c r="E89" s="197">
        <f>IFERROR(__xludf.DUMMYFUNCTION("""COMPUTED_VALUE"""),45917.0)</f>
        <v>45917</v>
      </c>
      <c r="F89" s="198"/>
      <c r="G89" s="199">
        <f>IFERROR(__xludf.DUMMYFUNCTION("""COMPUTED_VALUE"""),0.9333333333333333)</f>
        <v>0.9333333333</v>
      </c>
      <c r="H89" s="197">
        <f>IFERROR(__xludf.DUMMYFUNCTION("""COMPUTED_VALUE"""),45917.0)</f>
        <v>45917</v>
      </c>
      <c r="I89" s="199">
        <f>IFERROR(__xludf.DUMMYFUNCTION("""COMPUTED_VALUE"""),0.0)</f>
        <v>0</v>
      </c>
      <c r="J89" s="200"/>
      <c r="K89" s="200">
        <f>IFERROR(__xludf.DUMMYFUNCTION("""COMPUTED_VALUE"""),15.0)</f>
        <v>15</v>
      </c>
      <c r="L89" s="201" t="str">
        <f>IFERROR(__xludf.DUMMYFUNCTION("""COMPUTED_VALUE"""),"Shooter")</f>
        <v>Shooter</v>
      </c>
      <c r="M89" s="201" t="str">
        <f>IFERROR(__xludf.DUMMYFUNCTION("""COMPUTED_VALUE"""),"Exclusive")</f>
        <v>Exclusive</v>
      </c>
    </row>
    <row r="90">
      <c r="A90" s="190" t="str">
        <f>IFERROR(__xludf.DUMMYFUNCTION("""COMPUTED_VALUE"""),"Grounded 2 (Game Preview)")</f>
        <v>Grounded 2 (Game Preview)</v>
      </c>
      <c r="B90" s="195" t="str">
        <f>IFERROR(__xludf.DUMMYFUNCTION("""COMPUTED_VALUE"""),"Xbox / PC")</f>
        <v>Xbox / PC</v>
      </c>
      <c r="C90" s="196" t="str">
        <f>IFERROR(__xludf.DUMMYFUNCTION("""COMPUTED_VALUE"""),"Yes")</f>
        <v>Yes</v>
      </c>
      <c r="D90" s="196" t="str">
        <f>IFERROR(__xludf.DUMMYFUNCTION("""COMPUTED_VALUE"""),"Active")</f>
        <v>Active</v>
      </c>
      <c r="E90" s="197">
        <f>IFERROR(__xludf.DUMMYFUNCTION("""COMPUTED_VALUE"""),45867.0)</f>
        <v>45867</v>
      </c>
      <c r="F90" s="198"/>
      <c r="G90" s="199">
        <f>IFERROR(__xludf.DUMMYFUNCTION("""COMPUTED_VALUE"""),2.533333333333333)</f>
        <v>2.533333333</v>
      </c>
      <c r="H90" s="197">
        <f>IFERROR(__xludf.DUMMYFUNCTION("""COMPUTED_VALUE"""),45867.0)</f>
        <v>45867</v>
      </c>
      <c r="I90" s="199">
        <f>IFERROR(__xludf.DUMMYFUNCTION("""COMPUTED_VALUE"""),0.0)</f>
        <v>0</v>
      </c>
      <c r="J90" s="200"/>
      <c r="K90" s="200"/>
      <c r="L90" s="201" t="str">
        <f>IFERROR(__xludf.DUMMYFUNCTION("""COMPUTED_VALUE"""),"Sandbox")</f>
        <v>Sandbox</v>
      </c>
      <c r="M90" s="201" t="str">
        <f>IFERROR(__xludf.DUMMYFUNCTION("""COMPUTED_VALUE"""),"Exclusive")</f>
        <v>Exclusive</v>
      </c>
    </row>
    <row r="91">
      <c r="A91" s="190" t="str">
        <f>IFERROR(__xludf.DUMMYFUNCTION("""COMPUTED_VALUE"""),"Towerborne (Game Preview)")</f>
        <v>Towerborne (Game Preview)</v>
      </c>
      <c r="B91" s="195" t="str">
        <f>IFERROR(__xludf.DUMMYFUNCTION("""COMPUTED_VALUE"""),"Xbox / PC")</f>
        <v>Xbox / PC</v>
      </c>
      <c r="C91" s="196" t="str">
        <f>IFERROR(__xludf.DUMMYFUNCTION("""COMPUTED_VALUE"""),"Yes")</f>
        <v>Yes</v>
      </c>
      <c r="D91" s="196" t="str">
        <f>IFERROR(__xludf.DUMMYFUNCTION("""COMPUTED_VALUE"""),"Active")</f>
        <v>Active</v>
      </c>
      <c r="E91" s="197">
        <f>IFERROR(__xludf.DUMMYFUNCTION("""COMPUTED_VALUE"""),45776.0)</f>
        <v>45776</v>
      </c>
      <c r="F91" s="198"/>
      <c r="G91" s="199">
        <f>IFERROR(__xludf.DUMMYFUNCTION("""COMPUTED_VALUE"""),5.533333333333333)</f>
        <v>5.533333333</v>
      </c>
      <c r="H91" s="197">
        <f>IFERROR(__xludf.DUMMYFUNCTION("""COMPUTED_VALUE"""),45776.0)</f>
        <v>45776</v>
      </c>
      <c r="I91" s="199">
        <f>IFERROR(__xludf.DUMMYFUNCTION("""COMPUTED_VALUE"""),0.0)</f>
        <v>0</v>
      </c>
      <c r="J91" s="200"/>
      <c r="K91" s="200"/>
      <c r="L91" s="201" t="str">
        <f>IFERROR(__xludf.DUMMYFUNCTION("""COMPUTED_VALUE"""),"Beat-'Em-Up ")</f>
        <v>Beat-'Em-Up </v>
      </c>
      <c r="M91" s="201" t="str">
        <f>IFERROR(__xludf.DUMMYFUNCTION("""COMPUTED_VALUE"""),"Exclusive")</f>
        <v>Exclusive</v>
      </c>
    </row>
    <row r="92">
      <c r="A92" s="190" t="str">
        <f>IFERROR(__xludf.DUMMYFUNCTION("""COMPUTED_VALUE"""),"33 Immortals (Game Preview)")</f>
        <v>33 Immortals (Game Preview)</v>
      </c>
      <c r="B92" s="195" t="str">
        <f>IFERROR(__xludf.DUMMYFUNCTION("""COMPUTED_VALUE"""),"Xbox / PC")</f>
        <v>Xbox / PC</v>
      </c>
      <c r="C92" s="196" t="str">
        <f>IFERROR(__xludf.DUMMYFUNCTION("""COMPUTED_VALUE"""),"Yes")</f>
        <v>Yes</v>
      </c>
      <c r="D92" s="196" t="str">
        <f>IFERROR(__xludf.DUMMYFUNCTION("""COMPUTED_VALUE"""),"Active")</f>
        <v>Active</v>
      </c>
      <c r="E92" s="197">
        <f>IFERROR(__xludf.DUMMYFUNCTION("""COMPUTED_VALUE"""),45734.0)</f>
        <v>45734</v>
      </c>
      <c r="F92" s="198"/>
      <c r="G92" s="199">
        <f>IFERROR(__xludf.DUMMYFUNCTION("""COMPUTED_VALUE"""),6.8999999999999995)</f>
        <v>6.9</v>
      </c>
      <c r="H92" s="197">
        <f>IFERROR(__xludf.DUMMYFUNCTION("""COMPUTED_VALUE"""),45734.0)</f>
        <v>45734</v>
      </c>
      <c r="I92" s="199">
        <f>IFERROR(__xludf.DUMMYFUNCTION("""COMPUTED_VALUE"""),0.0)</f>
        <v>0</v>
      </c>
      <c r="J92" s="200"/>
      <c r="K92" s="200">
        <f>IFERROR(__xludf.DUMMYFUNCTION("""COMPUTED_VALUE"""),5.0)</f>
        <v>5</v>
      </c>
      <c r="L92" s="201" t="str">
        <f>IFERROR(__xludf.DUMMYFUNCTION("""COMPUTED_VALUE"""),"RPG")</f>
        <v>RPG</v>
      </c>
      <c r="M92" s="201" t="str">
        <f>IFERROR(__xludf.DUMMYFUNCTION("""COMPUTED_VALUE"""),"Exclusive")</f>
        <v>Exclusive</v>
      </c>
    </row>
    <row r="93">
      <c r="A93" s="190" t="str">
        <f>IFERROR(__xludf.DUMMYFUNCTION("""COMPUTED_VALUE"""),"Overthrown (Game Preview)")</f>
        <v>Overthrown (Game Preview)</v>
      </c>
      <c r="B93" s="195" t="str">
        <f>IFERROR(__xludf.DUMMYFUNCTION("""COMPUTED_VALUE"""),"Xbox / PC")</f>
        <v>Xbox / PC</v>
      </c>
      <c r="C93" s="196" t="str">
        <f>IFERROR(__xludf.DUMMYFUNCTION("""COMPUTED_VALUE"""),"Yes")</f>
        <v>Yes</v>
      </c>
      <c r="D93" s="196" t="str">
        <f>IFERROR(__xludf.DUMMYFUNCTION("""COMPUTED_VALUE"""),"Active")</f>
        <v>Active</v>
      </c>
      <c r="E93" s="197">
        <f>IFERROR(__xludf.DUMMYFUNCTION("""COMPUTED_VALUE"""),45631.0)</f>
        <v>45631</v>
      </c>
      <c r="F93" s="198"/>
      <c r="G93" s="199">
        <f>IFERROR(__xludf.DUMMYFUNCTION("""COMPUTED_VALUE"""),10.333333333333334)</f>
        <v>10.33333333</v>
      </c>
      <c r="H93" s="197">
        <f>IFERROR(__xludf.DUMMYFUNCTION("""COMPUTED_VALUE"""),45631.0)</f>
        <v>45631</v>
      </c>
      <c r="I93" s="199">
        <f>IFERROR(__xludf.DUMMYFUNCTION("""COMPUTED_VALUE"""),0.0)</f>
        <v>0</v>
      </c>
      <c r="J93" s="200"/>
      <c r="K93" s="200"/>
      <c r="L93" s="201" t="str">
        <f>IFERROR(__xludf.DUMMYFUNCTION("""COMPUTED_VALUE"""),"Sandbox")</f>
        <v>Sandbox</v>
      </c>
      <c r="M93" s="201" t="str">
        <f>IFERROR(__xludf.DUMMYFUNCTION("""COMPUTED_VALUE"""),"Exclusive")</f>
        <v>Exclusive</v>
      </c>
    </row>
    <row r="94">
      <c r="A94" s="190" t="str">
        <f>IFERROR(__xludf.DUMMYFUNCTION("""COMPUTED_VALUE"""),"Lightyear Frontier (Game Preview)")</f>
        <v>Lightyear Frontier (Game Preview)</v>
      </c>
      <c r="B94" s="195" t="str">
        <f>IFERROR(__xludf.DUMMYFUNCTION("""COMPUTED_VALUE"""),"Xbox / PC")</f>
        <v>Xbox / PC</v>
      </c>
      <c r="C94" s="196" t="str">
        <f>IFERROR(__xludf.DUMMYFUNCTION("""COMPUTED_VALUE"""),"Yes")</f>
        <v>Yes</v>
      </c>
      <c r="D94" s="196" t="str">
        <f>IFERROR(__xludf.DUMMYFUNCTION("""COMPUTED_VALUE"""),"Active")</f>
        <v>Active</v>
      </c>
      <c r="E94" s="197">
        <f>IFERROR(__xludf.DUMMYFUNCTION("""COMPUTED_VALUE"""),45370.0)</f>
        <v>45370</v>
      </c>
      <c r="F94" s="198"/>
      <c r="G94" s="199">
        <f>IFERROR(__xludf.DUMMYFUNCTION("""COMPUTED_VALUE"""),18.866666666666667)</f>
        <v>18.86666667</v>
      </c>
      <c r="H94" s="197">
        <f>IFERROR(__xludf.DUMMYFUNCTION("""COMPUTED_VALUE"""),45370.0)</f>
        <v>45370</v>
      </c>
      <c r="I94" s="199">
        <f>IFERROR(__xludf.DUMMYFUNCTION("""COMPUTED_VALUE"""),0.0)</f>
        <v>0</v>
      </c>
      <c r="J94" s="200"/>
      <c r="K94" s="200"/>
      <c r="L94" s="201" t="str">
        <f>IFERROR(__xludf.DUMMYFUNCTION("""COMPUTED_VALUE"""),"Sandbox")</f>
        <v>Sandbox</v>
      </c>
      <c r="M94" s="201" t="str">
        <f>IFERROR(__xludf.DUMMYFUNCTION("""COMPUTED_VALUE"""),"Exclusive")</f>
        <v>Exclusive</v>
      </c>
    </row>
    <row r="95">
      <c r="A95" s="190"/>
      <c r="B95" s="195"/>
      <c r="C95" s="196"/>
      <c r="D95" s="196"/>
      <c r="E95" s="197"/>
      <c r="F95" s="198"/>
      <c r="G95" s="199"/>
      <c r="H95" s="197"/>
      <c r="I95" s="199"/>
      <c r="J95" s="200"/>
      <c r="K95" s="211"/>
      <c r="L95" s="201"/>
      <c r="M95" s="201"/>
    </row>
    <row r="96">
      <c r="A96" s="190"/>
      <c r="B96" s="195"/>
      <c r="C96" s="196"/>
      <c r="D96" s="196"/>
      <c r="E96" s="197"/>
      <c r="F96" s="198"/>
      <c r="G96" s="199"/>
      <c r="H96" s="197"/>
      <c r="I96" s="199"/>
      <c r="J96" s="200"/>
      <c r="K96" s="211"/>
      <c r="L96" s="201"/>
      <c r="M96" s="201"/>
    </row>
    <row r="97">
      <c r="A97" s="190"/>
      <c r="B97" s="195"/>
      <c r="C97" s="196"/>
      <c r="D97" s="196"/>
      <c r="E97" s="197"/>
      <c r="F97" s="198"/>
      <c r="G97" s="199"/>
      <c r="H97" s="197"/>
      <c r="I97" s="199"/>
      <c r="J97" s="200"/>
      <c r="K97" s="211"/>
      <c r="L97" s="201"/>
      <c r="M97" s="201"/>
    </row>
    <row r="98">
      <c r="A98" s="190"/>
      <c r="B98" s="195"/>
      <c r="C98" s="196"/>
      <c r="D98" s="196"/>
      <c r="E98" s="197"/>
      <c r="F98" s="198"/>
      <c r="G98" s="199"/>
      <c r="H98" s="197"/>
      <c r="I98" s="199"/>
      <c r="J98" s="200"/>
      <c r="K98" s="211"/>
      <c r="L98" s="201"/>
      <c r="M98" s="201"/>
    </row>
    <row r="99">
      <c r="A99" s="190"/>
      <c r="B99" s="195"/>
      <c r="C99" s="196"/>
      <c r="D99" s="196"/>
      <c r="E99" s="197"/>
      <c r="F99" s="198"/>
      <c r="G99" s="199"/>
      <c r="H99" s="197"/>
      <c r="I99" s="199"/>
      <c r="J99" s="200"/>
      <c r="K99" s="211"/>
      <c r="L99" s="201"/>
      <c r="M99" s="201"/>
    </row>
    <row r="100">
      <c r="A100" s="190"/>
      <c r="B100" s="195"/>
      <c r="C100" s="196"/>
      <c r="D100" s="196"/>
      <c r="E100" s="197"/>
      <c r="F100" s="198"/>
      <c r="G100" s="199"/>
      <c r="H100" s="197"/>
      <c r="I100" s="199"/>
      <c r="J100" s="200"/>
      <c r="K100" s="211"/>
      <c r="L100" s="201"/>
      <c r="M100" s="201"/>
    </row>
    <row r="101">
      <c r="A101" s="190"/>
      <c r="B101" s="195"/>
      <c r="C101" s="196"/>
      <c r="D101" s="196"/>
      <c r="E101" s="197"/>
      <c r="F101" s="198"/>
      <c r="G101" s="199"/>
      <c r="H101" s="197"/>
      <c r="I101" s="199"/>
      <c r="J101" s="200"/>
      <c r="K101" s="211"/>
      <c r="L101" s="201"/>
      <c r="M101" s="201"/>
    </row>
    <row r="102">
      <c r="A102" s="190"/>
      <c r="B102" s="195"/>
      <c r="C102" s="196"/>
      <c r="D102" s="196"/>
      <c r="E102" s="197"/>
      <c r="F102" s="198"/>
      <c r="G102" s="199"/>
      <c r="H102" s="197"/>
      <c r="I102" s="199"/>
      <c r="J102" s="200"/>
      <c r="K102" s="211"/>
      <c r="L102" s="201"/>
      <c r="M102" s="201"/>
    </row>
    <row r="103">
      <c r="A103" s="190"/>
      <c r="B103" s="195"/>
      <c r="C103" s="196"/>
      <c r="D103" s="196"/>
      <c r="E103" s="197"/>
      <c r="F103" s="198"/>
      <c r="G103" s="199"/>
      <c r="H103" s="197"/>
      <c r="I103" s="199"/>
      <c r="J103" s="200"/>
      <c r="K103" s="211"/>
      <c r="L103" s="201"/>
      <c r="M103" s="201"/>
    </row>
    <row r="104">
      <c r="A104" s="190"/>
      <c r="B104" s="195"/>
      <c r="C104" s="196"/>
      <c r="D104" s="196"/>
      <c r="E104" s="197"/>
      <c r="F104" s="198"/>
      <c r="G104" s="199"/>
      <c r="H104" s="197"/>
      <c r="I104" s="199"/>
      <c r="J104" s="200"/>
      <c r="K104" s="211"/>
      <c r="L104" s="201"/>
      <c r="M104" s="201"/>
    </row>
    <row r="105">
      <c r="A105" s="190"/>
      <c r="B105" s="195"/>
      <c r="C105" s="196"/>
      <c r="D105" s="196"/>
      <c r="E105" s="197"/>
      <c r="F105" s="198"/>
      <c r="G105" s="199"/>
      <c r="H105" s="197"/>
      <c r="I105" s="199"/>
      <c r="J105" s="200"/>
      <c r="K105" s="211"/>
      <c r="L105" s="201"/>
      <c r="M105" s="201"/>
    </row>
    <row r="106">
      <c r="A106" s="190"/>
      <c r="B106" s="195"/>
      <c r="C106" s="196"/>
      <c r="D106" s="196"/>
      <c r="E106" s="197"/>
      <c r="F106" s="198"/>
      <c r="G106" s="199"/>
      <c r="H106" s="197"/>
      <c r="I106" s="199"/>
      <c r="J106" s="200"/>
      <c r="K106" s="211"/>
      <c r="L106" s="201"/>
      <c r="M106" s="201"/>
    </row>
    <row r="107">
      <c r="A107" s="190"/>
      <c r="B107" s="195"/>
      <c r="C107" s="196"/>
      <c r="D107" s="196"/>
      <c r="E107" s="197"/>
      <c r="F107" s="198"/>
      <c r="G107" s="199"/>
      <c r="H107" s="197"/>
      <c r="I107" s="199"/>
      <c r="J107" s="200"/>
      <c r="K107" s="211"/>
      <c r="L107" s="201"/>
      <c r="M107" s="201"/>
    </row>
    <row r="108">
      <c r="A108" s="190"/>
      <c r="B108" s="195"/>
      <c r="C108" s="196"/>
      <c r="D108" s="196"/>
      <c r="E108" s="197"/>
      <c r="F108" s="198"/>
      <c r="G108" s="199"/>
      <c r="H108" s="197"/>
      <c r="I108" s="199"/>
      <c r="J108" s="200"/>
      <c r="K108" s="211"/>
      <c r="L108" s="201"/>
      <c r="M108" s="201"/>
    </row>
    <row r="109">
      <c r="A109" s="190"/>
      <c r="B109" s="195"/>
      <c r="C109" s="196"/>
      <c r="D109" s="196"/>
      <c r="E109" s="197"/>
      <c r="F109" s="198"/>
      <c r="G109" s="199"/>
      <c r="H109" s="197"/>
      <c r="I109" s="199"/>
      <c r="J109" s="200"/>
      <c r="K109" s="211"/>
      <c r="L109" s="201"/>
      <c r="M109" s="201"/>
    </row>
    <row r="110">
      <c r="A110" s="190"/>
      <c r="B110" s="195"/>
      <c r="C110" s="196"/>
      <c r="D110" s="196"/>
      <c r="E110" s="197"/>
      <c r="F110" s="198"/>
      <c r="G110" s="199"/>
      <c r="H110" s="197"/>
      <c r="I110" s="199"/>
      <c r="J110" s="200"/>
      <c r="K110" s="211"/>
      <c r="L110" s="201"/>
      <c r="M110" s="201"/>
    </row>
    <row r="111">
      <c r="A111" s="190"/>
      <c r="B111" s="195"/>
      <c r="C111" s="196"/>
      <c r="D111" s="196"/>
      <c r="E111" s="197"/>
      <c r="F111" s="198"/>
      <c r="G111" s="199"/>
      <c r="H111" s="197"/>
      <c r="I111" s="199"/>
      <c r="J111" s="200"/>
      <c r="K111" s="211"/>
      <c r="L111" s="201"/>
      <c r="M111" s="201"/>
    </row>
    <row r="112">
      <c r="A112" s="190"/>
      <c r="B112" s="195"/>
      <c r="C112" s="196"/>
      <c r="D112" s="196"/>
      <c r="E112" s="197"/>
      <c r="F112" s="198"/>
      <c r="G112" s="199"/>
      <c r="H112" s="197"/>
      <c r="I112" s="199"/>
      <c r="J112" s="200"/>
      <c r="K112" s="211"/>
      <c r="L112" s="201"/>
      <c r="M112" s="201"/>
    </row>
    <row r="113">
      <c r="A113" s="190"/>
      <c r="B113" s="195"/>
      <c r="C113" s="196"/>
      <c r="D113" s="196"/>
      <c r="E113" s="197"/>
      <c r="F113" s="198"/>
      <c r="G113" s="199"/>
      <c r="H113" s="197"/>
      <c r="I113" s="199"/>
      <c r="J113" s="200"/>
      <c r="K113" s="211"/>
      <c r="L113" s="201"/>
      <c r="M113" s="201"/>
    </row>
    <row r="114">
      <c r="A114" s="190"/>
      <c r="B114" s="195"/>
      <c r="C114" s="196"/>
      <c r="D114" s="196"/>
      <c r="E114" s="197"/>
      <c r="F114" s="198"/>
      <c r="G114" s="199"/>
      <c r="H114" s="197"/>
      <c r="I114" s="199"/>
      <c r="J114" s="200"/>
      <c r="K114" s="211"/>
      <c r="L114" s="201"/>
      <c r="M114" s="201"/>
    </row>
    <row r="115">
      <c r="A115" s="190"/>
      <c r="B115" s="195"/>
      <c r="C115" s="196"/>
      <c r="D115" s="196"/>
      <c r="E115" s="197"/>
      <c r="F115" s="198"/>
      <c r="G115" s="199"/>
      <c r="H115" s="197"/>
      <c r="I115" s="199"/>
      <c r="J115" s="200"/>
      <c r="K115" s="211"/>
      <c r="L115" s="201"/>
      <c r="M115" s="201"/>
    </row>
    <row r="116">
      <c r="A116" s="190"/>
      <c r="B116" s="195"/>
      <c r="C116" s="196"/>
      <c r="D116" s="196"/>
      <c r="E116" s="197"/>
      <c r="F116" s="198"/>
      <c r="G116" s="199"/>
      <c r="H116" s="197"/>
      <c r="I116" s="199"/>
      <c r="J116" s="200"/>
      <c r="K116" s="211"/>
      <c r="L116" s="201"/>
      <c r="M116" s="201"/>
    </row>
    <row r="117">
      <c r="A117" s="190"/>
      <c r="B117" s="195"/>
      <c r="C117" s="196"/>
      <c r="D117" s="196"/>
      <c r="E117" s="197"/>
      <c r="F117" s="198"/>
      <c r="G117" s="199"/>
      <c r="H117" s="197"/>
      <c r="I117" s="199"/>
      <c r="J117" s="200"/>
      <c r="K117" s="211"/>
      <c r="L117" s="201"/>
      <c r="M117" s="201"/>
    </row>
    <row r="118">
      <c r="A118" s="190"/>
      <c r="B118" s="195"/>
      <c r="C118" s="196"/>
      <c r="D118" s="196"/>
      <c r="E118" s="197"/>
      <c r="F118" s="198"/>
      <c r="G118" s="199"/>
      <c r="H118" s="197"/>
      <c r="I118" s="199"/>
      <c r="J118" s="200"/>
      <c r="K118" s="211"/>
      <c r="L118" s="201"/>
      <c r="M118" s="201"/>
    </row>
    <row r="119">
      <c r="A119" s="190"/>
      <c r="B119" s="195"/>
      <c r="C119" s="196"/>
      <c r="D119" s="196"/>
      <c r="E119" s="197"/>
      <c r="F119" s="198"/>
      <c r="G119" s="199"/>
      <c r="H119" s="197"/>
      <c r="I119" s="199"/>
      <c r="J119" s="200"/>
      <c r="K119" s="211"/>
      <c r="L119" s="201"/>
      <c r="M119" s="201"/>
    </row>
    <row r="120">
      <c r="A120" s="190"/>
      <c r="B120" s="195"/>
      <c r="C120" s="196"/>
      <c r="D120" s="196"/>
      <c r="E120" s="197"/>
      <c r="F120" s="198"/>
      <c r="G120" s="199"/>
      <c r="H120" s="197"/>
      <c r="I120" s="199"/>
      <c r="J120" s="200"/>
      <c r="K120" s="211"/>
      <c r="L120" s="201"/>
      <c r="M120" s="201"/>
    </row>
    <row r="121">
      <c r="A121" s="190"/>
      <c r="B121" s="195"/>
      <c r="C121" s="196"/>
      <c r="D121" s="196"/>
      <c r="E121" s="197"/>
      <c r="F121" s="198"/>
      <c r="G121" s="199"/>
      <c r="H121" s="197"/>
      <c r="I121" s="199"/>
      <c r="J121" s="200"/>
      <c r="K121" s="211"/>
      <c r="L121" s="201"/>
      <c r="M121" s="201"/>
    </row>
    <row r="122">
      <c r="A122" s="190"/>
      <c r="B122" s="195"/>
      <c r="C122" s="196"/>
      <c r="D122" s="196"/>
      <c r="E122" s="197"/>
      <c r="F122" s="198"/>
      <c r="G122" s="199"/>
      <c r="H122" s="197"/>
      <c r="I122" s="199"/>
      <c r="J122" s="200"/>
      <c r="K122" s="211"/>
      <c r="L122" s="201"/>
      <c r="M122" s="201"/>
    </row>
    <row r="123">
      <c r="A123" s="190"/>
      <c r="B123" s="195"/>
      <c r="C123" s="196"/>
      <c r="D123" s="196"/>
      <c r="E123" s="197"/>
      <c r="F123" s="198"/>
      <c r="G123" s="199"/>
      <c r="H123" s="197"/>
      <c r="I123" s="199"/>
      <c r="J123" s="200"/>
      <c r="K123" s="211"/>
      <c r="L123" s="201"/>
      <c r="M123" s="201"/>
    </row>
    <row r="124">
      <c r="A124" s="190"/>
      <c r="B124" s="195"/>
      <c r="C124" s="196"/>
      <c r="D124" s="196"/>
      <c r="E124" s="197"/>
      <c r="F124" s="198"/>
      <c r="G124" s="199"/>
      <c r="H124" s="197"/>
      <c r="I124" s="199"/>
      <c r="J124" s="200"/>
      <c r="K124" s="211"/>
      <c r="L124" s="201"/>
      <c r="M124" s="201"/>
    </row>
    <row r="125">
      <c r="A125" s="190"/>
      <c r="B125" s="195"/>
      <c r="C125" s="196"/>
      <c r="D125" s="196"/>
      <c r="E125" s="197"/>
      <c r="F125" s="198"/>
      <c r="G125" s="199"/>
      <c r="H125" s="197"/>
      <c r="I125" s="199"/>
      <c r="J125" s="200"/>
      <c r="K125" s="211"/>
      <c r="L125" s="201"/>
      <c r="M125" s="201"/>
    </row>
    <row r="126">
      <c r="A126" s="190"/>
      <c r="B126" s="195"/>
      <c r="C126" s="196"/>
      <c r="D126" s="196"/>
      <c r="E126" s="197"/>
      <c r="F126" s="198"/>
      <c r="G126" s="199"/>
      <c r="H126" s="197"/>
      <c r="I126" s="199"/>
      <c r="J126" s="200"/>
      <c r="K126" s="211"/>
      <c r="L126" s="201"/>
      <c r="M126" s="201"/>
    </row>
    <row r="127">
      <c r="A127" s="190"/>
      <c r="B127" s="195"/>
      <c r="C127" s="196"/>
      <c r="D127" s="196"/>
      <c r="E127" s="197"/>
      <c r="F127" s="198"/>
      <c r="G127" s="199"/>
      <c r="H127" s="197"/>
      <c r="I127" s="199"/>
      <c r="J127" s="200"/>
      <c r="K127" s="211"/>
      <c r="L127" s="201"/>
      <c r="M127" s="201"/>
    </row>
    <row r="128">
      <c r="A128" s="190"/>
      <c r="B128" s="195"/>
      <c r="C128" s="196"/>
      <c r="D128" s="196"/>
      <c r="E128" s="197"/>
      <c r="F128" s="198"/>
      <c r="G128" s="199"/>
      <c r="H128" s="197"/>
      <c r="I128" s="199"/>
      <c r="J128" s="200"/>
      <c r="K128" s="211"/>
      <c r="L128" s="201"/>
      <c r="M128" s="201"/>
    </row>
    <row r="129">
      <c r="A129" s="190"/>
      <c r="B129" s="195"/>
      <c r="C129" s="196"/>
      <c r="D129" s="196"/>
      <c r="E129" s="197"/>
      <c r="F129" s="198"/>
      <c r="G129" s="199"/>
      <c r="H129" s="197"/>
      <c r="I129" s="199"/>
      <c r="J129" s="200"/>
      <c r="K129" s="211"/>
      <c r="L129" s="201"/>
      <c r="M129" s="201"/>
    </row>
    <row r="130">
      <c r="A130" s="190"/>
      <c r="B130" s="195"/>
      <c r="C130" s="196"/>
      <c r="D130" s="196"/>
      <c r="E130" s="197"/>
      <c r="F130" s="198"/>
      <c r="G130" s="199"/>
      <c r="H130" s="197"/>
      <c r="I130" s="199"/>
      <c r="J130" s="200"/>
      <c r="K130" s="211"/>
      <c r="L130" s="201"/>
      <c r="M130" s="201"/>
    </row>
    <row r="131">
      <c r="A131" s="190"/>
      <c r="B131" s="195"/>
      <c r="C131" s="196"/>
      <c r="D131" s="196"/>
      <c r="E131" s="197"/>
      <c r="F131" s="198"/>
      <c r="G131" s="199"/>
      <c r="H131" s="197"/>
      <c r="I131" s="199"/>
      <c r="J131" s="200"/>
      <c r="K131" s="211"/>
      <c r="L131" s="201"/>
      <c r="M131" s="201"/>
    </row>
    <row r="132">
      <c r="A132" s="190"/>
      <c r="B132" s="195"/>
      <c r="C132" s="196"/>
      <c r="D132" s="196"/>
      <c r="E132" s="197"/>
      <c r="F132" s="198"/>
      <c r="G132" s="199"/>
      <c r="H132" s="197"/>
      <c r="I132" s="199"/>
      <c r="J132" s="200"/>
      <c r="K132" s="211"/>
      <c r="L132" s="201"/>
      <c r="M132" s="201"/>
    </row>
    <row r="133">
      <c r="A133" s="190"/>
      <c r="B133" s="195"/>
      <c r="C133" s="196"/>
      <c r="D133" s="196"/>
      <c r="E133" s="197"/>
      <c r="F133" s="198"/>
      <c r="G133" s="199"/>
      <c r="H133" s="197"/>
      <c r="I133" s="199"/>
      <c r="J133" s="200"/>
      <c r="K133" s="211"/>
      <c r="L133" s="201"/>
      <c r="M133" s="201"/>
    </row>
    <row r="134">
      <c r="A134" s="190"/>
      <c r="B134" s="195"/>
      <c r="C134" s="196"/>
      <c r="D134" s="196"/>
      <c r="E134" s="197"/>
      <c r="F134" s="198"/>
      <c r="G134" s="199"/>
      <c r="H134" s="197"/>
      <c r="I134" s="199"/>
      <c r="J134" s="200"/>
      <c r="K134" s="211"/>
      <c r="L134" s="201"/>
      <c r="M134" s="201"/>
    </row>
    <row r="135">
      <c r="A135" s="190"/>
      <c r="B135" s="195"/>
      <c r="C135" s="196"/>
      <c r="D135" s="196"/>
      <c r="E135" s="197"/>
      <c r="F135" s="198"/>
      <c r="G135" s="199"/>
      <c r="H135" s="197"/>
      <c r="I135" s="199"/>
      <c r="J135" s="200"/>
      <c r="K135" s="211"/>
      <c r="L135" s="201"/>
      <c r="M135" s="201"/>
    </row>
    <row r="136">
      <c r="A136" s="190"/>
      <c r="B136" s="195"/>
      <c r="C136" s="196"/>
      <c r="D136" s="196"/>
      <c r="E136" s="197"/>
      <c r="F136" s="198"/>
      <c r="G136" s="199"/>
      <c r="H136" s="197"/>
      <c r="I136" s="199"/>
      <c r="J136" s="200"/>
      <c r="K136" s="211"/>
      <c r="L136" s="201"/>
      <c r="M136" s="201"/>
    </row>
    <row r="137">
      <c r="A137" s="190"/>
      <c r="B137" s="195"/>
      <c r="C137" s="196"/>
      <c r="D137" s="196"/>
      <c r="E137" s="197"/>
      <c r="F137" s="198"/>
      <c r="G137" s="199"/>
      <c r="H137" s="197"/>
      <c r="I137" s="199"/>
      <c r="J137" s="200"/>
      <c r="K137" s="211"/>
      <c r="L137" s="201"/>
      <c r="M137" s="201"/>
    </row>
    <row r="138">
      <c r="A138" s="190"/>
      <c r="B138" s="195"/>
      <c r="C138" s="196"/>
      <c r="D138" s="196"/>
      <c r="E138" s="197"/>
      <c r="F138" s="198"/>
      <c r="G138" s="199"/>
      <c r="H138" s="197"/>
      <c r="I138" s="199"/>
      <c r="J138" s="200"/>
      <c r="K138" s="211"/>
      <c r="L138" s="201"/>
      <c r="M138" s="201"/>
    </row>
    <row r="139">
      <c r="A139" s="190"/>
      <c r="B139" s="195"/>
      <c r="C139" s="196"/>
      <c r="D139" s="196"/>
      <c r="E139" s="197"/>
      <c r="F139" s="198"/>
      <c r="G139" s="199"/>
      <c r="H139" s="197"/>
      <c r="I139" s="199"/>
      <c r="J139" s="200"/>
      <c r="K139" s="211"/>
      <c r="L139" s="201"/>
      <c r="M139" s="201"/>
    </row>
    <row r="140">
      <c r="A140" s="190"/>
      <c r="B140" s="195"/>
      <c r="C140" s="196"/>
      <c r="D140" s="196"/>
      <c r="E140" s="197"/>
      <c r="F140" s="198"/>
      <c r="G140" s="199"/>
      <c r="H140" s="197"/>
      <c r="I140" s="199"/>
      <c r="J140" s="200"/>
      <c r="K140" s="211"/>
      <c r="L140" s="201"/>
      <c r="M140" s="201"/>
    </row>
    <row r="141">
      <c r="A141" s="190"/>
      <c r="B141" s="195"/>
      <c r="C141" s="196"/>
      <c r="D141" s="196"/>
      <c r="E141" s="197"/>
      <c r="F141" s="198"/>
      <c r="G141" s="199"/>
      <c r="H141" s="197"/>
      <c r="I141" s="199"/>
      <c r="J141" s="200"/>
      <c r="K141" s="211"/>
      <c r="L141" s="201"/>
      <c r="M141" s="201"/>
    </row>
    <row r="142">
      <c r="A142" s="190"/>
      <c r="B142" s="195"/>
      <c r="C142" s="196"/>
      <c r="D142" s="196"/>
      <c r="E142" s="197"/>
      <c r="F142" s="198"/>
      <c r="G142" s="199"/>
      <c r="H142" s="197"/>
      <c r="I142" s="199"/>
      <c r="J142" s="200"/>
      <c r="K142" s="211"/>
      <c r="L142" s="201"/>
      <c r="M142" s="201"/>
    </row>
    <row r="143">
      <c r="A143" s="190"/>
      <c r="B143" s="195"/>
      <c r="C143" s="196"/>
      <c r="D143" s="196"/>
      <c r="E143" s="197"/>
      <c r="F143" s="198"/>
      <c r="G143" s="199"/>
      <c r="H143" s="197"/>
      <c r="I143" s="199"/>
      <c r="J143" s="200"/>
      <c r="K143" s="211"/>
      <c r="L143" s="201"/>
      <c r="M143" s="201"/>
    </row>
    <row r="144">
      <c r="A144" s="190"/>
      <c r="B144" s="195"/>
      <c r="C144" s="196"/>
      <c r="D144" s="196"/>
      <c r="E144" s="197"/>
      <c r="F144" s="198"/>
      <c r="G144" s="199"/>
      <c r="H144" s="197"/>
      <c r="I144" s="199"/>
      <c r="J144" s="200"/>
      <c r="K144" s="211"/>
      <c r="L144" s="201"/>
      <c r="M144" s="201"/>
    </row>
    <row r="145">
      <c r="A145" s="190"/>
      <c r="B145" s="195"/>
      <c r="C145" s="196"/>
      <c r="D145" s="196"/>
      <c r="E145" s="197"/>
      <c r="F145" s="198"/>
      <c r="G145" s="199"/>
      <c r="H145" s="197"/>
      <c r="I145" s="199"/>
      <c r="J145" s="200"/>
      <c r="K145" s="211"/>
      <c r="L145" s="201"/>
      <c r="M145" s="201"/>
    </row>
    <row r="146">
      <c r="A146" s="190"/>
      <c r="B146" s="195"/>
      <c r="C146" s="196"/>
      <c r="D146" s="196"/>
      <c r="E146" s="197"/>
      <c r="F146" s="198"/>
      <c r="G146" s="199"/>
      <c r="H146" s="197"/>
      <c r="I146" s="199"/>
      <c r="J146" s="200"/>
      <c r="K146" s="211"/>
      <c r="L146" s="201"/>
      <c r="M146" s="201"/>
    </row>
    <row r="147">
      <c r="A147" s="190"/>
      <c r="B147" s="195"/>
      <c r="C147" s="196"/>
      <c r="D147" s="196"/>
      <c r="E147" s="197"/>
      <c r="F147" s="198"/>
      <c r="G147" s="199"/>
      <c r="H147" s="197"/>
      <c r="I147" s="199"/>
      <c r="J147" s="200"/>
      <c r="K147" s="211"/>
      <c r="L147" s="201"/>
      <c r="M147" s="201"/>
    </row>
    <row r="148">
      <c r="A148" s="190"/>
      <c r="B148" s="195"/>
      <c r="C148" s="196"/>
      <c r="D148" s="196"/>
      <c r="E148" s="197"/>
      <c r="F148" s="198"/>
      <c r="G148" s="199"/>
      <c r="H148" s="197"/>
      <c r="I148" s="199"/>
      <c r="J148" s="200"/>
      <c r="K148" s="211"/>
      <c r="L148" s="201"/>
      <c r="M148" s="201"/>
    </row>
    <row r="149">
      <c r="A149" s="190"/>
      <c r="B149" s="195"/>
      <c r="C149" s="196"/>
      <c r="D149" s="196"/>
      <c r="E149" s="197"/>
      <c r="F149" s="198"/>
      <c r="G149" s="199"/>
      <c r="H149" s="197"/>
      <c r="I149" s="199"/>
      <c r="J149" s="200"/>
      <c r="K149" s="211"/>
      <c r="L149" s="201"/>
      <c r="M149" s="201"/>
    </row>
    <row r="150">
      <c r="A150" s="190"/>
      <c r="B150" s="195"/>
      <c r="C150" s="196"/>
      <c r="D150" s="196"/>
      <c r="E150" s="197"/>
      <c r="F150" s="198"/>
      <c r="G150" s="199"/>
      <c r="H150" s="197"/>
      <c r="I150" s="199"/>
      <c r="J150" s="200"/>
      <c r="K150" s="211"/>
      <c r="L150" s="201"/>
      <c r="M150" s="201"/>
    </row>
    <row r="151">
      <c r="A151" s="190"/>
      <c r="B151" s="195"/>
      <c r="C151" s="196"/>
      <c r="D151" s="196"/>
      <c r="E151" s="197"/>
      <c r="F151" s="198"/>
      <c r="G151" s="199"/>
      <c r="H151" s="197"/>
      <c r="I151" s="199"/>
      <c r="J151" s="200"/>
      <c r="K151" s="211"/>
      <c r="L151" s="201"/>
      <c r="M151" s="201"/>
    </row>
    <row r="152">
      <c r="A152" s="190"/>
      <c r="B152" s="195"/>
      <c r="C152" s="196"/>
      <c r="D152" s="196"/>
      <c r="E152" s="197"/>
      <c r="F152" s="198"/>
      <c r="G152" s="199"/>
      <c r="H152" s="197"/>
      <c r="I152" s="199"/>
      <c r="J152" s="200"/>
      <c r="K152" s="211"/>
      <c r="L152" s="201"/>
      <c r="M152" s="201"/>
    </row>
    <row r="153">
      <c r="A153" s="190"/>
      <c r="B153" s="195"/>
      <c r="C153" s="196"/>
      <c r="D153" s="196"/>
      <c r="E153" s="197"/>
      <c r="F153" s="198"/>
      <c r="G153" s="199"/>
      <c r="H153" s="197"/>
      <c r="I153" s="199"/>
      <c r="J153" s="200"/>
      <c r="K153" s="211"/>
      <c r="L153" s="201"/>
      <c r="M153" s="201"/>
    </row>
    <row r="154">
      <c r="A154" s="190"/>
      <c r="B154" s="195"/>
      <c r="C154" s="196"/>
      <c r="D154" s="196"/>
      <c r="E154" s="197"/>
      <c r="F154" s="198"/>
      <c r="G154" s="199"/>
      <c r="H154" s="197"/>
      <c r="I154" s="199"/>
      <c r="J154" s="200"/>
      <c r="K154" s="211"/>
      <c r="L154" s="201"/>
      <c r="M154" s="201"/>
    </row>
    <row r="155">
      <c r="A155" s="190"/>
      <c r="B155" s="195"/>
      <c r="C155" s="196"/>
      <c r="D155" s="196"/>
      <c r="E155" s="197"/>
      <c r="F155" s="198"/>
      <c r="G155" s="199"/>
      <c r="H155" s="197"/>
      <c r="I155" s="199"/>
      <c r="J155" s="200"/>
      <c r="K155" s="211"/>
      <c r="L155" s="201"/>
      <c r="M155" s="201"/>
    </row>
    <row r="156">
      <c r="A156" s="190"/>
      <c r="B156" s="195"/>
      <c r="C156" s="196"/>
      <c r="D156" s="196"/>
      <c r="E156" s="197"/>
      <c r="F156" s="198"/>
      <c r="G156" s="199"/>
      <c r="H156" s="197"/>
      <c r="I156" s="199"/>
      <c r="J156" s="200"/>
      <c r="K156" s="211"/>
      <c r="L156" s="201"/>
      <c r="M156" s="201"/>
    </row>
    <row r="157">
      <c r="A157" s="190"/>
      <c r="B157" s="195"/>
      <c r="C157" s="196"/>
      <c r="D157" s="196"/>
      <c r="E157" s="197"/>
      <c r="F157" s="198"/>
      <c r="G157" s="199"/>
      <c r="H157" s="197"/>
      <c r="I157" s="199"/>
      <c r="J157" s="200"/>
      <c r="K157" s="211"/>
      <c r="L157" s="201"/>
      <c r="M157" s="201"/>
    </row>
    <row r="158">
      <c r="A158" s="190"/>
      <c r="B158" s="195"/>
      <c r="C158" s="196"/>
      <c r="D158" s="196"/>
      <c r="E158" s="197"/>
      <c r="F158" s="198"/>
      <c r="G158" s="199"/>
      <c r="H158" s="197"/>
      <c r="I158" s="199"/>
      <c r="J158" s="200"/>
      <c r="K158" s="211"/>
      <c r="L158" s="201"/>
      <c r="M158" s="201"/>
    </row>
    <row r="159">
      <c r="A159" s="190"/>
      <c r="B159" s="195"/>
      <c r="C159" s="196"/>
      <c r="D159" s="196"/>
      <c r="E159" s="197"/>
      <c r="F159" s="198"/>
      <c r="G159" s="199"/>
      <c r="H159" s="197"/>
      <c r="I159" s="199"/>
      <c r="J159" s="200"/>
      <c r="K159" s="211"/>
      <c r="L159" s="201"/>
      <c r="M159" s="201"/>
    </row>
    <row r="160">
      <c r="A160" s="190"/>
      <c r="B160" s="195"/>
      <c r="C160" s="196"/>
      <c r="D160" s="196"/>
      <c r="E160" s="197"/>
      <c r="F160" s="198"/>
      <c r="G160" s="199"/>
      <c r="H160" s="197"/>
      <c r="I160" s="199"/>
      <c r="J160" s="200"/>
      <c r="K160" s="211"/>
      <c r="L160" s="201"/>
      <c r="M160" s="201"/>
    </row>
    <row r="161">
      <c r="A161" s="190"/>
      <c r="B161" s="195"/>
      <c r="C161" s="196"/>
      <c r="D161" s="196"/>
      <c r="E161" s="197"/>
      <c r="F161" s="198"/>
      <c r="G161" s="199"/>
      <c r="H161" s="197"/>
      <c r="I161" s="199"/>
      <c r="J161" s="200"/>
      <c r="K161" s="211"/>
      <c r="L161" s="201"/>
      <c r="M161" s="201"/>
    </row>
    <row r="162">
      <c r="A162" s="190"/>
      <c r="B162" s="195"/>
      <c r="C162" s="196"/>
      <c r="D162" s="196"/>
      <c r="E162" s="197"/>
      <c r="F162" s="198"/>
      <c r="G162" s="199"/>
      <c r="H162" s="197"/>
      <c r="I162" s="199"/>
      <c r="J162" s="200"/>
      <c r="K162" s="211"/>
      <c r="L162" s="201"/>
      <c r="M162" s="201"/>
    </row>
    <row r="163">
      <c r="A163" s="190"/>
      <c r="B163" s="195"/>
      <c r="C163" s="196"/>
      <c r="D163" s="196"/>
      <c r="E163" s="197"/>
      <c r="F163" s="198"/>
      <c r="G163" s="199"/>
      <c r="H163" s="197"/>
      <c r="I163" s="199"/>
      <c r="J163" s="200"/>
      <c r="K163" s="211"/>
      <c r="L163" s="201"/>
      <c r="M163" s="201"/>
    </row>
    <row r="164">
      <c r="A164" s="190"/>
      <c r="B164" s="195"/>
      <c r="C164" s="196"/>
      <c r="D164" s="196"/>
      <c r="E164" s="197"/>
      <c r="F164" s="198"/>
      <c r="G164" s="199"/>
      <c r="H164" s="197"/>
      <c r="I164" s="199"/>
      <c r="J164" s="200"/>
      <c r="K164" s="211"/>
      <c r="L164" s="201"/>
      <c r="M164" s="201"/>
    </row>
    <row r="165">
      <c r="A165" s="190"/>
      <c r="B165" s="195"/>
      <c r="C165" s="196"/>
      <c r="D165" s="196"/>
      <c r="E165" s="197"/>
      <c r="F165" s="198"/>
      <c r="G165" s="199"/>
      <c r="H165" s="197"/>
      <c r="I165" s="199"/>
      <c r="J165" s="200"/>
      <c r="K165" s="211"/>
      <c r="L165" s="201"/>
      <c r="M165" s="201"/>
    </row>
    <row r="166">
      <c r="A166" s="190"/>
      <c r="B166" s="195"/>
      <c r="C166" s="196"/>
      <c r="D166" s="196"/>
      <c r="E166" s="197"/>
      <c r="F166" s="198"/>
      <c r="G166" s="199"/>
      <c r="H166" s="197"/>
      <c r="I166" s="199"/>
      <c r="J166" s="200"/>
      <c r="K166" s="211"/>
      <c r="L166" s="201"/>
      <c r="M166" s="201"/>
    </row>
    <row r="167">
      <c r="A167" s="190"/>
      <c r="B167" s="195"/>
      <c r="C167" s="196"/>
      <c r="D167" s="196"/>
      <c r="E167" s="197"/>
      <c r="F167" s="198"/>
      <c r="G167" s="199"/>
      <c r="H167" s="197"/>
      <c r="I167" s="199"/>
      <c r="J167" s="200"/>
      <c r="K167" s="211"/>
      <c r="L167" s="201"/>
      <c r="M167" s="201"/>
    </row>
    <row r="168">
      <c r="A168" s="190"/>
      <c r="B168" s="195"/>
      <c r="C168" s="196"/>
      <c r="D168" s="196"/>
      <c r="E168" s="197"/>
      <c r="F168" s="198"/>
      <c r="G168" s="199"/>
      <c r="H168" s="197"/>
      <c r="I168" s="199"/>
      <c r="J168" s="200"/>
      <c r="K168" s="211"/>
      <c r="L168" s="201"/>
      <c r="M168" s="201"/>
    </row>
    <row r="169">
      <c r="A169" s="190"/>
      <c r="B169" s="195"/>
      <c r="C169" s="196"/>
      <c r="D169" s="196"/>
      <c r="E169" s="197"/>
      <c r="F169" s="198"/>
      <c r="G169" s="199"/>
      <c r="H169" s="197"/>
      <c r="I169" s="199"/>
      <c r="J169" s="200"/>
      <c r="K169" s="211"/>
      <c r="L169" s="201"/>
      <c r="M169" s="201"/>
    </row>
    <row r="170">
      <c r="A170" s="190"/>
      <c r="B170" s="195"/>
      <c r="C170" s="196"/>
      <c r="D170" s="196"/>
      <c r="E170" s="197"/>
      <c r="F170" s="198"/>
      <c r="G170" s="199"/>
      <c r="H170" s="197"/>
      <c r="I170" s="199"/>
      <c r="J170" s="200"/>
      <c r="K170" s="211"/>
      <c r="L170" s="201"/>
      <c r="M170" s="201"/>
    </row>
    <row r="171">
      <c r="A171" s="190"/>
      <c r="B171" s="195"/>
      <c r="C171" s="196"/>
      <c r="D171" s="196"/>
      <c r="E171" s="197"/>
      <c r="F171" s="198"/>
      <c r="G171" s="199"/>
      <c r="H171" s="197"/>
      <c r="I171" s="199"/>
      <c r="J171" s="200"/>
      <c r="K171" s="211"/>
      <c r="L171" s="201"/>
      <c r="M171" s="201"/>
    </row>
    <row r="172">
      <c r="A172" s="190"/>
      <c r="B172" s="195"/>
      <c r="C172" s="196"/>
      <c r="D172" s="196"/>
      <c r="E172" s="197"/>
      <c r="F172" s="198"/>
      <c r="G172" s="199"/>
      <c r="H172" s="197"/>
      <c r="I172" s="199"/>
      <c r="J172" s="200"/>
      <c r="K172" s="211"/>
      <c r="L172" s="201"/>
      <c r="M172" s="201"/>
    </row>
    <row r="173">
      <c r="A173" s="190"/>
      <c r="B173" s="195"/>
      <c r="C173" s="196"/>
      <c r="D173" s="196"/>
      <c r="E173" s="197"/>
      <c r="F173" s="198"/>
      <c r="G173" s="199"/>
      <c r="H173" s="197"/>
      <c r="I173" s="199"/>
      <c r="J173" s="200"/>
      <c r="K173" s="211"/>
      <c r="L173" s="201"/>
      <c r="M173" s="201"/>
    </row>
    <row r="174">
      <c r="A174" s="190"/>
      <c r="B174" s="195"/>
      <c r="C174" s="196"/>
      <c r="D174" s="196"/>
      <c r="E174" s="197"/>
      <c r="F174" s="198"/>
      <c r="G174" s="199"/>
      <c r="H174" s="197"/>
      <c r="I174" s="199"/>
      <c r="J174" s="200"/>
      <c r="K174" s="211"/>
      <c r="L174" s="201"/>
      <c r="M174" s="201"/>
    </row>
    <row r="175">
      <c r="A175" s="190"/>
      <c r="B175" s="195"/>
      <c r="C175" s="196"/>
      <c r="D175" s="196"/>
      <c r="E175" s="197"/>
      <c r="F175" s="198"/>
      <c r="G175" s="199"/>
      <c r="H175" s="197"/>
      <c r="I175" s="199"/>
      <c r="J175" s="200"/>
      <c r="K175" s="211"/>
      <c r="L175" s="201"/>
      <c r="M175" s="201"/>
    </row>
    <row r="176">
      <c r="A176" s="190"/>
      <c r="B176" s="195"/>
      <c r="C176" s="196"/>
      <c r="D176" s="196"/>
      <c r="E176" s="197"/>
      <c r="F176" s="198"/>
      <c r="G176" s="199"/>
      <c r="H176" s="197"/>
      <c r="I176" s="199"/>
      <c r="J176" s="200"/>
      <c r="K176" s="211"/>
      <c r="L176" s="201"/>
      <c r="M176" s="201"/>
    </row>
    <row r="177">
      <c r="A177" s="190"/>
      <c r="B177" s="195"/>
      <c r="C177" s="196"/>
      <c r="D177" s="196"/>
      <c r="E177" s="197"/>
      <c r="F177" s="198"/>
      <c r="G177" s="199"/>
      <c r="H177" s="197"/>
      <c r="I177" s="199"/>
      <c r="J177" s="200"/>
      <c r="K177" s="211"/>
      <c r="L177" s="201"/>
      <c r="M177" s="201"/>
    </row>
    <row r="178">
      <c r="A178" s="190"/>
      <c r="B178" s="195"/>
      <c r="C178" s="196"/>
      <c r="D178" s="196"/>
      <c r="E178" s="197"/>
      <c r="F178" s="198"/>
      <c r="G178" s="199"/>
      <c r="H178" s="197"/>
      <c r="I178" s="199"/>
      <c r="J178" s="200"/>
      <c r="K178" s="211"/>
      <c r="L178" s="201"/>
      <c r="M178" s="201"/>
    </row>
    <row r="179">
      <c r="A179" s="190"/>
      <c r="B179" s="195"/>
      <c r="C179" s="196"/>
      <c r="D179" s="196"/>
      <c r="E179" s="197"/>
      <c r="F179" s="198"/>
      <c r="G179" s="199"/>
      <c r="H179" s="197"/>
      <c r="I179" s="199"/>
      <c r="J179" s="200"/>
      <c r="K179" s="211"/>
      <c r="L179" s="201"/>
      <c r="M179" s="201"/>
    </row>
    <row r="180">
      <c r="A180" s="190"/>
      <c r="B180" s="195"/>
      <c r="C180" s="196"/>
      <c r="D180" s="196"/>
      <c r="E180" s="197"/>
      <c r="F180" s="198"/>
      <c r="G180" s="199"/>
      <c r="H180" s="197"/>
      <c r="I180" s="199"/>
      <c r="J180" s="200"/>
      <c r="K180" s="211"/>
      <c r="L180" s="201"/>
      <c r="M180" s="201"/>
    </row>
    <row r="181">
      <c r="A181" s="190"/>
      <c r="B181" s="195"/>
      <c r="C181" s="196"/>
      <c r="D181" s="196"/>
      <c r="E181" s="197"/>
      <c r="F181" s="198"/>
      <c r="G181" s="199"/>
      <c r="H181" s="197"/>
      <c r="I181" s="199"/>
      <c r="J181" s="200"/>
      <c r="K181" s="211"/>
      <c r="L181" s="201"/>
      <c r="M181" s="201"/>
    </row>
    <row r="182">
      <c r="A182" s="190"/>
      <c r="B182" s="195"/>
      <c r="C182" s="196"/>
      <c r="D182" s="196"/>
      <c r="E182" s="197"/>
      <c r="F182" s="198"/>
      <c r="G182" s="199"/>
      <c r="H182" s="197"/>
      <c r="I182" s="199"/>
      <c r="J182" s="200"/>
      <c r="K182" s="211"/>
      <c r="L182" s="201"/>
      <c r="M182" s="201"/>
    </row>
    <row r="183">
      <c r="A183" s="190"/>
      <c r="B183" s="195"/>
      <c r="C183" s="196"/>
      <c r="D183" s="196"/>
      <c r="E183" s="197"/>
      <c r="F183" s="198"/>
      <c r="G183" s="199"/>
      <c r="H183" s="197"/>
      <c r="I183" s="199"/>
      <c r="J183" s="200"/>
      <c r="K183" s="211"/>
      <c r="L183" s="201"/>
      <c r="M183" s="201"/>
    </row>
    <row r="184">
      <c r="A184" s="190"/>
      <c r="B184" s="195"/>
      <c r="C184" s="196"/>
      <c r="D184" s="196"/>
      <c r="E184" s="197"/>
      <c r="F184" s="198"/>
      <c r="G184" s="199"/>
      <c r="H184" s="197"/>
      <c r="I184" s="199"/>
      <c r="J184" s="200"/>
      <c r="K184" s="211"/>
      <c r="L184" s="201"/>
      <c r="M184" s="201"/>
    </row>
    <row r="185">
      <c r="A185" s="190"/>
      <c r="B185" s="195"/>
      <c r="C185" s="196"/>
      <c r="D185" s="196"/>
      <c r="E185" s="197"/>
      <c r="F185" s="198"/>
      <c r="G185" s="199"/>
      <c r="H185" s="197"/>
      <c r="I185" s="199"/>
      <c r="J185" s="200"/>
      <c r="K185" s="211"/>
      <c r="L185" s="201"/>
      <c r="M185" s="201"/>
    </row>
    <row r="186">
      <c r="A186" s="190"/>
      <c r="B186" s="195"/>
      <c r="C186" s="196"/>
      <c r="D186" s="196"/>
      <c r="E186" s="197"/>
      <c r="F186" s="198"/>
      <c r="G186" s="199"/>
      <c r="H186" s="197"/>
      <c r="I186" s="199"/>
      <c r="J186" s="200"/>
      <c r="K186" s="211"/>
      <c r="L186" s="201"/>
      <c r="M186" s="201"/>
    </row>
    <row r="187">
      <c r="A187" s="190"/>
      <c r="B187" s="195"/>
      <c r="C187" s="196"/>
      <c r="D187" s="196"/>
      <c r="E187" s="197"/>
      <c r="F187" s="198"/>
      <c r="G187" s="199"/>
      <c r="H187" s="197"/>
      <c r="I187" s="199"/>
      <c r="J187" s="200"/>
      <c r="K187" s="211"/>
      <c r="L187" s="201"/>
      <c r="M187" s="201"/>
    </row>
    <row r="188">
      <c r="A188" s="190"/>
      <c r="B188" s="195"/>
      <c r="C188" s="196"/>
      <c r="D188" s="196"/>
      <c r="E188" s="197"/>
      <c r="F188" s="198"/>
      <c r="G188" s="199"/>
      <c r="H188" s="197"/>
      <c r="I188" s="199"/>
      <c r="J188" s="200"/>
      <c r="K188" s="211"/>
      <c r="L188" s="201"/>
      <c r="M188" s="201"/>
    </row>
    <row r="189">
      <c r="A189" s="190"/>
      <c r="B189" s="195"/>
      <c r="C189" s="196"/>
      <c r="D189" s="196"/>
      <c r="E189" s="197"/>
      <c r="F189" s="198"/>
      <c r="G189" s="199"/>
      <c r="H189" s="197"/>
      <c r="I189" s="199"/>
      <c r="J189" s="200"/>
      <c r="K189" s="211"/>
      <c r="L189" s="201"/>
      <c r="M189" s="201"/>
    </row>
    <row r="190">
      <c r="A190" s="190"/>
      <c r="B190" s="195"/>
      <c r="C190" s="196"/>
      <c r="D190" s="196"/>
      <c r="E190" s="197"/>
      <c r="F190" s="198"/>
      <c r="G190" s="199"/>
      <c r="H190" s="197"/>
      <c r="I190" s="199"/>
      <c r="J190" s="200"/>
      <c r="K190" s="211"/>
      <c r="L190" s="201"/>
      <c r="M190" s="201"/>
    </row>
    <row r="191">
      <c r="A191" s="190"/>
      <c r="B191" s="195"/>
      <c r="C191" s="196"/>
      <c r="D191" s="196"/>
      <c r="E191" s="197"/>
      <c r="F191" s="198"/>
      <c r="G191" s="199"/>
      <c r="H191" s="197"/>
      <c r="I191" s="199"/>
      <c r="J191" s="200"/>
      <c r="K191" s="211"/>
      <c r="L191" s="201"/>
      <c r="M191" s="201"/>
    </row>
    <row r="192">
      <c r="A192" s="190"/>
      <c r="B192" s="195"/>
      <c r="C192" s="196"/>
      <c r="D192" s="196"/>
      <c r="E192" s="197"/>
      <c r="F192" s="198"/>
      <c r="G192" s="199"/>
      <c r="H192" s="197"/>
      <c r="I192" s="199"/>
      <c r="J192" s="200"/>
      <c r="K192" s="211"/>
      <c r="L192" s="201"/>
      <c r="M192" s="201"/>
    </row>
    <row r="193">
      <c r="A193" s="190"/>
      <c r="B193" s="195"/>
      <c r="C193" s="196"/>
      <c r="D193" s="196"/>
      <c r="E193" s="197"/>
      <c r="F193" s="198"/>
      <c r="G193" s="199"/>
      <c r="H193" s="197"/>
      <c r="I193" s="199"/>
      <c r="J193" s="200"/>
      <c r="K193" s="211"/>
      <c r="L193" s="201"/>
      <c r="M193" s="201"/>
    </row>
    <row r="194">
      <c r="A194" s="190"/>
      <c r="B194" s="195"/>
      <c r="C194" s="196"/>
      <c r="D194" s="196"/>
      <c r="E194" s="197"/>
      <c r="F194" s="198"/>
      <c r="G194" s="199"/>
      <c r="H194" s="197"/>
      <c r="I194" s="199"/>
      <c r="J194" s="200"/>
      <c r="K194" s="211"/>
      <c r="L194" s="201"/>
      <c r="M194" s="201"/>
    </row>
    <row r="195">
      <c r="A195" s="190"/>
      <c r="B195" s="195"/>
      <c r="C195" s="196"/>
      <c r="D195" s="196"/>
      <c r="E195" s="197"/>
      <c r="F195" s="198"/>
      <c r="G195" s="199"/>
      <c r="H195" s="197"/>
      <c r="I195" s="199"/>
      <c r="J195" s="200"/>
      <c r="K195" s="211"/>
      <c r="L195" s="201"/>
      <c r="M195" s="201"/>
    </row>
    <row r="196">
      <c r="A196" s="190"/>
      <c r="B196" s="195"/>
      <c r="C196" s="196"/>
      <c r="D196" s="196"/>
      <c r="E196" s="197"/>
      <c r="F196" s="198"/>
      <c r="G196" s="199"/>
      <c r="H196" s="197"/>
      <c r="I196" s="199"/>
      <c r="J196" s="200"/>
      <c r="K196" s="211"/>
      <c r="L196" s="201"/>
      <c r="M196" s="201"/>
    </row>
    <row r="197">
      <c r="A197" s="190"/>
      <c r="B197" s="195"/>
      <c r="C197" s="196"/>
      <c r="D197" s="196"/>
      <c r="E197" s="197"/>
      <c r="F197" s="198"/>
      <c r="G197" s="199"/>
      <c r="H197" s="197"/>
      <c r="I197" s="199"/>
      <c r="J197" s="200"/>
      <c r="K197" s="211"/>
      <c r="L197" s="201"/>
      <c r="M197" s="201"/>
    </row>
    <row r="198">
      <c r="A198" s="190"/>
      <c r="B198" s="195"/>
      <c r="C198" s="196"/>
      <c r="D198" s="196"/>
      <c r="E198" s="197"/>
      <c r="F198" s="198"/>
      <c r="G198" s="199"/>
      <c r="H198" s="197"/>
      <c r="I198" s="199"/>
      <c r="J198" s="200"/>
      <c r="K198" s="211"/>
      <c r="L198" s="201"/>
      <c r="M198" s="201"/>
    </row>
    <row r="199">
      <c r="A199" s="190"/>
      <c r="B199" s="195"/>
      <c r="C199" s="196"/>
      <c r="D199" s="196"/>
      <c r="E199" s="197"/>
      <c r="F199" s="198"/>
      <c r="G199" s="199"/>
      <c r="H199" s="197"/>
      <c r="I199" s="199"/>
      <c r="J199" s="200"/>
      <c r="K199" s="211"/>
      <c r="L199" s="201"/>
      <c r="M199" s="201"/>
    </row>
    <row r="200">
      <c r="A200" s="190"/>
      <c r="B200" s="195"/>
      <c r="C200" s="196"/>
      <c r="D200" s="196"/>
      <c r="E200" s="197"/>
      <c r="F200" s="198"/>
      <c r="G200" s="199"/>
      <c r="H200" s="197"/>
      <c r="I200" s="199"/>
      <c r="J200" s="200"/>
      <c r="K200" s="211"/>
      <c r="L200" s="201"/>
      <c r="M200" s="201"/>
    </row>
    <row r="201">
      <c r="A201" s="190"/>
      <c r="B201" s="195"/>
      <c r="C201" s="196"/>
      <c r="D201" s="196"/>
      <c r="E201" s="197"/>
      <c r="F201" s="198"/>
      <c r="G201" s="199"/>
      <c r="H201" s="197"/>
      <c r="I201" s="199"/>
      <c r="J201" s="200"/>
      <c r="K201" s="211"/>
      <c r="L201" s="201"/>
      <c r="M201" s="201"/>
    </row>
    <row r="202">
      <c r="A202" s="190"/>
      <c r="B202" s="195"/>
      <c r="C202" s="196"/>
      <c r="D202" s="196"/>
      <c r="E202" s="197"/>
      <c r="F202" s="198"/>
      <c r="G202" s="199"/>
      <c r="H202" s="197"/>
      <c r="I202" s="199"/>
      <c r="J202" s="200"/>
      <c r="K202" s="211"/>
      <c r="L202" s="201"/>
      <c r="M202" s="201"/>
    </row>
    <row r="203">
      <c r="A203" s="190"/>
      <c r="B203" s="195"/>
      <c r="C203" s="196"/>
      <c r="D203" s="196"/>
      <c r="E203" s="197"/>
      <c r="F203" s="198"/>
      <c r="G203" s="199"/>
      <c r="H203" s="197"/>
      <c r="I203" s="199"/>
      <c r="J203" s="200"/>
      <c r="K203" s="211"/>
      <c r="L203" s="201"/>
      <c r="M203" s="201"/>
    </row>
    <row r="204">
      <c r="A204" s="190"/>
      <c r="B204" s="195"/>
      <c r="C204" s="196"/>
      <c r="D204" s="196"/>
      <c r="E204" s="197"/>
      <c r="F204" s="198"/>
      <c r="G204" s="199"/>
      <c r="H204" s="197"/>
      <c r="I204" s="199"/>
      <c r="J204" s="200"/>
      <c r="K204" s="211"/>
      <c r="L204" s="201"/>
      <c r="M204" s="201"/>
    </row>
    <row r="205">
      <c r="A205" s="190"/>
      <c r="B205" s="195"/>
      <c r="C205" s="196"/>
      <c r="D205" s="196"/>
      <c r="E205" s="197"/>
      <c r="F205" s="198"/>
      <c r="G205" s="199"/>
      <c r="H205" s="197"/>
      <c r="I205" s="199"/>
      <c r="J205" s="200"/>
      <c r="K205" s="211"/>
      <c r="L205" s="201"/>
      <c r="M205" s="201"/>
    </row>
    <row r="206">
      <c r="A206" s="190"/>
      <c r="B206" s="195"/>
      <c r="C206" s="196"/>
      <c r="D206" s="196"/>
      <c r="E206" s="197"/>
      <c r="F206" s="198"/>
      <c r="G206" s="199"/>
      <c r="H206" s="197"/>
      <c r="I206" s="199"/>
      <c r="J206" s="200"/>
      <c r="K206" s="211"/>
      <c r="L206" s="201"/>
      <c r="M206" s="201"/>
    </row>
    <row r="207">
      <c r="A207" s="190"/>
      <c r="B207" s="195"/>
      <c r="C207" s="196"/>
      <c r="D207" s="196"/>
      <c r="E207" s="197"/>
      <c r="F207" s="198"/>
      <c r="G207" s="199"/>
      <c r="H207" s="197"/>
      <c r="I207" s="199"/>
      <c r="J207" s="200"/>
      <c r="K207" s="211"/>
      <c r="L207" s="201"/>
      <c r="M207" s="201"/>
    </row>
    <row r="208">
      <c r="A208" s="190"/>
      <c r="B208" s="195"/>
      <c r="C208" s="196"/>
      <c r="D208" s="196"/>
      <c r="E208" s="197"/>
      <c r="F208" s="198"/>
      <c r="G208" s="199"/>
      <c r="H208" s="197"/>
      <c r="I208" s="199"/>
      <c r="J208" s="200"/>
      <c r="K208" s="211"/>
      <c r="L208" s="201"/>
      <c r="M208" s="201"/>
    </row>
    <row r="209">
      <c r="A209" s="190"/>
      <c r="B209" s="195"/>
      <c r="C209" s="196"/>
      <c r="D209" s="196"/>
      <c r="E209" s="197"/>
      <c r="F209" s="198"/>
      <c r="G209" s="199"/>
      <c r="H209" s="197"/>
      <c r="I209" s="199"/>
      <c r="J209" s="200"/>
      <c r="K209" s="211"/>
      <c r="L209" s="201"/>
      <c r="M209" s="201"/>
    </row>
    <row r="210">
      <c r="A210" s="190"/>
      <c r="B210" s="195"/>
      <c r="C210" s="196"/>
      <c r="D210" s="196"/>
      <c r="E210" s="197"/>
      <c r="F210" s="198"/>
      <c r="G210" s="199"/>
      <c r="H210" s="197"/>
      <c r="I210" s="199"/>
      <c r="J210" s="200"/>
      <c r="K210" s="211"/>
      <c r="L210" s="201"/>
      <c r="M210" s="201"/>
    </row>
    <row r="211">
      <c r="A211" s="190"/>
      <c r="B211" s="195"/>
      <c r="C211" s="196"/>
      <c r="D211" s="196"/>
      <c r="E211" s="197"/>
      <c r="F211" s="198"/>
      <c r="G211" s="199"/>
      <c r="H211" s="197"/>
      <c r="I211" s="199"/>
      <c r="J211" s="200"/>
      <c r="K211" s="211"/>
      <c r="L211" s="201"/>
      <c r="M211" s="201"/>
    </row>
    <row r="212">
      <c r="A212" s="190"/>
      <c r="B212" s="195"/>
      <c r="C212" s="196"/>
      <c r="D212" s="196"/>
      <c r="E212" s="197"/>
      <c r="F212" s="198"/>
      <c r="G212" s="199"/>
      <c r="H212" s="197"/>
      <c r="I212" s="199"/>
      <c r="J212" s="200"/>
      <c r="K212" s="211"/>
      <c r="L212" s="201"/>
      <c r="M212" s="201"/>
    </row>
    <row r="213">
      <c r="A213" s="190"/>
      <c r="B213" s="195"/>
      <c r="C213" s="196"/>
      <c r="D213" s="196"/>
      <c r="E213" s="197"/>
      <c r="F213" s="198"/>
      <c r="G213" s="199"/>
      <c r="H213" s="197"/>
      <c r="I213" s="199"/>
      <c r="J213" s="200"/>
      <c r="K213" s="211"/>
      <c r="L213" s="201"/>
      <c r="M213" s="201"/>
    </row>
    <row r="214">
      <c r="A214" s="190"/>
      <c r="B214" s="195"/>
      <c r="C214" s="196"/>
      <c r="D214" s="196"/>
      <c r="E214" s="197"/>
      <c r="F214" s="198"/>
      <c r="G214" s="199"/>
      <c r="H214" s="197"/>
      <c r="I214" s="199"/>
      <c r="J214" s="200"/>
      <c r="K214" s="211"/>
      <c r="L214" s="201"/>
      <c r="M214" s="201"/>
    </row>
    <row r="215">
      <c r="A215" s="190"/>
      <c r="B215" s="195"/>
      <c r="C215" s="196"/>
      <c r="D215" s="196"/>
      <c r="E215" s="197"/>
      <c r="F215" s="198"/>
      <c r="G215" s="199"/>
      <c r="H215" s="197"/>
      <c r="I215" s="199"/>
      <c r="J215" s="200"/>
      <c r="K215" s="211"/>
      <c r="L215" s="201"/>
      <c r="M215" s="201"/>
    </row>
    <row r="216">
      <c r="A216" s="190"/>
      <c r="B216" s="195"/>
      <c r="C216" s="196"/>
      <c r="D216" s="196"/>
      <c r="E216" s="197"/>
      <c r="F216" s="198"/>
      <c r="G216" s="199"/>
      <c r="H216" s="197"/>
      <c r="I216" s="199"/>
      <c r="J216" s="200"/>
      <c r="K216" s="211"/>
      <c r="L216" s="201"/>
      <c r="M216" s="201"/>
    </row>
    <row r="217">
      <c r="A217" s="190"/>
      <c r="B217" s="195"/>
      <c r="C217" s="196"/>
      <c r="D217" s="196"/>
      <c r="E217" s="197"/>
      <c r="F217" s="198"/>
      <c r="G217" s="199"/>
      <c r="H217" s="197"/>
      <c r="I217" s="199"/>
      <c r="J217" s="200"/>
      <c r="K217" s="211"/>
      <c r="L217" s="201"/>
      <c r="M217" s="201"/>
    </row>
    <row r="218">
      <c r="A218" s="190"/>
      <c r="B218" s="195"/>
      <c r="C218" s="196"/>
      <c r="D218" s="196"/>
      <c r="E218" s="197"/>
      <c r="F218" s="198"/>
      <c r="G218" s="199"/>
      <c r="H218" s="197"/>
      <c r="I218" s="199"/>
      <c r="J218" s="200"/>
      <c r="K218" s="211"/>
      <c r="L218" s="201"/>
      <c r="M218" s="201"/>
    </row>
    <row r="219">
      <c r="A219" s="190"/>
      <c r="B219" s="195"/>
      <c r="C219" s="196"/>
      <c r="D219" s="196"/>
      <c r="E219" s="197"/>
      <c r="F219" s="198"/>
      <c r="G219" s="199"/>
      <c r="H219" s="197"/>
      <c r="I219" s="199"/>
      <c r="J219" s="200"/>
      <c r="K219" s="211"/>
      <c r="L219" s="201"/>
      <c r="M219" s="201"/>
    </row>
    <row r="220">
      <c r="A220" s="190"/>
      <c r="B220" s="195"/>
      <c r="C220" s="196"/>
      <c r="D220" s="196"/>
      <c r="E220" s="197"/>
      <c r="F220" s="198"/>
      <c r="G220" s="199"/>
      <c r="H220" s="197"/>
      <c r="I220" s="199"/>
      <c r="J220" s="200"/>
      <c r="K220" s="211"/>
      <c r="L220" s="201"/>
      <c r="M220" s="201"/>
    </row>
    <row r="221">
      <c r="A221" s="190"/>
      <c r="B221" s="195"/>
      <c r="C221" s="196"/>
      <c r="D221" s="196"/>
      <c r="E221" s="197"/>
      <c r="F221" s="198"/>
      <c r="G221" s="199"/>
      <c r="H221" s="197"/>
      <c r="I221" s="199"/>
      <c r="J221" s="200"/>
      <c r="K221" s="211"/>
      <c r="L221" s="201"/>
      <c r="M221" s="201"/>
    </row>
    <row r="222">
      <c r="A222" s="190"/>
      <c r="B222" s="195"/>
      <c r="C222" s="196"/>
      <c r="D222" s="196"/>
      <c r="E222" s="197"/>
      <c r="F222" s="198"/>
      <c r="G222" s="199"/>
      <c r="H222" s="197"/>
      <c r="I222" s="199"/>
      <c r="J222" s="200"/>
      <c r="K222" s="211"/>
      <c r="L222" s="201"/>
      <c r="M222" s="201"/>
    </row>
    <row r="223">
      <c r="A223" s="190"/>
      <c r="B223" s="195"/>
      <c r="C223" s="196"/>
      <c r="D223" s="196"/>
      <c r="E223" s="197"/>
      <c r="F223" s="198"/>
      <c r="G223" s="199"/>
      <c r="H223" s="197"/>
      <c r="I223" s="199"/>
      <c r="J223" s="200"/>
      <c r="K223" s="211"/>
      <c r="L223" s="201"/>
      <c r="M223" s="201"/>
    </row>
    <row r="224">
      <c r="A224" s="190"/>
      <c r="B224" s="195"/>
      <c r="C224" s="196"/>
      <c r="D224" s="196"/>
      <c r="E224" s="197"/>
      <c r="F224" s="198"/>
      <c r="G224" s="199"/>
      <c r="H224" s="197"/>
      <c r="I224" s="199"/>
      <c r="J224" s="200"/>
      <c r="K224" s="211"/>
      <c r="L224" s="201"/>
      <c r="M224" s="201"/>
    </row>
    <row r="225">
      <c r="A225" s="190"/>
      <c r="B225" s="195"/>
      <c r="C225" s="196"/>
      <c r="D225" s="196"/>
      <c r="E225" s="197"/>
      <c r="F225" s="198"/>
      <c r="G225" s="199"/>
      <c r="H225" s="197"/>
      <c r="I225" s="199"/>
      <c r="J225" s="200"/>
      <c r="K225" s="211"/>
      <c r="L225" s="201"/>
      <c r="M225" s="201"/>
    </row>
    <row r="226">
      <c r="A226" s="190"/>
      <c r="B226" s="195"/>
      <c r="C226" s="196"/>
      <c r="D226" s="196"/>
      <c r="E226" s="197"/>
      <c r="F226" s="198"/>
      <c r="G226" s="199"/>
      <c r="H226" s="197"/>
      <c r="I226" s="199"/>
      <c r="J226" s="200"/>
      <c r="K226" s="211"/>
      <c r="L226" s="201"/>
      <c r="M226" s="201"/>
    </row>
    <row r="227">
      <c r="A227" s="190"/>
      <c r="B227" s="195"/>
      <c r="C227" s="196"/>
      <c r="D227" s="196"/>
      <c r="E227" s="197"/>
      <c r="F227" s="198"/>
      <c r="G227" s="199"/>
      <c r="H227" s="197"/>
      <c r="I227" s="199"/>
      <c r="J227" s="200"/>
      <c r="K227" s="211"/>
      <c r="L227" s="201"/>
      <c r="M227" s="201"/>
    </row>
    <row r="228">
      <c r="A228" s="190"/>
      <c r="B228" s="195"/>
      <c r="C228" s="196"/>
      <c r="D228" s="196"/>
      <c r="E228" s="197"/>
      <c r="F228" s="198"/>
      <c r="G228" s="199"/>
      <c r="H228" s="197"/>
      <c r="I228" s="199"/>
      <c r="J228" s="200"/>
      <c r="K228" s="211"/>
      <c r="L228" s="201"/>
      <c r="M228" s="201"/>
    </row>
    <row r="229">
      <c r="A229" s="190"/>
      <c r="B229" s="195"/>
      <c r="C229" s="196"/>
      <c r="D229" s="196"/>
      <c r="E229" s="197"/>
      <c r="F229" s="198"/>
      <c r="G229" s="199"/>
      <c r="H229" s="197"/>
      <c r="I229" s="199"/>
      <c r="J229" s="200"/>
      <c r="K229" s="211"/>
      <c r="L229" s="201"/>
      <c r="M229" s="201"/>
    </row>
    <row r="230">
      <c r="A230" s="190"/>
      <c r="B230" s="195"/>
      <c r="C230" s="196"/>
      <c r="D230" s="196"/>
      <c r="E230" s="197"/>
      <c r="F230" s="198"/>
      <c r="G230" s="199"/>
      <c r="H230" s="197"/>
      <c r="I230" s="199"/>
      <c r="J230" s="200"/>
      <c r="K230" s="211"/>
      <c r="L230" s="201"/>
      <c r="M230" s="201"/>
    </row>
    <row r="231">
      <c r="A231" s="190"/>
      <c r="B231" s="195"/>
      <c r="C231" s="196"/>
      <c r="D231" s="196"/>
      <c r="E231" s="197"/>
      <c r="F231" s="198"/>
      <c r="G231" s="199"/>
      <c r="H231" s="197"/>
      <c r="I231" s="199"/>
      <c r="J231" s="200"/>
      <c r="K231" s="211"/>
      <c r="L231" s="201"/>
      <c r="M231" s="201"/>
    </row>
    <row r="232">
      <c r="A232" s="190"/>
      <c r="B232" s="195"/>
      <c r="C232" s="196"/>
      <c r="D232" s="196"/>
      <c r="E232" s="197"/>
      <c r="F232" s="198"/>
      <c r="G232" s="199"/>
      <c r="H232" s="197"/>
      <c r="I232" s="199"/>
      <c r="J232" s="200"/>
      <c r="K232" s="211"/>
      <c r="L232" s="201"/>
      <c r="M232" s="201"/>
    </row>
    <row r="233">
      <c r="A233" s="190"/>
      <c r="B233" s="195"/>
      <c r="C233" s="196"/>
      <c r="D233" s="196"/>
      <c r="E233" s="197"/>
      <c r="F233" s="198"/>
      <c r="G233" s="199"/>
      <c r="H233" s="197"/>
      <c r="I233" s="199"/>
      <c r="J233" s="200"/>
      <c r="K233" s="211"/>
      <c r="L233" s="201"/>
      <c r="M233" s="201"/>
    </row>
    <row r="234">
      <c r="A234" s="190"/>
      <c r="B234" s="195"/>
      <c r="C234" s="196"/>
      <c r="D234" s="196"/>
      <c r="E234" s="197"/>
      <c r="F234" s="198"/>
      <c r="G234" s="199"/>
      <c r="H234" s="197"/>
      <c r="I234" s="199"/>
      <c r="J234" s="200"/>
      <c r="K234" s="211"/>
      <c r="L234" s="201"/>
      <c r="M234" s="201"/>
    </row>
    <row r="235">
      <c r="A235" s="190"/>
      <c r="B235" s="195"/>
      <c r="C235" s="196"/>
      <c r="D235" s="196"/>
      <c r="E235" s="197"/>
      <c r="F235" s="198"/>
      <c r="G235" s="199"/>
      <c r="H235" s="197"/>
      <c r="I235" s="199"/>
      <c r="J235" s="200"/>
      <c r="K235" s="211"/>
      <c r="L235" s="201"/>
      <c r="M235" s="201"/>
    </row>
    <row r="236">
      <c r="A236" s="190"/>
      <c r="B236" s="195"/>
      <c r="C236" s="196"/>
      <c r="D236" s="196"/>
      <c r="E236" s="197"/>
      <c r="F236" s="198"/>
      <c r="G236" s="199"/>
      <c r="H236" s="197"/>
      <c r="I236" s="199"/>
      <c r="J236" s="200"/>
      <c r="K236" s="211"/>
      <c r="L236" s="201"/>
      <c r="M236" s="201"/>
    </row>
    <row r="237">
      <c r="A237" s="190"/>
      <c r="B237" s="195"/>
      <c r="C237" s="196"/>
      <c r="D237" s="196"/>
      <c r="E237" s="197"/>
      <c r="F237" s="198"/>
      <c r="G237" s="199"/>
      <c r="H237" s="197"/>
      <c r="I237" s="199"/>
      <c r="J237" s="200"/>
      <c r="K237" s="211"/>
      <c r="L237" s="201"/>
      <c r="M237" s="201"/>
    </row>
    <row r="238">
      <c r="A238" s="190"/>
      <c r="B238" s="195"/>
      <c r="C238" s="196"/>
      <c r="D238" s="196"/>
      <c r="E238" s="197"/>
      <c r="F238" s="198"/>
      <c r="G238" s="199"/>
      <c r="H238" s="197"/>
      <c r="I238" s="199"/>
      <c r="J238" s="200"/>
      <c r="K238" s="211"/>
      <c r="L238" s="201"/>
      <c r="M238" s="201"/>
    </row>
    <row r="239">
      <c r="A239" s="190"/>
      <c r="B239" s="195"/>
      <c r="C239" s="196"/>
      <c r="D239" s="196"/>
      <c r="E239" s="197"/>
      <c r="F239" s="198"/>
      <c r="G239" s="199"/>
      <c r="H239" s="197"/>
      <c r="I239" s="199"/>
      <c r="J239" s="200"/>
      <c r="K239" s="211"/>
      <c r="L239" s="201"/>
      <c r="M239" s="201"/>
    </row>
    <row r="240">
      <c r="A240" s="190"/>
      <c r="B240" s="195"/>
      <c r="C240" s="196"/>
      <c r="D240" s="196"/>
      <c r="E240" s="197"/>
      <c r="F240" s="198"/>
      <c r="G240" s="199"/>
      <c r="H240" s="197"/>
      <c r="I240" s="199"/>
      <c r="J240" s="200"/>
      <c r="K240" s="211"/>
      <c r="L240" s="201"/>
      <c r="M240" s="201"/>
    </row>
    <row r="241">
      <c r="A241" s="190"/>
      <c r="B241" s="195"/>
      <c r="C241" s="196"/>
      <c r="D241" s="196"/>
      <c r="E241" s="197"/>
      <c r="F241" s="198"/>
      <c r="G241" s="199"/>
      <c r="H241" s="197"/>
      <c r="I241" s="199"/>
      <c r="J241" s="200"/>
      <c r="K241" s="211"/>
      <c r="L241" s="201"/>
      <c r="M241" s="201"/>
    </row>
    <row r="242">
      <c r="A242" s="190"/>
      <c r="B242" s="195"/>
      <c r="C242" s="196"/>
      <c r="D242" s="196"/>
      <c r="E242" s="197"/>
      <c r="F242" s="198"/>
      <c r="G242" s="199"/>
      <c r="H242" s="197"/>
      <c r="I242" s="199"/>
      <c r="J242" s="200"/>
      <c r="K242" s="211"/>
      <c r="L242" s="201"/>
      <c r="M242" s="201"/>
    </row>
    <row r="243">
      <c r="A243" s="190"/>
      <c r="B243" s="195"/>
      <c r="C243" s="196"/>
      <c r="D243" s="196"/>
      <c r="E243" s="197"/>
      <c r="F243" s="198"/>
      <c r="G243" s="199"/>
      <c r="H243" s="197"/>
      <c r="I243" s="199"/>
      <c r="J243" s="200"/>
      <c r="K243" s="211"/>
      <c r="L243" s="201"/>
      <c r="M243" s="201"/>
    </row>
    <row r="244">
      <c r="A244" s="190"/>
      <c r="B244" s="195"/>
      <c r="C244" s="196"/>
      <c r="D244" s="196"/>
      <c r="E244" s="197"/>
      <c r="F244" s="198"/>
      <c r="G244" s="199"/>
      <c r="H244" s="197"/>
      <c r="I244" s="199"/>
      <c r="J244" s="200"/>
      <c r="K244" s="211"/>
      <c r="L244" s="201"/>
      <c r="M244" s="201"/>
    </row>
    <row r="245">
      <c r="A245" s="190"/>
      <c r="B245" s="195"/>
      <c r="C245" s="196"/>
      <c r="D245" s="196"/>
      <c r="E245" s="197"/>
      <c r="F245" s="198"/>
      <c r="G245" s="199"/>
      <c r="H245" s="197"/>
      <c r="I245" s="199"/>
      <c r="J245" s="200"/>
      <c r="K245" s="211"/>
      <c r="L245" s="201"/>
      <c r="M245" s="201"/>
    </row>
    <row r="246">
      <c r="A246" s="190"/>
      <c r="B246" s="195"/>
      <c r="C246" s="196"/>
      <c r="D246" s="196"/>
      <c r="E246" s="197"/>
      <c r="F246" s="198"/>
      <c r="G246" s="199"/>
      <c r="H246" s="197"/>
      <c r="I246" s="199"/>
      <c r="J246" s="200"/>
      <c r="K246" s="211"/>
      <c r="L246" s="201"/>
      <c r="M246" s="201"/>
    </row>
    <row r="247">
      <c r="A247" s="190"/>
      <c r="B247" s="195"/>
      <c r="C247" s="196"/>
      <c r="D247" s="196"/>
      <c r="E247" s="197"/>
      <c r="F247" s="198"/>
      <c r="G247" s="199"/>
      <c r="H247" s="197"/>
      <c r="I247" s="199"/>
      <c r="J247" s="200"/>
      <c r="K247" s="211"/>
      <c r="L247" s="201"/>
      <c r="M247" s="201"/>
    </row>
    <row r="248">
      <c r="A248" s="190"/>
      <c r="B248" s="195"/>
      <c r="C248" s="196"/>
      <c r="D248" s="196"/>
      <c r="E248" s="197"/>
      <c r="F248" s="198"/>
      <c r="G248" s="199"/>
      <c r="H248" s="197"/>
      <c r="I248" s="199"/>
      <c r="J248" s="200"/>
      <c r="K248" s="211"/>
      <c r="L248" s="201"/>
      <c r="M248" s="201"/>
    </row>
    <row r="249">
      <c r="A249" s="190"/>
      <c r="B249" s="195"/>
      <c r="C249" s="196"/>
      <c r="D249" s="196"/>
      <c r="E249" s="197"/>
      <c r="F249" s="198"/>
      <c r="G249" s="199"/>
      <c r="H249" s="197"/>
      <c r="I249" s="199"/>
      <c r="J249" s="200"/>
      <c r="K249" s="211"/>
      <c r="L249" s="201"/>
      <c r="M249" s="201"/>
    </row>
    <row r="250">
      <c r="A250" s="190"/>
      <c r="B250" s="195"/>
      <c r="C250" s="196"/>
      <c r="D250" s="196"/>
      <c r="E250" s="197"/>
      <c r="F250" s="198"/>
      <c r="G250" s="199"/>
      <c r="H250" s="197"/>
      <c r="I250" s="199"/>
      <c r="J250" s="200"/>
      <c r="K250" s="211"/>
      <c r="L250" s="201"/>
      <c r="M250" s="201"/>
    </row>
    <row r="251">
      <c r="A251" s="190"/>
      <c r="B251" s="195"/>
      <c r="C251" s="196"/>
      <c r="D251" s="196"/>
      <c r="E251" s="197"/>
      <c r="F251" s="198"/>
      <c r="G251" s="199"/>
      <c r="H251" s="197"/>
      <c r="I251" s="199"/>
      <c r="J251" s="200"/>
      <c r="K251" s="211"/>
      <c r="L251" s="201"/>
      <c r="M251" s="201"/>
    </row>
    <row r="252">
      <c r="A252" s="190"/>
      <c r="B252" s="195"/>
      <c r="C252" s="196"/>
      <c r="D252" s="196"/>
      <c r="E252" s="197"/>
      <c r="F252" s="198"/>
      <c r="G252" s="199"/>
      <c r="H252" s="197"/>
      <c r="I252" s="199"/>
      <c r="J252" s="200"/>
      <c r="K252" s="211"/>
      <c r="L252" s="201"/>
      <c r="M252" s="201"/>
    </row>
    <row r="253">
      <c r="A253" s="190"/>
      <c r="B253" s="195"/>
      <c r="C253" s="196"/>
      <c r="D253" s="196"/>
      <c r="E253" s="197"/>
      <c r="F253" s="198"/>
      <c r="G253" s="199"/>
      <c r="H253" s="197"/>
      <c r="I253" s="199"/>
      <c r="J253" s="200"/>
      <c r="K253" s="211"/>
      <c r="L253" s="201"/>
      <c r="M253" s="201"/>
    </row>
    <row r="254">
      <c r="A254" s="190"/>
      <c r="B254" s="195"/>
      <c r="C254" s="196"/>
      <c r="D254" s="196"/>
      <c r="E254" s="197"/>
      <c r="F254" s="198"/>
      <c r="G254" s="199"/>
      <c r="H254" s="197"/>
      <c r="I254" s="199"/>
      <c r="J254" s="200"/>
      <c r="K254" s="211"/>
      <c r="L254" s="201"/>
      <c r="M254" s="201"/>
    </row>
    <row r="255">
      <c r="A255" s="190"/>
      <c r="B255" s="195"/>
      <c r="C255" s="196"/>
      <c r="D255" s="196"/>
      <c r="E255" s="197"/>
      <c r="F255" s="198"/>
      <c r="G255" s="199"/>
      <c r="H255" s="197"/>
      <c r="I255" s="199"/>
      <c r="J255" s="200"/>
      <c r="K255" s="211"/>
      <c r="L255" s="201"/>
      <c r="M255" s="201"/>
    </row>
    <row r="256">
      <c r="A256" s="190"/>
      <c r="B256" s="195"/>
      <c r="C256" s="196"/>
      <c r="D256" s="196"/>
      <c r="E256" s="197"/>
      <c r="F256" s="198"/>
      <c r="G256" s="199"/>
      <c r="H256" s="197"/>
      <c r="I256" s="199"/>
      <c r="J256" s="200"/>
      <c r="K256" s="211"/>
      <c r="L256" s="201"/>
      <c r="M256" s="201"/>
    </row>
    <row r="257">
      <c r="A257" s="190"/>
      <c r="B257" s="195"/>
      <c r="C257" s="196"/>
      <c r="D257" s="196"/>
      <c r="E257" s="197"/>
      <c r="F257" s="198"/>
      <c r="G257" s="199"/>
      <c r="H257" s="197"/>
      <c r="I257" s="199"/>
      <c r="J257" s="200"/>
      <c r="K257" s="211"/>
      <c r="L257" s="201"/>
      <c r="M257" s="201"/>
    </row>
    <row r="258">
      <c r="A258" s="190"/>
      <c r="B258" s="195"/>
      <c r="C258" s="196"/>
      <c r="D258" s="196"/>
      <c r="E258" s="197"/>
      <c r="F258" s="198"/>
      <c r="G258" s="199"/>
      <c r="H258" s="197"/>
      <c r="I258" s="199"/>
      <c r="J258" s="200"/>
      <c r="K258" s="211"/>
      <c r="L258" s="201"/>
      <c r="M258" s="201"/>
    </row>
    <row r="259">
      <c r="A259" s="190"/>
      <c r="B259" s="195"/>
      <c r="C259" s="196"/>
      <c r="D259" s="196"/>
      <c r="E259" s="197"/>
      <c r="F259" s="198"/>
      <c r="G259" s="199"/>
      <c r="H259" s="197"/>
      <c r="I259" s="199"/>
      <c r="J259" s="200"/>
      <c r="K259" s="211"/>
      <c r="L259" s="201"/>
      <c r="M259" s="201"/>
    </row>
    <row r="260">
      <c r="A260" s="190"/>
      <c r="B260" s="195"/>
      <c r="C260" s="196"/>
      <c r="D260" s="196"/>
      <c r="E260" s="197"/>
      <c r="F260" s="198"/>
      <c r="G260" s="199"/>
      <c r="H260" s="197"/>
      <c r="I260" s="199"/>
      <c r="J260" s="200"/>
      <c r="K260" s="211"/>
      <c r="L260" s="201"/>
      <c r="M260" s="201"/>
    </row>
    <row r="261">
      <c r="A261" s="190"/>
      <c r="B261" s="195"/>
      <c r="C261" s="196"/>
      <c r="D261" s="196"/>
      <c r="E261" s="197"/>
      <c r="F261" s="198"/>
      <c r="G261" s="199"/>
      <c r="H261" s="197"/>
      <c r="I261" s="199"/>
      <c r="J261" s="200"/>
      <c r="K261" s="211"/>
      <c r="L261" s="201"/>
      <c r="M261" s="201"/>
    </row>
    <row r="262">
      <c r="A262" s="190"/>
      <c r="B262" s="195"/>
      <c r="C262" s="196"/>
      <c r="D262" s="196"/>
      <c r="E262" s="197"/>
      <c r="F262" s="198"/>
      <c r="G262" s="199"/>
      <c r="H262" s="197"/>
      <c r="I262" s="199"/>
      <c r="J262" s="200"/>
      <c r="K262" s="211"/>
      <c r="L262" s="201"/>
      <c r="M262" s="201"/>
    </row>
    <row r="263">
      <c r="A263" s="190"/>
      <c r="B263" s="195"/>
      <c r="C263" s="196"/>
      <c r="D263" s="196"/>
      <c r="E263" s="197"/>
      <c r="F263" s="198"/>
      <c r="G263" s="199"/>
      <c r="H263" s="197"/>
      <c r="I263" s="199"/>
      <c r="J263" s="200"/>
      <c r="K263" s="211"/>
      <c r="L263" s="201"/>
      <c r="M263" s="201"/>
    </row>
    <row r="264">
      <c r="A264" s="190"/>
      <c r="B264" s="195"/>
      <c r="C264" s="196"/>
      <c r="D264" s="196"/>
      <c r="E264" s="197"/>
      <c r="F264" s="198"/>
      <c r="G264" s="199"/>
      <c r="H264" s="197"/>
      <c r="I264" s="199"/>
      <c r="J264" s="200"/>
      <c r="K264" s="211"/>
      <c r="L264" s="201"/>
      <c r="M264" s="201"/>
    </row>
    <row r="265">
      <c r="A265" s="190"/>
      <c r="B265" s="195"/>
      <c r="C265" s="196"/>
      <c r="D265" s="196"/>
      <c r="E265" s="197"/>
      <c r="F265" s="198"/>
      <c r="G265" s="199"/>
      <c r="H265" s="197"/>
      <c r="I265" s="199"/>
      <c r="J265" s="200"/>
      <c r="K265" s="211"/>
      <c r="L265" s="201"/>
      <c r="M265" s="201"/>
    </row>
    <row r="266">
      <c r="A266" s="190"/>
      <c r="B266" s="195"/>
      <c r="C266" s="196"/>
      <c r="D266" s="196"/>
      <c r="E266" s="197"/>
      <c r="F266" s="198"/>
      <c r="G266" s="199"/>
      <c r="H266" s="197"/>
      <c r="I266" s="199"/>
      <c r="J266" s="200"/>
      <c r="K266" s="211"/>
      <c r="L266" s="201"/>
      <c r="M266" s="201"/>
    </row>
    <row r="267">
      <c r="A267" s="190"/>
      <c r="B267" s="195"/>
      <c r="C267" s="196"/>
      <c r="D267" s="196"/>
      <c r="E267" s="197"/>
      <c r="F267" s="198"/>
      <c r="G267" s="199"/>
      <c r="H267" s="197"/>
      <c r="I267" s="199"/>
      <c r="J267" s="200"/>
      <c r="K267" s="211"/>
      <c r="L267" s="201"/>
      <c r="M267" s="201"/>
    </row>
    <row r="268">
      <c r="A268" s="190"/>
      <c r="B268" s="195"/>
      <c r="C268" s="196"/>
      <c r="D268" s="196"/>
      <c r="E268" s="197"/>
      <c r="F268" s="198"/>
      <c r="G268" s="199"/>
      <c r="H268" s="197"/>
      <c r="I268" s="199"/>
      <c r="J268" s="200"/>
      <c r="K268" s="211"/>
      <c r="L268" s="201"/>
      <c r="M268" s="201"/>
    </row>
    <row r="269">
      <c r="A269" s="190"/>
      <c r="B269" s="195"/>
      <c r="C269" s="196"/>
      <c r="D269" s="196"/>
      <c r="E269" s="197"/>
      <c r="F269" s="198"/>
      <c r="G269" s="199"/>
      <c r="H269" s="197"/>
      <c r="I269" s="199"/>
      <c r="J269" s="200"/>
      <c r="K269" s="211"/>
      <c r="L269" s="201"/>
      <c r="M269" s="201"/>
    </row>
    <row r="270">
      <c r="A270" s="190"/>
      <c r="B270" s="195"/>
      <c r="C270" s="196"/>
      <c r="D270" s="196"/>
      <c r="E270" s="197"/>
      <c r="F270" s="198"/>
      <c r="G270" s="199"/>
      <c r="H270" s="197"/>
      <c r="I270" s="199"/>
      <c r="J270" s="200"/>
      <c r="K270" s="211"/>
      <c r="L270" s="201"/>
      <c r="M270" s="201"/>
    </row>
    <row r="271">
      <c r="A271" s="190"/>
      <c r="B271" s="195"/>
      <c r="C271" s="196"/>
      <c r="D271" s="196"/>
      <c r="E271" s="197"/>
      <c r="F271" s="198"/>
      <c r="G271" s="199"/>
      <c r="H271" s="197"/>
      <c r="I271" s="199"/>
      <c r="J271" s="200"/>
      <c r="K271" s="211"/>
      <c r="L271" s="201"/>
      <c r="M271" s="201"/>
    </row>
    <row r="272">
      <c r="A272" s="190"/>
      <c r="B272" s="195"/>
      <c r="C272" s="196"/>
      <c r="D272" s="196"/>
      <c r="E272" s="197"/>
      <c r="F272" s="198"/>
      <c r="G272" s="199"/>
      <c r="H272" s="197"/>
      <c r="I272" s="199"/>
      <c r="J272" s="200"/>
      <c r="K272" s="211"/>
      <c r="L272" s="201"/>
      <c r="M272" s="201"/>
    </row>
    <row r="273">
      <c r="A273" s="190"/>
      <c r="B273" s="195"/>
      <c r="C273" s="196"/>
      <c r="D273" s="196"/>
      <c r="E273" s="197"/>
      <c r="F273" s="198"/>
      <c r="G273" s="199"/>
      <c r="H273" s="197"/>
      <c r="I273" s="199"/>
      <c r="J273" s="200"/>
      <c r="K273" s="211"/>
      <c r="L273" s="201"/>
      <c r="M273" s="201"/>
    </row>
    <row r="274">
      <c r="A274" s="190"/>
      <c r="B274" s="195"/>
      <c r="C274" s="196"/>
      <c r="D274" s="196"/>
      <c r="E274" s="197"/>
      <c r="F274" s="198"/>
      <c r="G274" s="199"/>
      <c r="H274" s="197"/>
      <c r="I274" s="199"/>
      <c r="J274" s="200"/>
      <c r="K274" s="211"/>
      <c r="L274" s="201"/>
      <c r="M274" s="201"/>
    </row>
    <row r="275">
      <c r="A275" s="190"/>
      <c r="B275" s="195"/>
      <c r="C275" s="196"/>
      <c r="D275" s="196"/>
      <c r="E275" s="197"/>
      <c r="F275" s="198"/>
      <c r="G275" s="199"/>
      <c r="H275" s="197"/>
      <c r="I275" s="199"/>
      <c r="J275" s="200"/>
      <c r="K275" s="211"/>
      <c r="L275" s="201"/>
      <c r="M275" s="201"/>
    </row>
    <row r="276">
      <c r="A276" s="190"/>
      <c r="B276" s="195"/>
      <c r="C276" s="196"/>
      <c r="D276" s="196"/>
      <c r="E276" s="197"/>
      <c r="F276" s="198"/>
      <c r="G276" s="199"/>
      <c r="H276" s="197"/>
      <c r="I276" s="199"/>
      <c r="J276" s="200"/>
      <c r="K276" s="211"/>
      <c r="L276" s="201"/>
      <c r="M276" s="201"/>
    </row>
    <row r="277">
      <c r="A277" s="190"/>
      <c r="B277" s="195"/>
      <c r="C277" s="196"/>
      <c r="D277" s="196"/>
      <c r="E277" s="197"/>
      <c r="F277" s="198"/>
      <c r="G277" s="199"/>
      <c r="H277" s="197"/>
      <c r="I277" s="199"/>
      <c r="J277" s="200"/>
      <c r="K277" s="211"/>
      <c r="L277" s="201"/>
      <c r="M277" s="201"/>
    </row>
    <row r="278">
      <c r="A278" s="190"/>
      <c r="B278" s="195"/>
      <c r="C278" s="196"/>
      <c r="D278" s="196"/>
      <c r="E278" s="197"/>
      <c r="F278" s="198"/>
      <c r="G278" s="199"/>
      <c r="H278" s="197"/>
      <c r="I278" s="199"/>
      <c r="J278" s="200"/>
      <c r="K278" s="211"/>
      <c r="L278" s="201"/>
      <c r="M278" s="201"/>
    </row>
    <row r="279">
      <c r="A279" s="190"/>
      <c r="B279" s="195"/>
      <c r="C279" s="196"/>
      <c r="D279" s="196"/>
      <c r="E279" s="197"/>
      <c r="F279" s="198"/>
      <c r="G279" s="199"/>
      <c r="H279" s="197"/>
      <c r="I279" s="199"/>
      <c r="J279" s="200"/>
      <c r="K279" s="211"/>
      <c r="L279" s="201"/>
      <c r="M279" s="201"/>
    </row>
    <row r="280">
      <c r="A280" s="190"/>
      <c r="B280" s="195"/>
      <c r="C280" s="196"/>
      <c r="D280" s="196"/>
      <c r="E280" s="197"/>
      <c r="F280" s="198"/>
      <c r="G280" s="199"/>
      <c r="H280" s="197"/>
      <c r="I280" s="199"/>
      <c r="J280" s="200"/>
      <c r="K280" s="211"/>
      <c r="L280" s="201"/>
      <c r="M280" s="201"/>
    </row>
    <row r="281">
      <c r="A281" s="190"/>
      <c r="B281" s="195"/>
      <c r="C281" s="196"/>
      <c r="D281" s="196"/>
      <c r="E281" s="197"/>
      <c r="F281" s="198"/>
      <c r="G281" s="199"/>
      <c r="H281" s="197"/>
      <c r="I281" s="199"/>
      <c r="J281" s="200"/>
      <c r="K281" s="211"/>
      <c r="L281" s="201"/>
      <c r="M281" s="201"/>
    </row>
    <row r="282">
      <c r="A282" s="190"/>
      <c r="B282" s="195"/>
      <c r="C282" s="196"/>
      <c r="D282" s="196"/>
      <c r="E282" s="197"/>
      <c r="F282" s="198"/>
      <c r="G282" s="199"/>
      <c r="H282" s="197"/>
      <c r="I282" s="199"/>
      <c r="J282" s="200"/>
      <c r="K282" s="211"/>
      <c r="L282" s="201"/>
      <c r="M282" s="201"/>
    </row>
    <row r="283">
      <c r="A283" s="190"/>
      <c r="B283" s="195"/>
      <c r="C283" s="196"/>
      <c r="D283" s="196"/>
      <c r="E283" s="197"/>
      <c r="F283" s="198"/>
      <c r="G283" s="199"/>
      <c r="H283" s="197"/>
      <c r="I283" s="199"/>
      <c r="J283" s="200"/>
      <c r="K283" s="211"/>
      <c r="L283" s="201"/>
      <c r="M283" s="201"/>
    </row>
    <row r="284">
      <c r="A284" s="190"/>
      <c r="B284" s="195"/>
      <c r="C284" s="196"/>
      <c r="D284" s="196"/>
      <c r="E284" s="197"/>
      <c r="F284" s="198"/>
      <c r="G284" s="199"/>
      <c r="H284" s="197"/>
      <c r="I284" s="199"/>
      <c r="J284" s="200"/>
      <c r="K284" s="211"/>
      <c r="L284" s="201"/>
      <c r="M284" s="201"/>
    </row>
    <row r="285">
      <c r="A285" s="190"/>
      <c r="B285" s="195"/>
      <c r="C285" s="196"/>
      <c r="D285" s="196"/>
      <c r="E285" s="197"/>
      <c r="F285" s="198"/>
      <c r="G285" s="199"/>
      <c r="H285" s="197"/>
      <c r="I285" s="199"/>
      <c r="J285" s="200"/>
      <c r="K285" s="211"/>
      <c r="L285" s="201"/>
      <c r="M285" s="201"/>
    </row>
    <row r="286">
      <c r="A286" s="190"/>
      <c r="B286" s="195"/>
      <c r="C286" s="196"/>
      <c r="D286" s="196"/>
      <c r="E286" s="197"/>
      <c r="F286" s="198"/>
      <c r="G286" s="199"/>
      <c r="H286" s="197"/>
      <c r="I286" s="199"/>
      <c r="J286" s="200"/>
      <c r="K286" s="211"/>
      <c r="L286" s="201"/>
      <c r="M286" s="201"/>
    </row>
    <row r="287">
      <c r="A287" s="190"/>
      <c r="B287" s="195"/>
      <c r="C287" s="196"/>
      <c r="D287" s="196"/>
      <c r="E287" s="197"/>
      <c r="F287" s="198"/>
      <c r="G287" s="199"/>
      <c r="H287" s="197"/>
      <c r="I287" s="199"/>
      <c r="J287" s="200"/>
      <c r="K287" s="211"/>
      <c r="L287" s="201"/>
      <c r="M287" s="201"/>
    </row>
    <row r="288">
      <c r="A288" s="190"/>
      <c r="B288" s="195"/>
      <c r="C288" s="196"/>
      <c r="D288" s="196"/>
      <c r="E288" s="197"/>
      <c r="F288" s="198"/>
      <c r="G288" s="199"/>
      <c r="H288" s="197"/>
      <c r="I288" s="199"/>
      <c r="J288" s="200"/>
      <c r="K288" s="211"/>
      <c r="L288" s="201"/>
      <c r="M288" s="201"/>
    </row>
    <row r="289">
      <c r="A289" s="190"/>
      <c r="B289" s="195"/>
      <c r="C289" s="196"/>
      <c r="D289" s="196"/>
      <c r="E289" s="197"/>
      <c r="F289" s="198"/>
      <c r="G289" s="199"/>
      <c r="H289" s="197"/>
      <c r="I289" s="199"/>
      <c r="J289" s="200"/>
      <c r="K289" s="211"/>
      <c r="L289" s="201"/>
      <c r="M289" s="201"/>
    </row>
    <row r="290">
      <c r="A290" s="190"/>
      <c r="B290" s="195"/>
      <c r="C290" s="196"/>
      <c r="D290" s="196"/>
      <c r="E290" s="197"/>
      <c r="F290" s="198"/>
      <c r="G290" s="199"/>
      <c r="H290" s="197"/>
      <c r="I290" s="199"/>
      <c r="J290" s="200"/>
      <c r="K290" s="211"/>
      <c r="L290" s="201"/>
      <c r="M290" s="201"/>
    </row>
    <row r="291">
      <c r="A291" s="190"/>
      <c r="B291" s="195"/>
      <c r="C291" s="196"/>
      <c r="D291" s="196"/>
      <c r="E291" s="197"/>
      <c r="F291" s="198"/>
      <c r="G291" s="199"/>
      <c r="H291" s="197"/>
      <c r="I291" s="199"/>
      <c r="J291" s="200"/>
      <c r="K291" s="211"/>
      <c r="L291" s="201"/>
      <c r="M291" s="201"/>
    </row>
    <row r="292">
      <c r="A292" s="190"/>
      <c r="B292" s="195"/>
      <c r="C292" s="196"/>
      <c r="D292" s="196"/>
      <c r="E292" s="197"/>
      <c r="F292" s="198"/>
      <c r="G292" s="199"/>
      <c r="H292" s="197"/>
      <c r="I292" s="199"/>
      <c r="J292" s="200"/>
      <c r="K292" s="211"/>
      <c r="L292" s="201"/>
      <c r="M292" s="201"/>
    </row>
    <row r="293">
      <c r="A293" s="190"/>
      <c r="B293" s="195"/>
      <c r="C293" s="196"/>
      <c r="D293" s="196"/>
      <c r="E293" s="197"/>
      <c r="F293" s="198"/>
      <c r="G293" s="199"/>
      <c r="H293" s="197"/>
      <c r="I293" s="199"/>
      <c r="J293" s="200"/>
      <c r="K293" s="211"/>
      <c r="L293" s="201"/>
      <c r="M293" s="201"/>
    </row>
    <row r="294">
      <c r="A294" s="190"/>
      <c r="B294" s="195"/>
      <c r="C294" s="196"/>
      <c r="D294" s="196"/>
      <c r="E294" s="197"/>
      <c r="F294" s="198"/>
      <c r="G294" s="199"/>
      <c r="H294" s="197"/>
      <c r="I294" s="199"/>
      <c r="J294" s="200"/>
      <c r="K294" s="211"/>
      <c r="L294" s="201"/>
      <c r="M294" s="201"/>
    </row>
    <row r="295">
      <c r="A295" s="190"/>
      <c r="B295" s="195"/>
      <c r="C295" s="196"/>
      <c r="D295" s="196"/>
      <c r="E295" s="197"/>
      <c r="F295" s="198"/>
      <c r="G295" s="199"/>
      <c r="H295" s="197"/>
      <c r="I295" s="199"/>
      <c r="J295" s="200"/>
      <c r="K295" s="211"/>
      <c r="L295" s="201"/>
      <c r="M295" s="201"/>
    </row>
    <row r="296">
      <c r="A296" s="190"/>
      <c r="B296" s="195"/>
      <c r="C296" s="196"/>
      <c r="D296" s="196"/>
      <c r="E296" s="197"/>
      <c r="F296" s="198"/>
      <c r="G296" s="199"/>
      <c r="H296" s="197"/>
      <c r="I296" s="199"/>
      <c r="J296" s="200"/>
      <c r="K296" s="211"/>
      <c r="L296" s="201"/>
      <c r="M296" s="201"/>
    </row>
    <row r="297">
      <c r="A297" s="190"/>
      <c r="B297" s="195"/>
      <c r="C297" s="196"/>
      <c r="D297" s="196"/>
      <c r="E297" s="197"/>
      <c r="F297" s="198"/>
      <c r="G297" s="199"/>
      <c r="H297" s="197"/>
      <c r="I297" s="199"/>
      <c r="J297" s="200"/>
      <c r="K297" s="211"/>
      <c r="L297" s="201"/>
      <c r="M297" s="201"/>
    </row>
    <row r="298">
      <c r="A298" s="190"/>
      <c r="B298" s="195"/>
      <c r="C298" s="196"/>
      <c r="D298" s="196"/>
      <c r="E298" s="197"/>
      <c r="F298" s="198"/>
      <c r="G298" s="199"/>
      <c r="H298" s="197"/>
      <c r="I298" s="199"/>
      <c r="J298" s="200"/>
      <c r="K298" s="211"/>
      <c r="L298" s="201"/>
      <c r="M298" s="201"/>
    </row>
    <row r="299" ht="13.5" customHeight="1">
      <c r="A299" s="190"/>
      <c r="B299" s="195"/>
      <c r="C299" s="196"/>
      <c r="D299" s="196"/>
      <c r="E299" s="197"/>
      <c r="F299" s="198"/>
      <c r="G299" s="199"/>
      <c r="H299" s="197"/>
      <c r="I299" s="199"/>
      <c r="J299" s="200"/>
      <c r="K299" s="211"/>
      <c r="L299" s="201"/>
      <c r="M299" s="201"/>
    </row>
    <row r="300">
      <c r="A300" s="190"/>
      <c r="B300" s="195"/>
      <c r="C300" s="196"/>
      <c r="D300" s="196"/>
      <c r="E300" s="197"/>
      <c r="F300" s="198"/>
      <c r="G300" s="199"/>
      <c r="H300" s="197"/>
      <c r="I300" s="199"/>
      <c r="J300" s="200"/>
      <c r="K300" s="211"/>
      <c r="L300" s="201"/>
      <c r="M300" s="201"/>
    </row>
    <row r="301">
      <c r="A301" s="190"/>
      <c r="B301" s="195"/>
      <c r="C301" s="196"/>
      <c r="D301" s="196"/>
      <c r="E301" s="197"/>
      <c r="F301" s="198"/>
      <c r="G301" s="199"/>
      <c r="H301" s="197"/>
      <c r="I301" s="199"/>
      <c r="J301" s="200"/>
      <c r="K301" s="211"/>
      <c r="L301" s="201"/>
      <c r="M301" s="201"/>
    </row>
    <row r="302">
      <c r="A302" s="190"/>
      <c r="B302" s="195"/>
      <c r="C302" s="196"/>
      <c r="D302" s="196"/>
      <c r="E302" s="197"/>
      <c r="F302" s="198"/>
      <c r="G302" s="199"/>
      <c r="H302" s="197"/>
      <c r="I302" s="199"/>
      <c r="J302" s="200"/>
      <c r="K302" s="211"/>
      <c r="L302" s="201"/>
      <c r="M302" s="201"/>
    </row>
    <row r="303">
      <c r="A303" s="190"/>
      <c r="B303" s="195"/>
      <c r="C303" s="196"/>
      <c r="D303" s="196"/>
      <c r="E303" s="197"/>
      <c r="F303" s="198"/>
      <c r="G303" s="199"/>
      <c r="H303" s="197"/>
      <c r="I303" s="199"/>
      <c r="J303" s="200"/>
      <c r="K303" s="211"/>
      <c r="L303" s="201"/>
      <c r="M303" s="201"/>
    </row>
    <row r="304">
      <c r="A304" s="190"/>
      <c r="B304" s="195"/>
      <c r="C304" s="196"/>
      <c r="D304" s="196"/>
      <c r="E304" s="197"/>
      <c r="F304" s="198"/>
      <c r="G304" s="199"/>
      <c r="H304" s="197"/>
      <c r="I304" s="199"/>
      <c r="J304" s="200"/>
      <c r="K304" s="211"/>
      <c r="L304" s="201"/>
      <c r="M304" s="201"/>
    </row>
    <row r="305">
      <c r="A305" s="190"/>
      <c r="B305" s="195"/>
      <c r="C305" s="196"/>
      <c r="D305" s="196"/>
      <c r="E305" s="197"/>
      <c r="F305" s="198"/>
      <c r="G305" s="199"/>
      <c r="H305" s="197"/>
      <c r="I305" s="199"/>
      <c r="J305" s="200"/>
      <c r="K305" s="211"/>
      <c r="L305" s="201"/>
      <c r="M305" s="201"/>
    </row>
    <row r="306">
      <c r="A306" s="190"/>
      <c r="B306" s="195"/>
      <c r="C306" s="196"/>
      <c r="D306" s="196"/>
      <c r="E306" s="197"/>
      <c r="F306" s="198"/>
      <c r="G306" s="199"/>
      <c r="H306" s="197"/>
      <c r="I306" s="199"/>
      <c r="J306" s="200"/>
      <c r="K306" s="211"/>
      <c r="L306" s="201"/>
      <c r="M306" s="201"/>
    </row>
    <row r="307">
      <c r="A307" s="190"/>
      <c r="B307" s="195"/>
      <c r="C307" s="196"/>
      <c r="D307" s="196"/>
      <c r="E307" s="197"/>
      <c r="F307" s="198"/>
      <c r="G307" s="199"/>
      <c r="H307" s="197"/>
      <c r="I307" s="199"/>
      <c r="J307" s="200"/>
      <c r="K307" s="211"/>
      <c r="L307" s="201"/>
      <c r="M307" s="201"/>
    </row>
    <row r="308">
      <c r="A308" s="190"/>
      <c r="B308" s="195"/>
      <c r="C308" s="196"/>
      <c r="D308" s="196"/>
      <c r="E308" s="197"/>
      <c r="F308" s="198"/>
      <c r="G308" s="199"/>
      <c r="H308" s="197"/>
      <c r="I308" s="199"/>
      <c r="J308" s="200"/>
      <c r="K308" s="211"/>
      <c r="L308" s="201"/>
      <c r="M308" s="201"/>
    </row>
    <row r="309">
      <c r="A309" s="190"/>
      <c r="B309" s="195"/>
      <c r="C309" s="196"/>
      <c r="D309" s="196"/>
      <c r="E309" s="197"/>
      <c r="F309" s="198"/>
      <c r="G309" s="199"/>
      <c r="H309" s="197"/>
      <c r="I309" s="199"/>
      <c r="J309" s="200"/>
      <c r="K309" s="211"/>
      <c r="L309" s="201"/>
      <c r="M309" s="201"/>
    </row>
    <row r="310">
      <c r="A310" s="190"/>
      <c r="B310" s="195"/>
      <c r="C310" s="196"/>
      <c r="D310" s="196"/>
      <c r="E310" s="197"/>
      <c r="F310" s="198"/>
      <c r="G310" s="199"/>
      <c r="H310" s="197"/>
      <c r="I310" s="199"/>
      <c r="J310" s="200"/>
      <c r="K310" s="211"/>
      <c r="L310" s="201"/>
      <c r="M310" s="201"/>
    </row>
    <row r="311">
      <c r="A311" s="190"/>
      <c r="B311" s="195"/>
      <c r="C311" s="196"/>
      <c r="D311" s="196"/>
      <c r="E311" s="197"/>
      <c r="F311" s="198"/>
      <c r="G311" s="199"/>
      <c r="H311" s="197"/>
      <c r="I311" s="199"/>
      <c r="J311" s="200"/>
      <c r="K311" s="211"/>
      <c r="L311" s="201"/>
      <c r="M311" s="201"/>
    </row>
    <row r="312">
      <c r="A312" s="190"/>
      <c r="B312" s="195"/>
      <c r="C312" s="196"/>
      <c r="D312" s="196"/>
      <c r="E312" s="197"/>
      <c r="F312" s="198"/>
      <c r="G312" s="199"/>
      <c r="H312" s="197"/>
      <c r="I312" s="199"/>
      <c r="J312" s="200"/>
      <c r="K312" s="211"/>
      <c r="L312" s="201"/>
      <c r="M312" s="201"/>
    </row>
    <row r="313">
      <c r="A313" s="190"/>
      <c r="B313" s="195"/>
      <c r="C313" s="196"/>
      <c r="D313" s="196"/>
      <c r="E313" s="197"/>
      <c r="F313" s="198"/>
      <c r="G313" s="199"/>
      <c r="H313" s="197"/>
      <c r="I313" s="199"/>
      <c r="J313" s="200"/>
      <c r="K313" s="211"/>
      <c r="L313" s="201"/>
      <c r="M313" s="201"/>
    </row>
    <row r="314">
      <c r="A314" s="190"/>
      <c r="B314" s="195"/>
      <c r="C314" s="196"/>
      <c r="D314" s="196"/>
      <c r="E314" s="197"/>
      <c r="F314" s="198"/>
      <c r="G314" s="199"/>
      <c r="H314" s="197"/>
      <c r="I314" s="199"/>
      <c r="J314" s="200"/>
      <c r="K314" s="211"/>
      <c r="L314" s="201"/>
      <c r="M314" s="201"/>
    </row>
    <row r="315">
      <c r="A315" s="190"/>
      <c r="B315" s="195"/>
      <c r="C315" s="196"/>
      <c r="D315" s="196"/>
      <c r="E315" s="197"/>
      <c r="F315" s="198"/>
      <c r="G315" s="199"/>
      <c r="H315" s="197"/>
      <c r="I315" s="199"/>
      <c r="J315" s="200"/>
      <c r="K315" s="211"/>
      <c r="L315" s="201"/>
      <c r="M315" s="201"/>
    </row>
    <row r="316">
      <c r="A316" s="190"/>
      <c r="B316" s="195"/>
      <c r="C316" s="196"/>
      <c r="D316" s="196"/>
      <c r="E316" s="197"/>
      <c r="F316" s="198"/>
      <c r="G316" s="199"/>
      <c r="H316" s="197"/>
      <c r="I316" s="199"/>
      <c r="J316" s="200"/>
      <c r="K316" s="211"/>
      <c r="L316" s="201"/>
      <c r="M316" s="201"/>
    </row>
    <row r="317">
      <c r="A317" s="190"/>
      <c r="B317" s="195"/>
      <c r="C317" s="196"/>
      <c r="D317" s="196"/>
      <c r="E317" s="197"/>
      <c r="F317" s="198"/>
      <c r="G317" s="199"/>
      <c r="H317" s="197"/>
      <c r="I317" s="199"/>
      <c r="J317" s="200"/>
      <c r="K317" s="211"/>
      <c r="L317" s="201"/>
      <c r="M317" s="201"/>
    </row>
    <row r="318">
      <c r="A318" s="190"/>
      <c r="B318" s="195"/>
      <c r="C318" s="196"/>
      <c r="D318" s="196"/>
      <c r="E318" s="197"/>
      <c r="F318" s="198"/>
      <c r="G318" s="199"/>
      <c r="H318" s="197"/>
      <c r="I318" s="199"/>
      <c r="J318" s="200"/>
      <c r="K318" s="211"/>
      <c r="L318" s="201"/>
      <c r="M318" s="201"/>
    </row>
    <row r="319">
      <c r="A319" s="190"/>
      <c r="B319" s="195"/>
      <c r="C319" s="196"/>
      <c r="D319" s="196"/>
      <c r="E319" s="197"/>
      <c r="F319" s="198"/>
      <c r="G319" s="199"/>
      <c r="H319" s="197"/>
      <c r="I319" s="199"/>
      <c r="J319" s="200"/>
      <c r="K319" s="211"/>
      <c r="L319" s="201"/>
      <c r="M319" s="201"/>
    </row>
    <row r="320">
      <c r="A320" s="190"/>
      <c r="B320" s="195"/>
      <c r="C320" s="196"/>
      <c r="D320" s="196"/>
      <c r="E320" s="197"/>
      <c r="F320" s="198"/>
      <c r="G320" s="199"/>
      <c r="H320" s="197"/>
      <c r="I320" s="199"/>
      <c r="J320" s="200"/>
      <c r="K320" s="211"/>
      <c r="L320" s="201"/>
      <c r="M320" s="201"/>
    </row>
    <row r="321">
      <c r="A321" s="190"/>
      <c r="B321" s="195"/>
      <c r="C321" s="196"/>
      <c r="D321" s="196"/>
      <c r="E321" s="197"/>
      <c r="F321" s="198"/>
      <c r="G321" s="199"/>
      <c r="H321" s="197"/>
      <c r="I321" s="199"/>
      <c r="J321" s="200"/>
      <c r="K321" s="211"/>
      <c r="L321" s="201"/>
      <c r="M321" s="201"/>
    </row>
    <row r="322">
      <c r="A322" s="190"/>
      <c r="B322" s="195"/>
      <c r="C322" s="196"/>
      <c r="D322" s="196"/>
      <c r="E322" s="197"/>
      <c r="F322" s="198"/>
      <c r="G322" s="199"/>
      <c r="H322" s="197"/>
      <c r="I322" s="199"/>
      <c r="J322" s="200"/>
      <c r="K322" s="211"/>
      <c r="L322" s="201"/>
      <c r="M322" s="201"/>
    </row>
    <row r="323">
      <c r="A323" s="190"/>
      <c r="B323" s="195"/>
      <c r="C323" s="196"/>
      <c r="D323" s="196"/>
      <c r="E323" s="197"/>
      <c r="F323" s="198"/>
      <c r="G323" s="199"/>
      <c r="H323" s="197"/>
      <c r="I323" s="199"/>
      <c r="J323" s="200"/>
      <c r="K323" s="211"/>
      <c r="L323" s="201"/>
      <c r="M323" s="201"/>
    </row>
    <row r="324">
      <c r="A324" s="190"/>
      <c r="B324" s="195"/>
      <c r="C324" s="196"/>
      <c r="D324" s="196"/>
      <c r="E324" s="197"/>
      <c r="F324" s="198"/>
      <c r="G324" s="199"/>
      <c r="H324" s="197"/>
      <c r="I324" s="199"/>
      <c r="J324" s="200"/>
      <c r="K324" s="211"/>
      <c r="L324" s="201"/>
      <c r="M324" s="201"/>
    </row>
    <row r="325">
      <c r="A325" s="190"/>
      <c r="B325" s="195"/>
      <c r="C325" s="196"/>
      <c r="D325" s="196"/>
      <c r="E325" s="197"/>
      <c r="F325" s="198"/>
      <c r="G325" s="199"/>
      <c r="H325" s="197"/>
      <c r="I325" s="199"/>
      <c r="J325" s="200"/>
      <c r="K325" s="211"/>
      <c r="L325" s="201"/>
      <c r="M325" s="201"/>
    </row>
    <row r="326">
      <c r="A326" s="190"/>
      <c r="B326" s="195"/>
      <c r="C326" s="196"/>
      <c r="D326" s="196"/>
      <c r="E326" s="197"/>
      <c r="F326" s="198"/>
      <c r="G326" s="199"/>
      <c r="H326" s="197"/>
      <c r="I326" s="199"/>
      <c r="J326" s="200"/>
      <c r="K326" s="211"/>
      <c r="L326" s="201"/>
      <c r="M326" s="201"/>
    </row>
    <row r="327">
      <c r="A327" s="190"/>
      <c r="B327" s="195"/>
      <c r="C327" s="196"/>
      <c r="D327" s="196"/>
      <c r="E327" s="197"/>
      <c r="F327" s="198"/>
      <c r="G327" s="199"/>
      <c r="H327" s="197"/>
      <c r="I327" s="199"/>
      <c r="J327" s="200"/>
      <c r="K327" s="211"/>
      <c r="L327" s="201"/>
      <c r="M327" s="201"/>
    </row>
    <row r="328">
      <c r="A328" s="190"/>
      <c r="B328" s="195"/>
      <c r="C328" s="196"/>
      <c r="D328" s="196"/>
      <c r="E328" s="197"/>
      <c r="F328" s="198"/>
      <c r="G328" s="199"/>
      <c r="H328" s="197"/>
      <c r="I328" s="199"/>
      <c r="J328" s="200"/>
      <c r="K328" s="211"/>
      <c r="L328" s="201"/>
      <c r="M328" s="201"/>
    </row>
    <row r="329">
      <c r="A329" s="190"/>
      <c r="B329" s="195"/>
      <c r="C329" s="196"/>
      <c r="D329" s="196"/>
      <c r="E329" s="197"/>
      <c r="F329" s="198"/>
      <c r="G329" s="199"/>
      <c r="H329" s="197"/>
      <c r="I329" s="199"/>
      <c r="J329" s="200"/>
      <c r="K329" s="211"/>
      <c r="L329" s="201"/>
      <c r="M329" s="201"/>
    </row>
    <row r="330">
      <c r="A330" s="190"/>
      <c r="B330" s="195"/>
      <c r="C330" s="196"/>
      <c r="D330" s="196"/>
      <c r="E330" s="197"/>
      <c r="F330" s="198"/>
      <c r="G330" s="199"/>
      <c r="H330" s="197"/>
      <c r="I330" s="199"/>
      <c r="J330" s="200"/>
      <c r="K330" s="211"/>
      <c r="L330" s="201"/>
      <c r="M330" s="201"/>
    </row>
    <row r="331">
      <c r="A331" s="190"/>
      <c r="B331" s="195"/>
      <c r="C331" s="196"/>
      <c r="D331" s="196"/>
      <c r="E331" s="197"/>
      <c r="F331" s="198"/>
      <c r="G331" s="199"/>
      <c r="H331" s="197"/>
      <c r="I331" s="199"/>
      <c r="J331" s="200"/>
      <c r="K331" s="211"/>
      <c r="L331" s="201"/>
      <c r="M331" s="201"/>
    </row>
    <row r="332">
      <c r="A332" s="190"/>
      <c r="B332" s="195"/>
      <c r="C332" s="196"/>
      <c r="D332" s="196"/>
      <c r="E332" s="197"/>
      <c r="F332" s="198"/>
      <c r="G332" s="199"/>
      <c r="H332" s="197"/>
      <c r="I332" s="199"/>
      <c r="J332" s="200"/>
      <c r="K332" s="211"/>
      <c r="L332" s="201"/>
      <c r="M332" s="201"/>
    </row>
    <row r="333">
      <c r="A333" s="190"/>
      <c r="B333" s="195"/>
      <c r="C333" s="196"/>
      <c r="D333" s="196"/>
      <c r="E333" s="197"/>
      <c r="F333" s="198"/>
      <c r="G333" s="199"/>
      <c r="H333" s="197"/>
      <c r="I333" s="199"/>
      <c r="J333" s="200"/>
      <c r="K333" s="211"/>
      <c r="L333" s="201"/>
      <c r="M333" s="201"/>
    </row>
    <row r="334">
      <c r="A334" s="190"/>
      <c r="B334" s="195"/>
      <c r="C334" s="196"/>
      <c r="D334" s="196"/>
      <c r="E334" s="197"/>
      <c r="F334" s="198"/>
      <c r="G334" s="199"/>
      <c r="H334" s="197"/>
      <c r="I334" s="199"/>
      <c r="J334" s="200"/>
      <c r="K334" s="211"/>
      <c r="L334" s="201"/>
      <c r="M334" s="201"/>
    </row>
    <row r="335">
      <c r="A335" s="190"/>
      <c r="B335" s="195"/>
      <c r="C335" s="196"/>
      <c r="D335" s="196"/>
      <c r="E335" s="197"/>
      <c r="F335" s="198"/>
      <c r="G335" s="199"/>
      <c r="H335" s="197"/>
      <c r="I335" s="199"/>
      <c r="J335" s="200"/>
      <c r="K335" s="211"/>
      <c r="L335" s="201"/>
      <c r="M335" s="201"/>
    </row>
    <row r="336">
      <c r="A336" s="190"/>
      <c r="B336" s="195"/>
      <c r="C336" s="196"/>
      <c r="D336" s="196"/>
      <c r="E336" s="197"/>
      <c r="F336" s="198"/>
      <c r="G336" s="199"/>
      <c r="H336" s="197"/>
      <c r="I336" s="199"/>
      <c r="J336" s="200"/>
      <c r="K336" s="211"/>
      <c r="L336" s="201"/>
      <c r="M336" s="201"/>
    </row>
    <row r="337">
      <c r="A337" s="190"/>
      <c r="B337" s="195"/>
      <c r="C337" s="196"/>
      <c r="D337" s="196"/>
      <c r="E337" s="197"/>
      <c r="F337" s="198"/>
      <c r="G337" s="199"/>
      <c r="H337" s="197"/>
      <c r="I337" s="199"/>
      <c r="J337" s="200"/>
      <c r="K337" s="211"/>
      <c r="L337" s="201"/>
      <c r="M337" s="201"/>
    </row>
    <row r="338">
      <c r="A338" s="190"/>
      <c r="B338" s="195"/>
      <c r="C338" s="196"/>
      <c r="D338" s="196"/>
      <c r="E338" s="197"/>
      <c r="F338" s="198"/>
      <c r="G338" s="199"/>
      <c r="H338" s="197"/>
      <c r="I338" s="199"/>
      <c r="J338" s="200"/>
      <c r="K338" s="211"/>
      <c r="L338" s="201"/>
      <c r="M338" s="201"/>
    </row>
    <row r="339">
      <c r="A339" s="190"/>
      <c r="B339" s="195"/>
      <c r="C339" s="196"/>
      <c r="D339" s="196"/>
      <c r="E339" s="197"/>
      <c r="F339" s="198"/>
      <c r="G339" s="199"/>
      <c r="H339" s="197"/>
      <c r="I339" s="199"/>
      <c r="J339" s="200"/>
      <c r="K339" s="211"/>
      <c r="L339" s="201"/>
      <c r="M339" s="201"/>
    </row>
    <row r="340">
      <c r="A340" s="190"/>
      <c r="B340" s="195"/>
      <c r="C340" s="196"/>
      <c r="D340" s="196"/>
      <c r="E340" s="197"/>
      <c r="F340" s="198"/>
      <c r="G340" s="199"/>
      <c r="H340" s="197"/>
      <c r="I340" s="199"/>
      <c r="J340" s="200"/>
      <c r="K340" s="211"/>
      <c r="L340" s="201"/>
      <c r="M340" s="201"/>
    </row>
    <row r="341">
      <c r="A341" s="190"/>
      <c r="B341" s="195"/>
      <c r="C341" s="196"/>
      <c r="D341" s="196"/>
      <c r="E341" s="197"/>
      <c r="F341" s="198"/>
      <c r="G341" s="199"/>
      <c r="H341" s="197"/>
      <c r="I341" s="199"/>
      <c r="J341" s="200"/>
      <c r="K341" s="211"/>
      <c r="L341" s="201"/>
      <c r="M341" s="201"/>
    </row>
    <row r="342">
      <c r="A342" s="190"/>
      <c r="B342" s="195"/>
      <c r="C342" s="196"/>
      <c r="D342" s="196"/>
      <c r="E342" s="197"/>
      <c r="F342" s="198"/>
      <c r="G342" s="199"/>
      <c r="H342" s="197"/>
      <c r="I342" s="199"/>
      <c r="J342" s="200"/>
      <c r="K342" s="211"/>
      <c r="L342" s="201"/>
      <c r="M342" s="201"/>
    </row>
    <row r="343">
      <c r="A343" s="190"/>
      <c r="B343" s="195"/>
      <c r="C343" s="196"/>
      <c r="D343" s="196"/>
      <c r="E343" s="197"/>
      <c r="F343" s="198"/>
      <c r="G343" s="199"/>
      <c r="H343" s="197"/>
      <c r="I343" s="199"/>
      <c r="J343" s="200"/>
      <c r="K343" s="211"/>
      <c r="L343" s="201"/>
      <c r="M343" s="201"/>
    </row>
    <row r="344">
      <c r="A344" s="190"/>
      <c r="B344" s="195"/>
      <c r="C344" s="196"/>
      <c r="D344" s="196"/>
      <c r="E344" s="197"/>
      <c r="F344" s="198"/>
      <c r="G344" s="199"/>
      <c r="H344" s="197"/>
      <c r="I344" s="199"/>
      <c r="J344" s="200"/>
      <c r="K344" s="211"/>
      <c r="L344" s="201"/>
      <c r="M344" s="201"/>
    </row>
    <row r="345">
      <c r="A345" s="190"/>
      <c r="B345" s="195"/>
      <c r="C345" s="196"/>
      <c r="D345" s="196"/>
      <c r="E345" s="197"/>
      <c r="F345" s="198"/>
      <c r="G345" s="199"/>
      <c r="H345" s="197"/>
      <c r="I345" s="199"/>
      <c r="J345" s="200"/>
      <c r="K345" s="211"/>
      <c r="L345" s="201"/>
      <c r="M345" s="201"/>
    </row>
    <row r="346">
      <c r="A346" s="190"/>
      <c r="B346" s="195"/>
      <c r="C346" s="196"/>
      <c r="D346" s="196"/>
      <c r="E346" s="197"/>
      <c r="F346" s="198"/>
      <c r="G346" s="199"/>
      <c r="H346" s="197"/>
      <c r="I346" s="199"/>
      <c r="J346" s="200"/>
      <c r="K346" s="211"/>
      <c r="L346" s="201"/>
      <c r="M346" s="201"/>
    </row>
    <row r="347">
      <c r="A347" s="190"/>
      <c r="B347" s="195"/>
      <c r="C347" s="196"/>
      <c r="D347" s="196"/>
      <c r="E347" s="197"/>
      <c r="F347" s="198"/>
      <c r="G347" s="199"/>
      <c r="H347" s="197"/>
      <c r="I347" s="199"/>
      <c r="J347" s="200"/>
      <c r="K347" s="211"/>
      <c r="L347" s="201"/>
      <c r="M347" s="201"/>
    </row>
    <row r="348">
      <c r="A348" s="190"/>
      <c r="B348" s="195"/>
      <c r="C348" s="196"/>
      <c r="D348" s="196"/>
      <c r="E348" s="197"/>
      <c r="F348" s="198"/>
      <c r="G348" s="199"/>
      <c r="H348" s="197"/>
      <c r="I348" s="199"/>
      <c r="J348" s="200"/>
      <c r="K348" s="211"/>
      <c r="L348" s="201"/>
      <c r="M348" s="201"/>
    </row>
    <row r="349">
      <c r="A349" s="190"/>
      <c r="B349" s="195"/>
      <c r="C349" s="196"/>
      <c r="D349" s="196"/>
      <c r="E349" s="197"/>
      <c r="F349" s="198"/>
      <c r="G349" s="199"/>
      <c r="H349" s="197"/>
      <c r="I349" s="199"/>
      <c r="J349" s="200"/>
      <c r="K349" s="211"/>
      <c r="L349" s="201"/>
      <c r="M349" s="201"/>
    </row>
    <row r="350">
      <c r="A350" s="190"/>
      <c r="B350" s="195"/>
      <c r="C350" s="196"/>
      <c r="D350" s="196"/>
      <c r="E350" s="197"/>
      <c r="F350" s="198"/>
      <c r="G350" s="199"/>
      <c r="H350" s="197"/>
      <c r="I350" s="199"/>
      <c r="J350" s="200"/>
      <c r="K350" s="211"/>
      <c r="L350" s="201"/>
      <c r="M350" s="201"/>
    </row>
    <row r="351">
      <c r="A351" s="190"/>
      <c r="B351" s="195"/>
      <c r="C351" s="196"/>
      <c r="D351" s="196"/>
      <c r="E351" s="197"/>
      <c r="F351" s="198"/>
      <c r="G351" s="199"/>
      <c r="H351" s="197"/>
      <c r="I351" s="199"/>
      <c r="J351" s="200"/>
      <c r="K351" s="211"/>
      <c r="L351" s="201"/>
      <c r="M351" s="201"/>
    </row>
    <row r="352">
      <c r="A352" s="190"/>
      <c r="B352" s="195"/>
      <c r="C352" s="196"/>
      <c r="D352" s="196"/>
      <c r="E352" s="197"/>
      <c r="F352" s="198"/>
      <c r="G352" s="199"/>
      <c r="H352" s="197"/>
      <c r="I352" s="199"/>
      <c r="J352" s="200"/>
      <c r="K352" s="211"/>
      <c r="L352" s="201"/>
      <c r="M352" s="201"/>
    </row>
    <row r="353">
      <c r="A353" s="190"/>
      <c r="B353" s="195"/>
      <c r="C353" s="196"/>
      <c r="D353" s="196"/>
      <c r="E353" s="197"/>
      <c r="F353" s="198"/>
      <c r="G353" s="199"/>
      <c r="H353" s="197"/>
      <c r="I353" s="199"/>
      <c r="J353" s="200"/>
      <c r="K353" s="211"/>
      <c r="L353" s="201"/>
      <c r="M353" s="201"/>
    </row>
    <row r="354">
      <c r="A354" s="190"/>
      <c r="B354" s="195"/>
      <c r="C354" s="196"/>
      <c r="D354" s="196"/>
      <c r="E354" s="197"/>
      <c r="F354" s="198"/>
      <c r="G354" s="199"/>
      <c r="H354" s="197"/>
      <c r="I354" s="199"/>
      <c r="J354" s="200"/>
      <c r="K354" s="211"/>
      <c r="L354" s="201"/>
      <c r="M354" s="201"/>
    </row>
    <row r="355">
      <c r="A355" s="190"/>
      <c r="B355" s="195"/>
      <c r="C355" s="196"/>
      <c r="D355" s="196"/>
      <c r="E355" s="197"/>
      <c r="F355" s="198"/>
      <c r="G355" s="199"/>
      <c r="H355" s="197"/>
      <c r="I355" s="199"/>
      <c r="J355" s="200"/>
      <c r="K355" s="211"/>
      <c r="L355" s="201"/>
      <c r="M355" s="201"/>
    </row>
    <row r="356">
      <c r="A356" s="190"/>
      <c r="B356" s="195"/>
      <c r="C356" s="196"/>
      <c r="D356" s="196"/>
      <c r="E356" s="197"/>
      <c r="F356" s="198"/>
      <c r="G356" s="199"/>
      <c r="H356" s="197"/>
      <c r="I356" s="199"/>
      <c r="J356" s="200"/>
      <c r="K356" s="211"/>
      <c r="L356" s="201"/>
      <c r="M356" s="201"/>
    </row>
    <row r="357">
      <c r="A357" s="190"/>
      <c r="B357" s="195"/>
      <c r="C357" s="196"/>
      <c r="D357" s="196"/>
      <c r="E357" s="197"/>
      <c r="F357" s="198"/>
      <c r="G357" s="199"/>
      <c r="H357" s="197"/>
      <c r="I357" s="199"/>
      <c r="J357" s="200"/>
      <c r="K357" s="211"/>
      <c r="L357" s="201"/>
      <c r="M357" s="201"/>
    </row>
    <row r="358">
      <c r="A358" s="190"/>
      <c r="B358" s="195"/>
      <c r="C358" s="196"/>
      <c r="D358" s="196"/>
      <c r="E358" s="197"/>
      <c r="F358" s="198"/>
      <c r="G358" s="199"/>
      <c r="H358" s="197"/>
      <c r="I358" s="199"/>
      <c r="J358" s="200"/>
      <c r="K358" s="211"/>
      <c r="L358" s="201"/>
      <c r="M358" s="201"/>
    </row>
    <row r="359">
      <c r="A359" s="190"/>
      <c r="B359" s="195"/>
      <c r="C359" s="196"/>
      <c r="D359" s="196"/>
      <c r="E359" s="197"/>
      <c r="F359" s="198"/>
      <c r="G359" s="199"/>
      <c r="H359" s="197"/>
      <c r="I359" s="199"/>
      <c r="J359" s="200"/>
      <c r="K359" s="211"/>
      <c r="L359" s="201"/>
      <c r="M359" s="201"/>
    </row>
    <row r="360">
      <c r="A360" s="190"/>
      <c r="B360" s="195"/>
      <c r="C360" s="196"/>
      <c r="D360" s="196"/>
      <c r="E360" s="197"/>
      <c r="F360" s="198"/>
      <c r="G360" s="199"/>
      <c r="H360" s="197"/>
      <c r="I360" s="199"/>
      <c r="J360" s="200"/>
      <c r="K360" s="211"/>
      <c r="L360" s="201"/>
      <c r="M360" s="201"/>
    </row>
    <row r="361">
      <c r="A361" s="190"/>
      <c r="B361" s="195"/>
      <c r="C361" s="196"/>
      <c r="D361" s="196"/>
      <c r="E361" s="197"/>
      <c r="F361" s="198"/>
      <c r="G361" s="199"/>
      <c r="H361" s="197"/>
      <c r="I361" s="199"/>
      <c r="J361" s="200"/>
      <c r="K361" s="211"/>
      <c r="L361" s="201"/>
      <c r="M361" s="201"/>
    </row>
    <row r="362">
      <c r="A362" s="190"/>
      <c r="B362" s="195"/>
      <c r="C362" s="196"/>
      <c r="D362" s="196"/>
      <c r="E362" s="197"/>
      <c r="F362" s="198"/>
      <c r="G362" s="199"/>
      <c r="H362" s="197"/>
      <c r="I362" s="199"/>
      <c r="J362" s="200"/>
      <c r="K362" s="211"/>
      <c r="L362" s="201"/>
      <c r="M362" s="201"/>
    </row>
    <row r="363">
      <c r="A363" s="190"/>
      <c r="B363" s="195"/>
      <c r="C363" s="196"/>
      <c r="D363" s="196"/>
      <c r="E363" s="197"/>
      <c r="F363" s="198"/>
      <c r="G363" s="199"/>
      <c r="H363" s="197"/>
      <c r="I363" s="199"/>
      <c r="J363" s="200"/>
      <c r="K363" s="211"/>
      <c r="L363" s="201"/>
      <c r="M363" s="201"/>
    </row>
    <row r="364">
      <c r="A364" s="190"/>
      <c r="B364" s="195"/>
      <c r="C364" s="196"/>
      <c r="D364" s="196"/>
      <c r="E364" s="197"/>
      <c r="F364" s="198"/>
      <c r="G364" s="199"/>
      <c r="H364" s="197"/>
      <c r="I364" s="199"/>
      <c r="J364" s="200"/>
      <c r="K364" s="211"/>
      <c r="L364" s="201"/>
      <c r="M364" s="201"/>
    </row>
    <row r="365">
      <c r="A365" s="190"/>
      <c r="B365" s="195"/>
      <c r="C365" s="196"/>
      <c r="D365" s="196"/>
      <c r="E365" s="197"/>
      <c r="F365" s="198"/>
      <c r="G365" s="199"/>
      <c r="H365" s="197"/>
      <c r="I365" s="199"/>
      <c r="J365" s="200"/>
      <c r="K365" s="211"/>
      <c r="L365" s="201"/>
      <c r="M365" s="201"/>
    </row>
    <row r="366">
      <c r="A366" s="190"/>
      <c r="B366" s="195"/>
      <c r="C366" s="196"/>
      <c r="D366" s="196"/>
      <c r="E366" s="197"/>
      <c r="F366" s="198"/>
      <c r="G366" s="199"/>
      <c r="H366" s="197"/>
      <c r="I366" s="199"/>
      <c r="J366" s="200"/>
      <c r="K366" s="211"/>
      <c r="L366" s="201"/>
      <c r="M366" s="201"/>
    </row>
    <row r="367">
      <c r="A367" s="190"/>
      <c r="B367" s="195"/>
      <c r="C367" s="196"/>
      <c r="D367" s="196"/>
      <c r="E367" s="197"/>
      <c r="F367" s="198"/>
      <c r="G367" s="199"/>
      <c r="H367" s="197"/>
      <c r="I367" s="199"/>
      <c r="J367" s="200"/>
      <c r="K367" s="211"/>
      <c r="L367" s="201"/>
      <c r="M367" s="201"/>
    </row>
    <row r="368">
      <c r="A368" s="190"/>
      <c r="B368" s="195"/>
      <c r="C368" s="196"/>
      <c r="D368" s="196"/>
      <c r="E368" s="197"/>
      <c r="F368" s="198"/>
      <c r="G368" s="199"/>
      <c r="H368" s="197"/>
      <c r="I368" s="199"/>
      <c r="J368" s="200"/>
      <c r="K368" s="211"/>
      <c r="L368" s="201"/>
      <c r="M368" s="201"/>
    </row>
    <row r="369">
      <c r="A369" s="190"/>
      <c r="B369" s="195"/>
      <c r="C369" s="196"/>
      <c r="D369" s="196"/>
      <c r="E369" s="197"/>
      <c r="F369" s="198"/>
      <c r="G369" s="199"/>
      <c r="H369" s="197"/>
      <c r="I369" s="199"/>
      <c r="J369" s="200"/>
      <c r="K369" s="211"/>
      <c r="L369" s="201"/>
      <c r="M369" s="201"/>
    </row>
    <row r="370">
      <c r="A370" s="190"/>
      <c r="B370" s="195"/>
      <c r="C370" s="196"/>
      <c r="D370" s="196"/>
      <c r="E370" s="197"/>
      <c r="F370" s="198"/>
      <c r="G370" s="199"/>
      <c r="H370" s="197"/>
      <c r="I370" s="199"/>
      <c r="J370" s="200"/>
      <c r="K370" s="211"/>
      <c r="L370" s="201"/>
      <c r="M370" s="201"/>
    </row>
    <row r="371">
      <c r="A371" s="190"/>
      <c r="B371" s="195"/>
      <c r="C371" s="196"/>
      <c r="D371" s="196"/>
      <c r="E371" s="197"/>
      <c r="F371" s="198"/>
      <c r="G371" s="199"/>
      <c r="H371" s="197"/>
      <c r="I371" s="199"/>
      <c r="J371" s="200"/>
      <c r="K371" s="211"/>
      <c r="L371" s="201"/>
      <c r="M371" s="201"/>
    </row>
    <row r="372">
      <c r="A372" s="190"/>
      <c r="B372" s="195"/>
      <c r="C372" s="196"/>
      <c r="D372" s="196"/>
      <c r="E372" s="197"/>
      <c r="F372" s="198"/>
      <c r="G372" s="199"/>
      <c r="H372" s="197"/>
      <c r="I372" s="199"/>
      <c r="J372" s="200"/>
      <c r="K372" s="211"/>
      <c r="L372" s="201"/>
      <c r="M372" s="201"/>
    </row>
    <row r="373">
      <c r="A373" s="190"/>
      <c r="B373" s="195"/>
      <c r="C373" s="196"/>
      <c r="D373" s="196"/>
      <c r="E373" s="197"/>
      <c r="F373" s="198"/>
      <c r="G373" s="199"/>
      <c r="H373" s="197"/>
      <c r="I373" s="199"/>
      <c r="J373" s="200"/>
      <c r="K373" s="211"/>
      <c r="L373" s="201"/>
      <c r="M373" s="201"/>
    </row>
    <row r="374">
      <c r="A374" s="190"/>
      <c r="B374" s="195"/>
      <c r="C374" s="196"/>
      <c r="D374" s="196"/>
      <c r="E374" s="197"/>
      <c r="F374" s="198"/>
      <c r="G374" s="199"/>
      <c r="H374" s="197"/>
      <c r="I374" s="199"/>
      <c r="J374" s="200"/>
      <c r="K374" s="211"/>
      <c r="L374" s="201"/>
      <c r="M374" s="201"/>
    </row>
    <row r="375">
      <c r="A375" s="190"/>
      <c r="B375" s="195"/>
      <c r="C375" s="196"/>
      <c r="D375" s="196"/>
      <c r="E375" s="197"/>
      <c r="F375" s="198"/>
      <c r="G375" s="199"/>
      <c r="H375" s="197"/>
      <c r="I375" s="199"/>
      <c r="J375" s="200"/>
      <c r="K375" s="211"/>
      <c r="L375" s="201"/>
      <c r="M375" s="201"/>
    </row>
    <row r="376">
      <c r="A376" s="190"/>
      <c r="B376" s="195"/>
      <c r="C376" s="196"/>
      <c r="D376" s="196"/>
      <c r="E376" s="197"/>
      <c r="F376" s="198"/>
      <c r="G376" s="199"/>
      <c r="H376" s="197"/>
      <c r="I376" s="199"/>
      <c r="J376" s="200"/>
      <c r="K376" s="211"/>
      <c r="L376" s="201"/>
      <c r="M376" s="201"/>
    </row>
    <row r="377">
      <c r="A377" s="190"/>
      <c r="B377" s="195"/>
      <c r="C377" s="196"/>
      <c r="D377" s="196"/>
      <c r="E377" s="197"/>
      <c r="F377" s="198"/>
      <c r="G377" s="199"/>
      <c r="H377" s="197"/>
      <c r="I377" s="199"/>
      <c r="J377" s="200"/>
      <c r="K377" s="211"/>
      <c r="L377" s="201"/>
      <c r="M377" s="201"/>
    </row>
    <row r="378">
      <c r="A378" s="190"/>
      <c r="B378" s="195"/>
      <c r="C378" s="196"/>
      <c r="D378" s="196"/>
      <c r="E378" s="197"/>
      <c r="F378" s="198"/>
      <c r="G378" s="199"/>
      <c r="H378" s="197"/>
      <c r="I378" s="199"/>
      <c r="J378" s="200"/>
      <c r="K378" s="211"/>
      <c r="L378" s="201"/>
      <c r="M378" s="201"/>
    </row>
    <row r="379">
      <c r="A379" s="190"/>
      <c r="B379" s="195"/>
      <c r="C379" s="196"/>
      <c r="D379" s="196"/>
      <c r="E379" s="197"/>
      <c r="F379" s="198"/>
      <c r="G379" s="199"/>
      <c r="H379" s="197"/>
      <c r="I379" s="199"/>
      <c r="J379" s="200"/>
      <c r="K379" s="211"/>
      <c r="L379" s="201"/>
      <c r="M379" s="201"/>
    </row>
    <row r="380">
      <c r="A380" s="190"/>
      <c r="B380" s="195"/>
      <c r="C380" s="196"/>
      <c r="D380" s="196"/>
      <c r="E380" s="197"/>
      <c r="F380" s="198"/>
      <c r="G380" s="199"/>
      <c r="H380" s="197"/>
      <c r="I380" s="199"/>
      <c r="J380" s="200"/>
      <c r="K380" s="211"/>
      <c r="L380" s="201"/>
      <c r="M380" s="201"/>
    </row>
    <row r="381">
      <c r="A381" s="190"/>
      <c r="B381" s="195"/>
      <c r="C381" s="196"/>
      <c r="D381" s="196"/>
      <c r="E381" s="197"/>
      <c r="F381" s="198"/>
      <c r="G381" s="199"/>
      <c r="H381" s="197"/>
      <c r="I381" s="199"/>
      <c r="J381" s="200"/>
      <c r="K381" s="211"/>
      <c r="L381" s="201"/>
      <c r="M381" s="201"/>
    </row>
    <row r="382">
      <c r="A382" s="190"/>
      <c r="B382" s="195"/>
      <c r="C382" s="196"/>
      <c r="D382" s="196"/>
      <c r="E382" s="197"/>
      <c r="F382" s="198"/>
      <c r="G382" s="199"/>
      <c r="H382" s="197"/>
      <c r="I382" s="199"/>
      <c r="J382" s="200"/>
      <c r="K382" s="211"/>
      <c r="L382" s="201"/>
      <c r="M382" s="201"/>
    </row>
    <row r="383">
      <c r="A383" s="190"/>
      <c r="B383" s="195"/>
      <c r="C383" s="196"/>
      <c r="D383" s="196"/>
      <c r="E383" s="197"/>
      <c r="F383" s="198"/>
      <c r="G383" s="199"/>
      <c r="H383" s="197"/>
      <c r="I383" s="199"/>
      <c r="J383" s="200"/>
      <c r="K383" s="211"/>
      <c r="L383" s="201"/>
      <c r="M383" s="201"/>
    </row>
    <row r="384">
      <c r="A384" s="190"/>
      <c r="B384" s="195"/>
      <c r="C384" s="196"/>
      <c r="D384" s="196"/>
      <c r="E384" s="197"/>
      <c r="F384" s="198"/>
      <c r="G384" s="199"/>
      <c r="H384" s="197"/>
      <c r="I384" s="199"/>
      <c r="J384" s="200"/>
      <c r="K384" s="211"/>
      <c r="L384" s="201"/>
      <c r="M384" s="201"/>
    </row>
    <row r="385">
      <c r="A385" s="190"/>
      <c r="B385" s="195"/>
      <c r="C385" s="196"/>
      <c r="D385" s="196"/>
      <c r="E385" s="197"/>
      <c r="F385" s="198"/>
      <c r="G385" s="199"/>
      <c r="H385" s="197"/>
      <c r="I385" s="199"/>
      <c r="J385" s="200"/>
      <c r="K385" s="211"/>
      <c r="L385" s="201"/>
      <c r="M385" s="201"/>
    </row>
    <row r="386">
      <c r="A386" s="190"/>
      <c r="B386" s="195"/>
      <c r="C386" s="196"/>
      <c r="D386" s="196"/>
      <c r="E386" s="197"/>
      <c r="F386" s="198"/>
      <c r="G386" s="199"/>
      <c r="H386" s="197"/>
      <c r="I386" s="199"/>
      <c r="J386" s="200"/>
      <c r="K386" s="211"/>
      <c r="L386" s="201"/>
      <c r="M386" s="201"/>
    </row>
    <row r="387">
      <c r="A387" s="190"/>
      <c r="B387" s="195"/>
      <c r="C387" s="196"/>
      <c r="D387" s="196"/>
      <c r="E387" s="197"/>
      <c r="F387" s="198"/>
      <c r="G387" s="199"/>
      <c r="H387" s="197"/>
      <c r="I387" s="199"/>
      <c r="J387" s="200"/>
      <c r="K387" s="211"/>
      <c r="L387" s="201"/>
      <c r="M387" s="201"/>
    </row>
    <row r="388">
      <c r="A388" s="190"/>
      <c r="B388" s="195"/>
      <c r="C388" s="196"/>
      <c r="D388" s="196"/>
      <c r="E388" s="197"/>
      <c r="F388" s="198"/>
      <c r="G388" s="199"/>
      <c r="H388" s="197"/>
      <c r="I388" s="199"/>
      <c r="J388" s="200"/>
      <c r="K388" s="211"/>
      <c r="L388" s="201"/>
      <c r="M388" s="201"/>
    </row>
    <row r="389">
      <c r="A389" s="190"/>
      <c r="B389" s="195"/>
      <c r="C389" s="196"/>
      <c r="D389" s="196"/>
      <c r="E389" s="197"/>
      <c r="F389" s="198"/>
      <c r="G389" s="199"/>
      <c r="H389" s="197"/>
      <c r="I389" s="199"/>
      <c r="J389" s="200"/>
      <c r="K389" s="211"/>
      <c r="L389" s="201"/>
      <c r="M389" s="201"/>
    </row>
    <row r="390">
      <c r="A390" s="190"/>
      <c r="B390" s="195"/>
      <c r="C390" s="196"/>
      <c r="D390" s="196"/>
      <c r="E390" s="197"/>
      <c r="F390" s="198"/>
      <c r="G390" s="199"/>
      <c r="H390" s="197"/>
      <c r="I390" s="199"/>
      <c r="J390" s="200"/>
      <c r="K390" s="211"/>
      <c r="L390" s="201"/>
      <c r="M390" s="201"/>
    </row>
    <row r="391">
      <c r="A391" s="190"/>
      <c r="B391" s="195"/>
      <c r="C391" s="196"/>
      <c r="D391" s="196"/>
      <c r="E391" s="197"/>
      <c r="F391" s="198"/>
      <c r="G391" s="199"/>
      <c r="H391" s="197"/>
      <c r="I391" s="199"/>
      <c r="J391" s="200"/>
      <c r="K391" s="211"/>
      <c r="L391" s="201"/>
      <c r="M391" s="201"/>
    </row>
    <row r="392">
      <c r="A392" s="190"/>
      <c r="B392" s="195"/>
      <c r="C392" s="196"/>
      <c r="D392" s="196"/>
      <c r="E392" s="197"/>
      <c r="F392" s="198"/>
      <c r="G392" s="199"/>
      <c r="H392" s="197"/>
      <c r="I392" s="199"/>
      <c r="J392" s="200"/>
      <c r="K392" s="211"/>
      <c r="L392" s="201"/>
      <c r="M392" s="201"/>
    </row>
    <row r="393">
      <c r="A393" s="190"/>
      <c r="B393" s="195"/>
      <c r="C393" s="196"/>
      <c r="D393" s="196"/>
      <c r="E393" s="197"/>
      <c r="F393" s="198"/>
      <c r="G393" s="199"/>
      <c r="H393" s="197"/>
      <c r="I393" s="199"/>
      <c r="J393" s="200"/>
      <c r="K393" s="211"/>
      <c r="L393" s="201"/>
      <c r="M393" s="201"/>
    </row>
    <row r="394">
      <c r="A394" s="190"/>
      <c r="B394" s="195"/>
      <c r="C394" s="196"/>
      <c r="D394" s="196"/>
      <c r="E394" s="197"/>
      <c r="F394" s="198"/>
      <c r="G394" s="199"/>
      <c r="H394" s="197"/>
      <c r="I394" s="199"/>
      <c r="J394" s="200"/>
      <c r="K394" s="211"/>
      <c r="L394" s="201"/>
      <c r="M394" s="201"/>
    </row>
    <row r="395">
      <c r="A395" s="190"/>
      <c r="B395" s="195"/>
      <c r="C395" s="196"/>
      <c r="D395" s="196"/>
      <c r="E395" s="197"/>
      <c r="F395" s="198"/>
      <c r="G395" s="199"/>
      <c r="H395" s="197"/>
      <c r="I395" s="199"/>
      <c r="J395" s="200"/>
      <c r="K395" s="211"/>
      <c r="L395" s="201"/>
      <c r="M395" s="201"/>
    </row>
    <row r="396">
      <c r="A396" s="190"/>
      <c r="B396" s="195"/>
      <c r="C396" s="196"/>
      <c r="D396" s="196"/>
      <c r="E396" s="197"/>
      <c r="F396" s="198"/>
      <c r="G396" s="199"/>
      <c r="H396" s="197"/>
      <c r="I396" s="199"/>
      <c r="J396" s="200"/>
      <c r="K396" s="211"/>
      <c r="L396" s="201"/>
      <c r="M396" s="201"/>
    </row>
    <row r="397">
      <c r="A397" s="190"/>
      <c r="B397" s="195"/>
      <c r="C397" s="196"/>
      <c r="D397" s="196"/>
      <c r="E397" s="197"/>
      <c r="F397" s="198"/>
      <c r="G397" s="199"/>
      <c r="H397" s="197"/>
      <c r="I397" s="199"/>
      <c r="J397" s="200"/>
      <c r="K397" s="211"/>
      <c r="L397" s="201"/>
      <c r="M397" s="201"/>
    </row>
    <row r="398">
      <c r="A398" s="190"/>
      <c r="B398" s="195"/>
      <c r="C398" s="196"/>
      <c r="D398" s="196"/>
      <c r="E398" s="197"/>
      <c r="F398" s="198"/>
      <c r="G398" s="199"/>
      <c r="H398" s="197"/>
      <c r="I398" s="199"/>
      <c r="J398" s="200"/>
      <c r="K398" s="211"/>
      <c r="L398" s="201"/>
      <c r="M398" s="201"/>
    </row>
    <row r="399">
      <c r="A399" s="190"/>
      <c r="B399" s="195"/>
      <c r="C399" s="196"/>
      <c r="D399" s="196"/>
      <c r="E399" s="197"/>
      <c r="F399" s="198"/>
      <c r="G399" s="199"/>
      <c r="H399" s="197"/>
      <c r="I399" s="199"/>
      <c r="J399" s="200"/>
      <c r="K399" s="211"/>
      <c r="L399" s="201"/>
      <c r="M399" s="201"/>
    </row>
    <row r="400">
      <c r="A400" s="190"/>
      <c r="B400" s="195"/>
      <c r="C400" s="196"/>
      <c r="D400" s="196"/>
      <c r="E400" s="197"/>
      <c r="F400" s="198"/>
      <c r="G400" s="199"/>
      <c r="H400" s="197"/>
      <c r="I400" s="199"/>
      <c r="J400" s="200"/>
      <c r="K400" s="211"/>
      <c r="L400" s="201"/>
      <c r="M400" s="201"/>
    </row>
    <row r="401">
      <c r="A401" s="190"/>
      <c r="B401" s="195"/>
      <c r="C401" s="196"/>
      <c r="D401" s="196"/>
      <c r="E401" s="197"/>
      <c r="F401" s="198"/>
      <c r="G401" s="199"/>
      <c r="H401" s="197"/>
      <c r="I401" s="199"/>
      <c r="J401" s="200"/>
      <c r="K401" s="211"/>
      <c r="L401" s="201"/>
      <c r="M401" s="201"/>
    </row>
    <row r="402">
      <c r="A402" s="190"/>
      <c r="B402" s="195"/>
      <c r="C402" s="196"/>
      <c r="D402" s="196"/>
      <c r="E402" s="197"/>
      <c r="F402" s="198"/>
      <c r="G402" s="199"/>
      <c r="H402" s="197"/>
      <c r="I402" s="199"/>
      <c r="J402" s="200"/>
      <c r="K402" s="211"/>
      <c r="L402" s="201"/>
      <c r="M402" s="201"/>
    </row>
    <row r="403">
      <c r="A403" s="190"/>
      <c r="B403" s="195"/>
      <c r="C403" s="196"/>
      <c r="D403" s="196"/>
      <c r="E403" s="197"/>
      <c r="F403" s="198"/>
      <c r="G403" s="199"/>
      <c r="H403" s="197"/>
      <c r="I403" s="199"/>
      <c r="J403" s="200"/>
      <c r="K403" s="211"/>
      <c r="L403" s="201"/>
      <c r="M403" s="201"/>
    </row>
    <row r="404">
      <c r="A404" s="190"/>
      <c r="B404" s="195"/>
      <c r="C404" s="196"/>
      <c r="D404" s="196"/>
      <c r="E404" s="197"/>
      <c r="F404" s="198"/>
      <c r="G404" s="199"/>
      <c r="H404" s="197"/>
      <c r="I404" s="199"/>
      <c r="J404" s="200"/>
      <c r="K404" s="211"/>
      <c r="L404" s="201"/>
      <c r="M404" s="201"/>
    </row>
    <row r="405">
      <c r="A405" s="190"/>
      <c r="B405" s="195"/>
      <c r="C405" s="196"/>
      <c r="D405" s="196"/>
      <c r="E405" s="197"/>
      <c r="F405" s="198"/>
      <c r="G405" s="199"/>
      <c r="H405" s="197"/>
      <c r="I405" s="199"/>
      <c r="J405" s="200"/>
      <c r="K405" s="211"/>
      <c r="L405" s="201"/>
      <c r="M405" s="201"/>
    </row>
    <row r="406">
      <c r="A406" s="190"/>
      <c r="B406" s="195"/>
      <c r="C406" s="196"/>
      <c r="D406" s="196"/>
      <c r="E406" s="197"/>
      <c r="F406" s="198"/>
      <c r="G406" s="199"/>
      <c r="H406" s="197"/>
      <c r="I406" s="199"/>
      <c r="J406" s="200"/>
      <c r="K406" s="211"/>
      <c r="L406" s="201"/>
      <c r="M406" s="201"/>
    </row>
    <row r="407">
      <c r="A407" s="190"/>
      <c r="B407" s="195"/>
      <c r="C407" s="196"/>
      <c r="D407" s="196"/>
      <c r="E407" s="197"/>
      <c r="F407" s="198"/>
      <c r="G407" s="199"/>
      <c r="H407" s="197"/>
      <c r="I407" s="199"/>
      <c r="J407" s="200"/>
      <c r="K407" s="211"/>
      <c r="L407" s="201"/>
      <c r="M407" s="201"/>
    </row>
    <row r="408">
      <c r="A408" s="190"/>
      <c r="B408" s="195"/>
      <c r="C408" s="196"/>
      <c r="D408" s="196"/>
      <c r="E408" s="197"/>
      <c r="F408" s="198"/>
      <c r="G408" s="199"/>
      <c r="H408" s="197"/>
      <c r="I408" s="199"/>
      <c r="J408" s="200"/>
      <c r="K408" s="211"/>
      <c r="L408" s="201"/>
      <c r="M408" s="201"/>
    </row>
    <row r="409">
      <c r="A409" s="190"/>
      <c r="B409" s="195"/>
      <c r="C409" s="196"/>
      <c r="D409" s="196"/>
      <c r="E409" s="197"/>
      <c r="F409" s="198"/>
      <c r="G409" s="199"/>
      <c r="H409" s="197"/>
      <c r="I409" s="199"/>
      <c r="J409" s="200"/>
      <c r="K409" s="211"/>
      <c r="L409" s="201"/>
      <c r="M409" s="201"/>
    </row>
    <row r="410">
      <c r="A410" s="190"/>
      <c r="B410" s="195"/>
      <c r="C410" s="196"/>
      <c r="D410" s="196"/>
      <c r="E410" s="197"/>
      <c r="F410" s="198"/>
      <c r="G410" s="199"/>
      <c r="H410" s="197"/>
      <c r="I410" s="199"/>
      <c r="J410" s="200"/>
      <c r="K410" s="211"/>
      <c r="L410" s="201"/>
      <c r="M410" s="201"/>
    </row>
    <row r="411">
      <c r="A411" s="190"/>
      <c r="B411" s="195"/>
      <c r="C411" s="196"/>
      <c r="D411" s="196"/>
      <c r="E411" s="197"/>
      <c r="F411" s="198"/>
      <c r="G411" s="199"/>
      <c r="H411" s="197"/>
      <c r="I411" s="199"/>
      <c r="J411" s="200"/>
      <c r="K411" s="211"/>
      <c r="L411" s="201"/>
      <c r="M411" s="201"/>
    </row>
    <row r="412">
      <c r="A412" s="190"/>
      <c r="B412" s="195"/>
      <c r="C412" s="196"/>
      <c r="D412" s="196"/>
      <c r="E412" s="197"/>
      <c r="F412" s="198"/>
      <c r="G412" s="199"/>
      <c r="H412" s="197"/>
      <c r="I412" s="199"/>
      <c r="J412" s="200"/>
      <c r="K412" s="211"/>
      <c r="L412" s="201"/>
      <c r="M412" s="201"/>
    </row>
    <row r="413">
      <c r="A413" s="190"/>
      <c r="B413" s="195"/>
      <c r="C413" s="196"/>
      <c r="D413" s="196"/>
      <c r="E413" s="197"/>
      <c r="F413" s="198"/>
      <c r="G413" s="199"/>
      <c r="H413" s="197"/>
      <c r="I413" s="199"/>
      <c r="J413" s="200"/>
      <c r="K413" s="211"/>
      <c r="L413" s="201"/>
      <c r="M413" s="201"/>
    </row>
    <row r="414">
      <c r="A414" s="190"/>
      <c r="B414" s="195"/>
      <c r="C414" s="196"/>
      <c r="D414" s="196"/>
      <c r="E414" s="197"/>
      <c r="F414" s="198"/>
      <c r="G414" s="199"/>
      <c r="H414" s="197"/>
      <c r="I414" s="199"/>
      <c r="J414" s="200"/>
      <c r="K414" s="211"/>
      <c r="L414" s="201"/>
      <c r="M414" s="201"/>
    </row>
    <row r="415">
      <c r="A415" s="190"/>
      <c r="B415" s="195"/>
      <c r="C415" s="196"/>
      <c r="D415" s="196"/>
      <c r="E415" s="197"/>
      <c r="F415" s="198"/>
      <c r="G415" s="199"/>
      <c r="H415" s="197"/>
      <c r="I415" s="199"/>
      <c r="J415" s="200"/>
      <c r="K415" s="211"/>
      <c r="L415" s="201"/>
      <c r="M415" s="201"/>
    </row>
    <row r="416">
      <c r="A416" s="190"/>
      <c r="B416" s="195"/>
      <c r="C416" s="196"/>
      <c r="D416" s="196"/>
      <c r="E416" s="197"/>
      <c r="F416" s="198"/>
      <c r="G416" s="199"/>
      <c r="H416" s="197"/>
      <c r="I416" s="199"/>
      <c r="J416" s="200"/>
      <c r="K416" s="211"/>
      <c r="L416" s="201"/>
      <c r="M416" s="201"/>
    </row>
    <row r="417">
      <c r="A417" s="190"/>
      <c r="B417" s="195"/>
      <c r="C417" s="196"/>
      <c r="D417" s="196"/>
      <c r="E417" s="197"/>
      <c r="F417" s="198"/>
      <c r="G417" s="199"/>
      <c r="H417" s="197"/>
      <c r="I417" s="199"/>
      <c r="J417" s="200"/>
      <c r="K417" s="211"/>
      <c r="L417" s="201"/>
      <c r="M417" s="201"/>
    </row>
    <row r="418">
      <c r="A418" s="190"/>
      <c r="B418" s="195"/>
      <c r="C418" s="196"/>
      <c r="D418" s="196"/>
      <c r="E418" s="197"/>
      <c r="F418" s="198"/>
      <c r="G418" s="199"/>
      <c r="H418" s="197"/>
      <c r="I418" s="199"/>
      <c r="J418" s="200"/>
      <c r="K418" s="211"/>
      <c r="L418" s="201"/>
      <c r="M418" s="201"/>
    </row>
    <row r="419">
      <c r="A419" s="190"/>
      <c r="B419" s="195"/>
      <c r="C419" s="196"/>
      <c r="D419" s="196"/>
      <c r="E419" s="197"/>
      <c r="F419" s="198"/>
      <c r="G419" s="199"/>
      <c r="H419" s="197"/>
      <c r="I419" s="199"/>
      <c r="J419" s="200"/>
      <c r="K419" s="211"/>
      <c r="L419" s="201"/>
      <c r="M419" s="201"/>
    </row>
    <row r="420">
      <c r="A420" s="190"/>
      <c r="B420" s="195"/>
      <c r="C420" s="196"/>
      <c r="D420" s="196"/>
      <c r="E420" s="197"/>
      <c r="F420" s="198"/>
      <c r="G420" s="199"/>
      <c r="H420" s="197"/>
      <c r="I420" s="199"/>
      <c r="J420" s="200"/>
      <c r="K420" s="211"/>
      <c r="L420" s="201"/>
      <c r="M420" s="201"/>
    </row>
    <row r="421">
      <c r="A421" s="190"/>
      <c r="B421" s="195"/>
      <c r="C421" s="196"/>
      <c r="D421" s="196"/>
      <c r="E421" s="197"/>
      <c r="F421" s="198"/>
      <c r="G421" s="199"/>
      <c r="H421" s="197"/>
      <c r="I421" s="199"/>
      <c r="J421" s="200"/>
      <c r="K421" s="211"/>
      <c r="L421" s="201"/>
      <c r="M421" s="201"/>
    </row>
    <row r="422">
      <c r="A422" s="190"/>
      <c r="B422" s="195"/>
      <c r="C422" s="196"/>
      <c r="D422" s="196"/>
      <c r="E422" s="197"/>
      <c r="F422" s="198"/>
      <c r="G422" s="199"/>
      <c r="H422" s="197"/>
      <c r="I422" s="199"/>
      <c r="J422" s="200"/>
      <c r="K422" s="211"/>
      <c r="L422" s="201"/>
      <c r="M422" s="201"/>
    </row>
    <row r="423">
      <c r="A423" s="190"/>
      <c r="B423" s="195"/>
      <c r="C423" s="196"/>
      <c r="D423" s="196"/>
      <c r="E423" s="197"/>
      <c r="F423" s="198"/>
      <c r="G423" s="199"/>
      <c r="H423" s="197"/>
      <c r="I423" s="199"/>
      <c r="J423" s="200"/>
      <c r="K423" s="211"/>
      <c r="L423" s="201"/>
      <c r="M423" s="201"/>
    </row>
    <row r="424">
      <c r="A424" s="190"/>
      <c r="B424" s="195"/>
      <c r="C424" s="196"/>
      <c r="D424" s="196"/>
      <c r="E424" s="197"/>
      <c r="F424" s="198"/>
      <c r="G424" s="199"/>
      <c r="H424" s="197"/>
      <c r="I424" s="199"/>
      <c r="J424" s="200"/>
      <c r="K424" s="211"/>
      <c r="L424" s="201"/>
      <c r="M424" s="201"/>
    </row>
    <row r="425">
      <c r="A425" s="190"/>
      <c r="B425" s="195"/>
      <c r="C425" s="196"/>
      <c r="D425" s="196"/>
      <c r="E425" s="197"/>
      <c r="F425" s="198"/>
      <c r="G425" s="199"/>
      <c r="H425" s="197"/>
      <c r="I425" s="199"/>
      <c r="J425" s="200"/>
      <c r="K425" s="211"/>
      <c r="L425" s="201"/>
      <c r="M425" s="201"/>
    </row>
    <row r="426">
      <c r="A426" s="190"/>
      <c r="B426" s="195"/>
      <c r="C426" s="196"/>
      <c r="D426" s="196"/>
      <c r="E426" s="197"/>
      <c r="F426" s="198"/>
      <c r="G426" s="199"/>
      <c r="H426" s="197"/>
      <c r="I426" s="199"/>
      <c r="J426" s="200"/>
      <c r="K426" s="211"/>
      <c r="L426" s="201"/>
      <c r="M426" s="201"/>
    </row>
    <row r="427">
      <c r="A427" s="190"/>
      <c r="B427" s="195"/>
      <c r="C427" s="196"/>
      <c r="D427" s="196"/>
      <c r="E427" s="197"/>
      <c r="F427" s="198"/>
      <c r="G427" s="199"/>
      <c r="H427" s="197"/>
      <c r="I427" s="199"/>
      <c r="J427" s="200"/>
      <c r="K427" s="211"/>
      <c r="L427" s="201"/>
      <c r="M427" s="201"/>
    </row>
    <row r="428">
      <c r="A428" s="190"/>
      <c r="B428" s="195"/>
      <c r="C428" s="196"/>
      <c r="D428" s="196"/>
      <c r="E428" s="197"/>
      <c r="F428" s="198"/>
      <c r="G428" s="199"/>
      <c r="H428" s="197"/>
      <c r="I428" s="199"/>
      <c r="J428" s="200"/>
      <c r="K428" s="211"/>
      <c r="L428" s="201"/>
      <c r="M428" s="201"/>
    </row>
    <row r="429">
      <c r="A429" s="190"/>
      <c r="B429" s="195"/>
      <c r="C429" s="196"/>
      <c r="D429" s="196"/>
      <c r="E429" s="197"/>
      <c r="F429" s="198"/>
      <c r="G429" s="199"/>
      <c r="H429" s="197"/>
      <c r="I429" s="199"/>
      <c r="J429" s="200"/>
      <c r="K429" s="211"/>
      <c r="L429" s="201"/>
      <c r="M429" s="201"/>
    </row>
    <row r="430">
      <c r="A430" s="190"/>
      <c r="B430" s="195"/>
      <c r="C430" s="196"/>
      <c r="D430" s="196"/>
      <c r="E430" s="197"/>
      <c r="F430" s="198"/>
      <c r="G430" s="199"/>
      <c r="H430" s="197"/>
      <c r="I430" s="199"/>
      <c r="J430" s="200"/>
      <c r="K430" s="211"/>
      <c r="L430" s="201"/>
      <c r="M430" s="201"/>
    </row>
    <row r="431">
      <c r="A431" s="190"/>
      <c r="B431" s="195"/>
      <c r="C431" s="196"/>
      <c r="D431" s="196"/>
      <c r="E431" s="197"/>
      <c r="F431" s="198"/>
      <c r="G431" s="199"/>
      <c r="H431" s="197"/>
      <c r="I431" s="199"/>
      <c r="J431" s="200"/>
      <c r="K431" s="211"/>
      <c r="L431" s="201"/>
      <c r="M431" s="201"/>
    </row>
    <row r="432">
      <c r="A432" s="190"/>
      <c r="B432" s="195"/>
      <c r="C432" s="196"/>
      <c r="D432" s="196"/>
      <c r="E432" s="197"/>
      <c r="F432" s="198"/>
      <c r="G432" s="199"/>
      <c r="H432" s="197"/>
      <c r="I432" s="199"/>
      <c r="J432" s="200"/>
      <c r="K432" s="211"/>
      <c r="L432" s="201"/>
      <c r="M432" s="201"/>
    </row>
    <row r="433">
      <c r="A433" s="190"/>
      <c r="B433" s="195"/>
      <c r="C433" s="196"/>
      <c r="D433" s="196"/>
      <c r="E433" s="197"/>
      <c r="F433" s="198"/>
      <c r="G433" s="199"/>
      <c r="H433" s="197"/>
      <c r="I433" s="199"/>
      <c r="J433" s="200"/>
      <c r="K433" s="211"/>
      <c r="L433" s="201"/>
      <c r="M433" s="201"/>
    </row>
    <row r="434">
      <c r="A434" s="190"/>
      <c r="B434" s="195"/>
      <c r="C434" s="196"/>
      <c r="D434" s="196"/>
      <c r="E434" s="197"/>
      <c r="F434" s="198"/>
      <c r="G434" s="199"/>
      <c r="H434" s="197"/>
      <c r="I434" s="199"/>
      <c r="J434" s="200"/>
      <c r="K434" s="211"/>
      <c r="L434" s="201"/>
      <c r="M434" s="201"/>
    </row>
    <row r="435">
      <c r="A435" s="190"/>
      <c r="B435" s="195"/>
      <c r="C435" s="196"/>
      <c r="D435" s="196"/>
      <c r="E435" s="197"/>
      <c r="F435" s="198"/>
      <c r="G435" s="199"/>
      <c r="H435" s="197"/>
      <c r="I435" s="199"/>
      <c r="J435" s="200"/>
      <c r="K435" s="211"/>
      <c r="L435" s="201"/>
      <c r="M435" s="201"/>
    </row>
    <row r="436">
      <c r="A436" s="190"/>
      <c r="B436" s="195"/>
      <c r="C436" s="196"/>
      <c r="D436" s="196"/>
      <c r="E436" s="197"/>
      <c r="F436" s="198"/>
      <c r="G436" s="199"/>
      <c r="H436" s="197"/>
      <c r="I436" s="199"/>
      <c r="J436" s="200"/>
      <c r="K436" s="211"/>
      <c r="L436" s="201"/>
      <c r="M436" s="201"/>
    </row>
    <row r="437">
      <c r="A437" s="190"/>
      <c r="B437" s="195"/>
      <c r="C437" s="196"/>
      <c r="D437" s="196"/>
      <c r="E437" s="197"/>
      <c r="F437" s="198"/>
      <c r="G437" s="199"/>
      <c r="H437" s="197"/>
      <c r="I437" s="199"/>
      <c r="J437" s="200"/>
      <c r="K437" s="211"/>
      <c r="L437" s="201"/>
      <c r="M437" s="201"/>
    </row>
    <row r="438">
      <c r="A438" s="190"/>
      <c r="B438" s="195"/>
      <c r="C438" s="196"/>
      <c r="D438" s="196"/>
      <c r="E438" s="197"/>
      <c r="F438" s="198"/>
      <c r="G438" s="199"/>
      <c r="H438" s="197"/>
      <c r="I438" s="199"/>
      <c r="J438" s="200"/>
      <c r="K438" s="211"/>
      <c r="L438" s="201"/>
      <c r="M438" s="201"/>
    </row>
    <row r="439">
      <c r="A439" s="190"/>
      <c r="B439" s="195"/>
      <c r="C439" s="196"/>
      <c r="D439" s="196"/>
      <c r="E439" s="197"/>
      <c r="F439" s="198"/>
      <c r="G439" s="199"/>
      <c r="H439" s="197"/>
      <c r="I439" s="199"/>
      <c r="J439" s="200"/>
      <c r="K439" s="211"/>
      <c r="L439" s="201"/>
      <c r="M439" s="201"/>
    </row>
    <row r="440">
      <c r="A440" s="190"/>
      <c r="B440" s="195"/>
      <c r="C440" s="196"/>
      <c r="D440" s="196"/>
      <c r="E440" s="197"/>
      <c r="F440" s="198"/>
      <c r="G440" s="199"/>
      <c r="H440" s="197"/>
      <c r="I440" s="199"/>
      <c r="J440" s="200"/>
      <c r="K440" s="211"/>
      <c r="L440" s="201"/>
      <c r="M440" s="201"/>
    </row>
    <row r="441">
      <c r="A441" s="190"/>
      <c r="B441" s="195"/>
      <c r="C441" s="196"/>
      <c r="D441" s="196"/>
      <c r="E441" s="197"/>
      <c r="F441" s="198"/>
      <c r="G441" s="199"/>
      <c r="H441" s="197"/>
      <c r="I441" s="199"/>
      <c r="J441" s="200"/>
      <c r="K441" s="211"/>
      <c r="L441" s="201"/>
      <c r="M441" s="201"/>
    </row>
    <row r="442">
      <c r="A442" s="190"/>
      <c r="B442" s="195"/>
      <c r="C442" s="196"/>
      <c r="D442" s="196"/>
      <c r="E442" s="197"/>
      <c r="F442" s="198"/>
      <c r="G442" s="199"/>
      <c r="H442" s="197"/>
      <c r="I442" s="199"/>
      <c r="J442" s="200"/>
      <c r="K442" s="211"/>
      <c r="L442" s="201"/>
      <c r="M442" s="201"/>
    </row>
    <row r="443">
      <c r="A443" s="190"/>
      <c r="B443" s="195"/>
      <c r="C443" s="196"/>
      <c r="D443" s="196"/>
      <c r="E443" s="197"/>
      <c r="F443" s="198"/>
      <c r="G443" s="199"/>
      <c r="H443" s="197"/>
      <c r="I443" s="199"/>
      <c r="J443" s="200"/>
      <c r="K443" s="211"/>
      <c r="L443" s="201"/>
      <c r="M443" s="201"/>
    </row>
    <row r="444">
      <c r="A444" s="190"/>
      <c r="B444" s="195"/>
      <c r="C444" s="196"/>
      <c r="D444" s="196"/>
      <c r="E444" s="197"/>
      <c r="F444" s="198"/>
      <c r="G444" s="199"/>
      <c r="H444" s="197"/>
      <c r="I444" s="199"/>
      <c r="J444" s="200"/>
      <c r="K444" s="211"/>
      <c r="L444" s="201"/>
      <c r="M444" s="201"/>
    </row>
    <row r="445">
      <c r="A445" s="190"/>
      <c r="B445" s="195"/>
      <c r="C445" s="196"/>
      <c r="D445" s="196"/>
      <c r="E445" s="197"/>
      <c r="F445" s="198"/>
      <c r="G445" s="199"/>
      <c r="H445" s="197"/>
      <c r="I445" s="199"/>
      <c r="J445" s="200"/>
      <c r="K445" s="211"/>
      <c r="L445" s="201"/>
      <c r="M445" s="201"/>
    </row>
    <row r="446">
      <c r="A446" s="190"/>
      <c r="B446" s="195"/>
      <c r="C446" s="196"/>
      <c r="D446" s="196"/>
      <c r="E446" s="197"/>
      <c r="F446" s="198"/>
      <c r="G446" s="199"/>
      <c r="H446" s="197"/>
      <c r="I446" s="199"/>
      <c r="J446" s="200"/>
      <c r="K446" s="211"/>
      <c r="L446" s="201"/>
      <c r="M446" s="201"/>
    </row>
    <row r="447">
      <c r="A447" s="190"/>
      <c r="B447" s="195"/>
      <c r="C447" s="196"/>
      <c r="D447" s="196"/>
      <c r="E447" s="197"/>
      <c r="F447" s="198"/>
      <c r="G447" s="199"/>
      <c r="H447" s="197"/>
      <c r="I447" s="199"/>
      <c r="J447" s="200"/>
      <c r="K447" s="211"/>
      <c r="L447" s="201"/>
      <c r="M447" s="201"/>
    </row>
    <row r="448">
      <c r="A448" s="190"/>
      <c r="B448" s="195"/>
      <c r="C448" s="196"/>
      <c r="D448" s="196"/>
      <c r="E448" s="197"/>
      <c r="F448" s="198"/>
      <c r="G448" s="199"/>
      <c r="H448" s="197"/>
      <c r="I448" s="199"/>
      <c r="J448" s="200"/>
      <c r="K448" s="211"/>
      <c r="L448" s="201"/>
      <c r="M448" s="201"/>
    </row>
    <row r="449">
      <c r="A449" s="190"/>
      <c r="B449" s="195"/>
      <c r="C449" s="196"/>
      <c r="D449" s="196"/>
      <c r="E449" s="197"/>
      <c r="F449" s="198"/>
      <c r="G449" s="199"/>
      <c r="H449" s="197"/>
      <c r="I449" s="199"/>
      <c r="J449" s="200"/>
      <c r="K449" s="211"/>
      <c r="L449" s="201"/>
      <c r="M449" s="201"/>
    </row>
    <row r="450">
      <c r="A450" s="190"/>
      <c r="B450" s="195"/>
      <c r="C450" s="196"/>
      <c r="D450" s="196"/>
      <c r="E450" s="197"/>
      <c r="F450" s="198"/>
      <c r="G450" s="199"/>
      <c r="H450" s="197"/>
      <c r="I450" s="199"/>
      <c r="J450" s="200"/>
      <c r="K450" s="211"/>
      <c r="L450" s="201"/>
      <c r="M450" s="201"/>
    </row>
    <row r="451">
      <c r="A451" s="190"/>
      <c r="B451" s="195"/>
      <c r="C451" s="196"/>
      <c r="D451" s="196"/>
      <c r="E451" s="197"/>
      <c r="F451" s="198"/>
      <c r="G451" s="199"/>
      <c r="H451" s="197"/>
      <c r="I451" s="199"/>
      <c r="J451" s="200"/>
      <c r="K451" s="211"/>
      <c r="L451" s="201"/>
      <c r="M451" s="201"/>
    </row>
    <row r="452">
      <c r="A452" s="190"/>
      <c r="B452" s="195"/>
      <c r="C452" s="196"/>
      <c r="D452" s="196"/>
      <c r="E452" s="197"/>
      <c r="F452" s="198"/>
      <c r="G452" s="199"/>
      <c r="H452" s="197"/>
      <c r="I452" s="199"/>
      <c r="J452" s="200"/>
      <c r="K452" s="211"/>
      <c r="L452" s="201"/>
      <c r="M452" s="201"/>
    </row>
    <row r="453">
      <c r="A453" s="190"/>
      <c r="B453" s="195"/>
      <c r="C453" s="196"/>
      <c r="D453" s="196"/>
      <c r="E453" s="197"/>
      <c r="F453" s="198"/>
      <c r="G453" s="199"/>
      <c r="H453" s="197"/>
      <c r="I453" s="199"/>
      <c r="J453" s="200"/>
      <c r="K453" s="211"/>
      <c r="L453" s="201"/>
      <c r="M453" s="201"/>
    </row>
    <row r="454">
      <c r="A454" s="190"/>
      <c r="B454" s="195"/>
      <c r="C454" s="196"/>
      <c r="D454" s="196"/>
      <c r="E454" s="197"/>
      <c r="F454" s="198"/>
      <c r="G454" s="199"/>
      <c r="H454" s="197"/>
      <c r="I454" s="199"/>
      <c r="J454" s="200"/>
      <c r="K454" s="211"/>
      <c r="L454" s="201"/>
      <c r="M454" s="201"/>
    </row>
    <row r="455">
      <c r="A455" s="190"/>
      <c r="B455" s="195"/>
      <c r="C455" s="196"/>
      <c r="D455" s="196"/>
      <c r="E455" s="197"/>
      <c r="F455" s="198"/>
      <c r="G455" s="199"/>
      <c r="H455" s="197"/>
      <c r="I455" s="199"/>
      <c r="J455" s="200"/>
      <c r="K455" s="211"/>
      <c r="L455" s="201"/>
      <c r="M455" s="201"/>
    </row>
    <row r="456">
      <c r="A456" s="190"/>
      <c r="B456" s="195"/>
      <c r="C456" s="196"/>
      <c r="D456" s="196"/>
      <c r="E456" s="197"/>
      <c r="F456" s="198"/>
      <c r="G456" s="199"/>
      <c r="H456" s="197"/>
      <c r="I456" s="199"/>
      <c r="J456" s="200"/>
      <c r="K456" s="211"/>
      <c r="L456" s="201"/>
      <c r="M456" s="201"/>
    </row>
    <row r="457">
      <c r="A457" s="190"/>
      <c r="B457" s="195"/>
      <c r="C457" s="196"/>
      <c r="D457" s="196"/>
      <c r="E457" s="197"/>
      <c r="F457" s="198"/>
      <c r="G457" s="199"/>
      <c r="H457" s="197"/>
      <c r="I457" s="199"/>
      <c r="J457" s="200"/>
      <c r="K457" s="211"/>
      <c r="L457" s="201"/>
      <c r="M457" s="201"/>
    </row>
    <row r="458">
      <c r="A458" s="190"/>
      <c r="B458" s="195"/>
      <c r="C458" s="196"/>
      <c r="D458" s="196"/>
      <c r="E458" s="197"/>
      <c r="F458" s="198"/>
      <c r="G458" s="199"/>
      <c r="H458" s="197"/>
      <c r="I458" s="199"/>
      <c r="J458" s="200"/>
      <c r="K458" s="211"/>
      <c r="L458" s="201"/>
      <c r="M458" s="201"/>
    </row>
    <row r="459">
      <c r="A459" s="190"/>
      <c r="B459" s="195"/>
      <c r="C459" s="196"/>
      <c r="D459" s="196"/>
      <c r="E459" s="197"/>
      <c r="F459" s="198"/>
      <c r="G459" s="199"/>
      <c r="H459" s="197"/>
      <c r="I459" s="199"/>
      <c r="J459" s="200"/>
      <c r="K459" s="211"/>
      <c r="L459" s="201"/>
      <c r="M459" s="201"/>
    </row>
    <row r="460">
      <c r="A460" s="190"/>
      <c r="B460" s="195"/>
      <c r="C460" s="196"/>
      <c r="D460" s="196"/>
      <c r="E460" s="197"/>
      <c r="F460" s="198"/>
      <c r="G460" s="199"/>
      <c r="H460" s="197"/>
      <c r="I460" s="199"/>
      <c r="J460" s="200"/>
      <c r="K460" s="211"/>
      <c r="L460" s="201"/>
      <c r="M460" s="201"/>
    </row>
    <row r="461">
      <c r="A461" s="190"/>
      <c r="B461" s="195"/>
      <c r="C461" s="196"/>
      <c r="D461" s="196"/>
      <c r="E461" s="197"/>
      <c r="F461" s="198"/>
      <c r="G461" s="199"/>
      <c r="H461" s="197"/>
      <c r="I461" s="199"/>
      <c r="J461" s="200"/>
      <c r="K461" s="211"/>
      <c r="L461" s="201"/>
      <c r="M461" s="201"/>
    </row>
    <row r="462">
      <c r="A462" s="190"/>
      <c r="B462" s="195"/>
      <c r="C462" s="196"/>
      <c r="D462" s="196"/>
      <c r="E462" s="197"/>
      <c r="F462" s="198"/>
      <c r="G462" s="199"/>
      <c r="H462" s="197"/>
      <c r="I462" s="199"/>
      <c r="J462" s="200"/>
      <c r="K462" s="211"/>
      <c r="L462" s="201"/>
      <c r="M462" s="201"/>
    </row>
    <row r="463">
      <c r="A463" s="190"/>
      <c r="B463" s="195"/>
      <c r="C463" s="196"/>
      <c r="D463" s="196"/>
      <c r="E463" s="197"/>
      <c r="F463" s="198"/>
      <c r="G463" s="199"/>
      <c r="H463" s="197"/>
      <c r="I463" s="199"/>
      <c r="J463" s="200"/>
      <c r="K463" s="211"/>
      <c r="L463" s="201"/>
      <c r="M463" s="201"/>
    </row>
    <row r="464">
      <c r="A464" s="190"/>
      <c r="B464" s="195"/>
      <c r="C464" s="196"/>
      <c r="D464" s="196"/>
      <c r="E464" s="197"/>
      <c r="F464" s="198"/>
      <c r="G464" s="199"/>
      <c r="H464" s="197"/>
      <c r="I464" s="199"/>
      <c r="J464" s="200"/>
      <c r="K464" s="211"/>
      <c r="L464" s="201"/>
      <c r="M464" s="201"/>
    </row>
    <row r="465">
      <c r="A465" s="190"/>
      <c r="B465" s="195"/>
      <c r="C465" s="196"/>
      <c r="D465" s="196"/>
      <c r="E465" s="197"/>
      <c r="F465" s="198"/>
      <c r="G465" s="199"/>
      <c r="H465" s="197"/>
      <c r="I465" s="199"/>
      <c r="J465" s="200"/>
      <c r="K465" s="211"/>
      <c r="L465" s="201"/>
      <c r="M465" s="201"/>
    </row>
    <row r="466">
      <c r="A466" s="190"/>
      <c r="B466" s="195"/>
      <c r="C466" s="196"/>
      <c r="D466" s="196"/>
      <c r="E466" s="197"/>
      <c r="F466" s="198"/>
      <c r="G466" s="199"/>
      <c r="H466" s="197"/>
      <c r="I466" s="199"/>
      <c r="J466" s="200"/>
      <c r="K466" s="211"/>
      <c r="L466" s="201"/>
      <c r="M466" s="201"/>
    </row>
    <row r="467">
      <c r="A467" s="190"/>
      <c r="B467" s="195"/>
      <c r="C467" s="196"/>
      <c r="D467" s="196"/>
      <c r="E467" s="197"/>
      <c r="F467" s="198"/>
      <c r="G467" s="199"/>
      <c r="H467" s="197"/>
      <c r="I467" s="199"/>
      <c r="J467" s="200"/>
      <c r="K467" s="211"/>
      <c r="L467" s="201"/>
      <c r="M467" s="201"/>
    </row>
    <row r="468">
      <c r="A468" s="190"/>
      <c r="B468" s="195"/>
      <c r="C468" s="196"/>
      <c r="D468" s="196"/>
      <c r="E468" s="197"/>
      <c r="F468" s="198"/>
      <c r="G468" s="199"/>
      <c r="H468" s="197"/>
      <c r="I468" s="199"/>
      <c r="J468" s="200"/>
      <c r="K468" s="211"/>
      <c r="L468" s="201"/>
      <c r="M468" s="201"/>
    </row>
    <row r="469">
      <c r="A469" s="190"/>
      <c r="B469" s="195"/>
      <c r="C469" s="196"/>
      <c r="D469" s="196"/>
      <c r="E469" s="197"/>
      <c r="F469" s="198"/>
      <c r="G469" s="199"/>
      <c r="H469" s="197"/>
      <c r="I469" s="199"/>
      <c r="J469" s="200"/>
      <c r="K469" s="211"/>
      <c r="L469" s="201"/>
      <c r="M469" s="201"/>
    </row>
    <row r="470">
      <c r="A470" s="190"/>
      <c r="B470" s="195"/>
      <c r="C470" s="196"/>
      <c r="D470" s="196"/>
      <c r="E470" s="197"/>
      <c r="F470" s="198"/>
      <c r="G470" s="199"/>
      <c r="H470" s="197"/>
      <c r="I470" s="199"/>
      <c r="J470" s="200"/>
      <c r="K470" s="211"/>
      <c r="L470" s="201"/>
      <c r="M470" s="201"/>
    </row>
    <row r="471">
      <c r="A471" s="190"/>
      <c r="B471" s="195"/>
      <c r="C471" s="196"/>
      <c r="D471" s="196"/>
      <c r="E471" s="197"/>
      <c r="F471" s="198"/>
      <c r="G471" s="199"/>
      <c r="H471" s="197"/>
      <c r="I471" s="199"/>
      <c r="J471" s="200"/>
      <c r="K471" s="211"/>
      <c r="L471" s="201"/>
      <c r="M471" s="201"/>
    </row>
    <row r="472">
      <c r="A472" s="190"/>
      <c r="B472" s="195"/>
      <c r="C472" s="196"/>
      <c r="D472" s="196"/>
      <c r="E472" s="197"/>
      <c r="F472" s="198"/>
      <c r="G472" s="199"/>
      <c r="H472" s="197"/>
      <c r="I472" s="199"/>
      <c r="J472" s="200"/>
      <c r="K472" s="211"/>
      <c r="L472" s="201"/>
      <c r="M472" s="201"/>
    </row>
    <row r="473">
      <c r="A473" s="190"/>
      <c r="B473" s="195"/>
      <c r="C473" s="196"/>
      <c r="D473" s="196"/>
      <c r="E473" s="197"/>
      <c r="F473" s="198"/>
      <c r="G473" s="199"/>
      <c r="H473" s="197"/>
      <c r="I473" s="199"/>
      <c r="J473" s="200"/>
      <c r="K473" s="211"/>
      <c r="L473" s="201"/>
      <c r="M473" s="201"/>
    </row>
    <row r="474">
      <c r="A474" s="190"/>
      <c r="B474" s="195"/>
      <c r="C474" s="196"/>
      <c r="D474" s="196"/>
      <c r="E474" s="197"/>
      <c r="F474" s="198"/>
      <c r="G474" s="199"/>
      <c r="H474" s="197"/>
      <c r="I474" s="199"/>
      <c r="J474" s="200"/>
      <c r="K474" s="211"/>
      <c r="L474" s="201"/>
      <c r="M474" s="201"/>
    </row>
    <row r="475">
      <c r="A475" s="190"/>
      <c r="B475" s="195"/>
      <c r="C475" s="196"/>
      <c r="D475" s="196"/>
      <c r="E475" s="197"/>
      <c r="F475" s="198"/>
      <c r="G475" s="199"/>
      <c r="H475" s="197"/>
      <c r="I475" s="199"/>
      <c r="J475" s="200"/>
      <c r="K475" s="211"/>
      <c r="L475" s="201"/>
      <c r="M475" s="201"/>
    </row>
    <row r="476">
      <c r="A476" s="190"/>
      <c r="B476" s="195"/>
      <c r="C476" s="196"/>
      <c r="D476" s="196"/>
      <c r="E476" s="197"/>
      <c r="F476" s="198"/>
      <c r="G476" s="199"/>
      <c r="H476" s="197"/>
      <c r="I476" s="199"/>
      <c r="J476" s="200"/>
      <c r="K476" s="211"/>
      <c r="L476" s="201"/>
      <c r="M476" s="201"/>
    </row>
    <row r="477">
      <c r="A477" s="190"/>
      <c r="B477" s="195"/>
      <c r="C477" s="196"/>
      <c r="D477" s="196"/>
      <c r="E477" s="197"/>
      <c r="F477" s="198"/>
      <c r="G477" s="199"/>
      <c r="H477" s="197"/>
      <c r="I477" s="199"/>
      <c r="J477" s="200"/>
      <c r="K477" s="211"/>
      <c r="L477" s="201"/>
      <c r="M477" s="201"/>
    </row>
    <row r="478">
      <c r="A478" s="190"/>
      <c r="B478" s="195"/>
      <c r="C478" s="196"/>
      <c r="D478" s="196"/>
      <c r="E478" s="197"/>
      <c r="F478" s="198"/>
      <c r="G478" s="199"/>
      <c r="H478" s="197"/>
      <c r="I478" s="199"/>
      <c r="J478" s="200"/>
      <c r="K478" s="211"/>
      <c r="L478" s="201"/>
      <c r="M478" s="201"/>
    </row>
    <row r="479">
      <c r="A479" s="190"/>
      <c r="B479" s="195"/>
      <c r="C479" s="196"/>
      <c r="D479" s="196"/>
      <c r="E479" s="197"/>
      <c r="F479" s="198"/>
      <c r="G479" s="199"/>
      <c r="H479" s="197"/>
      <c r="I479" s="199"/>
      <c r="J479" s="200"/>
      <c r="K479" s="211"/>
      <c r="L479" s="201"/>
      <c r="M479" s="201"/>
    </row>
    <row r="480">
      <c r="A480" s="190"/>
      <c r="B480" s="195"/>
      <c r="C480" s="196"/>
      <c r="D480" s="196"/>
      <c r="E480" s="197"/>
      <c r="F480" s="198"/>
      <c r="G480" s="199"/>
      <c r="H480" s="197"/>
      <c r="I480" s="199"/>
      <c r="J480" s="200"/>
      <c r="K480" s="211"/>
      <c r="L480" s="201"/>
      <c r="M480" s="201"/>
    </row>
    <row r="481">
      <c r="A481" s="190"/>
      <c r="B481" s="195"/>
      <c r="C481" s="196"/>
      <c r="D481" s="196"/>
      <c r="E481" s="197"/>
      <c r="F481" s="198"/>
      <c r="G481" s="199"/>
      <c r="H481" s="197"/>
      <c r="I481" s="199"/>
      <c r="J481" s="200"/>
      <c r="K481" s="211"/>
      <c r="L481" s="201"/>
      <c r="M481" s="201"/>
    </row>
    <row r="482">
      <c r="A482" s="190"/>
      <c r="B482" s="195"/>
      <c r="C482" s="196"/>
      <c r="D482" s="196"/>
      <c r="E482" s="197"/>
      <c r="F482" s="198"/>
      <c r="G482" s="199"/>
      <c r="H482" s="197"/>
      <c r="I482" s="199"/>
      <c r="J482" s="200"/>
      <c r="K482" s="211"/>
      <c r="L482" s="201"/>
      <c r="M482" s="201"/>
    </row>
    <row r="483">
      <c r="A483" s="190"/>
      <c r="B483" s="195"/>
      <c r="C483" s="196"/>
      <c r="D483" s="196"/>
      <c r="E483" s="197"/>
      <c r="F483" s="198"/>
      <c r="G483" s="199"/>
      <c r="H483" s="197"/>
      <c r="I483" s="199"/>
      <c r="J483" s="200"/>
      <c r="K483" s="211"/>
      <c r="L483" s="201"/>
      <c r="M483" s="201"/>
    </row>
    <row r="484">
      <c r="A484" s="190"/>
      <c r="B484" s="195"/>
      <c r="C484" s="196"/>
      <c r="D484" s="196"/>
      <c r="E484" s="197"/>
      <c r="F484" s="198"/>
      <c r="G484" s="199"/>
      <c r="H484" s="197"/>
      <c r="I484" s="199"/>
      <c r="J484" s="200"/>
      <c r="K484" s="211"/>
      <c r="L484" s="201"/>
      <c r="M484" s="201"/>
    </row>
    <row r="485">
      <c r="A485" s="190"/>
      <c r="B485" s="195"/>
      <c r="C485" s="196"/>
      <c r="D485" s="196"/>
      <c r="E485" s="197"/>
      <c r="F485" s="198"/>
      <c r="G485" s="199"/>
      <c r="H485" s="197"/>
      <c r="I485" s="199"/>
      <c r="J485" s="200"/>
      <c r="K485" s="211"/>
      <c r="L485" s="201"/>
      <c r="M485" s="201"/>
    </row>
    <row r="486">
      <c r="A486" s="190"/>
      <c r="B486" s="195"/>
      <c r="C486" s="196"/>
      <c r="D486" s="196"/>
      <c r="E486" s="197"/>
      <c r="F486" s="198"/>
      <c r="G486" s="199"/>
      <c r="H486" s="197"/>
      <c r="I486" s="199"/>
      <c r="J486" s="200"/>
      <c r="K486" s="211"/>
      <c r="L486" s="201"/>
      <c r="M486" s="201"/>
    </row>
    <row r="487">
      <c r="A487" s="190"/>
      <c r="B487" s="195"/>
      <c r="C487" s="196"/>
      <c r="D487" s="196"/>
      <c r="E487" s="197"/>
      <c r="F487" s="198"/>
      <c r="G487" s="199"/>
      <c r="H487" s="197"/>
      <c r="I487" s="199"/>
      <c r="J487" s="200"/>
      <c r="K487" s="211"/>
      <c r="L487" s="201"/>
      <c r="M487" s="201"/>
    </row>
    <row r="488">
      <c r="A488" s="203"/>
      <c r="B488" s="204"/>
      <c r="C488" s="205"/>
      <c r="D488" s="205"/>
      <c r="E488" s="166"/>
      <c r="F488" s="206"/>
      <c r="G488" s="167"/>
      <c r="H488" s="166"/>
      <c r="I488" s="167"/>
      <c r="J488" s="168"/>
      <c r="K488" s="169"/>
      <c r="L488" s="207"/>
      <c r="M488" s="207"/>
    </row>
    <row r="489">
      <c r="A489" s="203"/>
      <c r="B489" s="204"/>
      <c r="C489" s="205"/>
      <c r="D489" s="205"/>
      <c r="E489" s="166"/>
      <c r="F489" s="206"/>
      <c r="G489" s="167"/>
      <c r="H489" s="166"/>
      <c r="I489" s="167"/>
      <c r="J489" s="168"/>
      <c r="K489" s="169"/>
      <c r="L489" s="207"/>
      <c r="M489" s="207"/>
    </row>
    <row r="490">
      <c r="A490" s="203"/>
      <c r="B490" s="204"/>
      <c r="C490" s="205"/>
      <c r="D490" s="205"/>
      <c r="E490" s="166"/>
      <c r="F490" s="206"/>
      <c r="G490" s="167"/>
      <c r="H490" s="166"/>
      <c r="I490" s="167"/>
      <c r="J490" s="168"/>
      <c r="K490" s="169"/>
      <c r="L490" s="207"/>
      <c r="M490" s="207"/>
    </row>
    <row r="491">
      <c r="A491" s="203"/>
      <c r="B491" s="204"/>
      <c r="C491" s="205"/>
      <c r="D491" s="205"/>
      <c r="E491" s="166"/>
      <c r="F491" s="206"/>
      <c r="G491" s="167"/>
      <c r="H491" s="166"/>
      <c r="I491" s="167"/>
      <c r="J491" s="168"/>
      <c r="K491" s="169"/>
      <c r="L491" s="207"/>
      <c r="M491" s="207"/>
    </row>
    <row r="492">
      <c r="A492" s="203"/>
      <c r="B492" s="204"/>
      <c r="C492" s="205"/>
      <c r="D492" s="205"/>
      <c r="E492" s="166"/>
      <c r="F492" s="206"/>
      <c r="G492" s="167"/>
      <c r="H492" s="166"/>
      <c r="I492" s="167"/>
      <c r="J492" s="168"/>
      <c r="K492" s="169"/>
      <c r="L492" s="207"/>
      <c r="M492" s="207"/>
    </row>
    <row r="493">
      <c r="A493" s="203"/>
      <c r="B493" s="204"/>
      <c r="C493" s="205"/>
      <c r="D493" s="205"/>
      <c r="E493" s="166"/>
      <c r="F493" s="206"/>
      <c r="G493" s="167"/>
      <c r="H493" s="166"/>
      <c r="I493" s="167"/>
      <c r="J493" s="168"/>
      <c r="K493" s="169"/>
      <c r="L493" s="207"/>
      <c r="M493" s="207"/>
    </row>
    <row r="494">
      <c r="A494" s="203"/>
      <c r="B494" s="204"/>
      <c r="C494" s="205"/>
      <c r="D494" s="205"/>
      <c r="E494" s="166"/>
      <c r="F494" s="206"/>
      <c r="G494" s="167"/>
      <c r="H494" s="166"/>
      <c r="I494" s="167"/>
      <c r="J494" s="168"/>
      <c r="K494" s="169"/>
      <c r="L494" s="207"/>
      <c r="M494" s="207"/>
    </row>
    <row r="495">
      <c r="A495" s="203"/>
      <c r="B495" s="204"/>
      <c r="C495" s="205"/>
      <c r="D495" s="205"/>
      <c r="E495" s="166"/>
      <c r="F495" s="206"/>
      <c r="G495" s="167"/>
      <c r="H495" s="166"/>
      <c r="I495" s="167"/>
      <c r="J495" s="168"/>
      <c r="K495" s="169"/>
      <c r="L495" s="207"/>
      <c r="M495" s="207"/>
    </row>
    <row r="496">
      <c r="A496" s="203"/>
      <c r="B496" s="204"/>
      <c r="C496" s="205"/>
      <c r="D496" s="205"/>
      <c r="E496" s="166"/>
      <c r="F496" s="206"/>
      <c r="G496" s="167"/>
      <c r="H496" s="166"/>
      <c r="I496" s="167"/>
      <c r="J496" s="168"/>
      <c r="K496" s="169"/>
      <c r="L496" s="207"/>
      <c r="M496" s="207"/>
    </row>
    <row r="497">
      <c r="A497" s="203"/>
      <c r="B497" s="204"/>
      <c r="C497" s="205"/>
      <c r="D497" s="205"/>
      <c r="E497" s="166"/>
      <c r="F497" s="206"/>
      <c r="G497" s="167"/>
      <c r="H497" s="166"/>
      <c r="I497" s="167"/>
      <c r="J497" s="168"/>
      <c r="K497" s="169"/>
      <c r="L497" s="207"/>
      <c r="M497" s="207"/>
    </row>
    <row r="498">
      <c r="A498" s="203"/>
      <c r="B498" s="204"/>
      <c r="C498" s="205"/>
      <c r="D498" s="205"/>
      <c r="E498" s="166"/>
      <c r="F498" s="206"/>
      <c r="G498" s="167"/>
      <c r="H498" s="166"/>
      <c r="I498" s="167"/>
      <c r="J498" s="168"/>
      <c r="K498" s="169"/>
      <c r="L498" s="207"/>
      <c r="M498" s="207"/>
    </row>
    <row r="499">
      <c r="A499" s="203"/>
      <c r="B499" s="204"/>
      <c r="C499" s="205"/>
      <c r="D499" s="205"/>
      <c r="E499" s="166"/>
      <c r="F499" s="206"/>
      <c r="G499" s="167"/>
      <c r="H499" s="166"/>
      <c r="I499" s="167"/>
      <c r="J499" s="168"/>
      <c r="K499" s="169"/>
      <c r="L499" s="207"/>
      <c r="M499" s="207"/>
    </row>
    <row r="500">
      <c r="A500" s="203"/>
      <c r="B500" s="204"/>
      <c r="C500" s="205"/>
      <c r="D500" s="205"/>
      <c r="E500" s="166"/>
      <c r="F500" s="206"/>
      <c r="G500" s="167"/>
      <c r="H500" s="166"/>
      <c r="I500" s="167"/>
      <c r="J500" s="168"/>
      <c r="K500" s="169"/>
      <c r="L500" s="207"/>
      <c r="M500" s="207"/>
    </row>
    <row r="501">
      <c r="A501" s="203"/>
      <c r="B501" s="204"/>
      <c r="C501" s="205"/>
      <c r="D501" s="205"/>
      <c r="E501" s="166"/>
      <c r="F501" s="206"/>
      <c r="G501" s="167"/>
      <c r="H501" s="166"/>
      <c r="I501" s="167"/>
      <c r="J501" s="168"/>
      <c r="K501" s="169"/>
      <c r="L501" s="207"/>
      <c r="M501" s="207"/>
    </row>
    <row r="502">
      <c r="A502" s="203"/>
      <c r="B502" s="204"/>
      <c r="C502" s="205"/>
      <c r="D502" s="205"/>
      <c r="E502" s="166"/>
      <c r="F502" s="206"/>
      <c r="G502" s="167"/>
      <c r="H502" s="166"/>
      <c r="I502" s="167"/>
      <c r="J502" s="168"/>
      <c r="K502" s="169"/>
      <c r="L502" s="207"/>
      <c r="M502" s="207"/>
    </row>
    <row r="503">
      <c r="A503" s="203"/>
      <c r="B503" s="204"/>
      <c r="C503" s="205"/>
      <c r="D503" s="205"/>
      <c r="E503" s="166"/>
      <c r="F503" s="206"/>
      <c r="G503" s="167"/>
      <c r="H503" s="166"/>
      <c r="I503" s="167"/>
      <c r="J503" s="168"/>
      <c r="K503" s="169"/>
      <c r="L503" s="207"/>
      <c r="M503" s="207"/>
    </row>
    <row r="504">
      <c r="A504" s="203"/>
      <c r="B504" s="204"/>
      <c r="C504" s="205"/>
      <c r="D504" s="205"/>
      <c r="E504" s="166"/>
      <c r="F504" s="206"/>
      <c r="G504" s="167"/>
      <c r="H504" s="166"/>
      <c r="I504" s="167"/>
      <c r="J504" s="168"/>
      <c r="K504" s="169"/>
      <c r="L504" s="207"/>
      <c r="M504" s="207"/>
    </row>
    <row r="505">
      <c r="A505" s="203"/>
      <c r="B505" s="204"/>
      <c r="C505" s="205"/>
      <c r="D505" s="205"/>
      <c r="E505" s="166"/>
      <c r="F505" s="206"/>
      <c r="G505" s="167"/>
      <c r="H505" s="166"/>
      <c r="I505" s="167"/>
      <c r="J505" s="168"/>
      <c r="K505" s="169"/>
      <c r="L505" s="207"/>
      <c r="M505" s="207"/>
    </row>
    <row r="506">
      <c r="A506" s="203"/>
      <c r="B506" s="204"/>
      <c r="C506" s="205"/>
      <c r="D506" s="205"/>
      <c r="E506" s="166"/>
      <c r="F506" s="206"/>
      <c r="G506" s="167"/>
      <c r="H506" s="166"/>
      <c r="I506" s="167"/>
      <c r="J506" s="168"/>
      <c r="K506" s="169"/>
      <c r="L506" s="207"/>
      <c r="M506" s="207"/>
    </row>
    <row r="507">
      <c r="A507" s="203"/>
      <c r="B507" s="204"/>
      <c r="C507" s="205"/>
      <c r="D507" s="205"/>
      <c r="E507" s="166"/>
      <c r="F507" s="206"/>
      <c r="G507" s="167"/>
      <c r="H507" s="166"/>
      <c r="I507" s="167"/>
      <c r="J507" s="168"/>
      <c r="K507" s="169"/>
      <c r="L507" s="207"/>
      <c r="M507" s="207"/>
    </row>
    <row r="508">
      <c r="A508" s="203"/>
      <c r="B508" s="204"/>
      <c r="C508" s="205"/>
      <c r="D508" s="205"/>
      <c r="E508" s="166"/>
      <c r="F508" s="206"/>
      <c r="G508" s="167"/>
      <c r="H508" s="166"/>
      <c r="I508" s="167"/>
      <c r="J508" s="168"/>
      <c r="K508" s="169"/>
      <c r="L508" s="207"/>
      <c r="M508" s="207"/>
    </row>
    <row r="509">
      <c r="A509" s="203"/>
      <c r="B509" s="204"/>
      <c r="C509" s="205"/>
      <c r="D509" s="205"/>
      <c r="E509" s="166"/>
      <c r="F509" s="206"/>
      <c r="G509" s="167"/>
      <c r="H509" s="166"/>
      <c r="I509" s="167"/>
      <c r="J509" s="168"/>
      <c r="K509" s="169"/>
      <c r="L509" s="207"/>
      <c r="M509" s="207"/>
    </row>
    <row r="510">
      <c r="A510" s="203"/>
      <c r="B510" s="204"/>
      <c r="C510" s="205"/>
      <c r="D510" s="205"/>
      <c r="E510" s="166"/>
      <c r="F510" s="206"/>
      <c r="G510" s="167"/>
      <c r="H510" s="166"/>
      <c r="I510" s="167"/>
      <c r="J510" s="168"/>
      <c r="K510" s="169"/>
      <c r="L510" s="207"/>
      <c r="M510" s="207"/>
    </row>
    <row r="511">
      <c r="A511" s="203"/>
      <c r="B511" s="204"/>
      <c r="C511" s="205"/>
      <c r="D511" s="205"/>
      <c r="E511" s="166"/>
      <c r="F511" s="206"/>
      <c r="G511" s="167"/>
      <c r="H511" s="166"/>
      <c r="I511" s="167"/>
      <c r="J511" s="168"/>
      <c r="K511" s="169"/>
      <c r="L511" s="207"/>
      <c r="M511" s="207"/>
    </row>
    <row r="512">
      <c r="A512" s="203"/>
      <c r="B512" s="204"/>
      <c r="C512" s="205"/>
      <c r="D512" s="205"/>
      <c r="E512" s="166"/>
      <c r="F512" s="206"/>
      <c r="G512" s="167"/>
      <c r="H512" s="166"/>
      <c r="I512" s="167"/>
      <c r="J512" s="168"/>
      <c r="K512" s="169"/>
      <c r="L512" s="207"/>
      <c r="M512" s="207"/>
    </row>
    <row r="513">
      <c r="A513" s="203"/>
      <c r="B513" s="204"/>
      <c r="C513" s="205"/>
      <c r="D513" s="205"/>
      <c r="E513" s="166"/>
      <c r="F513" s="206"/>
      <c r="G513" s="167"/>
      <c r="H513" s="166"/>
      <c r="I513" s="167"/>
      <c r="J513" s="168"/>
      <c r="K513" s="169"/>
      <c r="L513" s="207"/>
      <c r="M513" s="207"/>
    </row>
    <row r="514">
      <c r="A514" s="203"/>
      <c r="B514" s="204"/>
      <c r="C514" s="205"/>
      <c r="D514" s="205"/>
      <c r="E514" s="166"/>
      <c r="F514" s="206"/>
      <c r="G514" s="167"/>
      <c r="H514" s="166"/>
      <c r="I514" s="167"/>
      <c r="J514" s="168"/>
      <c r="K514" s="169"/>
      <c r="L514" s="207"/>
      <c r="M514" s="207"/>
    </row>
    <row r="515">
      <c r="A515" s="203"/>
      <c r="B515" s="204"/>
      <c r="C515" s="205"/>
      <c r="D515" s="205"/>
      <c r="E515" s="166"/>
      <c r="F515" s="206"/>
      <c r="G515" s="167"/>
      <c r="H515" s="166"/>
      <c r="I515" s="167"/>
      <c r="J515" s="168"/>
      <c r="K515" s="169"/>
      <c r="L515" s="207"/>
      <c r="M515" s="207"/>
    </row>
    <row r="516">
      <c r="A516" s="203"/>
      <c r="B516" s="204"/>
      <c r="C516" s="205"/>
      <c r="D516" s="205"/>
      <c r="E516" s="166"/>
      <c r="F516" s="206"/>
      <c r="G516" s="167"/>
      <c r="H516" s="166"/>
      <c r="I516" s="167"/>
      <c r="J516" s="168"/>
      <c r="K516" s="169"/>
      <c r="L516" s="207"/>
      <c r="M516" s="207"/>
    </row>
    <row r="517">
      <c r="A517" s="203"/>
      <c r="B517" s="204"/>
      <c r="C517" s="205"/>
      <c r="D517" s="205"/>
      <c r="E517" s="166"/>
      <c r="F517" s="206"/>
      <c r="G517" s="167"/>
      <c r="H517" s="166"/>
      <c r="I517" s="167"/>
      <c r="J517" s="168"/>
      <c r="K517" s="169"/>
      <c r="L517" s="207"/>
      <c r="M517" s="207"/>
    </row>
    <row r="518">
      <c r="A518" s="203"/>
      <c r="B518" s="204"/>
      <c r="C518" s="205"/>
      <c r="D518" s="205"/>
      <c r="E518" s="166"/>
      <c r="F518" s="206"/>
      <c r="G518" s="167"/>
      <c r="H518" s="166"/>
      <c r="I518" s="167"/>
      <c r="J518" s="168"/>
      <c r="K518" s="169"/>
      <c r="L518" s="207"/>
      <c r="M518" s="207"/>
    </row>
    <row r="519">
      <c r="A519" s="203"/>
      <c r="B519" s="204"/>
      <c r="C519" s="205"/>
      <c r="D519" s="205"/>
      <c r="E519" s="166"/>
      <c r="F519" s="206"/>
      <c r="G519" s="167"/>
      <c r="H519" s="166"/>
      <c r="I519" s="167"/>
      <c r="J519" s="168"/>
      <c r="K519" s="169"/>
      <c r="L519" s="207"/>
      <c r="M519" s="207"/>
    </row>
    <row r="520">
      <c r="A520" s="203"/>
      <c r="B520" s="204"/>
      <c r="C520" s="205"/>
      <c r="D520" s="205"/>
      <c r="E520" s="166"/>
      <c r="F520" s="206"/>
      <c r="G520" s="167"/>
      <c r="H520" s="166"/>
      <c r="I520" s="167"/>
      <c r="J520" s="168"/>
      <c r="K520" s="169"/>
      <c r="L520" s="207"/>
      <c r="M520" s="207"/>
    </row>
    <row r="521">
      <c r="A521" s="203"/>
      <c r="B521" s="204"/>
      <c r="C521" s="205"/>
      <c r="D521" s="205"/>
      <c r="E521" s="166"/>
      <c r="F521" s="206"/>
      <c r="G521" s="167"/>
      <c r="H521" s="166"/>
      <c r="I521" s="167"/>
      <c r="J521" s="168"/>
      <c r="K521" s="169"/>
      <c r="L521" s="207"/>
      <c r="M521" s="207"/>
    </row>
    <row r="522">
      <c r="A522" s="203"/>
      <c r="B522" s="204"/>
      <c r="C522" s="205"/>
      <c r="D522" s="205"/>
      <c r="E522" s="166"/>
      <c r="F522" s="206"/>
      <c r="G522" s="167"/>
      <c r="H522" s="166"/>
      <c r="I522" s="167"/>
      <c r="J522" s="168"/>
      <c r="K522" s="169"/>
      <c r="L522" s="207"/>
      <c r="M522" s="207"/>
    </row>
    <row r="523">
      <c r="A523" s="203"/>
      <c r="B523" s="204"/>
      <c r="C523" s="205"/>
      <c r="D523" s="205"/>
      <c r="E523" s="166"/>
      <c r="F523" s="206"/>
      <c r="G523" s="167"/>
      <c r="H523" s="166"/>
      <c r="I523" s="167"/>
      <c r="J523" s="168"/>
      <c r="K523" s="169"/>
      <c r="L523" s="207"/>
      <c r="M523" s="207"/>
    </row>
    <row r="524">
      <c r="A524" s="203"/>
      <c r="B524" s="204"/>
      <c r="C524" s="205"/>
      <c r="D524" s="205"/>
      <c r="E524" s="166"/>
      <c r="F524" s="206"/>
      <c r="G524" s="167"/>
      <c r="H524" s="166"/>
      <c r="I524" s="167"/>
      <c r="J524" s="168"/>
      <c r="K524" s="169"/>
      <c r="L524" s="207"/>
      <c r="M524" s="207"/>
    </row>
    <row r="525">
      <c r="A525" s="203"/>
      <c r="B525" s="204"/>
      <c r="C525" s="205"/>
      <c r="D525" s="205"/>
      <c r="E525" s="166"/>
      <c r="F525" s="206"/>
      <c r="G525" s="167"/>
      <c r="H525" s="166"/>
      <c r="I525" s="167"/>
      <c r="J525" s="168"/>
      <c r="K525" s="169"/>
      <c r="L525" s="207"/>
      <c r="M525" s="207"/>
    </row>
    <row r="526">
      <c r="A526" s="203"/>
      <c r="B526" s="204"/>
      <c r="C526" s="205"/>
      <c r="D526" s="205"/>
      <c r="E526" s="166"/>
      <c r="F526" s="206"/>
      <c r="G526" s="167"/>
      <c r="H526" s="166"/>
      <c r="I526" s="167"/>
      <c r="J526" s="168"/>
      <c r="K526" s="169"/>
      <c r="L526" s="207"/>
      <c r="M526" s="207"/>
    </row>
    <row r="527">
      <c r="A527" s="203"/>
      <c r="B527" s="204"/>
      <c r="C527" s="205"/>
      <c r="D527" s="205"/>
      <c r="E527" s="166"/>
      <c r="F527" s="206"/>
      <c r="G527" s="167"/>
      <c r="H527" s="166"/>
      <c r="I527" s="167"/>
      <c r="J527" s="168"/>
      <c r="K527" s="169"/>
      <c r="L527" s="207"/>
      <c r="M527" s="207"/>
    </row>
    <row r="528">
      <c r="A528" s="203"/>
      <c r="B528" s="204"/>
      <c r="C528" s="205"/>
      <c r="D528" s="205"/>
      <c r="E528" s="166"/>
      <c r="F528" s="206"/>
      <c r="G528" s="167"/>
      <c r="H528" s="166"/>
      <c r="I528" s="167"/>
      <c r="J528" s="168"/>
      <c r="K528" s="169"/>
      <c r="L528" s="207"/>
      <c r="M528" s="207"/>
    </row>
    <row r="529">
      <c r="A529" s="203"/>
      <c r="B529" s="204"/>
      <c r="C529" s="205"/>
      <c r="D529" s="205"/>
      <c r="E529" s="166"/>
      <c r="F529" s="206"/>
      <c r="G529" s="167"/>
      <c r="H529" s="166"/>
      <c r="I529" s="167"/>
      <c r="J529" s="168"/>
      <c r="K529" s="169"/>
      <c r="L529" s="207"/>
      <c r="M529" s="207"/>
    </row>
    <row r="530">
      <c r="A530" s="203"/>
      <c r="B530" s="204"/>
      <c r="C530" s="205"/>
      <c r="D530" s="205"/>
      <c r="E530" s="166"/>
      <c r="F530" s="206"/>
      <c r="G530" s="167"/>
      <c r="H530" s="166"/>
      <c r="I530" s="167"/>
      <c r="J530" s="168"/>
      <c r="K530" s="169"/>
      <c r="L530" s="207"/>
      <c r="M530" s="207"/>
    </row>
    <row r="531">
      <c r="A531" s="203"/>
      <c r="B531" s="204"/>
      <c r="C531" s="205"/>
      <c r="D531" s="205"/>
      <c r="E531" s="166"/>
      <c r="F531" s="206"/>
      <c r="G531" s="167"/>
      <c r="H531" s="166"/>
      <c r="I531" s="167"/>
      <c r="J531" s="168"/>
      <c r="K531" s="169"/>
      <c r="L531" s="207"/>
      <c r="M531" s="207"/>
    </row>
    <row r="532">
      <c r="A532" s="203"/>
      <c r="B532" s="204"/>
      <c r="C532" s="205"/>
      <c r="D532" s="205"/>
      <c r="E532" s="166"/>
      <c r="F532" s="206"/>
      <c r="G532" s="167"/>
      <c r="H532" s="166"/>
      <c r="I532" s="167"/>
      <c r="J532" s="168"/>
      <c r="K532" s="169"/>
      <c r="L532" s="207"/>
      <c r="M532" s="207"/>
    </row>
    <row r="533">
      <c r="A533" s="203"/>
      <c r="B533" s="204"/>
      <c r="C533" s="205"/>
      <c r="D533" s="205"/>
      <c r="E533" s="166"/>
      <c r="F533" s="206"/>
      <c r="G533" s="167"/>
      <c r="H533" s="166"/>
      <c r="I533" s="167"/>
      <c r="J533" s="168"/>
      <c r="K533" s="169"/>
      <c r="L533" s="207"/>
      <c r="M533" s="207"/>
    </row>
    <row r="534">
      <c r="A534" s="203"/>
      <c r="B534" s="204"/>
      <c r="C534" s="205"/>
      <c r="D534" s="205"/>
      <c r="E534" s="166"/>
      <c r="F534" s="206"/>
      <c r="G534" s="167"/>
      <c r="H534" s="166"/>
      <c r="I534" s="167"/>
      <c r="J534" s="168"/>
      <c r="K534" s="169"/>
      <c r="L534" s="207"/>
      <c r="M534" s="207"/>
    </row>
    <row r="535">
      <c r="A535" s="203"/>
      <c r="B535" s="204"/>
      <c r="C535" s="205"/>
      <c r="D535" s="205"/>
      <c r="E535" s="166"/>
      <c r="F535" s="206"/>
      <c r="G535" s="167"/>
      <c r="H535" s="166"/>
      <c r="I535" s="167"/>
      <c r="J535" s="168"/>
      <c r="K535" s="169"/>
      <c r="L535" s="207"/>
      <c r="M535" s="207"/>
    </row>
    <row r="536">
      <c r="A536" s="203"/>
      <c r="B536" s="204"/>
      <c r="C536" s="205"/>
      <c r="D536" s="205"/>
      <c r="E536" s="166"/>
      <c r="F536" s="206"/>
      <c r="G536" s="167"/>
      <c r="H536" s="166"/>
      <c r="I536" s="167"/>
      <c r="J536" s="168"/>
      <c r="K536" s="169"/>
      <c r="L536" s="207"/>
      <c r="M536" s="207"/>
    </row>
    <row r="537">
      <c r="A537" s="203"/>
      <c r="B537" s="204"/>
      <c r="C537" s="205"/>
      <c r="D537" s="205"/>
      <c r="E537" s="166"/>
      <c r="F537" s="206"/>
      <c r="G537" s="167"/>
      <c r="H537" s="166"/>
      <c r="I537" s="167"/>
      <c r="J537" s="168"/>
      <c r="K537" s="169"/>
      <c r="L537" s="207"/>
      <c r="M537" s="207"/>
    </row>
    <row r="538">
      <c r="A538" s="203"/>
      <c r="B538" s="204"/>
      <c r="C538" s="205"/>
      <c r="D538" s="205"/>
      <c r="E538" s="166"/>
      <c r="F538" s="206"/>
      <c r="G538" s="167"/>
      <c r="H538" s="166"/>
      <c r="I538" s="167"/>
      <c r="J538" s="168"/>
      <c r="K538" s="169"/>
      <c r="L538" s="207"/>
      <c r="M538" s="207"/>
    </row>
    <row r="539">
      <c r="A539" s="203"/>
      <c r="B539" s="204"/>
      <c r="C539" s="205"/>
      <c r="D539" s="205"/>
      <c r="E539" s="166"/>
      <c r="F539" s="206"/>
      <c r="G539" s="167"/>
      <c r="H539" s="166"/>
      <c r="I539" s="167"/>
      <c r="J539" s="168"/>
      <c r="K539" s="169"/>
      <c r="L539" s="207"/>
      <c r="M539" s="207"/>
    </row>
    <row r="540">
      <c r="A540" s="203"/>
      <c r="B540" s="204"/>
      <c r="C540" s="205"/>
      <c r="D540" s="205"/>
      <c r="E540" s="166"/>
      <c r="F540" s="206"/>
      <c r="G540" s="167"/>
      <c r="H540" s="166"/>
      <c r="I540" s="167"/>
      <c r="J540" s="168"/>
      <c r="K540" s="169"/>
      <c r="L540" s="207"/>
      <c r="M540" s="207"/>
    </row>
    <row r="541">
      <c r="A541" s="203"/>
      <c r="B541" s="204"/>
      <c r="C541" s="205"/>
      <c r="D541" s="205"/>
      <c r="E541" s="166"/>
      <c r="F541" s="206"/>
      <c r="G541" s="167"/>
      <c r="H541" s="166"/>
      <c r="I541" s="167"/>
      <c r="J541" s="168"/>
      <c r="K541" s="169"/>
      <c r="L541" s="207"/>
      <c r="M541" s="207"/>
    </row>
    <row r="542">
      <c r="A542" s="203"/>
      <c r="B542" s="204"/>
      <c r="C542" s="205"/>
      <c r="D542" s="205"/>
      <c r="E542" s="166"/>
      <c r="F542" s="206"/>
      <c r="G542" s="167"/>
      <c r="H542" s="166"/>
      <c r="I542" s="167"/>
      <c r="J542" s="168"/>
      <c r="K542" s="169"/>
      <c r="L542" s="207"/>
      <c r="M542" s="207"/>
    </row>
    <row r="543">
      <c r="A543" s="203"/>
      <c r="B543" s="204"/>
      <c r="C543" s="205"/>
      <c r="D543" s="205"/>
      <c r="E543" s="166"/>
      <c r="F543" s="206"/>
      <c r="G543" s="167"/>
      <c r="H543" s="166"/>
      <c r="I543" s="167"/>
      <c r="J543" s="168"/>
      <c r="K543" s="169"/>
      <c r="L543" s="207"/>
      <c r="M543" s="207"/>
    </row>
    <row r="544">
      <c r="A544" s="203"/>
      <c r="B544" s="204"/>
      <c r="C544" s="205"/>
      <c r="D544" s="205"/>
      <c r="E544" s="166"/>
      <c r="F544" s="206"/>
      <c r="G544" s="167"/>
      <c r="H544" s="166"/>
      <c r="I544" s="167"/>
      <c r="J544" s="168"/>
      <c r="K544" s="169"/>
      <c r="L544" s="207"/>
      <c r="M544" s="207"/>
    </row>
    <row r="545">
      <c r="A545" s="203"/>
      <c r="B545" s="204"/>
      <c r="C545" s="205"/>
      <c r="D545" s="205"/>
      <c r="E545" s="166"/>
      <c r="F545" s="206"/>
      <c r="G545" s="167"/>
      <c r="H545" s="166"/>
      <c r="I545" s="167"/>
      <c r="J545" s="168"/>
      <c r="K545" s="169"/>
      <c r="L545" s="207"/>
      <c r="M545" s="207"/>
    </row>
    <row r="546">
      <c r="A546" s="203"/>
      <c r="B546" s="204"/>
      <c r="C546" s="205"/>
      <c r="D546" s="205"/>
      <c r="E546" s="166"/>
      <c r="F546" s="206"/>
      <c r="G546" s="167"/>
      <c r="H546" s="166"/>
      <c r="I546" s="167"/>
      <c r="J546" s="168"/>
      <c r="K546" s="169"/>
      <c r="L546" s="207"/>
      <c r="M546" s="207"/>
    </row>
    <row r="547">
      <c r="A547" s="203"/>
      <c r="B547" s="204"/>
      <c r="C547" s="205"/>
      <c r="D547" s="205"/>
      <c r="E547" s="166"/>
      <c r="F547" s="206"/>
      <c r="G547" s="167"/>
      <c r="H547" s="166"/>
      <c r="I547" s="167"/>
      <c r="J547" s="168"/>
      <c r="K547" s="169"/>
      <c r="L547" s="207"/>
      <c r="M547" s="207"/>
    </row>
    <row r="548">
      <c r="A548" s="203"/>
      <c r="B548" s="204"/>
      <c r="C548" s="205"/>
      <c r="D548" s="205"/>
      <c r="E548" s="166"/>
      <c r="F548" s="206"/>
      <c r="G548" s="167"/>
      <c r="H548" s="166"/>
      <c r="I548" s="167"/>
      <c r="J548" s="168"/>
      <c r="K548" s="169"/>
      <c r="L548" s="207"/>
      <c r="M548" s="207"/>
    </row>
    <row r="549">
      <c r="A549" s="203"/>
      <c r="B549" s="204"/>
      <c r="C549" s="205"/>
      <c r="D549" s="205"/>
      <c r="E549" s="166"/>
      <c r="F549" s="206"/>
      <c r="G549" s="167"/>
      <c r="H549" s="166"/>
      <c r="I549" s="167"/>
      <c r="J549" s="168"/>
      <c r="K549" s="169"/>
      <c r="L549" s="207"/>
      <c r="M549" s="207"/>
    </row>
    <row r="550">
      <c r="A550" s="203"/>
      <c r="B550" s="204"/>
      <c r="C550" s="205"/>
      <c r="D550" s="205"/>
      <c r="E550" s="166"/>
      <c r="F550" s="206"/>
      <c r="G550" s="167"/>
      <c r="H550" s="166"/>
      <c r="I550" s="167"/>
      <c r="J550" s="168"/>
      <c r="K550" s="169"/>
      <c r="L550" s="207"/>
      <c r="M550" s="207"/>
    </row>
    <row r="551">
      <c r="A551" s="203"/>
      <c r="B551" s="204"/>
      <c r="C551" s="205"/>
      <c r="D551" s="205"/>
      <c r="E551" s="166"/>
      <c r="F551" s="206"/>
      <c r="G551" s="167"/>
      <c r="H551" s="166"/>
      <c r="I551" s="167"/>
      <c r="J551" s="168"/>
      <c r="K551" s="169"/>
      <c r="L551" s="207"/>
      <c r="M551" s="207"/>
    </row>
    <row r="552">
      <c r="A552" s="203"/>
      <c r="B552" s="204"/>
      <c r="C552" s="205"/>
      <c r="D552" s="205"/>
      <c r="E552" s="166"/>
      <c r="F552" s="206"/>
      <c r="G552" s="167"/>
      <c r="H552" s="166"/>
      <c r="I552" s="167"/>
      <c r="J552" s="168"/>
      <c r="K552" s="169"/>
      <c r="L552" s="207"/>
      <c r="M552" s="207"/>
    </row>
    <row r="553">
      <c r="A553" s="203"/>
      <c r="B553" s="204"/>
      <c r="C553" s="205"/>
      <c r="D553" s="205"/>
      <c r="E553" s="166"/>
      <c r="F553" s="206"/>
      <c r="G553" s="167"/>
      <c r="H553" s="166"/>
      <c r="I553" s="167"/>
      <c r="J553" s="168"/>
      <c r="K553" s="169"/>
      <c r="L553" s="207"/>
      <c r="M553" s="207"/>
    </row>
    <row r="554">
      <c r="A554" s="203"/>
      <c r="B554" s="204"/>
      <c r="C554" s="205"/>
      <c r="D554" s="205"/>
      <c r="E554" s="166"/>
      <c r="F554" s="206"/>
      <c r="G554" s="167"/>
      <c r="H554" s="166"/>
      <c r="I554" s="167"/>
      <c r="J554" s="168"/>
      <c r="K554" s="169"/>
      <c r="L554" s="207"/>
      <c r="M554" s="207"/>
    </row>
    <row r="555">
      <c r="A555" s="203"/>
      <c r="B555" s="204"/>
      <c r="C555" s="205"/>
      <c r="D555" s="205"/>
      <c r="E555" s="166"/>
      <c r="F555" s="206"/>
      <c r="G555" s="167"/>
      <c r="H555" s="166"/>
      <c r="I555" s="167"/>
      <c r="J555" s="168"/>
      <c r="K555" s="169"/>
      <c r="L555" s="207"/>
      <c r="M555" s="207"/>
    </row>
    <row r="556">
      <c r="A556" s="203"/>
      <c r="B556" s="204"/>
      <c r="C556" s="205"/>
      <c r="D556" s="205"/>
      <c r="E556" s="166"/>
      <c r="F556" s="206"/>
      <c r="G556" s="167"/>
      <c r="H556" s="166"/>
      <c r="I556" s="167"/>
      <c r="J556" s="168"/>
      <c r="K556" s="169"/>
      <c r="L556" s="207"/>
      <c r="M556" s="207"/>
    </row>
    <row r="557">
      <c r="A557" s="203"/>
      <c r="B557" s="204"/>
      <c r="C557" s="205"/>
      <c r="D557" s="205"/>
      <c r="E557" s="166"/>
      <c r="F557" s="206"/>
      <c r="G557" s="167"/>
      <c r="H557" s="166"/>
      <c r="I557" s="167"/>
      <c r="J557" s="168"/>
      <c r="K557" s="169"/>
      <c r="L557" s="207"/>
      <c r="M557" s="207"/>
    </row>
    <row r="558">
      <c r="A558" s="203"/>
      <c r="B558" s="204"/>
      <c r="C558" s="205"/>
      <c r="D558" s="205"/>
      <c r="E558" s="166"/>
      <c r="F558" s="206"/>
      <c r="G558" s="167"/>
      <c r="H558" s="166"/>
      <c r="I558" s="167"/>
      <c r="J558" s="168"/>
      <c r="K558" s="169"/>
      <c r="L558" s="207"/>
      <c r="M558" s="207"/>
    </row>
    <row r="559">
      <c r="A559" s="203"/>
      <c r="B559" s="204"/>
      <c r="C559" s="205"/>
      <c r="D559" s="205"/>
      <c r="E559" s="166"/>
      <c r="F559" s="206"/>
      <c r="G559" s="167"/>
      <c r="H559" s="166"/>
      <c r="I559" s="167"/>
      <c r="J559" s="168"/>
      <c r="K559" s="169"/>
      <c r="L559" s="207"/>
      <c r="M559" s="207"/>
    </row>
    <row r="560">
      <c r="A560" s="203"/>
      <c r="B560" s="204"/>
      <c r="C560" s="205"/>
      <c r="D560" s="205"/>
      <c r="E560" s="166"/>
      <c r="F560" s="206"/>
      <c r="G560" s="167"/>
      <c r="H560" s="166"/>
      <c r="I560" s="167"/>
      <c r="J560" s="168"/>
      <c r="K560" s="169"/>
      <c r="L560" s="207"/>
      <c r="M560" s="207"/>
    </row>
    <row r="561">
      <c r="A561" s="203"/>
      <c r="B561" s="204"/>
      <c r="C561" s="205"/>
      <c r="D561" s="205"/>
      <c r="E561" s="166"/>
      <c r="F561" s="206"/>
      <c r="G561" s="167"/>
      <c r="H561" s="166"/>
      <c r="I561" s="167"/>
      <c r="J561" s="168"/>
      <c r="K561" s="169"/>
      <c r="L561" s="207"/>
      <c r="M561" s="207"/>
    </row>
    <row r="562">
      <c r="A562" s="203"/>
      <c r="B562" s="204"/>
      <c r="C562" s="205"/>
      <c r="D562" s="205"/>
      <c r="E562" s="166"/>
      <c r="F562" s="206"/>
      <c r="G562" s="167"/>
      <c r="H562" s="166"/>
      <c r="I562" s="167"/>
      <c r="J562" s="168"/>
      <c r="K562" s="169"/>
      <c r="L562" s="207"/>
      <c r="M562" s="207"/>
    </row>
    <row r="563">
      <c r="A563" s="203"/>
      <c r="B563" s="204"/>
      <c r="C563" s="205"/>
      <c r="D563" s="205"/>
      <c r="E563" s="166"/>
      <c r="F563" s="206"/>
      <c r="G563" s="167"/>
      <c r="H563" s="166"/>
      <c r="I563" s="167"/>
      <c r="J563" s="168"/>
      <c r="K563" s="169"/>
      <c r="L563" s="207"/>
      <c r="M563" s="207"/>
    </row>
    <row r="564">
      <c r="A564" s="203"/>
      <c r="B564" s="204"/>
      <c r="C564" s="205"/>
      <c r="D564" s="205"/>
      <c r="E564" s="166"/>
      <c r="F564" s="206"/>
      <c r="G564" s="167"/>
      <c r="H564" s="166"/>
      <c r="I564" s="167"/>
      <c r="J564" s="168"/>
      <c r="K564" s="169"/>
      <c r="L564" s="207"/>
      <c r="M564" s="207"/>
    </row>
    <row r="565">
      <c r="A565" s="203"/>
      <c r="B565" s="204"/>
      <c r="C565" s="205"/>
      <c r="D565" s="205"/>
      <c r="E565" s="166"/>
      <c r="F565" s="206"/>
      <c r="G565" s="167"/>
      <c r="H565" s="166"/>
      <c r="I565" s="167"/>
      <c r="J565" s="168"/>
      <c r="K565" s="169"/>
      <c r="L565" s="207"/>
      <c r="M565" s="207"/>
    </row>
    <row r="566">
      <c r="A566" s="203"/>
      <c r="B566" s="204"/>
      <c r="C566" s="205"/>
      <c r="D566" s="205"/>
      <c r="E566" s="166"/>
      <c r="F566" s="206"/>
      <c r="G566" s="167"/>
      <c r="H566" s="166"/>
      <c r="I566" s="167"/>
      <c r="J566" s="168"/>
      <c r="K566" s="169"/>
      <c r="L566" s="207"/>
      <c r="M566" s="207"/>
    </row>
    <row r="567">
      <c r="A567" s="203"/>
      <c r="B567" s="204"/>
      <c r="C567" s="205"/>
      <c r="D567" s="205"/>
      <c r="E567" s="166"/>
      <c r="F567" s="206"/>
      <c r="G567" s="167"/>
      <c r="H567" s="166"/>
      <c r="I567" s="167"/>
      <c r="J567" s="168"/>
      <c r="K567" s="169"/>
      <c r="L567" s="207"/>
      <c r="M567" s="207"/>
    </row>
    <row r="568">
      <c r="A568" s="203"/>
      <c r="B568" s="204"/>
      <c r="C568" s="205"/>
      <c r="D568" s="205"/>
      <c r="E568" s="166"/>
      <c r="F568" s="206"/>
      <c r="G568" s="167"/>
      <c r="H568" s="166"/>
      <c r="I568" s="167"/>
      <c r="J568" s="168"/>
      <c r="K568" s="169"/>
      <c r="L568" s="207"/>
      <c r="M568" s="207"/>
    </row>
    <row r="569">
      <c r="A569" s="203"/>
      <c r="B569" s="204"/>
      <c r="C569" s="205"/>
      <c r="D569" s="205"/>
      <c r="E569" s="166"/>
      <c r="F569" s="206"/>
      <c r="G569" s="167"/>
      <c r="H569" s="166"/>
      <c r="I569" s="167"/>
      <c r="J569" s="168"/>
      <c r="K569" s="169"/>
      <c r="L569" s="207"/>
      <c r="M569" s="207"/>
    </row>
    <row r="570">
      <c r="A570" s="203"/>
      <c r="B570" s="204"/>
      <c r="C570" s="205"/>
      <c r="D570" s="205"/>
      <c r="E570" s="166"/>
      <c r="F570" s="206"/>
      <c r="G570" s="167"/>
      <c r="H570" s="166"/>
      <c r="I570" s="167"/>
      <c r="J570" s="168"/>
      <c r="K570" s="169"/>
      <c r="L570" s="207"/>
      <c r="M570" s="207"/>
    </row>
    <row r="571">
      <c r="A571" s="203"/>
      <c r="B571" s="204"/>
      <c r="C571" s="205"/>
      <c r="D571" s="205"/>
      <c r="E571" s="166"/>
      <c r="F571" s="206"/>
      <c r="G571" s="167"/>
      <c r="H571" s="166"/>
      <c r="I571" s="167"/>
      <c r="J571" s="168"/>
      <c r="K571" s="169"/>
      <c r="L571" s="207"/>
      <c r="M571" s="207"/>
    </row>
    <row r="572">
      <c r="A572" s="203"/>
      <c r="B572" s="204"/>
      <c r="C572" s="205"/>
      <c r="D572" s="205"/>
      <c r="E572" s="166"/>
      <c r="F572" s="206"/>
      <c r="G572" s="167"/>
      <c r="H572" s="166"/>
      <c r="I572" s="167"/>
      <c r="J572" s="168"/>
      <c r="K572" s="169"/>
      <c r="L572" s="207"/>
      <c r="M572" s="207"/>
    </row>
    <row r="573">
      <c r="A573" s="203"/>
      <c r="B573" s="204"/>
      <c r="C573" s="205"/>
      <c r="D573" s="205"/>
      <c r="E573" s="166"/>
      <c r="F573" s="206"/>
      <c r="G573" s="167"/>
      <c r="H573" s="166"/>
      <c r="I573" s="167"/>
      <c r="J573" s="168"/>
      <c r="K573" s="169"/>
      <c r="L573" s="207"/>
      <c r="M573" s="207"/>
    </row>
    <row r="574">
      <c r="A574" s="203"/>
      <c r="B574" s="204"/>
      <c r="C574" s="205"/>
      <c r="D574" s="205"/>
      <c r="E574" s="166"/>
      <c r="F574" s="206"/>
      <c r="G574" s="167"/>
      <c r="H574" s="166"/>
      <c r="I574" s="167"/>
      <c r="J574" s="168"/>
      <c r="K574" s="169"/>
      <c r="L574" s="207"/>
      <c r="M574" s="207"/>
    </row>
    <row r="575">
      <c r="A575" s="203"/>
      <c r="B575" s="204"/>
      <c r="C575" s="205"/>
      <c r="D575" s="205"/>
      <c r="E575" s="166"/>
      <c r="F575" s="206"/>
      <c r="G575" s="167"/>
      <c r="H575" s="166"/>
      <c r="I575" s="167"/>
      <c r="J575" s="168"/>
      <c r="K575" s="169"/>
      <c r="L575" s="207"/>
      <c r="M575" s="207"/>
    </row>
    <row r="576">
      <c r="A576" s="203"/>
      <c r="B576" s="204"/>
      <c r="C576" s="205"/>
      <c r="D576" s="205"/>
      <c r="E576" s="166"/>
      <c r="F576" s="206"/>
      <c r="G576" s="167"/>
      <c r="H576" s="166"/>
      <c r="I576" s="167"/>
      <c r="J576" s="168"/>
      <c r="K576" s="169"/>
      <c r="L576" s="207"/>
      <c r="M576" s="207"/>
    </row>
    <row r="577">
      <c r="A577" s="203"/>
      <c r="B577" s="204"/>
      <c r="C577" s="205"/>
      <c r="D577" s="205"/>
      <c r="E577" s="166"/>
      <c r="F577" s="206"/>
      <c r="G577" s="167"/>
      <c r="H577" s="166"/>
      <c r="I577" s="167"/>
      <c r="J577" s="168"/>
      <c r="K577" s="169"/>
      <c r="L577" s="207"/>
      <c r="M577" s="207"/>
    </row>
    <row r="578">
      <c r="A578" s="203"/>
      <c r="B578" s="204"/>
      <c r="C578" s="205"/>
      <c r="D578" s="205"/>
      <c r="E578" s="166"/>
      <c r="F578" s="206"/>
      <c r="G578" s="167"/>
      <c r="H578" s="166"/>
      <c r="I578" s="167"/>
      <c r="J578" s="168"/>
      <c r="K578" s="169"/>
      <c r="L578" s="207"/>
      <c r="M578" s="207"/>
    </row>
    <row r="579">
      <c r="A579" s="203"/>
      <c r="B579" s="204"/>
      <c r="C579" s="205"/>
      <c r="D579" s="205"/>
      <c r="E579" s="166"/>
      <c r="F579" s="206"/>
      <c r="G579" s="167"/>
      <c r="H579" s="166"/>
      <c r="I579" s="167"/>
      <c r="J579" s="168"/>
      <c r="K579" s="169"/>
      <c r="L579" s="207"/>
      <c r="M579" s="207"/>
    </row>
    <row r="580">
      <c r="A580" s="203"/>
      <c r="B580" s="204"/>
      <c r="C580" s="205"/>
      <c r="D580" s="205"/>
      <c r="E580" s="166"/>
      <c r="F580" s="206"/>
      <c r="G580" s="167"/>
      <c r="H580" s="166"/>
      <c r="I580" s="167"/>
      <c r="J580" s="168"/>
      <c r="K580" s="169"/>
      <c r="L580" s="207"/>
      <c r="M580" s="207"/>
    </row>
    <row r="581">
      <c r="A581" s="203"/>
      <c r="B581" s="204"/>
      <c r="C581" s="205"/>
      <c r="D581" s="205"/>
      <c r="E581" s="166"/>
      <c r="F581" s="206"/>
      <c r="G581" s="167"/>
      <c r="H581" s="166"/>
      <c r="I581" s="167"/>
      <c r="J581" s="168"/>
      <c r="K581" s="169"/>
      <c r="L581" s="207"/>
      <c r="M581" s="207"/>
    </row>
    <row r="582">
      <c r="A582" s="203"/>
      <c r="B582" s="204"/>
      <c r="C582" s="205"/>
      <c r="D582" s="205"/>
      <c r="E582" s="166"/>
      <c r="F582" s="206"/>
      <c r="G582" s="167"/>
      <c r="H582" s="166"/>
      <c r="I582" s="167"/>
      <c r="J582" s="168"/>
      <c r="K582" s="169"/>
      <c r="L582" s="207"/>
      <c r="M582" s="207"/>
    </row>
    <row r="583">
      <c r="A583" s="203"/>
      <c r="B583" s="204"/>
      <c r="C583" s="205"/>
      <c r="D583" s="205"/>
      <c r="E583" s="166"/>
      <c r="F583" s="206"/>
      <c r="G583" s="167"/>
      <c r="H583" s="166"/>
      <c r="I583" s="167"/>
      <c r="J583" s="168"/>
      <c r="K583" s="169"/>
      <c r="L583" s="207"/>
      <c r="M583" s="207"/>
    </row>
    <row r="584">
      <c r="A584" s="203"/>
      <c r="B584" s="204"/>
      <c r="C584" s="205"/>
      <c r="D584" s="205"/>
      <c r="E584" s="166"/>
      <c r="F584" s="206"/>
      <c r="G584" s="167"/>
      <c r="H584" s="166"/>
      <c r="I584" s="167"/>
      <c r="J584" s="168"/>
      <c r="K584" s="169"/>
      <c r="L584" s="207"/>
      <c r="M584" s="207"/>
    </row>
    <row r="585">
      <c r="A585" s="203"/>
      <c r="B585" s="204"/>
      <c r="C585" s="205"/>
      <c r="D585" s="205"/>
      <c r="E585" s="166"/>
      <c r="F585" s="206"/>
      <c r="G585" s="167"/>
      <c r="H585" s="166"/>
      <c r="I585" s="167"/>
      <c r="J585" s="168"/>
      <c r="K585" s="169"/>
      <c r="L585" s="207"/>
      <c r="M585" s="207"/>
    </row>
    <row r="586">
      <c r="A586" s="203"/>
      <c r="B586" s="204"/>
      <c r="C586" s="205"/>
      <c r="D586" s="205"/>
      <c r="E586" s="166"/>
      <c r="F586" s="206"/>
      <c r="G586" s="167"/>
      <c r="H586" s="166"/>
      <c r="I586" s="167"/>
      <c r="J586" s="168"/>
      <c r="K586" s="169"/>
      <c r="L586" s="207"/>
      <c r="M586" s="207"/>
    </row>
    <row r="587">
      <c r="A587" s="203"/>
      <c r="B587" s="204"/>
      <c r="C587" s="205"/>
      <c r="D587" s="205"/>
      <c r="E587" s="166"/>
      <c r="F587" s="206"/>
      <c r="G587" s="167"/>
      <c r="H587" s="166"/>
      <c r="I587" s="167"/>
      <c r="J587" s="168"/>
      <c r="K587" s="169"/>
      <c r="L587" s="207"/>
      <c r="M587" s="207"/>
    </row>
    <row r="588">
      <c r="A588" s="203"/>
      <c r="B588" s="204"/>
      <c r="C588" s="205"/>
      <c r="D588" s="205"/>
      <c r="E588" s="166"/>
      <c r="F588" s="206"/>
      <c r="G588" s="167"/>
      <c r="H588" s="166"/>
      <c r="I588" s="167"/>
      <c r="J588" s="168"/>
      <c r="K588" s="169"/>
      <c r="L588" s="207"/>
      <c r="M588" s="207"/>
    </row>
    <row r="589">
      <c r="A589" s="203"/>
      <c r="B589" s="204"/>
      <c r="C589" s="205"/>
      <c r="D589" s="205"/>
      <c r="E589" s="166"/>
      <c r="F589" s="206"/>
      <c r="G589" s="167"/>
      <c r="H589" s="166"/>
      <c r="I589" s="167"/>
      <c r="J589" s="168"/>
      <c r="K589" s="169"/>
      <c r="L589" s="207"/>
      <c r="M589" s="207"/>
    </row>
    <row r="590">
      <c r="A590" s="203"/>
      <c r="B590" s="204"/>
      <c r="C590" s="205"/>
      <c r="D590" s="205"/>
      <c r="E590" s="166"/>
      <c r="F590" s="206"/>
      <c r="G590" s="167"/>
      <c r="H590" s="166"/>
      <c r="I590" s="167"/>
      <c r="J590" s="168"/>
      <c r="K590" s="169"/>
      <c r="L590" s="207"/>
      <c r="M590" s="207"/>
    </row>
    <row r="591">
      <c r="A591" s="203"/>
      <c r="B591" s="204"/>
      <c r="C591" s="205"/>
      <c r="D591" s="205"/>
      <c r="E591" s="166"/>
      <c r="F591" s="206"/>
      <c r="G591" s="167"/>
      <c r="H591" s="166"/>
      <c r="I591" s="167"/>
      <c r="J591" s="168"/>
      <c r="K591" s="169"/>
      <c r="L591" s="207"/>
      <c r="M591" s="207"/>
    </row>
    <row r="592">
      <c r="A592" s="203"/>
      <c r="B592" s="204"/>
      <c r="C592" s="205"/>
      <c r="D592" s="205"/>
      <c r="E592" s="166"/>
      <c r="F592" s="206"/>
      <c r="G592" s="167"/>
      <c r="H592" s="166"/>
      <c r="I592" s="167"/>
      <c r="J592" s="168"/>
      <c r="K592" s="169"/>
      <c r="L592" s="207"/>
      <c r="M592" s="207"/>
    </row>
    <row r="593">
      <c r="A593" s="203"/>
      <c r="B593" s="204"/>
      <c r="C593" s="205"/>
      <c r="D593" s="205"/>
      <c r="E593" s="166"/>
      <c r="F593" s="206"/>
      <c r="G593" s="167"/>
      <c r="H593" s="166"/>
      <c r="I593" s="167"/>
      <c r="J593" s="168"/>
      <c r="K593" s="169"/>
      <c r="L593" s="207"/>
      <c r="M593" s="207"/>
    </row>
    <row r="594">
      <c r="A594" s="203"/>
      <c r="B594" s="204"/>
      <c r="C594" s="205"/>
      <c r="D594" s="205"/>
      <c r="E594" s="166"/>
      <c r="F594" s="206"/>
      <c r="G594" s="167"/>
      <c r="H594" s="166"/>
      <c r="I594" s="167"/>
      <c r="J594" s="168"/>
      <c r="K594" s="169"/>
      <c r="L594" s="207"/>
      <c r="M594" s="207"/>
    </row>
    <row r="595">
      <c r="A595" s="203"/>
      <c r="B595" s="204"/>
      <c r="C595" s="205"/>
      <c r="D595" s="205"/>
      <c r="E595" s="166"/>
      <c r="F595" s="206"/>
      <c r="G595" s="167"/>
      <c r="H595" s="166"/>
      <c r="I595" s="167"/>
      <c r="J595" s="168"/>
      <c r="K595" s="169"/>
      <c r="L595" s="207"/>
      <c r="M595" s="207"/>
    </row>
    <row r="596">
      <c r="A596" s="203"/>
      <c r="B596" s="204"/>
      <c r="C596" s="205"/>
      <c r="D596" s="205"/>
      <c r="E596" s="166"/>
      <c r="F596" s="206"/>
      <c r="G596" s="167"/>
      <c r="H596" s="166"/>
      <c r="I596" s="167"/>
      <c r="J596" s="168"/>
      <c r="K596" s="169"/>
      <c r="L596" s="207"/>
      <c r="M596" s="207"/>
    </row>
    <row r="597">
      <c r="A597" s="203"/>
      <c r="B597" s="204"/>
      <c r="C597" s="205"/>
      <c r="D597" s="205"/>
      <c r="E597" s="166"/>
      <c r="F597" s="206"/>
      <c r="G597" s="167"/>
      <c r="H597" s="166"/>
      <c r="I597" s="167"/>
      <c r="J597" s="168"/>
      <c r="K597" s="169"/>
      <c r="L597" s="207"/>
      <c r="M597" s="207"/>
    </row>
    <row r="598">
      <c r="A598" s="203"/>
      <c r="B598" s="204"/>
      <c r="C598" s="205"/>
      <c r="D598" s="205"/>
      <c r="E598" s="166"/>
      <c r="F598" s="206"/>
      <c r="G598" s="167"/>
      <c r="H598" s="166"/>
      <c r="I598" s="167"/>
      <c r="J598" s="168"/>
      <c r="K598" s="169"/>
      <c r="L598" s="207"/>
      <c r="M598" s="207"/>
    </row>
    <row r="599">
      <c r="A599" s="203"/>
      <c r="B599" s="204"/>
      <c r="C599" s="205"/>
      <c r="D599" s="205"/>
      <c r="E599" s="166"/>
      <c r="F599" s="206"/>
      <c r="G599" s="167"/>
      <c r="H599" s="166"/>
      <c r="I599" s="167"/>
      <c r="J599" s="168"/>
      <c r="K599" s="169"/>
      <c r="L599" s="207"/>
      <c r="M599" s="207"/>
    </row>
    <row r="600">
      <c r="A600" s="203"/>
      <c r="B600" s="204"/>
      <c r="C600" s="205"/>
      <c r="D600" s="205"/>
      <c r="E600" s="166"/>
      <c r="F600" s="206"/>
      <c r="G600" s="167"/>
      <c r="H600" s="166"/>
      <c r="I600" s="167"/>
      <c r="J600" s="168"/>
      <c r="K600" s="169"/>
      <c r="L600" s="207"/>
      <c r="M600" s="207"/>
    </row>
    <row r="601">
      <c r="A601" s="203"/>
      <c r="B601" s="204"/>
      <c r="C601" s="205"/>
      <c r="D601" s="205"/>
      <c r="E601" s="166"/>
      <c r="F601" s="206"/>
      <c r="G601" s="167"/>
      <c r="H601" s="166"/>
      <c r="I601" s="167"/>
      <c r="J601" s="168"/>
      <c r="K601" s="169"/>
      <c r="L601" s="207"/>
      <c r="M601" s="207"/>
    </row>
    <row r="602">
      <c r="A602" s="203"/>
      <c r="B602" s="204"/>
      <c r="C602" s="205"/>
      <c r="D602" s="205"/>
      <c r="E602" s="166"/>
      <c r="F602" s="206"/>
      <c r="G602" s="167"/>
      <c r="H602" s="166"/>
      <c r="I602" s="167"/>
      <c r="J602" s="168"/>
      <c r="K602" s="169"/>
      <c r="L602" s="207"/>
      <c r="M602" s="207"/>
    </row>
    <row r="603">
      <c r="A603" s="203"/>
      <c r="B603" s="204"/>
      <c r="C603" s="205"/>
      <c r="D603" s="205"/>
      <c r="E603" s="166"/>
      <c r="F603" s="206"/>
      <c r="G603" s="167"/>
      <c r="H603" s="166"/>
      <c r="I603" s="167"/>
      <c r="J603" s="168"/>
      <c r="K603" s="169"/>
      <c r="L603" s="207"/>
      <c r="M603" s="207"/>
    </row>
    <row r="604">
      <c r="A604" s="203"/>
      <c r="B604" s="204"/>
      <c r="C604" s="205"/>
      <c r="D604" s="205"/>
      <c r="E604" s="166"/>
      <c r="F604" s="206"/>
      <c r="G604" s="167"/>
      <c r="H604" s="166"/>
      <c r="I604" s="167"/>
      <c r="J604" s="168"/>
      <c r="K604" s="169"/>
      <c r="L604" s="207"/>
      <c r="M604" s="207"/>
    </row>
    <row r="605">
      <c r="A605" s="203"/>
      <c r="B605" s="204"/>
      <c r="C605" s="205"/>
      <c r="D605" s="205"/>
      <c r="E605" s="166"/>
      <c r="F605" s="206"/>
      <c r="G605" s="167"/>
      <c r="H605" s="166"/>
      <c r="I605" s="167"/>
      <c r="J605" s="168"/>
      <c r="K605" s="169"/>
      <c r="L605" s="207"/>
      <c r="M605" s="207"/>
    </row>
    <row r="606">
      <c r="A606" s="203"/>
      <c r="B606" s="204"/>
      <c r="C606" s="205"/>
      <c r="D606" s="205"/>
      <c r="E606" s="166"/>
      <c r="F606" s="206"/>
      <c r="G606" s="167"/>
      <c r="H606" s="166"/>
      <c r="I606" s="167"/>
      <c r="J606" s="168"/>
      <c r="K606" s="169"/>
      <c r="L606" s="207"/>
      <c r="M606" s="207"/>
    </row>
    <row r="607">
      <c r="A607" s="203"/>
      <c r="B607" s="204"/>
      <c r="C607" s="205"/>
      <c r="D607" s="205"/>
      <c r="E607" s="166"/>
      <c r="F607" s="206"/>
      <c r="G607" s="167"/>
      <c r="H607" s="166"/>
      <c r="I607" s="167"/>
      <c r="J607" s="168"/>
      <c r="K607" s="169"/>
      <c r="L607" s="207"/>
      <c r="M607" s="207"/>
    </row>
    <row r="608">
      <c r="A608" s="203"/>
      <c r="B608" s="204"/>
      <c r="C608" s="205"/>
      <c r="D608" s="205"/>
      <c r="E608" s="166"/>
      <c r="F608" s="206"/>
      <c r="G608" s="167"/>
      <c r="H608" s="166"/>
      <c r="I608" s="167"/>
      <c r="J608" s="168"/>
      <c r="K608" s="169"/>
      <c r="L608" s="207"/>
      <c r="M608" s="207"/>
    </row>
    <row r="609">
      <c r="A609" s="203"/>
      <c r="B609" s="204"/>
      <c r="C609" s="205"/>
      <c r="D609" s="205"/>
      <c r="E609" s="166"/>
      <c r="F609" s="206"/>
      <c r="G609" s="167"/>
      <c r="H609" s="166"/>
      <c r="I609" s="167"/>
      <c r="J609" s="168"/>
      <c r="K609" s="169"/>
      <c r="L609" s="207"/>
      <c r="M609" s="207"/>
    </row>
    <row r="610">
      <c r="A610" s="203"/>
      <c r="B610" s="204"/>
      <c r="C610" s="205"/>
      <c r="D610" s="205"/>
      <c r="E610" s="166"/>
      <c r="F610" s="206"/>
      <c r="G610" s="167"/>
      <c r="H610" s="166"/>
      <c r="I610" s="167"/>
      <c r="J610" s="168"/>
      <c r="K610" s="169"/>
      <c r="L610" s="207"/>
      <c r="M610" s="207"/>
    </row>
    <row r="611">
      <c r="A611" s="203"/>
      <c r="B611" s="204"/>
      <c r="C611" s="205"/>
      <c r="D611" s="205"/>
      <c r="E611" s="166"/>
      <c r="F611" s="206"/>
      <c r="G611" s="167"/>
      <c r="H611" s="166"/>
      <c r="I611" s="167"/>
      <c r="J611" s="168"/>
      <c r="K611" s="169"/>
      <c r="L611" s="207"/>
      <c r="M611" s="207"/>
    </row>
    <row r="612">
      <c r="A612" s="203"/>
      <c r="B612" s="204"/>
      <c r="C612" s="205"/>
      <c r="D612" s="205"/>
      <c r="E612" s="166"/>
      <c r="F612" s="206"/>
      <c r="G612" s="167"/>
      <c r="H612" s="166"/>
      <c r="I612" s="167"/>
      <c r="J612" s="168"/>
      <c r="K612" s="169"/>
      <c r="L612" s="207"/>
      <c r="M612" s="207"/>
    </row>
    <row r="613">
      <c r="A613" s="203"/>
      <c r="B613" s="204"/>
      <c r="C613" s="205"/>
      <c r="D613" s="205"/>
      <c r="E613" s="166"/>
      <c r="F613" s="206"/>
      <c r="G613" s="167"/>
      <c r="H613" s="166"/>
      <c r="I613" s="167"/>
      <c r="J613" s="168"/>
      <c r="K613" s="169"/>
      <c r="L613" s="207"/>
      <c r="M613" s="207"/>
    </row>
    <row r="614">
      <c r="A614" s="203"/>
      <c r="B614" s="204"/>
      <c r="C614" s="205"/>
      <c r="D614" s="205"/>
      <c r="E614" s="166"/>
      <c r="F614" s="206"/>
      <c r="G614" s="167"/>
      <c r="H614" s="166"/>
      <c r="I614" s="167"/>
      <c r="J614" s="168"/>
      <c r="K614" s="169"/>
      <c r="L614" s="207"/>
      <c r="M614" s="207"/>
    </row>
    <row r="615">
      <c r="A615" s="203"/>
      <c r="B615" s="204"/>
      <c r="C615" s="205"/>
      <c r="D615" s="205"/>
      <c r="E615" s="166"/>
      <c r="F615" s="206"/>
      <c r="G615" s="167"/>
      <c r="H615" s="166"/>
      <c r="I615" s="167"/>
      <c r="J615" s="168"/>
      <c r="K615" s="169"/>
      <c r="L615" s="207"/>
      <c r="M615" s="207"/>
    </row>
    <row r="616">
      <c r="A616" s="203"/>
      <c r="B616" s="204"/>
      <c r="C616" s="205"/>
      <c r="D616" s="205"/>
      <c r="E616" s="166"/>
      <c r="F616" s="206"/>
      <c r="G616" s="167"/>
      <c r="H616" s="166"/>
      <c r="I616" s="167"/>
      <c r="J616" s="168"/>
      <c r="K616" s="169"/>
      <c r="L616" s="207"/>
      <c r="M616" s="207"/>
    </row>
    <row r="617">
      <c r="A617" s="203"/>
      <c r="B617" s="204"/>
      <c r="C617" s="205"/>
      <c r="D617" s="205"/>
      <c r="E617" s="166"/>
      <c r="F617" s="206"/>
      <c r="G617" s="167"/>
      <c r="H617" s="166"/>
      <c r="I617" s="167"/>
      <c r="J617" s="168"/>
      <c r="K617" s="169"/>
      <c r="L617" s="207"/>
      <c r="M617" s="207"/>
    </row>
    <row r="618">
      <c r="A618" s="203"/>
      <c r="B618" s="204"/>
      <c r="C618" s="205"/>
      <c r="D618" s="205"/>
      <c r="E618" s="166"/>
      <c r="F618" s="206"/>
      <c r="G618" s="167"/>
      <c r="H618" s="166"/>
      <c r="I618" s="167"/>
      <c r="J618" s="168"/>
      <c r="K618" s="169"/>
      <c r="L618" s="207"/>
      <c r="M618" s="207"/>
    </row>
    <row r="619">
      <c r="A619" s="203"/>
      <c r="B619" s="204"/>
      <c r="C619" s="205"/>
      <c r="D619" s="205"/>
      <c r="E619" s="166"/>
      <c r="F619" s="206"/>
      <c r="G619" s="167"/>
      <c r="H619" s="166"/>
      <c r="I619" s="167"/>
      <c r="J619" s="168"/>
      <c r="K619" s="169"/>
      <c r="L619" s="207"/>
      <c r="M619" s="207"/>
    </row>
    <row r="620">
      <c r="A620" s="203"/>
      <c r="B620" s="204"/>
      <c r="C620" s="205"/>
      <c r="D620" s="205"/>
      <c r="E620" s="166"/>
      <c r="F620" s="206"/>
      <c r="G620" s="167"/>
      <c r="H620" s="166"/>
      <c r="I620" s="167"/>
      <c r="J620" s="168"/>
      <c r="K620" s="169"/>
      <c r="L620" s="207"/>
      <c r="M620" s="207"/>
    </row>
    <row r="621">
      <c r="A621" s="203"/>
      <c r="B621" s="204"/>
      <c r="C621" s="205"/>
      <c r="D621" s="205"/>
      <c r="E621" s="166"/>
      <c r="F621" s="206"/>
      <c r="G621" s="167"/>
      <c r="H621" s="166"/>
      <c r="I621" s="167"/>
      <c r="J621" s="168"/>
      <c r="K621" s="169"/>
      <c r="L621" s="207"/>
      <c r="M621" s="207"/>
    </row>
    <row r="622">
      <c r="A622" s="203"/>
      <c r="B622" s="204"/>
      <c r="C622" s="205"/>
      <c r="D622" s="205"/>
      <c r="E622" s="166"/>
      <c r="F622" s="206"/>
      <c r="G622" s="167"/>
      <c r="H622" s="166"/>
      <c r="I622" s="167"/>
      <c r="J622" s="168"/>
      <c r="K622" s="169"/>
      <c r="L622" s="207"/>
      <c r="M622" s="207"/>
    </row>
    <row r="623">
      <c r="A623" s="203"/>
      <c r="B623" s="204"/>
      <c r="C623" s="205"/>
      <c r="D623" s="205"/>
      <c r="E623" s="166"/>
      <c r="F623" s="206"/>
      <c r="G623" s="167"/>
      <c r="H623" s="166"/>
      <c r="I623" s="167"/>
      <c r="J623" s="168"/>
      <c r="K623" s="169"/>
      <c r="L623" s="207"/>
      <c r="M623" s="207"/>
    </row>
    <row r="624">
      <c r="A624" s="203"/>
      <c r="B624" s="204"/>
      <c r="C624" s="205"/>
      <c r="D624" s="205"/>
      <c r="E624" s="166"/>
      <c r="F624" s="206"/>
      <c r="G624" s="167"/>
      <c r="H624" s="166"/>
      <c r="I624" s="167"/>
      <c r="J624" s="168"/>
      <c r="K624" s="169"/>
      <c r="L624" s="207"/>
      <c r="M624" s="207"/>
    </row>
    <row r="625">
      <c r="A625" s="203"/>
      <c r="B625" s="204"/>
      <c r="C625" s="205"/>
      <c r="D625" s="205"/>
      <c r="E625" s="166"/>
      <c r="F625" s="206"/>
      <c r="G625" s="167"/>
      <c r="H625" s="166"/>
      <c r="I625" s="167"/>
      <c r="J625" s="168"/>
      <c r="K625" s="169"/>
      <c r="L625" s="207"/>
      <c r="M625" s="207"/>
    </row>
    <row r="626">
      <c r="A626" s="203"/>
      <c r="B626" s="204"/>
      <c r="C626" s="205"/>
      <c r="D626" s="205"/>
      <c r="E626" s="166"/>
      <c r="F626" s="206"/>
      <c r="G626" s="167"/>
      <c r="H626" s="166"/>
      <c r="I626" s="167"/>
      <c r="J626" s="168"/>
      <c r="K626" s="169"/>
      <c r="L626" s="207"/>
      <c r="M626" s="207"/>
    </row>
    <row r="627">
      <c r="A627" s="203"/>
      <c r="B627" s="204"/>
      <c r="C627" s="205"/>
      <c r="D627" s="205"/>
      <c r="E627" s="166"/>
      <c r="F627" s="206"/>
      <c r="G627" s="167"/>
      <c r="H627" s="166"/>
      <c r="I627" s="167"/>
      <c r="J627" s="168"/>
      <c r="K627" s="169"/>
      <c r="L627" s="207"/>
      <c r="M627" s="207"/>
    </row>
    <row r="628">
      <c r="A628" s="203"/>
      <c r="B628" s="204"/>
      <c r="C628" s="205"/>
      <c r="D628" s="205"/>
      <c r="E628" s="166"/>
      <c r="F628" s="206"/>
      <c r="G628" s="167"/>
      <c r="H628" s="166"/>
      <c r="I628" s="167"/>
      <c r="J628" s="168"/>
      <c r="K628" s="169"/>
      <c r="L628" s="207"/>
      <c r="M628" s="207"/>
    </row>
    <row r="629">
      <c r="A629" s="203"/>
      <c r="B629" s="204"/>
      <c r="C629" s="205"/>
      <c r="D629" s="205"/>
      <c r="E629" s="166"/>
      <c r="F629" s="206"/>
      <c r="G629" s="167"/>
      <c r="H629" s="166"/>
      <c r="I629" s="167"/>
      <c r="J629" s="168"/>
      <c r="K629" s="169"/>
      <c r="L629" s="207"/>
      <c r="M629" s="207"/>
    </row>
    <row r="630">
      <c r="A630" s="203"/>
      <c r="B630" s="204"/>
      <c r="C630" s="205"/>
      <c r="D630" s="205"/>
      <c r="E630" s="166"/>
      <c r="F630" s="206"/>
      <c r="G630" s="167"/>
      <c r="H630" s="166"/>
      <c r="I630" s="167"/>
      <c r="J630" s="168"/>
      <c r="K630" s="169"/>
      <c r="L630" s="207"/>
      <c r="M630" s="207"/>
    </row>
    <row r="631">
      <c r="A631" s="203"/>
      <c r="B631" s="204"/>
      <c r="C631" s="205"/>
      <c r="D631" s="205"/>
      <c r="E631" s="166"/>
      <c r="F631" s="206"/>
      <c r="G631" s="167"/>
      <c r="H631" s="166"/>
      <c r="I631" s="167"/>
      <c r="J631" s="168"/>
      <c r="K631" s="169"/>
      <c r="L631" s="207"/>
      <c r="M631" s="207"/>
    </row>
    <row r="632">
      <c r="A632" s="203"/>
      <c r="B632" s="204"/>
      <c r="C632" s="205"/>
      <c r="D632" s="205"/>
      <c r="E632" s="166"/>
      <c r="F632" s="206"/>
      <c r="G632" s="167"/>
      <c r="H632" s="166"/>
      <c r="I632" s="167"/>
      <c r="J632" s="168"/>
      <c r="K632" s="169"/>
      <c r="L632" s="207"/>
      <c r="M632" s="207"/>
    </row>
    <row r="633">
      <c r="A633" s="203"/>
      <c r="B633" s="204"/>
      <c r="C633" s="205"/>
      <c r="D633" s="205"/>
      <c r="E633" s="166"/>
      <c r="F633" s="206"/>
      <c r="G633" s="167"/>
      <c r="H633" s="166"/>
      <c r="I633" s="167"/>
      <c r="J633" s="168"/>
      <c r="K633" s="169"/>
      <c r="L633" s="207"/>
      <c r="M633" s="207"/>
    </row>
    <row r="634">
      <c r="A634" s="203"/>
      <c r="B634" s="204"/>
      <c r="C634" s="205"/>
      <c r="D634" s="205"/>
      <c r="E634" s="166"/>
      <c r="F634" s="206"/>
      <c r="G634" s="167"/>
      <c r="H634" s="166"/>
      <c r="I634" s="167"/>
      <c r="J634" s="168"/>
      <c r="K634" s="169"/>
      <c r="L634" s="207"/>
      <c r="M634" s="207"/>
    </row>
    <row r="635">
      <c r="A635" s="203"/>
      <c r="B635" s="204"/>
      <c r="C635" s="205"/>
      <c r="D635" s="205"/>
      <c r="E635" s="166"/>
      <c r="F635" s="206"/>
      <c r="G635" s="167"/>
      <c r="H635" s="166"/>
      <c r="I635" s="167"/>
      <c r="J635" s="168"/>
      <c r="K635" s="169"/>
      <c r="L635" s="207"/>
      <c r="M635" s="207"/>
    </row>
    <row r="636">
      <c r="A636" s="203"/>
      <c r="B636" s="204"/>
      <c r="C636" s="205"/>
      <c r="D636" s="205"/>
      <c r="E636" s="166"/>
      <c r="F636" s="206"/>
      <c r="G636" s="167"/>
      <c r="H636" s="166"/>
      <c r="I636" s="167"/>
      <c r="J636" s="168"/>
      <c r="K636" s="169"/>
      <c r="L636" s="207"/>
      <c r="M636" s="207"/>
    </row>
    <row r="637">
      <c r="A637" s="203"/>
      <c r="B637" s="204"/>
      <c r="C637" s="205"/>
      <c r="D637" s="205"/>
      <c r="E637" s="166"/>
      <c r="F637" s="206"/>
      <c r="G637" s="167"/>
      <c r="H637" s="166"/>
      <c r="I637" s="167"/>
      <c r="J637" s="168"/>
      <c r="K637" s="169"/>
      <c r="L637" s="207"/>
      <c r="M637" s="207"/>
    </row>
    <row r="638">
      <c r="A638" s="203"/>
      <c r="B638" s="204"/>
      <c r="C638" s="205"/>
      <c r="D638" s="205"/>
      <c r="E638" s="166"/>
      <c r="F638" s="206"/>
      <c r="G638" s="167"/>
      <c r="H638" s="166"/>
      <c r="I638" s="167"/>
      <c r="J638" s="168"/>
      <c r="K638" s="169"/>
      <c r="L638" s="207"/>
      <c r="M638" s="207"/>
    </row>
    <row r="639">
      <c r="A639" s="203"/>
      <c r="B639" s="204"/>
      <c r="C639" s="205"/>
      <c r="D639" s="205"/>
      <c r="E639" s="166"/>
      <c r="F639" s="206"/>
      <c r="G639" s="167"/>
      <c r="H639" s="166"/>
      <c r="I639" s="167"/>
      <c r="J639" s="168"/>
      <c r="K639" s="169"/>
      <c r="L639" s="207"/>
      <c r="M639" s="207"/>
    </row>
    <row r="640">
      <c r="A640" s="203"/>
      <c r="B640" s="204"/>
      <c r="C640" s="205"/>
      <c r="D640" s="205"/>
      <c r="E640" s="166"/>
      <c r="F640" s="206"/>
      <c r="G640" s="167"/>
      <c r="H640" s="166"/>
      <c r="I640" s="167"/>
      <c r="J640" s="168"/>
      <c r="K640" s="169"/>
      <c r="L640" s="207"/>
      <c r="M640" s="207"/>
    </row>
    <row r="641">
      <c r="A641" s="203"/>
      <c r="B641" s="204"/>
      <c r="C641" s="205"/>
      <c r="D641" s="205"/>
      <c r="E641" s="166"/>
      <c r="F641" s="206"/>
      <c r="G641" s="167"/>
      <c r="H641" s="166"/>
      <c r="I641" s="167"/>
      <c r="J641" s="168"/>
      <c r="K641" s="169"/>
      <c r="L641" s="207"/>
      <c r="M641" s="207"/>
    </row>
    <row r="642">
      <c r="A642" s="203"/>
      <c r="B642" s="204"/>
      <c r="C642" s="205"/>
      <c r="D642" s="205"/>
      <c r="E642" s="166"/>
      <c r="F642" s="206"/>
      <c r="G642" s="167"/>
      <c r="H642" s="166"/>
      <c r="I642" s="167"/>
      <c r="J642" s="168"/>
      <c r="K642" s="169"/>
      <c r="L642" s="207"/>
      <c r="M642" s="207"/>
    </row>
    <row r="643">
      <c r="A643" s="203"/>
      <c r="B643" s="204"/>
      <c r="C643" s="205"/>
      <c r="D643" s="205"/>
      <c r="E643" s="166"/>
      <c r="F643" s="206"/>
      <c r="G643" s="167"/>
      <c r="H643" s="166"/>
      <c r="I643" s="167"/>
      <c r="J643" s="168"/>
      <c r="K643" s="169"/>
      <c r="L643" s="207"/>
      <c r="M643" s="207"/>
    </row>
    <row r="644">
      <c r="A644" s="203"/>
      <c r="B644" s="204"/>
      <c r="C644" s="205"/>
      <c r="D644" s="205"/>
      <c r="E644" s="166"/>
      <c r="F644" s="206"/>
      <c r="G644" s="167"/>
      <c r="H644" s="166"/>
      <c r="I644" s="167"/>
      <c r="J644" s="168"/>
      <c r="K644" s="169"/>
      <c r="L644" s="207"/>
      <c r="M644" s="207"/>
    </row>
    <row r="645">
      <c r="A645" s="203"/>
      <c r="B645" s="204"/>
      <c r="C645" s="205"/>
      <c r="D645" s="205"/>
      <c r="E645" s="166"/>
      <c r="F645" s="206"/>
      <c r="G645" s="167"/>
      <c r="H645" s="166"/>
      <c r="I645" s="167"/>
      <c r="J645" s="168"/>
      <c r="K645" s="169"/>
      <c r="L645" s="207"/>
      <c r="M645" s="207"/>
    </row>
    <row r="646">
      <c r="A646" s="203"/>
      <c r="B646" s="204"/>
      <c r="C646" s="205"/>
      <c r="D646" s="205"/>
      <c r="E646" s="166"/>
      <c r="F646" s="206"/>
      <c r="G646" s="167"/>
      <c r="H646" s="166"/>
      <c r="I646" s="167"/>
      <c r="J646" s="168"/>
      <c r="K646" s="169"/>
      <c r="L646" s="207"/>
      <c r="M646" s="207"/>
    </row>
    <row r="647">
      <c r="A647" s="203"/>
      <c r="B647" s="204"/>
      <c r="C647" s="205"/>
      <c r="D647" s="205"/>
      <c r="E647" s="166"/>
      <c r="F647" s="206"/>
      <c r="G647" s="167"/>
      <c r="H647" s="166"/>
      <c r="I647" s="167"/>
      <c r="J647" s="168"/>
      <c r="K647" s="169"/>
      <c r="L647" s="207"/>
      <c r="M647" s="207"/>
    </row>
    <row r="648">
      <c r="A648" s="203"/>
      <c r="B648" s="204"/>
      <c r="C648" s="205"/>
      <c r="D648" s="205"/>
      <c r="E648" s="166"/>
      <c r="F648" s="206"/>
      <c r="G648" s="167"/>
      <c r="H648" s="166"/>
      <c r="I648" s="167"/>
      <c r="J648" s="168"/>
      <c r="K648" s="169"/>
      <c r="L648" s="207"/>
      <c r="M648" s="207"/>
    </row>
    <row r="649">
      <c r="A649" s="203"/>
      <c r="B649" s="204"/>
      <c r="C649" s="205"/>
      <c r="D649" s="205"/>
      <c r="E649" s="166"/>
      <c r="F649" s="206"/>
      <c r="G649" s="167"/>
      <c r="H649" s="166"/>
      <c r="I649" s="167"/>
      <c r="J649" s="168"/>
      <c r="K649" s="169"/>
      <c r="L649" s="207"/>
      <c r="M649" s="207"/>
    </row>
    <row r="650">
      <c r="A650" s="203"/>
      <c r="B650" s="204"/>
      <c r="C650" s="205"/>
      <c r="D650" s="205"/>
      <c r="E650" s="166"/>
      <c r="F650" s="206"/>
      <c r="G650" s="167"/>
      <c r="H650" s="166"/>
      <c r="I650" s="167"/>
      <c r="J650" s="168"/>
      <c r="K650" s="169"/>
      <c r="L650" s="207"/>
      <c r="M650" s="207"/>
    </row>
    <row r="651">
      <c r="A651" s="203"/>
      <c r="B651" s="204"/>
      <c r="C651" s="205"/>
      <c r="D651" s="205"/>
      <c r="E651" s="166"/>
      <c r="F651" s="206"/>
      <c r="G651" s="167"/>
      <c r="H651" s="166"/>
      <c r="I651" s="167"/>
      <c r="J651" s="168"/>
      <c r="K651" s="169"/>
      <c r="L651" s="207"/>
      <c r="M651" s="207"/>
    </row>
    <row r="652">
      <c r="A652" s="203"/>
      <c r="B652" s="204"/>
      <c r="C652" s="205"/>
      <c r="D652" s="205"/>
      <c r="E652" s="166"/>
      <c r="F652" s="206"/>
      <c r="G652" s="167"/>
      <c r="H652" s="166"/>
      <c r="I652" s="167"/>
      <c r="J652" s="168"/>
      <c r="K652" s="169"/>
      <c r="L652" s="207"/>
      <c r="M652" s="207"/>
    </row>
    <row r="653">
      <c r="A653" s="203"/>
      <c r="B653" s="204"/>
      <c r="C653" s="205"/>
      <c r="D653" s="205"/>
      <c r="E653" s="166"/>
      <c r="F653" s="206"/>
      <c r="G653" s="167"/>
      <c r="H653" s="166"/>
      <c r="I653" s="167"/>
      <c r="J653" s="168"/>
      <c r="K653" s="169"/>
      <c r="L653" s="207"/>
      <c r="M653" s="207"/>
    </row>
    <row r="654">
      <c r="A654" s="203"/>
      <c r="B654" s="204"/>
      <c r="C654" s="205"/>
      <c r="D654" s="205"/>
      <c r="E654" s="166"/>
      <c r="F654" s="206"/>
      <c r="G654" s="167"/>
      <c r="H654" s="166"/>
      <c r="I654" s="167"/>
      <c r="J654" s="168"/>
      <c r="K654" s="169"/>
      <c r="L654" s="207"/>
      <c r="M654" s="207"/>
    </row>
    <row r="655">
      <c r="A655" s="203"/>
      <c r="B655" s="204"/>
      <c r="C655" s="205"/>
      <c r="D655" s="205"/>
      <c r="E655" s="166"/>
      <c r="F655" s="206"/>
      <c r="G655" s="167"/>
      <c r="H655" s="166"/>
      <c r="I655" s="167"/>
      <c r="J655" s="168"/>
      <c r="K655" s="169"/>
      <c r="L655" s="207"/>
      <c r="M655" s="207"/>
    </row>
    <row r="656">
      <c r="A656" s="203"/>
      <c r="B656" s="204"/>
      <c r="C656" s="205"/>
      <c r="D656" s="205"/>
      <c r="E656" s="166"/>
      <c r="F656" s="206"/>
      <c r="G656" s="167"/>
      <c r="H656" s="166"/>
      <c r="I656" s="167"/>
      <c r="J656" s="168"/>
      <c r="K656" s="169"/>
      <c r="L656" s="207"/>
      <c r="M656" s="207"/>
    </row>
    <row r="657">
      <c r="A657" s="203"/>
      <c r="B657" s="204"/>
      <c r="C657" s="205"/>
      <c r="D657" s="205"/>
      <c r="E657" s="166"/>
      <c r="F657" s="206"/>
      <c r="G657" s="167"/>
      <c r="H657" s="166"/>
      <c r="I657" s="167"/>
      <c r="J657" s="168"/>
      <c r="K657" s="169"/>
      <c r="L657" s="207"/>
      <c r="M657" s="207"/>
    </row>
    <row r="658">
      <c r="A658" s="203"/>
      <c r="B658" s="204"/>
      <c r="C658" s="205"/>
      <c r="D658" s="205"/>
      <c r="E658" s="166"/>
      <c r="F658" s="206"/>
      <c r="G658" s="167"/>
      <c r="H658" s="166"/>
      <c r="I658" s="167"/>
      <c r="J658" s="168"/>
      <c r="K658" s="169"/>
      <c r="L658" s="207"/>
      <c r="M658" s="207"/>
    </row>
    <row r="659">
      <c r="A659" s="203"/>
      <c r="B659" s="204"/>
      <c r="C659" s="205"/>
      <c r="D659" s="205"/>
      <c r="E659" s="166"/>
      <c r="F659" s="206"/>
      <c r="G659" s="167"/>
      <c r="H659" s="166"/>
      <c r="I659" s="167"/>
      <c r="J659" s="168"/>
      <c r="K659" s="169"/>
      <c r="L659" s="207"/>
      <c r="M659" s="207"/>
    </row>
    <row r="660">
      <c r="A660" s="203"/>
      <c r="B660" s="204"/>
      <c r="C660" s="205"/>
      <c r="D660" s="205"/>
      <c r="E660" s="166"/>
      <c r="F660" s="206"/>
      <c r="G660" s="167"/>
      <c r="H660" s="166"/>
      <c r="I660" s="167"/>
      <c r="J660" s="168"/>
      <c r="K660" s="169"/>
      <c r="L660" s="207"/>
      <c r="M660" s="207"/>
    </row>
    <row r="661">
      <c r="A661" s="203"/>
      <c r="B661" s="204"/>
      <c r="C661" s="205"/>
      <c r="D661" s="205"/>
      <c r="E661" s="166"/>
      <c r="F661" s="206"/>
      <c r="G661" s="167"/>
      <c r="H661" s="166"/>
      <c r="I661" s="167"/>
      <c r="J661" s="168"/>
      <c r="K661" s="169"/>
      <c r="L661" s="207"/>
      <c r="M661" s="207"/>
    </row>
    <row r="662">
      <c r="A662" s="203"/>
      <c r="B662" s="204"/>
      <c r="C662" s="205"/>
      <c r="D662" s="205"/>
      <c r="E662" s="166"/>
      <c r="F662" s="206"/>
      <c r="G662" s="167"/>
      <c r="H662" s="166"/>
      <c r="I662" s="167"/>
      <c r="J662" s="168"/>
      <c r="K662" s="169"/>
      <c r="L662" s="207"/>
      <c r="M662" s="207"/>
    </row>
    <row r="663">
      <c r="A663" s="203"/>
      <c r="B663" s="204"/>
      <c r="C663" s="205"/>
      <c r="D663" s="205"/>
      <c r="E663" s="166"/>
      <c r="F663" s="206"/>
      <c r="G663" s="167"/>
      <c r="H663" s="166"/>
      <c r="I663" s="167"/>
      <c r="J663" s="168"/>
      <c r="K663" s="169"/>
      <c r="L663" s="207"/>
      <c r="M663" s="207"/>
    </row>
    <row r="664">
      <c r="A664" s="203"/>
      <c r="B664" s="204"/>
      <c r="C664" s="205"/>
      <c r="D664" s="205"/>
      <c r="E664" s="166"/>
      <c r="F664" s="206"/>
      <c r="G664" s="167"/>
      <c r="H664" s="166"/>
      <c r="I664" s="167"/>
      <c r="J664" s="168"/>
      <c r="K664" s="169"/>
      <c r="L664" s="207"/>
      <c r="M664" s="207"/>
    </row>
    <row r="665">
      <c r="A665" s="203"/>
      <c r="B665" s="204"/>
      <c r="C665" s="205"/>
      <c r="D665" s="205"/>
      <c r="E665" s="166"/>
      <c r="F665" s="206"/>
      <c r="G665" s="167"/>
      <c r="H665" s="166"/>
      <c r="I665" s="167"/>
      <c r="J665" s="168"/>
      <c r="K665" s="169"/>
      <c r="L665" s="207"/>
      <c r="M665" s="207"/>
    </row>
    <row r="666">
      <c r="A666" s="203"/>
      <c r="B666" s="204"/>
      <c r="C666" s="205"/>
      <c r="D666" s="205"/>
      <c r="E666" s="166"/>
      <c r="F666" s="206"/>
      <c r="G666" s="167"/>
      <c r="H666" s="166"/>
      <c r="I666" s="167"/>
      <c r="J666" s="168"/>
      <c r="K666" s="169"/>
      <c r="L666" s="207"/>
      <c r="M666" s="207"/>
    </row>
    <row r="667">
      <c r="A667" s="203"/>
      <c r="B667" s="204"/>
      <c r="C667" s="205"/>
      <c r="D667" s="205"/>
      <c r="E667" s="166"/>
      <c r="F667" s="206"/>
      <c r="G667" s="167"/>
      <c r="H667" s="166"/>
      <c r="I667" s="167"/>
      <c r="J667" s="168"/>
      <c r="K667" s="169"/>
      <c r="L667" s="207"/>
      <c r="M667" s="207"/>
    </row>
    <row r="668">
      <c r="A668" s="203"/>
      <c r="B668" s="204"/>
      <c r="C668" s="205"/>
      <c r="D668" s="205"/>
      <c r="E668" s="166"/>
      <c r="F668" s="206"/>
      <c r="G668" s="167"/>
      <c r="H668" s="166"/>
      <c r="I668" s="167"/>
      <c r="J668" s="168"/>
      <c r="K668" s="169"/>
      <c r="L668" s="207"/>
      <c r="M668" s="207"/>
    </row>
    <row r="669">
      <c r="A669" s="203"/>
      <c r="B669" s="204"/>
      <c r="C669" s="205"/>
      <c r="D669" s="205"/>
      <c r="E669" s="166"/>
      <c r="F669" s="206"/>
      <c r="G669" s="167"/>
      <c r="H669" s="166"/>
      <c r="I669" s="167"/>
      <c r="J669" s="168"/>
      <c r="K669" s="169"/>
      <c r="L669" s="207"/>
      <c r="M669" s="207"/>
    </row>
    <row r="670">
      <c r="A670" s="203"/>
      <c r="B670" s="204"/>
      <c r="C670" s="205"/>
      <c r="D670" s="205"/>
      <c r="E670" s="166"/>
      <c r="F670" s="206"/>
      <c r="G670" s="167"/>
      <c r="H670" s="166"/>
      <c r="I670" s="167"/>
      <c r="J670" s="168"/>
      <c r="K670" s="169"/>
      <c r="L670" s="207"/>
      <c r="M670" s="207"/>
    </row>
    <row r="671">
      <c r="A671" s="203"/>
      <c r="B671" s="204"/>
      <c r="C671" s="205"/>
      <c r="D671" s="205"/>
      <c r="E671" s="166"/>
      <c r="F671" s="206"/>
      <c r="G671" s="167"/>
      <c r="H671" s="166"/>
      <c r="I671" s="167"/>
      <c r="J671" s="168"/>
      <c r="K671" s="169"/>
      <c r="L671" s="207"/>
      <c r="M671" s="207"/>
    </row>
    <row r="672">
      <c r="A672" s="203"/>
      <c r="B672" s="204"/>
      <c r="C672" s="205"/>
      <c r="D672" s="205"/>
      <c r="E672" s="166"/>
      <c r="F672" s="206"/>
      <c r="G672" s="167"/>
      <c r="H672" s="166"/>
      <c r="I672" s="167"/>
      <c r="J672" s="168"/>
      <c r="K672" s="169"/>
      <c r="L672" s="207"/>
      <c r="M672" s="207"/>
    </row>
    <row r="673">
      <c r="A673" s="203"/>
      <c r="B673" s="204"/>
      <c r="C673" s="205"/>
      <c r="D673" s="205"/>
      <c r="E673" s="166"/>
      <c r="F673" s="206"/>
      <c r="G673" s="167"/>
      <c r="H673" s="166"/>
      <c r="I673" s="167"/>
      <c r="J673" s="168"/>
      <c r="K673" s="169"/>
      <c r="L673" s="207"/>
      <c r="M673" s="207"/>
    </row>
    <row r="674">
      <c r="A674" s="203"/>
      <c r="B674" s="204"/>
      <c r="C674" s="205"/>
      <c r="D674" s="205"/>
      <c r="E674" s="166"/>
      <c r="F674" s="206"/>
      <c r="G674" s="167"/>
      <c r="H674" s="166"/>
      <c r="I674" s="167"/>
      <c r="J674" s="168"/>
      <c r="K674" s="169"/>
      <c r="L674" s="207"/>
      <c r="M674" s="207"/>
    </row>
    <row r="675">
      <c r="A675" s="203"/>
      <c r="B675" s="204"/>
      <c r="C675" s="205"/>
      <c r="D675" s="205"/>
      <c r="E675" s="166"/>
      <c r="F675" s="206"/>
      <c r="G675" s="167"/>
      <c r="H675" s="166"/>
      <c r="I675" s="167"/>
      <c r="J675" s="168"/>
      <c r="K675" s="169"/>
      <c r="L675" s="207"/>
      <c r="M675" s="207"/>
    </row>
    <row r="676">
      <c r="A676" s="203"/>
      <c r="B676" s="204"/>
      <c r="C676" s="205"/>
      <c r="D676" s="205"/>
      <c r="E676" s="166"/>
      <c r="F676" s="206"/>
      <c r="G676" s="167"/>
      <c r="H676" s="166"/>
      <c r="I676" s="167"/>
      <c r="J676" s="168"/>
      <c r="K676" s="169"/>
      <c r="L676" s="207"/>
      <c r="M676" s="207"/>
    </row>
    <row r="677">
      <c r="A677" s="203"/>
      <c r="B677" s="204"/>
      <c r="C677" s="205"/>
      <c r="D677" s="205"/>
      <c r="E677" s="166"/>
      <c r="F677" s="206"/>
      <c r="G677" s="167"/>
      <c r="H677" s="166"/>
      <c r="I677" s="167"/>
      <c r="J677" s="168"/>
      <c r="K677" s="169"/>
      <c r="L677" s="207"/>
      <c r="M677" s="207"/>
    </row>
    <row r="678">
      <c r="A678" s="203"/>
      <c r="B678" s="204"/>
      <c r="C678" s="205"/>
      <c r="D678" s="205"/>
      <c r="E678" s="166"/>
      <c r="F678" s="206"/>
      <c r="G678" s="167"/>
      <c r="H678" s="166"/>
      <c r="I678" s="167"/>
      <c r="J678" s="168"/>
      <c r="K678" s="169"/>
      <c r="L678" s="207"/>
      <c r="M678" s="207"/>
    </row>
    <row r="679">
      <c r="A679" s="203"/>
      <c r="B679" s="204"/>
      <c r="C679" s="205"/>
      <c r="D679" s="205"/>
      <c r="E679" s="166"/>
      <c r="F679" s="206"/>
      <c r="G679" s="167"/>
      <c r="H679" s="166"/>
      <c r="I679" s="167"/>
      <c r="J679" s="168"/>
      <c r="K679" s="169"/>
      <c r="L679" s="207"/>
      <c r="M679" s="207"/>
    </row>
    <row r="680">
      <c r="A680" s="203"/>
      <c r="B680" s="204"/>
      <c r="C680" s="205"/>
      <c r="D680" s="205"/>
      <c r="E680" s="166"/>
      <c r="F680" s="206"/>
      <c r="G680" s="167"/>
      <c r="H680" s="166"/>
      <c r="I680" s="167"/>
      <c r="J680" s="168"/>
      <c r="K680" s="169"/>
      <c r="L680" s="207"/>
      <c r="M680" s="207"/>
    </row>
    <row r="681">
      <c r="A681" s="203"/>
      <c r="B681" s="204"/>
      <c r="C681" s="205"/>
      <c r="D681" s="205"/>
      <c r="E681" s="166"/>
      <c r="F681" s="206"/>
      <c r="G681" s="167"/>
      <c r="H681" s="166"/>
      <c r="I681" s="167"/>
      <c r="J681" s="168"/>
      <c r="K681" s="169"/>
      <c r="L681" s="207"/>
      <c r="M681" s="207"/>
    </row>
    <row r="682">
      <c r="A682" s="203"/>
      <c r="B682" s="204"/>
      <c r="C682" s="205"/>
      <c r="D682" s="205"/>
      <c r="E682" s="166"/>
      <c r="F682" s="206"/>
      <c r="G682" s="167"/>
      <c r="H682" s="166"/>
      <c r="I682" s="167"/>
      <c r="J682" s="168"/>
      <c r="K682" s="169"/>
      <c r="L682" s="207"/>
      <c r="M682" s="207"/>
    </row>
    <row r="683">
      <c r="A683" s="203"/>
      <c r="B683" s="204"/>
      <c r="C683" s="205"/>
      <c r="D683" s="205"/>
      <c r="E683" s="166"/>
      <c r="F683" s="206"/>
      <c r="G683" s="167"/>
      <c r="H683" s="166"/>
      <c r="I683" s="167"/>
      <c r="J683" s="168"/>
      <c r="K683" s="169"/>
      <c r="L683" s="207"/>
      <c r="M683" s="207"/>
    </row>
    <row r="684">
      <c r="A684" s="203"/>
      <c r="B684" s="204"/>
      <c r="C684" s="205"/>
      <c r="D684" s="205"/>
      <c r="E684" s="166"/>
      <c r="F684" s="206"/>
      <c r="G684" s="167"/>
      <c r="H684" s="166"/>
      <c r="I684" s="167"/>
      <c r="J684" s="168"/>
      <c r="K684" s="169"/>
      <c r="L684" s="207"/>
      <c r="M684" s="207"/>
    </row>
    <row r="685">
      <c r="A685" s="203"/>
      <c r="B685" s="204"/>
      <c r="C685" s="205"/>
      <c r="D685" s="205"/>
      <c r="E685" s="166"/>
      <c r="F685" s="206"/>
      <c r="G685" s="167"/>
      <c r="H685" s="166"/>
      <c r="I685" s="167"/>
      <c r="J685" s="168"/>
      <c r="K685" s="169"/>
      <c r="L685" s="207"/>
      <c r="M685" s="207"/>
    </row>
    <row r="686">
      <c r="A686" s="203"/>
      <c r="B686" s="204"/>
      <c r="C686" s="205"/>
      <c r="D686" s="205"/>
      <c r="E686" s="166"/>
      <c r="F686" s="206"/>
      <c r="G686" s="167"/>
      <c r="H686" s="166"/>
      <c r="I686" s="167"/>
      <c r="J686" s="168"/>
      <c r="K686" s="169"/>
      <c r="L686" s="207"/>
      <c r="M686" s="207"/>
    </row>
    <row r="687">
      <c r="A687" s="203"/>
      <c r="B687" s="204"/>
      <c r="C687" s="205"/>
      <c r="D687" s="205"/>
      <c r="E687" s="166"/>
      <c r="F687" s="206"/>
      <c r="G687" s="167"/>
      <c r="H687" s="166"/>
      <c r="I687" s="167"/>
      <c r="J687" s="168"/>
      <c r="K687" s="169"/>
      <c r="L687" s="207"/>
      <c r="M687" s="207"/>
    </row>
    <row r="688">
      <c r="A688" s="203"/>
      <c r="B688" s="204"/>
      <c r="C688" s="205"/>
      <c r="D688" s="205"/>
      <c r="E688" s="166"/>
      <c r="F688" s="206"/>
      <c r="G688" s="167"/>
      <c r="H688" s="166"/>
      <c r="I688" s="167"/>
      <c r="J688" s="168"/>
      <c r="K688" s="169"/>
      <c r="L688" s="207"/>
      <c r="M688" s="207"/>
    </row>
    <row r="689">
      <c r="A689" s="203"/>
      <c r="B689" s="204"/>
      <c r="C689" s="205"/>
      <c r="D689" s="205"/>
      <c r="E689" s="166"/>
      <c r="F689" s="206"/>
      <c r="G689" s="167"/>
      <c r="H689" s="166"/>
      <c r="I689" s="167"/>
      <c r="J689" s="168"/>
      <c r="K689" s="169"/>
      <c r="L689" s="207"/>
      <c r="M689" s="207"/>
    </row>
    <row r="690">
      <c r="A690" s="203"/>
      <c r="B690" s="204"/>
      <c r="C690" s="205"/>
      <c r="D690" s="205"/>
      <c r="E690" s="166"/>
      <c r="F690" s="206"/>
      <c r="G690" s="167"/>
      <c r="H690" s="166"/>
      <c r="I690" s="167"/>
      <c r="J690" s="168"/>
      <c r="K690" s="169"/>
      <c r="L690" s="207"/>
      <c r="M690" s="207"/>
    </row>
    <row r="691">
      <c r="A691" s="203"/>
      <c r="B691" s="204"/>
      <c r="C691" s="205"/>
      <c r="D691" s="205"/>
      <c r="E691" s="166"/>
      <c r="F691" s="206"/>
      <c r="G691" s="167"/>
      <c r="H691" s="166"/>
      <c r="I691" s="167"/>
      <c r="J691" s="168"/>
      <c r="K691" s="169"/>
      <c r="L691" s="207"/>
      <c r="M691" s="207"/>
    </row>
    <row r="692">
      <c r="A692" s="203"/>
      <c r="B692" s="204"/>
      <c r="C692" s="205"/>
      <c r="D692" s="205"/>
      <c r="E692" s="166"/>
      <c r="F692" s="206"/>
      <c r="G692" s="167"/>
      <c r="H692" s="166"/>
      <c r="I692" s="167"/>
      <c r="J692" s="168"/>
      <c r="K692" s="169"/>
      <c r="L692" s="207"/>
      <c r="M692" s="207"/>
    </row>
    <row r="693">
      <c r="A693" s="203"/>
      <c r="B693" s="204"/>
      <c r="C693" s="205"/>
      <c r="D693" s="205"/>
      <c r="E693" s="166"/>
      <c r="F693" s="206"/>
      <c r="G693" s="167"/>
      <c r="H693" s="166"/>
      <c r="I693" s="167"/>
      <c r="J693" s="168"/>
      <c r="K693" s="169"/>
      <c r="L693" s="207"/>
      <c r="M693" s="207"/>
    </row>
    <row r="694">
      <c r="A694" s="203"/>
      <c r="B694" s="204"/>
      <c r="C694" s="205"/>
      <c r="D694" s="205"/>
      <c r="E694" s="166"/>
      <c r="F694" s="206"/>
      <c r="G694" s="167"/>
      <c r="H694" s="166"/>
      <c r="I694" s="167"/>
      <c r="J694" s="168"/>
      <c r="K694" s="169"/>
      <c r="L694" s="207"/>
      <c r="M694" s="207"/>
    </row>
    <row r="695">
      <c r="A695" s="203"/>
      <c r="B695" s="204"/>
      <c r="C695" s="205"/>
      <c r="D695" s="205"/>
      <c r="E695" s="166"/>
      <c r="F695" s="206"/>
      <c r="G695" s="167"/>
      <c r="H695" s="166"/>
      <c r="I695" s="167"/>
      <c r="J695" s="168"/>
      <c r="K695" s="169"/>
      <c r="L695" s="207"/>
      <c r="M695" s="207"/>
    </row>
    <row r="696">
      <c r="A696" s="203"/>
      <c r="B696" s="204"/>
      <c r="C696" s="205"/>
      <c r="D696" s="205"/>
      <c r="E696" s="166"/>
      <c r="F696" s="206"/>
      <c r="G696" s="167"/>
      <c r="H696" s="166"/>
      <c r="I696" s="167"/>
      <c r="J696" s="168"/>
      <c r="K696" s="169"/>
      <c r="L696" s="207"/>
      <c r="M696" s="207"/>
    </row>
    <row r="697">
      <c r="A697" s="203"/>
      <c r="B697" s="204"/>
      <c r="C697" s="205"/>
      <c r="D697" s="205"/>
      <c r="E697" s="166"/>
      <c r="F697" s="206"/>
      <c r="G697" s="167"/>
      <c r="H697" s="166"/>
      <c r="I697" s="167"/>
      <c r="J697" s="168"/>
      <c r="K697" s="169"/>
      <c r="L697" s="207"/>
      <c r="M697" s="207"/>
    </row>
    <row r="698">
      <c r="A698" s="203"/>
      <c r="B698" s="204"/>
      <c r="C698" s="205"/>
      <c r="D698" s="205"/>
      <c r="E698" s="166"/>
      <c r="F698" s="206"/>
      <c r="G698" s="167"/>
      <c r="H698" s="166"/>
      <c r="I698" s="167"/>
      <c r="J698" s="168"/>
      <c r="K698" s="169"/>
      <c r="L698" s="207"/>
      <c r="M698" s="207"/>
    </row>
    <row r="699">
      <c r="A699" s="203"/>
      <c r="B699" s="204"/>
      <c r="C699" s="205"/>
      <c r="D699" s="205"/>
      <c r="E699" s="166"/>
      <c r="F699" s="206"/>
      <c r="G699" s="167"/>
      <c r="H699" s="166"/>
      <c r="I699" s="167"/>
      <c r="J699" s="168"/>
      <c r="K699" s="169"/>
      <c r="L699" s="207"/>
      <c r="M699" s="207"/>
    </row>
    <row r="700">
      <c r="A700" s="203"/>
      <c r="B700" s="204"/>
      <c r="C700" s="205"/>
      <c r="D700" s="205"/>
      <c r="E700" s="166"/>
      <c r="F700" s="206"/>
      <c r="G700" s="167"/>
      <c r="H700" s="166"/>
      <c r="I700" s="167"/>
      <c r="J700" s="168"/>
      <c r="K700" s="169"/>
      <c r="L700" s="207"/>
      <c r="M700" s="207"/>
    </row>
    <row r="701">
      <c r="A701" s="203"/>
      <c r="B701" s="204"/>
      <c r="C701" s="205"/>
      <c r="D701" s="205"/>
      <c r="E701" s="166"/>
      <c r="F701" s="206"/>
      <c r="G701" s="167"/>
      <c r="H701" s="166"/>
      <c r="I701" s="167"/>
      <c r="J701" s="168"/>
      <c r="K701" s="169"/>
      <c r="L701" s="207"/>
      <c r="M701" s="207"/>
    </row>
    <row r="702">
      <c r="A702" s="203"/>
      <c r="B702" s="204"/>
      <c r="C702" s="205"/>
      <c r="D702" s="205"/>
      <c r="E702" s="166"/>
      <c r="F702" s="206"/>
      <c r="G702" s="167"/>
      <c r="H702" s="166"/>
      <c r="I702" s="167"/>
      <c r="J702" s="168"/>
      <c r="K702" s="169"/>
      <c r="L702" s="207"/>
      <c r="M702" s="207"/>
    </row>
    <row r="703">
      <c r="A703" s="203"/>
      <c r="B703" s="204"/>
      <c r="C703" s="205"/>
      <c r="D703" s="205"/>
      <c r="E703" s="166"/>
      <c r="F703" s="206"/>
      <c r="G703" s="167"/>
      <c r="H703" s="166"/>
      <c r="I703" s="167"/>
      <c r="J703" s="168"/>
      <c r="K703" s="169"/>
      <c r="L703" s="207"/>
      <c r="M703" s="207"/>
    </row>
    <row r="704">
      <c r="A704" s="203"/>
      <c r="B704" s="204"/>
      <c r="C704" s="205"/>
      <c r="D704" s="205"/>
      <c r="E704" s="166"/>
      <c r="F704" s="206"/>
      <c r="G704" s="167"/>
      <c r="H704" s="166"/>
      <c r="I704" s="167"/>
      <c r="J704" s="168"/>
      <c r="K704" s="169"/>
      <c r="L704" s="207"/>
      <c r="M704" s="207"/>
    </row>
    <row r="705">
      <c r="A705" s="203"/>
      <c r="B705" s="204"/>
      <c r="C705" s="205"/>
      <c r="D705" s="205"/>
      <c r="E705" s="166"/>
      <c r="F705" s="206"/>
      <c r="G705" s="167"/>
      <c r="H705" s="166"/>
      <c r="I705" s="167"/>
      <c r="J705" s="168"/>
      <c r="K705" s="169"/>
      <c r="L705" s="207"/>
      <c r="M705" s="207"/>
    </row>
    <row r="706">
      <c r="A706" s="203"/>
      <c r="B706" s="204"/>
      <c r="C706" s="205"/>
      <c r="D706" s="205"/>
      <c r="E706" s="166"/>
      <c r="F706" s="206"/>
      <c r="G706" s="167"/>
      <c r="H706" s="166"/>
      <c r="I706" s="167"/>
      <c r="J706" s="168"/>
      <c r="K706" s="169"/>
      <c r="L706" s="207"/>
      <c r="M706" s="207"/>
    </row>
    <row r="707">
      <c r="A707" s="203"/>
      <c r="B707" s="204"/>
      <c r="C707" s="205"/>
      <c r="D707" s="205"/>
      <c r="E707" s="166"/>
      <c r="F707" s="206"/>
      <c r="G707" s="167"/>
      <c r="H707" s="166"/>
      <c r="I707" s="167"/>
      <c r="J707" s="168"/>
      <c r="K707" s="169"/>
      <c r="L707" s="207"/>
      <c r="M707" s="207"/>
    </row>
    <row r="708">
      <c r="A708" s="203"/>
      <c r="B708" s="204"/>
      <c r="C708" s="205"/>
      <c r="D708" s="205"/>
      <c r="E708" s="166"/>
      <c r="F708" s="206"/>
      <c r="G708" s="167"/>
      <c r="H708" s="166"/>
      <c r="I708" s="167"/>
      <c r="J708" s="168"/>
      <c r="K708" s="169"/>
      <c r="L708" s="207"/>
      <c r="M708" s="207"/>
    </row>
    <row r="709">
      <c r="A709" s="203"/>
      <c r="B709" s="204"/>
      <c r="C709" s="205"/>
      <c r="D709" s="205"/>
      <c r="E709" s="166"/>
      <c r="F709" s="206"/>
      <c r="G709" s="167"/>
      <c r="H709" s="166"/>
      <c r="I709" s="167"/>
      <c r="J709" s="168"/>
      <c r="K709" s="169"/>
      <c r="L709" s="207"/>
      <c r="M709" s="207"/>
    </row>
    <row r="710">
      <c r="A710" s="203"/>
      <c r="B710" s="204"/>
      <c r="C710" s="205"/>
      <c r="D710" s="205"/>
      <c r="E710" s="166"/>
      <c r="F710" s="206"/>
      <c r="G710" s="167"/>
      <c r="H710" s="166"/>
      <c r="I710" s="167"/>
      <c r="J710" s="168"/>
      <c r="K710" s="169"/>
      <c r="L710" s="207"/>
      <c r="M710" s="207"/>
    </row>
    <row r="711">
      <c r="A711" s="203"/>
      <c r="B711" s="204"/>
      <c r="C711" s="205"/>
      <c r="D711" s="205"/>
      <c r="E711" s="166"/>
      <c r="F711" s="206"/>
      <c r="G711" s="167"/>
      <c r="H711" s="166"/>
      <c r="I711" s="167"/>
      <c r="J711" s="168"/>
      <c r="K711" s="169"/>
      <c r="L711" s="207"/>
      <c r="M711" s="207"/>
    </row>
    <row r="712">
      <c r="A712" s="203"/>
      <c r="B712" s="204"/>
      <c r="C712" s="205"/>
      <c r="D712" s="205"/>
      <c r="E712" s="166"/>
      <c r="F712" s="206"/>
      <c r="G712" s="167"/>
      <c r="H712" s="166"/>
      <c r="I712" s="167"/>
      <c r="J712" s="168"/>
      <c r="K712" s="169"/>
      <c r="L712" s="207"/>
      <c r="M712" s="207"/>
    </row>
    <row r="713">
      <c r="A713" s="203"/>
      <c r="B713" s="204"/>
      <c r="C713" s="205"/>
      <c r="D713" s="205"/>
      <c r="E713" s="166"/>
      <c r="F713" s="206"/>
      <c r="G713" s="167"/>
      <c r="H713" s="166"/>
      <c r="I713" s="167"/>
      <c r="J713" s="168"/>
      <c r="K713" s="169"/>
      <c r="L713" s="207"/>
      <c r="M713" s="207"/>
    </row>
    <row r="714">
      <c r="A714" s="203"/>
      <c r="B714" s="204"/>
      <c r="C714" s="205"/>
      <c r="D714" s="205"/>
      <c r="E714" s="166"/>
      <c r="F714" s="206"/>
      <c r="G714" s="167"/>
      <c r="H714" s="166"/>
      <c r="I714" s="167"/>
      <c r="J714" s="168"/>
      <c r="K714" s="169"/>
      <c r="L714" s="207"/>
      <c r="M714" s="207"/>
    </row>
    <row r="715">
      <c r="A715" s="203"/>
      <c r="B715" s="204"/>
      <c r="C715" s="205"/>
      <c r="D715" s="205"/>
      <c r="E715" s="166"/>
      <c r="F715" s="206"/>
      <c r="G715" s="167"/>
      <c r="H715" s="166"/>
      <c r="I715" s="167"/>
      <c r="J715" s="168"/>
      <c r="K715" s="169"/>
      <c r="L715" s="207"/>
      <c r="M715" s="207"/>
    </row>
    <row r="716">
      <c r="A716" s="203"/>
      <c r="B716" s="204"/>
      <c r="C716" s="205"/>
      <c r="D716" s="205"/>
      <c r="E716" s="166"/>
      <c r="F716" s="206"/>
      <c r="G716" s="167"/>
      <c r="H716" s="166"/>
      <c r="I716" s="167"/>
      <c r="J716" s="168"/>
      <c r="K716" s="169"/>
      <c r="L716" s="207"/>
      <c r="M716" s="207"/>
    </row>
    <row r="717">
      <c r="A717" s="203"/>
      <c r="B717" s="204"/>
      <c r="C717" s="205"/>
      <c r="D717" s="205"/>
      <c r="E717" s="166"/>
      <c r="F717" s="206"/>
      <c r="G717" s="167"/>
      <c r="H717" s="166"/>
      <c r="I717" s="167"/>
      <c r="J717" s="168"/>
      <c r="K717" s="169"/>
      <c r="L717" s="207"/>
      <c r="M717" s="207"/>
    </row>
    <row r="718">
      <c r="A718" s="203"/>
      <c r="B718" s="204"/>
      <c r="C718" s="205"/>
      <c r="D718" s="205"/>
      <c r="E718" s="166"/>
      <c r="F718" s="206"/>
      <c r="G718" s="167"/>
      <c r="H718" s="166"/>
      <c r="I718" s="167"/>
      <c r="J718" s="168"/>
      <c r="K718" s="169"/>
      <c r="L718" s="207"/>
      <c r="M718" s="207"/>
    </row>
    <row r="719">
      <c r="A719" s="203"/>
      <c r="B719" s="204"/>
      <c r="C719" s="205"/>
      <c r="D719" s="205"/>
      <c r="E719" s="166"/>
      <c r="F719" s="206"/>
      <c r="G719" s="167"/>
      <c r="H719" s="166"/>
      <c r="I719" s="167"/>
      <c r="J719" s="168"/>
      <c r="K719" s="169"/>
      <c r="L719" s="207"/>
      <c r="M719" s="207"/>
    </row>
    <row r="720">
      <c r="A720" s="203"/>
      <c r="B720" s="204"/>
      <c r="C720" s="205"/>
      <c r="D720" s="205"/>
      <c r="E720" s="166"/>
      <c r="F720" s="206"/>
      <c r="G720" s="167"/>
      <c r="H720" s="166"/>
      <c r="I720" s="167"/>
      <c r="J720" s="168"/>
      <c r="K720" s="169"/>
      <c r="L720" s="207"/>
      <c r="M720" s="207"/>
    </row>
    <row r="721">
      <c r="A721" s="203"/>
      <c r="B721" s="204"/>
      <c r="C721" s="205"/>
      <c r="D721" s="205"/>
      <c r="E721" s="166"/>
      <c r="F721" s="206"/>
      <c r="G721" s="167"/>
      <c r="H721" s="166"/>
      <c r="I721" s="167"/>
      <c r="J721" s="168"/>
      <c r="K721" s="169"/>
      <c r="L721" s="207"/>
      <c r="M721" s="207"/>
    </row>
    <row r="722">
      <c r="A722" s="203"/>
      <c r="B722" s="204"/>
      <c r="C722" s="205"/>
      <c r="D722" s="205"/>
      <c r="E722" s="166"/>
      <c r="F722" s="206"/>
      <c r="G722" s="167"/>
      <c r="H722" s="166"/>
      <c r="I722" s="167"/>
      <c r="J722" s="168"/>
      <c r="K722" s="169"/>
      <c r="L722" s="207"/>
      <c r="M722" s="207"/>
    </row>
    <row r="723">
      <c r="A723" s="203"/>
      <c r="B723" s="204"/>
      <c r="C723" s="205"/>
      <c r="D723" s="205"/>
      <c r="E723" s="166"/>
      <c r="F723" s="206"/>
      <c r="G723" s="167"/>
      <c r="H723" s="166"/>
      <c r="I723" s="167"/>
      <c r="J723" s="168"/>
      <c r="K723" s="169"/>
      <c r="L723" s="207"/>
      <c r="M723" s="207"/>
    </row>
    <row r="724">
      <c r="A724" s="203"/>
      <c r="B724" s="204"/>
      <c r="C724" s="205"/>
      <c r="D724" s="205"/>
      <c r="E724" s="166"/>
      <c r="F724" s="206"/>
      <c r="G724" s="167"/>
      <c r="H724" s="166"/>
      <c r="I724" s="167"/>
      <c r="J724" s="168"/>
      <c r="K724" s="169"/>
      <c r="L724" s="207"/>
      <c r="M724" s="207"/>
    </row>
    <row r="725">
      <c r="A725" s="203"/>
      <c r="B725" s="204"/>
      <c r="C725" s="205"/>
      <c r="D725" s="205"/>
      <c r="E725" s="166"/>
      <c r="F725" s="206"/>
      <c r="G725" s="167"/>
      <c r="H725" s="166"/>
      <c r="I725" s="167"/>
      <c r="J725" s="168"/>
      <c r="K725" s="169"/>
      <c r="L725" s="207"/>
      <c r="M725" s="207"/>
    </row>
    <row r="726">
      <c r="A726" s="203"/>
      <c r="B726" s="204"/>
      <c r="C726" s="205"/>
      <c r="D726" s="205"/>
      <c r="E726" s="166"/>
      <c r="F726" s="206"/>
      <c r="G726" s="167"/>
      <c r="H726" s="166"/>
      <c r="I726" s="167"/>
      <c r="J726" s="168"/>
      <c r="K726" s="169"/>
      <c r="L726" s="207"/>
      <c r="M726" s="207"/>
    </row>
    <row r="727">
      <c r="A727" s="203"/>
      <c r="B727" s="204"/>
      <c r="C727" s="205"/>
      <c r="D727" s="205"/>
      <c r="E727" s="166"/>
      <c r="F727" s="206"/>
      <c r="G727" s="167"/>
      <c r="H727" s="166"/>
      <c r="I727" s="167"/>
      <c r="J727" s="168"/>
      <c r="K727" s="169"/>
      <c r="L727" s="207"/>
      <c r="M727" s="207"/>
    </row>
    <row r="728">
      <c r="A728" s="203"/>
      <c r="B728" s="204"/>
      <c r="C728" s="205"/>
      <c r="D728" s="205"/>
      <c r="E728" s="166"/>
      <c r="F728" s="206"/>
      <c r="G728" s="167"/>
      <c r="H728" s="166"/>
      <c r="I728" s="167"/>
      <c r="J728" s="168"/>
      <c r="K728" s="169"/>
      <c r="L728" s="207"/>
      <c r="M728" s="207"/>
    </row>
    <row r="729">
      <c r="A729" s="203"/>
      <c r="B729" s="204"/>
      <c r="C729" s="205"/>
      <c r="D729" s="205"/>
      <c r="E729" s="166"/>
      <c r="F729" s="206"/>
      <c r="G729" s="167"/>
      <c r="H729" s="166"/>
      <c r="I729" s="167"/>
      <c r="J729" s="168"/>
      <c r="K729" s="169"/>
      <c r="L729" s="207"/>
      <c r="M729" s="207"/>
    </row>
    <row r="730">
      <c r="A730" s="203"/>
      <c r="B730" s="204"/>
      <c r="C730" s="205"/>
      <c r="D730" s="205"/>
      <c r="E730" s="166"/>
      <c r="F730" s="206"/>
      <c r="G730" s="167"/>
      <c r="H730" s="166"/>
      <c r="I730" s="167"/>
      <c r="J730" s="168"/>
      <c r="K730" s="169"/>
      <c r="L730" s="207"/>
      <c r="M730" s="207"/>
    </row>
    <row r="731">
      <c r="A731" s="203"/>
      <c r="B731" s="204"/>
      <c r="C731" s="205"/>
      <c r="D731" s="205"/>
      <c r="E731" s="166"/>
      <c r="F731" s="206"/>
      <c r="G731" s="167"/>
      <c r="H731" s="166"/>
      <c r="I731" s="167"/>
      <c r="J731" s="168"/>
      <c r="K731" s="169"/>
      <c r="L731" s="207"/>
      <c r="M731" s="207"/>
    </row>
    <row r="732">
      <c r="A732" s="203"/>
      <c r="B732" s="204"/>
      <c r="C732" s="205"/>
      <c r="D732" s="205"/>
      <c r="E732" s="166"/>
      <c r="F732" s="206"/>
      <c r="G732" s="167"/>
      <c r="H732" s="166"/>
      <c r="I732" s="167"/>
      <c r="J732" s="168"/>
      <c r="K732" s="169"/>
      <c r="L732" s="207"/>
      <c r="M732" s="207"/>
    </row>
    <row r="733">
      <c r="A733" s="203"/>
      <c r="B733" s="204"/>
      <c r="C733" s="205"/>
      <c r="D733" s="205"/>
      <c r="E733" s="166"/>
      <c r="F733" s="206"/>
      <c r="G733" s="167"/>
      <c r="H733" s="166"/>
      <c r="I733" s="167"/>
      <c r="J733" s="168"/>
      <c r="K733" s="169"/>
      <c r="L733" s="207"/>
      <c r="M733" s="207"/>
    </row>
    <row r="734">
      <c r="A734" s="203"/>
      <c r="B734" s="204"/>
      <c r="C734" s="205"/>
      <c r="D734" s="205"/>
      <c r="E734" s="166"/>
      <c r="F734" s="206"/>
      <c r="G734" s="167"/>
      <c r="H734" s="166"/>
      <c r="I734" s="167"/>
      <c r="J734" s="168"/>
      <c r="K734" s="169"/>
      <c r="L734" s="207"/>
      <c r="M734" s="207"/>
    </row>
    <row r="735">
      <c r="A735" s="203"/>
      <c r="B735" s="204"/>
      <c r="C735" s="205"/>
      <c r="D735" s="205"/>
      <c r="E735" s="166"/>
      <c r="F735" s="206"/>
      <c r="G735" s="167"/>
      <c r="H735" s="166"/>
      <c r="I735" s="167"/>
      <c r="J735" s="168"/>
      <c r="K735" s="169"/>
      <c r="L735" s="207"/>
      <c r="M735" s="207"/>
    </row>
    <row r="736">
      <c r="A736" s="203"/>
      <c r="B736" s="204"/>
      <c r="C736" s="205"/>
      <c r="D736" s="205"/>
      <c r="E736" s="166"/>
      <c r="F736" s="206"/>
      <c r="G736" s="167"/>
      <c r="H736" s="166"/>
      <c r="I736" s="167"/>
      <c r="J736" s="168"/>
      <c r="K736" s="169"/>
      <c r="L736" s="207"/>
      <c r="M736" s="207"/>
    </row>
    <row r="737">
      <c r="A737" s="203"/>
      <c r="B737" s="204"/>
      <c r="C737" s="205"/>
      <c r="D737" s="205"/>
      <c r="E737" s="166"/>
      <c r="F737" s="206"/>
      <c r="G737" s="167"/>
      <c r="H737" s="166"/>
      <c r="I737" s="167"/>
      <c r="J737" s="168"/>
      <c r="K737" s="169"/>
      <c r="L737" s="207"/>
      <c r="M737" s="207"/>
    </row>
    <row r="738">
      <c r="A738" s="203"/>
      <c r="B738" s="204"/>
      <c r="C738" s="205"/>
      <c r="D738" s="205"/>
      <c r="E738" s="166"/>
      <c r="F738" s="206"/>
      <c r="G738" s="167"/>
      <c r="H738" s="166"/>
      <c r="I738" s="167"/>
      <c r="J738" s="168"/>
      <c r="K738" s="169"/>
      <c r="L738" s="207"/>
      <c r="M738" s="207"/>
    </row>
    <row r="739">
      <c r="A739" s="203"/>
      <c r="B739" s="204"/>
      <c r="C739" s="205"/>
      <c r="D739" s="205"/>
      <c r="E739" s="166"/>
      <c r="F739" s="206"/>
      <c r="G739" s="167"/>
      <c r="H739" s="166"/>
      <c r="I739" s="167"/>
      <c r="J739" s="168"/>
      <c r="K739" s="169"/>
      <c r="L739" s="207"/>
      <c r="M739" s="207"/>
    </row>
    <row r="740">
      <c r="A740" s="203"/>
      <c r="B740" s="204"/>
      <c r="C740" s="205"/>
      <c r="D740" s="205"/>
      <c r="E740" s="166"/>
      <c r="F740" s="206"/>
      <c r="G740" s="167"/>
      <c r="H740" s="166"/>
      <c r="I740" s="167"/>
      <c r="J740" s="168"/>
      <c r="K740" s="169"/>
      <c r="L740" s="207"/>
      <c r="M740" s="207"/>
    </row>
    <row r="741">
      <c r="A741" s="203"/>
      <c r="B741" s="204"/>
      <c r="C741" s="205"/>
      <c r="D741" s="205"/>
      <c r="E741" s="166"/>
      <c r="F741" s="206"/>
      <c r="G741" s="167"/>
      <c r="H741" s="166"/>
      <c r="I741" s="167"/>
      <c r="J741" s="168"/>
      <c r="K741" s="169"/>
      <c r="L741" s="207"/>
      <c r="M741" s="207"/>
    </row>
    <row r="742">
      <c r="A742" s="203"/>
      <c r="B742" s="204"/>
      <c r="C742" s="205"/>
      <c r="D742" s="205"/>
      <c r="E742" s="166"/>
      <c r="F742" s="206"/>
      <c r="G742" s="167"/>
      <c r="H742" s="166"/>
      <c r="I742" s="167"/>
      <c r="J742" s="168"/>
      <c r="K742" s="169"/>
      <c r="L742" s="207"/>
      <c r="M742" s="207"/>
    </row>
    <row r="743">
      <c r="A743" s="203"/>
      <c r="B743" s="204"/>
      <c r="C743" s="205"/>
      <c r="D743" s="205"/>
      <c r="E743" s="166"/>
      <c r="F743" s="206"/>
      <c r="G743" s="167"/>
      <c r="H743" s="166"/>
      <c r="I743" s="167"/>
      <c r="J743" s="168"/>
      <c r="K743" s="169"/>
      <c r="L743" s="207"/>
      <c r="M743" s="207"/>
    </row>
    <row r="744">
      <c r="A744" s="203"/>
      <c r="B744" s="204"/>
      <c r="C744" s="205"/>
      <c r="D744" s="205"/>
      <c r="E744" s="166"/>
      <c r="F744" s="206"/>
      <c r="G744" s="167"/>
      <c r="H744" s="166"/>
      <c r="I744" s="167"/>
      <c r="J744" s="168"/>
      <c r="K744" s="169"/>
      <c r="L744" s="207"/>
      <c r="M744" s="207"/>
    </row>
    <row r="745">
      <c r="A745" s="203"/>
      <c r="B745" s="204"/>
      <c r="C745" s="205"/>
      <c r="D745" s="205"/>
      <c r="E745" s="166"/>
      <c r="F745" s="206"/>
      <c r="G745" s="167"/>
      <c r="H745" s="166"/>
      <c r="I745" s="167"/>
      <c r="J745" s="168"/>
      <c r="K745" s="169"/>
      <c r="L745" s="207"/>
      <c r="M745" s="207"/>
    </row>
    <row r="746">
      <c r="A746" s="203"/>
      <c r="B746" s="204"/>
      <c r="C746" s="205"/>
      <c r="D746" s="205"/>
      <c r="E746" s="166"/>
      <c r="F746" s="206"/>
      <c r="G746" s="167"/>
      <c r="H746" s="166"/>
      <c r="I746" s="167"/>
      <c r="J746" s="168"/>
      <c r="K746" s="169"/>
      <c r="L746" s="207"/>
      <c r="M746" s="207"/>
    </row>
    <row r="747">
      <c r="A747" s="203"/>
      <c r="B747" s="204"/>
      <c r="C747" s="205"/>
      <c r="D747" s="205"/>
      <c r="E747" s="166"/>
      <c r="F747" s="206"/>
      <c r="G747" s="167"/>
      <c r="H747" s="166"/>
      <c r="I747" s="167"/>
      <c r="J747" s="168"/>
      <c r="K747" s="169"/>
      <c r="L747" s="207"/>
      <c r="M747" s="207"/>
    </row>
    <row r="748">
      <c r="A748" s="203"/>
      <c r="B748" s="204"/>
      <c r="C748" s="205"/>
      <c r="D748" s="205"/>
      <c r="E748" s="166"/>
      <c r="F748" s="206"/>
      <c r="G748" s="167"/>
      <c r="H748" s="166"/>
      <c r="I748" s="167"/>
      <c r="J748" s="168"/>
      <c r="K748" s="169"/>
      <c r="L748" s="207"/>
      <c r="M748" s="207"/>
    </row>
    <row r="749">
      <c r="A749" s="203"/>
      <c r="B749" s="204"/>
      <c r="C749" s="205"/>
      <c r="D749" s="205"/>
      <c r="E749" s="166"/>
      <c r="F749" s="206"/>
      <c r="G749" s="167"/>
      <c r="H749" s="166"/>
      <c r="I749" s="167"/>
      <c r="J749" s="168"/>
      <c r="K749" s="169"/>
      <c r="L749" s="207"/>
      <c r="M749" s="207"/>
    </row>
    <row r="750">
      <c r="A750" s="203"/>
      <c r="B750" s="204"/>
      <c r="C750" s="205"/>
      <c r="D750" s="205"/>
      <c r="E750" s="166"/>
      <c r="F750" s="206"/>
      <c r="G750" s="167"/>
      <c r="H750" s="166"/>
      <c r="I750" s="167"/>
      <c r="J750" s="168"/>
      <c r="K750" s="169"/>
      <c r="L750" s="207"/>
      <c r="M750" s="207"/>
    </row>
    <row r="751">
      <c r="A751" s="203"/>
      <c r="B751" s="204"/>
      <c r="C751" s="205"/>
      <c r="D751" s="205"/>
      <c r="E751" s="166"/>
      <c r="F751" s="206"/>
      <c r="G751" s="167"/>
      <c r="H751" s="166"/>
      <c r="I751" s="167"/>
      <c r="J751" s="168"/>
      <c r="K751" s="169"/>
      <c r="L751" s="207"/>
      <c r="M751" s="207"/>
    </row>
    <row r="752">
      <c r="A752" s="203"/>
      <c r="B752" s="204"/>
      <c r="C752" s="205"/>
      <c r="D752" s="205"/>
      <c r="E752" s="166"/>
      <c r="F752" s="206"/>
      <c r="G752" s="167"/>
      <c r="H752" s="166"/>
      <c r="I752" s="167"/>
      <c r="J752" s="168"/>
      <c r="K752" s="169"/>
      <c r="L752" s="207"/>
      <c r="M752" s="207"/>
    </row>
    <row r="753">
      <c r="A753" s="203"/>
      <c r="B753" s="204"/>
      <c r="C753" s="205"/>
      <c r="D753" s="205"/>
      <c r="E753" s="166"/>
      <c r="F753" s="206"/>
      <c r="G753" s="167"/>
      <c r="H753" s="166"/>
      <c r="I753" s="167"/>
      <c r="J753" s="168"/>
      <c r="K753" s="169"/>
      <c r="L753" s="207"/>
      <c r="M753" s="207"/>
    </row>
    <row r="754">
      <c r="A754" s="203"/>
      <c r="B754" s="204"/>
      <c r="C754" s="205"/>
      <c r="D754" s="205"/>
      <c r="E754" s="166"/>
      <c r="F754" s="206"/>
      <c r="G754" s="167"/>
      <c r="H754" s="166"/>
      <c r="I754" s="167"/>
      <c r="J754" s="168"/>
      <c r="K754" s="169"/>
      <c r="L754" s="207"/>
      <c r="M754" s="207"/>
    </row>
    <row r="755">
      <c r="A755" s="203"/>
      <c r="B755" s="204"/>
      <c r="C755" s="205"/>
      <c r="D755" s="205"/>
      <c r="E755" s="166"/>
      <c r="F755" s="206"/>
      <c r="G755" s="167"/>
      <c r="H755" s="166"/>
      <c r="I755" s="167"/>
      <c r="J755" s="168"/>
      <c r="K755" s="169"/>
      <c r="L755" s="207"/>
      <c r="M755" s="207"/>
    </row>
    <row r="756">
      <c r="A756" s="203"/>
      <c r="B756" s="204"/>
      <c r="C756" s="205"/>
      <c r="D756" s="205"/>
      <c r="E756" s="166"/>
      <c r="F756" s="206"/>
      <c r="G756" s="167"/>
      <c r="H756" s="166"/>
      <c r="I756" s="167"/>
      <c r="J756" s="168"/>
      <c r="K756" s="169"/>
      <c r="L756" s="207"/>
      <c r="M756" s="207"/>
    </row>
    <row r="757">
      <c r="A757" s="203"/>
      <c r="B757" s="204"/>
      <c r="C757" s="205"/>
      <c r="D757" s="205"/>
      <c r="E757" s="166"/>
      <c r="F757" s="206"/>
      <c r="G757" s="167"/>
      <c r="H757" s="166"/>
      <c r="I757" s="167"/>
      <c r="J757" s="168"/>
      <c r="K757" s="169"/>
      <c r="L757" s="207"/>
      <c r="M757" s="207"/>
    </row>
    <row r="758">
      <c r="A758" s="203"/>
      <c r="B758" s="204"/>
      <c r="C758" s="205"/>
      <c r="D758" s="205"/>
      <c r="E758" s="166"/>
      <c r="F758" s="206"/>
      <c r="G758" s="167"/>
      <c r="H758" s="166"/>
      <c r="I758" s="167"/>
      <c r="J758" s="168"/>
      <c r="K758" s="169"/>
      <c r="L758" s="207"/>
      <c r="M758" s="207"/>
    </row>
    <row r="759">
      <c r="A759" s="203"/>
      <c r="B759" s="204"/>
      <c r="C759" s="205"/>
      <c r="D759" s="205"/>
      <c r="E759" s="166"/>
      <c r="F759" s="206"/>
      <c r="G759" s="167"/>
      <c r="H759" s="166"/>
      <c r="I759" s="167"/>
      <c r="J759" s="168"/>
      <c r="K759" s="169"/>
      <c r="L759" s="207"/>
      <c r="M759" s="207"/>
    </row>
    <row r="760">
      <c r="A760" s="203"/>
      <c r="B760" s="204"/>
      <c r="C760" s="205"/>
      <c r="D760" s="205"/>
      <c r="E760" s="166"/>
      <c r="F760" s="206"/>
      <c r="G760" s="167"/>
      <c r="H760" s="166"/>
      <c r="I760" s="167"/>
      <c r="J760" s="168"/>
      <c r="K760" s="169"/>
      <c r="L760" s="207"/>
      <c r="M760" s="207"/>
    </row>
    <row r="761">
      <c r="A761" s="203"/>
      <c r="B761" s="204"/>
      <c r="C761" s="205"/>
      <c r="D761" s="205"/>
      <c r="E761" s="166"/>
      <c r="F761" s="206"/>
      <c r="G761" s="167"/>
      <c r="H761" s="166"/>
      <c r="I761" s="167"/>
      <c r="J761" s="168"/>
      <c r="K761" s="169"/>
      <c r="L761" s="207"/>
      <c r="M761" s="207"/>
    </row>
    <row r="762">
      <c r="A762" s="203"/>
      <c r="B762" s="204"/>
      <c r="C762" s="205"/>
      <c r="D762" s="205"/>
      <c r="E762" s="166"/>
      <c r="F762" s="206"/>
      <c r="G762" s="167"/>
      <c r="H762" s="166"/>
      <c r="I762" s="167"/>
      <c r="J762" s="168"/>
      <c r="K762" s="169"/>
      <c r="L762" s="207"/>
      <c r="M762" s="207"/>
    </row>
    <row r="763">
      <c r="A763" s="203"/>
      <c r="B763" s="204"/>
      <c r="C763" s="205"/>
      <c r="D763" s="205"/>
      <c r="E763" s="166"/>
      <c r="F763" s="206"/>
      <c r="G763" s="167"/>
      <c r="H763" s="166"/>
      <c r="I763" s="167"/>
      <c r="J763" s="168"/>
      <c r="K763" s="169"/>
      <c r="L763" s="207"/>
      <c r="M763" s="207"/>
    </row>
    <row r="764">
      <c r="A764" s="203"/>
      <c r="B764" s="204"/>
      <c r="C764" s="205"/>
      <c r="D764" s="205"/>
      <c r="E764" s="166"/>
      <c r="F764" s="206"/>
      <c r="G764" s="167"/>
      <c r="H764" s="166"/>
      <c r="I764" s="167"/>
      <c r="J764" s="168"/>
      <c r="K764" s="169"/>
      <c r="L764" s="207"/>
      <c r="M764" s="207"/>
    </row>
    <row r="765">
      <c r="A765" s="203"/>
      <c r="B765" s="204"/>
      <c r="C765" s="205"/>
      <c r="D765" s="205"/>
      <c r="E765" s="166"/>
      <c r="F765" s="206"/>
      <c r="G765" s="167"/>
      <c r="H765" s="166"/>
      <c r="I765" s="167"/>
      <c r="J765" s="168"/>
      <c r="K765" s="169"/>
      <c r="L765" s="207"/>
      <c r="M765" s="207"/>
    </row>
    <row r="766">
      <c r="A766" s="203"/>
      <c r="B766" s="204"/>
      <c r="C766" s="205"/>
      <c r="D766" s="205"/>
      <c r="E766" s="166"/>
      <c r="F766" s="206"/>
      <c r="G766" s="167"/>
      <c r="H766" s="166"/>
      <c r="I766" s="167"/>
      <c r="J766" s="168"/>
      <c r="K766" s="169"/>
      <c r="L766" s="207"/>
      <c r="M766" s="207"/>
    </row>
    <row r="767">
      <c r="A767" s="203"/>
      <c r="B767" s="204"/>
      <c r="C767" s="205"/>
      <c r="D767" s="205"/>
      <c r="E767" s="166"/>
      <c r="F767" s="206"/>
      <c r="G767" s="167"/>
      <c r="H767" s="166"/>
      <c r="I767" s="167"/>
      <c r="J767" s="168"/>
      <c r="K767" s="169"/>
      <c r="L767" s="207"/>
      <c r="M767" s="207"/>
    </row>
    <row r="768">
      <c r="A768" s="203"/>
      <c r="B768" s="204"/>
      <c r="C768" s="205"/>
      <c r="D768" s="205"/>
      <c r="E768" s="166"/>
      <c r="F768" s="206"/>
      <c r="G768" s="167"/>
      <c r="H768" s="166"/>
      <c r="I768" s="167"/>
      <c r="J768" s="168"/>
      <c r="K768" s="169"/>
      <c r="L768" s="207"/>
      <c r="M768" s="207"/>
    </row>
    <row r="769">
      <c r="A769" s="203"/>
      <c r="B769" s="204"/>
      <c r="C769" s="205"/>
      <c r="D769" s="205"/>
      <c r="E769" s="166"/>
      <c r="F769" s="206"/>
      <c r="G769" s="167"/>
      <c r="H769" s="166"/>
      <c r="I769" s="167"/>
      <c r="J769" s="168"/>
      <c r="K769" s="169"/>
      <c r="L769" s="207"/>
      <c r="M769" s="207"/>
    </row>
    <row r="770">
      <c r="A770" s="203"/>
      <c r="B770" s="204"/>
      <c r="C770" s="205"/>
      <c r="D770" s="205"/>
      <c r="E770" s="166"/>
      <c r="F770" s="206"/>
      <c r="G770" s="167"/>
      <c r="H770" s="166"/>
      <c r="I770" s="167"/>
      <c r="J770" s="168"/>
      <c r="K770" s="169"/>
      <c r="L770" s="207"/>
      <c r="M770" s="207"/>
    </row>
    <row r="771">
      <c r="A771" s="203"/>
      <c r="B771" s="204"/>
      <c r="C771" s="205"/>
      <c r="D771" s="205"/>
      <c r="E771" s="166"/>
      <c r="F771" s="206"/>
      <c r="G771" s="167"/>
      <c r="H771" s="166"/>
      <c r="I771" s="167"/>
      <c r="J771" s="168"/>
      <c r="K771" s="169"/>
      <c r="L771" s="207"/>
      <c r="M771" s="207"/>
    </row>
    <row r="772">
      <c r="A772" s="203"/>
      <c r="B772" s="204"/>
      <c r="C772" s="205"/>
      <c r="D772" s="205"/>
      <c r="E772" s="166"/>
      <c r="F772" s="206"/>
      <c r="G772" s="167"/>
      <c r="H772" s="166"/>
      <c r="I772" s="167"/>
      <c r="J772" s="168"/>
      <c r="K772" s="169"/>
      <c r="L772" s="207"/>
      <c r="M772" s="207"/>
    </row>
    <row r="773">
      <c r="A773" s="203"/>
      <c r="B773" s="204"/>
      <c r="C773" s="205"/>
      <c r="D773" s="205"/>
      <c r="E773" s="166"/>
      <c r="F773" s="206"/>
      <c r="G773" s="167"/>
      <c r="H773" s="166"/>
      <c r="I773" s="167"/>
      <c r="J773" s="168"/>
      <c r="K773" s="169"/>
      <c r="L773" s="207"/>
      <c r="M773" s="207"/>
    </row>
    <row r="774">
      <c r="A774" s="203"/>
      <c r="B774" s="204"/>
      <c r="C774" s="205"/>
      <c r="D774" s="205"/>
      <c r="E774" s="166"/>
      <c r="F774" s="206"/>
      <c r="G774" s="167"/>
      <c r="H774" s="166"/>
      <c r="I774" s="167"/>
      <c r="J774" s="168"/>
      <c r="K774" s="169"/>
      <c r="L774" s="207"/>
      <c r="M774" s="207"/>
    </row>
    <row r="775">
      <c r="A775" s="203"/>
      <c r="B775" s="204"/>
      <c r="C775" s="205"/>
      <c r="D775" s="205"/>
      <c r="E775" s="166"/>
      <c r="F775" s="206"/>
      <c r="G775" s="167"/>
      <c r="H775" s="166"/>
      <c r="I775" s="167"/>
      <c r="J775" s="168"/>
      <c r="K775" s="169"/>
      <c r="L775" s="207"/>
      <c r="M775" s="207"/>
    </row>
    <row r="776">
      <c r="A776" s="203"/>
      <c r="B776" s="204"/>
      <c r="C776" s="205"/>
      <c r="D776" s="205"/>
      <c r="E776" s="166"/>
      <c r="F776" s="206"/>
      <c r="G776" s="167"/>
      <c r="H776" s="166"/>
      <c r="I776" s="167"/>
      <c r="J776" s="168"/>
      <c r="K776" s="169"/>
      <c r="L776" s="207"/>
      <c r="M776" s="207"/>
    </row>
    <row r="777">
      <c r="A777" s="203"/>
      <c r="B777" s="204"/>
      <c r="C777" s="205"/>
      <c r="D777" s="205"/>
      <c r="E777" s="166"/>
      <c r="F777" s="206"/>
      <c r="G777" s="167"/>
      <c r="H777" s="166"/>
      <c r="I777" s="167"/>
      <c r="J777" s="168"/>
      <c r="K777" s="169"/>
      <c r="L777" s="207"/>
      <c r="M777" s="207"/>
    </row>
    <row r="778">
      <c r="A778" s="203"/>
      <c r="B778" s="204"/>
      <c r="C778" s="205"/>
      <c r="D778" s="205"/>
      <c r="E778" s="166"/>
      <c r="F778" s="206"/>
      <c r="G778" s="167"/>
      <c r="H778" s="166"/>
      <c r="I778" s="167"/>
      <c r="J778" s="168"/>
      <c r="K778" s="169"/>
      <c r="L778" s="207"/>
      <c r="M778" s="207"/>
    </row>
    <row r="779">
      <c r="A779" s="203"/>
      <c r="B779" s="204"/>
      <c r="C779" s="205"/>
      <c r="D779" s="205"/>
      <c r="E779" s="166"/>
      <c r="F779" s="206"/>
      <c r="G779" s="167"/>
      <c r="H779" s="166"/>
      <c r="I779" s="167"/>
      <c r="J779" s="168"/>
      <c r="K779" s="169"/>
      <c r="L779" s="207"/>
      <c r="M779" s="207"/>
    </row>
    <row r="780">
      <c r="A780" s="203"/>
      <c r="B780" s="204"/>
      <c r="C780" s="205"/>
      <c r="D780" s="205"/>
      <c r="E780" s="166"/>
      <c r="F780" s="206"/>
      <c r="G780" s="167"/>
      <c r="H780" s="166"/>
      <c r="I780" s="167"/>
      <c r="J780" s="168"/>
      <c r="K780" s="169"/>
      <c r="L780" s="207"/>
      <c r="M780" s="207"/>
    </row>
    <row r="781">
      <c r="A781" s="203"/>
      <c r="B781" s="204"/>
      <c r="C781" s="205"/>
      <c r="D781" s="205"/>
      <c r="E781" s="166"/>
      <c r="F781" s="206"/>
      <c r="G781" s="167"/>
      <c r="H781" s="166"/>
      <c r="I781" s="167"/>
      <c r="J781" s="168"/>
      <c r="K781" s="169"/>
      <c r="L781" s="207"/>
      <c r="M781" s="207"/>
    </row>
    <row r="782">
      <c r="A782" s="203"/>
      <c r="B782" s="204"/>
      <c r="C782" s="205"/>
      <c r="D782" s="205"/>
      <c r="E782" s="166"/>
      <c r="F782" s="206"/>
      <c r="G782" s="167"/>
      <c r="H782" s="166"/>
      <c r="I782" s="167"/>
      <c r="J782" s="168"/>
      <c r="K782" s="169"/>
      <c r="L782" s="207"/>
      <c r="M782" s="207"/>
    </row>
    <row r="783">
      <c r="A783" s="203"/>
      <c r="B783" s="204"/>
      <c r="C783" s="205"/>
      <c r="D783" s="205"/>
      <c r="E783" s="166"/>
      <c r="F783" s="206"/>
      <c r="G783" s="167"/>
      <c r="H783" s="166"/>
      <c r="I783" s="167"/>
      <c r="J783" s="168"/>
      <c r="K783" s="169"/>
      <c r="L783" s="207"/>
      <c r="M783" s="207"/>
    </row>
    <row r="784">
      <c r="A784" s="203"/>
      <c r="B784" s="204"/>
      <c r="C784" s="205"/>
      <c r="D784" s="205"/>
      <c r="E784" s="166"/>
      <c r="F784" s="206"/>
      <c r="G784" s="167"/>
      <c r="H784" s="166"/>
      <c r="I784" s="167"/>
      <c r="J784" s="168"/>
      <c r="K784" s="169"/>
      <c r="L784" s="207"/>
      <c r="M784" s="207"/>
    </row>
    <row r="785">
      <c r="A785" s="203"/>
      <c r="B785" s="204"/>
      <c r="C785" s="205"/>
      <c r="D785" s="205"/>
      <c r="E785" s="166"/>
      <c r="F785" s="206"/>
      <c r="G785" s="167"/>
      <c r="H785" s="166"/>
      <c r="I785" s="167"/>
      <c r="J785" s="168"/>
      <c r="K785" s="169"/>
      <c r="L785" s="207"/>
      <c r="M785" s="207"/>
    </row>
    <row r="786">
      <c r="A786" s="203"/>
      <c r="B786" s="204"/>
      <c r="C786" s="205"/>
      <c r="D786" s="205"/>
      <c r="E786" s="166"/>
      <c r="F786" s="206"/>
      <c r="G786" s="167"/>
      <c r="H786" s="166"/>
      <c r="I786" s="167"/>
      <c r="J786" s="168"/>
      <c r="K786" s="169"/>
      <c r="L786" s="207"/>
      <c r="M786" s="207"/>
    </row>
    <row r="787">
      <c r="A787" s="203"/>
      <c r="B787" s="204"/>
      <c r="C787" s="205"/>
      <c r="D787" s="205"/>
      <c r="E787" s="166"/>
      <c r="F787" s="206"/>
      <c r="G787" s="167"/>
      <c r="H787" s="166"/>
      <c r="I787" s="167"/>
      <c r="J787" s="168"/>
      <c r="K787" s="169"/>
      <c r="L787" s="207"/>
      <c r="M787" s="207"/>
    </row>
    <row r="788">
      <c r="A788" s="203"/>
      <c r="B788" s="204"/>
      <c r="C788" s="205"/>
      <c r="D788" s="205"/>
      <c r="E788" s="166"/>
      <c r="F788" s="206"/>
      <c r="G788" s="167"/>
      <c r="H788" s="166"/>
      <c r="I788" s="167"/>
      <c r="J788" s="168"/>
      <c r="K788" s="169"/>
      <c r="L788" s="207"/>
      <c r="M788" s="207"/>
    </row>
    <row r="789">
      <c r="A789" s="203"/>
      <c r="B789" s="204"/>
      <c r="C789" s="205"/>
      <c r="D789" s="205"/>
      <c r="E789" s="166"/>
      <c r="F789" s="206"/>
      <c r="G789" s="167"/>
      <c r="H789" s="166"/>
      <c r="I789" s="167"/>
      <c r="J789" s="168"/>
      <c r="K789" s="169"/>
      <c r="L789" s="207"/>
      <c r="M789" s="207"/>
    </row>
    <row r="790">
      <c r="A790" s="203"/>
      <c r="B790" s="204"/>
      <c r="C790" s="205"/>
      <c r="D790" s="205"/>
      <c r="E790" s="166"/>
      <c r="F790" s="206"/>
      <c r="G790" s="167"/>
      <c r="H790" s="166"/>
      <c r="I790" s="167"/>
      <c r="J790" s="168"/>
      <c r="K790" s="169"/>
      <c r="L790" s="207"/>
      <c r="M790" s="207"/>
    </row>
    <row r="791">
      <c r="A791" s="203"/>
      <c r="B791" s="204"/>
      <c r="C791" s="205"/>
      <c r="D791" s="205"/>
      <c r="E791" s="166"/>
      <c r="F791" s="206"/>
      <c r="G791" s="167"/>
      <c r="H791" s="166"/>
      <c r="I791" s="167"/>
      <c r="J791" s="168"/>
      <c r="K791" s="169"/>
      <c r="L791" s="207"/>
      <c r="M791" s="207"/>
    </row>
    <row r="792">
      <c r="A792" s="203"/>
      <c r="B792" s="204"/>
      <c r="C792" s="205"/>
      <c r="D792" s="205"/>
      <c r="E792" s="166"/>
      <c r="F792" s="206"/>
      <c r="G792" s="167"/>
      <c r="H792" s="166"/>
      <c r="I792" s="167"/>
      <c r="J792" s="168"/>
      <c r="K792" s="169"/>
      <c r="L792" s="207"/>
      <c r="M792" s="207"/>
    </row>
    <row r="793">
      <c r="A793" s="203"/>
      <c r="B793" s="204"/>
      <c r="C793" s="205"/>
      <c r="D793" s="205"/>
      <c r="E793" s="166"/>
      <c r="F793" s="206"/>
      <c r="G793" s="167"/>
      <c r="H793" s="166"/>
      <c r="I793" s="167"/>
      <c r="J793" s="168"/>
      <c r="K793" s="169"/>
      <c r="L793" s="207"/>
      <c r="M793" s="207"/>
    </row>
    <row r="794">
      <c r="A794" s="203"/>
      <c r="B794" s="204"/>
      <c r="C794" s="205"/>
      <c r="D794" s="205"/>
      <c r="E794" s="166"/>
      <c r="F794" s="206"/>
      <c r="G794" s="167"/>
      <c r="H794" s="166"/>
      <c r="I794" s="167"/>
      <c r="J794" s="168"/>
      <c r="K794" s="169"/>
      <c r="L794" s="207"/>
      <c r="M794" s="207"/>
    </row>
    <row r="795">
      <c r="A795" s="203"/>
      <c r="B795" s="204"/>
      <c r="C795" s="205"/>
      <c r="D795" s="205"/>
      <c r="E795" s="166"/>
      <c r="F795" s="206"/>
      <c r="G795" s="167"/>
      <c r="H795" s="166"/>
      <c r="I795" s="167"/>
      <c r="J795" s="168"/>
      <c r="K795" s="169"/>
      <c r="L795" s="207"/>
      <c r="M795" s="207"/>
    </row>
    <row r="796">
      <c r="A796" s="203"/>
      <c r="B796" s="204"/>
      <c r="C796" s="205"/>
      <c r="D796" s="205"/>
      <c r="E796" s="166"/>
      <c r="F796" s="206"/>
      <c r="G796" s="167"/>
      <c r="H796" s="166"/>
      <c r="I796" s="167"/>
      <c r="J796" s="168"/>
      <c r="K796" s="169"/>
      <c r="L796" s="207"/>
      <c r="M796" s="207"/>
    </row>
    <row r="797">
      <c r="A797" s="203"/>
      <c r="B797" s="204"/>
      <c r="C797" s="205"/>
      <c r="D797" s="205"/>
      <c r="E797" s="166"/>
      <c r="F797" s="206"/>
      <c r="G797" s="167"/>
      <c r="H797" s="166"/>
      <c r="I797" s="167"/>
      <c r="J797" s="168"/>
      <c r="K797" s="169"/>
      <c r="L797" s="207"/>
      <c r="M797" s="207"/>
    </row>
    <row r="798">
      <c r="A798" s="203"/>
      <c r="B798" s="204"/>
      <c r="C798" s="205"/>
      <c r="D798" s="205"/>
      <c r="E798" s="166"/>
      <c r="F798" s="206"/>
      <c r="G798" s="167"/>
      <c r="H798" s="166"/>
      <c r="I798" s="167"/>
      <c r="J798" s="168"/>
      <c r="K798" s="169"/>
      <c r="L798" s="207"/>
      <c r="M798" s="207"/>
    </row>
    <row r="799">
      <c r="A799" s="203"/>
      <c r="B799" s="204"/>
      <c r="C799" s="205"/>
      <c r="D799" s="205"/>
      <c r="E799" s="166"/>
      <c r="F799" s="206"/>
      <c r="G799" s="167"/>
      <c r="H799" s="166"/>
      <c r="I799" s="167"/>
      <c r="J799" s="168"/>
      <c r="K799" s="169"/>
      <c r="L799" s="207"/>
      <c r="M799" s="207"/>
    </row>
    <row r="800">
      <c r="A800" s="203"/>
      <c r="B800" s="204"/>
      <c r="C800" s="205"/>
      <c r="D800" s="205"/>
      <c r="E800" s="166"/>
      <c r="F800" s="206"/>
      <c r="G800" s="167"/>
      <c r="H800" s="166"/>
      <c r="I800" s="167"/>
      <c r="J800" s="168"/>
      <c r="K800" s="169"/>
      <c r="L800" s="207"/>
      <c r="M800" s="207"/>
    </row>
    <row r="801">
      <c r="A801" s="203"/>
      <c r="B801" s="204"/>
      <c r="C801" s="205"/>
      <c r="D801" s="205"/>
      <c r="E801" s="166"/>
      <c r="F801" s="206"/>
      <c r="G801" s="167"/>
      <c r="H801" s="166"/>
      <c r="I801" s="167"/>
      <c r="J801" s="168"/>
      <c r="K801" s="169"/>
      <c r="L801" s="207"/>
      <c r="M801" s="207"/>
    </row>
    <row r="802">
      <c r="A802" s="203"/>
      <c r="B802" s="204"/>
      <c r="C802" s="205"/>
      <c r="D802" s="205"/>
      <c r="E802" s="166"/>
      <c r="F802" s="206"/>
      <c r="G802" s="167"/>
      <c r="H802" s="166"/>
      <c r="I802" s="167"/>
      <c r="J802" s="168"/>
      <c r="K802" s="169"/>
      <c r="L802" s="207"/>
      <c r="M802" s="207"/>
    </row>
    <row r="803">
      <c r="A803" s="203"/>
      <c r="B803" s="204"/>
      <c r="C803" s="205"/>
      <c r="D803" s="205"/>
      <c r="E803" s="166"/>
      <c r="F803" s="206"/>
      <c r="G803" s="167"/>
      <c r="H803" s="166"/>
      <c r="I803" s="167"/>
      <c r="J803" s="168"/>
      <c r="K803" s="169"/>
      <c r="L803" s="207"/>
      <c r="M803" s="207"/>
    </row>
    <row r="804">
      <c r="A804" s="203"/>
      <c r="B804" s="204"/>
      <c r="C804" s="205"/>
      <c r="D804" s="205"/>
      <c r="E804" s="166"/>
      <c r="F804" s="206"/>
      <c r="G804" s="167"/>
      <c r="H804" s="166"/>
      <c r="I804" s="167"/>
      <c r="J804" s="168"/>
      <c r="K804" s="169"/>
      <c r="L804" s="207"/>
      <c r="M804" s="207"/>
    </row>
    <row r="805">
      <c r="A805" s="203"/>
      <c r="B805" s="204"/>
      <c r="C805" s="205"/>
      <c r="D805" s="205"/>
      <c r="E805" s="166"/>
      <c r="F805" s="206"/>
      <c r="G805" s="167"/>
      <c r="H805" s="166"/>
      <c r="I805" s="167"/>
      <c r="J805" s="168"/>
      <c r="K805" s="169"/>
      <c r="L805" s="207"/>
      <c r="M805" s="207"/>
    </row>
    <row r="806">
      <c r="A806" s="203"/>
      <c r="B806" s="204"/>
      <c r="C806" s="205"/>
      <c r="D806" s="205"/>
      <c r="E806" s="166"/>
      <c r="F806" s="206"/>
      <c r="G806" s="167"/>
      <c r="H806" s="166"/>
      <c r="I806" s="167"/>
      <c r="J806" s="168"/>
      <c r="K806" s="169"/>
      <c r="L806" s="207"/>
      <c r="M806" s="207"/>
    </row>
    <row r="807">
      <c r="A807" s="203"/>
      <c r="B807" s="204"/>
      <c r="C807" s="205"/>
      <c r="D807" s="205"/>
      <c r="E807" s="166"/>
      <c r="F807" s="206"/>
      <c r="G807" s="167"/>
      <c r="H807" s="166"/>
      <c r="I807" s="167"/>
      <c r="J807" s="168"/>
      <c r="K807" s="169"/>
      <c r="L807" s="207"/>
      <c r="M807" s="207"/>
    </row>
    <row r="808">
      <c r="A808" s="203"/>
      <c r="B808" s="204"/>
      <c r="C808" s="205"/>
      <c r="D808" s="205"/>
      <c r="E808" s="166"/>
      <c r="F808" s="206"/>
      <c r="G808" s="167"/>
      <c r="H808" s="166"/>
      <c r="I808" s="167"/>
      <c r="J808" s="168"/>
      <c r="K808" s="169"/>
      <c r="L808" s="207"/>
      <c r="M808" s="207"/>
    </row>
    <row r="809">
      <c r="A809" s="203"/>
      <c r="B809" s="204"/>
      <c r="C809" s="205"/>
      <c r="D809" s="205"/>
      <c r="E809" s="166"/>
      <c r="F809" s="206"/>
      <c r="G809" s="167"/>
      <c r="H809" s="166"/>
      <c r="I809" s="167"/>
      <c r="J809" s="168"/>
      <c r="K809" s="169"/>
      <c r="L809" s="207"/>
      <c r="M809" s="207"/>
    </row>
    <row r="810">
      <c r="A810" s="203"/>
      <c r="B810" s="204"/>
      <c r="C810" s="205"/>
      <c r="D810" s="205"/>
      <c r="E810" s="166"/>
      <c r="F810" s="206"/>
      <c r="G810" s="167"/>
      <c r="H810" s="166"/>
      <c r="I810" s="167"/>
      <c r="J810" s="168"/>
      <c r="K810" s="169"/>
      <c r="L810" s="207"/>
      <c r="M810" s="207"/>
    </row>
    <row r="811">
      <c r="A811" s="203"/>
      <c r="B811" s="204"/>
      <c r="C811" s="205"/>
      <c r="D811" s="205"/>
      <c r="E811" s="166"/>
      <c r="F811" s="206"/>
      <c r="G811" s="167"/>
      <c r="H811" s="166"/>
      <c r="I811" s="167"/>
      <c r="J811" s="168"/>
      <c r="K811" s="169"/>
      <c r="L811" s="207"/>
      <c r="M811" s="207"/>
    </row>
    <row r="812">
      <c r="A812" s="203"/>
      <c r="B812" s="204"/>
      <c r="C812" s="205"/>
      <c r="D812" s="205"/>
      <c r="E812" s="166"/>
      <c r="F812" s="206"/>
      <c r="G812" s="167"/>
      <c r="H812" s="166"/>
      <c r="I812" s="167"/>
      <c r="J812" s="168"/>
      <c r="K812" s="169"/>
      <c r="L812" s="207"/>
      <c r="M812" s="207"/>
    </row>
    <row r="813">
      <c r="A813" s="203"/>
      <c r="B813" s="204"/>
      <c r="C813" s="205"/>
      <c r="D813" s="205"/>
      <c r="E813" s="166"/>
      <c r="F813" s="206"/>
      <c r="G813" s="167"/>
      <c r="H813" s="166"/>
      <c r="I813" s="167"/>
      <c r="J813" s="168"/>
      <c r="K813" s="169"/>
      <c r="L813" s="207"/>
      <c r="M813" s="207"/>
    </row>
    <row r="814">
      <c r="A814" s="203"/>
      <c r="B814" s="204"/>
      <c r="C814" s="205"/>
      <c r="D814" s="205"/>
      <c r="E814" s="166"/>
      <c r="F814" s="206"/>
      <c r="G814" s="167"/>
      <c r="H814" s="166"/>
      <c r="I814" s="167"/>
      <c r="J814" s="168"/>
      <c r="K814" s="169"/>
      <c r="L814" s="207"/>
      <c r="M814" s="207"/>
    </row>
    <row r="815">
      <c r="A815" s="203"/>
      <c r="B815" s="204"/>
      <c r="C815" s="205"/>
      <c r="D815" s="205"/>
      <c r="E815" s="166"/>
      <c r="F815" s="206"/>
      <c r="G815" s="167"/>
      <c r="H815" s="166"/>
      <c r="I815" s="167"/>
      <c r="J815" s="168"/>
      <c r="K815" s="169"/>
      <c r="L815" s="207"/>
      <c r="M815" s="207"/>
    </row>
    <row r="816">
      <c r="A816" s="203"/>
      <c r="B816" s="204"/>
      <c r="C816" s="205"/>
      <c r="D816" s="205"/>
      <c r="E816" s="166"/>
      <c r="F816" s="206"/>
      <c r="G816" s="167"/>
      <c r="H816" s="166"/>
      <c r="I816" s="167"/>
      <c r="J816" s="168"/>
      <c r="K816" s="169"/>
      <c r="L816" s="207"/>
      <c r="M816" s="207"/>
    </row>
    <row r="817">
      <c r="A817" s="203"/>
      <c r="B817" s="204"/>
      <c r="C817" s="205"/>
      <c r="D817" s="205"/>
      <c r="E817" s="166"/>
      <c r="F817" s="206"/>
      <c r="G817" s="167"/>
      <c r="H817" s="166"/>
      <c r="I817" s="167"/>
      <c r="J817" s="168"/>
      <c r="K817" s="169"/>
      <c r="L817" s="207"/>
      <c r="M817" s="207"/>
    </row>
    <row r="818">
      <c r="A818" s="203"/>
      <c r="B818" s="204"/>
      <c r="C818" s="205"/>
      <c r="D818" s="205"/>
      <c r="E818" s="166"/>
      <c r="F818" s="206"/>
      <c r="G818" s="167"/>
      <c r="H818" s="166"/>
      <c r="I818" s="167"/>
      <c r="J818" s="168"/>
      <c r="K818" s="169"/>
      <c r="L818" s="207"/>
      <c r="M818" s="207"/>
    </row>
    <row r="819">
      <c r="A819" s="203"/>
      <c r="B819" s="204"/>
      <c r="C819" s="205"/>
      <c r="D819" s="205"/>
      <c r="E819" s="166"/>
      <c r="F819" s="206"/>
      <c r="G819" s="167"/>
      <c r="H819" s="166"/>
      <c r="I819" s="167"/>
      <c r="J819" s="168"/>
      <c r="K819" s="169"/>
      <c r="L819" s="207"/>
      <c r="M819" s="207"/>
    </row>
    <row r="820">
      <c r="A820" s="203"/>
      <c r="B820" s="204"/>
      <c r="C820" s="205"/>
      <c r="D820" s="205"/>
      <c r="E820" s="166"/>
      <c r="F820" s="206"/>
      <c r="G820" s="167"/>
      <c r="H820" s="166"/>
      <c r="I820" s="167"/>
      <c r="J820" s="168"/>
      <c r="K820" s="169"/>
      <c r="L820" s="207"/>
      <c r="M820" s="207"/>
    </row>
    <row r="821">
      <c r="A821" s="203"/>
      <c r="B821" s="204"/>
      <c r="C821" s="205"/>
      <c r="D821" s="205"/>
      <c r="E821" s="166"/>
      <c r="F821" s="206"/>
      <c r="G821" s="167"/>
      <c r="H821" s="166"/>
      <c r="I821" s="167"/>
      <c r="J821" s="168"/>
      <c r="K821" s="169"/>
      <c r="L821" s="207"/>
      <c r="M821" s="207"/>
    </row>
    <row r="822">
      <c r="A822" s="203"/>
      <c r="B822" s="204"/>
      <c r="C822" s="205"/>
      <c r="D822" s="205"/>
      <c r="E822" s="166"/>
      <c r="F822" s="206"/>
      <c r="G822" s="167"/>
      <c r="H822" s="166"/>
      <c r="I822" s="167"/>
      <c r="J822" s="168"/>
      <c r="K822" s="169"/>
      <c r="L822" s="207"/>
      <c r="M822" s="207"/>
    </row>
    <row r="823">
      <c r="A823" s="203"/>
      <c r="B823" s="204"/>
      <c r="C823" s="205"/>
      <c r="D823" s="205"/>
      <c r="E823" s="166"/>
      <c r="F823" s="206"/>
      <c r="G823" s="167"/>
      <c r="H823" s="166"/>
      <c r="I823" s="167"/>
      <c r="J823" s="168"/>
      <c r="K823" s="169"/>
      <c r="L823" s="207"/>
      <c r="M823" s="207"/>
    </row>
    <row r="824">
      <c r="A824" s="203"/>
      <c r="B824" s="204"/>
      <c r="C824" s="205"/>
      <c r="D824" s="205"/>
      <c r="E824" s="166"/>
      <c r="F824" s="206"/>
      <c r="G824" s="167"/>
      <c r="H824" s="166"/>
      <c r="I824" s="167"/>
      <c r="J824" s="168"/>
      <c r="K824" s="169"/>
      <c r="L824" s="207"/>
      <c r="M824" s="207"/>
    </row>
    <row r="825">
      <c r="A825" s="203"/>
      <c r="B825" s="204"/>
      <c r="C825" s="205"/>
      <c r="D825" s="205"/>
      <c r="E825" s="166"/>
      <c r="F825" s="206"/>
      <c r="G825" s="167"/>
      <c r="H825" s="166"/>
      <c r="I825" s="167"/>
      <c r="J825" s="168"/>
      <c r="K825" s="169"/>
      <c r="L825" s="207"/>
      <c r="M825" s="207"/>
    </row>
    <row r="826">
      <c r="A826" s="203"/>
      <c r="B826" s="204"/>
      <c r="C826" s="205"/>
      <c r="D826" s="205"/>
      <c r="E826" s="166"/>
      <c r="F826" s="206"/>
      <c r="G826" s="167"/>
      <c r="H826" s="166"/>
      <c r="I826" s="167"/>
      <c r="J826" s="168"/>
      <c r="K826" s="169"/>
      <c r="L826" s="207"/>
      <c r="M826" s="207"/>
    </row>
    <row r="827">
      <c r="A827" s="203"/>
      <c r="B827" s="204"/>
      <c r="C827" s="205"/>
      <c r="D827" s="205"/>
      <c r="E827" s="166"/>
      <c r="F827" s="206"/>
      <c r="G827" s="167"/>
      <c r="H827" s="166"/>
      <c r="I827" s="167"/>
      <c r="J827" s="168"/>
      <c r="K827" s="169"/>
      <c r="L827" s="207"/>
      <c r="M827" s="207"/>
    </row>
    <row r="828">
      <c r="A828" s="203"/>
      <c r="B828" s="204"/>
      <c r="C828" s="205"/>
      <c r="D828" s="205"/>
      <c r="E828" s="166"/>
      <c r="F828" s="206"/>
      <c r="G828" s="167"/>
      <c r="H828" s="166"/>
      <c r="I828" s="167"/>
      <c r="J828" s="168"/>
      <c r="K828" s="169"/>
      <c r="L828" s="207"/>
      <c r="M828" s="207"/>
    </row>
    <row r="829">
      <c r="A829" s="203"/>
      <c r="B829" s="204"/>
      <c r="C829" s="205"/>
      <c r="D829" s="205"/>
      <c r="E829" s="166"/>
      <c r="F829" s="206"/>
      <c r="G829" s="167"/>
      <c r="H829" s="166"/>
      <c r="I829" s="167"/>
      <c r="J829" s="168"/>
      <c r="K829" s="169"/>
      <c r="L829" s="207"/>
      <c r="M829" s="207"/>
    </row>
    <row r="830">
      <c r="A830" s="203"/>
      <c r="B830" s="204"/>
      <c r="C830" s="205"/>
      <c r="D830" s="205"/>
      <c r="E830" s="166"/>
      <c r="F830" s="206"/>
      <c r="G830" s="167"/>
      <c r="H830" s="166"/>
      <c r="I830" s="167"/>
      <c r="J830" s="168"/>
      <c r="K830" s="169"/>
      <c r="L830" s="207"/>
      <c r="M830" s="207"/>
    </row>
    <row r="831">
      <c r="A831" s="203"/>
      <c r="B831" s="204"/>
      <c r="C831" s="205"/>
      <c r="D831" s="205"/>
      <c r="E831" s="166"/>
      <c r="F831" s="206"/>
      <c r="G831" s="167"/>
      <c r="H831" s="166"/>
      <c r="I831" s="167"/>
      <c r="J831" s="168"/>
      <c r="K831" s="169"/>
      <c r="L831" s="207"/>
      <c r="M831" s="207"/>
    </row>
    <row r="832">
      <c r="A832" s="203"/>
      <c r="B832" s="204"/>
      <c r="C832" s="205"/>
      <c r="D832" s="205"/>
      <c r="E832" s="166"/>
      <c r="F832" s="206"/>
      <c r="G832" s="167"/>
      <c r="H832" s="166"/>
      <c r="I832" s="167"/>
      <c r="J832" s="168"/>
      <c r="K832" s="169"/>
      <c r="L832" s="207"/>
      <c r="M832" s="207"/>
    </row>
    <row r="833">
      <c r="A833" s="203"/>
      <c r="B833" s="204"/>
      <c r="C833" s="205"/>
      <c r="D833" s="205"/>
      <c r="E833" s="166"/>
      <c r="F833" s="206"/>
      <c r="G833" s="167"/>
      <c r="H833" s="166"/>
      <c r="I833" s="167"/>
      <c r="J833" s="168"/>
      <c r="K833" s="169"/>
      <c r="L833" s="207"/>
      <c r="M833" s="207"/>
    </row>
    <row r="834">
      <c r="A834" s="203"/>
      <c r="B834" s="204"/>
      <c r="C834" s="205"/>
      <c r="D834" s="205"/>
      <c r="E834" s="166"/>
      <c r="F834" s="206"/>
      <c r="G834" s="167"/>
      <c r="H834" s="166"/>
      <c r="I834" s="167"/>
      <c r="J834" s="168"/>
      <c r="K834" s="169"/>
      <c r="L834" s="207"/>
      <c r="M834" s="207"/>
    </row>
    <row r="835">
      <c r="A835" s="203"/>
      <c r="B835" s="204"/>
      <c r="C835" s="205"/>
      <c r="D835" s="205"/>
      <c r="E835" s="166"/>
      <c r="F835" s="206"/>
      <c r="G835" s="167"/>
      <c r="H835" s="166"/>
      <c r="I835" s="167"/>
      <c r="J835" s="168"/>
      <c r="K835" s="169"/>
      <c r="L835" s="207"/>
      <c r="M835" s="207"/>
    </row>
    <row r="836">
      <c r="A836" s="203"/>
      <c r="B836" s="204"/>
      <c r="C836" s="205"/>
      <c r="D836" s="205"/>
      <c r="E836" s="166"/>
      <c r="F836" s="206"/>
      <c r="G836" s="167"/>
      <c r="H836" s="166"/>
      <c r="I836" s="167"/>
      <c r="J836" s="168"/>
      <c r="K836" s="169"/>
      <c r="L836" s="207"/>
      <c r="M836" s="207"/>
    </row>
    <row r="837">
      <c r="A837" s="203"/>
      <c r="B837" s="204"/>
      <c r="C837" s="205"/>
      <c r="D837" s="205"/>
      <c r="E837" s="166"/>
      <c r="F837" s="206"/>
      <c r="G837" s="167"/>
      <c r="H837" s="166"/>
      <c r="I837" s="167"/>
      <c r="J837" s="168"/>
      <c r="K837" s="169"/>
      <c r="L837" s="207"/>
      <c r="M837" s="207"/>
    </row>
    <row r="838">
      <c r="A838" s="203"/>
      <c r="B838" s="204"/>
      <c r="C838" s="205"/>
      <c r="D838" s="205"/>
      <c r="E838" s="166"/>
      <c r="F838" s="206"/>
      <c r="G838" s="167"/>
      <c r="H838" s="166"/>
      <c r="I838" s="167"/>
      <c r="J838" s="168"/>
      <c r="K838" s="169"/>
      <c r="L838" s="207"/>
      <c r="M838" s="207"/>
    </row>
    <row r="839">
      <c r="A839" s="203"/>
      <c r="B839" s="204"/>
      <c r="C839" s="205"/>
      <c r="D839" s="205"/>
      <c r="E839" s="166"/>
      <c r="F839" s="206"/>
      <c r="G839" s="167"/>
      <c r="H839" s="166"/>
      <c r="I839" s="167"/>
      <c r="J839" s="168"/>
      <c r="K839" s="169"/>
      <c r="L839" s="207"/>
      <c r="M839" s="207"/>
    </row>
    <row r="840">
      <c r="A840" s="203"/>
      <c r="B840" s="204"/>
      <c r="C840" s="205"/>
      <c r="D840" s="205"/>
      <c r="E840" s="166"/>
      <c r="F840" s="206"/>
      <c r="G840" s="167"/>
      <c r="H840" s="166"/>
      <c r="I840" s="167"/>
      <c r="J840" s="168"/>
      <c r="K840" s="169"/>
      <c r="L840" s="207"/>
      <c r="M840" s="207"/>
    </row>
    <row r="841">
      <c r="A841" s="203"/>
      <c r="B841" s="204"/>
      <c r="C841" s="205"/>
      <c r="D841" s="205"/>
      <c r="E841" s="166"/>
      <c r="F841" s="206"/>
      <c r="G841" s="167"/>
      <c r="H841" s="166"/>
      <c r="I841" s="167"/>
      <c r="J841" s="168"/>
      <c r="K841" s="169"/>
      <c r="L841" s="207"/>
      <c r="M841" s="207"/>
    </row>
    <row r="842">
      <c r="A842" s="203"/>
      <c r="B842" s="204"/>
      <c r="C842" s="205"/>
      <c r="D842" s="205"/>
      <c r="E842" s="166"/>
      <c r="F842" s="206"/>
      <c r="G842" s="167"/>
      <c r="H842" s="166"/>
      <c r="I842" s="167"/>
      <c r="J842" s="168"/>
      <c r="K842" s="169"/>
      <c r="L842" s="207"/>
      <c r="M842" s="207"/>
    </row>
    <row r="843">
      <c r="A843" s="203"/>
      <c r="B843" s="204"/>
      <c r="C843" s="205"/>
      <c r="D843" s="205"/>
      <c r="E843" s="166"/>
      <c r="F843" s="206"/>
      <c r="G843" s="167"/>
      <c r="H843" s="166"/>
      <c r="I843" s="167"/>
      <c r="J843" s="168"/>
      <c r="K843" s="169"/>
      <c r="L843" s="207"/>
      <c r="M843" s="207"/>
    </row>
    <row r="844">
      <c r="A844" s="203"/>
      <c r="B844" s="204"/>
      <c r="C844" s="205"/>
      <c r="D844" s="205"/>
      <c r="E844" s="166"/>
      <c r="F844" s="206"/>
      <c r="G844" s="167"/>
      <c r="H844" s="166"/>
      <c r="I844" s="167"/>
      <c r="J844" s="168"/>
      <c r="K844" s="169"/>
      <c r="L844" s="207"/>
      <c r="M844" s="207"/>
    </row>
    <row r="845">
      <c r="A845" s="203"/>
      <c r="B845" s="204"/>
      <c r="C845" s="205"/>
      <c r="D845" s="205"/>
      <c r="E845" s="166"/>
      <c r="F845" s="206"/>
      <c r="G845" s="167"/>
      <c r="H845" s="166"/>
      <c r="I845" s="167"/>
      <c r="J845" s="168"/>
      <c r="K845" s="169"/>
      <c r="L845" s="207"/>
      <c r="M845" s="207"/>
    </row>
    <row r="846">
      <c r="A846" s="203"/>
      <c r="B846" s="204"/>
      <c r="C846" s="205"/>
      <c r="D846" s="205"/>
      <c r="E846" s="166"/>
      <c r="F846" s="206"/>
      <c r="G846" s="167"/>
      <c r="H846" s="166"/>
      <c r="I846" s="167"/>
      <c r="J846" s="168"/>
      <c r="K846" s="169"/>
      <c r="L846" s="207"/>
      <c r="M846" s="207"/>
    </row>
    <row r="847">
      <c r="A847" s="203"/>
      <c r="B847" s="204"/>
      <c r="C847" s="205"/>
      <c r="D847" s="205"/>
      <c r="E847" s="166"/>
      <c r="F847" s="206"/>
      <c r="G847" s="167"/>
      <c r="H847" s="166"/>
      <c r="I847" s="167"/>
      <c r="J847" s="168"/>
      <c r="K847" s="169"/>
      <c r="L847" s="207"/>
      <c r="M847" s="207"/>
    </row>
    <row r="848">
      <c r="A848" s="203"/>
      <c r="B848" s="204"/>
      <c r="C848" s="205"/>
      <c r="D848" s="205"/>
      <c r="E848" s="166"/>
      <c r="F848" s="206"/>
      <c r="G848" s="167"/>
      <c r="H848" s="166"/>
      <c r="I848" s="167"/>
      <c r="J848" s="168"/>
      <c r="K848" s="169"/>
      <c r="L848" s="207"/>
      <c r="M848" s="207"/>
    </row>
    <row r="849">
      <c r="A849" s="203"/>
      <c r="B849" s="204"/>
      <c r="C849" s="205"/>
      <c r="D849" s="205"/>
      <c r="E849" s="166"/>
      <c r="F849" s="206"/>
      <c r="G849" s="167"/>
      <c r="H849" s="166"/>
      <c r="I849" s="167"/>
      <c r="J849" s="168"/>
      <c r="K849" s="169"/>
      <c r="L849" s="207"/>
      <c r="M849" s="207"/>
    </row>
    <row r="850">
      <c r="A850" s="203"/>
      <c r="B850" s="204"/>
      <c r="C850" s="205"/>
      <c r="D850" s="205"/>
      <c r="E850" s="166"/>
      <c r="F850" s="206"/>
      <c r="G850" s="167"/>
      <c r="H850" s="166"/>
      <c r="I850" s="167"/>
      <c r="J850" s="168"/>
      <c r="K850" s="169"/>
      <c r="L850" s="207"/>
      <c r="M850" s="207"/>
    </row>
    <row r="851">
      <c r="A851" s="203"/>
      <c r="B851" s="204"/>
      <c r="C851" s="205"/>
      <c r="D851" s="205"/>
      <c r="E851" s="166"/>
      <c r="F851" s="206"/>
      <c r="G851" s="167"/>
      <c r="H851" s="166"/>
      <c r="I851" s="167"/>
      <c r="J851" s="168"/>
      <c r="K851" s="169"/>
      <c r="L851" s="207"/>
      <c r="M851" s="207"/>
    </row>
    <row r="852">
      <c r="A852" s="203"/>
      <c r="B852" s="204"/>
      <c r="C852" s="205"/>
      <c r="D852" s="205"/>
      <c r="E852" s="166"/>
      <c r="F852" s="206"/>
      <c r="G852" s="167"/>
      <c r="H852" s="166"/>
      <c r="I852" s="167"/>
      <c r="J852" s="168"/>
      <c r="K852" s="169"/>
      <c r="L852" s="207"/>
      <c r="M852" s="207"/>
    </row>
    <row r="853">
      <c r="A853" s="203"/>
      <c r="B853" s="204"/>
      <c r="C853" s="205"/>
      <c r="D853" s="205"/>
      <c r="E853" s="166"/>
      <c r="F853" s="206"/>
      <c r="G853" s="167"/>
      <c r="H853" s="166"/>
      <c r="I853" s="167"/>
      <c r="J853" s="168"/>
      <c r="K853" s="169"/>
      <c r="L853" s="207"/>
      <c r="M853" s="207"/>
    </row>
    <row r="854">
      <c r="A854" s="203"/>
      <c r="B854" s="204"/>
      <c r="C854" s="205"/>
      <c r="D854" s="205"/>
      <c r="E854" s="166"/>
      <c r="F854" s="206"/>
      <c r="G854" s="167"/>
      <c r="H854" s="166"/>
      <c r="I854" s="167"/>
      <c r="J854" s="168"/>
      <c r="K854" s="169"/>
      <c r="L854" s="207"/>
      <c r="M854" s="207"/>
    </row>
    <row r="855">
      <c r="A855" s="203"/>
      <c r="B855" s="204"/>
      <c r="C855" s="205"/>
      <c r="D855" s="205"/>
      <c r="E855" s="166"/>
      <c r="F855" s="206"/>
      <c r="G855" s="167"/>
      <c r="H855" s="166"/>
      <c r="I855" s="167"/>
      <c r="J855" s="168"/>
      <c r="K855" s="169"/>
      <c r="L855" s="207"/>
      <c r="M855" s="207"/>
    </row>
    <row r="856">
      <c r="A856" s="203"/>
      <c r="B856" s="204"/>
      <c r="C856" s="205"/>
      <c r="D856" s="205"/>
      <c r="E856" s="166"/>
      <c r="F856" s="206"/>
      <c r="G856" s="167"/>
      <c r="H856" s="166"/>
      <c r="I856" s="167"/>
      <c r="J856" s="168"/>
      <c r="K856" s="169"/>
      <c r="L856" s="207"/>
      <c r="M856" s="207"/>
    </row>
    <row r="857">
      <c r="A857" s="203"/>
      <c r="B857" s="204"/>
      <c r="C857" s="205"/>
      <c r="D857" s="205"/>
      <c r="E857" s="166"/>
      <c r="F857" s="206"/>
      <c r="G857" s="167"/>
      <c r="H857" s="166"/>
      <c r="I857" s="167"/>
      <c r="J857" s="168"/>
      <c r="K857" s="169"/>
      <c r="L857" s="207"/>
      <c r="M857" s="207"/>
    </row>
    <row r="858">
      <c r="A858" s="203"/>
      <c r="B858" s="204"/>
      <c r="C858" s="205"/>
      <c r="D858" s="205"/>
      <c r="E858" s="166"/>
      <c r="F858" s="206"/>
      <c r="G858" s="167"/>
      <c r="H858" s="166"/>
      <c r="I858" s="167"/>
      <c r="J858" s="168"/>
      <c r="K858" s="169"/>
      <c r="L858" s="207"/>
      <c r="M858" s="207"/>
    </row>
    <row r="859">
      <c r="A859" s="203"/>
      <c r="B859" s="204"/>
      <c r="C859" s="205"/>
      <c r="D859" s="205"/>
      <c r="E859" s="166"/>
      <c r="F859" s="206"/>
      <c r="G859" s="167"/>
      <c r="H859" s="166"/>
      <c r="I859" s="167"/>
      <c r="J859" s="168"/>
      <c r="K859" s="169"/>
      <c r="L859" s="207"/>
      <c r="M859" s="207"/>
    </row>
    <row r="860">
      <c r="A860" s="203"/>
      <c r="B860" s="204"/>
      <c r="C860" s="205"/>
      <c r="D860" s="205"/>
      <c r="E860" s="166"/>
      <c r="F860" s="206"/>
      <c r="G860" s="167"/>
      <c r="H860" s="166"/>
      <c r="I860" s="167"/>
      <c r="J860" s="168"/>
      <c r="K860" s="169"/>
      <c r="L860" s="207"/>
      <c r="M860" s="207"/>
    </row>
    <row r="861">
      <c r="A861" s="203"/>
      <c r="B861" s="204"/>
      <c r="C861" s="205"/>
      <c r="D861" s="205"/>
      <c r="E861" s="166"/>
      <c r="F861" s="206"/>
      <c r="G861" s="167"/>
      <c r="H861" s="166"/>
      <c r="I861" s="167"/>
      <c r="J861" s="168"/>
      <c r="K861" s="169"/>
      <c r="L861" s="207"/>
      <c r="M861" s="207"/>
    </row>
    <row r="862">
      <c r="A862" s="203"/>
      <c r="B862" s="204"/>
      <c r="C862" s="205"/>
      <c r="D862" s="205"/>
      <c r="E862" s="166"/>
      <c r="F862" s="206"/>
      <c r="G862" s="167"/>
      <c r="H862" s="166"/>
      <c r="I862" s="167"/>
      <c r="J862" s="168"/>
      <c r="K862" s="169"/>
      <c r="L862" s="207"/>
      <c r="M862" s="207"/>
    </row>
    <row r="863">
      <c r="A863" s="203"/>
      <c r="B863" s="204"/>
      <c r="C863" s="205"/>
      <c r="D863" s="205"/>
      <c r="E863" s="166"/>
      <c r="F863" s="206"/>
      <c r="G863" s="167"/>
      <c r="H863" s="166"/>
      <c r="I863" s="167"/>
      <c r="J863" s="168"/>
      <c r="K863" s="169"/>
      <c r="L863" s="207"/>
      <c r="M863" s="207"/>
    </row>
    <row r="864">
      <c r="A864" s="203"/>
      <c r="B864" s="204"/>
      <c r="C864" s="205"/>
      <c r="D864" s="205"/>
      <c r="E864" s="166"/>
      <c r="F864" s="206"/>
      <c r="G864" s="167"/>
      <c r="H864" s="166"/>
      <c r="I864" s="167"/>
      <c r="J864" s="168"/>
      <c r="K864" s="169"/>
      <c r="L864" s="207"/>
      <c r="M864" s="207"/>
    </row>
    <row r="865">
      <c r="A865" s="203"/>
      <c r="B865" s="204"/>
      <c r="C865" s="205"/>
      <c r="D865" s="205"/>
      <c r="E865" s="166"/>
      <c r="F865" s="206"/>
      <c r="G865" s="167"/>
      <c r="H865" s="166"/>
      <c r="I865" s="167"/>
      <c r="J865" s="168"/>
      <c r="K865" s="169"/>
      <c r="L865" s="207"/>
      <c r="M865" s="207"/>
    </row>
    <row r="866">
      <c r="A866" s="203"/>
      <c r="B866" s="204"/>
      <c r="C866" s="205"/>
      <c r="D866" s="205"/>
      <c r="E866" s="166"/>
      <c r="F866" s="206"/>
      <c r="G866" s="167"/>
      <c r="H866" s="166"/>
      <c r="I866" s="167"/>
      <c r="J866" s="168"/>
      <c r="K866" s="169"/>
      <c r="L866" s="207"/>
      <c r="M866" s="207"/>
    </row>
    <row r="867">
      <c r="A867" s="203"/>
      <c r="B867" s="204"/>
      <c r="C867" s="205"/>
      <c r="D867" s="205"/>
      <c r="E867" s="166"/>
      <c r="F867" s="206"/>
      <c r="G867" s="167"/>
      <c r="H867" s="166"/>
      <c r="I867" s="167"/>
      <c r="J867" s="168"/>
      <c r="K867" s="169"/>
      <c r="L867" s="207"/>
      <c r="M867" s="207"/>
    </row>
    <row r="868">
      <c r="A868" s="203"/>
      <c r="B868" s="204"/>
      <c r="C868" s="205"/>
      <c r="D868" s="205"/>
      <c r="E868" s="166"/>
      <c r="F868" s="206"/>
      <c r="G868" s="167"/>
      <c r="H868" s="166"/>
      <c r="I868" s="167"/>
      <c r="J868" s="168"/>
      <c r="K868" s="169"/>
      <c r="L868" s="207"/>
      <c r="M868" s="207"/>
    </row>
    <row r="869">
      <c r="A869" s="203"/>
      <c r="B869" s="204"/>
      <c r="C869" s="205"/>
      <c r="D869" s="205"/>
      <c r="E869" s="166"/>
      <c r="F869" s="206"/>
      <c r="G869" s="167"/>
      <c r="H869" s="166"/>
      <c r="I869" s="167"/>
      <c r="J869" s="168"/>
      <c r="K869" s="169"/>
      <c r="L869" s="207"/>
      <c r="M869" s="207"/>
    </row>
    <row r="870">
      <c r="A870" s="203"/>
      <c r="B870" s="204"/>
      <c r="C870" s="205"/>
      <c r="D870" s="205"/>
      <c r="E870" s="166"/>
      <c r="F870" s="206"/>
      <c r="G870" s="167"/>
      <c r="H870" s="166"/>
      <c r="I870" s="167"/>
      <c r="J870" s="168"/>
      <c r="K870" s="169"/>
      <c r="L870" s="207"/>
      <c r="M870" s="207"/>
    </row>
    <row r="871">
      <c r="A871" s="203"/>
      <c r="B871" s="204"/>
      <c r="C871" s="205"/>
      <c r="D871" s="205"/>
      <c r="E871" s="166"/>
      <c r="F871" s="206"/>
      <c r="G871" s="167"/>
      <c r="H871" s="166"/>
      <c r="I871" s="167"/>
      <c r="J871" s="168"/>
      <c r="K871" s="169"/>
      <c r="L871" s="207"/>
      <c r="M871" s="207"/>
    </row>
    <row r="872">
      <c r="A872" s="203"/>
      <c r="B872" s="204"/>
      <c r="C872" s="205"/>
      <c r="D872" s="205"/>
      <c r="E872" s="166"/>
      <c r="F872" s="206"/>
      <c r="G872" s="167"/>
      <c r="H872" s="166"/>
      <c r="I872" s="167"/>
      <c r="J872" s="168"/>
      <c r="K872" s="169"/>
      <c r="L872" s="207"/>
      <c r="M872" s="207"/>
    </row>
    <row r="873">
      <c r="A873" s="203"/>
      <c r="B873" s="204"/>
      <c r="C873" s="205"/>
      <c r="D873" s="205"/>
      <c r="E873" s="166"/>
      <c r="F873" s="206"/>
      <c r="G873" s="167"/>
      <c r="H873" s="166"/>
      <c r="I873" s="167"/>
      <c r="J873" s="168"/>
      <c r="K873" s="169"/>
      <c r="L873" s="207"/>
      <c r="M873" s="207"/>
    </row>
    <row r="874">
      <c r="A874" s="203"/>
      <c r="B874" s="204"/>
      <c r="C874" s="205"/>
      <c r="D874" s="205"/>
      <c r="E874" s="166"/>
      <c r="F874" s="206"/>
      <c r="G874" s="167"/>
      <c r="H874" s="166"/>
      <c r="I874" s="167"/>
      <c r="J874" s="168"/>
      <c r="K874" s="169"/>
      <c r="L874" s="207"/>
      <c r="M874" s="207"/>
    </row>
    <row r="875">
      <c r="A875" s="203"/>
      <c r="B875" s="204"/>
      <c r="C875" s="205"/>
      <c r="D875" s="205"/>
      <c r="E875" s="166"/>
      <c r="F875" s="206"/>
      <c r="G875" s="167"/>
      <c r="H875" s="166"/>
      <c r="I875" s="167"/>
      <c r="J875" s="168"/>
      <c r="K875" s="169"/>
      <c r="L875" s="207"/>
      <c r="M875" s="207"/>
    </row>
    <row r="876">
      <c r="A876" s="203"/>
      <c r="B876" s="204"/>
      <c r="C876" s="205"/>
      <c r="D876" s="205"/>
      <c r="E876" s="166"/>
      <c r="F876" s="206"/>
      <c r="G876" s="167"/>
      <c r="H876" s="166"/>
      <c r="I876" s="167"/>
      <c r="J876" s="168"/>
      <c r="K876" s="169"/>
      <c r="L876" s="207"/>
      <c r="M876" s="207"/>
    </row>
    <row r="877">
      <c r="A877" s="203"/>
      <c r="B877" s="204"/>
      <c r="C877" s="205"/>
      <c r="D877" s="205"/>
      <c r="E877" s="166"/>
      <c r="F877" s="206"/>
      <c r="G877" s="167"/>
      <c r="H877" s="166"/>
      <c r="I877" s="167"/>
      <c r="J877" s="168"/>
      <c r="K877" s="169"/>
      <c r="L877" s="207"/>
      <c r="M877" s="207"/>
    </row>
    <row r="878">
      <c r="A878" s="203"/>
      <c r="B878" s="204"/>
      <c r="C878" s="205"/>
      <c r="D878" s="205"/>
      <c r="E878" s="166"/>
      <c r="F878" s="206"/>
      <c r="G878" s="167"/>
      <c r="H878" s="166"/>
      <c r="I878" s="167"/>
      <c r="J878" s="168"/>
      <c r="K878" s="169"/>
      <c r="L878" s="207"/>
      <c r="M878" s="207"/>
    </row>
    <row r="879">
      <c r="A879" s="203"/>
      <c r="B879" s="204"/>
      <c r="C879" s="205"/>
      <c r="D879" s="205"/>
      <c r="E879" s="166"/>
      <c r="F879" s="206"/>
      <c r="G879" s="167"/>
      <c r="H879" s="166"/>
      <c r="I879" s="167"/>
      <c r="J879" s="168"/>
      <c r="K879" s="169"/>
      <c r="L879" s="207"/>
      <c r="M879" s="207"/>
    </row>
    <row r="880">
      <c r="A880" s="203"/>
      <c r="B880" s="204"/>
      <c r="C880" s="205"/>
      <c r="D880" s="205"/>
      <c r="E880" s="166"/>
      <c r="F880" s="206"/>
      <c r="G880" s="167"/>
      <c r="H880" s="166"/>
      <c r="I880" s="167"/>
      <c r="J880" s="168"/>
      <c r="K880" s="169"/>
      <c r="L880" s="207"/>
      <c r="M880" s="207"/>
    </row>
    <row r="881">
      <c r="A881" s="203"/>
      <c r="B881" s="204"/>
      <c r="C881" s="205"/>
      <c r="D881" s="205"/>
      <c r="E881" s="166"/>
      <c r="F881" s="206"/>
      <c r="G881" s="167"/>
      <c r="H881" s="166"/>
      <c r="I881" s="167"/>
      <c r="J881" s="168"/>
      <c r="K881" s="169"/>
      <c r="L881" s="207"/>
      <c r="M881" s="207"/>
    </row>
    <row r="882">
      <c r="A882" s="203"/>
      <c r="B882" s="204"/>
      <c r="C882" s="205"/>
      <c r="D882" s="205"/>
      <c r="E882" s="166"/>
      <c r="F882" s="206"/>
      <c r="G882" s="167"/>
      <c r="H882" s="166"/>
      <c r="I882" s="167"/>
      <c r="J882" s="168"/>
      <c r="K882" s="169"/>
      <c r="L882" s="207"/>
      <c r="M882" s="207"/>
    </row>
    <row r="883">
      <c r="A883" s="203"/>
      <c r="B883" s="204"/>
      <c r="C883" s="205"/>
      <c r="D883" s="205"/>
      <c r="E883" s="166"/>
      <c r="F883" s="206"/>
      <c r="G883" s="167"/>
      <c r="H883" s="166"/>
      <c r="I883" s="167"/>
      <c r="J883" s="168"/>
      <c r="K883" s="169"/>
      <c r="L883" s="207"/>
      <c r="M883" s="207"/>
    </row>
    <row r="884">
      <c r="A884" s="203"/>
      <c r="B884" s="204"/>
      <c r="C884" s="205"/>
      <c r="D884" s="205"/>
      <c r="E884" s="166"/>
      <c r="F884" s="206"/>
      <c r="G884" s="167"/>
      <c r="H884" s="166"/>
      <c r="I884" s="167"/>
      <c r="J884" s="168"/>
      <c r="K884" s="169"/>
      <c r="L884" s="207"/>
      <c r="M884" s="207"/>
    </row>
    <row r="885">
      <c r="A885" s="203"/>
      <c r="B885" s="204"/>
      <c r="C885" s="205"/>
      <c r="D885" s="205"/>
      <c r="E885" s="166"/>
      <c r="F885" s="206"/>
      <c r="G885" s="167"/>
      <c r="H885" s="166"/>
      <c r="I885" s="167"/>
      <c r="J885" s="168"/>
      <c r="K885" s="169"/>
      <c r="L885" s="207"/>
      <c r="M885" s="207"/>
    </row>
    <row r="886">
      <c r="A886" s="203"/>
      <c r="B886" s="204"/>
      <c r="C886" s="205"/>
      <c r="D886" s="205"/>
      <c r="E886" s="166"/>
      <c r="F886" s="206"/>
      <c r="G886" s="167"/>
      <c r="H886" s="166"/>
      <c r="I886" s="167"/>
      <c r="J886" s="168"/>
      <c r="K886" s="169"/>
      <c r="L886" s="207"/>
      <c r="M886" s="207"/>
    </row>
    <row r="887">
      <c r="A887" s="203"/>
      <c r="B887" s="204"/>
      <c r="C887" s="205"/>
      <c r="D887" s="205"/>
      <c r="E887" s="166"/>
      <c r="F887" s="206"/>
      <c r="G887" s="167"/>
      <c r="H887" s="166"/>
      <c r="I887" s="167"/>
      <c r="J887" s="168"/>
      <c r="K887" s="169"/>
      <c r="L887" s="207"/>
      <c r="M887" s="207"/>
    </row>
    <row r="888">
      <c r="A888" s="203"/>
      <c r="B888" s="204"/>
      <c r="C888" s="205"/>
      <c r="D888" s="205"/>
      <c r="E888" s="166"/>
      <c r="F888" s="206"/>
      <c r="G888" s="167"/>
      <c r="H888" s="166"/>
      <c r="I888" s="167"/>
      <c r="J888" s="168"/>
      <c r="K888" s="169"/>
      <c r="L888" s="207"/>
      <c r="M888" s="207"/>
    </row>
    <row r="889">
      <c r="A889" s="203"/>
      <c r="B889" s="204"/>
      <c r="C889" s="205"/>
      <c r="D889" s="205"/>
      <c r="E889" s="166"/>
      <c r="F889" s="206"/>
      <c r="G889" s="167"/>
      <c r="H889" s="166"/>
      <c r="I889" s="167"/>
      <c r="J889" s="168"/>
      <c r="K889" s="169"/>
      <c r="L889" s="207"/>
      <c r="M889" s="207"/>
    </row>
    <row r="890">
      <c r="A890" s="203"/>
      <c r="B890" s="204"/>
      <c r="C890" s="205"/>
      <c r="D890" s="205"/>
      <c r="E890" s="166"/>
      <c r="F890" s="206"/>
      <c r="G890" s="167"/>
      <c r="H890" s="166"/>
      <c r="I890" s="167"/>
      <c r="J890" s="168"/>
      <c r="K890" s="169"/>
      <c r="L890" s="207"/>
      <c r="M890" s="207"/>
    </row>
    <row r="891">
      <c r="A891" s="203"/>
      <c r="B891" s="204"/>
      <c r="C891" s="205"/>
      <c r="D891" s="205"/>
      <c r="E891" s="166"/>
      <c r="F891" s="206"/>
      <c r="G891" s="167"/>
      <c r="H891" s="166"/>
      <c r="I891" s="167"/>
      <c r="J891" s="168"/>
      <c r="K891" s="169"/>
      <c r="L891" s="207"/>
      <c r="M891" s="207"/>
    </row>
    <row r="892">
      <c r="A892" s="203"/>
      <c r="B892" s="204"/>
      <c r="C892" s="205"/>
      <c r="D892" s="205"/>
      <c r="E892" s="166"/>
      <c r="F892" s="206"/>
      <c r="G892" s="167"/>
      <c r="H892" s="166"/>
      <c r="I892" s="167"/>
      <c r="J892" s="168"/>
      <c r="K892" s="169"/>
      <c r="L892" s="207"/>
      <c r="M892" s="207"/>
    </row>
    <row r="893">
      <c r="A893" s="203"/>
      <c r="B893" s="204"/>
      <c r="C893" s="205"/>
      <c r="D893" s="205"/>
      <c r="E893" s="166"/>
      <c r="F893" s="206"/>
      <c r="G893" s="167"/>
      <c r="H893" s="166"/>
      <c r="I893" s="167"/>
      <c r="J893" s="168"/>
      <c r="K893" s="169"/>
      <c r="L893" s="207"/>
      <c r="M893" s="207"/>
    </row>
    <row r="894">
      <c r="A894" s="203"/>
      <c r="B894" s="204"/>
      <c r="C894" s="205"/>
      <c r="D894" s="205"/>
      <c r="E894" s="166"/>
      <c r="F894" s="206"/>
      <c r="G894" s="167"/>
      <c r="H894" s="166"/>
      <c r="I894" s="167"/>
      <c r="J894" s="168"/>
      <c r="K894" s="169"/>
      <c r="L894" s="207"/>
      <c r="M894" s="207"/>
    </row>
    <row r="895">
      <c r="A895" s="203"/>
      <c r="B895" s="204"/>
      <c r="C895" s="205"/>
      <c r="D895" s="205"/>
      <c r="E895" s="166"/>
      <c r="F895" s="206"/>
      <c r="G895" s="167"/>
      <c r="H895" s="166"/>
      <c r="I895" s="167"/>
      <c r="J895" s="168"/>
      <c r="K895" s="169"/>
      <c r="L895" s="207"/>
      <c r="M895" s="207"/>
    </row>
    <row r="896">
      <c r="A896" s="203"/>
      <c r="B896" s="204"/>
      <c r="C896" s="205"/>
      <c r="D896" s="205"/>
      <c r="E896" s="166"/>
      <c r="F896" s="206"/>
      <c r="G896" s="167"/>
      <c r="H896" s="166"/>
      <c r="I896" s="167"/>
      <c r="J896" s="168"/>
      <c r="K896" s="169"/>
      <c r="L896" s="207"/>
      <c r="M896" s="207"/>
    </row>
    <row r="897">
      <c r="A897" s="203"/>
      <c r="B897" s="204"/>
      <c r="C897" s="205"/>
      <c r="D897" s="205"/>
      <c r="E897" s="166"/>
      <c r="F897" s="206"/>
      <c r="G897" s="167"/>
      <c r="H897" s="166"/>
      <c r="I897" s="167"/>
      <c r="J897" s="168"/>
      <c r="K897" s="169"/>
      <c r="L897" s="207"/>
      <c r="M897" s="207"/>
    </row>
    <row r="898">
      <c r="A898" s="203"/>
      <c r="B898" s="204"/>
      <c r="C898" s="205"/>
      <c r="D898" s="205"/>
      <c r="E898" s="166"/>
      <c r="F898" s="206"/>
      <c r="G898" s="167"/>
      <c r="H898" s="166"/>
      <c r="I898" s="167"/>
      <c r="J898" s="168"/>
      <c r="K898" s="169"/>
      <c r="L898" s="207"/>
      <c r="M898" s="207"/>
    </row>
    <row r="899">
      <c r="A899" s="203"/>
      <c r="B899" s="204"/>
      <c r="C899" s="205"/>
      <c r="D899" s="205"/>
      <c r="E899" s="166"/>
      <c r="F899" s="206"/>
      <c r="G899" s="167"/>
      <c r="H899" s="166"/>
      <c r="I899" s="167"/>
      <c r="J899" s="168"/>
      <c r="K899" s="169"/>
      <c r="L899" s="207"/>
      <c r="M899" s="207"/>
    </row>
    <row r="900">
      <c r="A900" s="203"/>
      <c r="B900" s="204"/>
      <c r="C900" s="205"/>
      <c r="D900" s="205"/>
      <c r="E900" s="166"/>
      <c r="F900" s="206"/>
      <c r="G900" s="167"/>
      <c r="H900" s="166"/>
      <c r="I900" s="167"/>
      <c r="J900" s="168"/>
      <c r="K900" s="169"/>
      <c r="L900" s="207"/>
      <c r="M900" s="207"/>
    </row>
    <row r="901">
      <c r="A901" s="203"/>
      <c r="B901" s="204"/>
      <c r="C901" s="205"/>
      <c r="D901" s="205"/>
      <c r="E901" s="166"/>
      <c r="F901" s="206"/>
      <c r="G901" s="167"/>
      <c r="H901" s="166"/>
      <c r="I901" s="167"/>
      <c r="J901" s="168"/>
      <c r="K901" s="169"/>
      <c r="L901" s="207"/>
      <c r="M901" s="207"/>
    </row>
    <row r="902">
      <c r="A902" s="203"/>
      <c r="B902" s="204"/>
      <c r="C902" s="205"/>
      <c r="D902" s="205"/>
      <c r="E902" s="166"/>
      <c r="F902" s="206"/>
      <c r="G902" s="167"/>
      <c r="H902" s="166"/>
      <c r="I902" s="167"/>
      <c r="J902" s="168"/>
      <c r="K902" s="169"/>
      <c r="L902" s="207"/>
      <c r="M902" s="207"/>
    </row>
    <row r="903">
      <c r="A903" s="203"/>
      <c r="B903" s="204"/>
      <c r="C903" s="205"/>
      <c r="D903" s="205"/>
      <c r="E903" s="166"/>
      <c r="F903" s="206"/>
      <c r="G903" s="167"/>
      <c r="H903" s="166"/>
      <c r="I903" s="167"/>
      <c r="J903" s="168"/>
      <c r="K903" s="169"/>
      <c r="L903" s="207"/>
      <c r="M903" s="207"/>
    </row>
    <row r="904">
      <c r="A904" s="203"/>
      <c r="B904" s="204"/>
      <c r="C904" s="205"/>
      <c r="D904" s="205"/>
      <c r="E904" s="166"/>
      <c r="F904" s="206"/>
      <c r="G904" s="167"/>
      <c r="H904" s="166"/>
      <c r="I904" s="167"/>
      <c r="J904" s="168"/>
      <c r="K904" s="169"/>
      <c r="L904" s="207"/>
      <c r="M904" s="207"/>
    </row>
    <row r="905">
      <c r="A905" s="203"/>
      <c r="B905" s="204"/>
      <c r="C905" s="205"/>
      <c r="D905" s="205"/>
      <c r="E905" s="166"/>
      <c r="F905" s="206"/>
      <c r="G905" s="167"/>
      <c r="H905" s="166"/>
      <c r="I905" s="167"/>
      <c r="J905" s="168"/>
      <c r="K905" s="169"/>
      <c r="L905" s="207"/>
      <c r="M905" s="207"/>
    </row>
    <row r="906">
      <c r="A906" s="203"/>
      <c r="B906" s="204"/>
      <c r="C906" s="205"/>
      <c r="D906" s="205"/>
      <c r="E906" s="166"/>
      <c r="F906" s="206"/>
      <c r="G906" s="167"/>
      <c r="H906" s="166"/>
      <c r="I906" s="167"/>
      <c r="J906" s="168"/>
      <c r="K906" s="169"/>
      <c r="L906" s="207"/>
      <c r="M906" s="207"/>
    </row>
    <row r="907">
      <c r="A907" s="203"/>
      <c r="B907" s="204"/>
      <c r="C907" s="205"/>
      <c r="D907" s="205"/>
      <c r="E907" s="166"/>
      <c r="F907" s="206"/>
      <c r="G907" s="167"/>
      <c r="H907" s="166"/>
      <c r="I907" s="167"/>
      <c r="J907" s="168"/>
      <c r="K907" s="169"/>
      <c r="L907" s="207"/>
      <c r="M907" s="207"/>
    </row>
    <row r="908">
      <c r="A908" s="203"/>
      <c r="B908" s="204"/>
      <c r="C908" s="205"/>
      <c r="D908" s="205"/>
      <c r="E908" s="166"/>
      <c r="F908" s="206"/>
      <c r="G908" s="167"/>
      <c r="H908" s="166"/>
      <c r="I908" s="167"/>
      <c r="J908" s="168"/>
      <c r="K908" s="169"/>
      <c r="L908" s="207"/>
      <c r="M908" s="207"/>
    </row>
    <row r="909">
      <c r="A909" s="203"/>
      <c r="B909" s="204"/>
      <c r="C909" s="205"/>
      <c r="D909" s="205"/>
      <c r="E909" s="166"/>
      <c r="F909" s="206"/>
      <c r="G909" s="167"/>
      <c r="H909" s="166"/>
      <c r="I909" s="167"/>
      <c r="J909" s="168"/>
      <c r="K909" s="169"/>
      <c r="L909" s="207"/>
      <c r="M909" s="207"/>
    </row>
    <row r="910">
      <c r="A910" s="203"/>
      <c r="B910" s="204"/>
      <c r="C910" s="205"/>
      <c r="D910" s="205"/>
      <c r="E910" s="166"/>
      <c r="F910" s="206"/>
      <c r="G910" s="167"/>
      <c r="H910" s="166"/>
      <c r="I910" s="167"/>
      <c r="J910" s="168"/>
      <c r="K910" s="169"/>
      <c r="L910" s="207"/>
      <c r="M910" s="207"/>
    </row>
    <row r="911">
      <c r="A911" s="203"/>
      <c r="B911" s="204"/>
      <c r="C911" s="205"/>
      <c r="D911" s="205"/>
      <c r="E911" s="166"/>
      <c r="F911" s="206"/>
      <c r="G911" s="167"/>
      <c r="H911" s="166"/>
      <c r="I911" s="167"/>
      <c r="J911" s="168"/>
      <c r="K911" s="169"/>
      <c r="L911" s="207"/>
      <c r="M911" s="207"/>
    </row>
    <row r="912">
      <c r="A912" s="203"/>
      <c r="B912" s="204"/>
      <c r="C912" s="205"/>
      <c r="D912" s="205"/>
      <c r="E912" s="166"/>
      <c r="F912" s="206"/>
      <c r="G912" s="167"/>
      <c r="H912" s="166"/>
      <c r="I912" s="167"/>
      <c r="J912" s="168"/>
      <c r="K912" s="169"/>
      <c r="L912" s="207"/>
      <c r="M912" s="207"/>
    </row>
    <row r="913">
      <c r="A913" s="203"/>
      <c r="B913" s="204"/>
      <c r="C913" s="205"/>
      <c r="D913" s="205"/>
      <c r="E913" s="166"/>
      <c r="F913" s="206"/>
      <c r="G913" s="167"/>
      <c r="H913" s="166"/>
      <c r="I913" s="167"/>
      <c r="J913" s="168"/>
      <c r="K913" s="169"/>
      <c r="L913" s="207"/>
      <c r="M913" s="207"/>
    </row>
    <row r="914">
      <c r="A914" s="203"/>
      <c r="B914" s="204"/>
      <c r="C914" s="205"/>
      <c r="D914" s="205"/>
      <c r="E914" s="166"/>
      <c r="F914" s="206"/>
      <c r="G914" s="167"/>
      <c r="H914" s="166"/>
      <c r="I914" s="167"/>
      <c r="J914" s="168"/>
      <c r="K914" s="169"/>
      <c r="L914" s="207"/>
      <c r="M914" s="207"/>
    </row>
    <row r="915">
      <c r="A915" s="203"/>
      <c r="B915" s="204"/>
      <c r="C915" s="205"/>
      <c r="D915" s="205"/>
      <c r="E915" s="166"/>
      <c r="F915" s="206"/>
      <c r="G915" s="167"/>
      <c r="H915" s="166"/>
      <c r="I915" s="167"/>
      <c r="J915" s="168"/>
      <c r="K915" s="169"/>
      <c r="L915" s="207"/>
      <c r="M915" s="207"/>
    </row>
    <row r="916">
      <c r="A916" s="203"/>
      <c r="B916" s="204"/>
      <c r="C916" s="205"/>
      <c r="D916" s="205"/>
      <c r="E916" s="166"/>
      <c r="F916" s="206"/>
      <c r="G916" s="167"/>
      <c r="H916" s="166"/>
      <c r="I916" s="167"/>
      <c r="J916" s="168"/>
      <c r="K916" s="169"/>
      <c r="L916" s="207"/>
      <c r="M916" s="207"/>
    </row>
    <row r="917">
      <c r="A917" s="203"/>
      <c r="B917" s="204"/>
      <c r="C917" s="205"/>
      <c r="D917" s="205"/>
      <c r="E917" s="166"/>
      <c r="F917" s="206"/>
      <c r="G917" s="167"/>
      <c r="H917" s="166"/>
      <c r="I917" s="167"/>
      <c r="J917" s="168"/>
      <c r="K917" s="169"/>
      <c r="L917" s="207"/>
      <c r="M917" s="207"/>
    </row>
    <row r="918">
      <c r="A918" s="203"/>
      <c r="B918" s="204"/>
      <c r="C918" s="205"/>
      <c r="D918" s="205"/>
      <c r="E918" s="166"/>
      <c r="F918" s="206"/>
      <c r="G918" s="167"/>
      <c r="H918" s="166"/>
      <c r="I918" s="167"/>
      <c r="J918" s="168"/>
      <c r="K918" s="169"/>
      <c r="L918" s="207"/>
      <c r="M918" s="207"/>
    </row>
    <row r="919">
      <c r="A919" s="203"/>
      <c r="B919" s="204"/>
      <c r="C919" s="205"/>
      <c r="D919" s="205"/>
      <c r="E919" s="166"/>
      <c r="F919" s="206"/>
      <c r="G919" s="167"/>
      <c r="H919" s="166"/>
      <c r="I919" s="167"/>
      <c r="J919" s="168"/>
      <c r="K919" s="169"/>
      <c r="L919" s="207"/>
      <c r="M919" s="207"/>
    </row>
    <row r="920">
      <c r="A920" s="203"/>
      <c r="B920" s="204"/>
      <c r="C920" s="205"/>
      <c r="D920" s="205"/>
      <c r="E920" s="166"/>
      <c r="F920" s="206"/>
      <c r="G920" s="167"/>
      <c r="H920" s="166"/>
      <c r="I920" s="167"/>
      <c r="J920" s="168"/>
      <c r="K920" s="169"/>
      <c r="L920" s="207"/>
      <c r="M920" s="207"/>
    </row>
    <row r="921">
      <c r="A921" s="203"/>
      <c r="B921" s="204"/>
      <c r="C921" s="205"/>
      <c r="D921" s="205"/>
      <c r="E921" s="166"/>
      <c r="F921" s="206"/>
      <c r="G921" s="167"/>
      <c r="H921" s="166"/>
      <c r="I921" s="167"/>
      <c r="J921" s="168"/>
      <c r="K921" s="169"/>
      <c r="L921" s="207"/>
      <c r="M921" s="207"/>
    </row>
    <row r="922">
      <c r="A922" s="203"/>
      <c r="B922" s="204"/>
      <c r="C922" s="205"/>
      <c r="D922" s="205"/>
      <c r="E922" s="166"/>
      <c r="F922" s="206"/>
      <c r="G922" s="167"/>
      <c r="H922" s="166"/>
      <c r="I922" s="167"/>
      <c r="J922" s="168"/>
      <c r="K922" s="169"/>
      <c r="L922" s="207"/>
      <c r="M922" s="207"/>
    </row>
    <row r="923">
      <c r="A923" s="203"/>
      <c r="B923" s="204"/>
      <c r="C923" s="205"/>
      <c r="D923" s="205"/>
      <c r="E923" s="166"/>
      <c r="F923" s="206"/>
      <c r="G923" s="167"/>
      <c r="H923" s="166"/>
      <c r="I923" s="167"/>
      <c r="J923" s="168"/>
      <c r="K923" s="169"/>
      <c r="L923" s="207"/>
      <c r="M923" s="207"/>
    </row>
    <row r="924">
      <c r="A924" s="203"/>
      <c r="B924" s="204"/>
      <c r="C924" s="205"/>
      <c r="D924" s="205"/>
      <c r="E924" s="166"/>
      <c r="F924" s="206"/>
      <c r="G924" s="167"/>
      <c r="H924" s="166"/>
      <c r="I924" s="167"/>
      <c r="J924" s="168"/>
      <c r="K924" s="169"/>
      <c r="L924" s="207"/>
      <c r="M924" s="207"/>
    </row>
    <row r="925">
      <c r="A925" s="203"/>
      <c r="B925" s="204"/>
      <c r="C925" s="205"/>
      <c r="D925" s="205"/>
      <c r="E925" s="166"/>
      <c r="F925" s="206"/>
      <c r="G925" s="167"/>
      <c r="H925" s="166"/>
      <c r="I925" s="167"/>
      <c r="J925" s="168"/>
      <c r="K925" s="169"/>
      <c r="L925" s="207"/>
      <c r="M925" s="207"/>
    </row>
    <row r="926">
      <c r="A926" s="203"/>
      <c r="B926" s="204"/>
      <c r="C926" s="205"/>
      <c r="D926" s="205"/>
      <c r="E926" s="166"/>
      <c r="F926" s="206"/>
      <c r="G926" s="167"/>
      <c r="H926" s="166"/>
      <c r="I926" s="167"/>
      <c r="J926" s="168"/>
      <c r="K926" s="169"/>
      <c r="L926" s="207"/>
      <c r="M926" s="207"/>
    </row>
  </sheetData>
  <autoFilter ref="$A$2:$M$400"/>
  <conditionalFormatting sqref="E3:E926 I3:I926">
    <cfRule type="expression" dxfId="2" priority="1">
      <formula>AND($E3&lt;&gt;"",(($E3-$H3)/365*12)&lt;1)</formula>
    </cfRule>
  </conditionalFormatting>
  <conditionalFormatting sqref="A2:A926 D2:D926">
    <cfRule type="expression" dxfId="3" priority="2">
      <formula>$D2="Coming Soon"</formula>
    </cfRule>
  </conditionalFormatting>
  <conditionalFormatting sqref="A2:A926 D2:D926">
    <cfRule type="expression" dxfId="4" priority="3">
      <formula>$D2="Removed"</formula>
    </cfRule>
  </conditionalFormatting>
  <conditionalFormatting sqref="A2:A926">
    <cfRule type="expression" dxfId="1" priority="4">
      <formula>MATCH(A2,INDIRECT("'Xbox Game Studios'!A:A"),0)</formula>
    </cfRule>
  </conditionalFormatting>
  <conditionalFormatting sqref="A2:A926 D2:D926">
    <cfRule type="expression" dxfId="5" priority="5">
      <formula>$D2="Leaving Soon"</formula>
    </cfRule>
  </conditionalFormatting>
  <conditionalFormatting sqref="A2:A926 D2:D926">
    <cfRule type="expression" dxfId="2" priority="6">
      <formula>AND($D3&lt;&gt;"",(($D3-$G3)/365*12)&lt;1)</formula>
    </cfRule>
  </conditionalFormatting>
  <conditionalFormatting sqref="J2:J926">
    <cfRule type="cellIs" dxfId="2" priority="7" operator="between">
      <formula>75</formula>
      <formula>100</formula>
    </cfRule>
  </conditionalFormatting>
  <conditionalFormatting sqref="J2:J926">
    <cfRule type="cellIs" dxfId="1" priority="8" operator="between">
      <formula>50</formula>
      <formula>74</formula>
    </cfRule>
  </conditionalFormatting>
  <conditionalFormatting sqref="J2:J926">
    <cfRule type="cellIs" dxfId="4" priority="9" operator="between">
      <formula>1</formula>
      <formula>49</formula>
    </cfRule>
  </conditionalFormatting>
  <conditionalFormatting sqref="B3:B926">
    <cfRule type="expression" dxfId="6" priority="10">
      <formula>AND(MATCH(A3,INDIRECT("'Cross Play'!D2:D"),0),MATCH(A3,INDIRECT("'Cross Play'!A2:A"),0))</formula>
    </cfRule>
  </conditionalFormatting>
  <conditionalFormatting sqref="B3:B926">
    <cfRule type="expression" dxfId="7" priority="11">
      <formula>MATCH(A3,INDIRECT("'Cross Play'!A2:A"),0)</formula>
    </cfRule>
  </conditionalFormatting>
  <conditionalFormatting sqref="B3:B926">
    <cfRule type="expression" dxfId="8" priority="12">
      <formula>MATCH(A3,INDIRECT("'Cross Play'!D2:D"),0)</formula>
    </cfRule>
  </conditionalFormatting>
  <conditionalFormatting sqref="B1:B926">
    <cfRule type="cellIs" dxfId="0" priority="13" operator="equal">
      <formula>"Xbox"</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75"/>
    <col customWidth="1" min="2" max="2" width="9.38"/>
    <col customWidth="1" min="3" max="3" width="12.13"/>
    <col customWidth="1" min="4" max="4" width="11.25"/>
    <col customWidth="1" min="5" max="5" width="11.5"/>
    <col customWidth="1" min="6" max="6" width="17.38"/>
    <col customWidth="1" min="7" max="7" width="9.63"/>
    <col customWidth="1" min="8" max="8" width="11.5"/>
    <col customWidth="1" min="9" max="9" width="7.75"/>
    <col customWidth="1" min="10" max="10" width="11.88"/>
    <col customWidth="1" min="11" max="11" width="12.63"/>
    <col customWidth="1" min="12" max="12" width="42.25"/>
    <col customWidth="1" min="13" max="13" width="16.25"/>
  </cols>
  <sheetData>
    <row r="1">
      <c r="A1" s="191" t="s">
        <v>2957</v>
      </c>
      <c r="B1" s="192">
        <f>COUNTA(A3:A926)</f>
        <v>851</v>
      </c>
      <c r="C1" s="191"/>
      <c r="D1" s="191"/>
      <c r="E1" s="191"/>
      <c r="F1" s="191"/>
      <c r="G1" s="191"/>
      <c r="H1" s="191"/>
      <c r="I1" s="191"/>
      <c r="J1" s="191"/>
      <c r="K1" s="191"/>
      <c r="L1" s="191"/>
      <c r="M1" s="191"/>
    </row>
    <row r="2">
      <c r="A2" s="193" t="s">
        <v>8</v>
      </c>
      <c r="B2" s="171" t="s">
        <v>9</v>
      </c>
      <c r="C2" s="170" t="s">
        <v>10</v>
      </c>
      <c r="D2" s="171" t="s">
        <v>11</v>
      </c>
      <c r="E2" s="171" t="s">
        <v>12</v>
      </c>
      <c r="F2" s="170" t="s">
        <v>13</v>
      </c>
      <c r="G2" s="194" t="s">
        <v>14</v>
      </c>
      <c r="H2" s="172" t="s">
        <v>15</v>
      </c>
      <c r="I2" s="172" t="s">
        <v>16</v>
      </c>
      <c r="J2" s="172" t="s">
        <v>17</v>
      </c>
      <c r="K2" s="172" t="s">
        <v>18</v>
      </c>
      <c r="L2" s="172" t="s">
        <v>2847</v>
      </c>
      <c r="M2" s="172" t="s">
        <v>2848</v>
      </c>
    </row>
    <row r="3">
      <c r="A3" s="190" t="str">
        <f>IFERROR(__xludf.DUMMYFUNCTION("SORT(FILTER('Master List'!A2:M926, REGEXMATCH('Master List'!B2:B926, ""Xbox""), NOT(REGEXMATCH('Master List'!D2:D926, ""Removed"")) ), 10, false)"),"NHL 94 Rewind")</f>
        <v>NHL 94 Rewind</v>
      </c>
      <c r="B3" s="195" t="str">
        <f>IFERROR(__xludf.DUMMYFUNCTION("""COMPUTED_VALUE"""),"Xbox")</f>
        <v>Xbox</v>
      </c>
      <c r="C3" s="196"/>
      <c r="D3" s="196" t="str">
        <f>IFERROR(__xludf.DUMMYFUNCTION("""COMPUTED_VALUE"""),"Active")</f>
        <v>Active</v>
      </c>
      <c r="E3" s="197">
        <f>IFERROR(__xludf.DUMMYFUNCTION("""COMPUTED_VALUE"""),44168.0)</f>
        <v>44168</v>
      </c>
      <c r="F3" s="198"/>
      <c r="G3" s="199">
        <f>IFERROR(__xludf.DUMMYFUNCTION("""COMPUTED_VALUE"""),58.39999999999999)</f>
        <v>58.4</v>
      </c>
      <c r="H3" s="197">
        <f>IFERROR(__xludf.DUMMYFUNCTION("""COMPUTED_VALUE"""),44134.0)</f>
        <v>44134</v>
      </c>
      <c r="I3" s="199">
        <f>IFERROR(__xludf.DUMMYFUNCTION("""COMPUTED_VALUE"""),0.09166666666666666)</f>
        <v>0.09166666667</v>
      </c>
      <c r="J3" s="200">
        <f>IFERROR(__xludf.DUMMYFUNCTION("""COMPUTED_VALUE"""),100.0)</f>
        <v>100</v>
      </c>
      <c r="K3" s="200">
        <f>IFERROR(__xludf.DUMMYFUNCTION("""COMPUTED_VALUE"""),14.5)</f>
        <v>14.5</v>
      </c>
      <c r="L3" s="201" t="str">
        <f>IFERROR(__xludf.DUMMYFUNCTION("""COMPUTED_VALUE"""),"Sports / Soccer")</f>
        <v>Sports / Soccer</v>
      </c>
      <c r="M3" s="201"/>
    </row>
    <row r="4">
      <c r="A4" s="190" t="str">
        <f>IFERROR(__xludf.DUMMYFUNCTION("""COMPUTED_VALUE"""),"Grand Theft Auto V")</f>
        <v>Grand Theft Auto V</v>
      </c>
      <c r="B4" s="195" t="str">
        <f>IFERROR(__xludf.DUMMYFUNCTION("""COMPUTED_VALUE"""),"Xbox / PC")</f>
        <v>Xbox / PC</v>
      </c>
      <c r="C4" s="196" t="str">
        <f>IFERROR(__xludf.DUMMYFUNCTION("""COMPUTED_VALUE"""),"Yes")</f>
        <v>Yes</v>
      </c>
      <c r="D4" s="196" t="str">
        <f>IFERROR(__xludf.DUMMYFUNCTION("""COMPUTED_VALUE"""),"Active")</f>
        <v>Active</v>
      </c>
      <c r="E4" s="197">
        <f>IFERROR(__xludf.DUMMYFUNCTION("""COMPUTED_VALUE"""),45762.0)</f>
        <v>45762</v>
      </c>
      <c r="F4" s="198"/>
      <c r="G4" s="199">
        <f>IFERROR(__xludf.DUMMYFUNCTION("""COMPUTED_VALUE"""),6.0)</f>
        <v>6</v>
      </c>
      <c r="H4" s="197">
        <f>IFERROR(__xludf.DUMMYFUNCTION("""COMPUTED_VALUE"""),41534.0)</f>
        <v>41534</v>
      </c>
      <c r="I4" s="199">
        <f>IFERROR(__xludf.DUMMYFUNCTION("""COMPUTED_VALUE"""),11.577777777777778)</f>
        <v>11.57777778</v>
      </c>
      <c r="J4" s="200">
        <f>IFERROR(__xludf.DUMMYFUNCTION("""COMPUTED_VALUE"""),97.0)</f>
        <v>97</v>
      </c>
      <c r="K4" s="200">
        <f>IFERROR(__xludf.DUMMYFUNCTION("""COMPUTED_VALUE"""),31.5)</f>
        <v>31.5</v>
      </c>
      <c r="L4" s="201" t="str">
        <f>IFERROR(__xludf.DUMMYFUNCTION("""COMPUTED_VALUE"""),"Driving/Racing / Action-Adventure")</f>
        <v>Driving/Racing / Action-Adventure</v>
      </c>
      <c r="M4" s="201"/>
    </row>
    <row r="5">
      <c r="A5" s="190" t="str">
        <f>IFERROR(__xludf.DUMMYFUNCTION("""COMPUTED_VALUE"""),"GoldenEye 007 (2023)")</f>
        <v>GoldenEye 007 (2023)</v>
      </c>
      <c r="B5" s="195" t="str">
        <f>IFERROR(__xludf.DUMMYFUNCTION("""COMPUTED_VALUE"""),"Xbox")</f>
        <v>Xbox</v>
      </c>
      <c r="C5" s="196" t="str">
        <f>IFERROR(__xludf.DUMMYFUNCTION("""COMPUTED_VALUE"""),"Yes")</f>
        <v>Yes</v>
      </c>
      <c r="D5" s="196" t="str">
        <f>IFERROR(__xludf.DUMMYFUNCTION("""COMPUTED_VALUE"""),"Active")</f>
        <v>Active</v>
      </c>
      <c r="E5" s="197">
        <f>IFERROR(__xludf.DUMMYFUNCTION("""COMPUTED_VALUE"""),44953.0)</f>
        <v>44953</v>
      </c>
      <c r="F5" s="198"/>
      <c r="G5" s="199">
        <f>IFERROR(__xludf.DUMMYFUNCTION("""COMPUTED_VALUE"""),32.6)</f>
        <v>32.6</v>
      </c>
      <c r="H5" s="197">
        <f>IFERROR(__xludf.DUMMYFUNCTION("""COMPUTED_VALUE"""),44953.0)</f>
        <v>44953</v>
      </c>
      <c r="I5" s="199">
        <f>IFERROR(__xludf.DUMMYFUNCTION("""COMPUTED_VALUE"""),0.0)</f>
        <v>0</v>
      </c>
      <c r="J5" s="200">
        <f>IFERROR(__xludf.DUMMYFUNCTION("""COMPUTED_VALUE"""),96.0)</f>
        <v>96</v>
      </c>
      <c r="K5" s="200">
        <f>IFERROR(__xludf.DUMMYFUNCTION("""COMPUTED_VALUE"""),10.0)</f>
        <v>10</v>
      </c>
      <c r="L5" s="201" t="str">
        <f>IFERROR(__xludf.DUMMYFUNCTION("""COMPUTED_VALUE"""),"First-Person Shooter")</f>
        <v>First-Person Shooter</v>
      </c>
      <c r="M5" s="201"/>
    </row>
    <row r="6">
      <c r="A6" s="190" t="str">
        <f>IFERROR(__xludf.DUMMYFUNCTION("""COMPUTED_VALUE"""),"Mass Effect 2: Digital Deluxe Edition")</f>
        <v>Mass Effect 2: Digital Deluxe Edition</v>
      </c>
      <c r="B6" s="195" t="str">
        <f>IFERROR(__xludf.DUMMYFUNCTION("""COMPUTED_VALUE"""),"Xbox / PC")</f>
        <v>Xbox / PC</v>
      </c>
      <c r="C6" s="196"/>
      <c r="D6" s="196" t="str">
        <f>IFERROR(__xludf.DUMMYFUNCTION("""COMPUTED_VALUE"""),"Active")</f>
        <v>Active</v>
      </c>
      <c r="E6" s="197">
        <f>IFERROR(__xludf.DUMMYFUNCTION("""COMPUTED_VALUE"""),44145.0)</f>
        <v>44145</v>
      </c>
      <c r="F6" s="198"/>
      <c r="G6" s="199">
        <f>IFERROR(__xludf.DUMMYFUNCTION("""COMPUTED_VALUE"""),59.166666666666664)</f>
        <v>59.16666667</v>
      </c>
      <c r="H6" s="197">
        <f>IFERROR(__xludf.DUMMYFUNCTION("""COMPUTED_VALUE"""),40204.0)</f>
        <v>40204</v>
      </c>
      <c r="I6" s="199">
        <f>IFERROR(__xludf.DUMMYFUNCTION("""COMPUTED_VALUE"""),10.78888888888889)</f>
        <v>10.78888889</v>
      </c>
      <c r="J6" s="200">
        <f>IFERROR(__xludf.DUMMYFUNCTION("""COMPUTED_VALUE"""),96.0)</f>
        <v>96</v>
      </c>
      <c r="K6" s="200">
        <f>IFERROR(__xludf.DUMMYFUNCTION("""COMPUTED_VALUE"""),24.5)</f>
        <v>24.5</v>
      </c>
      <c r="L6" s="201" t="str">
        <f>IFERROR(__xludf.DUMMYFUNCTION("""COMPUTED_VALUE"""),"RPG / Action-Adventure")</f>
        <v>RPG / Action-Adventure</v>
      </c>
      <c r="M6" s="201"/>
    </row>
    <row r="7">
      <c r="A7" s="190" t="str">
        <f>IFERROR(__xludf.DUMMYFUNCTION("""COMPUTED_VALUE"""),"Metaphor: ReFantazio")</f>
        <v>Metaphor: ReFantazio</v>
      </c>
      <c r="B7" s="195" t="str">
        <f>IFERROR(__xludf.DUMMYFUNCTION("""COMPUTED_VALUE"""),"Xbox / PC")</f>
        <v>Xbox / PC</v>
      </c>
      <c r="C7" s="196" t="str">
        <f>IFERROR(__xludf.DUMMYFUNCTION("""COMPUTED_VALUE"""),"Yes")</f>
        <v>Yes</v>
      </c>
      <c r="D7" s="196" t="str">
        <f>IFERROR(__xludf.DUMMYFUNCTION("""COMPUTED_VALUE"""),"Active")</f>
        <v>Active</v>
      </c>
      <c r="E7" s="197">
        <f>IFERROR(__xludf.DUMMYFUNCTION("""COMPUTED_VALUE"""),45806.0)</f>
        <v>45806</v>
      </c>
      <c r="F7" s="198"/>
      <c r="G7" s="199">
        <f>IFERROR(__xludf.DUMMYFUNCTION("""COMPUTED_VALUE"""),4.533333333333333)</f>
        <v>4.533333333</v>
      </c>
      <c r="H7" s="197">
        <f>IFERROR(__xludf.DUMMYFUNCTION("""COMPUTED_VALUE"""),45576.0)</f>
        <v>45576</v>
      </c>
      <c r="I7" s="199">
        <f>IFERROR(__xludf.DUMMYFUNCTION("""COMPUTED_VALUE"""),0.6333333333333333)</f>
        <v>0.6333333333</v>
      </c>
      <c r="J7" s="200">
        <f>IFERROR(__xludf.DUMMYFUNCTION("""COMPUTED_VALUE"""),94.0)</f>
        <v>94</v>
      </c>
      <c r="K7" s="200">
        <f>IFERROR(__xludf.DUMMYFUNCTION("""COMPUTED_VALUE"""),66.0)</f>
        <v>66</v>
      </c>
      <c r="L7" s="201" t="str">
        <f>IFERROR(__xludf.DUMMYFUNCTION("""COMPUTED_VALUE"""),"RPG")</f>
        <v>RPG</v>
      </c>
      <c r="M7" s="201" t="str">
        <f>IFERROR(__xludf.DUMMYFUNCTION("""COMPUTED_VALUE"""),"Exclusive")</f>
        <v>Exclusive</v>
      </c>
    </row>
    <row r="8">
      <c r="A8" s="190" t="str">
        <f>IFERROR(__xludf.DUMMYFUNCTION("""COMPUTED_VALUE"""),"Quake")</f>
        <v>Quake</v>
      </c>
      <c r="B8" s="195" t="str">
        <f>IFERROR(__xludf.DUMMYFUNCTION("""COMPUTED_VALUE"""),"Xbox / PC")</f>
        <v>Xbox / PC</v>
      </c>
      <c r="C8" s="196" t="str">
        <f>IFERROR(__xludf.DUMMYFUNCTION("""COMPUTED_VALUE"""),"M+KB")</f>
        <v>M+KB</v>
      </c>
      <c r="D8" s="196" t="str">
        <f>IFERROR(__xludf.DUMMYFUNCTION("""COMPUTED_VALUE"""),"Active")</f>
        <v>Active</v>
      </c>
      <c r="E8" s="197">
        <f>IFERROR(__xludf.DUMMYFUNCTION("""COMPUTED_VALUE"""),44427.0)</f>
        <v>44427</v>
      </c>
      <c r="F8" s="198"/>
      <c r="G8" s="199">
        <f>IFERROR(__xludf.DUMMYFUNCTION("""COMPUTED_VALUE"""),49.866666666666674)</f>
        <v>49.86666667</v>
      </c>
      <c r="H8" s="197">
        <f>IFERROR(__xludf.DUMMYFUNCTION("""COMPUTED_VALUE"""),35269.0)</f>
        <v>35269</v>
      </c>
      <c r="I8" s="199">
        <f>IFERROR(__xludf.DUMMYFUNCTION("""COMPUTED_VALUE"""),25.072222222222223)</f>
        <v>25.07222222</v>
      </c>
      <c r="J8" s="200">
        <f>IFERROR(__xludf.DUMMYFUNCTION("""COMPUTED_VALUE"""),94.0)</f>
        <v>94</v>
      </c>
      <c r="K8" s="200">
        <f>IFERROR(__xludf.DUMMYFUNCTION("""COMPUTED_VALUE"""),5.5)</f>
        <v>5.5</v>
      </c>
      <c r="L8" s="201" t="str">
        <f>IFERROR(__xludf.DUMMYFUNCTION("""COMPUTED_VALUE"""),"First-Person Shooter")</f>
        <v>First-Person Shooter</v>
      </c>
      <c r="M8" s="201"/>
    </row>
    <row r="9">
      <c r="A9" s="190" t="str">
        <f>IFERROR(__xludf.DUMMYFUNCTION("""COMPUTED_VALUE"""),"The Elder Scrolls IV: Oblivion")</f>
        <v>The Elder Scrolls IV: Oblivion</v>
      </c>
      <c r="B9" s="195" t="str">
        <f>IFERROR(__xludf.DUMMYFUNCTION("""COMPUTED_VALUE"""),"Xbox / PC")</f>
        <v>Xbox / PC</v>
      </c>
      <c r="C9" s="196" t="str">
        <f>IFERROR(__xludf.DUMMYFUNCTION("""COMPUTED_VALUE"""),"Yes")</f>
        <v>Yes</v>
      </c>
      <c r="D9" s="196" t="str">
        <f>IFERROR(__xludf.DUMMYFUNCTION("""COMPUTED_VALUE"""),"Active")</f>
        <v>Active</v>
      </c>
      <c r="E9" s="197">
        <f>IFERROR(__xludf.DUMMYFUNCTION("""COMPUTED_VALUE"""),43282.0)</f>
        <v>43282</v>
      </c>
      <c r="F9" s="198"/>
      <c r="G9" s="199">
        <f>IFERROR(__xludf.DUMMYFUNCTION("""COMPUTED_VALUE"""),87.46666666666667)</f>
        <v>87.46666667</v>
      </c>
      <c r="H9" s="197">
        <f>IFERROR(__xludf.DUMMYFUNCTION("""COMPUTED_VALUE"""),38796.0)</f>
        <v>38796</v>
      </c>
      <c r="I9" s="199">
        <f>IFERROR(__xludf.DUMMYFUNCTION("""COMPUTED_VALUE"""),12.280555555555555)</f>
        <v>12.28055556</v>
      </c>
      <c r="J9" s="200">
        <f>IFERROR(__xludf.DUMMYFUNCTION("""COMPUTED_VALUE"""),94.0)</f>
        <v>94</v>
      </c>
      <c r="K9" s="200">
        <f>IFERROR(__xludf.DUMMYFUNCTION("""COMPUTED_VALUE"""),27.5)</f>
        <v>27.5</v>
      </c>
      <c r="L9" s="201" t="str">
        <f>IFERROR(__xludf.DUMMYFUNCTION("""COMPUTED_VALUE"""),"Action / RPG")</f>
        <v>Action / RPG</v>
      </c>
      <c r="M9" s="201" t="str">
        <f>IFERROR(__xludf.DUMMYFUNCTION("""COMPUTED_VALUE"""),"FPS Boost")</f>
        <v>FPS Boost</v>
      </c>
    </row>
    <row r="10">
      <c r="A10" s="190" t="str">
        <f>IFERROR(__xludf.DUMMYFUNCTION("""COMPUTED_VALUE"""),"Gears of War")</f>
        <v>Gears of War</v>
      </c>
      <c r="B10" s="195" t="str">
        <f>IFERROR(__xludf.DUMMYFUNCTION("""COMPUTED_VALUE"""),"Xbox")</f>
        <v>Xbox</v>
      </c>
      <c r="C10" s="196"/>
      <c r="D10" s="196" t="str">
        <f>IFERROR(__xludf.DUMMYFUNCTION("""COMPUTED_VALUE"""),"Active")</f>
        <v>Active</v>
      </c>
      <c r="E10" s="197">
        <f>IFERROR(__xludf.DUMMYFUNCTION("""COMPUTED_VALUE"""),42887.0)</f>
        <v>42887</v>
      </c>
      <c r="F10" s="198"/>
      <c r="G10" s="199">
        <f>IFERROR(__xludf.DUMMYFUNCTION("""COMPUTED_VALUE"""),100.46666666666667)</f>
        <v>100.4666667</v>
      </c>
      <c r="H10" s="197">
        <f>IFERROR(__xludf.DUMMYFUNCTION("""COMPUTED_VALUE"""),39028.0)</f>
        <v>39028</v>
      </c>
      <c r="I10" s="199">
        <f>IFERROR(__xludf.DUMMYFUNCTION("""COMPUTED_VALUE"""),10.566666666666666)</f>
        <v>10.56666667</v>
      </c>
      <c r="J10" s="200">
        <f>IFERROR(__xludf.DUMMYFUNCTION("""COMPUTED_VALUE"""),94.0)</f>
        <v>94</v>
      </c>
      <c r="K10" s="200">
        <f>IFERROR(__xludf.DUMMYFUNCTION("""COMPUTED_VALUE"""),9.0)</f>
        <v>9</v>
      </c>
      <c r="L10" s="201" t="str">
        <f>IFERROR(__xludf.DUMMYFUNCTION("""COMPUTED_VALUE"""),"Shooter")</f>
        <v>Shooter</v>
      </c>
      <c r="M10" s="201" t="str">
        <f>IFERROR(__xludf.DUMMYFUNCTION("""COMPUTED_VALUE"""),"FPS Boost")</f>
        <v>FPS Boost</v>
      </c>
    </row>
    <row r="11">
      <c r="A11" s="190" t="str">
        <f>IFERROR(__xludf.DUMMYFUNCTION("""COMPUTED_VALUE"""),"Hades")</f>
        <v>Hades</v>
      </c>
      <c r="B11" s="195" t="str">
        <f>IFERROR(__xludf.DUMMYFUNCTION("""COMPUTED_VALUE"""),"Xbox / PC")</f>
        <v>Xbox / PC</v>
      </c>
      <c r="C11" s="196" t="str">
        <f>IFERROR(__xludf.DUMMYFUNCTION("""COMPUTED_VALUE"""),"Touch Controls")</f>
        <v>Touch Controls</v>
      </c>
      <c r="D11" s="196" t="str">
        <f>IFERROR(__xludf.DUMMYFUNCTION("""COMPUTED_VALUE"""),"Active")</f>
        <v>Active</v>
      </c>
      <c r="E11" s="197">
        <f>IFERROR(__xludf.DUMMYFUNCTION("""COMPUTED_VALUE"""),45919.0)</f>
        <v>45919</v>
      </c>
      <c r="F11" s="198"/>
      <c r="G11" s="199">
        <f>IFERROR(__xludf.DUMMYFUNCTION("""COMPUTED_VALUE"""),0.8666666666666666)</f>
        <v>0.8666666667</v>
      </c>
      <c r="H11" s="197">
        <f>IFERROR(__xludf.DUMMYFUNCTION("""COMPUTED_VALUE"""),43441.0)</f>
        <v>43441</v>
      </c>
      <c r="I11" s="199">
        <f>IFERROR(__xludf.DUMMYFUNCTION("""COMPUTED_VALUE"""),6.783333333333333)</f>
        <v>6.783333333</v>
      </c>
      <c r="J11" s="200">
        <f>IFERROR(__xludf.DUMMYFUNCTION("""COMPUTED_VALUE"""),93.5)</f>
        <v>93.5</v>
      </c>
      <c r="K11" s="200">
        <f>IFERROR(__xludf.DUMMYFUNCTION("""COMPUTED_VALUE"""),21.0)</f>
        <v>21</v>
      </c>
      <c r="L11" s="201" t="str">
        <f>IFERROR(__xludf.DUMMYFUNCTION("""COMPUTED_VALUE"""),"Action / RPG")</f>
        <v>Action / RPG</v>
      </c>
      <c r="M11" s="201" t="str">
        <f>IFERROR(__xludf.DUMMYFUNCTION("""COMPUTED_VALUE"""),"Optimized")</f>
        <v>Optimized</v>
      </c>
    </row>
    <row r="12">
      <c r="A12" s="190" t="str">
        <f>IFERROR(__xludf.DUMMYFUNCTION("""COMPUTED_VALUE"""),"Blue Prince")</f>
        <v>Blue Prince</v>
      </c>
      <c r="B12" s="195" t="str">
        <f>IFERROR(__xludf.DUMMYFUNCTION("""COMPUTED_VALUE"""),"Xbox / PC")</f>
        <v>Xbox / PC</v>
      </c>
      <c r="C12" s="196" t="str">
        <f>IFERROR(__xludf.DUMMYFUNCTION("""COMPUTED_VALUE"""),"Yes")</f>
        <v>Yes</v>
      </c>
      <c r="D12" s="196" t="str">
        <f>IFERROR(__xludf.DUMMYFUNCTION("""COMPUTED_VALUE"""),"Active")</f>
        <v>Active</v>
      </c>
      <c r="E12" s="197">
        <f>IFERROR(__xludf.DUMMYFUNCTION("""COMPUTED_VALUE"""),45757.0)</f>
        <v>45757</v>
      </c>
      <c r="F12" s="198"/>
      <c r="G12" s="199">
        <f>IFERROR(__xludf.DUMMYFUNCTION("""COMPUTED_VALUE"""),6.166666666666666)</f>
        <v>6.166666667</v>
      </c>
      <c r="H12" s="197">
        <f>IFERROR(__xludf.DUMMYFUNCTION("""COMPUTED_VALUE"""),45757.0)</f>
        <v>45757</v>
      </c>
      <c r="I12" s="199">
        <f>IFERROR(__xludf.DUMMYFUNCTION("""COMPUTED_VALUE"""),0.0)</f>
        <v>0</v>
      </c>
      <c r="J12" s="200">
        <f>IFERROR(__xludf.DUMMYFUNCTION("""COMPUTED_VALUE"""),93.0)</f>
        <v>93</v>
      </c>
      <c r="K12" s="200">
        <f>IFERROR(__xludf.DUMMYFUNCTION("""COMPUTED_VALUE"""),14.0)</f>
        <v>14</v>
      </c>
      <c r="L12" s="201" t="str">
        <f>IFERROR(__xludf.DUMMYFUNCTION("""COMPUTED_VALUE"""),"Action-Adventure")</f>
        <v>Action-Adventure</v>
      </c>
      <c r="M12" s="201" t="str">
        <f>IFERROR(__xludf.DUMMYFUNCTION("""COMPUTED_VALUE"""),"Exclusive")</f>
        <v>Exclusive</v>
      </c>
    </row>
    <row r="13">
      <c r="A13" s="190" t="str">
        <f>IFERROR(__xludf.DUMMYFUNCTION("""COMPUTED_VALUE"""),"Inside")</f>
        <v>Inside</v>
      </c>
      <c r="B13" s="195" t="str">
        <f>IFERROR(__xludf.DUMMYFUNCTION("""COMPUTED_VALUE"""),"Xbox / PC")</f>
        <v>Xbox / PC</v>
      </c>
      <c r="C13" s="196" t="str">
        <f>IFERROR(__xludf.DUMMYFUNCTION("""COMPUTED_VALUE"""),"Yes")</f>
        <v>Yes</v>
      </c>
      <c r="D13" s="196" t="str">
        <f>IFERROR(__xludf.DUMMYFUNCTION("""COMPUTED_VALUE"""),"Active")</f>
        <v>Active</v>
      </c>
      <c r="E13" s="197">
        <f>IFERROR(__xludf.DUMMYFUNCTION("""COMPUTED_VALUE"""),44763.0)</f>
        <v>44763</v>
      </c>
      <c r="F13" s="198"/>
      <c r="G13" s="199">
        <f>IFERROR(__xludf.DUMMYFUNCTION("""COMPUTED_VALUE"""),38.8)</f>
        <v>38.8</v>
      </c>
      <c r="H13" s="197">
        <f>IFERROR(__xludf.DUMMYFUNCTION("""COMPUTED_VALUE"""),42550.0)</f>
        <v>42550</v>
      </c>
      <c r="I13" s="199">
        <f>IFERROR(__xludf.DUMMYFUNCTION("""COMPUTED_VALUE"""),6.061111111111111)</f>
        <v>6.061111111</v>
      </c>
      <c r="J13" s="200">
        <f>IFERROR(__xludf.DUMMYFUNCTION("""COMPUTED_VALUE"""),93.0)</f>
        <v>93</v>
      </c>
      <c r="K13" s="200">
        <f>IFERROR(__xludf.DUMMYFUNCTION("""COMPUTED_VALUE"""),3.5)</f>
        <v>3.5</v>
      </c>
      <c r="L13" s="201" t="str">
        <f>IFERROR(__xludf.DUMMYFUNCTION("""COMPUTED_VALUE"""),"Puzzle / Platformer")</f>
        <v>Puzzle / Platformer</v>
      </c>
      <c r="M13" s="201"/>
    </row>
    <row r="14">
      <c r="A14" s="190" t="str">
        <f>IFERROR(__xludf.DUMMYFUNCTION("""COMPUTED_VALUE"""),"Mass Effect 3: N7 Digital Deluxe Edition")</f>
        <v>Mass Effect 3: N7 Digital Deluxe Edition</v>
      </c>
      <c r="B14" s="195" t="str">
        <f>IFERROR(__xludf.DUMMYFUNCTION("""COMPUTED_VALUE"""),"Xbox / PC")</f>
        <v>Xbox / PC</v>
      </c>
      <c r="C14" s="196"/>
      <c r="D14" s="196" t="str">
        <f>IFERROR(__xludf.DUMMYFUNCTION("""COMPUTED_VALUE"""),"Active")</f>
        <v>Active</v>
      </c>
      <c r="E14" s="197">
        <f>IFERROR(__xludf.DUMMYFUNCTION("""COMPUTED_VALUE"""),44145.0)</f>
        <v>44145</v>
      </c>
      <c r="F14" s="198"/>
      <c r="G14" s="199">
        <f>IFERROR(__xludf.DUMMYFUNCTION("""COMPUTED_VALUE"""),59.166666666666664)</f>
        <v>59.16666667</v>
      </c>
      <c r="H14" s="197">
        <f>IFERROR(__xludf.DUMMYFUNCTION("""COMPUTED_VALUE"""),40974.0)</f>
        <v>40974</v>
      </c>
      <c r="I14" s="199">
        <f>IFERROR(__xludf.DUMMYFUNCTION("""COMPUTED_VALUE"""),8.677777777777777)</f>
        <v>8.677777778</v>
      </c>
      <c r="J14" s="200">
        <f>IFERROR(__xludf.DUMMYFUNCTION("""COMPUTED_VALUE"""),93.0)</f>
        <v>93</v>
      </c>
      <c r="K14" s="200">
        <f>IFERROR(__xludf.DUMMYFUNCTION("""COMPUTED_VALUE"""),24.0)</f>
        <v>24</v>
      </c>
      <c r="L14" s="201" t="str">
        <f>IFERROR(__xludf.DUMMYFUNCTION("""COMPUTED_VALUE"""),"RPG / Shooter / Action-Adventure")</f>
        <v>RPG / Shooter / Action-Adventure</v>
      </c>
      <c r="M14" s="201"/>
    </row>
    <row r="15">
      <c r="A15" s="190" t="str">
        <f>IFERROR(__xludf.DUMMYFUNCTION("""COMPUTED_VALUE"""),"Fallout 3: Game of the Year Edition")</f>
        <v>Fallout 3: Game of the Year Edition</v>
      </c>
      <c r="B15" s="195" t="str">
        <f>IFERROR(__xludf.DUMMYFUNCTION("""COMPUTED_VALUE"""),"Xbox / PC")</f>
        <v>Xbox / PC</v>
      </c>
      <c r="C15" s="196" t="str">
        <f>IFERROR(__xludf.DUMMYFUNCTION("""COMPUTED_VALUE"""),"Yes")</f>
        <v>Yes</v>
      </c>
      <c r="D15" s="196" t="str">
        <f>IFERROR(__xludf.DUMMYFUNCTION("""COMPUTED_VALUE"""),"Active")</f>
        <v>Active</v>
      </c>
      <c r="E15" s="197">
        <f>IFERROR(__xludf.DUMMYFUNCTION("""COMPUTED_VALUE"""),43282.0)</f>
        <v>43282</v>
      </c>
      <c r="F15" s="198"/>
      <c r="G15" s="199">
        <f>IFERROR(__xludf.DUMMYFUNCTION("""COMPUTED_VALUE"""),87.46666666666667)</f>
        <v>87.46666667</v>
      </c>
      <c r="H15" s="197">
        <f>IFERROR(__xludf.DUMMYFUNCTION("""COMPUTED_VALUE"""),39749.0)</f>
        <v>39749</v>
      </c>
      <c r="I15" s="199">
        <f>IFERROR(__xludf.DUMMYFUNCTION("""COMPUTED_VALUE"""),9.675)</f>
        <v>9.675</v>
      </c>
      <c r="J15" s="200">
        <f>IFERROR(__xludf.DUMMYFUNCTION("""COMPUTED_VALUE"""),93.0)</f>
        <v>93</v>
      </c>
      <c r="K15" s="200">
        <f>IFERROR(__xludf.DUMMYFUNCTION("""COMPUTED_VALUE"""),22.5)</f>
        <v>22.5</v>
      </c>
      <c r="L15" s="201" t="str">
        <f>IFERROR(__xludf.DUMMYFUNCTION("""COMPUTED_VALUE"""),"RPG / First-Person Shooter")</f>
        <v>RPG / First-Person Shooter</v>
      </c>
      <c r="M15" s="201" t="str">
        <f>IFERROR(__xludf.DUMMYFUNCTION("""COMPUTED_VALUE"""),"FPS Boost")</f>
        <v>FPS Boost</v>
      </c>
    </row>
    <row r="16">
      <c r="A16" s="190" t="str">
        <f>IFERROR(__xludf.DUMMYFUNCTION("""COMPUTED_VALUE"""),"Gears of War 2")</f>
        <v>Gears of War 2</v>
      </c>
      <c r="B16" s="195" t="str">
        <f>IFERROR(__xludf.DUMMYFUNCTION("""COMPUTED_VALUE"""),"Xbox")</f>
        <v>Xbox</v>
      </c>
      <c r="C16" s="196" t="str">
        <f>IFERROR(__xludf.DUMMYFUNCTION("""COMPUTED_VALUE"""),"Yes")</f>
        <v>Yes</v>
      </c>
      <c r="D16" s="196" t="str">
        <f>IFERROR(__xludf.DUMMYFUNCTION("""COMPUTED_VALUE"""),"Active")</f>
        <v>Active</v>
      </c>
      <c r="E16" s="197">
        <f>IFERROR(__xludf.DUMMYFUNCTION("""COMPUTED_VALUE"""),42887.0)</f>
        <v>42887</v>
      </c>
      <c r="F16" s="198"/>
      <c r="G16" s="199">
        <f>IFERROR(__xludf.DUMMYFUNCTION("""COMPUTED_VALUE"""),100.46666666666667)</f>
        <v>100.4666667</v>
      </c>
      <c r="H16" s="197">
        <f>IFERROR(__xludf.DUMMYFUNCTION("""COMPUTED_VALUE"""),39759.0)</f>
        <v>39759</v>
      </c>
      <c r="I16" s="199">
        <f>IFERROR(__xludf.DUMMYFUNCTION("""COMPUTED_VALUE"""),8.566666666666666)</f>
        <v>8.566666667</v>
      </c>
      <c r="J16" s="200">
        <f>IFERROR(__xludf.DUMMYFUNCTION("""COMPUTED_VALUE"""),93.0)</f>
        <v>93</v>
      </c>
      <c r="K16" s="200">
        <f>IFERROR(__xludf.DUMMYFUNCTION("""COMPUTED_VALUE"""),10.0)</f>
        <v>10</v>
      </c>
      <c r="L16" s="201" t="str">
        <f>IFERROR(__xludf.DUMMYFUNCTION("""COMPUTED_VALUE"""),"Action / Shooter")</f>
        <v>Action / Shooter</v>
      </c>
      <c r="M16" s="201" t="str">
        <f>IFERROR(__xludf.DUMMYFUNCTION("""COMPUTED_VALUE"""),"FPS Boost")</f>
        <v>FPS Boost</v>
      </c>
    </row>
    <row r="17">
      <c r="A17" s="190" t="str">
        <f>IFERROR(__xludf.DUMMYFUNCTION("""COMPUTED_VALUE"""),"Rayman Legends")</f>
        <v>Rayman Legends</v>
      </c>
      <c r="B17" s="195" t="str">
        <f>IFERROR(__xludf.DUMMYFUNCTION("""COMPUTED_VALUE"""),"Xbox / PC")</f>
        <v>Xbox / PC</v>
      </c>
      <c r="C17" s="196" t="str">
        <f>IFERROR(__xludf.DUMMYFUNCTION("""COMPUTED_VALUE"""),"Yes")</f>
        <v>Yes</v>
      </c>
      <c r="D17" s="196" t="str">
        <f>IFERROR(__xludf.DUMMYFUNCTION("""COMPUTED_VALUE"""),"Active")</f>
        <v>Active</v>
      </c>
      <c r="E17" s="197">
        <f>IFERROR(__xludf.DUMMYFUNCTION("""COMPUTED_VALUE"""),45931.0)</f>
        <v>45931</v>
      </c>
      <c r="F17" s="198"/>
      <c r="G17" s="199">
        <f>IFERROR(__xludf.DUMMYFUNCTION("""COMPUTED_VALUE"""),0.4666666666666667)</f>
        <v>0.4666666667</v>
      </c>
      <c r="H17" s="197">
        <f>IFERROR(__xludf.DUMMYFUNCTION("""COMPUTED_VALUE"""),41520.0)</f>
        <v>41520</v>
      </c>
      <c r="I17" s="199">
        <f>IFERROR(__xludf.DUMMYFUNCTION("""COMPUTED_VALUE"""),12.077777777777778)</f>
        <v>12.07777778</v>
      </c>
      <c r="J17" s="200">
        <f>IFERROR(__xludf.DUMMYFUNCTION("""COMPUTED_VALUE"""),92.0)</f>
        <v>92</v>
      </c>
      <c r="K17" s="200">
        <f>IFERROR(__xludf.DUMMYFUNCTION("""COMPUTED_VALUE"""),10.0)</f>
        <v>10</v>
      </c>
      <c r="L17" s="201" t="str">
        <f>IFERROR(__xludf.DUMMYFUNCTION("""COMPUTED_VALUE"""),"Platformer")</f>
        <v>Platformer</v>
      </c>
      <c r="M17" s="201"/>
    </row>
    <row r="18">
      <c r="A18" s="190" t="str">
        <f>IFERROR(__xludf.DUMMYFUNCTION("""COMPUTED_VALUE"""),"Clair Obscur: Expedition 33")</f>
        <v>Clair Obscur: Expedition 33</v>
      </c>
      <c r="B18" s="195" t="str">
        <f>IFERROR(__xludf.DUMMYFUNCTION("""COMPUTED_VALUE"""),"Xbox / PC")</f>
        <v>Xbox / PC</v>
      </c>
      <c r="C18" s="196" t="str">
        <f>IFERROR(__xludf.DUMMYFUNCTION("""COMPUTED_VALUE"""),"Yes")</f>
        <v>Yes</v>
      </c>
      <c r="D18" s="196" t="str">
        <f>IFERROR(__xludf.DUMMYFUNCTION("""COMPUTED_VALUE"""),"Active")</f>
        <v>Active</v>
      </c>
      <c r="E18" s="197">
        <f>IFERROR(__xludf.DUMMYFUNCTION("""COMPUTED_VALUE"""),45771.0)</f>
        <v>45771</v>
      </c>
      <c r="F18" s="198"/>
      <c r="G18" s="199">
        <f>IFERROR(__xludf.DUMMYFUNCTION("""COMPUTED_VALUE"""),5.699999999999999)</f>
        <v>5.7</v>
      </c>
      <c r="H18" s="197">
        <f>IFERROR(__xludf.DUMMYFUNCTION("""COMPUTED_VALUE"""),45771.0)</f>
        <v>45771</v>
      </c>
      <c r="I18" s="199">
        <f>IFERROR(__xludf.DUMMYFUNCTION("""COMPUTED_VALUE"""),0.0)</f>
        <v>0</v>
      </c>
      <c r="J18" s="200">
        <f>IFERROR(__xludf.DUMMYFUNCTION("""COMPUTED_VALUE"""),92.0)</f>
        <v>92</v>
      </c>
      <c r="K18" s="200">
        <f>IFERROR(__xludf.DUMMYFUNCTION("""COMPUTED_VALUE"""),26.0)</f>
        <v>26</v>
      </c>
      <c r="L18" s="201" t="str">
        <f>IFERROR(__xludf.DUMMYFUNCTION("""COMPUTED_VALUE"""),"RPG")</f>
        <v>RPG</v>
      </c>
      <c r="M18" s="201" t="str">
        <f>IFERROR(__xludf.DUMMYFUNCTION("""COMPUTED_VALUE"""),"Exclusive")</f>
        <v>Exclusive</v>
      </c>
    </row>
    <row r="19">
      <c r="A19" s="190" t="str">
        <f>IFERROR(__xludf.DUMMYFUNCTION("""COMPUTED_VALUE"""),"Microsoft Flight Simulator (2020): Game of the Year Edition")</f>
        <v>Microsoft Flight Simulator (2020): Game of the Year Edition</v>
      </c>
      <c r="B19" s="195" t="str">
        <f>IFERROR(__xludf.DUMMYFUNCTION("""COMPUTED_VALUE"""),"Xbox / PC")</f>
        <v>Xbox / PC</v>
      </c>
      <c r="C19" s="196" t="str">
        <f>IFERROR(__xludf.DUMMYFUNCTION("""COMPUTED_VALUE"""),"Yes")</f>
        <v>Yes</v>
      </c>
      <c r="D19" s="196" t="str">
        <f>IFERROR(__xludf.DUMMYFUNCTION("""COMPUTED_VALUE"""),"Active")</f>
        <v>Active</v>
      </c>
      <c r="E19" s="197">
        <f>IFERROR(__xludf.DUMMYFUNCTION("""COMPUTED_VALUE"""),44061.0)</f>
        <v>44061</v>
      </c>
      <c r="F19" s="198"/>
      <c r="G19" s="199">
        <f>IFERROR(__xludf.DUMMYFUNCTION("""COMPUTED_VALUE"""),61.9)</f>
        <v>61.9</v>
      </c>
      <c r="H19" s="197">
        <f>IFERROR(__xludf.DUMMYFUNCTION("""COMPUTED_VALUE"""),44061.0)</f>
        <v>44061</v>
      </c>
      <c r="I19" s="199">
        <f>IFERROR(__xludf.DUMMYFUNCTION("""COMPUTED_VALUE"""),0.0)</f>
        <v>0</v>
      </c>
      <c r="J19" s="200">
        <f>IFERROR(__xludf.DUMMYFUNCTION("""COMPUTED_VALUE"""),92.0)</f>
        <v>92</v>
      </c>
      <c r="K19" s="200">
        <f>IFERROR(__xludf.DUMMYFUNCTION("""COMPUTED_VALUE"""),41.5)</f>
        <v>41.5</v>
      </c>
      <c r="L19" s="201" t="str">
        <f>IFERROR(__xludf.DUMMYFUNCTION("""COMPUTED_VALUE"""),"Simulation / Flight Simulator")</f>
        <v>Simulation / Flight Simulator</v>
      </c>
      <c r="M19" s="201" t="str">
        <f>IFERROR(__xludf.DUMMYFUNCTION("""COMPUTED_VALUE"""),"Exclusive, Optimized")</f>
        <v>Exclusive, Optimized</v>
      </c>
    </row>
    <row r="20">
      <c r="A20" s="190" t="str">
        <f>IFERROR(__xludf.DUMMYFUNCTION("""COMPUTED_VALUE"""),"Forza Horizon 5")</f>
        <v>Forza Horizon 5</v>
      </c>
      <c r="B20" s="195" t="str">
        <f>IFERROR(__xludf.DUMMYFUNCTION("""COMPUTED_VALUE"""),"Xbox / PC")</f>
        <v>Xbox / PC</v>
      </c>
      <c r="C20" s="196" t="str">
        <f>IFERROR(__xludf.DUMMYFUNCTION("""COMPUTED_VALUE"""),"Yes")</f>
        <v>Yes</v>
      </c>
      <c r="D20" s="196" t="str">
        <f>IFERROR(__xludf.DUMMYFUNCTION("""COMPUTED_VALUE"""),"Active")</f>
        <v>Active</v>
      </c>
      <c r="E20" s="197">
        <f>IFERROR(__xludf.DUMMYFUNCTION("""COMPUTED_VALUE"""),44509.0)</f>
        <v>44509</v>
      </c>
      <c r="F20" s="198"/>
      <c r="G20" s="199">
        <f>IFERROR(__xludf.DUMMYFUNCTION("""COMPUTED_VALUE"""),47.199999999999996)</f>
        <v>47.2</v>
      </c>
      <c r="H20" s="197">
        <f>IFERROR(__xludf.DUMMYFUNCTION("""COMPUTED_VALUE"""),44509.0)</f>
        <v>44509</v>
      </c>
      <c r="I20" s="199">
        <f>IFERROR(__xludf.DUMMYFUNCTION("""COMPUTED_VALUE"""),0.0)</f>
        <v>0</v>
      </c>
      <c r="J20" s="200">
        <f>IFERROR(__xludf.DUMMYFUNCTION("""COMPUTED_VALUE"""),91.5)</f>
        <v>91.5</v>
      </c>
      <c r="K20" s="200">
        <f>IFERROR(__xludf.DUMMYFUNCTION("""COMPUTED_VALUE"""),17.0)</f>
        <v>17</v>
      </c>
      <c r="L20" s="201" t="str">
        <f>IFERROR(__xludf.DUMMYFUNCTION("""COMPUTED_VALUE"""),"Driving/Racing")</f>
        <v>Driving/Racing</v>
      </c>
      <c r="M20" s="201"/>
    </row>
    <row r="21">
      <c r="A21" s="190" t="str">
        <f>IFERROR(__xludf.DUMMYFUNCTION("""COMPUTED_VALUE"""),"Resident Evil 2 (2019)")</f>
        <v>Resident Evil 2 (2019)</v>
      </c>
      <c r="B21" s="195" t="str">
        <f>IFERROR(__xludf.DUMMYFUNCTION("""COMPUTED_VALUE"""),"Xbox / PC")</f>
        <v>Xbox / PC</v>
      </c>
      <c r="C21" s="196" t="str">
        <f>IFERROR(__xludf.DUMMYFUNCTION("""COMPUTED_VALUE"""),"Yes")</f>
        <v>Yes</v>
      </c>
      <c r="D21" s="196" t="str">
        <f>IFERROR(__xludf.DUMMYFUNCTION("""COMPUTED_VALUE"""),"Active")</f>
        <v>Active</v>
      </c>
      <c r="E21" s="197">
        <f>IFERROR(__xludf.DUMMYFUNCTION("""COMPUTED_VALUE"""),45307.0)</f>
        <v>45307</v>
      </c>
      <c r="F21" s="198"/>
      <c r="G21" s="199">
        <f>IFERROR(__xludf.DUMMYFUNCTION("""COMPUTED_VALUE"""),20.96666666666667)</f>
        <v>20.96666667</v>
      </c>
      <c r="H21" s="197">
        <f>IFERROR(__xludf.DUMMYFUNCTION("""COMPUTED_VALUE"""),43480.0)</f>
        <v>43480</v>
      </c>
      <c r="I21" s="199">
        <f>IFERROR(__xludf.DUMMYFUNCTION("""COMPUTED_VALUE"""),5.002777777777778)</f>
        <v>5.002777778</v>
      </c>
      <c r="J21" s="200">
        <f>IFERROR(__xludf.DUMMYFUNCTION("""COMPUTED_VALUE"""),91.0)</f>
        <v>91</v>
      </c>
      <c r="K21" s="200">
        <f>IFERROR(__xludf.DUMMYFUNCTION("""COMPUTED_VALUE"""),9.0)</f>
        <v>9</v>
      </c>
      <c r="L21" s="201" t="str">
        <f>IFERROR(__xludf.DUMMYFUNCTION("""COMPUTED_VALUE"""),"Shooter / Action-Adventure")</f>
        <v>Shooter / Action-Adventure</v>
      </c>
      <c r="M21" s="201"/>
    </row>
    <row r="22">
      <c r="A22" s="190" t="str">
        <f>IFERROR(__xludf.DUMMYFUNCTION("""COMPUTED_VALUE"""),"Celeste")</f>
        <v>Celeste</v>
      </c>
      <c r="B22" s="195" t="str">
        <f>IFERROR(__xludf.DUMMYFUNCTION("""COMPUTED_VALUE"""),"Xbox / PC")</f>
        <v>Xbox / PC</v>
      </c>
      <c r="C22" s="196" t="str">
        <f>IFERROR(__xludf.DUMMYFUNCTION("""COMPUTED_VALUE"""),"Touch Controls")</f>
        <v>Touch Controls</v>
      </c>
      <c r="D22" s="196" t="str">
        <f>IFERROR(__xludf.DUMMYFUNCTION("""COMPUTED_VALUE"""),"Active")</f>
        <v>Active</v>
      </c>
      <c r="E22" s="197">
        <f>IFERROR(__xludf.DUMMYFUNCTION("""COMPUTED_VALUE"""),45139.0)</f>
        <v>45139</v>
      </c>
      <c r="F22" s="198"/>
      <c r="G22" s="199">
        <f>IFERROR(__xludf.DUMMYFUNCTION("""COMPUTED_VALUE"""),26.46666666666667)</f>
        <v>26.46666667</v>
      </c>
      <c r="H22" s="197">
        <f>IFERROR(__xludf.DUMMYFUNCTION("""COMPUTED_VALUE"""),43125.0)</f>
        <v>43125</v>
      </c>
      <c r="I22" s="199">
        <f>IFERROR(__xludf.DUMMYFUNCTION("""COMPUTED_VALUE"""),5.516666666666667)</f>
        <v>5.516666667</v>
      </c>
      <c r="J22" s="200">
        <f>IFERROR(__xludf.DUMMYFUNCTION("""COMPUTED_VALUE"""),91.0)</f>
        <v>91</v>
      </c>
      <c r="K22" s="200">
        <f>IFERROR(__xludf.DUMMYFUNCTION("""COMPUTED_VALUE"""),8.0)</f>
        <v>8</v>
      </c>
      <c r="L22" s="201" t="str">
        <f>IFERROR(__xludf.DUMMYFUNCTION("""COMPUTED_VALUE"""),"Platformer")</f>
        <v>Platformer</v>
      </c>
      <c r="M22" s="201"/>
    </row>
    <row r="23">
      <c r="A23" s="190" t="str">
        <f>IFERROR(__xludf.DUMMYFUNCTION("""COMPUTED_VALUE"""),"Crusader Kings III")</f>
        <v>Crusader Kings III</v>
      </c>
      <c r="B23" s="195" t="str">
        <f>IFERROR(__xludf.DUMMYFUNCTION("""COMPUTED_VALUE"""),"Xbox / PC")</f>
        <v>Xbox / PC</v>
      </c>
      <c r="C23" s="196" t="str">
        <f>IFERROR(__xludf.DUMMYFUNCTION("""COMPUTED_VALUE"""),"Yes")</f>
        <v>Yes</v>
      </c>
      <c r="D23" s="196" t="str">
        <f>IFERROR(__xludf.DUMMYFUNCTION("""COMPUTED_VALUE"""),"Active")</f>
        <v>Active</v>
      </c>
      <c r="E23" s="197">
        <f>IFERROR(__xludf.DUMMYFUNCTION("""COMPUTED_VALUE"""),44075.0)</f>
        <v>44075</v>
      </c>
      <c r="F23" s="198"/>
      <c r="G23" s="199">
        <f>IFERROR(__xludf.DUMMYFUNCTION("""COMPUTED_VALUE"""),61.46666666666666)</f>
        <v>61.46666667</v>
      </c>
      <c r="H23" s="197">
        <f>IFERROR(__xludf.DUMMYFUNCTION("""COMPUTED_VALUE"""),44075.0)</f>
        <v>44075</v>
      </c>
      <c r="I23" s="199">
        <f>IFERROR(__xludf.DUMMYFUNCTION("""COMPUTED_VALUE"""),0.0)</f>
        <v>0</v>
      </c>
      <c r="J23" s="200">
        <f>IFERROR(__xludf.DUMMYFUNCTION("""COMPUTED_VALUE"""),91.0)</f>
        <v>91</v>
      </c>
      <c r="K23" s="200">
        <f>IFERROR(__xludf.DUMMYFUNCTION("""COMPUTED_VALUE"""),12.5)</f>
        <v>12.5</v>
      </c>
      <c r="L23" s="201" t="str">
        <f>IFERROR(__xludf.DUMMYFUNCTION("""COMPUTED_VALUE"""),"Strategy")</f>
        <v>Strategy</v>
      </c>
      <c r="M23" s="201" t="str">
        <f>IFERROR(__xludf.DUMMYFUNCTION("""COMPUTED_VALUE"""),"Exclusive")</f>
        <v>Exclusive</v>
      </c>
    </row>
    <row r="24">
      <c r="A24" s="190" t="str">
        <f>IFERROR(__xludf.DUMMYFUNCTION("""COMPUTED_VALUE"""),"Halo: Reach")</f>
        <v>Halo: Reach</v>
      </c>
      <c r="B24" s="195" t="str">
        <f>IFERROR(__xludf.DUMMYFUNCTION("""COMPUTED_VALUE"""),"Xbox / PC")</f>
        <v>Xbox / PC</v>
      </c>
      <c r="C24" s="196"/>
      <c r="D24" s="196" t="str">
        <f>IFERROR(__xludf.DUMMYFUNCTION("""COMPUTED_VALUE"""),"Active")</f>
        <v>Active</v>
      </c>
      <c r="E24" s="197">
        <f>IFERROR(__xludf.DUMMYFUNCTION("""COMPUTED_VALUE"""),43802.0)</f>
        <v>43802</v>
      </c>
      <c r="F24" s="198"/>
      <c r="G24" s="199">
        <f>IFERROR(__xludf.DUMMYFUNCTION("""COMPUTED_VALUE"""),70.39999999999999)</f>
        <v>70.4</v>
      </c>
      <c r="H24" s="197">
        <f>IFERROR(__xludf.DUMMYFUNCTION("""COMPUTED_VALUE"""),40435.0)</f>
        <v>40435</v>
      </c>
      <c r="I24" s="199">
        <f>IFERROR(__xludf.DUMMYFUNCTION("""COMPUTED_VALUE"""),9.219444444444445)</f>
        <v>9.219444444</v>
      </c>
      <c r="J24" s="200">
        <f>IFERROR(__xludf.DUMMYFUNCTION("""COMPUTED_VALUE"""),91.0)</f>
        <v>91</v>
      </c>
      <c r="K24" s="200">
        <f>IFERROR(__xludf.DUMMYFUNCTION("""COMPUTED_VALUE"""),8.0)</f>
        <v>8</v>
      </c>
      <c r="L24" s="201" t="str">
        <f>IFERROR(__xludf.DUMMYFUNCTION("""COMPUTED_VALUE"""),"Action / Shooter / First-Person Shooter")</f>
        <v>Action / Shooter / First-Person Shooter</v>
      </c>
      <c r="M24" s="201"/>
    </row>
    <row r="25">
      <c r="A25" s="190" t="str">
        <f>IFERROR(__xludf.DUMMYFUNCTION("""COMPUTED_VALUE"""),"Dead Cells")</f>
        <v>Dead Cells</v>
      </c>
      <c r="B25" s="195" t="str">
        <f>IFERROR(__xludf.DUMMYFUNCTION("""COMPUTED_VALUE"""),"Xbox / PC")</f>
        <v>Xbox / PC</v>
      </c>
      <c r="C25" s="196" t="str">
        <f>IFERROR(__xludf.DUMMYFUNCTION("""COMPUTED_VALUE"""),"Touch Controls")</f>
        <v>Touch Controls</v>
      </c>
      <c r="D25" s="196" t="str">
        <f>IFERROR(__xludf.DUMMYFUNCTION("""COMPUTED_VALUE"""),"Active")</f>
        <v>Active</v>
      </c>
      <c r="E25" s="197">
        <f>IFERROR(__xludf.DUMMYFUNCTION("""COMPUTED_VALUE"""),43713.0)</f>
        <v>43713</v>
      </c>
      <c r="F25" s="198"/>
      <c r="G25" s="199">
        <f>IFERROR(__xludf.DUMMYFUNCTION("""COMPUTED_VALUE"""),73.33333333333333)</f>
        <v>73.33333333</v>
      </c>
      <c r="H25" s="197">
        <f>IFERROR(__xludf.DUMMYFUNCTION("""COMPUTED_VALUE"""),42865.0)</f>
        <v>42865</v>
      </c>
      <c r="I25" s="199">
        <f>IFERROR(__xludf.DUMMYFUNCTION("""COMPUTED_VALUE"""),2.3194444444444446)</f>
        <v>2.319444444</v>
      </c>
      <c r="J25" s="200">
        <f>IFERROR(__xludf.DUMMYFUNCTION("""COMPUTED_VALUE"""),91.0)</f>
        <v>91</v>
      </c>
      <c r="K25" s="200">
        <f>IFERROR(__xludf.DUMMYFUNCTION("""COMPUTED_VALUE"""),13.0)</f>
        <v>13</v>
      </c>
      <c r="L25" s="201" t="str">
        <f>IFERROR(__xludf.DUMMYFUNCTION("""COMPUTED_VALUE"""),"Platformer / Action-Adventure")</f>
        <v>Platformer / Action-Adventure</v>
      </c>
      <c r="M25" s="201"/>
    </row>
    <row r="26">
      <c r="A26" s="190" t="str">
        <f>IFERROR(__xludf.DUMMYFUNCTION("""COMPUTED_VALUE"""),"Gears of War 3")</f>
        <v>Gears of War 3</v>
      </c>
      <c r="B26" s="195" t="str">
        <f>IFERROR(__xludf.DUMMYFUNCTION("""COMPUTED_VALUE"""),"Xbox")</f>
        <v>Xbox</v>
      </c>
      <c r="C26" s="196" t="str">
        <f>IFERROR(__xludf.DUMMYFUNCTION("""COMPUTED_VALUE"""),"Yes")</f>
        <v>Yes</v>
      </c>
      <c r="D26" s="196" t="str">
        <f>IFERROR(__xludf.DUMMYFUNCTION("""COMPUTED_VALUE"""),"Active")</f>
        <v>Active</v>
      </c>
      <c r="E26" s="197">
        <f>IFERROR(__xludf.DUMMYFUNCTION("""COMPUTED_VALUE"""),42887.0)</f>
        <v>42887</v>
      </c>
      <c r="F26" s="198"/>
      <c r="G26" s="199">
        <f>IFERROR(__xludf.DUMMYFUNCTION("""COMPUTED_VALUE"""),100.46666666666667)</f>
        <v>100.4666667</v>
      </c>
      <c r="H26" s="197">
        <f>IFERROR(__xludf.DUMMYFUNCTION("""COMPUTED_VALUE"""),40806.0)</f>
        <v>40806</v>
      </c>
      <c r="I26" s="199">
        <f>IFERROR(__xludf.DUMMYFUNCTION("""COMPUTED_VALUE"""),5.697222222222222)</f>
        <v>5.697222222</v>
      </c>
      <c r="J26" s="200">
        <f>IFERROR(__xludf.DUMMYFUNCTION("""COMPUTED_VALUE"""),91.0)</f>
        <v>91</v>
      </c>
      <c r="K26" s="200">
        <f>IFERROR(__xludf.DUMMYFUNCTION("""COMPUTED_VALUE"""),9.5)</f>
        <v>9.5</v>
      </c>
      <c r="L26" s="201" t="str">
        <f>IFERROR(__xludf.DUMMYFUNCTION("""COMPUTED_VALUE"""),"Action / Shooter")</f>
        <v>Action / Shooter</v>
      </c>
      <c r="M26" s="201" t="str">
        <f>IFERROR(__xludf.DUMMYFUNCTION("""COMPUTED_VALUE"""),"FPS Boost")</f>
        <v>FPS Boost</v>
      </c>
    </row>
    <row r="27">
      <c r="A27" s="190" t="str">
        <f>IFERROR(__xludf.DUMMYFUNCTION("""COMPUTED_VALUE"""),"Persona 4: Golden")</f>
        <v>Persona 4: Golden</v>
      </c>
      <c r="B27" s="195" t="str">
        <f>IFERROR(__xludf.DUMMYFUNCTION("""COMPUTED_VALUE"""),"Xbox / PC")</f>
        <v>Xbox / PC</v>
      </c>
      <c r="C27" s="196" t="str">
        <f>IFERROR(__xludf.DUMMYFUNCTION("""COMPUTED_VALUE"""),"Yes")</f>
        <v>Yes</v>
      </c>
      <c r="D27" s="196" t="str">
        <f>IFERROR(__xludf.DUMMYFUNCTION("""COMPUTED_VALUE"""),"Active")</f>
        <v>Active</v>
      </c>
      <c r="E27" s="197">
        <f>IFERROR(__xludf.DUMMYFUNCTION("""COMPUTED_VALUE"""),45889.0)</f>
        <v>45889</v>
      </c>
      <c r="F27" s="198"/>
      <c r="G27" s="199">
        <f>IFERROR(__xludf.DUMMYFUNCTION("""COMPUTED_VALUE"""),1.8333333333333335)</f>
        <v>1.833333333</v>
      </c>
      <c r="H27" s="197">
        <f>IFERROR(__xludf.DUMMYFUNCTION("""COMPUTED_VALUE"""),41074.0)</f>
        <v>41074</v>
      </c>
      <c r="I27" s="199">
        <f>IFERROR(__xludf.DUMMYFUNCTION("""COMPUTED_VALUE"""),13.183333333333334)</f>
        <v>13.18333333</v>
      </c>
      <c r="J27" s="200">
        <f>IFERROR(__xludf.DUMMYFUNCTION("""COMPUTED_VALUE"""),90.0)</f>
        <v>90</v>
      </c>
      <c r="K27" s="200">
        <f>IFERROR(__xludf.DUMMYFUNCTION("""COMPUTED_VALUE"""),68.5)</f>
        <v>68.5</v>
      </c>
      <c r="L27" s="201" t="str">
        <f>IFERROR(__xludf.DUMMYFUNCTION("""COMPUTED_VALUE"""),"RPG")</f>
        <v>RPG</v>
      </c>
      <c r="M27" s="201"/>
    </row>
    <row r="28">
      <c r="A28" s="190" t="str">
        <f>IFERROR(__xludf.DUMMYFUNCTION("""COMPUTED_VALUE"""),"Monster Train 2")</f>
        <v>Monster Train 2</v>
      </c>
      <c r="B28" s="195" t="str">
        <f>IFERROR(__xludf.DUMMYFUNCTION("""COMPUTED_VALUE"""),"Xbox / PC")</f>
        <v>Xbox / PC</v>
      </c>
      <c r="C28" s="196" t="str">
        <f>IFERROR(__xludf.DUMMYFUNCTION("""COMPUTED_VALUE"""),"Yes")</f>
        <v>Yes</v>
      </c>
      <c r="D28" s="196" t="str">
        <f>IFERROR(__xludf.DUMMYFUNCTION("""COMPUTED_VALUE"""),"Active")</f>
        <v>Active</v>
      </c>
      <c r="E28" s="197">
        <f>IFERROR(__xludf.DUMMYFUNCTION("""COMPUTED_VALUE"""),45798.0)</f>
        <v>45798</v>
      </c>
      <c r="F28" s="198"/>
      <c r="G28" s="199">
        <f>IFERROR(__xludf.DUMMYFUNCTION("""COMPUTED_VALUE"""),4.800000000000001)</f>
        <v>4.8</v>
      </c>
      <c r="H28" s="197">
        <f>IFERROR(__xludf.DUMMYFUNCTION("""COMPUTED_VALUE"""),45798.0)</f>
        <v>45798</v>
      </c>
      <c r="I28" s="199">
        <f>IFERROR(__xludf.DUMMYFUNCTION("""COMPUTED_VALUE"""),0.0)</f>
        <v>0</v>
      </c>
      <c r="J28" s="200">
        <f>IFERROR(__xludf.DUMMYFUNCTION("""COMPUTED_VALUE"""),90.0)</f>
        <v>90</v>
      </c>
      <c r="K28" s="200">
        <f>IFERROR(__xludf.DUMMYFUNCTION("""COMPUTED_VALUE"""),6.0)</f>
        <v>6</v>
      </c>
      <c r="L28" s="201" t="str">
        <f>IFERROR(__xludf.DUMMYFUNCTION("""COMPUTED_VALUE"""),"Card Battle")</f>
        <v>Card Battle</v>
      </c>
      <c r="M28" s="201" t="str">
        <f>IFERROR(__xludf.DUMMYFUNCTION("""COMPUTED_VALUE"""),"Exclusive")</f>
        <v>Exclusive</v>
      </c>
    </row>
    <row r="29">
      <c r="A29" s="190" t="str">
        <f>IFERROR(__xludf.DUMMYFUNCTION("""COMPUTED_VALUE"""),"Diablo III: Reaper of Souls - Ultimate Evil Edition")</f>
        <v>Diablo III: Reaper of Souls - Ultimate Evil Edition</v>
      </c>
      <c r="B29" s="195" t="str">
        <f>IFERROR(__xludf.DUMMYFUNCTION("""COMPUTED_VALUE"""),"Xbox / PC")</f>
        <v>Xbox / PC</v>
      </c>
      <c r="C29" s="196"/>
      <c r="D29" s="196" t="str">
        <f>IFERROR(__xludf.DUMMYFUNCTION("""COMPUTED_VALUE"""),"Active")</f>
        <v>Active</v>
      </c>
      <c r="E29" s="197">
        <f>IFERROR(__xludf.DUMMYFUNCTION("""COMPUTED_VALUE"""),45755.0)</f>
        <v>45755</v>
      </c>
      <c r="F29" s="198"/>
      <c r="G29" s="199">
        <f>IFERROR(__xludf.DUMMYFUNCTION("""COMPUTED_VALUE"""),6.233333333333334)</f>
        <v>6.233333333</v>
      </c>
      <c r="H29" s="197">
        <f>IFERROR(__xludf.DUMMYFUNCTION("""COMPUTED_VALUE"""),41870.0)</f>
        <v>41870</v>
      </c>
      <c r="I29" s="199">
        <f>IFERROR(__xludf.DUMMYFUNCTION("""COMPUTED_VALUE"""),10.636111111111111)</f>
        <v>10.63611111</v>
      </c>
      <c r="J29" s="200">
        <f>IFERROR(__xludf.DUMMYFUNCTION("""COMPUTED_VALUE"""),90.0)</f>
        <v>90</v>
      </c>
      <c r="K29" s="200">
        <f>IFERROR(__xludf.DUMMYFUNCTION("""COMPUTED_VALUE"""),19.0)</f>
        <v>19</v>
      </c>
      <c r="L29" s="201" t="str">
        <f>IFERROR(__xludf.DUMMYFUNCTION("""COMPUTED_VALUE"""),"RPG")</f>
        <v>RPG</v>
      </c>
      <c r="M29" s="201"/>
    </row>
    <row r="30">
      <c r="A30" s="190" t="str">
        <f>IFERROR(__xludf.DUMMYFUNCTION("""COMPUTED_VALUE"""),"Balatro")</f>
        <v>Balatro</v>
      </c>
      <c r="B30" s="195" t="str">
        <f>IFERROR(__xludf.DUMMYFUNCTION("""COMPUTED_VALUE"""),"Xbox / PC")</f>
        <v>Xbox / PC</v>
      </c>
      <c r="C30" s="196" t="str">
        <f>IFERROR(__xludf.DUMMYFUNCTION("""COMPUTED_VALUE"""),"Yes")</f>
        <v>Yes</v>
      </c>
      <c r="D30" s="196" t="str">
        <f>IFERROR(__xludf.DUMMYFUNCTION("""COMPUTED_VALUE"""),"Active")</f>
        <v>Active</v>
      </c>
      <c r="E30" s="197">
        <f>IFERROR(__xludf.DUMMYFUNCTION("""COMPUTED_VALUE"""),45712.0)</f>
        <v>45712</v>
      </c>
      <c r="F30" s="198"/>
      <c r="G30" s="199">
        <f>IFERROR(__xludf.DUMMYFUNCTION("""COMPUTED_VALUE"""),7.700000000000001)</f>
        <v>7.7</v>
      </c>
      <c r="H30" s="197">
        <f>IFERROR(__xludf.DUMMYFUNCTION("""COMPUTED_VALUE"""),45616.0)</f>
        <v>45616</v>
      </c>
      <c r="I30" s="199">
        <f>IFERROR(__xludf.DUMMYFUNCTION("""COMPUTED_VALUE"""),0.2611111111111111)</f>
        <v>0.2611111111</v>
      </c>
      <c r="J30" s="200">
        <f>IFERROR(__xludf.DUMMYFUNCTION("""COMPUTED_VALUE"""),90.0)</f>
        <v>90</v>
      </c>
      <c r="K30" s="200">
        <f>IFERROR(__xludf.DUMMYFUNCTION("""COMPUTED_VALUE"""),7.0)</f>
        <v>7</v>
      </c>
      <c r="L30" s="201" t="str">
        <f>IFERROR(__xludf.DUMMYFUNCTION("""COMPUTED_VALUE"""),"Card Battle")</f>
        <v>Card Battle</v>
      </c>
      <c r="M30" s="201"/>
    </row>
    <row r="31">
      <c r="A31" s="190" t="str">
        <f>IFERROR(__xludf.DUMMYFUNCTION("""COMPUTED_VALUE"""),"Against the Storm")</f>
        <v>Against the Storm</v>
      </c>
      <c r="B31" s="195" t="str">
        <f>IFERROR(__xludf.DUMMYFUNCTION("""COMPUTED_VALUE"""),"Xbox / PC")</f>
        <v>Xbox / PC</v>
      </c>
      <c r="C31" s="196"/>
      <c r="D31" s="196" t="str">
        <f>IFERROR(__xludf.DUMMYFUNCTION("""COMPUTED_VALUE"""),"Active")</f>
        <v>Active</v>
      </c>
      <c r="E31" s="197">
        <f>IFERROR(__xludf.DUMMYFUNCTION("""COMPUTED_VALUE"""),45268.0)</f>
        <v>45268</v>
      </c>
      <c r="F31" s="198"/>
      <c r="G31" s="199">
        <f>IFERROR(__xludf.DUMMYFUNCTION("""COMPUTED_VALUE"""),22.233333333333334)</f>
        <v>22.23333333</v>
      </c>
      <c r="H31" s="197">
        <f>IFERROR(__xludf.DUMMYFUNCTION("""COMPUTED_VALUE"""),44487.0)</f>
        <v>44487</v>
      </c>
      <c r="I31" s="199">
        <f>IFERROR(__xludf.DUMMYFUNCTION("""COMPUTED_VALUE"""),2.138888888888889)</f>
        <v>2.138888889</v>
      </c>
      <c r="J31" s="200">
        <f>IFERROR(__xludf.DUMMYFUNCTION("""COMPUTED_VALUE"""),90.0)</f>
        <v>90</v>
      </c>
      <c r="K31" s="200">
        <f>IFERROR(__xludf.DUMMYFUNCTION("""COMPUTED_VALUE"""),93.0)</f>
        <v>93</v>
      </c>
      <c r="L31" s="201" t="str">
        <f>IFERROR(__xludf.DUMMYFUNCTION("""COMPUTED_VALUE"""),"Strategy")</f>
        <v>Strategy</v>
      </c>
      <c r="M31" s="201"/>
    </row>
    <row r="32">
      <c r="A32" s="190" t="str">
        <f>IFERROR(__xludf.DUMMYFUNCTION("""COMPUTED_VALUE"""),"Dead Space 2")</f>
        <v>Dead Space 2</v>
      </c>
      <c r="B32" s="195" t="str">
        <f>IFERROR(__xludf.DUMMYFUNCTION("""COMPUTED_VALUE"""),"Xbox / PC")</f>
        <v>Xbox / PC</v>
      </c>
      <c r="C32" s="196" t="str">
        <f>IFERROR(__xludf.DUMMYFUNCTION("""COMPUTED_VALUE"""),"Yes")</f>
        <v>Yes</v>
      </c>
      <c r="D32" s="196" t="str">
        <f>IFERROR(__xludf.DUMMYFUNCTION("""COMPUTED_VALUE"""),"Active")</f>
        <v>Active</v>
      </c>
      <c r="E32" s="197">
        <f>IFERROR(__xludf.DUMMYFUNCTION("""COMPUTED_VALUE"""),44145.0)</f>
        <v>44145</v>
      </c>
      <c r="F32" s="198"/>
      <c r="G32" s="199">
        <f>IFERROR(__xludf.DUMMYFUNCTION("""COMPUTED_VALUE"""),59.166666666666664)</f>
        <v>59.16666667</v>
      </c>
      <c r="H32" s="197">
        <f>IFERROR(__xludf.DUMMYFUNCTION("""COMPUTED_VALUE"""),40568.0)</f>
        <v>40568</v>
      </c>
      <c r="I32" s="199">
        <f>IFERROR(__xludf.DUMMYFUNCTION("""COMPUTED_VALUE"""),9.791666666666666)</f>
        <v>9.791666667</v>
      </c>
      <c r="J32" s="200">
        <f>IFERROR(__xludf.DUMMYFUNCTION("""COMPUTED_VALUE"""),90.0)</f>
        <v>90</v>
      </c>
      <c r="K32" s="200">
        <f>IFERROR(__xludf.DUMMYFUNCTION("""COMPUTED_VALUE"""),9.0)</f>
        <v>9</v>
      </c>
      <c r="L32" s="201" t="str">
        <f>IFERROR(__xludf.DUMMYFUNCTION("""COMPUTED_VALUE"""),"Action / Shooter")</f>
        <v>Action / Shooter</v>
      </c>
      <c r="M32" s="201" t="str">
        <f>IFERROR(__xludf.DUMMYFUNCTION("""COMPUTED_VALUE"""),"FPS Boost")</f>
        <v>FPS Boost</v>
      </c>
    </row>
    <row r="33">
      <c r="A33" s="190" t="str">
        <f>IFERROR(__xludf.DUMMYFUNCTION("""COMPUTED_VALUE"""),"The Bard's Tale ARPG: Remastered and Resnarkled")</f>
        <v>The Bard's Tale ARPG: Remastered and Resnarkled</v>
      </c>
      <c r="B33" s="195" t="str">
        <f>IFERROR(__xludf.DUMMYFUNCTION("""COMPUTED_VALUE"""),"Xbox / PC")</f>
        <v>Xbox / PC</v>
      </c>
      <c r="C33" s="196" t="str">
        <f>IFERROR(__xludf.DUMMYFUNCTION("""COMPUTED_VALUE"""),"Touch Controls")</f>
        <v>Touch Controls</v>
      </c>
      <c r="D33" s="196" t="str">
        <f>IFERROR(__xludf.DUMMYFUNCTION("""COMPUTED_VALUE"""),"Active")</f>
        <v>Active</v>
      </c>
      <c r="E33" s="197">
        <f>IFERROR(__xludf.DUMMYFUNCTION("""COMPUTED_VALUE"""),44000.0)</f>
        <v>44000</v>
      </c>
      <c r="F33" s="198"/>
      <c r="G33" s="199">
        <f>IFERROR(__xludf.DUMMYFUNCTION("""COMPUTED_VALUE"""),63.900000000000006)</f>
        <v>63.9</v>
      </c>
      <c r="H33" s="197">
        <f>IFERROR(__xludf.DUMMYFUNCTION("""COMPUTED_VALUE"""),44000.0)</f>
        <v>44000</v>
      </c>
      <c r="I33" s="199">
        <f>IFERROR(__xludf.DUMMYFUNCTION("""COMPUTED_VALUE"""),0.0)</f>
        <v>0</v>
      </c>
      <c r="J33" s="200">
        <f>IFERROR(__xludf.DUMMYFUNCTION("""COMPUTED_VALUE"""),90.0)</f>
        <v>90</v>
      </c>
      <c r="K33" s="200">
        <f>IFERROR(__xludf.DUMMYFUNCTION("""COMPUTED_VALUE"""),14.0)</f>
        <v>14</v>
      </c>
      <c r="L33" s="201" t="str">
        <f>IFERROR(__xludf.DUMMYFUNCTION("""COMPUTED_VALUE"""),"RPG")</f>
        <v>RPG</v>
      </c>
      <c r="M33" s="201"/>
    </row>
    <row r="34">
      <c r="A34" s="190" t="str">
        <f>IFERROR(__xludf.DUMMYFUNCTION("""COMPUTED_VALUE"""),"Ori and the Will of the Wisps")</f>
        <v>Ori and the Will of the Wisps</v>
      </c>
      <c r="B34" s="195" t="str">
        <f>IFERROR(__xludf.DUMMYFUNCTION("""COMPUTED_VALUE"""),"Xbox / PC")</f>
        <v>Xbox / PC</v>
      </c>
      <c r="C34" s="196" t="str">
        <f>IFERROR(__xludf.DUMMYFUNCTION("""COMPUTED_VALUE"""),"Yes")</f>
        <v>Yes</v>
      </c>
      <c r="D34" s="196" t="str">
        <f>IFERROR(__xludf.DUMMYFUNCTION("""COMPUTED_VALUE"""),"Active")</f>
        <v>Active</v>
      </c>
      <c r="E34" s="197">
        <f>IFERROR(__xludf.DUMMYFUNCTION("""COMPUTED_VALUE"""),43901.0)</f>
        <v>43901</v>
      </c>
      <c r="F34" s="198"/>
      <c r="G34" s="199">
        <f>IFERROR(__xludf.DUMMYFUNCTION("""COMPUTED_VALUE"""),67.13333333333333)</f>
        <v>67.13333333</v>
      </c>
      <c r="H34" s="197">
        <f>IFERROR(__xludf.DUMMYFUNCTION("""COMPUTED_VALUE"""),43901.0)</f>
        <v>43901</v>
      </c>
      <c r="I34" s="199">
        <f>IFERROR(__xludf.DUMMYFUNCTION("""COMPUTED_VALUE"""),0.0)</f>
        <v>0</v>
      </c>
      <c r="J34" s="200">
        <f>IFERROR(__xludf.DUMMYFUNCTION("""COMPUTED_VALUE"""),90.0)</f>
        <v>90</v>
      </c>
      <c r="K34" s="200">
        <f>IFERROR(__xludf.DUMMYFUNCTION("""COMPUTED_VALUE"""),11.0)</f>
        <v>11</v>
      </c>
      <c r="L34" s="201" t="str">
        <f>IFERROR(__xludf.DUMMYFUNCTION("""COMPUTED_VALUE"""),"Action / Platformer")</f>
        <v>Action / Platformer</v>
      </c>
      <c r="M34" s="201" t="str">
        <f>IFERROR(__xludf.DUMMYFUNCTION("""COMPUTED_VALUE"""),"Optimized")</f>
        <v>Optimized</v>
      </c>
    </row>
    <row r="35">
      <c r="A35" s="190" t="str">
        <f>IFERROR(__xludf.DUMMYFUNCTION("""COMPUTED_VALUE"""),"Hollow Knight: Voidheart Edition")</f>
        <v>Hollow Knight: Voidheart Edition</v>
      </c>
      <c r="B35" s="195" t="str">
        <f>IFERROR(__xludf.DUMMYFUNCTION("""COMPUTED_VALUE"""),"Xbox / PC")</f>
        <v>Xbox / PC</v>
      </c>
      <c r="C35" s="196" t="str">
        <f>IFERROR(__xludf.DUMMYFUNCTION("""COMPUTED_VALUE"""),"Yes")</f>
        <v>Yes</v>
      </c>
      <c r="D35" s="196" t="str">
        <f>IFERROR(__xludf.DUMMYFUNCTION("""COMPUTED_VALUE"""),"Active")</f>
        <v>Active</v>
      </c>
      <c r="E35" s="197">
        <f>IFERROR(__xludf.DUMMYFUNCTION("""COMPUTED_VALUE"""),43625.0)</f>
        <v>43625</v>
      </c>
      <c r="F35" s="198"/>
      <c r="G35" s="199">
        <f>IFERROR(__xludf.DUMMYFUNCTION("""COMPUTED_VALUE"""),76.19999999999999)</f>
        <v>76.2</v>
      </c>
      <c r="H35" s="197">
        <f>IFERROR(__xludf.DUMMYFUNCTION("""COMPUTED_VALUE"""),42790.0)</f>
        <v>42790</v>
      </c>
      <c r="I35" s="199">
        <f>IFERROR(__xludf.DUMMYFUNCTION("""COMPUTED_VALUE"""),2.2916666666666665)</f>
        <v>2.291666667</v>
      </c>
      <c r="J35" s="200">
        <f>IFERROR(__xludf.DUMMYFUNCTION("""COMPUTED_VALUE"""),90.0)</f>
        <v>90</v>
      </c>
      <c r="K35" s="200">
        <f>IFERROR(__xludf.DUMMYFUNCTION("""COMPUTED_VALUE"""),25.0)</f>
        <v>25</v>
      </c>
      <c r="L35" s="201" t="str">
        <f>IFERROR(__xludf.DUMMYFUNCTION("""COMPUTED_VALUE"""),"Platformer / Action-Adventure")</f>
        <v>Platformer / Action-Adventure</v>
      </c>
      <c r="M35" s="201" t="str">
        <f>IFERROR(__xludf.DUMMYFUNCTION("""COMPUTED_VALUE"""),"FPS Boost")</f>
        <v>FPS Boost</v>
      </c>
    </row>
    <row r="36">
      <c r="A36" s="190" t="str">
        <f>IFERROR(__xludf.DUMMYFUNCTION("""COMPUTED_VALUE"""),"Mass Effect")</f>
        <v>Mass Effect</v>
      </c>
      <c r="B36" s="195" t="str">
        <f>IFERROR(__xludf.DUMMYFUNCTION("""COMPUTED_VALUE"""),"Xbox / PC")</f>
        <v>Xbox / PC</v>
      </c>
      <c r="C36" s="196"/>
      <c r="D36" s="196" t="str">
        <f>IFERROR(__xludf.DUMMYFUNCTION("""COMPUTED_VALUE"""),"Active")</f>
        <v>Active</v>
      </c>
      <c r="E36" s="197">
        <f>IFERROR(__xludf.DUMMYFUNCTION("""COMPUTED_VALUE"""),43070.0)</f>
        <v>43070</v>
      </c>
      <c r="F36" s="198"/>
      <c r="G36" s="199">
        <f>IFERROR(__xludf.DUMMYFUNCTION("""COMPUTED_VALUE"""),94.46666666666667)</f>
        <v>94.46666667</v>
      </c>
      <c r="H36" s="197">
        <f>IFERROR(__xludf.DUMMYFUNCTION("""COMPUTED_VALUE"""),39406.0)</f>
        <v>39406</v>
      </c>
      <c r="I36" s="199">
        <f>IFERROR(__xludf.DUMMYFUNCTION("""COMPUTED_VALUE"""),10.030555555555555)</f>
        <v>10.03055556</v>
      </c>
      <c r="J36" s="200">
        <f>IFERROR(__xludf.DUMMYFUNCTION("""COMPUTED_VALUE"""),90.0)</f>
        <v>90</v>
      </c>
      <c r="K36" s="200">
        <f>IFERROR(__xludf.DUMMYFUNCTION("""COMPUTED_VALUE"""),17.0)</f>
        <v>17</v>
      </c>
      <c r="L36" s="201" t="str">
        <f>IFERROR(__xludf.DUMMYFUNCTION("""COMPUTED_VALUE"""),"RPG / Shooter")</f>
        <v>RPG / Shooter</v>
      </c>
      <c r="M36" s="201"/>
    </row>
    <row r="37">
      <c r="A37" s="190" t="str">
        <f>IFERROR(__xludf.DUMMYFUNCTION("""COMPUTED_VALUE"""),"Neon White")</f>
        <v>Neon White</v>
      </c>
      <c r="B37" s="195" t="str">
        <f>IFERROR(__xludf.DUMMYFUNCTION("""COMPUTED_VALUE"""),"Xbox / PC")</f>
        <v>Xbox / PC</v>
      </c>
      <c r="C37" s="196" t="str">
        <f>IFERROR(__xludf.DUMMYFUNCTION("""COMPUTED_VALUE"""),"Yes")</f>
        <v>Yes</v>
      </c>
      <c r="D37" s="196" t="str">
        <f>IFERROR(__xludf.DUMMYFUNCTION("""COMPUTED_VALUE"""),"Active")</f>
        <v>Active</v>
      </c>
      <c r="E37" s="197">
        <f>IFERROR(__xludf.DUMMYFUNCTION("""COMPUTED_VALUE"""),45484.0)</f>
        <v>45484</v>
      </c>
      <c r="F37" s="198"/>
      <c r="G37" s="199">
        <f>IFERROR(__xludf.DUMMYFUNCTION("""COMPUTED_VALUE"""),15.133333333333333)</f>
        <v>15.13333333</v>
      </c>
      <c r="H37" s="197">
        <f>IFERROR(__xludf.DUMMYFUNCTION("""COMPUTED_VALUE"""),44728.0)</f>
        <v>44728</v>
      </c>
      <c r="I37" s="199">
        <f>IFERROR(__xludf.DUMMYFUNCTION("""COMPUTED_VALUE"""),2.0694444444444446)</f>
        <v>2.069444444</v>
      </c>
      <c r="J37" s="200">
        <f>IFERROR(__xludf.DUMMYFUNCTION("""COMPUTED_VALUE"""),89.0)</f>
        <v>89</v>
      </c>
      <c r="K37" s="200">
        <f>IFERROR(__xludf.DUMMYFUNCTION("""COMPUTED_VALUE"""),11.0)</f>
        <v>11</v>
      </c>
      <c r="L37" s="201" t="str">
        <f>IFERROR(__xludf.DUMMYFUNCTION("""COMPUTED_VALUE"""),"First-Person Shooter")</f>
        <v>First-Person Shooter</v>
      </c>
      <c r="M37" s="201"/>
    </row>
    <row r="38">
      <c r="A38" s="190" t="str">
        <f>IFERROR(__xludf.DUMMYFUNCTION("""COMPUTED_VALUE"""),"Hi-Fi RUSH")</f>
        <v>Hi-Fi RUSH</v>
      </c>
      <c r="B38" s="195" t="str">
        <f>IFERROR(__xludf.DUMMYFUNCTION("""COMPUTED_VALUE"""),"Xbox / PC")</f>
        <v>Xbox / PC</v>
      </c>
      <c r="C38" s="196" t="str">
        <f>IFERROR(__xludf.DUMMYFUNCTION("""COMPUTED_VALUE"""),"Yes")</f>
        <v>Yes</v>
      </c>
      <c r="D38" s="196" t="str">
        <f>IFERROR(__xludf.DUMMYFUNCTION("""COMPUTED_VALUE"""),"Active")</f>
        <v>Active</v>
      </c>
      <c r="E38" s="197">
        <f>IFERROR(__xludf.DUMMYFUNCTION("""COMPUTED_VALUE"""),44951.0)</f>
        <v>44951</v>
      </c>
      <c r="F38" s="198"/>
      <c r="G38" s="199">
        <f>IFERROR(__xludf.DUMMYFUNCTION("""COMPUTED_VALUE"""),32.66666666666667)</f>
        <v>32.66666667</v>
      </c>
      <c r="H38" s="197">
        <f>IFERROR(__xludf.DUMMYFUNCTION("""COMPUTED_VALUE"""),44951.0)</f>
        <v>44951</v>
      </c>
      <c r="I38" s="199">
        <f>IFERROR(__xludf.DUMMYFUNCTION("""COMPUTED_VALUE"""),0.0)</f>
        <v>0</v>
      </c>
      <c r="J38" s="200">
        <f>IFERROR(__xludf.DUMMYFUNCTION("""COMPUTED_VALUE"""),89.0)</f>
        <v>89</v>
      </c>
      <c r="K38" s="200">
        <f>IFERROR(__xludf.DUMMYFUNCTION("""COMPUTED_VALUE"""),10.0)</f>
        <v>10</v>
      </c>
      <c r="L38" s="201" t="str">
        <f>IFERROR(__xludf.DUMMYFUNCTION("""COMPUTED_VALUE"""),"Action / Music/Rhythm")</f>
        <v>Action / Music/Rhythm</v>
      </c>
      <c r="M38" s="201" t="str">
        <f>IFERROR(__xludf.DUMMYFUNCTION("""COMPUTED_VALUE"""),"Exclusive")</f>
        <v>Exclusive</v>
      </c>
    </row>
    <row r="39">
      <c r="A39" s="190" t="str">
        <f>IFERROR(__xludf.DUMMYFUNCTION("""COMPUTED_VALUE"""),"DEATHLOOP")</f>
        <v>DEATHLOOP</v>
      </c>
      <c r="B39" s="195" t="str">
        <f>IFERROR(__xludf.DUMMYFUNCTION("""COMPUTED_VALUE"""),"Xbox / PC")</f>
        <v>Xbox / PC</v>
      </c>
      <c r="C39" s="196" t="str">
        <f>IFERROR(__xludf.DUMMYFUNCTION("""COMPUTED_VALUE"""),"Yes")</f>
        <v>Yes</v>
      </c>
      <c r="D39" s="196" t="str">
        <f>IFERROR(__xludf.DUMMYFUNCTION("""COMPUTED_VALUE"""),"Active")</f>
        <v>Active</v>
      </c>
      <c r="E39" s="197">
        <f>IFERROR(__xludf.DUMMYFUNCTION("""COMPUTED_VALUE"""),44824.0)</f>
        <v>44824</v>
      </c>
      <c r="F39" s="198"/>
      <c r="G39" s="199">
        <f>IFERROR(__xludf.DUMMYFUNCTION("""COMPUTED_VALUE"""),36.833333333333336)</f>
        <v>36.83333333</v>
      </c>
      <c r="H39" s="197">
        <f>IFERROR(__xludf.DUMMYFUNCTION("""COMPUTED_VALUE"""),44453.0)</f>
        <v>44453</v>
      </c>
      <c r="I39" s="199">
        <f>IFERROR(__xludf.DUMMYFUNCTION("""COMPUTED_VALUE"""),1.0166666666666666)</f>
        <v>1.016666667</v>
      </c>
      <c r="J39" s="200">
        <f>IFERROR(__xludf.DUMMYFUNCTION("""COMPUTED_VALUE"""),89.0)</f>
        <v>89</v>
      </c>
      <c r="K39" s="200">
        <f>IFERROR(__xludf.DUMMYFUNCTION("""COMPUTED_VALUE"""),16.0)</f>
        <v>16</v>
      </c>
      <c r="L39" s="201" t="str">
        <f>IFERROR(__xludf.DUMMYFUNCTION("""COMPUTED_VALUE"""),"Action / Strategy")</f>
        <v>Action / Strategy</v>
      </c>
      <c r="M39" s="201" t="str">
        <f>IFERROR(__xludf.DUMMYFUNCTION("""COMPUTED_VALUE"""),"Exclusive")</f>
        <v>Exclusive</v>
      </c>
    </row>
    <row r="40">
      <c r="A40" s="190" t="str">
        <f>IFERROR(__xludf.DUMMYFUNCTION("""COMPUTED_VALUE"""),"Stardew Valley")</f>
        <v>Stardew Valley</v>
      </c>
      <c r="B40" s="195" t="str">
        <f>IFERROR(__xludf.DUMMYFUNCTION("""COMPUTED_VALUE"""),"Xbox / PC")</f>
        <v>Xbox / PC</v>
      </c>
      <c r="C40" s="196" t="str">
        <f>IFERROR(__xludf.DUMMYFUNCTION("""COMPUTED_VALUE"""),"Touch Controls")</f>
        <v>Touch Controls</v>
      </c>
      <c r="D40" s="196" t="str">
        <f>IFERROR(__xludf.DUMMYFUNCTION("""COMPUTED_VALUE"""),"Active")</f>
        <v>Active</v>
      </c>
      <c r="E40" s="197">
        <f>IFERROR(__xludf.DUMMYFUNCTION("""COMPUTED_VALUE"""),44532.0)</f>
        <v>44532</v>
      </c>
      <c r="F40" s="198"/>
      <c r="G40" s="199">
        <f>IFERROR(__xludf.DUMMYFUNCTION("""COMPUTED_VALUE"""),46.43333333333334)</f>
        <v>46.43333333</v>
      </c>
      <c r="H40" s="197">
        <f>IFERROR(__xludf.DUMMYFUNCTION("""COMPUTED_VALUE"""),42426.0)</f>
        <v>42426</v>
      </c>
      <c r="I40" s="199">
        <f>IFERROR(__xludf.DUMMYFUNCTION("""COMPUTED_VALUE"""),5.766666666666667)</f>
        <v>5.766666667</v>
      </c>
      <c r="J40" s="200">
        <f>IFERROR(__xludf.DUMMYFUNCTION("""COMPUTED_VALUE"""),89.0)</f>
        <v>89</v>
      </c>
      <c r="K40" s="200">
        <f>IFERROR(__xludf.DUMMYFUNCTION("""COMPUTED_VALUE"""),52.5)</f>
        <v>52.5</v>
      </c>
      <c r="L40" s="201" t="str">
        <f>IFERROR(__xludf.DUMMYFUNCTION("""COMPUTED_VALUE"""),"RPG / Simulation / Fishing / Action-Adventure")</f>
        <v>RPG / Simulation / Fishing / Action-Adventure</v>
      </c>
      <c r="M40" s="201"/>
    </row>
    <row r="41">
      <c r="A41" s="190" t="str">
        <f>IFERROR(__xludf.DUMMYFUNCTION("""COMPUTED_VALUE"""),"Psychonauts 2")</f>
        <v>Psychonauts 2</v>
      </c>
      <c r="B41" s="195" t="str">
        <f>IFERROR(__xludf.DUMMYFUNCTION("""COMPUTED_VALUE"""),"Xbox / PC")</f>
        <v>Xbox / PC</v>
      </c>
      <c r="C41" s="196" t="str">
        <f>IFERROR(__xludf.DUMMYFUNCTION("""COMPUTED_VALUE"""),"Touch Controls")</f>
        <v>Touch Controls</v>
      </c>
      <c r="D41" s="196" t="str">
        <f>IFERROR(__xludf.DUMMYFUNCTION("""COMPUTED_VALUE"""),"Active")</f>
        <v>Active</v>
      </c>
      <c r="E41" s="197">
        <f>IFERROR(__xludf.DUMMYFUNCTION("""COMPUTED_VALUE"""),44433.0)</f>
        <v>44433</v>
      </c>
      <c r="F41" s="198"/>
      <c r="G41" s="199">
        <f>IFERROR(__xludf.DUMMYFUNCTION("""COMPUTED_VALUE"""),49.66666666666667)</f>
        <v>49.66666667</v>
      </c>
      <c r="H41" s="197">
        <f>IFERROR(__xludf.DUMMYFUNCTION("""COMPUTED_VALUE"""),44433.0)</f>
        <v>44433</v>
      </c>
      <c r="I41" s="199">
        <f>IFERROR(__xludf.DUMMYFUNCTION("""COMPUTED_VALUE"""),0.0)</f>
        <v>0</v>
      </c>
      <c r="J41" s="200">
        <f>IFERROR(__xludf.DUMMYFUNCTION("""COMPUTED_VALUE"""),89.0)</f>
        <v>89</v>
      </c>
      <c r="K41" s="200">
        <f>IFERROR(__xludf.DUMMYFUNCTION("""COMPUTED_VALUE"""),14.0)</f>
        <v>14</v>
      </c>
      <c r="L41" s="201" t="str">
        <f>IFERROR(__xludf.DUMMYFUNCTION("""COMPUTED_VALUE"""),"Platformer / Action-Adventure")</f>
        <v>Platformer / Action-Adventure</v>
      </c>
      <c r="M41" s="201"/>
    </row>
    <row r="42">
      <c r="A42" s="190" t="str">
        <f>IFERROR(__xludf.DUMMYFUNCTION("""COMPUTED_VALUE"""),"Quake II")</f>
        <v>Quake II</v>
      </c>
      <c r="B42" s="195" t="str">
        <f>IFERROR(__xludf.DUMMYFUNCTION("""COMPUTED_VALUE"""),"Xbox / PC")</f>
        <v>Xbox / PC</v>
      </c>
      <c r="C42" s="196" t="str">
        <f>IFERROR(__xludf.DUMMYFUNCTION("""COMPUTED_VALUE"""),"M+KB")</f>
        <v>M+KB</v>
      </c>
      <c r="D42" s="196" t="str">
        <f>IFERROR(__xludf.DUMMYFUNCTION("""COMPUTED_VALUE"""),"Active")</f>
        <v>Active</v>
      </c>
      <c r="E42" s="197">
        <f>IFERROR(__xludf.DUMMYFUNCTION("""COMPUTED_VALUE"""),44427.0)</f>
        <v>44427</v>
      </c>
      <c r="F42" s="198"/>
      <c r="G42" s="199">
        <f>IFERROR(__xludf.DUMMYFUNCTION("""COMPUTED_VALUE"""),49.866666666666674)</f>
        <v>49.86666667</v>
      </c>
      <c r="H42" s="197">
        <f>IFERROR(__xludf.DUMMYFUNCTION("""COMPUTED_VALUE"""),35773.0)</f>
        <v>35773</v>
      </c>
      <c r="I42" s="199">
        <f>IFERROR(__xludf.DUMMYFUNCTION("""COMPUTED_VALUE"""),23.694444444444443)</f>
        <v>23.69444444</v>
      </c>
      <c r="J42" s="200">
        <f>IFERROR(__xludf.DUMMYFUNCTION("""COMPUTED_VALUE"""),89.0)</f>
        <v>89</v>
      </c>
      <c r="K42" s="200">
        <f>IFERROR(__xludf.DUMMYFUNCTION("""COMPUTED_VALUE"""),8.0)</f>
        <v>8</v>
      </c>
      <c r="L42" s="201" t="str">
        <f>IFERROR(__xludf.DUMMYFUNCTION("""COMPUTED_VALUE"""),"Action / First-Person Shooter")</f>
        <v>Action / First-Person Shooter</v>
      </c>
      <c r="M42" s="201"/>
    </row>
    <row r="43">
      <c r="A43" s="190" t="str">
        <f>IFERROR(__xludf.DUMMYFUNCTION("""COMPUTED_VALUE"""),"Dead Space")</f>
        <v>Dead Space</v>
      </c>
      <c r="B43" s="195" t="str">
        <f>IFERROR(__xludf.DUMMYFUNCTION("""COMPUTED_VALUE"""),"Xbox / PC")</f>
        <v>Xbox / PC</v>
      </c>
      <c r="C43" s="196" t="str">
        <f>IFERROR(__xludf.DUMMYFUNCTION("""COMPUTED_VALUE"""),"Yes")</f>
        <v>Yes</v>
      </c>
      <c r="D43" s="196" t="str">
        <f>IFERROR(__xludf.DUMMYFUNCTION("""COMPUTED_VALUE"""),"Active")</f>
        <v>Active</v>
      </c>
      <c r="E43" s="197">
        <f>IFERROR(__xludf.DUMMYFUNCTION("""COMPUTED_VALUE"""),44145.0)</f>
        <v>44145</v>
      </c>
      <c r="F43" s="198"/>
      <c r="G43" s="199">
        <f>IFERROR(__xludf.DUMMYFUNCTION("""COMPUTED_VALUE"""),59.166666666666664)</f>
        <v>59.16666667</v>
      </c>
      <c r="H43" s="197">
        <f>IFERROR(__xludf.DUMMYFUNCTION("""COMPUTED_VALUE"""),39735.0)</f>
        <v>39735</v>
      </c>
      <c r="I43" s="199">
        <f>IFERROR(__xludf.DUMMYFUNCTION("""COMPUTED_VALUE"""),12.072222222222223)</f>
        <v>12.07222222</v>
      </c>
      <c r="J43" s="200">
        <f>IFERROR(__xludf.DUMMYFUNCTION("""COMPUTED_VALUE"""),89.0)</f>
        <v>89</v>
      </c>
      <c r="K43" s="200">
        <f>IFERROR(__xludf.DUMMYFUNCTION("""COMPUTED_VALUE"""),11.0)</f>
        <v>11</v>
      </c>
      <c r="L43" s="201" t="str">
        <f>IFERROR(__xludf.DUMMYFUNCTION("""COMPUTED_VALUE"""),"Action")</f>
        <v>Action</v>
      </c>
      <c r="M43" s="201"/>
    </row>
    <row r="44">
      <c r="A44" s="190" t="str">
        <f>IFERROR(__xludf.DUMMYFUNCTION("""COMPUTED_VALUE"""),"Peggle")</f>
        <v>Peggle</v>
      </c>
      <c r="B44" s="195" t="str">
        <f>IFERROR(__xludf.DUMMYFUNCTION("""COMPUTED_VALUE"""),"Xbox / PC")</f>
        <v>Xbox / PC</v>
      </c>
      <c r="C44" s="196"/>
      <c r="D44" s="196" t="str">
        <f>IFERROR(__xludf.DUMMYFUNCTION("""COMPUTED_VALUE"""),"Active")</f>
        <v>Active</v>
      </c>
      <c r="E44" s="197">
        <f>IFERROR(__xludf.DUMMYFUNCTION("""COMPUTED_VALUE"""),44145.0)</f>
        <v>44145</v>
      </c>
      <c r="F44" s="198"/>
      <c r="G44" s="199">
        <f>IFERROR(__xludf.DUMMYFUNCTION("""COMPUTED_VALUE"""),59.166666666666664)</f>
        <v>59.16666667</v>
      </c>
      <c r="H44" s="197">
        <f>IFERROR(__xludf.DUMMYFUNCTION("""COMPUTED_VALUE"""),39183.0)</f>
        <v>39183</v>
      </c>
      <c r="I44" s="199">
        <f>IFERROR(__xludf.DUMMYFUNCTION("""COMPUTED_VALUE"""),13.580555555555556)</f>
        <v>13.58055556</v>
      </c>
      <c r="J44" s="200">
        <f>IFERROR(__xludf.DUMMYFUNCTION("""COMPUTED_VALUE"""),89.0)</f>
        <v>89</v>
      </c>
      <c r="K44" s="200">
        <f>IFERROR(__xludf.DUMMYFUNCTION("""COMPUTED_VALUE"""),4.0)</f>
        <v>4</v>
      </c>
      <c r="L44" s="201" t="str">
        <f>IFERROR(__xludf.DUMMYFUNCTION("""COMPUTED_VALUE"""),"Puzzle / Block-Breaking")</f>
        <v>Puzzle / Block-Breaking</v>
      </c>
      <c r="M44" s="201"/>
    </row>
    <row r="45">
      <c r="A45" s="190" t="str">
        <f>IFERROR(__xludf.DUMMYFUNCTION("""COMPUTED_VALUE"""),"Peggle 2")</f>
        <v>Peggle 2</v>
      </c>
      <c r="B45" s="195" t="str">
        <f>IFERROR(__xludf.DUMMYFUNCTION("""COMPUTED_VALUE"""),"Xbox")</f>
        <v>Xbox</v>
      </c>
      <c r="C45" s="196" t="str">
        <f>IFERROR(__xludf.DUMMYFUNCTION("""COMPUTED_VALUE"""),"Touch Controls")</f>
        <v>Touch Controls</v>
      </c>
      <c r="D45" s="196" t="str">
        <f>IFERROR(__xludf.DUMMYFUNCTION("""COMPUTED_VALUE"""),"Active")</f>
        <v>Active</v>
      </c>
      <c r="E45" s="197">
        <f>IFERROR(__xludf.DUMMYFUNCTION("""COMPUTED_VALUE"""),44145.0)</f>
        <v>44145</v>
      </c>
      <c r="F45" s="198"/>
      <c r="G45" s="199">
        <f>IFERROR(__xludf.DUMMYFUNCTION("""COMPUTED_VALUE"""),59.166666666666664)</f>
        <v>59.16666667</v>
      </c>
      <c r="H45" s="197">
        <f>IFERROR(__xludf.DUMMYFUNCTION("""COMPUTED_VALUE"""),41529.0)</f>
        <v>41529</v>
      </c>
      <c r="I45" s="199">
        <f>IFERROR(__xludf.DUMMYFUNCTION("""COMPUTED_VALUE"""),7.161111111111111)</f>
        <v>7.161111111</v>
      </c>
      <c r="J45" s="200">
        <f>IFERROR(__xludf.DUMMYFUNCTION("""COMPUTED_VALUE"""),89.0)</f>
        <v>89</v>
      </c>
      <c r="K45" s="200">
        <f>IFERROR(__xludf.DUMMYFUNCTION("""COMPUTED_VALUE"""),6.0)</f>
        <v>6</v>
      </c>
      <c r="L45" s="201" t="str">
        <f>IFERROR(__xludf.DUMMYFUNCTION("""COMPUTED_VALUE"""),"Puzzle")</f>
        <v>Puzzle</v>
      </c>
      <c r="M45" s="201"/>
    </row>
    <row r="46">
      <c r="A46" s="190" t="str">
        <f>IFERROR(__xludf.DUMMYFUNCTION("""COMPUTED_VALUE"""),"Plants vs. Zombies: Game of the Year Edition")</f>
        <v>Plants vs. Zombies: Game of the Year Edition</v>
      </c>
      <c r="B46" s="195" t="str">
        <f>IFERROR(__xludf.DUMMYFUNCTION("""COMPUTED_VALUE"""),"Xbox / PC")</f>
        <v>Xbox / PC</v>
      </c>
      <c r="C46" s="196"/>
      <c r="D46" s="196" t="str">
        <f>IFERROR(__xludf.DUMMYFUNCTION("""COMPUTED_VALUE"""),"Active")</f>
        <v>Active</v>
      </c>
      <c r="E46" s="197">
        <f>IFERROR(__xludf.DUMMYFUNCTION("""COMPUTED_VALUE"""),44145.0)</f>
        <v>44145</v>
      </c>
      <c r="F46" s="198"/>
      <c r="G46" s="199">
        <f>IFERROR(__xludf.DUMMYFUNCTION("""COMPUTED_VALUE"""),59.166666666666664)</f>
        <v>59.16666667</v>
      </c>
      <c r="H46" s="197">
        <f>IFERROR(__xludf.DUMMYFUNCTION("""COMPUTED_VALUE"""),39938.0)</f>
        <v>39938</v>
      </c>
      <c r="I46" s="199">
        <f>IFERROR(__xludf.DUMMYFUNCTION("""COMPUTED_VALUE"""),11.51388888888889)</f>
        <v>11.51388889</v>
      </c>
      <c r="J46" s="200">
        <f>IFERROR(__xludf.DUMMYFUNCTION("""COMPUTED_VALUE"""),89.0)</f>
        <v>89</v>
      </c>
      <c r="K46" s="200">
        <f>IFERROR(__xludf.DUMMYFUNCTION("""COMPUTED_VALUE"""),8.0)</f>
        <v>8</v>
      </c>
      <c r="L46" s="201" t="str">
        <f>IFERROR(__xludf.DUMMYFUNCTION("""COMPUTED_VALUE"""),"Strategy / Puzzle")</f>
        <v>Strategy / Puzzle</v>
      </c>
      <c r="M46" s="201"/>
    </row>
    <row r="47">
      <c r="A47" s="190" t="str">
        <f>IFERROR(__xludf.DUMMYFUNCTION("""COMPUTED_VALUE"""),"The Walking Dead: The Complete First Season")</f>
        <v>The Walking Dead: The Complete First Season</v>
      </c>
      <c r="B47" s="195" t="str">
        <f>IFERROR(__xludf.DUMMYFUNCTION("""COMPUTED_VALUE"""),"Xbox / PC")</f>
        <v>Xbox / PC</v>
      </c>
      <c r="C47" s="196" t="str">
        <f>IFERROR(__xludf.DUMMYFUNCTION("""COMPUTED_VALUE"""),"Touch Controls")</f>
        <v>Touch Controls</v>
      </c>
      <c r="D47" s="196" t="str">
        <f>IFERROR(__xludf.DUMMYFUNCTION("""COMPUTED_VALUE"""),"Active")</f>
        <v>Active</v>
      </c>
      <c r="E47" s="197">
        <f>IFERROR(__xludf.DUMMYFUNCTION("""COMPUTED_VALUE"""),43503.0)</f>
        <v>43503</v>
      </c>
      <c r="F47" s="198"/>
      <c r="G47" s="199">
        <f>IFERROR(__xludf.DUMMYFUNCTION("""COMPUTED_VALUE"""),80.26666666666667)</f>
        <v>80.26666667</v>
      </c>
      <c r="H47" s="197">
        <f>IFERROR(__xludf.DUMMYFUNCTION("""COMPUTED_VALUE"""),43074.0)</f>
        <v>43074</v>
      </c>
      <c r="I47" s="199">
        <f>IFERROR(__xludf.DUMMYFUNCTION("""COMPUTED_VALUE"""),1.1722222222222223)</f>
        <v>1.172222222</v>
      </c>
      <c r="J47" s="200">
        <f>IFERROR(__xludf.DUMMYFUNCTION("""COMPUTED_VALUE"""),89.0)</f>
        <v>89</v>
      </c>
      <c r="K47" s="200">
        <f>IFERROR(__xludf.DUMMYFUNCTION("""COMPUTED_VALUE"""),13.0)</f>
        <v>13</v>
      </c>
      <c r="L47" s="201" t="str">
        <f>IFERROR(__xludf.DUMMYFUNCTION("""COMPUTED_VALUE"""),"Light-Gun Shooter")</f>
        <v>Light-Gun Shooter</v>
      </c>
      <c r="M47" s="201"/>
    </row>
    <row r="48">
      <c r="A48" s="190" t="str">
        <f>IFERROR(__xludf.DUMMYFUNCTION("""COMPUTED_VALUE"""),"Fable II")</f>
        <v>Fable II</v>
      </c>
      <c r="B48" s="195" t="str">
        <f>IFERROR(__xludf.DUMMYFUNCTION("""COMPUTED_VALUE"""),"Xbox")</f>
        <v>Xbox</v>
      </c>
      <c r="C48" s="196" t="str">
        <f>IFERROR(__xludf.DUMMYFUNCTION("""COMPUTED_VALUE"""),"Touch Controls")</f>
        <v>Touch Controls</v>
      </c>
      <c r="D48" s="196" t="str">
        <f>IFERROR(__xludf.DUMMYFUNCTION("""COMPUTED_VALUE"""),"Active")</f>
        <v>Active</v>
      </c>
      <c r="E48" s="197">
        <f>IFERROR(__xludf.DUMMYFUNCTION("""COMPUTED_VALUE"""),42979.0)</f>
        <v>42979</v>
      </c>
      <c r="F48" s="198"/>
      <c r="G48" s="199">
        <f>IFERROR(__xludf.DUMMYFUNCTION("""COMPUTED_VALUE"""),97.46666666666667)</f>
        <v>97.46666667</v>
      </c>
      <c r="H48" s="197">
        <f>IFERROR(__xludf.DUMMYFUNCTION("""COMPUTED_VALUE"""),39742.0)</f>
        <v>39742</v>
      </c>
      <c r="I48" s="199">
        <f>IFERROR(__xludf.DUMMYFUNCTION("""COMPUTED_VALUE"""),8.86111111111111)</f>
        <v>8.861111111</v>
      </c>
      <c r="J48" s="200">
        <f>IFERROR(__xludf.DUMMYFUNCTION("""COMPUTED_VALUE"""),89.0)</f>
        <v>89</v>
      </c>
      <c r="K48" s="200">
        <f>IFERROR(__xludf.DUMMYFUNCTION("""COMPUTED_VALUE"""),13.0)</f>
        <v>13</v>
      </c>
      <c r="L48" s="201" t="str">
        <f>IFERROR(__xludf.DUMMYFUNCTION("""COMPUTED_VALUE"""),"Adventure")</f>
        <v>Adventure</v>
      </c>
      <c r="M48" s="201"/>
    </row>
    <row r="49">
      <c r="A49" s="190" t="str">
        <f>IFERROR(__xludf.DUMMYFUNCTION("""COMPUTED_VALUE"""),"It Takes Two")</f>
        <v>It Takes Two</v>
      </c>
      <c r="B49" s="195" t="str">
        <f>IFERROR(__xludf.DUMMYFUNCTION("""COMPUTED_VALUE"""),"Xbox / PC")</f>
        <v>Xbox / PC</v>
      </c>
      <c r="C49" s="196" t="str">
        <f>IFERROR(__xludf.DUMMYFUNCTION("""COMPUTED_VALUE"""),"Yes")</f>
        <v>Yes</v>
      </c>
      <c r="D49" s="196" t="str">
        <f>IFERROR(__xludf.DUMMYFUNCTION("""COMPUTED_VALUE"""),"Active")</f>
        <v>Active</v>
      </c>
      <c r="E49" s="197">
        <f>IFERROR(__xludf.DUMMYFUNCTION("""COMPUTED_VALUE"""),44504.0)</f>
        <v>44504</v>
      </c>
      <c r="F49" s="198"/>
      <c r="G49" s="199">
        <f>IFERROR(__xludf.DUMMYFUNCTION("""COMPUTED_VALUE"""),47.36666666666667)</f>
        <v>47.36666667</v>
      </c>
      <c r="H49" s="197">
        <f>IFERROR(__xludf.DUMMYFUNCTION("""COMPUTED_VALUE"""),44281.0)</f>
        <v>44281</v>
      </c>
      <c r="I49" s="199">
        <f>IFERROR(__xludf.DUMMYFUNCTION("""COMPUTED_VALUE"""),0.6055555555555555)</f>
        <v>0.6055555556</v>
      </c>
      <c r="J49" s="200">
        <f>IFERROR(__xludf.DUMMYFUNCTION("""COMPUTED_VALUE"""),88.5)</f>
        <v>88.5</v>
      </c>
      <c r="K49" s="200">
        <f>IFERROR(__xludf.DUMMYFUNCTION("""COMPUTED_VALUE"""),12.0)</f>
        <v>12</v>
      </c>
      <c r="L49" s="201" t="str">
        <f>IFERROR(__xludf.DUMMYFUNCTION("""COMPUTED_VALUE"""),"Platformer / Action-Adventure")</f>
        <v>Platformer / Action-Adventure</v>
      </c>
      <c r="M49" s="201" t="str">
        <f>IFERROR(__xludf.DUMMYFUNCTION("""COMPUTED_VALUE"""),"Optimized")</f>
        <v>Optimized</v>
      </c>
    </row>
    <row r="50">
      <c r="A50" s="190" t="str">
        <f>IFERROR(__xludf.DUMMYFUNCTION("""COMPUTED_VALUE"""),"Assassin's Creed IV Black Flag")</f>
        <v>Assassin's Creed IV Black Flag</v>
      </c>
      <c r="B50" s="195" t="str">
        <f>IFERROR(__xludf.DUMMYFUNCTION("""COMPUTED_VALUE"""),"Xbox / PC")</f>
        <v>Xbox / PC</v>
      </c>
      <c r="C50" s="196" t="str">
        <f>IFERROR(__xludf.DUMMYFUNCTION("""COMPUTED_VALUE"""),"Yes")</f>
        <v>Yes</v>
      </c>
      <c r="D50" s="196" t="str">
        <f>IFERROR(__xludf.DUMMYFUNCTION("""COMPUTED_VALUE"""),"Active")</f>
        <v>Active</v>
      </c>
      <c r="E50" s="197">
        <f>IFERROR(__xludf.DUMMYFUNCTION("""COMPUTED_VALUE"""),45931.0)</f>
        <v>45931</v>
      </c>
      <c r="F50" s="198"/>
      <c r="G50" s="199">
        <f>IFERROR(__xludf.DUMMYFUNCTION("""COMPUTED_VALUE"""),0.4666666666666667)</f>
        <v>0.4666666667</v>
      </c>
      <c r="H50" s="197">
        <f>IFERROR(__xludf.DUMMYFUNCTION("""COMPUTED_VALUE"""),41576.0)</f>
        <v>41576</v>
      </c>
      <c r="I50" s="199">
        <f>IFERROR(__xludf.DUMMYFUNCTION("""COMPUTED_VALUE"""),11.922222222222222)</f>
        <v>11.92222222</v>
      </c>
      <c r="J50" s="200">
        <f>IFERROR(__xludf.DUMMYFUNCTION("""COMPUTED_VALUE"""),88.0)</f>
        <v>88</v>
      </c>
      <c r="K50" s="200">
        <f>IFERROR(__xludf.DUMMYFUNCTION("""COMPUTED_VALUE"""),24.0)</f>
        <v>24</v>
      </c>
      <c r="L50" s="201" t="str">
        <f>IFERROR(__xludf.DUMMYFUNCTION("""COMPUTED_VALUE"""),"Action-Adventure")</f>
        <v>Action-Adventure</v>
      </c>
      <c r="M50" s="201"/>
    </row>
    <row r="51">
      <c r="A51" s="190" t="str">
        <f>IFERROR(__xludf.DUMMYFUNCTION("""COMPUTED_VALUE"""),"Far Cry 3")</f>
        <v>Far Cry 3</v>
      </c>
      <c r="B51" s="195" t="str">
        <f>IFERROR(__xludf.DUMMYFUNCTION("""COMPUTED_VALUE"""),"Xbox / PC")</f>
        <v>Xbox / PC</v>
      </c>
      <c r="C51" s="196" t="str">
        <f>IFERROR(__xludf.DUMMYFUNCTION("""COMPUTED_VALUE"""),"Yes")</f>
        <v>Yes</v>
      </c>
      <c r="D51" s="196" t="str">
        <f>IFERROR(__xludf.DUMMYFUNCTION("""COMPUTED_VALUE"""),"Active")</f>
        <v>Active</v>
      </c>
      <c r="E51" s="197">
        <f>IFERROR(__xludf.DUMMYFUNCTION("""COMPUTED_VALUE"""),45931.0)</f>
        <v>45931</v>
      </c>
      <c r="F51" s="198"/>
      <c r="G51" s="199">
        <f>IFERROR(__xludf.DUMMYFUNCTION("""COMPUTED_VALUE"""),0.4666666666666667)</f>
        <v>0.4666666667</v>
      </c>
      <c r="H51" s="197">
        <f>IFERROR(__xludf.DUMMYFUNCTION("""COMPUTED_VALUE"""),41247.0)</f>
        <v>41247</v>
      </c>
      <c r="I51" s="199">
        <f>IFERROR(__xludf.DUMMYFUNCTION("""COMPUTED_VALUE"""),12.825)</f>
        <v>12.825</v>
      </c>
      <c r="J51" s="200">
        <f>IFERROR(__xludf.DUMMYFUNCTION("""COMPUTED_VALUE"""),88.0)</f>
        <v>88</v>
      </c>
      <c r="K51" s="200">
        <f>IFERROR(__xludf.DUMMYFUNCTION("""COMPUTED_VALUE"""),16.0)</f>
        <v>16</v>
      </c>
      <c r="L51" s="201" t="str">
        <f>IFERROR(__xludf.DUMMYFUNCTION("""COMPUTED_VALUE"""),"Action-Adventure")</f>
        <v>Action-Adventure</v>
      </c>
      <c r="M51" s="201"/>
    </row>
    <row r="52">
      <c r="A52" s="190" t="str">
        <f>IFERROR(__xludf.DUMMYFUNCTION("""COMPUTED_VALUE"""),"Abiotic Factor")</f>
        <v>Abiotic Factor</v>
      </c>
      <c r="B52" s="195" t="str">
        <f>IFERROR(__xludf.DUMMYFUNCTION("""COMPUTED_VALUE"""),"Xbox / PC")</f>
        <v>Xbox / PC</v>
      </c>
      <c r="C52" s="196" t="str">
        <f>IFERROR(__xludf.DUMMYFUNCTION("""COMPUTED_VALUE"""),"Yes")</f>
        <v>Yes</v>
      </c>
      <c r="D52" s="196" t="str">
        <f>IFERROR(__xludf.DUMMYFUNCTION("""COMPUTED_VALUE"""),"Active")</f>
        <v>Active</v>
      </c>
      <c r="E52" s="197">
        <f>IFERROR(__xludf.DUMMYFUNCTION("""COMPUTED_VALUE"""),45860.0)</f>
        <v>45860</v>
      </c>
      <c r="F52" s="198"/>
      <c r="G52" s="199">
        <f>IFERROR(__xludf.DUMMYFUNCTION("""COMPUTED_VALUE"""),2.7666666666666666)</f>
        <v>2.766666667</v>
      </c>
      <c r="H52" s="197">
        <f>IFERROR(__xludf.DUMMYFUNCTION("""COMPUTED_VALUE"""),45860.0)</f>
        <v>45860</v>
      </c>
      <c r="I52" s="199">
        <f>IFERROR(__xludf.DUMMYFUNCTION("""COMPUTED_VALUE"""),0.0)</f>
        <v>0</v>
      </c>
      <c r="J52" s="200">
        <f>IFERROR(__xludf.DUMMYFUNCTION("""COMPUTED_VALUE"""),88.0)</f>
        <v>88</v>
      </c>
      <c r="K52" s="200">
        <f>IFERROR(__xludf.DUMMYFUNCTION("""COMPUTED_VALUE"""),33.0)</f>
        <v>33</v>
      </c>
      <c r="L52" s="201" t="str">
        <f>IFERROR(__xludf.DUMMYFUNCTION("""COMPUTED_VALUE"""),"Survival")</f>
        <v>Survival</v>
      </c>
      <c r="M52" s="201" t="str">
        <f>IFERROR(__xludf.DUMMYFUNCTION("""COMPUTED_VALUE"""),"Exclusive")</f>
        <v>Exclusive</v>
      </c>
    </row>
    <row r="53">
      <c r="A53" s="190" t="str">
        <f>IFERROR(__xludf.DUMMYFUNCTION("""COMPUTED_VALUE"""),"Mullet Madjack")</f>
        <v>Mullet Madjack</v>
      </c>
      <c r="B53" s="195" t="str">
        <f>IFERROR(__xludf.DUMMYFUNCTION("""COMPUTED_VALUE"""),"Xbox / PC")</f>
        <v>Xbox / PC</v>
      </c>
      <c r="C53" s="196" t="str">
        <f>IFERROR(__xludf.DUMMYFUNCTION("""COMPUTED_VALUE"""),"Yes")</f>
        <v>Yes</v>
      </c>
      <c r="D53" s="196" t="str">
        <f>IFERROR(__xludf.DUMMYFUNCTION("""COMPUTED_VALUE"""),"Active")</f>
        <v>Active</v>
      </c>
      <c r="E53" s="197">
        <f>IFERROR(__xludf.DUMMYFUNCTION("""COMPUTED_VALUE"""),45729.0)</f>
        <v>45729</v>
      </c>
      <c r="F53" s="198"/>
      <c r="G53" s="199">
        <f>IFERROR(__xludf.DUMMYFUNCTION("""COMPUTED_VALUE"""),7.066666666666666)</f>
        <v>7.066666667</v>
      </c>
      <c r="H53" s="197">
        <f>IFERROR(__xludf.DUMMYFUNCTION("""COMPUTED_VALUE"""),45427.0)</f>
        <v>45427</v>
      </c>
      <c r="I53" s="199">
        <f>IFERROR(__xludf.DUMMYFUNCTION("""COMPUTED_VALUE"""),0.8277777777777777)</f>
        <v>0.8277777778</v>
      </c>
      <c r="J53" s="200">
        <f>IFERROR(__xludf.DUMMYFUNCTION("""COMPUTED_VALUE"""),88.0)</f>
        <v>88</v>
      </c>
      <c r="K53" s="200">
        <f>IFERROR(__xludf.DUMMYFUNCTION("""COMPUTED_VALUE"""),4.0)</f>
        <v>4</v>
      </c>
      <c r="L53" s="201" t="str">
        <f>IFERROR(__xludf.DUMMYFUNCTION("""COMPUTED_VALUE"""),"Shooter")</f>
        <v>Shooter</v>
      </c>
      <c r="M53" s="201" t="str">
        <f>IFERROR(__xludf.DUMMYFUNCTION("""COMPUTED_VALUE"""),"Exclusive")</f>
        <v>Exclusive</v>
      </c>
    </row>
    <row r="54">
      <c r="A54" s="190" t="str">
        <f>IFERROR(__xludf.DUMMYFUNCTION("""COMPUTED_VALUE"""),"Minecraft: Preview")</f>
        <v>Minecraft: Preview</v>
      </c>
      <c r="B54" s="195" t="str">
        <f>IFERROR(__xludf.DUMMYFUNCTION("""COMPUTED_VALUE"""),"Xbox / PC")</f>
        <v>Xbox / PC</v>
      </c>
      <c r="C54" s="196"/>
      <c r="D54" s="196" t="str">
        <f>IFERROR(__xludf.DUMMYFUNCTION("""COMPUTED_VALUE"""),"Active")</f>
        <v>Active</v>
      </c>
      <c r="E54" s="197">
        <f>IFERROR(__xludf.DUMMYFUNCTION("""COMPUTED_VALUE"""),45368.0)</f>
        <v>45368</v>
      </c>
      <c r="F54" s="198"/>
      <c r="G54" s="199">
        <f>IFERROR(__xludf.DUMMYFUNCTION("""COMPUTED_VALUE"""),18.933333333333334)</f>
        <v>18.93333333</v>
      </c>
      <c r="H54" s="197">
        <f>IFERROR(__xludf.DUMMYFUNCTION("""COMPUTED_VALUE"""),40865.0)</f>
        <v>40865</v>
      </c>
      <c r="I54" s="199">
        <f>IFERROR(__xludf.DUMMYFUNCTION("""COMPUTED_VALUE"""),12.330555555555556)</f>
        <v>12.33055556</v>
      </c>
      <c r="J54" s="200">
        <f>IFERROR(__xludf.DUMMYFUNCTION("""COMPUTED_VALUE"""),88.0)</f>
        <v>88</v>
      </c>
      <c r="K54" s="200">
        <f>IFERROR(__xludf.DUMMYFUNCTION("""COMPUTED_VALUE"""),116.0)</f>
        <v>116</v>
      </c>
      <c r="L54" s="201" t="str">
        <f>IFERROR(__xludf.DUMMYFUNCTION("""COMPUTED_VALUE"""),"Action-Adventure")</f>
        <v>Action-Adventure</v>
      </c>
      <c r="M54" s="201"/>
    </row>
    <row r="55">
      <c r="A55" s="190" t="str">
        <f>IFERROR(__xludf.DUMMYFUNCTION("""COMPUTED_VALUE"""),"Dead Space (2023)")</f>
        <v>Dead Space (2023)</v>
      </c>
      <c r="B55" s="195" t="str">
        <f>IFERROR(__xludf.DUMMYFUNCTION("""COMPUTED_VALUE"""),"Xbox / PC")</f>
        <v>Xbox / PC</v>
      </c>
      <c r="C55" s="196" t="str">
        <f>IFERROR(__xludf.DUMMYFUNCTION("""COMPUTED_VALUE"""),"Yes")</f>
        <v>Yes</v>
      </c>
      <c r="D55" s="196" t="str">
        <f>IFERROR(__xludf.DUMMYFUNCTION("""COMPUTED_VALUE"""),"Active")</f>
        <v>Active</v>
      </c>
      <c r="E55" s="197">
        <f>IFERROR(__xludf.DUMMYFUNCTION("""COMPUTED_VALUE"""),45225.0)</f>
        <v>45225</v>
      </c>
      <c r="F55" s="198"/>
      <c r="G55" s="199">
        <f>IFERROR(__xludf.DUMMYFUNCTION("""COMPUTED_VALUE"""),23.633333333333333)</f>
        <v>23.63333333</v>
      </c>
      <c r="H55" s="197">
        <f>IFERROR(__xludf.DUMMYFUNCTION("""COMPUTED_VALUE"""),44953.0)</f>
        <v>44953</v>
      </c>
      <c r="I55" s="199">
        <f>IFERROR(__xludf.DUMMYFUNCTION("""COMPUTED_VALUE"""),0.7472222222222222)</f>
        <v>0.7472222222</v>
      </c>
      <c r="J55" s="200">
        <f>IFERROR(__xludf.DUMMYFUNCTION("""COMPUTED_VALUE"""),88.0)</f>
        <v>88</v>
      </c>
      <c r="K55" s="200">
        <f>IFERROR(__xludf.DUMMYFUNCTION("""COMPUTED_VALUE"""),12.0)</f>
        <v>12</v>
      </c>
      <c r="L55" s="201" t="str">
        <f>IFERROR(__xludf.DUMMYFUNCTION("""COMPUTED_VALUE"""),"Shooter / Action-Adventure")</f>
        <v>Shooter / Action-Adventure</v>
      </c>
      <c r="M55" s="201" t="str">
        <f>IFERROR(__xludf.DUMMYFUNCTION("""COMPUTED_VALUE"""),"Exclusive")</f>
        <v>Exclusive</v>
      </c>
    </row>
    <row r="56">
      <c r="A56" s="190" t="str">
        <f>IFERROR(__xludf.DUMMYFUNCTION("""COMPUTED_VALUE"""),"Mass Effect: Legendary Edition")</f>
        <v>Mass Effect: Legendary Edition</v>
      </c>
      <c r="B56" s="195" t="str">
        <f>IFERROR(__xludf.DUMMYFUNCTION("""COMPUTED_VALUE"""),"Xbox / PC")</f>
        <v>Xbox / PC</v>
      </c>
      <c r="C56" s="196" t="str">
        <f>IFERROR(__xludf.DUMMYFUNCTION("""COMPUTED_VALUE"""),"Yes")</f>
        <v>Yes</v>
      </c>
      <c r="D56" s="196" t="str">
        <f>IFERROR(__xludf.DUMMYFUNCTION("""COMPUTED_VALUE"""),"Active")</f>
        <v>Active</v>
      </c>
      <c r="E56" s="197">
        <f>IFERROR(__xludf.DUMMYFUNCTION("""COMPUTED_VALUE"""),44567.0)</f>
        <v>44567</v>
      </c>
      <c r="F56" s="198"/>
      <c r="G56" s="199">
        <f>IFERROR(__xludf.DUMMYFUNCTION("""COMPUTED_VALUE"""),45.3)</f>
        <v>45.3</v>
      </c>
      <c r="H56" s="197">
        <f>IFERROR(__xludf.DUMMYFUNCTION("""COMPUTED_VALUE"""),44330.0)</f>
        <v>44330</v>
      </c>
      <c r="I56" s="199">
        <f>IFERROR(__xludf.DUMMYFUNCTION("""COMPUTED_VALUE"""),0.6444444444444445)</f>
        <v>0.6444444444</v>
      </c>
      <c r="J56" s="200">
        <f>IFERROR(__xludf.DUMMYFUNCTION("""COMPUTED_VALUE"""),88.0)</f>
        <v>88</v>
      </c>
      <c r="K56" s="200">
        <f>IFERROR(__xludf.DUMMYFUNCTION("""COMPUTED_VALUE"""),106.0)</f>
        <v>106</v>
      </c>
      <c r="L56" s="201" t="str">
        <f>IFERROR(__xludf.DUMMYFUNCTION("""COMPUTED_VALUE"""),"RPG / Shooter / Compilation")</f>
        <v>RPG / Shooter / Compilation</v>
      </c>
      <c r="M56" s="201"/>
    </row>
    <row r="57">
      <c r="A57" s="190" t="str">
        <f>IFERROR(__xludf.DUMMYFUNCTION("""COMPUTED_VALUE"""),"Crimson Skies: High Road to Revenge")</f>
        <v>Crimson Skies: High Road to Revenge</v>
      </c>
      <c r="B57" s="195" t="str">
        <f>IFERROR(__xludf.DUMMYFUNCTION("""COMPUTED_VALUE"""),"Xbox")</f>
        <v>Xbox</v>
      </c>
      <c r="C57" s="196" t="str">
        <f>IFERROR(__xludf.DUMMYFUNCTION("""COMPUTED_VALUE"""),"Touch Controls")</f>
        <v>Touch Controls</v>
      </c>
      <c r="D57" s="196" t="str">
        <f>IFERROR(__xludf.DUMMYFUNCTION("""COMPUTED_VALUE"""),"Active")</f>
        <v>Active</v>
      </c>
      <c r="E57" s="197">
        <f>IFERROR(__xludf.DUMMYFUNCTION("""COMPUTED_VALUE"""),44403.0)</f>
        <v>44403</v>
      </c>
      <c r="F57" s="198"/>
      <c r="G57" s="199">
        <f>IFERROR(__xludf.DUMMYFUNCTION("""COMPUTED_VALUE"""),50.633333333333326)</f>
        <v>50.63333333</v>
      </c>
      <c r="H57" s="197">
        <f>IFERROR(__xludf.DUMMYFUNCTION("""COMPUTED_VALUE"""),37915.0)</f>
        <v>37915</v>
      </c>
      <c r="I57" s="199">
        <f>IFERROR(__xludf.DUMMYFUNCTION("""COMPUTED_VALUE"""),17.76388888888889)</f>
        <v>17.76388889</v>
      </c>
      <c r="J57" s="200">
        <f>IFERROR(__xludf.DUMMYFUNCTION("""COMPUTED_VALUE"""),88.0)</f>
        <v>88</v>
      </c>
      <c r="K57" s="200">
        <f>IFERROR(__xludf.DUMMYFUNCTION("""COMPUTED_VALUE"""),8.0)</f>
        <v>8</v>
      </c>
      <c r="L57" s="201" t="str">
        <f>IFERROR(__xludf.DUMMYFUNCTION("""COMPUTED_VALUE"""),"Flight Simulator / Vehicular Combat")</f>
        <v>Flight Simulator / Vehicular Combat</v>
      </c>
      <c r="M57" s="201"/>
    </row>
    <row r="58">
      <c r="A58" s="190" t="str">
        <f>IFERROR(__xludf.DUMMYFUNCTION("""COMPUTED_VALUE"""),"DOOM 3")</f>
        <v>DOOM 3</v>
      </c>
      <c r="B58" s="195" t="str">
        <f>IFERROR(__xludf.DUMMYFUNCTION("""COMPUTED_VALUE"""),"Xbox / PC")</f>
        <v>Xbox / PC</v>
      </c>
      <c r="C58" s="196" t="str">
        <f>IFERROR(__xludf.DUMMYFUNCTION("""COMPUTED_VALUE"""),"Yes")</f>
        <v>Yes</v>
      </c>
      <c r="D58" s="196" t="str">
        <f>IFERROR(__xludf.DUMMYFUNCTION("""COMPUTED_VALUE"""),"Active")</f>
        <v>Active</v>
      </c>
      <c r="E58" s="197">
        <f>IFERROR(__xludf.DUMMYFUNCTION("""COMPUTED_VALUE"""),44267.0)</f>
        <v>44267</v>
      </c>
      <c r="F58" s="198"/>
      <c r="G58" s="199">
        <f>IFERROR(__xludf.DUMMYFUNCTION("""COMPUTED_VALUE"""),55.1)</f>
        <v>55.1</v>
      </c>
      <c r="H58" s="197">
        <f>IFERROR(__xludf.DUMMYFUNCTION("""COMPUTED_VALUE"""),38202.0)</f>
        <v>38202</v>
      </c>
      <c r="I58" s="199">
        <f>IFERROR(__xludf.DUMMYFUNCTION("""COMPUTED_VALUE"""),16.608333333333334)</f>
        <v>16.60833333</v>
      </c>
      <c r="J58" s="200">
        <f>IFERROR(__xludf.DUMMYFUNCTION("""COMPUTED_VALUE"""),88.0)</f>
        <v>88</v>
      </c>
      <c r="K58" s="200">
        <f>IFERROR(__xludf.DUMMYFUNCTION("""COMPUTED_VALUE"""),11.0)</f>
        <v>11</v>
      </c>
      <c r="L58" s="201" t="str">
        <f>IFERROR(__xludf.DUMMYFUNCTION("""COMPUTED_VALUE"""),"First-Person Shooter")</f>
        <v>First-Person Shooter</v>
      </c>
      <c r="M58" s="201"/>
    </row>
    <row r="59">
      <c r="A59" s="190" t="str">
        <f>IFERROR(__xludf.DUMMYFUNCTION("""COMPUTED_VALUE"""),"The Elder Scrolls III: Morrowind")</f>
        <v>The Elder Scrolls III: Morrowind</v>
      </c>
      <c r="B59" s="195" t="str">
        <f>IFERROR(__xludf.DUMMYFUNCTION("""COMPUTED_VALUE"""),"Xbox / PC")</f>
        <v>Xbox / PC</v>
      </c>
      <c r="C59" s="196" t="str">
        <f>IFERROR(__xludf.DUMMYFUNCTION("""COMPUTED_VALUE"""),"Yes")</f>
        <v>Yes</v>
      </c>
      <c r="D59" s="196" t="str">
        <f>IFERROR(__xludf.DUMMYFUNCTION("""COMPUTED_VALUE"""),"Active")</f>
        <v>Active</v>
      </c>
      <c r="E59" s="197">
        <f>IFERROR(__xludf.DUMMYFUNCTION("""COMPUTED_VALUE"""),44267.0)</f>
        <v>44267</v>
      </c>
      <c r="F59" s="198"/>
      <c r="G59" s="199">
        <f>IFERROR(__xludf.DUMMYFUNCTION("""COMPUTED_VALUE"""),55.1)</f>
        <v>55.1</v>
      </c>
      <c r="H59" s="197">
        <f>IFERROR(__xludf.DUMMYFUNCTION("""COMPUTED_VALUE"""),37377.0)</f>
        <v>37377</v>
      </c>
      <c r="I59" s="199">
        <f>IFERROR(__xludf.DUMMYFUNCTION("""COMPUTED_VALUE"""),18.863888888888887)</f>
        <v>18.86388889</v>
      </c>
      <c r="J59" s="200">
        <f>IFERROR(__xludf.DUMMYFUNCTION("""COMPUTED_VALUE"""),88.0)</f>
        <v>88</v>
      </c>
      <c r="K59" s="200">
        <f>IFERROR(__xludf.DUMMYFUNCTION("""COMPUTED_VALUE"""),44.5)</f>
        <v>44.5</v>
      </c>
      <c r="L59" s="201" t="str">
        <f>IFERROR(__xludf.DUMMYFUNCTION("""COMPUTED_VALUE"""),"RPG")</f>
        <v>RPG</v>
      </c>
      <c r="M59" s="201"/>
    </row>
    <row r="60">
      <c r="A60" s="190" t="str">
        <f>IFERROR(__xludf.DUMMYFUNCTION("""COMPUTED_VALUE"""),"Pillars of Eternity II: Deadfire - Ultimate Edition")</f>
        <v>Pillars of Eternity II: Deadfire - Ultimate Edition</v>
      </c>
      <c r="B60" s="195" t="str">
        <f>IFERROR(__xludf.DUMMYFUNCTION("""COMPUTED_VALUE"""),"Xbox / PC")</f>
        <v>Xbox / PC</v>
      </c>
      <c r="C60" s="196" t="str">
        <f>IFERROR(__xludf.DUMMYFUNCTION("""COMPUTED_VALUE"""),"Touch Controls")</f>
        <v>Touch Controls</v>
      </c>
      <c r="D60" s="196" t="str">
        <f>IFERROR(__xludf.DUMMYFUNCTION("""COMPUTED_VALUE"""),"Active")</f>
        <v>Active</v>
      </c>
      <c r="E60" s="197">
        <f>IFERROR(__xludf.DUMMYFUNCTION("""COMPUTED_VALUE"""),44245.0)</f>
        <v>44245</v>
      </c>
      <c r="F60" s="198"/>
      <c r="G60" s="199">
        <f>IFERROR(__xludf.DUMMYFUNCTION("""COMPUTED_VALUE"""),55.9)</f>
        <v>55.9</v>
      </c>
      <c r="H60" s="197">
        <f>IFERROR(__xludf.DUMMYFUNCTION("""COMPUTED_VALUE"""),43228.0)</f>
        <v>43228</v>
      </c>
      <c r="I60" s="199">
        <f>IFERROR(__xludf.DUMMYFUNCTION("""COMPUTED_VALUE"""),2.7777777777777777)</f>
        <v>2.777777778</v>
      </c>
      <c r="J60" s="200">
        <f>IFERROR(__xludf.DUMMYFUNCTION("""COMPUTED_VALUE"""),88.0)</f>
        <v>88</v>
      </c>
      <c r="K60" s="200">
        <f>IFERROR(__xludf.DUMMYFUNCTION("""COMPUTED_VALUE"""),42.0)</f>
        <v>42</v>
      </c>
      <c r="L60" s="201" t="str">
        <f>IFERROR(__xludf.DUMMYFUNCTION("""COMPUTED_VALUE"""),"RPG")</f>
        <v>RPG</v>
      </c>
      <c r="M60" s="201"/>
    </row>
    <row r="61">
      <c r="A61" s="190" t="str">
        <f>IFERROR(__xludf.DUMMYFUNCTION("""COMPUTED_VALUE"""),"DOOM Eternal")</f>
        <v>DOOM Eternal</v>
      </c>
      <c r="B61" s="195" t="str">
        <f>IFERROR(__xludf.DUMMYFUNCTION("""COMPUTED_VALUE"""),"Xbox / PC")</f>
        <v>Xbox / PC</v>
      </c>
      <c r="C61" s="196" t="str">
        <f>IFERROR(__xludf.DUMMYFUNCTION("""COMPUTED_VALUE"""),"Yes")</f>
        <v>Yes</v>
      </c>
      <c r="D61" s="196" t="str">
        <f>IFERROR(__xludf.DUMMYFUNCTION("""COMPUTED_VALUE"""),"Active")</f>
        <v>Active</v>
      </c>
      <c r="E61" s="197">
        <f>IFERROR(__xludf.DUMMYFUNCTION("""COMPUTED_VALUE"""),44105.0)</f>
        <v>44105</v>
      </c>
      <c r="F61" s="198"/>
      <c r="G61" s="199">
        <f>IFERROR(__xludf.DUMMYFUNCTION("""COMPUTED_VALUE"""),60.46666666666667)</f>
        <v>60.46666667</v>
      </c>
      <c r="H61" s="197">
        <f>IFERROR(__xludf.DUMMYFUNCTION("""COMPUTED_VALUE"""),43910.0)</f>
        <v>43910</v>
      </c>
      <c r="I61" s="199">
        <f>IFERROR(__xludf.DUMMYFUNCTION("""COMPUTED_VALUE"""),0.5305555555555556)</f>
        <v>0.5305555556</v>
      </c>
      <c r="J61" s="200">
        <f>IFERROR(__xludf.DUMMYFUNCTION("""COMPUTED_VALUE"""),88.0)</f>
        <v>88</v>
      </c>
      <c r="K61" s="200">
        <f>IFERROR(__xludf.DUMMYFUNCTION("""COMPUTED_VALUE"""),13.5)</f>
        <v>13.5</v>
      </c>
      <c r="L61" s="201" t="str">
        <f>IFERROR(__xludf.DUMMYFUNCTION("""COMPUTED_VALUE"""),"First-Person Shooter")</f>
        <v>First-Person Shooter</v>
      </c>
      <c r="M61" s="201" t="str">
        <f>IFERROR(__xludf.DUMMYFUNCTION("""COMPUTED_VALUE"""),"Optimized")</f>
        <v>Optimized</v>
      </c>
    </row>
    <row r="62">
      <c r="A62" s="190" t="str">
        <f>IFERROR(__xludf.DUMMYFUNCTION("""COMPUTED_VALUE"""),"Halo 3")</f>
        <v>Halo 3</v>
      </c>
      <c r="B62" s="195" t="str">
        <f>IFERROR(__xludf.DUMMYFUNCTION("""COMPUTED_VALUE"""),"Xbox / PC")</f>
        <v>Xbox / PC</v>
      </c>
      <c r="C62" s="196"/>
      <c r="D62" s="196" t="str">
        <f>IFERROR(__xludf.DUMMYFUNCTION("""COMPUTED_VALUE"""),"Active")</f>
        <v>Active</v>
      </c>
      <c r="E62" s="197">
        <f>IFERROR(__xludf.DUMMYFUNCTION("""COMPUTED_VALUE"""),44026.0)</f>
        <v>44026</v>
      </c>
      <c r="F62" s="198"/>
      <c r="G62" s="199">
        <f>IFERROR(__xludf.DUMMYFUNCTION("""COMPUTED_VALUE"""),63.03333333333334)</f>
        <v>63.03333333</v>
      </c>
      <c r="H62" s="197">
        <f>IFERROR(__xludf.DUMMYFUNCTION("""COMPUTED_VALUE"""),39350.0)</f>
        <v>39350</v>
      </c>
      <c r="I62" s="199">
        <f>IFERROR(__xludf.DUMMYFUNCTION("""COMPUTED_VALUE"""),12.802777777777777)</f>
        <v>12.80277778</v>
      </c>
      <c r="J62" s="200">
        <f>IFERROR(__xludf.DUMMYFUNCTION("""COMPUTED_VALUE"""),88.0)</f>
        <v>88</v>
      </c>
      <c r="K62" s="200">
        <f>IFERROR(__xludf.DUMMYFUNCTION("""COMPUTED_VALUE"""),9.0)</f>
        <v>9</v>
      </c>
      <c r="L62" s="201" t="str">
        <f>IFERROR(__xludf.DUMMYFUNCTION("""COMPUTED_VALUE"""),"First-Person Shooter")</f>
        <v>First-Person Shooter</v>
      </c>
      <c r="M62" s="201"/>
    </row>
    <row r="63">
      <c r="A63" s="190" t="str">
        <f>IFERROR(__xludf.DUMMYFUNCTION("""COMPUTED_VALUE"""),"Dishonored 2")</f>
        <v>Dishonored 2</v>
      </c>
      <c r="B63" s="195" t="str">
        <f>IFERROR(__xludf.DUMMYFUNCTION("""COMPUTED_VALUE"""),"Xbox / PC")</f>
        <v>Xbox / PC</v>
      </c>
      <c r="C63" s="196" t="str">
        <f>IFERROR(__xludf.DUMMYFUNCTION("""COMPUTED_VALUE"""),"Yes")</f>
        <v>Yes</v>
      </c>
      <c r="D63" s="196" t="str">
        <f>IFERROR(__xludf.DUMMYFUNCTION("""COMPUTED_VALUE"""),"Active")</f>
        <v>Active</v>
      </c>
      <c r="E63" s="197">
        <f>IFERROR(__xludf.DUMMYFUNCTION("""COMPUTED_VALUE"""),43741.0)</f>
        <v>43741</v>
      </c>
      <c r="F63" s="198"/>
      <c r="G63" s="199">
        <f>IFERROR(__xludf.DUMMYFUNCTION("""COMPUTED_VALUE"""),72.4)</f>
        <v>72.4</v>
      </c>
      <c r="H63" s="197">
        <f>IFERROR(__xludf.DUMMYFUNCTION("""COMPUTED_VALUE"""),42685.0)</f>
        <v>42685</v>
      </c>
      <c r="I63" s="199">
        <f>IFERROR(__xludf.DUMMYFUNCTION("""COMPUTED_VALUE"""),2.8944444444444444)</f>
        <v>2.894444444</v>
      </c>
      <c r="J63" s="200">
        <f>IFERROR(__xludf.DUMMYFUNCTION("""COMPUTED_VALUE"""),88.0)</f>
        <v>88</v>
      </c>
      <c r="K63" s="200">
        <f>IFERROR(__xludf.DUMMYFUNCTION("""COMPUTED_VALUE"""),12.5)</f>
        <v>12.5</v>
      </c>
      <c r="L63" s="201" t="str">
        <f>IFERROR(__xludf.DUMMYFUNCTION("""COMPUTED_VALUE"""),"Action-Adventure")</f>
        <v>Action-Adventure</v>
      </c>
      <c r="M63" s="201"/>
    </row>
    <row r="64">
      <c r="A64" s="190" t="str">
        <f>IFERROR(__xludf.DUMMYFUNCTION("""COMPUTED_VALUE"""),"Slay the Spire")</f>
        <v>Slay the Spire</v>
      </c>
      <c r="B64" s="195" t="str">
        <f>IFERROR(__xludf.DUMMYFUNCTION("""COMPUTED_VALUE"""),"Xbox / PC")</f>
        <v>Xbox / PC</v>
      </c>
      <c r="C64" s="196" t="str">
        <f>IFERROR(__xludf.DUMMYFUNCTION("""COMPUTED_VALUE"""),"Touch Controls")</f>
        <v>Touch Controls</v>
      </c>
      <c r="D64" s="196" t="str">
        <f>IFERROR(__xludf.DUMMYFUNCTION("""COMPUTED_VALUE"""),"Active")</f>
        <v>Active</v>
      </c>
      <c r="E64" s="197">
        <f>IFERROR(__xludf.DUMMYFUNCTION("""COMPUTED_VALUE"""),43691.0)</f>
        <v>43691</v>
      </c>
      <c r="F64" s="198"/>
      <c r="G64" s="199">
        <f>IFERROR(__xludf.DUMMYFUNCTION("""COMPUTED_VALUE"""),74.03333333333333)</f>
        <v>74.03333333</v>
      </c>
      <c r="H64" s="197">
        <f>IFERROR(__xludf.DUMMYFUNCTION("""COMPUTED_VALUE"""),43054.0)</f>
        <v>43054</v>
      </c>
      <c r="I64" s="199">
        <f>IFERROR(__xludf.DUMMYFUNCTION("""COMPUTED_VALUE"""),1.7472222222222222)</f>
        <v>1.747222222</v>
      </c>
      <c r="J64" s="200">
        <f>IFERROR(__xludf.DUMMYFUNCTION("""COMPUTED_VALUE"""),88.0)</f>
        <v>88</v>
      </c>
      <c r="K64" s="200">
        <f>IFERROR(__xludf.DUMMYFUNCTION("""COMPUTED_VALUE"""),10.5)</f>
        <v>10.5</v>
      </c>
      <c r="L64" s="201" t="str">
        <f>IFERROR(__xludf.DUMMYFUNCTION("""COMPUTED_VALUE"""),"Strategy / Card Game")</f>
        <v>Strategy / Card Game</v>
      </c>
      <c r="M64" s="201"/>
    </row>
    <row r="65">
      <c r="A65" s="190" t="str">
        <f>IFERROR(__xludf.DUMMYFUNCTION("""COMPUTED_VALUE"""),"Wolfenstein II: The New Colossus")</f>
        <v>Wolfenstein II: The New Colossus</v>
      </c>
      <c r="B65" s="195" t="str">
        <f>IFERROR(__xludf.DUMMYFUNCTION("""COMPUTED_VALUE"""),"Xbox / PC")</f>
        <v>Xbox / PC</v>
      </c>
      <c r="C65" s="196" t="str">
        <f>IFERROR(__xludf.DUMMYFUNCTION("""COMPUTED_VALUE"""),"Yes")</f>
        <v>Yes</v>
      </c>
      <c r="D65" s="196" t="str">
        <f>IFERROR(__xludf.DUMMYFUNCTION("""COMPUTED_VALUE"""),"Active")</f>
        <v>Active</v>
      </c>
      <c r="E65" s="197">
        <f>IFERROR(__xludf.DUMMYFUNCTION("""COMPUTED_VALUE"""),43587.0)</f>
        <v>43587</v>
      </c>
      <c r="F65" s="198"/>
      <c r="G65" s="199">
        <f>IFERROR(__xludf.DUMMYFUNCTION("""COMPUTED_VALUE"""),77.43333333333334)</f>
        <v>77.43333333</v>
      </c>
      <c r="H65" s="197">
        <f>IFERROR(__xludf.DUMMYFUNCTION("""COMPUTED_VALUE"""),43035.0)</f>
        <v>43035</v>
      </c>
      <c r="I65" s="199">
        <f>IFERROR(__xludf.DUMMYFUNCTION("""COMPUTED_VALUE"""),1.5138888888888888)</f>
        <v>1.513888889</v>
      </c>
      <c r="J65" s="200">
        <f>IFERROR(__xludf.DUMMYFUNCTION("""COMPUTED_VALUE"""),88.0)</f>
        <v>88</v>
      </c>
      <c r="K65" s="200">
        <f>IFERROR(__xludf.DUMMYFUNCTION("""COMPUTED_VALUE"""),10.5)</f>
        <v>10.5</v>
      </c>
      <c r="L65" s="201" t="str">
        <f>IFERROR(__xludf.DUMMYFUNCTION("""COMPUTED_VALUE"""),"First-Person Shooter")</f>
        <v>First-Person Shooter</v>
      </c>
      <c r="M65" s="201"/>
    </row>
    <row r="66">
      <c r="A66" s="190" t="str">
        <f>IFERROR(__xludf.DUMMYFUNCTION("""COMPUTED_VALUE"""),"Minecraft")</f>
        <v>Minecraft</v>
      </c>
      <c r="B66" s="195" t="str">
        <f>IFERROR(__xludf.DUMMYFUNCTION("""COMPUTED_VALUE"""),"Xbox / PC")</f>
        <v>Xbox / PC</v>
      </c>
      <c r="C66" s="196"/>
      <c r="D66" s="196" t="str">
        <f>IFERROR(__xludf.DUMMYFUNCTION("""COMPUTED_VALUE"""),"Active")</f>
        <v>Active</v>
      </c>
      <c r="E66" s="197">
        <f>IFERROR(__xludf.DUMMYFUNCTION("""COMPUTED_VALUE"""),43559.0)</f>
        <v>43559</v>
      </c>
      <c r="F66" s="198"/>
      <c r="G66" s="199">
        <f>IFERROR(__xludf.DUMMYFUNCTION("""COMPUTED_VALUE"""),78.36666666666667)</f>
        <v>78.36666667</v>
      </c>
      <c r="H66" s="197">
        <f>IFERROR(__xludf.DUMMYFUNCTION("""COMPUTED_VALUE"""),40865.0)</f>
        <v>40865</v>
      </c>
      <c r="I66" s="199">
        <f>IFERROR(__xludf.DUMMYFUNCTION("""COMPUTED_VALUE"""),7.377777777777778)</f>
        <v>7.377777778</v>
      </c>
      <c r="J66" s="200">
        <f>IFERROR(__xludf.DUMMYFUNCTION("""COMPUTED_VALUE"""),88.0)</f>
        <v>88</v>
      </c>
      <c r="K66" s="200">
        <f>IFERROR(__xludf.DUMMYFUNCTION("""COMPUTED_VALUE"""),116.0)</f>
        <v>116</v>
      </c>
      <c r="L66" s="201" t="str">
        <f>IFERROR(__xludf.DUMMYFUNCTION("""COMPUTED_VALUE"""),"Action-Adventure")</f>
        <v>Action-Adventure</v>
      </c>
      <c r="M66" s="201"/>
    </row>
    <row r="67">
      <c r="A67" s="190" t="str">
        <f>IFERROR(__xludf.DUMMYFUNCTION("""COMPUTED_VALUE"""),"Fallout 4")</f>
        <v>Fallout 4</v>
      </c>
      <c r="B67" s="195" t="str">
        <f>IFERROR(__xludf.DUMMYFUNCTION("""COMPUTED_VALUE"""),"Xbox / PC")</f>
        <v>Xbox / PC</v>
      </c>
      <c r="C67" s="196" t="str">
        <f>IFERROR(__xludf.DUMMYFUNCTION("""COMPUTED_VALUE"""),"Yes")</f>
        <v>Yes</v>
      </c>
      <c r="D67" s="196" t="str">
        <f>IFERROR(__xludf.DUMMYFUNCTION("""COMPUTED_VALUE"""),"Active")</f>
        <v>Active</v>
      </c>
      <c r="E67" s="197">
        <f>IFERROR(__xludf.DUMMYFUNCTION("""COMPUTED_VALUE"""),43538.0)</f>
        <v>43538</v>
      </c>
      <c r="F67" s="198"/>
      <c r="G67" s="199">
        <f>IFERROR(__xludf.DUMMYFUNCTION("""COMPUTED_VALUE"""),79.03333333333333)</f>
        <v>79.03333333</v>
      </c>
      <c r="H67" s="197">
        <f>IFERROR(__xludf.DUMMYFUNCTION("""COMPUTED_VALUE"""),42318.0)</f>
        <v>42318</v>
      </c>
      <c r="I67" s="199">
        <f>IFERROR(__xludf.DUMMYFUNCTION("""COMPUTED_VALUE"""),3.3444444444444446)</f>
        <v>3.344444444</v>
      </c>
      <c r="J67" s="200">
        <f>IFERROR(__xludf.DUMMYFUNCTION("""COMPUTED_VALUE"""),88.0)</f>
        <v>88</v>
      </c>
      <c r="K67" s="200">
        <f>IFERROR(__xludf.DUMMYFUNCTION("""COMPUTED_VALUE"""),26.5)</f>
        <v>26.5</v>
      </c>
      <c r="L67" s="201" t="str">
        <f>IFERROR(__xludf.DUMMYFUNCTION("""COMPUTED_VALUE"""),"RPG / Shooter")</f>
        <v>RPG / Shooter</v>
      </c>
      <c r="M67" s="201" t="str">
        <f>IFERROR(__xludf.DUMMYFUNCTION("""COMPUTED_VALUE"""),"FPS Boost")</f>
        <v>FPS Boost</v>
      </c>
    </row>
    <row r="68">
      <c r="A68" s="190" t="str">
        <f>IFERROR(__xludf.DUMMYFUNCTION("""COMPUTED_VALUE"""),"Ori and the Blind Forest: Definitive Edition")</f>
        <v>Ori and the Blind Forest: Definitive Edition</v>
      </c>
      <c r="B68" s="195" t="str">
        <f>IFERROR(__xludf.DUMMYFUNCTION("""COMPUTED_VALUE"""),"Xbox / PC")</f>
        <v>Xbox / PC</v>
      </c>
      <c r="C68" s="196" t="str">
        <f>IFERROR(__xludf.DUMMYFUNCTION("""COMPUTED_VALUE"""),"Yes")</f>
        <v>Yes</v>
      </c>
      <c r="D68" s="196" t="str">
        <f>IFERROR(__xludf.DUMMYFUNCTION("""COMPUTED_VALUE"""),"Active")</f>
        <v>Active</v>
      </c>
      <c r="E68" s="197">
        <f>IFERROR(__xludf.DUMMYFUNCTION("""COMPUTED_VALUE"""),43454.0)</f>
        <v>43454</v>
      </c>
      <c r="F68" s="198"/>
      <c r="G68" s="199">
        <f>IFERROR(__xludf.DUMMYFUNCTION("""COMPUTED_VALUE"""),81.83333333333334)</f>
        <v>81.83333333</v>
      </c>
      <c r="H68" s="197">
        <f>IFERROR(__xludf.DUMMYFUNCTION("""COMPUTED_VALUE"""),42074.0)</f>
        <v>42074</v>
      </c>
      <c r="I68" s="199">
        <f>IFERROR(__xludf.DUMMYFUNCTION("""COMPUTED_VALUE"""),3.775)</f>
        <v>3.775</v>
      </c>
      <c r="J68" s="200">
        <f>IFERROR(__xludf.DUMMYFUNCTION("""COMPUTED_VALUE"""),88.0)</f>
        <v>88</v>
      </c>
      <c r="K68" s="200">
        <f>IFERROR(__xludf.DUMMYFUNCTION("""COMPUTED_VALUE"""),8.5)</f>
        <v>8.5</v>
      </c>
      <c r="L68" s="201" t="str">
        <f>IFERROR(__xludf.DUMMYFUNCTION("""COMPUTED_VALUE"""),"Puzzle / Platformer / Action-Adventure")</f>
        <v>Puzzle / Platformer / Action-Adventure</v>
      </c>
      <c r="M68" s="201"/>
    </row>
    <row r="69">
      <c r="A69" s="190" t="str">
        <f>IFERROR(__xludf.DUMMYFUNCTION("""COMPUTED_VALUE"""),"Hellblade: Senua's Sacrifice")</f>
        <v>Hellblade: Senua's Sacrifice</v>
      </c>
      <c r="B69" s="195" t="str">
        <f>IFERROR(__xludf.DUMMYFUNCTION("""COMPUTED_VALUE"""),"Xbox / PC")</f>
        <v>Xbox / PC</v>
      </c>
      <c r="C69" s="196" t="str">
        <f>IFERROR(__xludf.DUMMYFUNCTION("""COMPUTED_VALUE"""),"Touch Controls")</f>
        <v>Touch Controls</v>
      </c>
      <c r="D69" s="196" t="str">
        <f>IFERROR(__xludf.DUMMYFUNCTION("""COMPUTED_VALUE"""),"Active")</f>
        <v>Active</v>
      </c>
      <c r="E69" s="197">
        <f>IFERROR(__xludf.DUMMYFUNCTION("""COMPUTED_VALUE"""),43451.0)</f>
        <v>43451</v>
      </c>
      <c r="F69" s="198"/>
      <c r="G69" s="199">
        <f>IFERROR(__xludf.DUMMYFUNCTION("""COMPUTED_VALUE"""),81.93333333333334)</f>
        <v>81.93333333</v>
      </c>
      <c r="H69" s="197">
        <f>IFERROR(__xludf.DUMMYFUNCTION("""COMPUTED_VALUE"""),42955.0)</f>
        <v>42955</v>
      </c>
      <c r="I69" s="199">
        <f>IFERROR(__xludf.DUMMYFUNCTION("""COMPUTED_VALUE"""),1.3583333333333334)</f>
        <v>1.358333333</v>
      </c>
      <c r="J69" s="200">
        <f>IFERROR(__xludf.DUMMYFUNCTION("""COMPUTED_VALUE"""),88.0)</f>
        <v>88</v>
      </c>
      <c r="K69" s="200">
        <f>IFERROR(__xludf.DUMMYFUNCTION("""COMPUTED_VALUE"""),7.5)</f>
        <v>7.5</v>
      </c>
      <c r="L69" s="201" t="str">
        <f>IFERROR(__xludf.DUMMYFUNCTION("""COMPUTED_VALUE"""),"Action / Action-Adventure")</f>
        <v>Action / Action-Adventure</v>
      </c>
      <c r="M69" s="201" t="str">
        <f>IFERROR(__xludf.DUMMYFUNCTION("""COMPUTED_VALUE"""),"Optimized")</f>
        <v>Optimized</v>
      </c>
    </row>
    <row r="70">
      <c r="A70" s="190" t="str">
        <f>IFERROR(__xludf.DUMMYFUNCTION("""COMPUTED_VALUE"""),"Psychonauts")</f>
        <v>Psychonauts</v>
      </c>
      <c r="B70" s="195" t="str">
        <f>IFERROR(__xludf.DUMMYFUNCTION("""COMPUTED_VALUE"""),"Xbox / PC")</f>
        <v>Xbox / PC</v>
      </c>
      <c r="C70" s="196" t="str">
        <f>IFERROR(__xludf.DUMMYFUNCTION("""COMPUTED_VALUE"""),"Touch Controls")</f>
        <v>Touch Controls</v>
      </c>
      <c r="D70" s="196" t="str">
        <f>IFERROR(__xludf.DUMMYFUNCTION("""COMPUTED_VALUE"""),"Active")</f>
        <v>Active</v>
      </c>
      <c r="E70" s="197">
        <f>IFERROR(__xludf.DUMMYFUNCTION("""COMPUTED_VALUE"""),44329.0)</f>
        <v>44329</v>
      </c>
      <c r="F70" s="198"/>
      <c r="G70" s="199">
        <f>IFERROR(__xludf.DUMMYFUNCTION("""COMPUTED_VALUE"""),53.06666666666667)</f>
        <v>53.06666667</v>
      </c>
      <c r="H70" s="197">
        <f>IFERROR(__xludf.DUMMYFUNCTION("""COMPUTED_VALUE"""),38461.0)</f>
        <v>38461</v>
      </c>
      <c r="I70" s="199">
        <f>IFERROR(__xludf.DUMMYFUNCTION("""COMPUTED_VALUE"""),16.066666666666666)</f>
        <v>16.06666667</v>
      </c>
      <c r="J70" s="200">
        <f>IFERROR(__xludf.DUMMYFUNCTION("""COMPUTED_VALUE"""),87.5)</f>
        <v>87.5</v>
      </c>
      <c r="K70" s="200">
        <f>IFERROR(__xludf.DUMMYFUNCTION("""COMPUTED_VALUE"""),12.5)</f>
        <v>12.5</v>
      </c>
      <c r="L70" s="201" t="str">
        <f>IFERROR(__xludf.DUMMYFUNCTION("""COMPUTED_VALUE"""),"Platformer / Action-Adventure")</f>
        <v>Platformer / Action-Adventure</v>
      </c>
      <c r="M70" s="201"/>
    </row>
    <row r="71">
      <c r="A71" s="190" t="str">
        <f>IFERROR(__xludf.DUMMYFUNCTION("""COMPUTED_VALUE"""),"Injustice 2")</f>
        <v>Injustice 2</v>
      </c>
      <c r="B71" s="195" t="str">
        <f>IFERROR(__xludf.DUMMYFUNCTION("""COMPUTED_VALUE"""),"Xbox / PC")</f>
        <v>Xbox / PC</v>
      </c>
      <c r="C71" s="196" t="str">
        <f>IFERROR(__xludf.DUMMYFUNCTION("""COMPUTED_VALUE"""),"Yes")</f>
        <v>Yes</v>
      </c>
      <c r="D71" s="196" t="str">
        <f>IFERROR(__xludf.DUMMYFUNCTION("""COMPUTED_VALUE"""),"Active")</f>
        <v>Active</v>
      </c>
      <c r="E71" s="197">
        <f>IFERROR(__xludf.DUMMYFUNCTION("""COMPUTED_VALUE"""),44203.0)</f>
        <v>44203</v>
      </c>
      <c r="F71" s="198"/>
      <c r="G71" s="199">
        <f>IFERROR(__xludf.DUMMYFUNCTION("""COMPUTED_VALUE"""),57.266666666666666)</f>
        <v>57.26666667</v>
      </c>
      <c r="H71" s="197">
        <f>IFERROR(__xludf.DUMMYFUNCTION("""COMPUTED_VALUE"""),42871.0)</f>
        <v>42871</v>
      </c>
      <c r="I71" s="199">
        <f>IFERROR(__xludf.DUMMYFUNCTION("""COMPUTED_VALUE"""),3.6416666666666666)</f>
        <v>3.641666667</v>
      </c>
      <c r="J71" s="200">
        <f>IFERROR(__xludf.DUMMYFUNCTION("""COMPUTED_VALUE"""),87.5)</f>
        <v>87.5</v>
      </c>
      <c r="K71" s="200">
        <f>IFERROR(__xludf.DUMMYFUNCTION("""COMPUTED_VALUE"""),5.5)</f>
        <v>5.5</v>
      </c>
      <c r="L71" s="201" t="str">
        <f>IFERROR(__xludf.DUMMYFUNCTION("""COMPUTED_VALUE"""),"Fighting")</f>
        <v>Fighting</v>
      </c>
      <c r="M71" s="201"/>
    </row>
    <row r="72">
      <c r="A72" s="190" t="str">
        <f>IFERROR(__xludf.DUMMYFUNCTION("""COMPUTED_VALUE"""),"Pentiment")</f>
        <v>Pentiment</v>
      </c>
      <c r="B72" s="195" t="str">
        <f>IFERROR(__xludf.DUMMYFUNCTION("""COMPUTED_VALUE"""),"Xbox / PC")</f>
        <v>Xbox / PC</v>
      </c>
      <c r="C72" s="196" t="str">
        <f>IFERROR(__xludf.DUMMYFUNCTION("""COMPUTED_VALUE"""),"Touch Controls, M+KB")</f>
        <v>Touch Controls, M+KB</v>
      </c>
      <c r="D72" s="196" t="str">
        <f>IFERROR(__xludf.DUMMYFUNCTION("""COMPUTED_VALUE"""),"Active")</f>
        <v>Active</v>
      </c>
      <c r="E72" s="197">
        <f>IFERROR(__xludf.DUMMYFUNCTION("""COMPUTED_VALUE"""),44880.0)</f>
        <v>44880</v>
      </c>
      <c r="F72" s="198"/>
      <c r="G72" s="199">
        <f>IFERROR(__xludf.DUMMYFUNCTION("""COMPUTED_VALUE"""),35.0)</f>
        <v>35</v>
      </c>
      <c r="H72" s="197">
        <f>IFERROR(__xludf.DUMMYFUNCTION("""COMPUTED_VALUE"""),44880.0)</f>
        <v>44880</v>
      </c>
      <c r="I72" s="199">
        <f>IFERROR(__xludf.DUMMYFUNCTION("""COMPUTED_VALUE"""),0.0)</f>
        <v>0</v>
      </c>
      <c r="J72" s="200">
        <f>IFERROR(__xludf.DUMMYFUNCTION("""COMPUTED_VALUE"""),87.0)</f>
        <v>87</v>
      </c>
      <c r="K72" s="200">
        <f>IFERROR(__xludf.DUMMYFUNCTION("""COMPUTED_VALUE"""),18.5)</f>
        <v>18.5</v>
      </c>
      <c r="L72" s="201" t="str">
        <f>IFERROR(__xludf.DUMMYFUNCTION("""COMPUTED_VALUE"""),"Adventure")</f>
        <v>Adventure</v>
      </c>
      <c r="M72" s="201"/>
    </row>
    <row r="73">
      <c r="A73" s="190" t="str">
        <f>IFERROR(__xludf.DUMMYFUNCTION("""COMPUTED_VALUE"""),"Return to Monkey Island")</f>
        <v>Return to Monkey Island</v>
      </c>
      <c r="B73" s="195" t="str">
        <f>IFERROR(__xludf.DUMMYFUNCTION("""COMPUTED_VALUE"""),"Xbox / PC")</f>
        <v>Xbox / PC</v>
      </c>
      <c r="C73" s="196" t="str">
        <f>IFERROR(__xludf.DUMMYFUNCTION("""COMPUTED_VALUE"""),"Yes")</f>
        <v>Yes</v>
      </c>
      <c r="D73" s="196" t="str">
        <f>IFERROR(__xludf.DUMMYFUNCTION("""COMPUTED_VALUE"""),"Active")</f>
        <v>Active</v>
      </c>
      <c r="E73" s="197">
        <f>IFERROR(__xludf.DUMMYFUNCTION("""COMPUTED_VALUE"""),44873.0)</f>
        <v>44873</v>
      </c>
      <c r="F73" s="198"/>
      <c r="G73" s="199">
        <f>IFERROR(__xludf.DUMMYFUNCTION("""COMPUTED_VALUE"""),35.233333333333334)</f>
        <v>35.23333333</v>
      </c>
      <c r="H73" s="197">
        <f>IFERROR(__xludf.DUMMYFUNCTION("""COMPUTED_VALUE"""),44823.0)</f>
        <v>44823</v>
      </c>
      <c r="I73" s="199">
        <f>IFERROR(__xludf.DUMMYFUNCTION("""COMPUTED_VALUE"""),0.1361111111111111)</f>
        <v>0.1361111111</v>
      </c>
      <c r="J73" s="200">
        <f>IFERROR(__xludf.DUMMYFUNCTION("""COMPUTED_VALUE"""),87.0)</f>
        <v>87</v>
      </c>
      <c r="K73" s="200">
        <f>IFERROR(__xludf.DUMMYFUNCTION("""COMPUTED_VALUE"""),10.5)</f>
        <v>10.5</v>
      </c>
      <c r="L73" s="201" t="str">
        <f>IFERROR(__xludf.DUMMYFUNCTION("""COMPUTED_VALUE"""),"Adventure")</f>
        <v>Adventure</v>
      </c>
      <c r="M73" s="201" t="str">
        <f>IFERROR(__xludf.DUMMYFUNCTION("""COMPUTED_VALUE"""),"Exclusive")</f>
        <v>Exclusive</v>
      </c>
    </row>
    <row r="74">
      <c r="A74" s="190" t="str">
        <f>IFERROR(__xludf.DUMMYFUNCTION("""COMPUTED_VALUE"""),"Assassin's Creed Odyssey")</f>
        <v>Assassin's Creed Odyssey</v>
      </c>
      <c r="B74" s="195" t="str">
        <f>IFERROR(__xludf.DUMMYFUNCTION("""COMPUTED_VALUE"""),"Xbox / PC")</f>
        <v>Xbox / PC</v>
      </c>
      <c r="C74" s="196" t="str">
        <f>IFERROR(__xludf.DUMMYFUNCTION("""COMPUTED_VALUE"""),"Touch Controls")</f>
        <v>Touch Controls</v>
      </c>
      <c r="D74" s="196" t="str">
        <f>IFERROR(__xludf.DUMMYFUNCTION("""COMPUTED_VALUE"""),"Active")</f>
        <v>Active</v>
      </c>
      <c r="E74" s="197">
        <f>IFERROR(__xludf.DUMMYFUNCTION("""COMPUTED_VALUE"""),44819.0)</f>
        <v>44819</v>
      </c>
      <c r="F74" s="198"/>
      <c r="G74" s="199">
        <f>IFERROR(__xludf.DUMMYFUNCTION("""COMPUTED_VALUE"""),37.0)</f>
        <v>37</v>
      </c>
      <c r="H74" s="197">
        <f>IFERROR(__xludf.DUMMYFUNCTION("""COMPUTED_VALUE"""),43375.0)</f>
        <v>43375</v>
      </c>
      <c r="I74" s="199">
        <f>IFERROR(__xludf.DUMMYFUNCTION("""COMPUTED_VALUE"""),3.952777777777778)</f>
        <v>3.952777778</v>
      </c>
      <c r="J74" s="200">
        <f>IFERROR(__xludf.DUMMYFUNCTION("""COMPUTED_VALUE"""),87.0)</f>
        <v>87</v>
      </c>
      <c r="K74" s="200">
        <f>IFERROR(__xludf.DUMMYFUNCTION("""COMPUTED_VALUE"""),44.5)</f>
        <v>44.5</v>
      </c>
      <c r="L74" s="201" t="str">
        <f>IFERROR(__xludf.DUMMYFUNCTION("""COMPUTED_VALUE"""),"RPG / Action-Adventure")</f>
        <v>RPG / Action-Adventure</v>
      </c>
      <c r="M74" s="201"/>
    </row>
    <row r="75">
      <c r="A75" s="190" t="str">
        <f>IFERROR(__xludf.DUMMYFUNCTION("""COMPUTED_VALUE"""),"Vampire Survivors")</f>
        <v>Vampire Survivors</v>
      </c>
      <c r="B75" s="195" t="str">
        <f>IFERROR(__xludf.DUMMYFUNCTION("""COMPUTED_VALUE"""),"Xbox / PC")</f>
        <v>Xbox / PC</v>
      </c>
      <c r="C75" s="196" t="str">
        <f>IFERROR(__xludf.DUMMYFUNCTION("""COMPUTED_VALUE"""),"Yes")</f>
        <v>Yes</v>
      </c>
      <c r="D75" s="196" t="str">
        <f>IFERROR(__xludf.DUMMYFUNCTION("""COMPUTED_VALUE"""),"Active")</f>
        <v>Active</v>
      </c>
      <c r="E75" s="197">
        <f>IFERROR(__xludf.DUMMYFUNCTION("""COMPUTED_VALUE"""),44700.0)</f>
        <v>44700</v>
      </c>
      <c r="F75" s="198"/>
      <c r="G75" s="199">
        <f>IFERROR(__xludf.DUMMYFUNCTION("""COMPUTED_VALUE"""),40.86666666666667)</f>
        <v>40.86666667</v>
      </c>
      <c r="H75" s="197">
        <f>IFERROR(__xludf.DUMMYFUNCTION("""COMPUTED_VALUE"""),44547.0)</f>
        <v>44547</v>
      </c>
      <c r="I75" s="199">
        <f>IFERROR(__xludf.DUMMYFUNCTION("""COMPUTED_VALUE"""),0.4222222222222222)</f>
        <v>0.4222222222</v>
      </c>
      <c r="J75" s="200">
        <f>IFERROR(__xludf.DUMMYFUNCTION("""COMPUTED_VALUE"""),87.0)</f>
        <v>87</v>
      </c>
      <c r="K75" s="200">
        <f>IFERROR(__xludf.DUMMYFUNCTION("""COMPUTED_VALUE"""),4.5)</f>
        <v>4.5</v>
      </c>
      <c r="L75" s="201" t="str">
        <f>IFERROR(__xludf.DUMMYFUNCTION("""COMPUTED_VALUE"""),"Action")</f>
        <v>Action</v>
      </c>
      <c r="M75" s="201"/>
    </row>
    <row r="76">
      <c r="A76" s="190" t="str">
        <f>IFERROR(__xludf.DUMMYFUNCTION("""COMPUTED_VALUE"""),"Halo 4")</f>
        <v>Halo 4</v>
      </c>
      <c r="B76" s="195" t="str">
        <f>IFERROR(__xludf.DUMMYFUNCTION("""COMPUTED_VALUE"""),"Xbox / PC")</f>
        <v>Xbox / PC</v>
      </c>
      <c r="C76" s="196"/>
      <c r="D76" s="196" t="str">
        <f>IFERROR(__xludf.DUMMYFUNCTION("""COMPUTED_VALUE"""),"Active")</f>
        <v>Active</v>
      </c>
      <c r="E76" s="197">
        <f>IFERROR(__xludf.DUMMYFUNCTION("""COMPUTED_VALUE"""),44152.0)</f>
        <v>44152</v>
      </c>
      <c r="F76" s="198"/>
      <c r="G76" s="199">
        <f>IFERROR(__xludf.DUMMYFUNCTION("""COMPUTED_VALUE"""),58.93333333333334)</f>
        <v>58.93333333</v>
      </c>
      <c r="H76" s="197">
        <f>IFERROR(__xludf.DUMMYFUNCTION("""COMPUTED_VALUE"""),41218.0)</f>
        <v>41218</v>
      </c>
      <c r="I76" s="199">
        <f>IFERROR(__xludf.DUMMYFUNCTION("""COMPUTED_VALUE"""),8.033333333333333)</f>
        <v>8.033333333</v>
      </c>
      <c r="J76" s="200">
        <f>IFERROR(__xludf.DUMMYFUNCTION("""COMPUTED_VALUE"""),87.0)</f>
        <v>87</v>
      </c>
      <c r="K76" s="200">
        <f>IFERROR(__xludf.DUMMYFUNCTION("""COMPUTED_VALUE"""),8.0)</f>
        <v>8</v>
      </c>
      <c r="L76" s="201" t="str">
        <f>IFERROR(__xludf.DUMMYFUNCTION("""COMPUTED_VALUE"""),"Action / First-Person Shooter")</f>
        <v>Action / First-Person Shooter</v>
      </c>
      <c r="M76" s="201"/>
    </row>
    <row r="77">
      <c r="A77" s="190" t="str">
        <f>IFERROR(__xludf.DUMMYFUNCTION("""COMPUTED_VALUE"""),"Battlefield 1: Revolution")</f>
        <v>Battlefield 1: Revolution</v>
      </c>
      <c r="B77" s="195" t="str">
        <f>IFERROR(__xludf.DUMMYFUNCTION("""COMPUTED_VALUE"""),"Xbox / PC")</f>
        <v>Xbox / PC</v>
      </c>
      <c r="C77" s="196" t="str">
        <f>IFERROR(__xludf.DUMMYFUNCTION("""COMPUTED_VALUE"""),"Yes")</f>
        <v>Yes</v>
      </c>
      <c r="D77" s="196" t="str">
        <f>IFERROR(__xludf.DUMMYFUNCTION("""COMPUTED_VALUE"""),"Active")</f>
        <v>Active</v>
      </c>
      <c r="E77" s="197">
        <f>IFERROR(__xludf.DUMMYFUNCTION("""COMPUTED_VALUE"""),44145.0)</f>
        <v>44145</v>
      </c>
      <c r="F77" s="198"/>
      <c r="G77" s="199">
        <f>IFERROR(__xludf.DUMMYFUNCTION("""COMPUTED_VALUE"""),59.166666666666664)</f>
        <v>59.16666667</v>
      </c>
      <c r="H77" s="197">
        <f>IFERROR(__xludf.DUMMYFUNCTION("""COMPUTED_VALUE"""),42664.0)</f>
        <v>42664</v>
      </c>
      <c r="I77" s="199">
        <f>IFERROR(__xludf.DUMMYFUNCTION("""COMPUTED_VALUE"""),4.052777777777778)</f>
        <v>4.052777778</v>
      </c>
      <c r="J77" s="200">
        <f>IFERROR(__xludf.DUMMYFUNCTION("""COMPUTED_VALUE"""),87.0)</f>
        <v>87</v>
      </c>
      <c r="K77" s="200">
        <f>IFERROR(__xludf.DUMMYFUNCTION("""COMPUTED_VALUE"""),6.5)</f>
        <v>6.5</v>
      </c>
      <c r="L77" s="201" t="str">
        <f>IFERROR(__xludf.DUMMYFUNCTION("""COMPUTED_VALUE"""),"First-Person Shooter")</f>
        <v>First-Person Shooter</v>
      </c>
      <c r="M77" s="201" t="str">
        <f>IFERROR(__xludf.DUMMYFUNCTION("""COMPUTED_VALUE"""),"FPS Boost X Only")</f>
        <v>FPS Boost X Only</v>
      </c>
    </row>
    <row r="78">
      <c r="A78" s="190" t="str">
        <f>IFERROR(__xludf.DUMMYFUNCTION("""COMPUTED_VALUE"""),"Titanfall 2: Ultimate Edition")</f>
        <v>Titanfall 2: Ultimate Edition</v>
      </c>
      <c r="B78" s="195" t="str">
        <f>IFERROR(__xludf.DUMMYFUNCTION("""COMPUTED_VALUE"""),"Xbox / PC")</f>
        <v>Xbox / PC</v>
      </c>
      <c r="C78" s="196"/>
      <c r="D78" s="196" t="str">
        <f>IFERROR(__xludf.DUMMYFUNCTION("""COMPUTED_VALUE"""),"Active")</f>
        <v>Active</v>
      </c>
      <c r="E78" s="197">
        <f>IFERROR(__xludf.DUMMYFUNCTION("""COMPUTED_VALUE"""),44145.0)</f>
        <v>44145</v>
      </c>
      <c r="F78" s="198"/>
      <c r="G78" s="199">
        <f>IFERROR(__xludf.DUMMYFUNCTION("""COMPUTED_VALUE"""),59.166666666666664)</f>
        <v>59.16666667</v>
      </c>
      <c r="H78" s="197">
        <f>IFERROR(__xludf.DUMMYFUNCTION("""COMPUTED_VALUE"""),42671.0)</f>
        <v>42671</v>
      </c>
      <c r="I78" s="199">
        <f>IFERROR(__xludf.DUMMYFUNCTION("""COMPUTED_VALUE"""),4.033333333333333)</f>
        <v>4.033333333</v>
      </c>
      <c r="J78" s="200">
        <f>IFERROR(__xludf.DUMMYFUNCTION("""COMPUTED_VALUE"""),87.0)</f>
        <v>87</v>
      </c>
      <c r="K78" s="200">
        <f>IFERROR(__xludf.DUMMYFUNCTION("""COMPUTED_VALUE"""),6.0)</f>
        <v>6</v>
      </c>
      <c r="L78" s="201" t="str">
        <f>IFERROR(__xludf.DUMMYFUNCTION("""COMPUTED_VALUE"""),"First-Person Shooter")</f>
        <v>First-Person Shooter</v>
      </c>
      <c r="M78" s="201" t="str">
        <f>IFERROR(__xludf.DUMMYFUNCTION("""COMPUTED_VALUE"""),"FPS Boost")</f>
        <v>FPS Boost</v>
      </c>
    </row>
    <row r="79">
      <c r="A79" s="190" t="str">
        <f>IFERROR(__xludf.DUMMYFUNCTION("""COMPUTED_VALUE"""),"DOOM (2016)")</f>
        <v>DOOM (2016)</v>
      </c>
      <c r="B79" s="195" t="str">
        <f>IFERROR(__xludf.DUMMYFUNCTION("""COMPUTED_VALUE"""),"Xbox")</f>
        <v>Xbox</v>
      </c>
      <c r="C79" s="196" t="str">
        <f>IFERROR(__xludf.DUMMYFUNCTION("""COMPUTED_VALUE"""),"Yes")</f>
        <v>Yes</v>
      </c>
      <c r="D79" s="196" t="str">
        <f>IFERROR(__xludf.DUMMYFUNCTION("""COMPUTED_VALUE"""),"Active")</f>
        <v>Active</v>
      </c>
      <c r="E79" s="197">
        <f>IFERROR(__xludf.DUMMYFUNCTION("""COMPUTED_VALUE"""),43322.0)</f>
        <v>43322</v>
      </c>
      <c r="F79" s="198"/>
      <c r="G79" s="199">
        <f>IFERROR(__xludf.DUMMYFUNCTION("""COMPUTED_VALUE"""),86.16666666666666)</f>
        <v>86.16666667</v>
      </c>
      <c r="H79" s="197">
        <f>IFERROR(__xludf.DUMMYFUNCTION("""COMPUTED_VALUE"""),42503.0)</f>
        <v>42503</v>
      </c>
      <c r="I79" s="199">
        <f>IFERROR(__xludf.DUMMYFUNCTION("""COMPUTED_VALUE"""),2.2416666666666667)</f>
        <v>2.241666667</v>
      </c>
      <c r="J79" s="200">
        <f>IFERROR(__xludf.DUMMYFUNCTION("""COMPUTED_VALUE"""),87.0)</f>
        <v>87</v>
      </c>
      <c r="K79" s="200">
        <f>IFERROR(__xludf.DUMMYFUNCTION("""COMPUTED_VALUE"""),11.5)</f>
        <v>11.5</v>
      </c>
      <c r="L79" s="201" t="str">
        <f>IFERROR(__xludf.DUMMYFUNCTION("""COMPUTED_VALUE"""),"First-Person Shooter")</f>
        <v>First-Person Shooter</v>
      </c>
      <c r="M79" s="201"/>
    </row>
    <row r="80">
      <c r="A80" s="190" t="str">
        <f>IFERROR(__xludf.DUMMYFUNCTION("""COMPUTED_VALUE"""),"Prince of Persia: The Lost Crown")</f>
        <v>Prince of Persia: The Lost Crown</v>
      </c>
      <c r="B80" s="195" t="str">
        <f>IFERROR(__xludf.DUMMYFUNCTION("""COMPUTED_VALUE"""),"Xbox / PC")</f>
        <v>Xbox / PC</v>
      </c>
      <c r="C80" s="196" t="str">
        <f>IFERROR(__xludf.DUMMYFUNCTION("""COMPUTED_VALUE"""),"Yes")</f>
        <v>Yes</v>
      </c>
      <c r="D80" s="196" t="str">
        <f>IFERROR(__xludf.DUMMYFUNCTION("""COMPUTED_VALUE"""),"Active")</f>
        <v>Active</v>
      </c>
      <c r="E80" s="197">
        <f>IFERROR(__xludf.DUMMYFUNCTION("""COMPUTED_VALUE"""),45931.0)</f>
        <v>45931</v>
      </c>
      <c r="F80" s="198"/>
      <c r="G80" s="199">
        <f>IFERROR(__xludf.DUMMYFUNCTION("""COMPUTED_VALUE"""),0.4666666666666667)</f>
        <v>0.4666666667</v>
      </c>
      <c r="H80" s="197">
        <f>IFERROR(__xludf.DUMMYFUNCTION("""COMPUTED_VALUE"""),45309.0)</f>
        <v>45309</v>
      </c>
      <c r="I80" s="199">
        <f>IFERROR(__xludf.DUMMYFUNCTION("""COMPUTED_VALUE"""),1.7027777777777777)</f>
        <v>1.702777778</v>
      </c>
      <c r="J80" s="200">
        <f>IFERROR(__xludf.DUMMYFUNCTION("""COMPUTED_VALUE"""),86.0)</f>
        <v>86</v>
      </c>
      <c r="K80" s="200">
        <f>IFERROR(__xludf.DUMMYFUNCTION("""COMPUTED_VALUE"""),17.0)</f>
        <v>17</v>
      </c>
      <c r="L80" s="201" t="str">
        <f>IFERROR(__xludf.DUMMYFUNCTION("""COMPUTED_VALUE"""),"Metroidvania")</f>
        <v>Metroidvania</v>
      </c>
      <c r="M80" s="201"/>
    </row>
    <row r="81">
      <c r="A81" s="190" t="str">
        <f>IFERROR(__xludf.DUMMYFUNCTION("""COMPUTED_VALUE"""),"Rise of the Tomb Raider")</f>
        <v>Rise of the Tomb Raider</v>
      </c>
      <c r="B81" s="195" t="str">
        <f>IFERROR(__xludf.DUMMYFUNCTION("""COMPUTED_VALUE"""),"Xbox / PC")</f>
        <v>Xbox / PC</v>
      </c>
      <c r="C81" s="196" t="str">
        <f>IFERROR(__xludf.DUMMYFUNCTION("""COMPUTED_VALUE"""),"Yes")</f>
        <v>Yes</v>
      </c>
      <c r="D81" s="196" t="str">
        <f>IFERROR(__xludf.DUMMYFUNCTION("""COMPUTED_VALUE"""),"Active")</f>
        <v>Active</v>
      </c>
      <c r="E81" s="197">
        <f>IFERROR(__xludf.DUMMYFUNCTION("""COMPUTED_VALUE"""),45839.0)</f>
        <v>45839</v>
      </c>
      <c r="F81" s="198"/>
      <c r="G81" s="199">
        <f>IFERROR(__xludf.DUMMYFUNCTION("""COMPUTED_VALUE"""),3.4666666666666663)</f>
        <v>3.466666667</v>
      </c>
      <c r="H81" s="197">
        <f>IFERROR(__xludf.DUMMYFUNCTION("""COMPUTED_VALUE"""),42318.0)</f>
        <v>42318</v>
      </c>
      <c r="I81" s="199">
        <f>IFERROR(__xludf.DUMMYFUNCTION("""COMPUTED_VALUE"""),9.641666666666667)</f>
        <v>9.641666667</v>
      </c>
      <c r="J81" s="200">
        <f>IFERROR(__xludf.DUMMYFUNCTION("""COMPUTED_VALUE"""),86.0)</f>
        <v>86</v>
      </c>
      <c r="K81" s="200">
        <f>IFERROR(__xludf.DUMMYFUNCTION("""COMPUTED_VALUE"""),13.5)</f>
        <v>13.5</v>
      </c>
      <c r="L81" s="201" t="str">
        <f>IFERROR(__xludf.DUMMYFUNCTION("""COMPUTED_VALUE"""),"Shooter / Action-Adventure")</f>
        <v>Shooter / Action-Adventure</v>
      </c>
      <c r="M81" s="201"/>
    </row>
    <row r="82">
      <c r="A82" s="190" t="str">
        <f>IFERROR(__xludf.DUMMYFUNCTION("""COMPUTED_VALUE"""),"Warhammer 40,000: Rogue Trader")</f>
        <v>Warhammer 40,000: Rogue Trader</v>
      </c>
      <c r="B82" s="195" t="str">
        <f>IFERROR(__xludf.DUMMYFUNCTION("""COMPUTED_VALUE"""),"Xbox / PC")</f>
        <v>Xbox / PC</v>
      </c>
      <c r="C82" s="196" t="str">
        <f>IFERROR(__xludf.DUMMYFUNCTION("""COMPUTED_VALUE"""),"Yes")</f>
        <v>Yes</v>
      </c>
      <c r="D82" s="196" t="str">
        <f>IFERROR(__xludf.DUMMYFUNCTION("""COMPUTED_VALUE"""),"Active")</f>
        <v>Active</v>
      </c>
      <c r="E82" s="197">
        <f>IFERROR(__xludf.DUMMYFUNCTION("""COMPUTED_VALUE"""),45708.0)</f>
        <v>45708</v>
      </c>
      <c r="F82" s="198"/>
      <c r="G82" s="199">
        <f>IFERROR(__xludf.DUMMYFUNCTION("""COMPUTED_VALUE"""),7.833333333333334)</f>
        <v>7.833333333</v>
      </c>
      <c r="H82" s="197">
        <f>IFERROR(__xludf.DUMMYFUNCTION("""COMPUTED_VALUE"""),45559.0)</f>
        <v>45559</v>
      </c>
      <c r="I82" s="199">
        <f>IFERROR(__xludf.DUMMYFUNCTION("""COMPUTED_VALUE"""),0.40555555555555556)</f>
        <v>0.4055555556</v>
      </c>
      <c r="J82" s="200">
        <f>IFERROR(__xludf.DUMMYFUNCTION("""COMPUTED_VALUE"""),86.0)</f>
        <v>86</v>
      </c>
      <c r="K82" s="200">
        <f>IFERROR(__xludf.DUMMYFUNCTION("""COMPUTED_VALUE"""),65.0)</f>
        <v>65</v>
      </c>
      <c r="L82" s="201" t="str">
        <f>IFERROR(__xludf.DUMMYFUNCTION("""COMPUTED_VALUE"""),"RPG")</f>
        <v>RPG</v>
      </c>
      <c r="M82" s="201" t="str">
        <f>IFERROR(__xludf.DUMMYFUNCTION("""COMPUTED_VALUE"""),"Exclusive")</f>
        <v>Exclusive</v>
      </c>
    </row>
    <row r="83">
      <c r="A83" s="190" t="str">
        <f>IFERROR(__xludf.DUMMYFUNCTION("""COMPUTED_VALUE"""),"Indiana Jones and the Great Circle")</f>
        <v>Indiana Jones and the Great Circle</v>
      </c>
      <c r="B83" s="195" t="str">
        <f>IFERROR(__xludf.DUMMYFUNCTION("""COMPUTED_VALUE"""),"Xbox / PC")</f>
        <v>Xbox / PC</v>
      </c>
      <c r="C83" s="196" t="str">
        <f>IFERROR(__xludf.DUMMYFUNCTION("""COMPUTED_VALUE"""),"Yes")</f>
        <v>Yes</v>
      </c>
      <c r="D83" s="196" t="str">
        <f>IFERROR(__xludf.DUMMYFUNCTION("""COMPUTED_VALUE"""),"Active")</f>
        <v>Active</v>
      </c>
      <c r="E83" s="197">
        <f>IFERROR(__xludf.DUMMYFUNCTION("""COMPUTED_VALUE"""),45635.0)</f>
        <v>45635</v>
      </c>
      <c r="F83" s="198"/>
      <c r="G83" s="199">
        <f>IFERROR(__xludf.DUMMYFUNCTION("""COMPUTED_VALUE"""),10.2)</f>
        <v>10.2</v>
      </c>
      <c r="H83" s="197">
        <f>IFERROR(__xludf.DUMMYFUNCTION("""COMPUTED_VALUE"""),45635.0)</f>
        <v>45635</v>
      </c>
      <c r="I83" s="199">
        <f>IFERROR(__xludf.DUMMYFUNCTION("""COMPUTED_VALUE"""),0.0)</f>
        <v>0</v>
      </c>
      <c r="J83" s="200">
        <f>IFERROR(__xludf.DUMMYFUNCTION("""COMPUTED_VALUE"""),86.0)</f>
        <v>86</v>
      </c>
      <c r="K83" s="200">
        <f>IFERROR(__xludf.DUMMYFUNCTION("""COMPUTED_VALUE"""),15.0)</f>
        <v>15</v>
      </c>
      <c r="L83" s="201" t="str">
        <f>IFERROR(__xludf.DUMMYFUNCTION("""COMPUTED_VALUE"""),"Action-Adventure")</f>
        <v>Action-Adventure</v>
      </c>
      <c r="M83" s="201" t="str">
        <f>IFERROR(__xludf.DUMMYFUNCTION("""COMPUTED_VALUE"""),"Exclusive")</f>
        <v>Exclusive</v>
      </c>
    </row>
    <row r="84">
      <c r="A84" s="190" t="str">
        <f>IFERROR(__xludf.DUMMYFUNCTION("""COMPUTED_VALUE"""),"Frostpunk 2")</f>
        <v>Frostpunk 2</v>
      </c>
      <c r="B84" s="195" t="str">
        <f>IFERROR(__xludf.DUMMYFUNCTION("""COMPUTED_VALUE"""),"Xbox / PC")</f>
        <v>Xbox / PC</v>
      </c>
      <c r="C84" s="196" t="str">
        <f>IFERROR(__xludf.DUMMYFUNCTION("""COMPUTED_VALUE"""),"Yes")</f>
        <v>Yes</v>
      </c>
      <c r="D84" s="196" t="str">
        <f>IFERROR(__xludf.DUMMYFUNCTION("""COMPUTED_VALUE"""),"Active")</f>
        <v>Active</v>
      </c>
      <c r="E84" s="197">
        <f>IFERROR(__xludf.DUMMYFUNCTION("""COMPUTED_VALUE"""),45555.0)</f>
        <v>45555</v>
      </c>
      <c r="F84" s="198"/>
      <c r="G84" s="199">
        <f>IFERROR(__xludf.DUMMYFUNCTION("""COMPUTED_VALUE"""),12.833333333333332)</f>
        <v>12.83333333</v>
      </c>
      <c r="H84" s="197">
        <f>IFERROR(__xludf.DUMMYFUNCTION("""COMPUTED_VALUE"""),45555.0)</f>
        <v>45555</v>
      </c>
      <c r="I84" s="199">
        <f>IFERROR(__xludf.DUMMYFUNCTION("""COMPUTED_VALUE"""),0.0)</f>
        <v>0</v>
      </c>
      <c r="J84" s="200">
        <f>IFERROR(__xludf.DUMMYFUNCTION("""COMPUTED_VALUE"""),86.0)</f>
        <v>86</v>
      </c>
      <c r="K84" s="200">
        <f>IFERROR(__xludf.DUMMYFUNCTION("""COMPUTED_VALUE"""),11.0)</f>
        <v>11</v>
      </c>
      <c r="L84" s="201" t="str">
        <f>IFERROR(__xludf.DUMMYFUNCTION("""COMPUTED_VALUE"""),"Simulation")</f>
        <v>Simulation</v>
      </c>
      <c r="M84" s="201" t="str">
        <f>IFERROR(__xludf.DUMMYFUNCTION("""COMPUTED_VALUE"""),"Exclusive")</f>
        <v>Exclusive</v>
      </c>
    </row>
    <row r="85">
      <c r="A85" s="190" t="str">
        <f>IFERROR(__xludf.DUMMYFUNCTION("""COMPUTED_VALUE"""),"Tomb Raider: Definitive Edition")</f>
        <v>Tomb Raider: Definitive Edition</v>
      </c>
      <c r="B85" s="195" t="str">
        <f>IFERROR(__xludf.DUMMYFUNCTION("""COMPUTED_VALUE"""),"Xbox / PC")</f>
        <v>Xbox / PC</v>
      </c>
      <c r="C85" s="196" t="str">
        <f>IFERROR(__xludf.DUMMYFUNCTION("""COMPUTED_VALUE"""),"Yes")</f>
        <v>Yes</v>
      </c>
      <c r="D85" s="196" t="str">
        <f>IFERROR(__xludf.DUMMYFUNCTION("""COMPUTED_VALUE"""),"Active")</f>
        <v>Active</v>
      </c>
      <c r="E85" s="197">
        <f>IFERROR(__xludf.DUMMYFUNCTION("""COMPUTED_VALUE"""),45414.0)</f>
        <v>45414</v>
      </c>
      <c r="F85" s="198"/>
      <c r="G85" s="199">
        <f>IFERROR(__xludf.DUMMYFUNCTION("""COMPUTED_VALUE"""),17.433333333333334)</f>
        <v>17.43333333</v>
      </c>
      <c r="H85" s="197">
        <f>IFERROR(__xludf.DUMMYFUNCTION("""COMPUTED_VALUE"""),41338.0)</f>
        <v>41338</v>
      </c>
      <c r="I85" s="199">
        <f>IFERROR(__xludf.DUMMYFUNCTION("""COMPUTED_VALUE"""),11.158333333333333)</f>
        <v>11.15833333</v>
      </c>
      <c r="J85" s="200">
        <f>IFERROR(__xludf.DUMMYFUNCTION("""COMPUTED_VALUE"""),86.0)</f>
        <v>86</v>
      </c>
      <c r="K85" s="200">
        <f>IFERROR(__xludf.DUMMYFUNCTION("""COMPUTED_VALUE"""),11.5)</f>
        <v>11.5</v>
      </c>
      <c r="L85" s="201" t="str">
        <f>IFERROR(__xludf.DUMMYFUNCTION("""COMPUTED_VALUE"""),"Shooter / Platformer / Action-Adventure")</f>
        <v>Shooter / Platformer / Action-Adventure</v>
      </c>
      <c r="M85" s="201" t="str">
        <f>IFERROR(__xludf.DUMMYFUNCTION("""COMPUTED_VALUE"""),"FPS Boost")</f>
        <v>FPS Boost</v>
      </c>
    </row>
    <row r="86">
      <c r="A86" s="190" t="str">
        <f>IFERROR(__xludf.DUMMYFUNCTION("""COMPUTED_VALUE"""),"Diablo IV")</f>
        <v>Diablo IV</v>
      </c>
      <c r="B86" s="195" t="str">
        <f>IFERROR(__xludf.DUMMYFUNCTION("""COMPUTED_VALUE"""),"Xbox / PC")</f>
        <v>Xbox / PC</v>
      </c>
      <c r="C86" s="196"/>
      <c r="D86" s="196" t="str">
        <f>IFERROR(__xludf.DUMMYFUNCTION("""COMPUTED_VALUE"""),"Active")</f>
        <v>Active</v>
      </c>
      <c r="E86" s="197">
        <f>IFERROR(__xludf.DUMMYFUNCTION("""COMPUTED_VALUE"""),45379.0)</f>
        <v>45379</v>
      </c>
      <c r="F86" s="198"/>
      <c r="G86" s="199">
        <f>IFERROR(__xludf.DUMMYFUNCTION("""COMPUTED_VALUE"""),18.566666666666666)</f>
        <v>18.56666667</v>
      </c>
      <c r="H86" s="197">
        <f>IFERROR(__xludf.DUMMYFUNCTION("""COMPUTED_VALUE"""),45078.0)</f>
        <v>45078</v>
      </c>
      <c r="I86" s="199">
        <f>IFERROR(__xludf.DUMMYFUNCTION("""COMPUTED_VALUE"""),0.825)</f>
        <v>0.825</v>
      </c>
      <c r="J86" s="200">
        <f>IFERROR(__xludf.DUMMYFUNCTION("""COMPUTED_VALUE"""),86.0)</f>
        <v>86</v>
      </c>
      <c r="K86" s="200">
        <f>IFERROR(__xludf.DUMMYFUNCTION("""COMPUTED_VALUE"""),27.0)</f>
        <v>27</v>
      </c>
      <c r="L86" s="201" t="str">
        <f>IFERROR(__xludf.DUMMYFUNCTION("""COMPUTED_VALUE"""),"RPG")</f>
        <v>RPG</v>
      </c>
      <c r="M86" s="201"/>
    </row>
    <row r="87">
      <c r="A87" s="190" t="str">
        <f>IFERROR(__xludf.DUMMYFUNCTION("""COMPUTED_VALUE"""),"Spiritfarer")</f>
        <v>Spiritfarer</v>
      </c>
      <c r="B87" s="195" t="str">
        <f>IFERROR(__xludf.DUMMYFUNCTION("""COMPUTED_VALUE"""),"Xbox / PC")</f>
        <v>Xbox / PC</v>
      </c>
      <c r="C87" s="196" t="str">
        <f>IFERROR(__xludf.DUMMYFUNCTION("""COMPUTED_VALUE"""),"Touch Controls")</f>
        <v>Touch Controls</v>
      </c>
      <c r="D87" s="196" t="str">
        <f>IFERROR(__xludf.DUMMYFUNCTION("""COMPUTED_VALUE"""),"Active")</f>
        <v>Active</v>
      </c>
      <c r="E87" s="197">
        <f>IFERROR(__xludf.DUMMYFUNCTION("""COMPUTED_VALUE"""),45182.0)</f>
        <v>45182</v>
      </c>
      <c r="F87" s="198"/>
      <c r="G87" s="199">
        <f>IFERROR(__xludf.DUMMYFUNCTION("""COMPUTED_VALUE"""),25.06666666666667)</f>
        <v>25.06666667</v>
      </c>
      <c r="H87" s="197">
        <f>IFERROR(__xludf.DUMMYFUNCTION("""COMPUTED_VALUE"""),44061.0)</f>
        <v>44061</v>
      </c>
      <c r="I87" s="199">
        <f>IFERROR(__xludf.DUMMYFUNCTION("""COMPUTED_VALUE"""),3.0694444444444446)</f>
        <v>3.069444444</v>
      </c>
      <c r="J87" s="200">
        <f>IFERROR(__xludf.DUMMYFUNCTION("""COMPUTED_VALUE"""),86.0)</f>
        <v>86</v>
      </c>
      <c r="K87" s="200">
        <f>IFERROR(__xludf.DUMMYFUNCTION("""COMPUTED_VALUE"""),21.0)</f>
        <v>21</v>
      </c>
      <c r="L87" s="201" t="str">
        <f>IFERROR(__xludf.DUMMYFUNCTION("""COMPUTED_VALUE"""),"Adventure")</f>
        <v>Adventure</v>
      </c>
      <c r="M87" s="201"/>
    </row>
    <row r="88">
      <c r="A88" s="190" t="str">
        <f>IFERROR(__xludf.DUMMYFUNCTION("""COMPUTED_VALUE"""),"Teenage Mutant Ninja Turtles: Shredder's Revenge")</f>
        <v>Teenage Mutant Ninja Turtles: Shredder's Revenge</v>
      </c>
      <c r="B88" s="195" t="str">
        <f>IFERROR(__xludf.DUMMYFUNCTION("""COMPUTED_VALUE"""),"Xbox / PC")</f>
        <v>Xbox / PC</v>
      </c>
      <c r="C88" s="196" t="str">
        <f>IFERROR(__xludf.DUMMYFUNCTION("""COMPUTED_VALUE"""),"Touch Controls")</f>
        <v>Touch Controls</v>
      </c>
      <c r="D88" s="196" t="str">
        <f>IFERROR(__xludf.DUMMYFUNCTION("""COMPUTED_VALUE"""),"Active")</f>
        <v>Active</v>
      </c>
      <c r="E88" s="197">
        <f>IFERROR(__xludf.DUMMYFUNCTION("""COMPUTED_VALUE"""),44728.0)</f>
        <v>44728</v>
      </c>
      <c r="F88" s="198"/>
      <c r="G88" s="199">
        <f>IFERROR(__xludf.DUMMYFUNCTION("""COMPUTED_VALUE"""),39.96666666666667)</f>
        <v>39.96666667</v>
      </c>
      <c r="H88" s="197">
        <f>IFERROR(__xludf.DUMMYFUNCTION("""COMPUTED_VALUE"""),44728.0)</f>
        <v>44728</v>
      </c>
      <c r="I88" s="199">
        <f>IFERROR(__xludf.DUMMYFUNCTION("""COMPUTED_VALUE"""),0.0)</f>
        <v>0</v>
      </c>
      <c r="J88" s="200">
        <f>IFERROR(__xludf.DUMMYFUNCTION("""COMPUTED_VALUE"""),86.0)</f>
        <v>86</v>
      </c>
      <c r="K88" s="200">
        <f>IFERROR(__xludf.DUMMYFUNCTION("""COMPUTED_VALUE"""),2.5)</f>
        <v>2.5</v>
      </c>
      <c r="L88" s="201" t="str">
        <f>IFERROR(__xludf.DUMMYFUNCTION("""COMPUTED_VALUE"""),"Brawler")</f>
        <v>Brawler</v>
      </c>
      <c r="M88" s="201"/>
    </row>
    <row r="89">
      <c r="A89" s="190" t="str">
        <f>IFERROR(__xludf.DUMMYFUNCTION("""COMPUTED_VALUE"""),"Skate")</f>
        <v>Skate</v>
      </c>
      <c r="B89" s="195" t="str">
        <f>IFERROR(__xludf.DUMMYFUNCTION("""COMPUTED_VALUE"""),"Xbox")</f>
        <v>Xbox</v>
      </c>
      <c r="C89" s="196" t="str">
        <f>IFERROR(__xludf.DUMMYFUNCTION("""COMPUTED_VALUE"""),"Touch Controls")</f>
        <v>Touch Controls</v>
      </c>
      <c r="D89" s="196" t="str">
        <f>IFERROR(__xludf.DUMMYFUNCTION("""COMPUTED_VALUE"""),"Active")</f>
        <v>Active</v>
      </c>
      <c r="E89" s="197">
        <f>IFERROR(__xludf.DUMMYFUNCTION("""COMPUTED_VALUE"""),44413.0)</f>
        <v>44413</v>
      </c>
      <c r="F89" s="198"/>
      <c r="G89" s="199">
        <f>IFERROR(__xludf.DUMMYFUNCTION("""COMPUTED_VALUE"""),50.333333333333336)</f>
        <v>50.33333333</v>
      </c>
      <c r="H89" s="197">
        <f>IFERROR(__xludf.DUMMYFUNCTION("""COMPUTED_VALUE"""),39339.0)</f>
        <v>39339</v>
      </c>
      <c r="I89" s="199">
        <f>IFERROR(__xludf.DUMMYFUNCTION("""COMPUTED_VALUE"""),13.891666666666667)</f>
        <v>13.89166667</v>
      </c>
      <c r="J89" s="200">
        <f>IFERROR(__xludf.DUMMYFUNCTION("""COMPUTED_VALUE"""),86.0)</f>
        <v>86</v>
      </c>
      <c r="K89" s="200">
        <f>IFERROR(__xludf.DUMMYFUNCTION("""COMPUTED_VALUE"""),11.5)</f>
        <v>11.5</v>
      </c>
      <c r="L89" s="201" t="str">
        <f>IFERROR(__xludf.DUMMYFUNCTION("""COMPUTED_VALUE"""),"Sports / Simulation / Skateboarding")</f>
        <v>Sports / Simulation / Skateboarding</v>
      </c>
      <c r="M89" s="201"/>
    </row>
    <row r="90">
      <c r="A90" s="190" t="str">
        <f>IFERROR(__xludf.DUMMYFUNCTION("""COMPUTED_VALUE"""),"Dragon Age: Inquisition - Game of the Year Edition")</f>
        <v>Dragon Age: Inquisition - Game of the Year Edition</v>
      </c>
      <c r="B90" s="195" t="str">
        <f>IFERROR(__xludf.DUMMYFUNCTION("""COMPUTED_VALUE"""),"Xbox / PC")</f>
        <v>Xbox / PC</v>
      </c>
      <c r="C90" s="196" t="str">
        <f>IFERROR(__xludf.DUMMYFUNCTION("""COMPUTED_VALUE"""),"Yes")</f>
        <v>Yes</v>
      </c>
      <c r="D90" s="196" t="str">
        <f>IFERROR(__xludf.DUMMYFUNCTION("""COMPUTED_VALUE"""),"Active")</f>
        <v>Active</v>
      </c>
      <c r="E90" s="197">
        <f>IFERROR(__xludf.DUMMYFUNCTION("""COMPUTED_VALUE"""),44145.0)</f>
        <v>44145</v>
      </c>
      <c r="F90" s="198"/>
      <c r="G90" s="199">
        <f>IFERROR(__xludf.DUMMYFUNCTION("""COMPUTED_VALUE"""),59.166666666666664)</f>
        <v>59.16666667</v>
      </c>
      <c r="H90" s="197">
        <f>IFERROR(__xludf.DUMMYFUNCTION("""COMPUTED_VALUE"""),41961.0)</f>
        <v>41961</v>
      </c>
      <c r="I90" s="199">
        <f>IFERROR(__xludf.DUMMYFUNCTION("""COMPUTED_VALUE"""),5.977777777777778)</f>
        <v>5.977777778</v>
      </c>
      <c r="J90" s="200">
        <f>IFERROR(__xludf.DUMMYFUNCTION("""COMPUTED_VALUE"""),86.0)</f>
        <v>86</v>
      </c>
      <c r="K90" s="200">
        <f>IFERROR(__xludf.DUMMYFUNCTION("""COMPUTED_VALUE"""),46.5)</f>
        <v>46.5</v>
      </c>
      <c r="L90" s="201" t="str">
        <f>IFERROR(__xludf.DUMMYFUNCTION("""COMPUTED_VALUE"""),"Action / RPG")</f>
        <v>Action / RPG</v>
      </c>
      <c r="M90" s="201" t="str">
        <f>IFERROR(__xludf.DUMMYFUNCTION("""COMPUTED_VALUE"""),"FPS Boost")</f>
        <v>FPS Boost</v>
      </c>
    </row>
    <row r="91">
      <c r="A91" s="190" t="str">
        <f>IFERROR(__xludf.DUMMYFUNCTION("""COMPUTED_VALUE"""),"Dragon Age: Origins - Ultimate Edition")</f>
        <v>Dragon Age: Origins - Ultimate Edition</v>
      </c>
      <c r="B91" s="195" t="str">
        <f>IFERROR(__xludf.DUMMYFUNCTION("""COMPUTED_VALUE"""),"Xbox / PC")</f>
        <v>Xbox / PC</v>
      </c>
      <c r="C91" s="196" t="str">
        <f>IFERROR(__xludf.DUMMYFUNCTION("""COMPUTED_VALUE"""),"Touch Controls")</f>
        <v>Touch Controls</v>
      </c>
      <c r="D91" s="196" t="str">
        <f>IFERROR(__xludf.DUMMYFUNCTION("""COMPUTED_VALUE"""),"Active")</f>
        <v>Active</v>
      </c>
      <c r="E91" s="197">
        <f>IFERROR(__xludf.DUMMYFUNCTION("""COMPUTED_VALUE"""),44145.0)</f>
        <v>44145</v>
      </c>
      <c r="F91" s="198"/>
      <c r="G91" s="199">
        <f>IFERROR(__xludf.DUMMYFUNCTION("""COMPUTED_VALUE"""),59.166666666666664)</f>
        <v>59.16666667</v>
      </c>
      <c r="H91" s="197">
        <f>IFERROR(__xludf.DUMMYFUNCTION("""COMPUTED_VALUE"""),40120.0)</f>
        <v>40120</v>
      </c>
      <c r="I91" s="199">
        <f>IFERROR(__xludf.DUMMYFUNCTION("""COMPUTED_VALUE"""),11.019444444444444)</f>
        <v>11.01944444</v>
      </c>
      <c r="J91" s="200">
        <f>IFERROR(__xludf.DUMMYFUNCTION("""COMPUTED_VALUE"""),86.0)</f>
        <v>86</v>
      </c>
      <c r="K91" s="200">
        <f>IFERROR(__xludf.DUMMYFUNCTION("""COMPUTED_VALUE"""),40.5)</f>
        <v>40.5</v>
      </c>
      <c r="L91" s="201" t="str">
        <f>IFERROR(__xludf.DUMMYFUNCTION("""COMPUTED_VALUE"""),"RPG")</f>
        <v>RPG</v>
      </c>
      <c r="M91" s="201" t="str">
        <f>IFERROR(__xludf.DUMMYFUNCTION("""COMPUTED_VALUE"""),"FPS Boost")</f>
        <v>FPS Boost</v>
      </c>
    </row>
    <row r="92">
      <c r="A92" s="190" t="str">
        <f>IFERROR(__xludf.DUMMYFUNCTION("""COMPUTED_VALUE"""),"Fight Night: Champion")</f>
        <v>Fight Night: Champion</v>
      </c>
      <c r="B92" s="195" t="str">
        <f>IFERROR(__xludf.DUMMYFUNCTION("""COMPUTED_VALUE"""),"Xbox")</f>
        <v>Xbox</v>
      </c>
      <c r="C92" s="196"/>
      <c r="D92" s="196" t="str">
        <f>IFERROR(__xludf.DUMMYFUNCTION("""COMPUTED_VALUE"""),"Active")</f>
        <v>Active</v>
      </c>
      <c r="E92" s="197">
        <f>IFERROR(__xludf.DUMMYFUNCTION("""COMPUTED_VALUE"""),44145.0)</f>
        <v>44145</v>
      </c>
      <c r="F92" s="198"/>
      <c r="G92" s="199">
        <f>IFERROR(__xludf.DUMMYFUNCTION("""COMPUTED_VALUE"""),59.166666666666664)</f>
        <v>59.16666667</v>
      </c>
      <c r="H92" s="197">
        <f>IFERROR(__xludf.DUMMYFUNCTION("""COMPUTED_VALUE"""),40603.0)</f>
        <v>40603</v>
      </c>
      <c r="I92" s="199">
        <f>IFERROR(__xludf.DUMMYFUNCTION("""COMPUTED_VALUE"""),9.691666666666666)</f>
        <v>9.691666667</v>
      </c>
      <c r="J92" s="200">
        <f>IFERROR(__xludf.DUMMYFUNCTION("""COMPUTED_VALUE"""),86.0)</f>
        <v>86</v>
      </c>
      <c r="K92" s="200">
        <f>IFERROR(__xludf.DUMMYFUNCTION("""COMPUTED_VALUE"""),4.5)</f>
        <v>4.5</v>
      </c>
      <c r="L92" s="201" t="str">
        <f>IFERROR(__xludf.DUMMYFUNCTION("""COMPUTED_VALUE"""),"Simulation / Fighting / Boxing")</f>
        <v>Simulation / Fighting / Boxing</v>
      </c>
      <c r="M92" s="201"/>
    </row>
    <row r="93">
      <c r="A93" s="190" t="str">
        <f>IFERROR(__xludf.DUMMYFUNCTION("""COMPUTED_VALUE"""),"Wasteland 3")</f>
        <v>Wasteland 3</v>
      </c>
      <c r="B93" s="195" t="str">
        <f>IFERROR(__xludf.DUMMYFUNCTION("""COMPUTED_VALUE"""),"Xbox / PC")</f>
        <v>Xbox / PC</v>
      </c>
      <c r="C93" s="196" t="str">
        <f>IFERROR(__xludf.DUMMYFUNCTION("""COMPUTED_VALUE"""),"Touch Controls")</f>
        <v>Touch Controls</v>
      </c>
      <c r="D93" s="196" t="str">
        <f>IFERROR(__xludf.DUMMYFUNCTION("""COMPUTED_VALUE"""),"Active")</f>
        <v>Active</v>
      </c>
      <c r="E93" s="197">
        <f>IFERROR(__xludf.DUMMYFUNCTION("""COMPUTED_VALUE"""),44071.0)</f>
        <v>44071</v>
      </c>
      <c r="F93" s="198"/>
      <c r="G93" s="199">
        <f>IFERROR(__xludf.DUMMYFUNCTION("""COMPUTED_VALUE"""),61.56666666666666)</f>
        <v>61.56666667</v>
      </c>
      <c r="H93" s="197">
        <f>IFERROR(__xludf.DUMMYFUNCTION("""COMPUTED_VALUE"""),44071.0)</f>
        <v>44071</v>
      </c>
      <c r="I93" s="199">
        <f>IFERROR(__xludf.DUMMYFUNCTION("""COMPUTED_VALUE"""),0.0)</f>
        <v>0</v>
      </c>
      <c r="J93" s="200">
        <f>IFERROR(__xludf.DUMMYFUNCTION("""COMPUTED_VALUE"""),86.0)</f>
        <v>86</v>
      </c>
      <c r="K93" s="200">
        <f>IFERROR(__xludf.DUMMYFUNCTION("""COMPUTED_VALUE"""),36.5)</f>
        <v>36.5</v>
      </c>
      <c r="L93" s="201" t="str">
        <f>IFERROR(__xludf.DUMMYFUNCTION("""COMPUTED_VALUE"""),"RPG")</f>
        <v>RPG</v>
      </c>
      <c r="M93" s="201" t="str">
        <f>IFERROR(__xludf.DUMMYFUNCTION("""COMPUTED_VALUE"""),"FPS Boost")</f>
        <v>FPS Boost</v>
      </c>
    </row>
    <row r="94">
      <c r="A94" s="190" t="str">
        <f>IFERROR(__xludf.DUMMYFUNCTION("""COMPUTED_VALUE"""),"Pillars of Eternity: Definitive Edition")</f>
        <v>Pillars of Eternity: Definitive Edition</v>
      </c>
      <c r="B94" s="195" t="str">
        <f>IFERROR(__xludf.DUMMYFUNCTION("""COMPUTED_VALUE"""),"Xbox / PC")</f>
        <v>Xbox / PC</v>
      </c>
      <c r="C94" s="196" t="str">
        <f>IFERROR(__xludf.DUMMYFUNCTION("""COMPUTED_VALUE"""),"Touch Controls")</f>
        <v>Touch Controls</v>
      </c>
      <c r="D94" s="196" t="str">
        <f>IFERROR(__xludf.DUMMYFUNCTION("""COMPUTED_VALUE"""),"Active")</f>
        <v>Active</v>
      </c>
      <c r="E94" s="197">
        <f>IFERROR(__xludf.DUMMYFUNCTION("""COMPUTED_VALUE"""),43818.0)</f>
        <v>43818</v>
      </c>
      <c r="F94" s="198"/>
      <c r="G94" s="199">
        <f>IFERROR(__xludf.DUMMYFUNCTION("""COMPUTED_VALUE"""),69.86666666666666)</f>
        <v>69.86666667</v>
      </c>
      <c r="H94" s="197">
        <f>IFERROR(__xludf.DUMMYFUNCTION("""COMPUTED_VALUE"""),42089.0)</f>
        <v>42089</v>
      </c>
      <c r="I94" s="199">
        <f>IFERROR(__xludf.DUMMYFUNCTION("""COMPUTED_VALUE"""),4.730555555555555)</f>
        <v>4.730555556</v>
      </c>
      <c r="J94" s="200">
        <f>IFERROR(__xludf.DUMMYFUNCTION("""COMPUTED_VALUE"""),86.0)</f>
        <v>86</v>
      </c>
      <c r="K94" s="200">
        <f>IFERROR(__xludf.DUMMYFUNCTION("""COMPUTED_VALUE"""),35.5)</f>
        <v>35.5</v>
      </c>
      <c r="L94" s="201" t="str">
        <f>IFERROR(__xludf.DUMMYFUNCTION("""COMPUTED_VALUE"""),"RPG")</f>
        <v>RPG</v>
      </c>
      <c r="M94" s="201"/>
    </row>
    <row r="95">
      <c r="A95" s="190" t="str">
        <f>IFERROR(__xludf.DUMMYFUNCTION("""COMPUTED_VALUE"""),"Killer Instinct (2013): Anniversary Edition")</f>
        <v>Killer Instinct (2013): Anniversary Edition</v>
      </c>
      <c r="B95" s="195" t="str">
        <f>IFERROR(__xludf.DUMMYFUNCTION("""COMPUTED_VALUE"""),"Xbox / PC")</f>
        <v>Xbox / PC</v>
      </c>
      <c r="C95" s="196" t="str">
        <f>IFERROR(__xludf.DUMMYFUNCTION("""COMPUTED_VALUE"""),"Touch Controls")</f>
        <v>Touch Controls</v>
      </c>
      <c r="D95" s="196" t="str">
        <f>IFERROR(__xludf.DUMMYFUNCTION("""COMPUTED_VALUE"""),"Active")</f>
        <v>Active</v>
      </c>
      <c r="E95" s="197">
        <f>IFERROR(__xludf.DUMMYFUNCTION("""COMPUTED_VALUE"""),43671.0)</f>
        <v>43671</v>
      </c>
      <c r="F95" s="198"/>
      <c r="G95" s="199">
        <f>IFERROR(__xludf.DUMMYFUNCTION("""COMPUTED_VALUE"""),74.66666666666667)</f>
        <v>74.66666667</v>
      </c>
      <c r="H95" s="197">
        <f>IFERROR(__xludf.DUMMYFUNCTION("""COMPUTED_VALUE"""),41600.0)</f>
        <v>41600</v>
      </c>
      <c r="I95" s="199">
        <f>IFERROR(__xludf.DUMMYFUNCTION("""COMPUTED_VALUE"""),5.675)</f>
        <v>5.675</v>
      </c>
      <c r="J95" s="200">
        <f>IFERROR(__xludf.DUMMYFUNCTION("""COMPUTED_VALUE"""),86.0)</f>
        <v>86</v>
      </c>
      <c r="K95" s="200">
        <f>IFERROR(__xludf.DUMMYFUNCTION("""COMPUTED_VALUE"""),2.0)</f>
        <v>2</v>
      </c>
      <c r="L95" s="201" t="str">
        <f>IFERROR(__xludf.DUMMYFUNCTION("""COMPUTED_VALUE"""),"Fighting")</f>
        <v>Fighting</v>
      </c>
      <c r="M95" s="201"/>
    </row>
    <row r="96">
      <c r="A96" s="190" t="str">
        <f>IFERROR(__xludf.DUMMYFUNCTION("""COMPUTED_VALUE"""),"South Park: The Stick of Truth")</f>
        <v>South Park: The Stick of Truth</v>
      </c>
      <c r="B96" s="195" t="str">
        <f>IFERROR(__xludf.DUMMYFUNCTION("""COMPUTED_VALUE"""),"Xbox / PC")</f>
        <v>Xbox / PC</v>
      </c>
      <c r="C96" s="196" t="str">
        <f>IFERROR(__xludf.DUMMYFUNCTION("""COMPUTED_VALUE"""),"Yes")</f>
        <v>Yes</v>
      </c>
      <c r="D96" s="196" t="str">
        <f>IFERROR(__xludf.DUMMYFUNCTION("""COMPUTED_VALUE"""),"Active")</f>
        <v>Active</v>
      </c>
      <c r="E96" s="197">
        <f>IFERROR(__xludf.DUMMYFUNCTION("""COMPUTED_VALUE"""),45931.0)</f>
        <v>45931</v>
      </c>
      <c r="F96" s="198"/>
      <c r="G96" s="199">
        <f>IFERROR(__xludf.DUMMYFUNCTION("""COMPUTED_VALUE"""),0.4666666666666667)</f>
        <v>0.4666666667</v>
      </c>
      <c r="H96" s="197">
        <f>IFERROR(__xludf.DUMMYFUNCTION("""COMPUTED_VALUE"""),41702.0)</f>
        <v>41702</v>
      </c>
      <c r="I96" s="199">
        <f>IFERROR(__xludf.DUMMYFUNCTION("""COMPUTED_VALUE"""),11.575)</f>
        <v>11.575</v>
      </c>
      <c r="J96" s="200">
        <f>IFERROR(__xludf.DUMMYFUNCTION("""COMPUTED_VALUE"""),85.0)</f>
        <v>85</v>
      </c>
      <c r="K96" s="200">
        <f>IFERROR(__xludf.DUMMYFUNCTION("""COMPUTED_VALUE"""),12.0)</f>
        <v>12</v>
      </c>
      <c r="L96" s="201" t="str">
        <f>IFERROR(__xludf.DUMMYFUNCTION("""COMPUTED_VALUE"""),"RPG")</f>
        <v>RPG</v>
      </c>
      <c r="M96" s="201"/>
    </row>
    <row r="97">
      <c r="A97" s="190" t="str">
        <f>IFERROR(__xludf.DUMMYFUNCTION("""COMPUTED_VALUE"""),"Frostpunk 2")</f>
        <v>Frostpunk 2</v>
      </c>
      <c r="B97" s="195" t="str">
        <f>IFERROR(__xludf.DUMMYFUNCTION("""COMPUTED_VALUE"""),"Xbox / PC")</f>
        <v>Xbox / PC</v>
      </c>
      <c r="C97" s="196"/>
      <c r="D97" s="196" t="str">
        <f>IFERROR(__xludf.DUMMYFUNCTION("""COMPUTED_VALUE"""),"Active")</f>
        <v>Active</v>
      </c>
      <c r="E97" s="197">
        <f>IFERROR(__xludf.DUMMYFUNCTION("""COMPUTED_VALUE"""),45918.0)</f>
        <v>45918</v>
      </c>
      <c r="F97" s="198"/>
      <c r="G97" s="199">
        <f>IFERROR(__xludf.DUMMYFUNCTION("""COMPUTED_VALUE"""),0.8999999999999999)</f>
        <v>0.9</v>
      </c>
      <c r="H97" s="197">
        <f>IFERROR(__xludf.DUMMYFUNCTION("""COMPUTED_VALUE"""),45552.0)</f>
        <v>45552</v>
      </c>
      <c r="I97" s="199">
        <f>IFERROR(__xludf.DUMMYFUNCTION("""COMPUTED_VALUE"""),1.0027777777777778)</f>
        <v>1.002777778</v>
      </c>
      <c r="J97" s="200">
        <f>IFERROR(__xludf.DUMMYFUNCTION("""COMPUTED_VALUE"""),85.0)</f>
        <v>85</v>
      </c>
      <c r="K97" s="200">
        <f>IFERROR(__xludf.DUMMYFUNCTION("""COMPUTED_VALUE"""),12.0)</f>
        <v>12</v>
      </c>
      <c r="L97" s="201" t="str">
        <f>IFERROR(__xludf.DUMMYFUNCTION("""COMPUTED_VALUE"""),"Management")</f>
        <v>Management</v>
      </c>
      <c r="M97" s="201" t="str">
        <f>IFERROR(__xludf.DUMMYFUNCTION("""COMPUTED_VALUE"""),"Exclusive")</f>
        <v>Exclusive</v>
      </c>
    </row>
    <row r="98">
      <c r="A98" s="190" t="str">
        <f>IFERROR(__xludf.DUMMYFUNCTION("""COMPUTED_VALUE"""),"Crash Bandicoot 4: It's About Time")</f>
        <v>Crash Bandicoot 4: It's About Time</v>
      </c>
      <c r="B98" s="195" t="str">
        <f>IFERROR(__xludf.DUMMYFUNCTION("""COMPUTED_VALUE"""),"Xbox / PC")</f>
        <v>Xbox / PC</v>
      </c>
      <c r="C98" s="196"/>
      <c r="D98" s="196" t="str">
        <f>IFERROR(__xludf.DUMMYFUNCTION("""COMPUTED_VALUE"""),"Active")</f>
        <v>Active</v>
      </c>
      <c r="E98" s="197">
        <f>IFERROR(__xludf.DUMMYFUNCTION("""COMPUTED_VALUE"""),45825.0)</f>
        <v>45825</v>
      </c>
      <c r="F98" s="198"/>
      <c r="G98" s="199">
        <f>IFERROR(__xludf.DUMMYFUNCTION("""COMPUTED_VALUE"""),3.9333333333333336)</f>
        <v>3.933333333</v>
      </c>
      <c r="H98" s="197">
        <f>IFERROR(__xludf.DUMMYFUNCTION("""COMPUTED_VALUE"""),44106.0)</f>
        <v>44106</v>
      </c>
      <c r="I98" s="199">
        <f>IFERROR(__xludf.DUMMYFUNCTION("""COMPUTED_VALUE"""),4.708333333333333)</f>
        <v>4.708333333</v>
      </c>
      <c r="J98" s="200">
        <f>IFERROR(__xludf.DUMMYFUNCTION("""COMPUTED_VALUE"""),85.0)</f>
        <v>85</v>
      </c>
      <c r="K98" s="200">
        <f>IFERROR(__xludf.DUMMYFUNCTION("""COMPUTED_VALUE"""),10.0)</f>
        <v>10</v>
      </c>
      <c r="L98" s="201" t="str">
        <f>IFERROR(__xludf.DUMMYFUNCTION("""COMPUTED_VALUE"""),"Plaformer")</f>
        <v>Plaformer</v>
      </c>
      <c r="M98" s="201"/>
    </row>
    <row r="99">
      <c r="A99" s="190" t="str">
        <f>IFERROR(__xludf.DUMMYFUNCTION("""COMPUTED_VALUE"""),"Symphonia (2024)")</f>
        <v>Symphonia (2024)</v>
      </c>
      <c r="B99" s="195" t="str">
        <f>IFERROR(__xludf.DUMMYFUNCTION("""COMPUTED_VALUE"""),"Xbox / PC")</f>
        <v>Xbox / PC</v>
      </c>
      <c r="C99" s="196" t="str">
        <f>IFERROR(__xludf.DUMMYFUNCTION("""COMPUTED_VALUE"""),"Yes")</f>
        <v>Yes</v>
      </c>
      <c r="D99" s="196" t="str">
        <f>IFERROR(__xludf.DUMMYFUNCTION("""COMPUTED_VALUE"""),"Active")</f>
        <v>Active</v>
      </c>
      <c r="E99" s="197">
        <f>IFERROR(__xludf.DUMMYFUNCTION("""COMPUTED_VALUE"""),45811.0)</f>
        <v>45811</v>
      </c>
      <c r="F99" s="198"/>
      <c r="G99" s="199">
        <f>IFERROR(__xludf.DUMMYFUNCTION("""COMPUTED_VALUE"""),4.3999999999999995)</f>
        <v>4.4</v>
      </c>
      <c r="H99" s="197">
        <f>IFERROR(__xludf.DUMMYFUNCTION("""COMPUTED_VALUE"""),45631.0)</f>
        <v>45631</v>
      </c>
      <c r="I99" s="199">
        <f>IFERROR(__xludf.DUMMYFUNCTION("""COMPUTED_VALUE"""),0.49444444444444446)</f>
        <v>0.4944444444</v>
      </c>
      <c r="J99" s="200">
        <f>IFERROR(__xludf.DUMMYFUNCTION("""COMPUTED_VALUE"""),85.0)</f>
        <v>85</v>
      </c>
      <c r="K99" s="200">
        <f>IFERROR(__xludf.DUMMYFUNCTION("""COMPUTED_VALUE"""),5.0)</f>
        <v>5</v>
      </c>
      <c r="L99" s="201" t="str">
        <f>IFERROR(__xludf.DUMMYFUNCTION("""COMPUTED_VALUE"""),"Platformer")</f>
        <v>Platformer</v>
      </c>
      <c r="M99" s="201"/>
    </row>
    <row r="100">
      <c r="A100" s="190" t="str">
        <f>IFERROR(__xludf.DUMMYFUNCTION("""COMPUTED_VALUE"""),"DOOM: The Dark Ages")</f>
        <v>DOOM: The Dark Ages</v>
      </c>
      <c r="B100" s="195" t="str">
        <f>IFERROR(__xludf.DUMMYFUNCTION("""COMPUTED_VALUE"""),"Xbox / PC")</f>
        <v>Xbox / PC</v>
      </c>
      <c r="C100" s="196" t="str">
        <f>IFERROR(__xludf.DUMMYFUNCTION("""COMPUTED_VALUE"""),"Yes")</f>
        <v>Yes</v>
      </c>
      <c r="D100" s="196" t="str">
        <f>IFERROR(__xludf.DUMMYFUNCTION("""COMPUTED_VALUE"""),"Active")</f>
        <v>Active</v>
      </c>
      <c r="E100" s="197">
        <f>IFERROR(__xludf.DUMMYFUNCTION("""COMPUTED_VALUE"""),45792.0)</f>
        <v>45792</v>
      </c>
      <c r="F100" s="198"/>
      <c r="G100" s="199">
        <f>IFERROR(__xludf.DUMMYFUNCTION("""COMPUTED_VALUE"""),5.0)</f>
        <v>5</v>
      </c>
      <c r="H100" s="197">
        <f>IFERROR(__xludf.DUMMYFUNCTION("""COMPUTED_VALUE"""),45792.0)</f>
        <v>45792</v>
      </c>
      <c r="I100" s="199">
        <f>IFERROR(__xludf.DUMMYFUNCTION("""COMPUTED_VALUE"""),0.0)</f>
        <v>0</v>
      </c>
      <c r="J100" s="200">
        <f>IFERROR(__xludf.DUMMYFUNCTION("""COMPUTED_VALUE"""),85.0)</f>
        <v>85</v>
      </c>
      <c r="K100" s="200">
        <f>IFERROR(__xludf.DUMMYFUNCTION("""COMPUTED_VALUE"""),13.0)</f>
        <v>13</v>
      </c>
      <c r="L100" s="201" t="str">
        <f>IFERROR(__xludf.DUMMYFUNCTION("""COMPUTED_VALUE"""),"Shooter")</f>
        <v>Shooter</v>
      </c>
      <c r="M100" s="201" t="str">
        <f>IFERROR(__xludf.DUMMYFUNCTION("""COMPUTED_VALUE"""),"Exclusive")</f>
        <v>Exclusive</v>
      </c>
    </row>
    <row r="101">
      <c r="A101" s="190" t="str">
        <f>IFERROR(__xludf.DUMMYFUNCTION("""COMPUTED_VALUE"""),"Far Cry 4")</f>
        <v>Far Cry 4</v>
      </c>
      <c r="B101" s="195" t="str">
        <f>IFERROR(__xludf.DUMMYFUNCTION("""COMPUTED_VALUE"""),"Xbox / PC")</f>
        <v>Xbox / PC</v>
      </c>
      <c r="C101" s="196" t="str">
        <f>IFERROR(__xludf.DUMMYFUNCTION("""COMPUTED_VALUE"""),"Yes")</f>
        <v>Yes</v>
      </c>
      <c r="D101" s="196" t="str">
        <f>IFERROR(__xludf.DUMMYFUNCTION("""COMPUTED_VALUE"""),"Active")</f>
        <v>Active</v>
      </c>
      <c r="E101" s="197">
        <f>IFERROR(__xludf.DUMMYFUNCTION("""COMPUTED_VALUE"""),45777.0)</f>
        <v>45777</v>
      </c>
      <c r="F101" s="198"/>
      <c r="G101" s="199">
        <f>IFERROR(__xludf.DUMMYFUNCTION("""COMPUTED_VALUE"""),5.5)</f>
        <v>5.5</v>
      </c>
      <c r="H101" s="197">
        <f>IFERROR(__xludf.DUMMYFUNCTION("""COMPUTED_VALUE"""),41961.0)</f>
        <v>41961</v>
      </c>
      <c r="I101" s="199">
        <f>IFERROR(__xludf.DUMMYFUNCTION("""COMPUTED_VALUE"""),10.45)</f>
        <v>10.45</v>
      </c>
      <c r="J101" s="200">
        <f>IFERROR(__xludf.DUMMYFUNCTION("""COMPUTED_VALUE"""),85.0)</f>
        <v>85</v>
      </c>
      <c r="K101" s="200">
        <f>IFERROR(__xludf.DUMMYFUNCTION("""COMPUTED_VALUE"""),18.0)</f>
        <v>18</v>
      </c>
      <c r="L101" s="201" t="str">
        <f>IFERROR(__xludf.DUMMYFUNCTION("""COMPUTED_VALUE"""),"Shooter")</f>
        <v>Shooter</v>
      </c>
      <c r="M101" s="201"/>
    </row>
    <row r="102">
      <c r="A102" s="190" t="str">
        <f>IFERROR(__xludf.DUMMYFUNCTION("""COMPUTED_VALUE"""),"Enter the Gungeon")</f>
        <v>Enter the Gungeon</v>
      </c>
      <c r="B102" s="195" t="str">
        <f>IFERROR(__xludf.DUMMYFUNCTION("""COMPUTED_VALUE"""),"Xbox / PC")</f>
        <v>Xbox / PC</v>
      </c>
      <c r="C102" s="196" t="str">
        <f>IFERROR(__xludf.DUMMYFUNCTION("""COMPUTED_VALUE"""),"Touch Controls")</f>
        <v>Touch Controls</v>
      </c>
      <c r="D102" s="196" t="str">
        <f>IFERROR(__xludf.DUMMYFUNCTION("""COMPUTED_VALUE"""),"Active")</f>
        <v>Active</v>
      </c>
      <c r="E102" s="197">
        <f>IFERROR(__xludf.DUMMYFUNCTION("""COMPUTED_VALUE"""),45727.0)</f>
        <v>45727</v>
      </c>
      <c r="F102" s="198"/>
      <c r="G102" s="199">
        <f>IFERROR(__xludf.DUMMYFUNCTION("""COMPUTED_VALUE"""),7.133333333333333)</f>
        <v>7.133333333</v>
      </c>
      <c r="H102" s="197">
        <f>IFERROR(__xludf.DUMMYFUNCTION("""COMPUTED_VALUE"""),42465.0)</f>
        <v>42465</v>
      </c>
      <c r="I102" s="199">
        <f>IFERROR(__xludf.DUMMYFUNCTION("""COMPUTED_VALUE"""),8.933333333333334)</f>
        <v>8.933333333</v>
      </c>
      <c r="J102" s="200">
        <f>IFERROR(__xludf.DUMMYFUNCTION("""COMPUTED_VALUE"""),85.0)</f>
        <v>85</v>
      </c>
      <c r="K102" s="200">
        <f>IFERROR(__xludf.DUMMYFUNCTION("""COMPUTED_VALUE"""),18.5)</f>
        <v>18.5</v>
      </c>
      <c r="L102" s="201" t="str">
        <f>IFERROR(__xludf.DUMMYFUNCTION("""COMPUTED_VALUE"""),"Action-Adventure")</f>
        <v>Action-Adventure</v>
      </c>
      <c r="M102" s="201"/>
    </row>
    <row r="103">
      <c r="A103" s="190" t="str">
        <f>IFERROR(__xludf.DUMMYFUNCTION("""COMPUTED_VALUE"""),"Monster Train")</f>
        <v>Monster Train</v>
      </c>
      <c r="B103" s="195" t="str">
        <f>IFERROR(__xludf.DUMMYFUNCTION("""COMPUTED_VALUE"""),"Xbox / PC")</f>
        <v>Xbox / PC</v>
      </c>
      <c r="C103" s="196" t="str">
        <f>IFERROR(__xludf.DUMMYFUNCTION("""COMPUTED_VALUE"""),"Touch Controls")</f>
        <v>Touch Controls</v>
      </c>
      <c r="D103" s="196" t="str">
        <f>IFERROR(__xludf.DUMMYFUNCTION("""COMPUTED_VALUE"""),"Active")</f>
        <v>Active</v>
      </c>
      <c r="E103" s="197">
        <f>IFERROR(__xludf.DUMMYFUNCTION("""COMPUTED_VALUE"""),45720.0)</f>
        <v>45720</v>
      </c>
      <c r="F103" s="198"/>
      <c r="G103" s="199">
        <f>IFERROR(__xludf.DUMMYFUNCTION("""COMPUTED_VALUE"""),7.366666666666667)</f>
        <v>7.366666667</v>
      </c>
      <c r="H103" s="197">
        <f>IFERROR(__xludf.DUMMYFUNCTION("""COMPUTED_VALUE"""),43972.0)</f>
        <v>43972</v>
      </c>
      <c r="I103" s="199">
        <f>IFERROR(__xludf.DUMMYFUNCTION("""COMPUTED_VALUE"""),4.786111111111111)</f>
        <v>4.786111111</v>
      </c>
      <c r="J103" s="200">
        <f>IFERROR(__xludf.DUMMYFUNCTION("""COMPUTED_VALUE"""),85.0)</f>
        <v>85</v>
      </c>
      <c r="K103" s="200">
        <f>IFERROR(__xludf.DUMMYFUNCTION("""COMPUTED_VALUE"""),1.5)</f>
        <v>1.5</v>
      </c>
      <c r="L103" s="201" t="str">
        <f>IFERROR(__xludf.DUMMYFUNCTION("""COMPUTED_VALUE"""),"Strategy")</f>
        <v>Strategy</v>
      </c>
      <c r="M103" s="201"/>
    </row>
    <row r="104">
      <c r="A104" s="190" t="str">
        <f>IFERROR(__xludf.DUMMYFUNCTION("""COMPUTED_VALUE"""),"Citizen Sleeper 2: Starward Vector")</f>
        <v>Citizen Sleeper 2: Starward Vector</v>
      </c>
      <c r="B104" s="195" t="str">
        <f>IFERROR(__xludf.DUMMYFUNCTION("""COMPUTED_VALUE"""),"Xbox / PC")</f>
        <v>Xbox / PC</v>
      </c>
      <c r="C104" s="196" t="str">
        <f>IFERROR(__xludf.DUMMYFUNCTION("""COMPUTED_VALUE"""),"Yes")</f>
        <v>Yes</v>
      </c>
      <c r="D104" s="196" t="str">
        <f>IFERROR(__xludf.DUMMYFUNCTION("""COMPUTED_VALUE"""),"Active")</f>
        <v>Active</v>
      </c>
      <c r="E104" s="197">
        <f>IFERROR(__xludf.DUMMYFUNCTION("""COMPUTED_VALUE"""),45688.0)</f>
        <v>45688</v>
      </c>
      <c r="F104" s="198"/>
      <c r="G104" s="199">
        <f>IFERROR(__xludf.DUMMYFUNCTION("""COMPUTED_VALUE"""),8.5)</f>
        <v>8.5</v>
      </c>
      <c r="H104" s="197">
        <f>IFERROR(__xludf.DUMMYFUNCTION("""COMPUTED_VALUE"""),45688.0)</f>
        <v>45688</v>
      </c>
      <c r="I104" s="199">
        <f>IFERROR(__xludf.DUMMYFUNCTION("""COMPUTED_VALUE"""),0.0)</f>
        <v>0</v>
      </c>
      <c r="J104" s="200">
        <f>IFERROR(__xludf.DUMMYFUNCTION("""COMPUTED_VALUE"""),85.0)</f>
        <v>85</v>
      </c>
      <c r="K104" s="200">
        <f>IFERROR(__xludf.DUMMYFUNCTION("""COMPUTED_VALUE"""),10.0)</f>
        <v>10</v>
      </c>
      <c r="L104" s="201" t="str">
        <f>IFERROR(__xludf.DUMMYFUNCTION("""COMPUTED_VALUE"""),"RPG")</f>
        <v>RPG</v>
      </c>
      <c r="M104" s="201" t="str">
        <f>IFERROR(__xludf.DUMMYFUNCTION("""COMPUTED_VALUE"""),"Exclusive")</f>
        <v>Exclusive</v>
      </c>
    </row>
    <row r="105">
      <c r="A105" s="190" t="str">
        <f>IFERROR(__xludf.DUMMYFUNCTION("""COMPUTED_VALUE"""),"Inscryption")</f>
        <v>Inscryption</v>
      </c>
      <c r="B105" s="195" t="str">
        <f>IFERROR(__xludf.DUMMYFUNCTION("""COMPUTED_VALUE"""),"Xbox / PC")</f>
        <v>Xbox / PC</v>
      </c>
      <c r="C105" s="196" t="str">
        <f>IFERROR(__xludf.DUMMYFUNCTION("""COMPUTED_VALUE"""),"Yes")</f>
        <v>Yes</v>
      </c>
      <c r="D105" s="196" t="str">
        <f>IFERROR(__xludf.DUMMYFUNCTION("""COMPUTED_VALUE"""),"Active")</f>
        <v>Active</v>
      </c>
      <c r="E105" s="197">
        <f>IFERROR(__xludf.DUMMYFUNCTION("""COMPUTED_VALUE"""),45575.0)</f>
        <v>45575</v>
      </c>
      <c r="F105" s="198"/>
      <c r="G105" s="199">
        <f>IFERROR(__xludf.DUMMYFUNCTION("""COMPUTED_VALUE"""),12.166666666666666)</f>
        <v>12.16666667</v>
      </c>
      <c r="H105" s="197">
        <f>IFERROR(__xludf.DUMMYFUNCTION("""COMPUTED_VALUE"""),44488.0)</f>
        <v>44488</v>
      </c>
      <c r="I105" s="199">
        <f>IFERROR(__xludf.DUMMYFUNCTION("""COMPUTED_VALUE"""),2.975)</f>
        <v>2.975</v>
      </c>
      <c r="J105" s="200">
        <f>IFERROR(__xludf.DUMMYFUNCTION("""COMPUTED_VALUE"""),85.0)</f>
        <v>85</v>
      </c>
      <c r="K105" s="200">
        <f>IFERROR(__xludf.DUMMYFUNCTION("""COMPUTED_VALUE"""),13.0)</f>
        <v>13</v>
      </c>
      <c r="L105" s="201" t="str">
        <f>IFERROR(__xludf.DUMMYFUNCTION("""COMPUTED_VALUE"""),"Card Battle")</f>
        <v>Card Battle</v>
      </c>
      <c r="M105" s="201"/>
    </row>
    <row r="106">
      <c r="A106" s="190" t="str">
        <f>IFERROR(__xludf.DUMMYFUNCTION("""COMPUTED_VALUE"""),"Octopath Traveler II")</f>
        <v>Octopath Traveler II</v>
      </c>
      <c r="B106" s="195" t="str">
        <f>IFERROR(__xludf.DUMMYFUNCTION("""COMPUTED_VALUE"""),"Xbox / PC")</f>
        <v>Xbox / PC</v>
      </c>
      <c r="C106" s="196" t="str">
        <f>IFERROR(__xludf.DUMMYFUNCTION("""COMPUTED_VALUE"""),"Yes")</f>
        <v>Yes</v>
      </c>
      <c r="D106" s="196" t="str">
        <f>IFERROR(__xludf.DUMMYFUNCTION("""COMPUTED_VALUE"""),"Active")</f>
        <v>Active</v>
      </c>
      <c r="E106" s="197">
        <f>IFERROR(__xludf.DUMMYFUNCTION("""COMPUTED_VALUE"""),45449.0)</f>
        <v>45449</v>
      </c>
      <c r="F106" s="198"/>
      <c r="G106" s="199">
        <f>IFERROR(__xludf.DUMMYFUNCTION("""COMPUTED_VALUE"""),16.3)</f>
        <v>16.3</v>
      </c>
      <c r="H106" s="197">
        <f>IFERROR(__xludf.DUMMYFUNCTION("""COMPUTED_VALUE"""),44981.0)</f>
        <v>44981</v>
      </c>
      <c r="I106" s="199">
        <f>IFERROR(__xludf.DUMMYFUNCTION("""COMPUTED_VALUE"""),1.2833333333333334)</f>
        <v>1.283333333</v>
      </c>
      <c r="J106" s="200">
        <f>IFERROR(__xludf.DUMMYFUNCTION("""COMPUTED_VALUE"""),85.0)</f>
        <v>85</v>
      </c>
      <c r="K106" s="200">
        <f>IFERROR(__xludf.DUMMYFUNCTION("""COMPUTED_VALUE"""),61.0)</f>
        <v>61</v>
      </c>
      <c r="L106" s="201" t="str">
        <f>IFERROR(__xludf.DUMMYFUNCTION("""COMPUTED_VALUE"""),"RPG")</f>
        <v>RPG</v>
      </c>
      <c r="M106" s="201" t="str">
        <f>IFERROR(__xludf.DUMMYFUNCTION("""COMPUTED_VALUE"""),"Exclusive")</f>
        <v>Exclusive</v>
      </c>
    </row>
    <row r="107">
      <c r="A107" s="190" t="str">
        <f>IFERROR(__xludf.DUMMYFUNCTION("""COMPUTED_VALUE"""),"Star Wars Jedi: Survivor")</f>
        <v>Star Wars Jedi: Survivor</v>
      </c>
      <c r="B107" s="195" t="str">
        <f>IFERROR(__xludf.DUMMYFUNCTION("""COMPUTED_VALUE"""),"Xbox / PC")</f>
        <v>Xbox / PC</v>
      </c>
      <c r="C107" s="196"/>
      <c r="D107" s="196" t="str">
        <f>IFERROR(__xludf.DUMMYFUNCTION("""COMPUTED_VALUE"""),"Active")</f>
        <v>Active</v>
      </c>
      <c r="E107" s="197">
        <f>IFERROR(__xludf.DUMMYFUNCTION("""COMPUTED_VALUE"""),45407.0)</f>
        <v>45407</v>
      </c>
      <c r="F107" s="198"/>
      <c r="G107" s="199">
        <f>IFERROR(__xludf.DUMMYFUNCTION("""COMPUTED_VALUE"""),17.666666666666668)</f>
        <v>17.66666667</v>
      </c>
      <c r="H107" s="197">
        <f>IFERROR(__xludf.DUMMYFUNCTION("""COMPUTED_VALUE"""),45044.0)</f>
        <v>45044</v>
      </c>
      <c r="I107" s="199">
        <f>IFERROR(__xludf.DUMMYFUNCTION("""COMPUTED_VALUE"""),0.9916666666666667)</f>
        <v>0.9916666667</v>
      </c>
      <c r="J107" s="200">
        <f>IFERROR(__xludf.DUMMYFUNCTION("""COMPUTED_VALUE"""),85.0)</f>
        <v>85</v>
      </c>
      <c r="K107" s="200">
        <f>IFERROR(__xludf.DUMMYFUNCTION("""COMPUTED_VALUE"""),20.0)</f>
        <v>20</v>
      </c>
      <c r="L107" s="201" t="str">
        <f>IFERROR(__xludf.DUMMYFUNCTION("""COMPUTED_VALUE"""),"Action-Adventure")</f>
        <v>Action-Adventure</v>
      </c>
      <c r="M107" s="201"/>
    </row>
    <row r="108">
      <c r="A108" s="190" t="str">
        <f>IFERROR(__xludf.DUMMYFUNCTION("""COMPUTED_VALUE"""),"Control: Ultimate Edition")</f>
        <v>Control: Ultimate Edition</v>
      </c>
      <c r="B108" s="195" t="str">
        <f>IFERROR(__xludf.DUMMYFUNCTION("""COMPUTED_VALUE"""),"Xbox / PC")</f>
        <v>Xbox / PC</v>
      </c>
      <c r="C108" s="196" t="str">
        <f>IFERROR(__xludf.DUMMYFUNCTION("""COMPUTED_VALUE"""),"Yes")</f>
        <v>Yes</v>
      </c>
      <c r="D108" s="196" t="str">
        <f>IFERROR(__xludf.DUMMYFUNCTION("""COMPUTED_VALUE"""),"Active")</f>
        <v>Active</v>
      </c>
      <c r="E108" s="197">
        <f>IFERROR(__xludf.DUMMYFUNCTION("""COMPUTED_VALUE"""),45364.0)</f>
        <v>45364</v>
      </c>
      <c r="F108" s="198"/>
      <c r="G108" s="199">
        <f>IFERROR(__xludf.DUMMYFUNCTION("""COMPUTED_VALUE"""),19.066666666666666)</f>
        <v>19.06666667</v>
      </c>
      <c r="H108" s="197">
        <f>IFERROR(__xludf.DUMMYFUNCTION("""COMPUTED_VALUE"""),44229.0)</f>
        <v>44229</v>
      </c>
      <c r="I108" s="199">
        <f>IFERROR(__xludf.DUMMYFUNCTION("""COMPUTED_VALUE"""),3.113888888888889)</f>
        <v>3.113888889</v>
      </c>
      <c r="J108" s="200">
        <f>IFERROR(__xludf.DUMMYFUNCTION("""COMPUTED_VALUE"""),85.0)</f>
        <v>85</v>
      </c>
      <c r="K108" s="200">
        <f>IFERROR(__xludf.DUMMYFUNCTION("""COMPUTED_VALUE"""),13.0)</f>
        <v>13</v>
      </c>
      <c r="L108" s="201" t="str">
        <f>IFERROR(__xludf.DUMMYFUNCTION("""COMPUTED_VALUE"""),"Action")</f>
        <v>Action</v>
      </c>
      <c r="M108" s="201"/>
    </row>
    <row r="109">
      <c r="A109" s="190" t="str">
        <f>IFERROR(__xludf.DUMMYFUNCTION("""COMPUTED_VALUE"""),"Forza Motorsport (2023)")</f>
        <v>Forza Motorsport (2023)</v>
      </c>
      <c r="B109" s="195" t="str">
        <f>IFERROR(__xludf.DUMMYFUNCTION("""COMPUTED_VALUE"""),"Xbox / PC")</f>
        <v>Xbox / PC</v>
      </c>
      <c r="C109" s="196" t="str">
        <f>IFERROR(__xludf.DUMMYFUNCTION("""COMPUTED_VALUE"""),"Yes")</f>
        <v>Yes</v>
      </c>
      <c r="D109" s="196" t="str">
        <f>IFERROR(__xludf.DUMMYFUNCTION("""COMPUTED_VALUE"""),"Active")</f>
        <v>Active</v>
      </c>
      <c r="E109" s="197">
        <f>IFERROR(__xludf.DUMMYFUNCTION("""COMPUTED_VALUE"""),45209.0)</f>
        <v>45209</v>
      </c>
      <c r="F109" s="198"/>
      <c r="G109" s="199">
        <f>IFERROR(__xludf.DUMMYFUNCTION("""COMPUTED_VALUE"""),24.166666666666664)</f>
        <v>24.16666667</v>
      </c>
      <c r="H109" s="197">
        <f>IFERROR(__xludf.DUMMYFUNCTION("""COMPUTED_VALUE"""),45209.0)</f>
        <v>45209</v>
      </c>
      <c r="I109" s="199">
        <f>IFERROR(__xludf.DUMMYFUNCTION("""COMPUTED_VALUE"""),0.0)</f>
        <v>0</v>
      </c>
      <c r="J109" s="200">
        <f>IFERROR(__xludf.DUMMYFUNCTION("""COMPUTED_VALUE"""),85.0)</f>
        <v>85</v>
      </c>
      <c r="K109" s="200">
        <f>IFERROR(__xludf.DUMMYFUNCTION("""COMPUTED_VALUE"""),8.0)</f>
        <v>8</v>
      </c>
      <c r="L109" s="201" t="str">
        <f>IFERROR(__xludf.DUMMYFUNCTION("""COMPUTED_VALUE"""),"Driving/Racing")</f>
        <v>Driving/Racing</v>
      </c>
      <c r="M109" s="201" t="str">
        <f>IFERROR(__xludf.DUMMYFUNCTION("""COMPUTED_VALUE"""),"Exclusive")</f>
        <v>Exclusive</v>
      </c>
    </row>
    <row r="110">
      <c r="A110" s="190" t="str">
        <f>IFERROR(__xludf.DUMMYFUNCTION("""COMPUTED_VALUE"""),"Limbo")</f>
        <v>Limbo</v>
      </c>
      <c r="B110" s="195" t="str">
        <f>IFERROR(__xludf.DUMMYFUNCTION("""COMPUTED_VALUE"""),"Xbox / PC")</f>
        <v>Xbox / PC</v>
      </c>
      <c r="C110" s="196" t="str">
        <f>IFERROR(__xludf.DUMMYFUNCTION("""COMPUTED_VALUE"""),"Yes")</f>
        <v>Yes</v>
      </c>
      <c r="D110" s="196" t="str">
        <f>IFERROR(__xludf.DUMMYFUNCTION("""COMPUTED_VALUE"""),"Active")</f>
        <v>Active</v>
      </c>
      <c r="E110" s="197">
        <f>IFERROR(__xludf.DUMMYFUNCTION("""COMPUTED_VALUE"""),45147.0)</f>
        <v>45147</v>
      </c>
      <c r="F110" s="198"/>
      <c r="G110" s="199">
        <f>IFERROR(__xludf.DUMMYFUNCTION("""COMPUTED_VALUE"""),26.199999999999996)</f>
        <v>26.2</v>
      </c>
      <c r="H110" s="197">
        <f>IFERROR(__xludf.DUMMYFUNCTION("""COMPUTED_VALUE"""),40380.0)</f>
        <v>40380</v>
      </c>
      <c r="I110" s="199">
        <f>IFERROR(__xludf.DUMMYFUNCTION("""COMPUTED_VALUE"""),13.05)</f>
        <v>13.05</v>
      </c>
      <c r="J110" s="200">
        <f>IFERROR(__xludf.DUMMYFUNCTION("""COMPUTED_VALUE"""),85.0)</f>
        <v>85</v>
      </c>
      <c r="K110" s="200">
        <f>IFERROR(__xludf.DUMMYFUNCTION("""COMPUTED_VALUE"""),3.5)</f>
        <v>3.5</v>
      </c>
      <c r="L110" s="201" t="str">
        <f>IFERROR(__xludf.DUMMYFUNCTION("""COMPUTED_VALUE"""),"Puzzle / Platformer")</f>
        <v>Puzzle / Platformer</v>
      </c>
      <c r="M110" s="201"/>
    </row>
    <row r="111">
      <c r="A111" s="190" t="str">
        <f>IFERROR(__xludf.DUMMYFUNCTION("""COMPUTED_VALUE"""),"A Plague Tale: Requiem")</f>
        <v>A Plague Tale: Requiem</v>
      </c>
      <c r="B111" s="195" t="str">
        <f>IFERROR(__xludf.DUMMYFUNCTION("""COMPUTED_VALUE"""),"Xbox / PC")</f>
        <v>Xbox / PC</v>
      </c>
      <c r="C111" s="196" t="str">
        <f>IFERROR(__xludf.DUMMYFUNCTION("""COMPUTED_VALUE"""),"Yes")</f>
        <v>Yes</v>
      </c>
      <c r="D111" s="196" t="str">
        <f>IFERROR(__xludf.DUMMYFUNCTION("""COMPUTED_VALUE"""),"Active")</f>
        <v>Active</v>
      </c>
      <c r="E111" s="197">
        <f>IFERROR(__xludf.DUMMYFUNCTION("""COMPUTED_VALUE"""),44852.0)</f>
        <v>44852</v>
      </c>
      <c r="F111" s="198"/>
      <c r="G111" s="199">
        <f>IFERROR(__xludf.DUMMYFUNCTION("""COMPUTED_VALUE"""),35.9)</f>
        <v>35.9</v>
      </c>
      <c r="H111" s="197">
        <f>IFERROR(__xludf.DUMMYFUNCTION("""COMPUTED_VALUE"""),44852.0)</f>
        <v>44852</v>
      </c>
      <c r="I111" s="199">
        <f>IFERROR(__xludf.DUMMYFUNCTION("""COMPUTED_VALUE"""),0.0)</f>
        <v>0</v>
      </c>
      <c r="J111" s="200">
        <f>IFERROR(__xludf.DUMMYFUNCTION("""COMPUTED_VALUE"""),85.0)</f>
        <v>85</v>
      </c>
      <c r="K111" s="200">
        <f>IFERROR(__xludf.DUMMYFUNCTION("""COMPUTED_VALUE"""),15.0)</f>
        <v>15</v>
      </c>
      <c r="L111" s="201" t="str">
        <f>IFERROR(__xludf.DUMMYFUNCTION("""COMPUTED_VALUE"""),"Action-Adventure")</f>
        <v>Action-Adventure</v>
      </c>
      <c r="M111" s="201" t="str">
        <f>IFERROR(__xludf.DUMMYFUNCTION("""COMPUTED_VALUE"""),"Exclusive")</f>
        <v>Exclusive</v>
      </c>
    </row>
    <row r="112">
      <c r="A112" s="190" t="str">
        <f>IFERROR(__xludf.DUMMYFUNCTION("""COMPUTED_VALUE"""),"Among Us")</f>
        <v>Among Us</v>
      </c>
      <c r="B112" s="195" t="str">
        <f>IFERROR(__xludf.DUMMYFUNCTION("""COMPUTED_VALUE"""),"Xbox / PC")</f>
        <v>Xbox / PC</v>
      </c>
      <c r="C112" s="196" t="str">
        <f>IFERROR(__xludf.DUMMYFUNCTION("""COMPUTED_VALUE"""),"Touch Controls")</f>
        <v>Touch Controls</v>
      </c>
      <c r="D112" s="196" t="str">
        <f>IFERROR(__xludf.DUMMYFUNCTION("""COMPUTED_VALUE"""),"Active")</f>
        <v>Active</v>
      </c>
      <c r="E112" s="197">
        <f>IFERROR(__xludf.DUMMYFUNCTION("""COMPUTED_VALUE"""),44182.0)</f>
        <v>44182</v>
      </c>
      <c r="F112" s="198"/>
      <c r="G112" s="199">
        <f>IFERROR(__xludf.DUMMYFUNCTION("""COMPUTED_VALUE"""),57.93333333333333)</f>
        <v>57.93333333</v>
      </c>
      <c r="H112" s="197">
        <f>IFERROR(__xludf.DUMMYFUNCTION("""COMPUTED_VALUE"""),43267.0)</f>
        <v>43267</v>
      </c>
      <c r="I112" s="199">
        <f>IFERROR(__xludf.DUMMYFUNCTION("""COMPUTED_VALUE"""),2.5027777777777778)</f>
        <v>2.502777778</v>
      </c>
      <c r="J112" s="200">
        <f>IFERROR(__xludf.DUMMYFUNCTION("""COMPUTED_VALUE"""),85.0)</f>
        <v>85</v>
      </c>
      <c r="K112" s="200">
        <f>IFERROR(__xludf.DUMMYFUNCTION("""COMPUTED_VALUE"""),14.0)</f>
        <v>14</v>
      </c>
      <c r="L112" s="201" t="str">
        <f>IFERROR(__xludf.DUMMYFUNCTION("""COMPUTED_VALUE"""),"Strategy")</f>
        <v>Strategy</v>
      </c>
      <c r="M112" s="201"/>
    </row>
    <row r="113">
      <c r="A113" s="190" t="str">
        <f>IFERROR(__xludf.DUMMYFUNCTION("""COMPUTED_VALUE"""),"The Outer Worlds")</f>
        <v>The Outer Worlds</v>
      </c>
      <c r="B113" s="195" t="str">
        <f>IFERROR(__xludf.DUMMYFUNCTION("""COMPUTED_VALUE"""),"Xbox / PC")</f>
        <v>Xbox / PC</v>
      </c>
      <c r="C113" s="196" t="str">
        <f>IFERROR(__xludf.DUMMYFUNCTION("""COMPUTED_VALUE"""),"Yes")</f>
        <v>Yes</v>
      </c>
      <c r="D113" s="196" t="str">
        <f>IFERROR(__xludf.DUMMYFUNCTION("""COMPUTED_VALUE"""),"Active")</f>
        <v>Active</v>
      </c>
      <c r="E113" s="197">
        <f>IFERROR(__xludf.DUMMYFUNCTION("""COMPUTED_VALUE"""),43763.0)</f>
        <v>43763</v>
      </c>
      <c r="F113" s="198"/>
      <c r="G113" s="199">
        <f>IFERROR(__xludf.DUMMYFUNCTION("""COMPUTED_VALUE"""),71.66666666666667)</f>
        <v>71.66666667</v>
      </c>
      <c r="H113" s="197">
        <f>IFERROR(__xludf.DUMMYFUNCTION("""COMPUTED_VALUE"""),43763.0)</f>
        <v>43763</v>
      </c>
      <c r="I113" s="199">
        <f>IFERROR(__xludf.DUMMYFUNCTION("""COMPUTED_VALUE"""),0.0)</f>
        <v>0</v>
      </c>
      <c r="J113" s="200">
        <f>IFERROR(__xludf.DUMMYFUNCTION("""COMPUTED_VALUE"""),85.0)</f>
        <v>85</v>
      </c>
      <c r="K113" s="200">
        <f>IFERROR(__xludf.DUMMYFUNCTION("""COMPUTED_VALUE"""),12.0)</f>
        <v>12</v>
      </c>
      <c r="L113" s="201" t="str">
        <f>IFERROR(__xludf.DUMMYFUNCTION("""COMPUTED_VALUE"""),"RPG / First-Person Shooter")</f>
        <v>RPG / First-Person Shooter</v>
      </c>
      <c r="M113" s="201"/>
    </row>
    <row r="114">
      <c r="A114" s="190" t="str">
        <f>IFERROR(__xludf.DUMMYFUNCTION("""COMPUTED_VALUE"""),"Killer Instinct Classic")</f>
        <v>Killer Instinct Classic</v>
      </c>
      <c r="B114" s="195" t="str">
        <f>IFERROR(__xludf.DUMMYFUNCTION("""COMPUTED_VALUE"""),"Xbox")</f>
        <v>Xbox</v>
      </c>
      <c r="C114" s="196"/>
      <c r="D114" s="196" t="str">
        <f>IFERROR(__xludf.DUMMYFUNCTION("""COMPUTED_VALUE"""),"Active")</f>
        <v>Active</v>
      </c>
      <c r="E114" s="197">
        <f>IFERROR(__xludf.DUMMYFUNCTION("""COMPUTED_VALUE"""),43671.0)</f>
        <v>43671</v>
      </c>
      <c r="F114" s="198"/>
      <c r="G114" s="199">
        <f>IFERROR(__xludf.DUMMYFUNCTION("""COMPUTED_VALUE"""),74.66666666666667)</f>
        <v>74.66666667</v>
      </c>
      <c r="H114" s="197">
        <f>IFERROR(__xludf.DUMMYFUNCTION("""COMPUTED_VALUE"""),34635.0)</f>
        <v>34635</v>
      </c>
      <c r="I114" s="199">
        <f>IFERROR(__xludf.DUMMYFUNCTION("""COMPUTED_VALUE"""),24.741666666666667)</f>
        <v>24.74166667</v>
      </c>
      <c r="J114" s="200">
        <f>IFERROR(__xludf.DUMMYFUNCTION("""COMPUTED_VALUE"""),85.0)</f>
        <v>85</v>
      </c>
      <c r="K114" s="200">
        <f>IFERROR(__xludf.DUMMYFUNCTION("""COMPUTED_VALUE"""),1.0)</f>
        <v>1</v>
      </c>
      <c r="L114" s="201" t="str">
        <f>IFERROR(__xludf.DUMMYFUNCTION("""COMPUTED_VALUE"""),"Fighting")</f>
        <v>Fighting</v>
      </c>
      <c r="M114" s="201"/>
    </row>
    <row r="115">
      <c r="A115" s="190" t="str">
        <f>IFERROR(__xludf.DUMMYFUNCTION("""COMPUTED_VALUE"""),"Batman: Arkham Knight")</f>
        <v>Batman: Arkham Knight</v>
      </c>
      <c r="B115" s="195" t="str">
        <f>IFERROR(__xludf.DUMMYFUNCTION("""COMPUTED_VALUE"""),"Xbox")</f>
        <v>Xbox</v>
      </c>
      <c r="C115" s="196" t="str">
        <f>IFERROR(__xludf.DUMMYFUNCTION("""COMPUTED_VALUE"""),"Yes")</f>
        <v>Yes</v>
      </c>
      <c r="D115" s="196" t="str">
        <f>IFERROR(__xludf.DUMMYFUNCTION("""COMPUTED_VALUE"""),"Active")</f>
        <v>Active</v>
      </c>
      <c r="E115" s="197">
        <f>IFERROR(__xludf.DUMMYFUNCTION("""COMPUTED_VALUE"""),43625.0)</f>
        <v>43625</v>
      </c>
      <c r="F115" s="198"/>
      <c r="G115" s="199">
        <f>IFERROR(__xludf.DUMMYFUNCTION("""COMPUTED_VALUE"""),76.19999999999999)</f>
        <v>76.2</v>
      </c>
      <c r="H115" s="197">
        <f>IFERROR(__xludf.DUMMYFUNCTION("""COMPUTED_VALUE"""),42178.0)</f>
        <v>42178</v>
      </c>
      <c r="I115" s="199">
        <f>IFERROR(__xludf.DUMMYFUNCTION("""COMPUTED_VALUE"""),3.9611111111111112)</f>
        <v>3.961111111</v>
      </c>
      <c r="J115" s="200">
        <f>IFERROR(__xludf.DUMMYFUNCTION("""COMPUTED_VALUE"""),85.0)</f>
        <v>85</v>
      </c>
      <c r="K115" s="200">
        <f>IFERROR(__xludf.DUMMYFUNCTION("""COMPUTED_VALUE"""),16.5)</f>
        <v>16.5</v>
      </c>
      <c r="L115" s="201" t="str">
        <f>IFERROR(__xludf.DUMMYFUNCTION("""COMPUTED_VALUE"""),"Action-Adventure")</f>
        <v>Action-Adventure</v>
      </c>
      <c r="M115" s="201"/>
    </row>
    <row r="116">
      <c r="A116" s="190" t="str">
        <f>IFERROR(__xludf.DUMMYFUNCTION("""COMPUTED_VALUE"""),"Halo: The Master Chief Collection")</f>
        <v>Halo: The Master Chief Collection</v>
      </c>
      <c r="B116" s="195" t="str">
        <f>IFERROR(__xludf.DUMMYFUNCTION("""COMPUTED_VALUE"""),"Xbox / PC")</f>
        <v>Xbox / PC</v>
      </c>
      <c r="C116" s="196" t="str">
        <f>IFERROR(__xludf.DUMMYFUNCTION("""COMPUTED_VALUE"""),"Yes")</f>
        <v>Yes</v>
      </c>
      <c r="D116" s="196" t="str">
        <f>IFERROR(__xludf.DUMMYFUNCTION("""COMPUTED_VALUE"""),"Active")</f>
        <v>Active</v>
      </c>
      <c r="E116" s="197">
        <f>IFERROR(__xludf.DUMMYFUNCTION("""COMPUTED_VALUE"""),43344.0)</f>
        <v>43344</v>
      </c>
      <c r="F116" s="198"/>
      <c r="G116" s="199">
        <f>IFERROR(__xludf.DUMMYFUNCTION("""COMPUTED_VALUE"""),85.46666666666667)</f>
        <v>85.46666667</v>
      </c>
      <c r="H116" s="197">
        <f>IFERROR(__xludf.DUMMYFUNCTION("""COMPUTED_VALUE"""),41954.0)</f>
        <v>41954</v>
      </c>
      <c r="I116" s="199">
        <f>IFERROR(__xludf.DUMMYFUNCTION("""COMPUTED_VALUE"""),3.8055555555555554)</f>
        <v>3.805555556</v>
      </c>
      <c r="J116" s="200">
        <f>IFERROR(__xludf.DUMMYFUNCTION("""COMPUTED_VALUE"""),85.0)</f>
        <v>85</v>
      </c>
      <c r="K116" s="200">
        <f>IFERROR(__xludf.DUMMYFUNCTION("""COMPUTED_VALUE"""),52.5)</f>
        <v>52.5</v>
      </c>
      <c r="L116" s="201" t="str">
        <f>IFERROR(__xludf.DUMMYFUNCTION("""COMPUTED_VALUE"""),"Compilation / First-Person Shooter")</f>
        <v>Compilation / First-Person Shooter</v>
      </c>
      <c r="M116" s="201" t="str">
        <f>IFERROR(__xludf.DUMMYFUNCTION("""COMPUTED_VALUE"""),"Optimized")</f>
        <v>Optimized</v>
      </c>
    </row>
    <row r="117">
      <c r="A117" s="190" t="str">
        <f>IFERROR(__xludf.DUMMYFUNCTION("""COMPUTED_VALUE"""),"Assassin's Creed Origins")</f>
        <v>Assassin's Creed Origins</v>
      </c>
      <c r="B117" s="195" t="str">
        <f>IFERROR(__xludf.DUMMYFUNCTION("""COMPUTED_VALUE"""),"Xbox / PC")</f>
        <v>Xbox / PC</v>
      </c>
      <c r="C117" s="196" t="str">
        <f>IFERROR(__xludf.DUMMYFUNCTION("""COMPUTED_VALUE"""),"Touch Controls")</f>
        <v>Touch Controls</v>
      </c>
      <c r="D117" s="196" t="str">
        <f>IFERROR(__xludf.DUMMYFUNCTION("""COMPUTED_VALUE"""),"Active")</f>
        <v>Active</v>
      </c>
      <c r="E117" s="197">
        <f>IFERROR(__xludf.DUMMYFUNCTION("""COMPUTED_VALUE"""),44719.0)</f>
        <v>44719</v>
      </c>
      <c r="F117" s="198"/>
      <c r="G117" s="199">
        <f>IFERROR(__xludf.DUMMYFUNCTION("""COMPUTED_VALUE"""),40.266666666666666)</f>
        <v>40.26666667</v>
      </c>
      <c r="H117" s="197">
        <f>IFERROR(__xludf.DUMMYFUNCTION("""COMPUTED_VALUE"""),43035.0)</f>
        <v>43035</v>
      </c>
      <c r="I117" s="199">
        <f>IFERROR(__xludf.DUMMYFUNCTION("""COMPUTED_VALUE"""),4.611111111111111)</f>
        <v>4.611111111</v>
      </c>
      <c r="J117" s="200">
        <f>IFERROR(__xludf.DUMMYFUNCTION("""COMPUTED_VALUE"""),84.5)</f>
        <v>84.5</v>
      </c>
      <c r="K117" s="200">
        <f>IFERROR(__xludf.DUMMYFUNCTION("""COMPUTED_VALUE"""),30.0)</f>
        <v>30</v>
      </c>
      <c r="L117" s="201" t="str">
        <f>IFERROR(__xludf.DUMMYFUNCTION("""COMPUTED_VALUE"""),"RPG / Action-Adventure")</f>
        <v>RPG / Action-Adventure</v>
      </c>
      <c r="M117" s="201"/>
    </row>
    <row r="118">
      <c r="A118" s="190" t="str">
        <f>IFERROR(__xludf.DUMMYFUNCTION("""COMPUTED_VALUE"""),"Hogwarts Legacy")</f>
        <v>Hogwarts Legacy</v>
      </c>
      <c r="B118" s="195" t="str">
        <f>IFERROR(__xludf.DUMMYFUNCTION("""COMPUTED_VALUE"""),"Xbox / PC")</f>
        <v>Xbox / PC</v>
      </c>
      <c r="C118" s="196" t="str">
        <f>IFERROR(__xludf.DUMMYFUNCTION("""COMPUTED_VALUE"""),"Yes")</f>
        <v>Yes</v>
      </c>
      <c r="D118" s="196" t="str">
        <f>IFERROR(__xludf.DUMMYFUNCTION("""COMPUTED_VALUE"""),"Active")</f>
        <v>Active</v>
      </c>
      <c r="E118" s="197">
        <f>IFERROR(__xludf.DUMMYFUNCTION("""COMPUTED_VALUE"""),45931.0)</f>
        <v>45931</v>
      </c>
      <c r="F118" s="198"/>
      <c r="G118" s="199">
        <f>IFERROR(__xludf.DUMMYFUNCTION("""COMPUTED_VALUE"""),0.4666666666666667)</f>
        <v>0.4666666667</v>
      </c>
      <c r="H118" s="197">
        <f>IFERROR(__xludf.DUMMYFUNCTION("""COMPUTED_VALUE"""),44964.0)</f>
        <v>44964</v>
      </c>
      <c r="I118" s="199">
        <f>IFERROR(__xludf.DUMMYFUNCTION("""COMPUTED_VALUE"""),2.65)</f>
        <v>2.65</v>
      </c>
      <c r="J118" s="200">
        <f>IFERROR(__xludf.DUMMYFUNCTION("""COMPUTED_VALUE"""),84.0)</f>
        <v>84</v>
      </c>
      <c r="K118" s="200">
        <f>IFERROR(__xludf.DUMMYFUNCTION("""COMPUTED_VALUE"""),27.0)</f>
        <v>27</v>
      </c>
      <c r="L118" s="201" t="str">
        <f>IFERROR(__xludf.DUMMYFUNCTION("""COMPUTED_VALUE"""),"Action-Adventure")</f>
        <v>Action-Adventure</v>
      </c>
      <c r="M118" s="201"/>
    </row>
    <row r="119">
      <c r="A119" s="190" t="str">
        <f>IFERROR(__xludf.DUMMYFUNCTION("""COMPUTED_VALUE"""),"Lara Croft and the Guardian of Light")</f>
        <v>Lara Croft and the Guardian of Light</v>
      </c>
      <c r="B119" s="195" t="str">
        <f>IFERROR(__xludf.DUMMYFUNCTION("""COMPUTED_VALUE"""),"Xbox / PC")</f>
        <v>Xbox / PC</v>
      </c>
      <c r="C119" s="196" t="str">
        <f>IFERROR(__xludf.DUMMYFUNCTION("""COMPUTED_VALUE"""),"Yes")</f>
        <v>Yes</v>
      </c>
      <c r="D119" s="196" t="str">
        <f>IFERROR(__xludf.DUMMYFUNCTION("""COMPUTED_VALUE"""),"Active")</f>
        <v>Active</v>
      </c>
      <c r="E119" s="197">
        <f>IFERROR(__xludf.DUMMYFUNCTION("""COMPUTED_VALUE"""),45930.0)</f>
        <v>45930</v>
      </c>
      <c r="F119" s="198"/>
      <c r="G119" s="199">
        <f>IFERROR(__xludf.DUMMYFUNCTION("""COMPUTED_VALUE"""),0.5)</f>
        <v>0.5</v>
      </c>
      <c r="H119" s="197">
        <f>IFERROR(__xludf.DUMMYFUNCTION("""COMPUTED_VALUE"""),42062.0)</f>
        <v>42062</v>
      </c>
      <c r="I119" s="199">
        <f>IFERROR(__xludf.DUMMYFUNCTION("""COMPUTED_VALUE"""),10.591666666666667)</f>
        <v>10.59166667</v>
      </c>
      <c r="J119" s="200">
        <f>IFERROR(__xludf.DUMMYFUNCTION("""COMPUTED_VALUE"""),84.0)</f>
        <v>84</v>
      </c>
      <c r="K119" s="200">
        <f>IFERROR(__xludf.DUMMYFUNCTION("""COMPUTED_VALUE"""),7.0)</f>
        <v>7</v>
      </c>
      <c r="L119" s="201" t="str">
        <f>IFERROR(__xludf.DUMMYFUNCTION("""COMPUTED_VALUE"""),"Action-Adventure")</f>
        <v>Action-Adventure</v>
      </c>
      <c r="M119" s="201"/>
    </row>
    <row r="120">
      <c r="A120" s="190" t="str">
        <f>IFERROR(__xludf.DUMMYFUNCTION("""COMPUTED_VALUE"""),"The Alters")</f>
        <v>The Alters</v>
      </c>
      <c r="B120" s="195" t="str">
        <f>IFERROR(__xludf.DUMMYFUNCTION("""COMPUTED_VALUE"""),"Xbox / PC")</f>
        <v>Xbox / PC</v>
      </c>
      <c r="C120" s="196" t="str">
        <f>IFERROR(__xludf.DUMMYFUNCTION("""COMPUTED_VALUE"""),"Yes")</f>
        <v>Yes</v>
      </c>
      <c r="D120" s="196" t="str">
        <f>IFERROR(__xludf.DUMMYFUNCTION("""COMPUTED_VALUE"""),"Active")</f>
        <v>Active</v>
      </c>
      <c r="E120" s="197">
        <f>IFERROR(__xludf.DUMMYFUNCTION("""COMPUTED_VALUE"""),45821.0)</f>
        <v>45821</v>
      </c>
      <c r="F120" s="198"/>
      <c r="G120" s="199">
        <f>IFERROR(__xludf.DUMMYFUNCTION("""COMPUTED_VALUE"""),4.066666666666666)</f>
        <v>4.066666667</v>
      </c>
      <c r="H120" s="197">
        <f>IFERROR(__xludf.DUMMYFUNCTION("""COMPUTED_VALUE"""),45821.0)</f>
        <v>45821</v>
      </c>
      <c r="I120" s="199">
        <f>IFERROR(__xludf.DUMMYFUNCTION("""COMPUTED_VALUE"""),0.0)</f>
        <v>0</v>
      </c>
      <c r="J120" s="200">
        <f>IFERROR(__xludf.DUMMYFUNCTION("""COMPUTED_VALUE"""),84.0)</f>
        <v>84</v>
      </c>
      <c r="K120" s="200">
        <f>IFERROR(__xludf.DUMMYFUNCTION("""COMPUTED_VALUE"""),19.0)</f>
        <v>19</v>
      </c>
      <c r="L120" s="201" t="str">
        <f>IFERROR(__xludf.DUMMYFUNCTION("""COMPUTED_VALUE"""),"Survival")</f>
        <v>Survival</v>
      </c>
      <c r="M120" s="201" t="str">
        <f>IFERROR(__xludf.DUMMYFUNCTION("""COMPUTED_VALUE"""),"Exclusive")</f>
        <v>Exclusive</v>
      </c>
    </row>
    <row r="121">
      <c r="A121" s="190" t="str">
        <f>IFERROR(__xludf.DUMMYFUNCTION("""COMPUTED_VALUE"""),"Kingdom: Two Crowns")</f>
        <v>Kingdom: Two Crowns</v>
      </c>
      <c r="B121" s="195" t="str">
        <f>IFERROR(__xludf.DUMMYFUNCTION("""COMPUTED_VALUE"""),"Xbox / PC")</f>
        <v>Xbox / PC</v>
      </c>
      <c r="C121" s="196" t="str">
        <f>IFERROR(__xludf.DUMMYFUNCTION("""COMPUTED_VALUE"""),"Yes")</f>
        <v>Yes</v>
      </c>
      <c r="D121" s="196" t="str">
        <f>IFERROR(__xludf.DUMMYFUNCTION("""COMPUTED_VALUE"""),"Active")</f>
        <v>Active</v>
      </c>
      <c r="E121" s="197">
        <f>IFERROR(__xludf.DUMMYFUNCTION("""COMPUTED_VALUE"""),45701.0)</f>
        <v>45701</v>
      </c>
      <c r="F121" s="198"/>
      <c r="G121" s="199">
        <f>IFERROR(__xludf.DUMMYFUNCTION("""COMPUTED_VALUE"""),8.066666666666666)</f>
        <v>8.066666667</v>
      </c>
      <c r="H121" s="197">
        <f>IFERROR(__xludf.DUMMYFUNCTION("""COMPUTED_VALUE"""),43445.0)</f>
        <v>43445</v>
      </c>
      <c r="I121" s="199">
        <f>IFERROR(__xludf.DUMMYFUNCTION("""COMPUTED_VALUE"""),6.1722222222222225)</f>
        <v>6.172222222</v>
      </c>
      <c r="J121" s="200">
        <f>IFERROR(__xludf.DUMMYFUNCTION("""COMPUTED_VALUE"""),84.0)</f>
        <v>84</v>
      </c>
      <c r="K121" s="200">
        <f>IFERROR(__xludf.DUMMYFUNCTION("""COMPUTED_VALUE"""),28.5)</f>
        <v>28.5</v>
      </c>
      <c r="L121" s="201" t="str">
        <f>IFERROR(__xludf.DUMMYFUNCTION("""COMPUTED_VALUE"""),"Strategy")</f>
        <v>Strategy</v>
      </c>
      <c r="M121" s="201"/>
    </row>
    <row r="122">
      <c r="A122" s="190" t="str">
        <f>IFERROR(__xludf.DUMMYFUNCTION("""COMPUTED_VALUE"""),"Lonely Mountain: Snow Riders")</f>
        <v>Lonely Mountain: Snow Riders</v>
      </c>
      <c r="B122" s="195" t="str">
        <f>IFERROR(__xludf.DUMMYFUNCTION("""COMPUTED_VALUE"""),"Xbox / PC")</f>
        <v>Xbox / PC</v>
      </c>
      <c r="C122" s="196" t="str">
        <f>IFERROR(__xludf.DUMMYFUNCTION("""COMPUTED_VALUE"""),"Yes")</f>
        <v>Yes</v>
      </c>
      <c r="D122" s="196" t="str">
        <f>IFERROR(__xludf.DUMMYFUNCTION("""COMPUTED_VALUE"""),"Active")</f>
        <v>Active</v>
      </c>
      <c r="E122" s="197">
        <f>IFERROR(__xludf.DUMMYFUNCTION("""COMPUTED_VALUE"""),45678.0)</f>
        <v>45678</v>
      </c>
      <c r="F122" s="198"/>
      <c r="G122" s="199">
        <f>IFERROR(__xludf.DUMMYFUNCTION("""COMPUTED_VALUE"""),8.799999999999999)</f>
        <v>8.8</v>
      </c>
      <c r="H122" s="197">
        <f>IFERROR(__xludf.DUMMYFUNCTION("""COMPUTED_VALUE"""),43958.0)</f>
        <v>43958</v>
      </c>
      <c r="I122" s="199">
        <f>IFERROR(__xludf.DUMMYFUNCTION("""COMPUTED_VALUE"""),4.705555555555556)</f>
        <v>4.705555556</v>
      </c>
      <c r="J122" s="200">
        <f>IFERROR(__xludf.DUMMYFUNCTION("""COMPUTED_VALUE"""),84.0)</f>
        <v>84</v>
      </c>
      <c r="K122" s="200">
        <f>IFERROR(__xludf.DUMMYFUNCTION("""COMPUTED_VALUE"""),3.0)</f>
        <v>3</v>
      </c>
      <c r="L122" s="201" t="str">
        <f>IFERROR(__xludf.DUMMYFUNCTION("""COMPUTED_VALUE"""),"Biking")</f>
        <v>Biking</v>
      </c>
      <c r="M122" s="201" t="str">
        <f>IFERROR(__xludf.DUMMYFUNCTION("""COMPUTED_VALUE"""),"Exclusive")</f>
        <v>Exclusive</v>
      </c>
    </row>
    <row r="123">
      <c r="A123" s="190" t="str">
        <f>IFERROR(__xludf.DUMMYFUNCTION("""COMPUTED_VALUE"""),"Age of Mythology: Retold")</f>
        <v>Age of Mythology: Retold</v>
      </c>
      <c r="B123" s="195" t="str">
        <f>IFERROR(__xludf.DUMMYFUNCTION("""COMPUTED_VALUE"""),"Xbox / PC")</f>
        <v>Xbox / PC</v>
      </c>
      <c r="C123" s="196" t="str">
        <f>IFERROR(__xludf.DUMMYFUNCTION("""COMPUTED_VALUE"""),"Yes")</f>
        <v>Yes</v>
      </c>
      <c r="D123" s="196" t="str">
        <f>IFERROR(__xludf.DUMMYFUNCTION("""COMPUTED_VALUE"""),"Active")</f>
        <v>Active</v>
      </c>
      <c r="E123" s="197">
        <f>IFERROR(__xludf.DUMMYFUNCTION("""COMPUTED_VALUE"""),45539.0)</f>
        <v>45539</v>
      </c>
      <c r="F123" s="198"/>
      <c r="G123" s="199">
        <f>IFERROR(__xludf.DUMMYFUNCTION("""COMPUTED_VALUE"""),13.366666666666667)</f>
        <v>13.36666667</v>
      </c>
      <c r="H123" s="197">
        <f>IFERROR(__xludf.DUMMYFUNCTION("""COMPUTED_VALUE"""),45539.0)</f>
        <v>45539</v>
      </c>
      <c r="I123" s="199">
        <f>IFERROR(__xludf.DUMMYFUNCTION("""COMPUTED_VALUE"""),0.0)</f>
        <v>0</v>
      </c>
      <c r="J123" s="200">
        <f>IFERROR(__xludf.DUMMYFUNCTION("""COMPUTED_VALUE"""),84.0)</f>
        <v>84</v>
      </c>
      <c r="K123" s="200">
        <f>IFERROR(__xludf.DUMMYFUNCTION("""COMPUTED_VALUE"""),21.0)</f>
        <v>21</v>
      </c>
      <c r="L123" s="201" t="str">
        <f>IFERROR(__xludf.DUMMYFUNCTION("""COMPUTED_VALUE"""),"Strategy")</f>
        <v>Strategy</v>
      </c>
      <c r="M123" s="201" t="str">
        <f>IFERROR(__xludf.DUMMYFUNCTION("""COMPUTED_VALUE"""),"Exclusive")</f>
        <v>Exclusive</v>
      </c>
    </row>
    <row r="124">
      <c r="A124" s="190" t="str">
        <f>IFERROR(__xludf.DUMMYFUNCTION("""COMPUTED_VALUE"""),"Football Manager 2024")</f>
        <v>Football Manager 2024</v>
      </c>
      <c r="B124" s="195" t="str">
        <f>IFERROR(__xludf.DUMMYFUNCTION("""COMPUTED_VALUE"""),"Xbox / PC")</f>
        <v>Xbox / PC</v>
      </c>
      <c r="C124" s="196" t="str">
        <f>IFERROR(__xludf.DUMMYFUNCTION("""COMPUTED_VALUE"""),"Yes")</f>
        <v>Yes</v>
      </c>
      <c r="D124" s="196" t="str">
        <f>IFERROR(__xludf.DUMMYFUNCTION("""COMPUTED_VALUE"""),"Active")</f>
        <v>Active</v>
      </c>
      <c r="E124" s="197">
        <f>IFERROR(__xludf.DUMMYFUNCTION("""COMPUTED_VALUE"""),45236.0)</f>
        <v>45236</v>
      </c>
      <c r="F124" s="198"/>
      <c r="G124" s="199">
        <f>IFERROR(__xludf.DUMMYFUNCTION("""COMPUTED_VALUE"""),23.3)</f>
        <v>23.3</v>
      </c>
      <c r="H124" s="197">
        <f>IFERROR(__xludf.DUMMYFUNCTION("""COMPUTED_VALUE"""),45236.0)</f>
        <v>45236</v>
      </c>
      <c r="I124" s="199">
        <f>IFERROR(__xludf.DUMMYFUNCTION("""COMPUTED_VALUE"""),0.0)</f>
        <v>0</v>
      </c>
      <c r="J124" s="200">
        <f>IFERROR(__xludf.DUMMYFUNCTION("""COMPUTED_VALUE"""),84.0)</f>
        <v>84</v>
      </c>
      <c r="K124" s="200">
        <f>IFERROR(__xludf.DUMMYFUNCTION("""COMPUTED_VALUE"""),11.0)</f>
        <v>11</v>
      </c>
      <c r="L124" s="201" t="str">
        <f>IFERROR(__xludf.DUMMYFUNCTION("""COMPUTED_VALUE"""),"Simulation / Soccer")</f>
        <v>Simulation / Soccer</v>
      </c>
      <c r="M124" s="201"/>
    </row>
    <row r="125">
      <c r="A125" s="190" t="str">
        <f>IFERROR(__xludf.DUMMYFUNCTION("""COMPUTED_VALUE"""),"Starfield")</f>
        <v>Starfield</v>
      </c>
      <c r="B125" s="195" t="str">
        <f>IFERROR(__xludf.DUMMYFUNCTION("""COMPUTED_VALUE"""),"Xbox / PC")</f>
        <v>Xbox / PC</v>
      </c>
      <c r="C125" s="196" t="str">
        <f>IFERROR(__xludf.DUMMYFUNCTION("""COMPUTED_VALUE"""),"Yes")</f>
        <v>Yes</v>
      </c>
      <c r="D125" s="196" t="str">
        <f>IFERROR(__xludf.DUMMYFUNCTION("""COMPUTED_VALUE"""),"Active")</f>
        <v>Active</v>
      </c>
      <c r="E125" s="197">
        <f>IFERROR(__xludf.DUMMYFUNCTION("""COMPUTED_VALUE"""),45175.0)</f>
        <v>45175</v>
      </c>
      <c r="F125" s="198"/>
      <c r="G125" s="199">
        <f>IFERROR(__xludf.DUMMYFUNCTION("""COMPUTED_VALUE"""),25.3)</f>
        <v>25.3</v>
      </c>
      <c r="H125" s="197">
        <f>IFERROR(__xludf.DUMMYFUNCTION("""COMPUTED_VALUE"""),45175.0)</f>
        <v>45175</v>
      </c>
      <c r="I125" s="199">
        <f>IFERROR(__xludf.DUMMYFUNCTION("""COMPUTED_VALUE"""),0.0)</f>
        <v>0</v>
      </c>
      <c r="J125" s="200">
        <f>IFERROR(__xludf.DUMMYFUNCTION("""COMPUTED_VALUE"""),84.0)</f>
        <v>84</v>
      </c>
      <c r="K125" s="200">
        <f>IFERROR(__xludf.DUMMYFUNCTION("""COMPUTED_VALUE"""),20.0)</f>
        <v>20</v>
      </c>
      <c r="L125" s="201" t="str">
        <f>IFERROR(__xludf.DUMMYFUNCTION("""COMPUTED_VALUE"""),"RPG / Action-Adventure")</f>
        <v>RPG / Action-Adventure</v>
      </c>
      <c r="M125" s="201" t="str">
        <f>IFERROR(__xludf.DUMMYFUNCTION("""COMPUTED_VALUE"""),"Exclusive")</f>
        <v>Exclusive</v>
      </c>
    </row>
    <row r="126">
      <c r="A126" s="190" t="str">
        <f>IFERROR(__xludf.DUMMYFUNCTION("""COMPUTED_VALUE"""),"Mortal Kombat 11")</f>
        <v>Mortal Kombat 11</v>
      </c>
      <c r="B126" s="195" t="str">
        <f>IFERROR(__xludf.DUMMYFUNCTION("""COMPUTED_VALUE"""),"Xbox / PC")</f>
        <v>Xbox / PC</v>
      </c>
      <c r="C126" s="196" t="str">
        <f>IFERROR(__xludf.DUMMYFUNCTION("""COMPUTED_VALUE"""),"Yes")</f>
        <v>Yes</v>
      </c>
      <c r="D126" s="196" t="str">
        <f>IFERROR(__xludf.DUMMYFUNCTION("""COMPUTED_VALUE"""),"Active")</f>
        <v>Active</v>
      </c>
      <c r="E126" s="197">
        <f>IFERROR(__xludf.DUMMYFUNCTION("""COMPUTED_VALUE"""),44546.0)</f>
        <v>44546</v>
      </c>
      <c r="F126" s="198"/>
      <c r="G126" s="199">
        <f>IFERROR(__xludf.DUMMYFUNCTION("""COMPUTED_VALUE"""),45.96666666666667)</f>
        <v>45.96666667</v>
      </c>
      <c r="H126" s="197">
        <f>IFERROR(__xludf.DUMMYFUNCTION("""COMPUTED_VALUE"""),43578.0)</f>
        <v>43578</v>
      </c>
      <c r="I126" s="199">
        <f>IFERROR(__xludf.DUMMYFUNCTION("""COMPUTED_VALUE"""),2.647222222222222)</f>
        <v>2.647222222</v>
      </c>
      <c r="J126" s="200">
        <f>IFERROR(__xludf.DUMMYFUNCTION("""COMPUTED_VALUE"""),84.0)</f>
        <v>84</v>
      </c>
      <c r="K126" s="200">
        <f>IFERROR(__xludf.DUMMYFUNCTION("""COMPUTED_VALUE"""),6.0)</f>
        <v>6</v>
      </c>
      <c r="L126" s="201" t="str">
        <f>IFERROR(__xludf.DUMMYFUNCTION("""COMPUTED_VALUE"""),"Fighting")</f>
        <v>Fighting</v>
      </c>
      <c r="M126" s="201"/>
    </row>
    <row r="127">
      <c r="A127" s="190" t="str">
        <f>IFERROR(__xludf.DUMMYFUNCTION("""COMPUTED_VALUE"""),"Battlefield 3: Premium Edition")</f>
        <v>Battlefield 3: Premium Edition</v>
      </c>
      <c r="B127" s="195" t="str">
        <f>IFERROR(__xludf.DUMMYFUNCTION("""COMPUTED_VALUE"""),"Xbox / PC")</f>
        <v>Xbox / PC</v>
      </c>
      <c r="C127" s="196"/>
      <c r="D127" s="196" t="str">
        <f>IFERROR(__xludf.DUMMYFUNCTION("""COMPUTED_VALUE"""),"Active")</f>
        <v>Active</v>
      </c>
      <c r="E127" s="197">
        <f>IFERROR(__xludf.DUMMYFUNCTION("""COMPUTED_VALUE"""),44145.0)</f>
        <v>44145</v>
      </c>
      <c r="F127" s="198"/>
      <c r="G127" s="199">
        <f>IFERROR(__xludf.DUMMYFUNCTION("""COMPUTED_VALUE"""),59.166666666666664)</f>
        <v>59.16666667</v>
      </c>
      <c r="H127" s="197">
        <f>IFERROR(__xludf.DUMMYFUNCTION("""COMPUTED_VALUE"""),40841.0)</f>
        <v>40841</v>
      </c>
      <c r="I127" s="199">
        <f>IFERROR(__xludf.DUMMYFUNCTION("""COMPUTED_VALUE"""),9.041666666666666)</f>
        <v>9.041666667</v>
      </c>
      <c r="J127" s="200">
        <f>IFERROR(__xludf.DUMMYFUNCTION("""COMPUTED_VALUE"""),84.0)</f>
        <v>84</v>
      </c>
      <c r="K127" s="200">
        <f>IFERROR(__xludf.DUMMYFUNCTION("""COMPUTED_VALUE"""),6.0)</f>
        <v>6</v>
      </c>
      <c r="L127" s="201" t="str">
        <f>IFERROR(__xludf.DUMMYFUNCTION("""COMPUTED_VALUE"""),"First-Person Shooter / Vehicular Combat")</f>
        <v>First-Person Shooter / Vehicular Combat</v>
      </c>
      <c r="M127" s="201"/>
    </row>
    <row r="128">
      <c r="A128" s="190" t="str">
        <f>IFERROR(__xludf.DUMMYFUNCTION("""COMPUTED_VALUE"""),"Crysis 2: Maximum Edition")</f>
        <v>Crysis 2: Maximum Edition</v>
      </c>
      <c r="B128" s="195" t="str">
        <f>IFERROR(__xludf.DUMMYFUNCTION("""COMPUTED_VALUE"""),"Xbox / PC")</f>
        <v>Xbox / PC</v>
      </c>
      <c r="C128" s="196"/>
      <c r="D128" s="196" t="str">
        <f>IFERROR(__xludf.DUMMYFUNCTION("""COMPUTED_VALUE"""),"Active")</f>
        <v>Active</v>
      </c>
      <c r="E128" s="197">
        <f>IFERROR(__xludf.DUMMYFUNCTION("""COMPUTED_VALUE"""),44145.0)</f>
        <v>44145</v>
      </c>
      <c r="F128" s="198"/>
      <c r="G128" s="199">
        <f>IFERROR(__xludf.DUMMYFUNCTION("""COMPUTED_VALUE"""),59.166666666666664)</f>
        <v>59.16666667</v>
      </c>
      <c r="H128" s="197">
        <f>IFERROR(__xludf.DUMMYFUNCTION("""COMPUTED_VALUE"""),40624.0)</f>
        <v>40624</v>
      </c>
      <c r="I128" s="199">
        <f>IFERROR(__xludf.DUMMYFUNCTION("""COMPUTED_VALUE"""),9.633333333333333)</f>
        <v>9.633333333</v>
      </c>
      <c r="J128" s="200">
        <f>IFERROR(__xludf.DUMMYFUNCTION("""COMPUTED_VALUE"""),84.0)</f>
        <v>84</v>
      </c>
      <c r="K128" s="200">
        <f>IFERROR(__xludf.DUMMYFUNCTION("""COMPUTED_VALUE"""),9.0)</f>
        <v>9</v>
      </c>
      <c r="L128" s="201" t="str">
        <f>IFERROR(__xludf.DUMMYFUNCTION("""COMPUTED_VALUE"""),"First-Person Shooter")</f>
        <v>First-Person Shooter</v>
      </c>
      <c r="M128" s="201"/>
    </row>
    <row r="129">
      <c r="A129" s="190" t="str">
        <f>IFERROR(__xludf.DUMMYFUNCTION("""COMPUTED_VALUE"""),"Deep Rock Galactic")</f>
        <v>Deep Rock Galactic</v>
      </c>
      <c r="B129" s="195" t="str">
        <f>IFERROR(__xludf.DUMMYFUNCTION("""COMPUTED_VALUE"""),"Xbox / PC")</f>
        <v>Xbox / PC</v>
      </c>
      <c r="C129" s="196" t="str">
        <f>IFERROR(__xludf.DUMMYFUNCTION("""COMPUTED_VALUE"""),"M+KB")</f>
        <v>M+KB</v>
      </c>
      <c r="D129" s="196" t="str">
        <f>IFERROR(__xludf.DUMMYFUNCTION("""COMPUTED_VALUE"""),"Active")</f>
        <v>Active</v>
      </c>
      <c r="E129" s="197">
        <f>IFERROR(__xludf.DUMMYFUNCTION("""COMPUTED_VALUE"""),44140.0)</f>
        <v>44140</v>
      </c>
      <c r="F129" s="198"/>
      <c r="G129" s="199">
        <f>IFERROR(__xludf.DUMMYFUNCTION("""COMPUTED_VALUE"""),59.333333333333336)</f>
        <v>59.33333333</v>
      </c>
      <c r="H129" s="197">
        <f>IFERROR(__xludf.DUMMYFUNCTION("""COMPUTED_VALUE"""),43964.0)</f>
        <v>43964</v>
      </c>
      <c r="I129" s="199">
        <f>IFERROR(__xludf.DUMMYFUNCTION("""COMPUTED_VALUE"""),0.4777777777777778)</f>
        <v>0.4777777778</v>
      </c>
      <c r="J129" s="200">
        <f>IFERROR(__xludf.DUMMYFUNCTION("""COMPUTED_VALUE"""),84.0)</f>
        <v>84</v>
      </c>
      <c r="K129" s="200">
        <f>IFERROR(__xludf.DUMMYFUNCTION("""COMPUTED_VALUE"""),119.0)</f>
        <v>119</v>
      </c>
      <c r="L129" s="201" t="str">
        <f>IFERROR(__xludf.DUMMYFUNCTION("""COMPUTED_VALUE"""),"First-Person Shooter")</f>
        <v>First-Person Shooter</v>
      </c>
      <c r="M129" s="201"/>
    </row>
    <row r="130">
      <c r="A130" s="190" t="str">
        <f>IFERROR(__xludf.DUMMYFUNCTION("""COMPUTED_VALUE"""),"Day of the Tentacle Remastered")</f>
        <v>Day of the Tentacle Remastered</v>
      </c>
      <c r="B130" s="195" t="str">
        <f>IFERROR(__xludf.DUMMYFUNCTION("""COMPUTED_VALUE"""),"Xbox / PC")</f>
        <v>Xbox / PC</v>
      </c>
      <c r="C130" s="196"/>
      <c r="D130" s="196" t="str">
        <f>IFERROR(__xludf.DUMMYFUNCTION("""COMPUTED_VALUE"""),"Active")</f>
        <v>Active</v>
      </c>
      <c r="E130" s="197">
        <f>IFERROR(__xludf.DUMMYFUNCTION("""COMPUTED_VALUE"""),44133.0)</f>
        <v>44133</v>
      </c>
      <c r="F130" s="198"/>
      <c r="G130" s="199">
        <f>IFERROR(__xludf.DUMMYFUNCTION("""COMPUTED_VALUE"""),59.53333333333333)</f>
        <v>59.53333333</v>
      </c>
      <c r="H130" s="197">
        <f>IFERROR(__xludf.DUMMYFUNCTION("""COMPUTED_VALUE"""),42451.0)</f>
        <v>42451</v>
      </c>
      <c r="I130" s="199">
        <f>IFERROR(__xludf.DUMMYFUNCTION("""COMPUTED_VALUE"""),4.602777777777778)</f>
        <v>4.602777778</v>
      </c>
      <c r="J130" s="200">
        <f>IFERROR(__xludf.DUMMYFUNCTION("""COMPUTED_VALUE"""),84.0)</f>
        <v>84</v>
      </c>
      <c r="K130" s="200">
        <f>IFERROR(__xludf.DUMMYFUNCTION("""COMPUTED_VALUE"""),4.5)</f>
        <v>4.5</v>
      </c>
      <c r="L130" s="201" t="str">
        <f>IFERROR(__xludf.DUMMYFUNCTION("""COMPUTED_VALUE"""),"Adventure")</f>
        <v>Adventure</v>
      </c>
      <c r="M130" s="201"/>
    </row>
    <row r="131">
      <c r="A131" s="190" t="str">
        <f>IFERROR(__xludf.DUMMYFUNCTION("""COMPUTED_VALUE"""),"Frostpunk")</f>
        <v>Frostpunk</v>
      </c>
      <c r="B131" s="195" t="str">
        <f>IFERROR(__xludf.DUMMYFUNCTION("""COMPUTED_VALUE"""),"Xbox / PC")</f>
        <v>Xbox / PC</v>
      </c>
      <c r="C131" s="196" t="str">
        <f>IFERROR(__xludf.DUMMYFUNCTION("""COMPUTED_VALUE"""),"Touch Controls")</f>
        <v>Touch Controls</v>
      </c>
      <c r="D131" s="196" t="str">
        <f>IFERROR(__xludf.DUMMYFUNCTION("""COMPUTED_VALUE"""),"Active")</f>
        <v>Active</v>
      </c>
      <c r="E131" s="197">
        <f>IFERROR(__xludf.DUMMYFUNCTION("""COMPUTED_VALUE"""),43839.0)</f>
        <v>43839</v>
      </c>
      <c r="F131" s="198"/>
      <c r="G131" s="199">
        <f>IFERROR(__xludf.DUMMYFUNCTION("""COMPUTED_VALUE"""),69.2)</f>
        <v>69.2</v>
      </c>
      <c r="H131" s="197">
        <f>IFERROR(__xludf.DUMMYFUNCTION("""COMPUTED_VALUE"""),43214.0)</f>
        <v>43214</v>
      </c>
      <c r="I131" s="199">
        <f>IFERROR(__xludf.DUMMYFUNCTION("""COMPUTED_VALUE"""),1.7083333333333333)</f>
        <v>1.708333333</v>
      </c>
      <c r="J131" s="200">
        <f>IFERROR(__xludf.DUMMYFUNCTION("""COMPUTED_VALUE"""),84.0)</f>
        <v>84</v>
      </c>
      <c r="K131" s="200">
        <f>IFERROR(__xludf.DUMMYFUNCTION("""COMPUTED_VALUE"""),10.0)</f>
        <v>10</v>
      </c>
      <c r="L131" s="201" t="str">
        <f>IFERROR(__xludf.DUMMYFUNCTION("""COMPUTED_VALUE"""),"Simulation")</f>
        <v>Simulation</v>
      </c>
      <c r="M131" s="201"/>
    </row>
    <row r="132">
      <c r="A132" s="190" t="str">
        <f>IFERROR(__xludf.DUMMYFUNCTION("""COMPUTED_VALUE"""),"Age of Empires II: Definitive Edition")</f>
        <v>Age of Empires II: Definitive Edition</v>
      </c>
      <c r="B132" s="195" t="str">
        <f>IFERROR(__xludf.DUMMYFUNCTION("""COMPUTED_VALUE"""),"Xbox / PC")</f>
        <v>Xbox / PC</v>
      </c>
      <c r="C132" s="196"/>
      <c r="D132" s="196" t="str">
        <f>IFERROR(__xludf.DUMMYFUNCTION("""COMPUTED_VALUE"""),"Active")</f>
        <v>Active</v>
      </c>
      <c r="E132" s="197">
        <f>IFERROR(__xludf.DUMMYFUNCTION("""COMPUTED_VALUE"""),43783.0)</f>
        <v>43783</v>
      </c>
      <c r="F132" s="198"/>
      <c r="G132" s="199">
        <f>IFERROR(__xludf.DUMMYFUNCTION("""COMPUTED_VALUE"""),71.03333333333333)</f>
        <v>71.03333333</v>
      </c>
      <c r="H132" s="197">
        <f>IFERROR(__xludf.DUMMYFUNCTION("""COMPUTED_VALUE"""),43783.0)</f>
        <v>43783</v>
      </c>
      <c r="I132" s="199">
        <f>IFERROR(__xludf.DUMMYFUNCTION("""COMPUTED_VALUE"""),0.0)</f>
        <v>0</v>
      </c>
      <c r="J132" s="200">
        <f>IFERROR(__xludf.DUMMYFUNCTION("""COMPUTED_VALUE"""),84.0)</f>
        <v>84</v>
      </c>
      <c r="K132" s="200">
        <f>IFERROR(__xludf.DUMMYFUNCTION("""COMPUTED_VALUE"""),35.5)</f>
        <v>35.5</v>
      </c>
      <c r="L132" s="201" t="str">
        <f>IFERROR(__xludf.DUMMYFUNCTION("""COMPUTED_VALUE"""),"Strategy")</f>
        <v>Strategy</v>
      </c>
      <c r="M132" s="201"/>
    </row>
    <row r="133">
      <c r="A133" s="190" t="str">
        <f>IFERROR(__xludf.DUMMYFUNCTION("""COMPUTED_VALUE"""),"Fallout: New Vegas - Ultimate Edition")</f>
        <v>Fallout: New Vegas - Ultimate Edition</v>
      </c>
      <c r="B133" s="195" t="str">
        <f>IFERROR(__xludf.DUMMYFUNCTION("""COMPUTED_VALUE"""),"Xbox / PC")</f>
        <v>Xbox / PC</v>
      </c>
      <c r="C133" s="196" t="str">
        <f>IFERROR(__xludf.DUMMYFUNCTION("""COMPUTED_VALUE"""),"Yes")</f>
        <v>Yes</v>
      </c>
      <c r="D133" s="196" t="str">
        <f>IFERROR(__xludf.DUMMYFUNCTION("""COMPUTED_VALUE"""),"Active")</f>
        <v>Active</v>
      </c>
      <c r="E133" s="197">
        <f>IFERROR(__xludf.DUMMYFUNCTION("""COMPUTED_VALUE"""),43755.0)</f>
        <v>43755</v>
      </c>
      <c r="F133" s="198"/>
      <c r="G133" s="199">
        <f>IFERROR(__xludf.DUMMYFUNCTION("""COMPUTED_VALUE"""),71.93333333333334)</f>
        <v>71.93333333</v>
      </c>
      <c r="H133" s="197">
        <f>IFERROR(__xludf.DUMMYFUNCTION("""COMPUTED_VALUE"""),40470.0)</f>
        <v>40470</v>
      </c>
      <c r="I133" s="199">
        <f>IFERROR(__xludf.DUMMYFUNCTION("""COMPUTED_VALUE"""),8.994444444444444)</f>
        <v>8.994444444</v>
      </c>
      <c r="J133" s="200">
        <f>IFERROR(__xludf.DUMMYFUNCTION("""COMPUTED_VALUE"""),84.0)</f>
        <v>84</v>
      </c>
      <c r="K133" s="200">
        <f>IFERROR(__xludf.DUMMYFUNCTION("""COMPUTED_VALUE"""),27.5)</f>
        <v>27.5</v>
      </c>
      <c r="L133" s="201" t="str">
        <f>IFERROR(__xludf.DUMMYFUNCTION("""COMPUTED_VALUE"""),"RPG / First-Person Shooter")</f>
        <v>RPG / First-Person Shooter</v>
      </c>
      <c r="M133" s="201" t="str">
        <f>IFERROR(__xludf.DUMMYFUNCTION("""COMPUTED_VALUE"""),"FPS Boost")</f>
        <v>FPS Boost</v>
      </c>
    </row>
    <row r="134">
      <c r="A134" s="190" t="str">
        <f>IFERROR(__xludf.DUMMYFUNCTION("""COMPUTED_VALUE"""),"Rare Replay")</f>
        <v>Rare Replay</v>
      </c>
      <c r="B134" s="195" t="str">
        <f>IFERROR(__xludf.DUMMYFUNCTION("""COMPUTED_VALUE"""),"Xbox")</f>
        <v>Xbox</v>
      </c>
      <c r="C134" s="196"/>
      <c r="D134" s="196" t="str">
        <f>IFERROR(__xludf.DUMMYFUNCTION("""COMPUTED_VALUE"""),"Active")</f>
        <v>Active</v>
      </c>
      <c r="E134" s="197">
        <f>IFERROR(__xludf.DUMMYFUNCTION("""COMPUTED_VALUE"""),43636.0)</f>
        <v>43636</v>
      </c>
      <c r="F134" s="198"/>
      <c r="G134" s="199">
        <f>IFERROR(__xludf.DUMMYFUNCTION("""COMPUTED_VALUE"""),75.83333333333334)</f>
        <v>75.83333333</v>
      </c>
      <c r="H134" s="197">
        <f>IFERROR(__xludf.DUMMYFUNCTION("""COMPUTED_VALUE"""),42220.0)</f>
        <v>42220</v>
      </c>
      <c r="I134" s="199">
        <f>IFERROR(__xludf.DUMMYFUNCTION("""COMPUTED_VALUE"""),3.8777777777777778)</f>
        <v>3.877777778</v>
      </c>
      <c r="J134" s="200">
        <f>IFERROR(__xludf.DUMMYFUNCTION("""COMPUTED_VALUE"""),84.0)</f>
        <v>84</v>
      </c>
      <c r="K134" s="200">
        <f>IFERROR(__xludf.DUMMYFUNCTION("""COMPUTED_VALUE"""),44.0)</f>
        <v>44</v>
      </c>
      <c r="L134" s="201" t="str">
        <f>IFERROR(__xludf.DUMMYFUNCTION("""COMPUTED_VALUE"""),"Compilation")</f>
        <v>Compilation</v>
      </c>
      <c r="M134" s="201"/>
    </row>
    <row r="135">
      <c r="A135" s="190" t="str">
        <f>IFERROR(__xludf.DUMMYFUNCTION("""COMPUTED_VALUE"""),"Moonlighter")</f>
        <v>Moonlighter</v>
      </c>
      <c r="B135" s="195" t="str">
        <f>IFERROR(__xludf.DUMMYFUNCTION("""COMPUTED_VALUE"""),"Xbox / PC")</f>
        <v>Xbox / PC</v>
      </c>
      <c r="C135" s="196" t="str">
        <f>IFERROR(__xludf.DUMMYFUNCTION("""COMPUTED_VALUE"""),"Yes")</f>
        <v>Yes</v>
      </c>
      <c r="D135" s="196" t="str">
        <f>IFERROR(__xludf.DUMMYFUNCTION("""COMPUTED_VALUE"""),"Active")</f>
        <v>Active</v>
      </c>
      <c r="E135" s="197">
        <f>IFERROR(__xludf.DUMMYFUNCTION("""COMPUTED_VALUE"""),43625.0)</f>
        <v>43625</v>
      </c>
      <c r="F135" s="198"/>
      <c r="G135" s="199">
        <f>IFERROR(__xludf.DUMMYFUNCTION("""COMPUTED_VALUE"""),76.19999999999999)</f>
        <v>76.2</v>
      </c>
      <c r="H135" s="197">
        <f>IFERROR(__xludf.DUMMYFUNCTION("""COMPUTED_VALUE"""),43249.0)</f>
        <v>43249</v>
      </c>
      <c r="I135" s="199">
        <f>IFERROR(__xludf.DUMMYFUNCTION("""COMPUTED_VALUE"""),1.0277777777777777)</f>
        <v>1.027777778</v>
      </c>
      <c r="J135" s="200">
        <f>IFERROR(__xludf.DUMMYFUNCTION("""COMPUTED_VALUE"""),84.0)</f>
        <v>84</v>
      </c>
      <c r="K135" s="200">
        <f>IFERROR(__xludf.DUMMYFUNCTION("""COMPUTED_VALUE"""),14.0)</f>
        <v>14</v>
      </c>
      <c r="L135" s="201" t="str">
        <f>IFERROR(__xludf.DUMMYFUNCTION("""COMPUTED_VALUE"""),"Action / RPG")</f>
        <v>Action / RPG</v>
      </c>
      <c r="M135" s="201"/>
    </row>
    <row r="136">
      <c r="A136" s="190" t="str">
        <f>IFERROR(__xludf.DUMMYFUNCTION("""COMPUTED_VALUE"""),"Gears of War 4")</f>
        <v>Gears of War 4</v>
      </c>
      <c r="B136" s="195" t="str">
        <f>IFERROR(__xludf.DUMMYFUNCTION("""COMPUTED_VALUE"""),"Xbox / PC")</f>
        <v>Xbox / PC</v>
      </c>
      <c r="C136" s="196" t="str">
        <f>IFERROR(__xludf.DUMMYFUNCTION("""COMPUTED_VALUE"""),"Yes")</f>
        <v>Yes</v>
      </c>
      <c r="D136" s="196" t="str">
        <f>IFERROR(__xludf.DUMMYFUNCTION("""COMPUTED_VALUE"""),"Active")</f>
        <v>Active</v>
      </c>
      <c r="E136" s="197">
        <f>IFERROR(__xludf.DUMMYFUNCTION("""COMPUTED_VALUE"""),43070.0)</f>
        <v>43070</v>
      </c>
      <c r="F136" s="198"/>
      <c r="G136" s="199">
        <f>IFERROR(__xludf.DUMMYFUNCTION("""COMPUTED_VALUE"""),94.46666666666667)</f>
        <v>94.46666667</v>
      </c>
      <c r="H136" s="197">
        <f>IFERROR(__xludf.DUMMYFUNCTION("""COMPUTED_VALUE"""),42650.0)</f>
        <v>42650</v>
      </c>
      <c r="I136" s="199">
        <f>IFERROR(__xludf.DUMMYFUNCTION("""COMPUTED_VALUE"""),1.15)</f>
        <v>1.15</v>
      </c>
      <c r="J136" s="200">
        <f>IFERROR(__xludf.DUMMYFUNCTION("""COMPUTED_VALUE"""),84.0)</f>
        <v>84</v>
      </c>
      <c r="K136" s="200">
        <f>IFERROR(__xludf.DUMMYFUNCTION("""COMPUTED_VALUE"""),9.0)</f>
        <v>9</v>
      </c>
      <c r="L136" s="201" t="str">
        <f>IFERROR(__xludf.DUMMYFUNCTION("""COMPUTED_VALUE"""),"Shooter")</f>
        <v>Shooter</v>
      </c>
      <c r="M136" s="201" t="str">
        <f>IFERROR(__xludf.DUMMYFUNCTION("""COMPUTED_VALUE"""),"FPS Boost")</f>
        <v>FPS Boost</v>
      </c>
    </row>
    <row r="137">
      <c r="A137" s="190" t="str">
        <f>IFERROR(__xludf.DUMMYFUNCTION("""COMPUTED_VALUE"""),"Halo 5: Guardians")</f>
        <v>Halo 5: Guardians</v>
      </c>
      <c r="B137" s="195" t="str">
        <f>IFERROR(__xludf.DUMMYFUNCTION("""COMPUTED_VALUE"""),"Xbox")</f>
        <v>Xbox</v>
      </c>
      <c r="C137" s="196" t="str">
        <f>IFERROR(__xludf.DUMMYFUNCTION("""COMPUTED_VALUE"""),"Yes")</f>
        <v>Yes</v>
      </c>
      <c r="D137" s="196" t="str">
        <f>IFERROR(__xludf.DUMMYFUNCTION("""COMPUTED_VALUE"""),"Active")</f>
        <v>Active</v>
      </c>
      <c r="E137" s="197">
        <f>IFERROR(__xludf.DUMMYFUNCTION("""COMPUTED_VALUE"""),42887.0)</f>
        <v>42887</v>
      </c>
      <c r="F137" s="198"/>
      <c r="G137" s="199">
        <f>IFERROR(__xludf.DUMMYFUNCTION("""COMPUTED_VALUE"""),100.46666666666667)</f>
        <v>100.4666667</v>
      </c>
      <c r="H137" s="197">
        <f>IFERROR(__xludf.DUMMYFUNCTION("""COMPUTED_VALUE"""),42304.0)</f>
        <v>42304</v>
      </c>
      <c r="I137" s="199">
        <f>IFERROR(__xludf.DUMMYFUNCTION("""COMPUTED_VALUE"""),1.5944444444444446)</f>
        <v>1.594444444</v>
      </c>
      <c r="J137" s="200">
        <f>IFERROR(__xludf.DUMMYFUNCTION("""COMPUTED_VALUE"""),84.0)</f>
        <v>84</v>
      </c>
      <c r="K137" s="200">
        <f>IFERROR(__xludf.DUMMYFUNCTION("""COMPUTED_VALUE"""),8.0)</f>
        <v>8</v>
      </c>
      <c r="L137" s="201" t="str">
        <f>IFERROR(__xludf.DUMMYFUNCTION("""COMPUTED_VALUE"""),"First-Person Shooter")</f>
        <v>First-Person Shooter</v>
      </c>
      <c r="M137" s="201"/>
    </row>
    <row r="138">
      <c r="A138" s="190" t="str">
        <f>IFERROR(__xludf.DUMMYFUNCTION("""COMPUTED_VALUE"""),"Terraria")</f>
        <v>Terraria</v>
      </c>
      <c r="B138" s="195" t="str">
        <f>IFERROR(__xludf.DUMMYFUNCTION("""COMPUTED_VALUE"""),"Xbox")</f>
        <v>Xbox</v>
      </c>
      <c r="C138" s="196" t="str">
        <f>IFERROR(__xludf.DUMMYFUNCTION("""COMPUTED_VALUE"""),"M+KB")</f>
        <v>M+KB</v>
      </c>
      <c r="D138" s="196" t="str">
        <f>IFERROR(__xludf.DUMMYFUNCTION("""COMPUTED_VALUE"""),"Active")</f>
        <v>Active</v>
      </c>
      <c r="E138" s="197">
        <f>IFERROR(__xludf.DUMMYFUNCTION("""COMPUTED_VALUE"""),42887.0)</f>
        <v>42887</v>
      </c>
      <c r="F138" s="198"/>
      <c r="G138" s="199">
        <f>IFERROR(__xludf.DUMMYFUNCTION("""COMPUTED_VALUE"""),100.46666666666667)</f>
        <v>100.4666667</v>
      </c>
      <c r="H138" s="197">
        <f>IFERROR(__xludf.DUMMYFUNCTION("""COMPUTED_VALUE"""),40679.0)</f>
        <v>40679</v>
      </c>
      <c r="I138" s="199">
        <f>IFERROR(__xludf.DUMMYFUNCTION("""COMPUTED_VALUE"""),6.041666666666667)</f>
        <v>6.041666667</v>
      </c>
      <c r="J138" s="200">
        <f>IFERROR(__xludf.DUMMYFUNCTION("""COMPUTED_VALUE"""),84.0)</f>
        <v>84</v>
      </c>
      <c r="K138" s="200">
        <f>IFERROR(__xludf.DUMMYFUNCTION("""COMPUTED_VALUE"""),94.0)</f>
        <v>94</v>
      </c>
      <c r="L138" s="201" t="str">
        <f>IFERROR(__xludf.DUMMYFUNCTION("""COMPUTED_VALUE"""),"Platformer / Action-Adventure")</f>
        <v>Platformer / Action-Adventure</v>
      </c>
      <c r="M138" s="201"/>
    </row>
    <row r="139">
      <c r="A139" s="190" t="str">
        <f>IFERROR(__xludf.DUMMYFUNCTION("""COMPUTED_VALUE"""),"Viva Piñata")</f>
        <v>Viva Piñata</v>
      </c>
      <c r="B139" s="195" t="str">
        <f>IFERROR(__xludf.DUMMYFUNCTION("""COMPUTED_VALUE"""),"Xbox")</f>
        <v>Xbox</v>
      </c>
      <c r="C139" s="196" t="str">
        <f>IFERROR(__xludf.DUMMYFUNCTION("""COMPUTED_VALUE"""),"Touch Controls")</f>
        <v>Touch Controls</v>
      </c>
      <c r="D139" s="196" t="str">
        <f>IFERROR(__xludf.DUMMYFUNCTION("""COMPUTED_VALUE"""),"Active")</f>
        <v>Active</v>
      </c>
      <c r="E139" s="197">
        <f>IFERROR(__xludf.DUMMYFUNCTION("""COMPUTED_VALUE"""),42887.0)</f>
        <v>42887</v>
      </c>
      <c r="F139" s="198"/>
      <c r="G139" s="199">
        <f>IFERROR(__xludf.DUMMYFUNCTION("""COMPUTED_VALUE"""),100.46666666666667)</f>
        <v>100.4666667</v>
      </c>
      <c r="H139" s="197">
        <f>IFERROR(__xludf.DUMMYFUNCTION("""COMPUTED_VALUE"""),39030.0)</f>
        <v>39030</v>
      </c>
      <c r="I139" s="199">
        <f>IFERROR(__xludf.DUMMYFUNCTION("""COMPUTED_VALUE"""),10.561111111111112)</f>
        <v>10.56111111</v>
      </c>
      <c r="J139" s="200">
        <f>IFERROR(__xludf.DUMMYFUNCTION("""COMPUTED_VALUE"""),84.0)</f>
        <v>84</v>
      </c>
      <c r="K139" s="200">
        <f>IFERROR(__xludf.DUMMYFUNCTION("""COMPUTED_VALUE"""),19.0)</f>
        <v>19</v>
      </c>
      <c r="L139" s="201" t="str">
        <f>IFERROR(__xludf.DUMMYFUNCTION("""COMPUTED_VALUE"""),"Strategy / Simulation")</f>
        <v>Strategy / Simulation</v>
      </c>
      <c r="M139" s="201"/>
    </row>
    <row r="140">
      <c r="A140" s="190" t="str">
        <f>IFERROR(__xludf.DUMMYFUNCTION("""COMPUTED_VALUE"""),"Tunic")</f>
        <v>Tunic</v>
      </c>
      <c r="B140" s="195" t="str">
        <f>IFERROR(__xludf.DUMMYFUNCTION("""COMPUTED_VALUE"""),"Xbox / PC")</f>
        <v>Xbox / PC</v>
      </c>
      <c r="C140" s="196" t="str">
        <f>IFERROR(__xludf.DUMMYFUNCTION("""COMPUTED_VALUE"""),"Yes")</f>
        <v>Yes</v>
      </c>
      <c r="D140" s="196" t="str">
        <f>IFERROR(__xludf.DUMMYFUNCTION("""COMPUTED_VALUE"""),"Active")</f>
        <v>Active</v>
      </c>
      <c r="E140" s="197">
        <f>IFERROR(__xludf.DUMMYFUNCTION("""COMPUTED_VALUE"""),44636.0)</f>
        <v>44636</v>
      </c>
      <c r="F140" s="198"/>
      <c r="G140" s="199">
        <f>IFERROR(__xludf.DUMMYFUNCTION("""COMPUTED_VALUE"""),42.96666666666667)</f>
        <v>42.96666667</v>
      </c>
      <c r="H140" s="197">
        <f>IFERROR(__xludf.DUMMYFUNCTION("""COMPUTED_VALUE"""),44636.0)</f>
        <v>44636</v>
      </c>
      <c r="I140" s="199">
        <f>IFERROR(__xludf.DUMMYFUNCTION("""COMPUTED_VALUE"""),0.0)</f>
        <v>0</v>
      </c>
      <c r="J140" s="200">
        <f>IFERROR(__xludf.DUMMYFUNCTION("""COMPUTED_VALUE"""),83.5)</f>
        <v>83.5</v>
      </c>
      <c r="K140" s="200">
        <f>IFERROR(__xludf.DUMMYFUNCTION("""COMPUTED_VALUE"""),12.0)</f>
        <v>12</v>
      </c>
      <c r="L140" s="201" t="str">
        <f>IFERROR(__xludf.DUMMYFUNCTION("""COMPUTED_VALUE"""),"Action-Adventure")</f>
        <v>Action-Adventure</v>
      </c>
      <c r="M140" s="201"/>
    </row>
    <row r="141">
      <c r="A141" s="190" t="str">
        <f>IFERROR(__xludf.DUMMYFUNCTION("""COMPUTED_VALUE"""),"Halo: Infinite")</f>
        <v>Halo: Infinite</v>
      </c>
      <c r="B141" s="195" t="str">
        <f>IFERROR(__xludf.DUMMYFUNCTION("""COMPUTED_VALUE"""),"Xbox / PC")</f>
        <v>Xbox / PC</v>
      </c>
      <c r="C141" s="196" t="str">
        <f>IFERROR(__xludf.DUMMYFUNCTION("""COMPUTED_VALUE"""),"M+KB")</f>
        <v>M+KB</v>
      </c>
      <c r="D141" s="196" t="str">
        <f>IFERROR(__xludf.DUMMYFUNCTION("""COMPUTED_VALUE"""),"Active")</f>
        <v>Active</v>
      </c>
      <c r="E141" s="197">
        <f>IFERROR(__xludf.DUMMYFUNCTION("""COMPUTED_VALUE"""),44538.0)</f>
        <v>44538</v>
      </c>
      <c r="F141" s="198"/>
      <c r="G141" s="199">
        <f>IFERROR(__xludf.DUMMYFUNCTION("""COMPUTED_VALUE"""),46.233333333333334)</f>
        <v>46.23333333</v>
      </c>
      <c r="H141" s="197">
        <f>IFERROR(__xludf.DUMMYFUNCTION("""COMPUTED_VALUE"""),44538.0)</f>
        <v>44538</v>
      </c>
      <c r="I141" s="199">
        <f>IFERROR(__xludf.DUMMYFUNCTION("""COMPUTED_VALUE"""),0.0)</f>
        <v>0</v>
      </c>
      <c r="J141" s="200">
        <f>IFERROR(__xludf.DUMMYFUNCTION("""COMPUTED_VALUE"""),83.5)</f>
        <v>83.5</v>
      </c>
      <c r="K141" s="200">
        <f>IFERROR(__xludf.DUMMYFUNCTION("""COMPUTED_VALUE"""),10.0)</f>
        <v>10</v>
      </c>
      <c r="L141" s="201" t="str">
        <f>IFERROR(__xludf.DUMMYFUNCTION("""COMPUTED_VALUE"""),"First-Person Shooter")</f>
        <v>First-Person Shooter</v>
      </c>
      <c r="M141" s="201"/>
    </row>
    <row r="142">
      <c r="A142" s="190" t="str">
        <f>IFERROR(__xludf.DUMMYFUNCTION("""COMPUTED_VALUE"""),"Little Rocket Lab")</f>
        <v>Little Rocket Lab</v>
      </c>
      <c r="B142" s="195" t="str">
        <f>IFERROR(__xludf.DUMMYFUNCTION("""COMPUTED_VALUE"""),"Xbox / PC")</f>
        <v>Xbox / PC</v>
      </c>
      <c r="C142" s="196" t="str">
        <f>IFERROR(__xludf.DUMMYFUNCTION("""COMPUTED_VALUE"""),"Yes")</f>
        <v>Yes</v>
      </c>
      <c r="D142" s="196" t="str">
        <f>IFERROR(__xludf.DUMMYFUNCTION("""COMPUTED_VALUE"""),"Active")</f>
        <v>Active</v>
      </c>
      <c r="E142" s="197">
        <f>IFERROR(__xludf.DUMMYFUNCTION("""COMPUTED_VALUE"""),45938.0)</f>
        <v>45938</v>
      </c>
      <c r="F142" s="198"/>
      <c r="G142" s="199">
        <f>IFERROR(__xludf.DUMMYFUNCTION("""COMPUTED_VALUE"""),0.23333333333333334)</f>
        <v>0.2333333333</v>
      </c>
      <c r="H142" s="197">
        <f>IFERROR(__xludf.DUMMYFUNCTION("""COMPUTED_VALUE"""),45937.0)</f>
        <v>45937</v>
      </c>
      <c r="I142" s="199">
        <f>IFERROR(__xludf.DUMMYFUNCTION("""COMPUTED_VALUE"""),0.002777777777777778)</f>
        <v>0.002777777778</v>
      </c>
      <c r="J142" s="200">
        <f>IFERROR(__xludf.DUMMYFUNCTION("""COMPUTED_VALUE"""),83.0)</f>
        <v>83</v>
      </c>
      <c r="K142" s="200"/>
      <c r="L142" s="201" t="str">
        <f>IFERROR(__xludf.DUMMYFUNCTION("""COMPUTED_VALUE"""),"Sandbox")</f>
        <v>Sandbox</v>
      </c>
      <c r="M142" s="201"/>
    </row>
    <row r="143">
      <c r="A143" s="190" t="str">
        <f>IFERROR(__xludf.DUMMYFUNCTION("""COMPUTED_VALUE"""),"Warhammer: Vermintide 2")</f>
        <v>Warhammer: Vermintide 2</v>
      </c>
      <c r="B143" s="195" t="str">
        <f>IFERROR(__xludf.DUMMYFUNCTION("""COMPUTED_VALUE"""),"Xbox")</f>
        <v>Xbox</v>
      </c>
      <c r="C143" s="196" t="str">
        <f>IFERROR(__xludf.DUMMYFUNCTION("""COMPUTED_VALUE"""),"Yes")</f>
        <v>Yes</v>
      </c>
      <c r="D143" s="196" t="str">
        <f>IFERROR(__xludf.DUMMYFUNCTION("""COMPUTED_VALUE"""),"Active")</f>
        <v>Active</v>
      </c>
      <c r="E143" s="197">
        <f>IFERROR(__xludf.DUMMYFUNCTION("""COMPUTED_VALUE"""),45790.0)</f>
        <v>45790</v>
      </c>
      <c r="F143" s="198"/>
      <c r="G143" s="199">
        <f>IFERROR(__xludf.DUMMYFUNCTION("""COMPUTED_VALUE"""),5.066666666666666)</f>
        <v>5.066666667</v>
      </c>
      <c r="H143" s="197">
        <f>IFERROR(__xludf.DUMMYFUNCTION("""COMPUTED_VALUE"""),43167.0)</f>
        <v>43167</v>
      </c>
      <c r="I143" s="199">
        <f>IFERROR(__xludf.DUMMYFUNCTION("""COMPUTED_VALUE"""),7.180555555555555)</f>
        <v>7.180555556</v>
      </c>
      <c r="J143" s="200">
        <f>IFERROR(__xludf.DUMMYFUNCTION("""COMPUTED_VALUE"""),83.0)</f>
        <v>83</v>
      </c>
      <c r="K143" s="200">
        <f>IFERROR(__xludf.DUMMYFUNCTION("""COMPUTED_VALUE"""),20.0)</f>
        <v>20</v>
      </c>
      <c r="L143" s="201" t="str">
        <f>IFERROR(__xludf.DUMMYFUNCTION("""COMPUTED_VALUE"""),"Action / First-Person Shooter")</f>
        <v>Action / First-Person Shooter</v>
      </c>
      <c r="M143" s="201" t="str">
        <f>IFERROR(__xludf.DUMMYFUNCTION("""COMPUTED_VALUE"""),"Optimized")</f>
        <v>Optimized</v>
      </c>
    </row>
    <row r="144">
      <c r="A144" s="190" t="str">
        <f>IFERROR(__xludf.DUMMYFUNCTION("""COMPUTED_VALUE"""),"EA Sports College Football 25")</f>
        <v>EA Sports College Football 25</v>
      </c>
      <c r="B144" s="195" t="str">
        <f>IFERROR(__xludf.DUMMYFUNCTION("""COMPUTED_VALUE"""),"Xbox")</f>
        <v>Xbox</v>
      </c>
      <c r="C144" s="196" t="str">
        <f>IFERROR(__xludf.DUMMYFUNCTION("""COMPUTED_VALUE"""),"Yes")</f>
        <v>Yes</v>
      </c>
      <c r="D144" s="196" t="str">
        <f>IFERROR(__xludf.DUMMYFUNCTION("""COMPUTED_VALUE"""),"Active")</f>
        <v>Active</v>
      </c>
      <c r="E144" s="197">
        <f>IFERROR(__xludf.DUMMYFUNCTION("""COMPUTED_VALUE"""),45743.0)</f>
        <v>45743</v>
      </c>
      <c r="F144" s="198"/>
      <c r="G144" s="199">
        <f>IFERROR(__xludf.DUMMYFUNCTION("""COMPUTED_VALUE"""),6.6000000000000005)</f>
        <v>6.6</v>
      </c>
      <c r="H144" s="197">
        <f>IFERROR(__xludf.DUMMYFUNCTION("""COMPUTED_VALUE"""),45492.0)</f>
        <v>45492</v>
      </c>
      <c r="I144" s="199">
        <f>IFERROR(__xludf.DUMMYFUNCTION("""COMPUTED_VALUE"""),0.6888888888888889)</f>
        <v>0.6888888889</v>
      </c>
      <c r="J144" s="200">
        <f>IFERROR(__xludf.DUMMYFUNCTION("""COMPUTED_VALUE"""),83.0)</f>
        <v>83</v>
      </c>
      <c r="K144" s="200">
        <f>IFERROR(__xludf.DUMMYFUNCTION("""COMPUTED_VALUE"""),11.0)</f>
        <v>11</v>
      </c>
      <c r="L144" s="201" t="str">
        <f>IFERROR(__xludf.DUMMYFUNCTION("""COMPUTED_VALUE"""),"Sports")</f>
        <v>Sports</v>
      </c>
      <c r="M144" s="201" t="str">
        <f>IFERROR(__xludf.DUMMYFUNCTION("""COMPUTED_VALUE"""),"Exclusive")</f>
        <v>Exclusive</v>
      </c>
    </row>
    <row r="145">
      <c r="A145" s="190" t="str">
        <f>IFERROR(__xludf.DUMMYFUNCTION("""COMPUTED_VALUE"""),"Crash Team Racing: Nitro-Fueled")</f>
        <v>Crash Team Racing: Nitro-Fueled</v>
      </c>
      <c r="B145" s="195" t="str">
        <f>IFERROR(__xludf.DUMMYFUNCTION("""COMPUTED_VALUE"""),"Xbox")</f>
        <v>Xbox</v>
      </c>
      <c r="C145" s="196"/>
      <c r="D145" s="196" t="str">
        <f>IFERROR(__xludf.DUMMYFUNCTION("""COMPUTED_VALUE"""),"Active")</f>
        <v>Active</v>
      </c>
      <c r="E145" s="197">
        <f>IFERROR(__xludf.DUMMYFUNCTION("""COMPUTED_VALUE"""),45630.0)</f>
        <v>45630</v>
      </c>
      <c r="F145" s="198"/>
      <c r="G145" s="199">
        <f>IFERROR(__xludf.DUMMYFUNCTION("""COMPUTED_VALUE"""),10.366666666666667)</f>
        <v>10.36666667</v>
      </c>
      <c r="H145" s="197">
        <f>IFERROR(__xludf.DUMMYFUNCTION("""COMPUTED_VALUE"""),43637.0)</f>
        <v>43637</v>
      </c>
      <c r="I145" s="199">
        <f>IFERROR(__xludf.DUMMYFUNCTION("""COMPUTED_VALUE"""),5.4527777777777775)</f>
        <v>5.452777778</v>
      </c>
      <c r="J145" s="200">
        <f>IFERROR(__xludf.DUMMYFUNCTION("""COMPUTED_VALUE"""),83.0)</f>
        <v>83</v>
      </c>
      <c r="K145" s="200">
        <f>IFERROR(__xludf.DUMMYFUNCTION("""COMPUTED_VALUE"""),6.0)</f>
        <v>6</v>
      </c>
      <c r="L145" s="201" t="str">
        <f>IFERROR(__xludf.DUMMYFUNCTION("""COMPUTED_VALUE"""),"Racing")</f>
        <v>Racing</v>
      </c>
      <c r="M145" s="201"/>
    </row>
    <row r="146">
      <c r="A146" s="190" t="str">
        <f>IFERROR(__xludf.DUMMYFUNCTION("""COMPUTED_VALUE"""),"Nine Sols")</f>
        <v>Nine Sols</v>
      </c>
      <c r="B146" s="195" t="str">
        <f>IFERROR(__xludf.DUMMYFUNCTION("""COMPUTED_VALUE"""),"Xbox / PC")</f>
        <v>Xbox / PC</v>
      </c>
      <c r="C146" s="196" t="str">
        <f>IFERROR(__xludf.DUMMYFUNCTION("""COMPUTED_VALUE"""),"Yes")</f>
        <v>Yes</v>
      </c>
      <c r="D146" s="196" t="str">
        <f>IFERROR(__xludf.DUMMYFUNCTION("""COMPUTED_VALUE"""),"Active")</f>
        <v>Active</v>
      </c>
      <c r="E146" s="197">
        <f>IFERROR(__xludf.DUMMYFUNCTION("""COMPUTED_VALUE"""),45622.0)</f>
        <v>45622</v>
      </c>
      <c r="F146" s="198"/>
      <c r="G146" s="199">
        <f>IFERROR(__xludf.DUMMYFUNCTION("""COMPUTED_VALUE"""),10.633333333333333)</f>
        <v>10.63333333</v>
      </c>
      <c r="H146" s="197">
        <f>IFERROR(__xludf.DUMMYFUNCTION("""COMPUTED_VALUE"""),45440.0)</f>
        <v>45440</v>
      </c>
      <c r="I146" s="199">
        <f>IFERROR(__xludf.DUMMYFUNCTION("""COMPUTED_VALUE"""),0.49444444444444446)</f>
        <v>0.4944444444</v>
      </c>
      <c r="J146" s="200">
        <f>IFERROR(__xludf.DUMMYFUNCTION("""COMPUTED_VALUE"""),83.0)</f>
        <v>83</v>
      </c>
      <c r="K146" s="200">
        <f>IFERROR(__xludf.DUMMYFUNCTION("""COMPUTED_VALUE"""),21.0)</f>
        <v>21</v>
      </c>
      <c r="L146" s="201" t="str">
        <f>IFERROR(__xludf.DUMMYFUNCTION("""COMPUTED_VALUE"""),"Platformer")</f>
        <v>Platformer</v>
      </c>
      <c r="M146" s="201" t="str">
        <f>IFERROR(__xludf.DUMMYFUNCTION("""COMPUTED_VALUE"""),"Exclusive")</f>
        <v>Exclusive</v>
      </c>
    </row>
    <row r="147">
      <c r="A147" s="190" t="str">
        <f>IFERROR(__xludf.DUMMYFUNCTION("""COMPUTED_VALUE"""),"Call of Duty: Black Ops 6")</f>
        <v>Call of Duty: Black Ops 6</v>
      </c>
      <c r="B147" s="195" t="str">
        <f>IFERROR(__xludf.DUMMYFUNCTION("""COMPUTED_VALUE"""),"Xbox / PC")</f>
        <v>Xbox / PC</v>
      </c>
      <c r="C147" s="196" t="str">
        <f>IFERROR(__xludf.DUMMYFUNCTION("""COMPUTED_VALUE"""),"Yes")</f>
        <v>Yes</v>
      </c>
      <c r="D147" s="196" t="str">
        <f>IFERROR(__xludf.DUMMYFUNCTION("""COMPUTED_VALUE"""),"Active")</f>
        <v>Active</v>
      </c>
      <c r="E147" s="197">
        <f>IFERROR(__xludf.DUMMYFUNCTION("""COMPUTED_VALUE"""),45590.0)</f>
        <v>45590</v>
      </c>
      <c r="F147" s="198"/>
      <c r="G147" s="199">
        <f>IFERROR(__xludf.DUMMYFUNCTION("""COMPUTED_VALUE"""),11.666666666666666)</f>
        <v>11.66666667</v>
      </c>
      <c r="H147" s="197">
        <f>IFERROR(__xludf.DUMMYFUNCTION("""COMPUTED_VALUE"""),45590.0)</f>
        <v>45590</v>
      </c>
      <c r="I147" s="199">
        <f>IFERROR(__xludf.DUMMYFUNCTION("""COMPUTED_VALUE"""),0.0)</f>
        <v>0</v>
      </c>
      <c r="J147" s="200">
        <f>IFERROR(__xludf.DUMMYFUNCTION("""COMPUTED_VALUE"""),83.0)</f>
        <v>83</v>
      </c>
      <c r="K147" s="200">
        <f>IFERROR(__xludf.DUMMYFUNCTION("""COMPUTED_VALUE"""),9.0)</f>
        <v>9</v>
      </c>
      <c r="L147" s="201" t="str">
        <f>IFERROR(__xludf.DUMMYFUNCTION("""COMPUTED_VALUE"""),"Shooter")</f>
        <v>Shooter</v>
      </c>
      <c r="M147" s="201"/>
    </row>
    <row r="148">
      <c r="A148" s="190" t="str">
        <f>IFERROR(__xludf.DUMMYFUNCTION("""COMPUTED_VALUE"""),"Octopath Traveler")</f>
        <v>Octopath Traveler</v>
      </c>
      <c r="B148" s="195" t="str">
        <f>IFERROR(__xludf.DUMMYFUNCTION("""COMPUTED_VALUE"""),"Xbox / PC")</f>
        <v>Xbox / PC</v>
      </c>
      <c r="C148" s="196" t="str">
        <f>IFERROR(__xludf.DUMMYFUNCTION("""COMPUTED_VALUE"""),"Touch Controls")</f>
        <v>Touch Controls</v>
      </c>
      <c r="D148" s="196" t="str">
        <f>IFERROR(__xludf.DUMMYFUNCTION("""COMPUTED_VALUE"""),"Active")</f>
        <v>Active</v>
      </c>
      <c r="E148" s="197">
        <f>IFERROR(__xludf.DUMMYFUNCTION("""COMPUTED_VALUE"""),45449.0)</f>
        <v>45449</v>
      </c>
      <c r="F148" s="198"/>
      <c r="G148" s="199">
        <f>IFERROR(__xludf.DUMMYFUNCTION("""COMPUTED_VALUE"""),16.3)</f>
        <v>16.3</v>
      </c>
      <c r="H148" s="197">
        <f>IFERROR(__xludf.DUMMYFUNCTION("""COMPUTED_VALUE"""),43293.0)</f>
        <v>43293</v>
      </c>
      <c r="I148" s="199">
        <f>IFERROR(__xludf.DUMMYFUNCTION("""COMPUTED_VALUE"""),5.9)</f>
        <v>5.9</v>
      </c>
      <c r="J148" s="200">
        <f>IFERROR(__xludf.DUMMYFUNCTION("""COMPUTED_VALUE"""),83.0)</f>
        <v>83</v>
      </c>
      <c r="K148" s="200">
        <f>IFERROR(__xludf.DUMMYFUNCTION("""COMPUTED_VALUE"""),61.0)</f>
        <v>61</v>
      </c>
      <c r="L148" s="201" t="str">
        <f>IFERROR(__xludf.DUMMYFUNCTION("""COMPUTED_VALUE"""),"RPG")</f>
        <v>RPG</v>
      </c>
      <c r="M148" s="201"/>
    </row>
    <row r="149">
      <c r="A149" s="190" t="str">
        <f>IFERROR(__xludf.DUMMYFUNCTION("""COMPUTED_VALUE"""),"Jusant")</f>
        <v>Jusant</v>
      </c>
      <c r="B149" s="195" t="str">
        <f>IFERROR(__xludf.DUMMYFUNCTION("""COMPUTED_VALUE"""),"Xbox / PC")</f>
        <v>Xbox / PC</v>
      </c>
      <c r="C149" s="196" t="str">
        <f>IFERROR(__xludf.DUMMYFUNCTION("""COMPUTED_VALUE"""),"Yes")</f>
        <v>Yes</v>
      </c>
      <c r="D149" s="196" t="str">
        <f>IFERROR(__xludf.DUMMYFUNCTION("""COMPUTED_VALUE"""),"Active")</f>
        <v>Active</v>
      </c>
      <c r="E149" s="197">
        <f>IFERROR(__xludf.DUMMYFUNCTION("""COMPUTED_VALUE"""),45230.0)</f>
        <v>45230</v>
      </c>
      <c r="F149" s="198"/>
      <c r="G149" s="199">
        <f>IFERROR(__xludf.DUMMYFUNCTION("""COMPUTED_VALUE"""),23.5)</f>
        <v>23.5</v>
      </c>
      <c r="H149" s="197">
        <f>IFERROR(__xludf.DUMMYFUNCTION("""COMPUTED_VALUE"""),45230.0)</f>
        <v>45230</v>
      </c>
      <c r="I149" s="199">
        <f>IFERROR(__xludf.DUMMYFUNCTION("""COMPUTED_VALUE"""),0.0)</f>
        <v>0</v>
      </c>
      <c r="J149" s="200">
        <f>IFERROR(__xludf.DUMMYFUNCTION("""COMPUTED_VALUE"""),83.0)</f>
        <v>83</v>
      </c>
      <c r="K149" s="200">
        <f>IFERROR(__xludf.DUMMYFUNCTION("""COMPUTED_VALUE"""),4.0)</f>
        <v>4</v>
      </c>
      <c r="L149" s="201" t="str">
        <f>IFERROR(__xludf.DUMMYFUNCTION("""COMPUTED_VALUE"""),"Adventure")</f>
        <v>Adventure</v>
      </c>
      <c r="M149" s="201"/>
    </row>
    <row r="150">
      <c r="A150" s="190" t="str">
        <f>IFERROR(__xludf.DUMMYFUNCTION("""COMPUTED_VALUE"""),"Firewatch")</f>
        <v>Firewatch</v>
      </c>
      <c r="B150" s="195" t="str">
        <f>IFERROR(__xludf.DUMMYFUNCTION("""COMPUTED_VALUE"""),"Xbox / PC")</f>
        <v>Xbox / PC</v>
      </c>
      <c r="C150" s="196" t="str">
        <f>IFERROR(__xludf.DUMMYFUNCTION("""COMPUTED_VALUE"""),"Touch Controls")</f>
        <v>Touch Controls</v>
      </c>
      <c r="D150" s="196" t="str">
        <f>IFERROR(__xludf.DUMMYFUNCTION("""COMPUTED_VALUE"""),"Active")</f>
        <v>Active</v>
      </c>
      <c r="E150" s="197">
        <f>IFERROR(__xludf.DUMMYFUNCTION("""COMPUTED_VALUE"""),45155.0)</f>
        <v>45155</v>
      </c>
      <c r="F150" s="198"/>
      <c r="G150" s="199">
        <f>IFERROR(__xludf.DUMMYFUNCTION("""COMPUTED_VALUE"""),25.93333333333333)</f>
        <v>25.93333333</v>
      </c>
      <c r="H150" s="197">
        <f>IFERROR(__xludf.DUMMYFUNCTION("""COMPUTED_VALUE"""),42409.0)</f>
        <v>42409</v>
      </c>
      <c r="I150" s="199">
        <f>IFERROR(__xludf.DUMMYFUNCTION("""COMPUTED_VALUE"""),7.522222222222222)</f>
        <v>7.522222222</v>
      </c>
      <c r="J150" s="200">
        <f>IFERROR(__xludf.DUMMYFUNCTION("""COMPUTED_VALUE"""),83.0)</f>
        <v>83</v>
      </c>
      <c r="K150" s="200">
        <f>IFERROR(__xludf.DUMMYFUNCTION("""COMPUTED_VALUE"""),4.0)</f>
        <v>4</v>
      </c>
      <c r="L150" s="201" t="str">
        <f>IFERROR(__xludf.DUMMYFUNCTION("""COMPUTED_VALUE"""),"Adventure")</f>
        <v>Adventure</v>
      </c>
      <c r="M150" s="201"/>
    </row>
    <row r="151">
      <c r="A151" s="190" t="str">
        <f>IFERROR(__xludf.DUMMYFUNCTION("""COMPUTED_VALUE"""),"Halo 3: ODST")</f>
        <v>Halo 3: ODST</v>
      </c>
      <c r="B151" s="195" t="str">
        <f>IFERROR(__xludf.DUMMYFUNCTION("""COMPUTED_VALUE"""),"Xbox / PC")</f>
        <v>Xbox / PC</v>
      </c>
      <c r="C151" s="196" t="str">
        <f>IFERROR(__xludf.DUMMYFUNCTION("""COMPUTED_VALUE"""),"Yes")</f>
        <v>Yes</v>
      </c>
      <c r="D151" s="196" t="str">
        <f>IFERROR(__xludf.DUMMYFUNCTION("""COMPUTED_VALUE"""),"Active")</f>
        <v>Active</v>
      </c>
      <c r="E151" s="197">
        <f>IFERROR(__xludf.DUMMYFUNCTION("""COMPUTED_VALUE"""),44096.0)</f>
        <v>44096</v>
      </c>
      <c r="F151" s="198"/>
      <c r="G151" s="199">
        <f>IFERROR(__xludf.DUMMYFUNCTION("""COMPUTED_VALUE"""),60.766666666666666)</f>
        <v>60.76666667</v>
      </c>
      <c r="H151" s="197">
        <f>IFERROR(__xludf.DUMMYFUNCTION("""COMPUTED_VALUE"""),40078.0)</f>
        <v>40078</v>
      </c>
      <c r="I151" s="199">
        <f>IFERROR(__xludf.DUMMYFUNCTION("""COMPUTED_VALUE"""),11.0)</f>
        <v>11</v>
      </c>
      <c r="J151" s="200">
        <f>IFERROR(__xludf.DUMMYFUNCTION("""COMPUTED_VALUE"""),83.0)</f>
        <v>83</v>
      </c>
      <c r="K151" s="200">
        <f>IFERROR(__xludf.DUMMYFUNCTION("""COMPUTED_VALUE"""),7.0)</f>
        <v>7</v>
      </c>
      <c r="L151" s="201" t="str">
        <f>IFERROR(__xludf.DUMMYFUNCTION("""COMPUTED_VALUE"""),"Action / First-Person Shooter")</f>
        <v>Action / First-Person Shooter</v>
      </c>
      <c r="M151" s="201"/>
    </row>
    <row r="152">
      <c r="A152" s="190" t="str">
        <f>IFERROR(__xludf.DUMMYFUNCTION("""COMPUTED_VALUE"""),"Overcooked! 2")</f>
        <v>Overcooked! 2</v>
      </c>
      <c r="B152" s="195" t="str">
        <f>IFERROR(__xludf.DUMMYFUNCTION("""COMPUTED_VALUE"""),"Xbox / PC")</f>
        <v>Xbox / PC</v>
      </c>
      <c r="C152" s="196" t="str">
        <f>IFERROR(__xludf.DUMMYFUNCTION("""COMPUTED_VALUE"""),"Touch Controls")</f>
        <v>Touch Controls</v>
      </c>
      <c r="D152" s="196" t="str">
        <f>IFERROR(__xludf.DUMMYFUNCTION("""COMPUTED_VALUE"""),"Active")</f>
        <v>Active</v>
      </c>
      <c r="E152" s="197">
        <f>IFERROR(__xludf.DUMMYFUNCTION("""COMPUTED_VALUE"""),43811.0)</f>
        <v>43811</v>
      </c>
      <c r="F152" s="198"/>
      <c r="G152" s="199">
        <f>IFERROR(__xludf.DUMMYFUNCTION("""COMPUTED_VALUE"""),70.1)</f>
        <v>70.1</v>
      </c>
      <c r="H152" s="197">
        <f>IFERROR(__xludf.DUMMYFUNCTION("""COMPUTED_VALUE"""),43319.0)</f>
        <v>43319</v>
      </c>
      <c r="I152" s="199">
        <f>IFERROR(__xludf.DUMMYFUNCTION("""COMPUTED_VALUE"""),1.3472222222222223)</f>
        <v>1.347222222</v>
      </c>
      <c r="J152" s="200">
        <f>IFERROR(__xludf.DUMMYFUNCTION("""COMPUTED_VALUE"""),83.0)</f>
        <v>83</v>
      </c>
      <c r="K152" s="200">
        <f>IFERROR(__xludf.DUMMYFUNCTION("""COMPUTED_VALUE"""),6.5)</f>
        <v>6.5</v>
      </c>
      <c r="L152" s="201" t="str">
        <f>IFERROR(__xludf.DUMMYFUNCTION("""COMPUTED_VALUE"""),"Simulation")</f>
        <v>Simulation</v>
      </c>
      <c r="M152" s="201" t="str">
        <f>IFERROR(__xludf.DUMMYFUNCTION("""COMPUTED_VALUE"""),"FPS Boost")</f>
        <v>FPS Boost</v>
      </c>
    </row>
    <row r="153">
      <c r="A153" s="190" t="str">
        <f>IFERROR(__xludf.DUMMYFUNCTION("""COMPUTED_VALUE"""),"Gears 5: Game of the Year Edition")</f>
        <v>Gears 5: Game of the Year Edition</v>
      </c>
      <c r="B153" s="195" t="str">
        <f>IFERROR(__xludf.DUMMYFUNCTION("""COMPUTED_VALUE"""),"Xbox / PC")</f>
        <v>Xbox / PC</v>
      </c>
      <c r="C153" s="196" t="str">
        <f>IFERROR(__xludf.DUMMYFUNCTION("""COMPUTED_VALUE"""),"Touch Controls")</f>
        <v>Touch Controls</v>
      </c>
      <c r="D153" s="196" t="str">
        <f>IFERROR(__xludf.DUMMYFUNCTION("""COMPUTED_VALUE"""),"Active")</f>
        <v>Active</v>
      </c>
      <c r="E153" s="197">
        <f>IFERROR(__xludf.DUMMYFUNCTION("""COMPUTED_VALUE"""),43718.0)</f>
        <v>43718</v>
      </c>
      <c r="F153" s="198"/>
      <c r="G153" s="199">
        <f>IFERROR(__xludf.DUMMYFUNCTION("""COMPUTED_VALUE"""),73.16666666666667)</f>
        <v>73.16666667</v>
      </c>
      <c r="H153" s="197">
        <f>IFERROR(__xludf.DUMMYFUNCTION("""COMPUTED_VALUE"""),43718.0)</f>
        <v>43718</v>
      </c>
      <c r="I153" s="199">
        <f>IFERROR(__xludf.DUMMYFUNCTION("""COMPUTED_VALUE"""),0.0)</f>
        <v>0</v>
      </c>
      <c r="J153" s="200">
        <f>IFERROR(__xludf.DUMMYFUNCTION("""COMPUTED_VALUE"""),83.0)</f>
        <v>83</v>
      </c>
      <c r="K153" s="200">
        <f>IFERROR(__xludf.DUMMYFUNCTION("""COMPUTED_VALUE"""),10.5)</f>
        <v>10.5</v>
      </c>
      <c r="L153" s="201" t="str">
        <f>IFERROR(__xludf.DUMMYFUNCTION("""COMPUTED_VALUE"""),"Action")</f>
        <v>Action</v>
      </c>
      <c r="M153" s="201" t="str">
        <f>IFERROR(__xludf.DUMMYFUNCTION("""COMPUTED_VALUE"""),"Optimized")</f>
        <v>Optimized</v>
      </c>
    </row>
    <row r="154">
      <c r="A154" s="190" t="str">
        <f>IFERROR(__xludf.DUMMYFUNCTION("""COMPUTED_VALUE"""),"Prey")</f>
        <v>Prey</v>
      </c>
      <c r="B154" s="195" t="str">
        <f>IFERROR(__xludf.DUMMYFUNCTION("""COMPUTED_VALUE"""),"Xbox / PC")</f>
        <v>Xbox / PC</v>
      </c>
      <c r="C154" s="196" t="str">
        <f>IFERROR(__xludf.DUMMYFUNCTION("""COMPUTED_VALUE"""),"Yes")</f>
        <v>Yes</v>
      </c>
      <c r="D154" s="196" t="str">
        <f>IFERROR(__xludf.DUMMYFUNCTION("""COMPUTED_VALUE"""),"Active")</f>
        <v>Active</v>
      </c>
      <c r="E154" s="197">
        <f>IFERROR(__xludf.DUMMYFUNCTION("""COMPUTED_VALUE"""),43566.0)</f>
        <v>43566</v>
      </c>
      <c r="F154" s="198"/>
      <c r="G154" s="199">
        <f>IFERROR(__xludf.DUMMYFUNCTION("""COMPUTED_VALUE"""),78.13333333333333)</f>
        <v>78.13333333</v>
      </c>
      <c r="H154" s="197">
        <f>IFERROR(__xludf.DUMMYFUNCTION("""COMPUTED_VALUE"""),42860.0)</f>
        <v>42860</v>
      </c>
      <c r="I154" s="199">
        <f>IFERROR(__xludf.DUMMYFUNCTION("""COMPUTED_VALUE"""),1.9333333333333333)</f>
        <v>1.933333333</v>
      </c>
      <c r="J154" s="200">
        <f>IFERROR(__xludf.DUMMYFUNCTION("""COMPUTED_VALUE"""),83.0)</f>
        <v>83</v>
      </c>
      <c r="K154" s="200">
        <f>IFERROR(__xludf.DUMMYFUNCTION("""COMPUTED_VALUE"""),16.0)</f>
        <v>16</v>
      </c>
      <c r="L154" s="201" t="str">
        <f>IFERROR(__xludf.DUMMYFUNCTION("""COMPUTED_VALUE"""),"First-Person Shooter / Action-Adventure")</f>
        <v>First-Person Shooter / Action-Adventure</v>
      </c>
      <c r="M154" s="201" t="str">
        <f>IFERROR(__xludf.DUMMYFUNCTION("""COMPUTED_VALUE"""),"FPS Boost")</f>
        <v>FPS Boost</v>
      </c>
    </row>
    <row r="155">
      <c r="A155" s="190" t="str">
        <f>IFERROR(__xludf.DUMMYFUNCTION("""COMPUTED_VALUE"""),"The Walking Dead: Season Two")</f>
        <v>The Walking Dead: Season Two</v>
      </c>
      <c r="B155" s="195" t="str">
        <f>IFERROR(__xludf.DUMMYFUNCTION("""COMPUTED_VALUE"""),"Xbox / PC")</f>
        <v>Xbox / PC</v>
      </c>
      <c r="C155" s="196" t="str">
        <f>IFERROR(__xludf.DUMMYFUNCTION("""COMPUTED_VALUE"""),"Touch Controls")</f>
        <v>Touch Controls</v>
      </c>
      <c r="D155" s="196" t="str">
        <f>IFERROR(__xludf.DUMMYFUNCTION("""COMPUTED_VALUE"""),"Active")</f>
        <v>Active</v>
      </c>
      <c r="E155" s="197">
        <f>IFERROR(__xludf.DUMMYFUNCTION("""COMPUTED_VALUE"""),43524.0)</f>
        <v>43524</v>
      </c>
      <c r="F155" s="198"/>
      <c r="G155" s="199">
        <f>IFERROR(__xludf.DUMMYFUNCTION("""COMPUTED_VALUE"""),79.56666666666666)</f>
        <v>79.56666667</v>
      </c>
      <c r="H155" s="197">
        <f>IFERROR(__xludf.DUMMYFUNCTION("""COMPUTED_VALUE"""),41625.0)</f>
        <v>41625</v>
      </c>
      <c r="I155" s="199">
        <f>IFERROR(__xludf.DUMMYFUNCTION("""COMPUTED_VALUE"""),5.197222222222222)</f>
        <v>5.197222222</v>
      </c>
      <c r="J155" s="200">
        <f>IFERROR(__xludf.DUMMYFUNCTION("""COMPUTED_VALUE"""),83.0)</f>
        <v>83</v>
      </c>
      <c r="K155" s="200">
        <f>IFERROR(__xludf.DUMMYFUNCTION("""COMPUTED_VALUE"""),9.5)</f>
        <v>9.5</v>
      </c>
      <c r="L155" s="201" t="str">
        <f>IFERROR(__xludf.DUMMYFUNCTION("""COMPUTED_VALUE"""),"Adventure")</f>
        <v>Adventure</v>
      </c>
      <c r="M155" s="201"/>
    </row>
    <row r="156">
      <c r="A156" s="190" t="str">
        <f>IFERROR(__xludf.DUMMYFUNCTION("""COMPUTED_VALUE"""),"Cities: Skylines - Remastered")</f>
        <v>Cities: Skylines - Remastered</v>
      </c>
      <c r="B156" s="195" t="str">
        <f>IFERROR(__xludf.DUMMYFUNCTION("""COMPUTED_VALUE"""),"Xbox / PC")</f>
        <v>Xbox / PC</v>
      </c>
      <c r="C156" s="196" t="str">
        <f>IFERROR(__xludf.DUMMYFUNCTION("""COMPUTED_VALUE"""),"M+KB")</f>
        <v>M+KB</v>
      </c>
      <c r="D156" s="196" t="str">
        <f>IFERROR(__xludf.DUMMYFUNCTION("""COMPUTED_VALUE"""),"Active")</f>
        <v>Active</v>
      </c>
      <c r="E156" s="197">
        <f>IFERROR(__xludf.DUMMYFUNCTION("""COMPUTED_VALUE"""),43191.0)</f>
        <v>43191</v>
      </c>
      <c r="F156" s="198"/>
      <c r="G156" s="199">
        <f>IFERROR(__xludf.DUMMYFUNCTION("""COMPUTED_VALUE"""),90.46666666666667)</f>
        <v>90.46666667</v>
      </c>
      <c r="H156" s="197">
        <f>IFERROR(__xludf.DUMMYFUNCTION("""COMPUTED_VALUE"""),42073.0)</f>
        <v>42073</v>
      </c>
      <c r="I156" s="199">
        <f>IFERROR(__xludf.DUMMYFUNCTION("""COMPUTED_VALUE"""),3.058333333333333)</f>
        <v>3.058333333</v>
      </c>
      <c r="J156" s="200">
        <f>IFERROR(__xludf.DUMMYFUNCTION("""COMPUTED_VALUE"""),83.0)</f>
        <v>83</v>
      </c>
      <c r="K156" s="200">
        <f>IFERROR(__xludf.DUMMYFUNCTION("""COMPUTED_VALUE"""),25.5)</f>
        <v>25.5</v>
      </c>
      <c r="L156" s="201" t="str">
        <f>IFERROR(__xludf.DUMMYFUNCTION("""COMPUTED_VALUE"""),"Simulation")</f>
        <v>Simulation</v>
      </c>
      <c r="M156" s="201"/>
    </row>
    <row r="157">
      <c r="A157" s="190" t="str">
        <f>IFERROR(__xludf.DUMMYFUNCTION("""COMPUTED_VALUE"""),"theHunter: Call of the Wild")</f>
        <v>theHunter: Call of the Wild</v>
      </c>
      <c r="B157" s="195" t="str">
        <f>IFERROR(__xludf.DUMMYFUNCTION("""COMPUTED_VALUE"""),"Xbox / PC")</f>
        <v>Xbox / PC</v>
      </c>
      <c r="C157" s="196" t="str">
        <f>IFERROR(__xludf.DUMMYFUNCTION("""COMPUTED_VALUE"""),"Yes")</f>
        <v>Yes</v>
      </c>
      <c r="D157" s="196" t="str">
        <f>IFERROR(__xludf.DUMMYFUNCTION("""COMPUTED_VALUE"""),"Active")</f>
        <v>Active</v>
      </c>
      <c r="E157" s="197">
        <f>IFERROR(__xludf.DUMMYFUNCTION("""COMPUTED_VALUE"""),43191.0)</f>
        <v>43191</v>
      </c>
      <c r="F157" s="198"/>
      <c r="G157" s="199">
        <f>IFERROR(__xludf.DUMMYFUNCTION("""COMPUTED_VALUE"""),90.46666666666667)</f>
        <v>90.46666667</v>
      </c>
      <c r="H157" s="197">
        <f>IFERROR(__xludf.DUMMYFUNCTION("""COMPUTED_VALUE"""),42781.0)</f>
        <v>42781</v>
      </c>
      <c r="I157" s="199">
        <f>IFERROR(__xludf.DUMMYFUNCTION("""COMPUTED_VALUE"""),1.1277777777777778)</f>
        <v>1.127777778</v>
      </c>
      <c r="J157" s="200">
        <f>IFERROR(__xludf.DUMMYFUNCTION("""COMPUTED_VALUE"""),83.0)</f>
        <v>83</v>
      </c>
      <c r="K157" s="200">
        <f>IFERROR(__xludf.DUMMYFUNCTION("""COMPUTED_VALUE"""),20.5)</f>
        <v>20.5</v>
      </c>
      <c r="L157" s="201" t="str">
        <f>IFERROR(__xludf.DUMMYFUNCTION("""COMPUTED_VALUE"""),"Simulation / First-Person Shooter")</f>
        <v>Simulation / First-Person Shooter</v>
      </c>
      <c r="M157" s="201"/>
    </row>
    <row r="158">
      <c r="A158" s="190" t="str">
        <f>IFERROR(__xludf.DUMMYFUNCTION("""COMPUTED_VALUE"""),"Dishonored: Death of the Outsider")</f>
        <v>Dishonored: Death of the Outsider</v>
      </c>
      <c r="B158" s="195" t="str">
        <f>IFERROR(__xludf.DUMMYFUNCTION("""COMPUTED_VALUE"""),"Xbox / PC")</f>
        <v>Xbox / PC</v>
      </c>
      <c r="C158" s="196" t="str">
        <f>IFERROR(__xludf.DUMMYFUNCTION("""COMPUTED_VALUE"""),"Yes")</f>
        <v>Yes</v>
      </c>
      <c r="D158" s="196" t="str">
        <f>IFERROR(__xludf.DUMMYFUNCTION("""COMPUTED_VALUE"""),"Active")</f>
        <v>Active</v>
      </c>
      <c r="E158" s="197">
        <f>IFERROR(__xludf.DUMMYFUNCTION("""COMPUTED_VALUE"""),44360.0)</f>
        <v>44360</v>
      </c>
      <c r="F158" s="198"/>
      <c r="G158" s="199">
        <f>IFERROR(__xludf.DUMMYFUNCTION("""COMPUTED_VALUE"""),52.06666666666666)</f>
        <v>52.06666667</v>
      </c>
      <c r="H158" s="197">
        <f>IFERROR(__xludf.DUMMYFUNCTION("""COMPUTED_VALUE"""),42993.0)</f>
        <v>42993</v>
      </c>
      <c r="I158" s="199">
        <f>IFERROR(__xludf.DUMMYFUNCTION("""COMPUTED_VALUE"""),3.7444444444444445)</f>
        <v>3.744444444</v>
      </c>
      <c r="J158" s="200">
        <f>IFERROR(__xludf.DUMMYFUNCTION("""COMPUTED_VALUE"""),82.5)</f>
        <v>82.5</v>
      </c>
      <c r="K158" s="200">
        <f>IFERROR(__xludf.DUMMYFUNCTION("""COMPUTED_VALUE"""),6.5)</f>
        <v>6.5</v>
      </c>
      <c r="L158" s="201" t="str">
        <f>IFERROR(__xludf.DUMMYFUNCTION("""COMPUTED_VALUE"""),"Action-Adventure")</f>
        <v>Action-Adventure</v>
      </c>
      <c r="M158" s="201" t="str">
        <f>IFERROR(__xludf.DUMMYFUNCTION("""COMPUTED_VALUE"""),"FPS Boost")</f>
        <v>FPS Boost</v>
      </c>
    </row>
    <row r="159">
      <c r="A159" s="190" t="str">
        <f>IFERROR(__xludf.DUMMYFUNCTION("""COMPUTED_VALUE"""),"Child of Light")</f>
        <v>Child of Light</v>
      </c>
      <c r="B159" s="195" t="str">
        <f>IFERROR(__xludf.DUMMYFUNCTION("""COMPUTED_VALUE"""),"Xbox / PC")</f>
        <v>Xbox / PC</v>
      </c>
      <c r="C159" s="196" t="str">
        <f>IFERROR(__xludf.DUMMYFUNCTION("""COMPUTED_VALUE"""),"Yes")</f>
        <v>Yes</v>
      </c>
      <c r="D159" s="196" t="str">
        <f>IFERROR(__xludf.DUMMYFUNCTION("""COMPUTED_VALUE"""),"Active")</f>
        <v>Active</v>
      </c>
      <c r="E159" s="197">
        <f>IFERROR(__xludf.DUMMYFUNCTION("""COMPUTED_VALUE"""),45931.0)</f>
        <v>45931</v>
      </c>
      <c r="F159" s="198"/>
      <c r="G159" s="199">
        <f>IFERROR(__xludf.DUMMYFUNCTION("""COMPUTED_VALUE"""),0.4666666666666667)</f>
        <v>0.4666666667</v>
      </c>
      <c r="H159" s="197">
        <f>IFERROR(__xludf.DUMMYFUNCTION("""COMPUTED_VALUE"""),41758.0)</f>
        <v>41758</v>
      </c>
      <c r="I159" s="199">
        <f>IFERROR(__xludf.DUMMYFUNCTION("""COMPUTED_VALUE"""),11.422222222222222)</f>
        <v>11.42222222</v>
      </c>
      <c r="J159" s="200">
        <f>IFERROR(__xludf.DUMMYFUNCTION("""COMPUTED_VALUE"""),82.0)</f>
        <v>82</v>
      </c>
      <c r="K159" s="200">
        <f>IFERROR(__xludf.DUMMYFUNCTION("""COMPUTED_VALUE"""),11.0)</f>
        <v>11</v>
      </c>
      <c r="L159" s="201" t="str">
        <f>IFERROR(__xludf.DUMMYFUNCTION("""COMPUTED_VALUE"""),"RPG")</f>
        <v>RPG</v>
      </c>
      <c r="M159" s="201"/>
    </row>
    <row r="160">
      <c r="A160" s="190" t="str">
        <f>IFERROR(__xludf.DUMMYFUNCTION("""COMPUTED_VALUE"""),"Dragon Age: The Veilguard")</f>
        <v>Dragon Age: The Veilguard</v>
      </c>
      <c r="B160" s="195" t="str">
        <f>IFERROR(__xludf.DUMMYFUNCTION("""COMPUTED_VALUE"""),"Xbox / PC")</f>
        <v>Xbox / PC</v>
      </c>
      <c r="C160" s="196" t="str">
        <f>IFERROR(__xludf.DUMMYFUNCTION("""COMPUTED_VALUE"""),"Yes")</f>
        <v>Yes</v>
      </c>
      <c r="D160" s="196" t="str">
        <f>IFERROR(__xludf.DUMMYFUNCTION("""COMPUTED_VALUE"""),"Active")</f>
        <v>Active</v>
      </c>
      <c r="E160" s="197">
        <f>IFERROR(__xludf.DUMMYFUNCTION("""COMPUTED_VALUE"""),45897.0)</f>
        <v>45897</v>
      </c>
      <c r="F160" s="198"/>
      <c r="G160" s="199">
        <f>IFERROR(__xludf.DUMMYFUNCTION("""COMPUTED_VALUE"""),1.5666666666666669)</f>
        <v>1.566666667</v>
      </c>
      <c r="H160" s="197">
        <f>IFERROR(__xludf.DUMMYFUNCTION("""COMPUTED_VALUE"""),45596.0)</f>
        <v>45596</v>
      </c>
      <c r="I160" s="199">
        <f>IFERROR(__xludf.DUMMYFUNCTION("""COMPUTED_VALUE"""),0.8277777777777777)</f>
        <v>0.8277777778</v>
      </c>
      <c r="J160" s="200">
        <f>IFERROR(__xludf.DUMMYFUNCTION("""COMPUTED_VALUE"""),82.0)</f>
        <v>82</v>
      </c>
      <c r="K160" s="200">
        <f>IFERROR(__xludf.DUMMYFUNCTION("""COMPUTED_VALUE"""),29.0)</f>
        <v>29</v>
      </c>
      <c r="L160" s="201" t="str">
        <f>IFERROR(__xludf.DUMMYFUNCTION("""COMPUTED_VALUE"""),"RPG")</f>
        <v>RPG</v>
      </c>
      <c r="M160" s="201" t="str">
        <f>IFERROR(__xludf.DUMMYFUNCTION("""COMPUTED_VALUE"""),"Exclusive")</f>
        <v>Exclusive</v>
      </c>
    </row>
    <row r="161">
      <c r="A161" s="190" t="str">
        <f>IFERROR(__xludf.DUMMYFUNCTION("""COMPUTED_VALUE"""),"Heretic + Hexen")</f>
        <v>Heretic + Hexen</v>
      </c>
      <c r="B161" s="195" t="str">
        <f>IFERROR(__xludf.DUMMYFUNCTION("""COMPUTED_VALUE"""),"Xbox / PC")</f>
        <v>Xbox / PC</v>
      </c>
      <c r="C161" s="196" t="str">
        <f>IFERROR(__xludf.DUMMYFUNCTION("""COMPUTED_VALUE"""),"Yes")</f>
        <v>Yes</v>
      </c>
      <c r="D161" s="196" t="str">
        <f>IFERROR(__xludf.DUMMYFUNCTION("""COMPUTED_VALUE"""),"Active")</f>
        <v>Active</v>
      </c>
      <c r="E161" s="197">
        <f>IFERROR(__xludf.DUMMYFUNCTION("""COMPUTED_VALUE"""),45876.0)</f>
        <v>45876</v>
      </c>
      <c r="F161" s="198"/>
      <c r="G161" s="199">
        <f>IFERROR(__xludf.DUMMYFUNCTION("""COMPUTED_VALUE"""),2.2666666666666666)</f>
        <v>2.266666667</v>
      </c>
      <c r="H161" s="197">
        <f>IFERROR(__xludf.DUMMYFUNCTION("""COMPUTED_VALUE"""),45876.0)</f>
        <v>45876</v>
      </c>
      <c r="I161" s="199">
        <f>IFERROR(__xludf.DUMMYFUNCTION("""COMPUTED_VALUE"""),0.0)</f>
        <v>0</v>
      </c>
      <c r="J161" s="200">
        <f>IFERROR(__xludf.DUMMYFUNCTION("""COMPUTED_VALUE"""),82.0)</f>
        <v>82</v>
      </c>
      <c r="K161" s="200">
        <f>IFERROR(__xludf.DUMMYFUNCTION("""COMPUTED_VALUE"""),27.0)</f>
        <v>27</v>
      </c>
      <c r="L161" s="201" t="str">
        <f>IFERROR(__xludf.DUMMYFUNCTION("""COMPUTED_VALUE"""),"Compilation")</f>
        <v>Compilation</v>
      </c>
      <c r="M161" s="201"/>
    </row>
    <row r="162">
      <c r="A162" s="190" t="str">
        <f>IFERROR(__xludf.DUMMYFUNCTION("""COMPUTED_VALUE"""),"Tony Hawk's Pro Skater 3 + 4")</f>
        <v>Tony Hawk's Pro Skater 3 + 4</v>
      </c>
      <c r="B162" s="195" t="str">
        <f>IFERROR(__xludf.DUMMYFUNCTION("""COMPUTED_VALUE"""),"Xbox / PC")</f>
        <v>Xbox / PC</v>
      </c>
      <c r="C162" s="196" t="str">
        <f>IFERROR(__xludf.DUMMYFUNCTION("""COMPUTED_VALUE"""),"Yes")</f>
        <v>Yes</v>
      </c>
      <c r="D162" s="196" t="str">
        <f>IFERROR(__xludf.DUMMYFUNCTION("""COMPUTED_VALUE"""),"Active")</f>
        <v>Active</v>
      </c>
      <c r="E162" s="197">
        <f>IFERROR(__xludf.DUMMYFUNCTION("""COMPUTED_VALUE"""),45849.0)</f>
        <v>45849</v>
      </c>
      <c r="F162" s="198"/>
      <c r="G162" s="199">
        <f>IFERROR(__xludf.DUMMYFUNCTION("""COMPUTED_VALUE"""),3.1333333333333337)</f>
        <v>3.133333333</v>
      </c>
      <c r="H162" s="197">
        <f>IFERROR(__xludf.DUMMYFUNCTION("""COMPUTED_VALUE"""),45849.0)</f>
        <v>45849</v>
      </c>
      <c r="I162" s="199">
        <f>IFERROR(__xludf.DUMMYFUNCTION("""COMPUTED_VALUE"""),0.0)</f>
        <v>0</v>
      </c>
      <c r="J162" s="200">
        <f>IFERROR(__xludf.DUMMYFUNCTION("""COMPUTED_VALUE"""),82.0)</f>
        <v>82</v>
      </c>
      <c r="K162" s="200">
        <f>IFERROR(__xludf.DUMMYFUNCTION("""COMPUTED_VALUE"""),18.0)</f>
        <v>18</v>
      </c>
      <c r="L162" s="201" t="str">
        <f>IFERROR(__xludf.DUMMYFUNCTION("""COMPUTED_VALUE"""),"Skating")</f>
        <v>Skating</v>
      </c>
      <c r="M162" s="201"/>
    </row>
    <row r="163">
      <c r="A163" s="190" t="str">
        <f>IFERROR(__xludf.DUMMYFUNCTION("""COMPUTED_VALUE"""),"Little Nightmares II")</f>
        <v>Little Nightmares II</v>
      </c>
      <c r="B163" s="195" t="str">
        <f>IFERROR(__xludf.DUMMYFUNCTION("""COMPUTED_VALUE"""),"Xbox / PC")</f>
        <v>Xbox / PC</v>
      </c>
      <c r="C163" s="196" t="str">
        <f>IFERROR(__xludf.DUMMYFUNCTION("""COMPUTED_VALUE"""),"Yes")</f>
        <v>Yes</v>
      </c>
      <c r="D163" s="196" t="str">
        <f>IFERROR(__xludf.DUMMYFUNCTION("""COMPUTED_VALUE"""),"Active")</f>
        <v>Active</v>
      </c>
      <c r="E163" s="197">
        <f>IFERROR(__xludf.DUMMYFUNCTION("""COMPUTED_VALUE"""),45839.0)</f>
        <v>45839</v>
      </c>
      <c r="F163" s="198"/>
      <c r="G163" s="199">
        <f>IFERROR(__xludf.DUMMYFUNCTION("""COMPUTED_VALUE"""),3.4666666666666663)</f>
        <v>3.466666667</v>
      </c>
      <c r="H163" s="197">
        <f>IFERROR(__xludf.DUMMYFUNCTION("""COMPUTED_VALUE"""),44238.0)</f>
        <v>44238</v>
      </c>
      <c r="I163" s="199">
        <f>IFERROR(__xludf.DUMMYFUNCTION("""COMPUTED_VALUE"""),4.388888888888889)</f>
        <v>4.388888889</v>
      </c>
      <c r="J163" s="200">
        <f>IFERROR(__xludf.DUMMYFUNCTION("""COMPUTED_VALUE"""),82.0)</f>
        <v>82</v>
      </c>
      <c r="K163" s="200">
        <f>IFERROR(__xludf.DUMMYFUNCTION("""COMPUTED_VALUE"""),6.0)</f>
        <v>6</v>
      </c>
      <c r="L163" s="201" t="str">
        <f>IFERROR(__xludf.DUMMYFUNCTION("""COMPUTED_VALUE"""),"Action-Adventure")</f>
        <v>Action-Adventure</v>
      </c>
      <c r="M163" s="201"/>
    </row>
    <row r="164">
      <c r="A164" s="190" t="str">
        <f>IFERROR(__xludf.DUMMYFUNCTION("""COMPUTED_VALUE"""),"Crypt Custodian")</f>
        <v>Crypt Custodian</v>
      </c>
      <c r="B164" s="195" t="str">
        <f>IFERROR(__xludf.DUMMYFUNCTION("""COMPUTED_VALUE"""),"Xbox / PC")</f>
        <v>Xbox / PC</v>
      </c>
      <c r="C164" s="196" t="str">
        <f>IFERROR(__xludf.DUMMYFUNCTION("""COMPUTED_VALUE"""),"Yes")</f>
        <v>Yes</v>
      </c>
      <c r="D164" s="196" t="str">
        <f>IFERROR(__xludf.DUMMYFUNCTION("""COMPUTED_VALUE"""),"Active")</f>
        <v>Active</v>
      </c>
      <c r="E164" s="197">
        <f>IFERROR(__xludf.DUMMYFUNCTION("""COMPUTED_VALUE"""),45811.0)</f>
        <v>45811</v>
      </c>
      <c r="F164" s="198"/>
      <c r="G164" s="199">
        <f>IFERROR(__xludf.DUMMYFUNCTION("""COMPUTED_VALUE"""),4.3999999999999995)</f>
        <v>4.4</v>
      </c>
      <c r="H164" s="197">
        <f>IFERROR(__xludf.DUMMYFUNCTION("""COMPUTED_VALUE"""),45531.0)</f>
        <v>45531</v>
      </c>
      <c r="I164" s="199">
        <f>IFERROR(__xludf.DUMMYFUNCTION("""COMPUTED_VALUE"""),0.7666666666666667)</f>
        <v>0.7666666667</v>
      </c>
      <c r="J164" s="200">
        <f>IFERROR(__xludf.DUMMYFUNCTION("""COMPUTED_VALUE"""),82.0)</f>
        <v>82</v>
      </c>
      <c r="K164" s="200">
        <f>IFERROR(__xludf.DUMMYFUNCTION("""COMPUTED_VALUE"""),10.0)</f>
        <v>10</v>
      </c>
      <c r="L164" s="201" t="str">
        <f>IFERROR(__xludf.DUMMYFUNCTION("""COMPUTED_VALUE"""),"Action-Adventure")</f>
        <v>Action-Adventure</v>
      </c>
      <c r="M164" s="201"/>
    </row>
    <row r="165">
      <c r="A165" s="190" t="str">
        <f>IFERROR(__xludf.DUMMYFUNCTION("""COMPUTED_VALUE"""),"Tom Clancy's The Division 2")</f>
        <v>Tom Clancy's The Division 2</v>
      </c>
      <c r="B165" s="195" t="str">
        <f>IFERROR(__xludf.DUMMYFUNCTION("""COMPUTED_VALUE"""),"Xbox / PC")</f>
        <v>Xbox / PC</v>
      </c>
      <c r="C165" s="196" t="str">
        <f>IFERROR(__xludf.DUMMYFUNCTION("""COMPUTED_VALUE"""),"Yes")</f>
        <v>Yes</v>
      </c>
      <c r="D165" s="196" t="str">
        <f>IFERROR(__xludf.DUMMYFUNCTION("""COMPUTED_VALUE"""),"Active")</f>
        <v>Active</v>
      </c>
      <c r="E165" s="197">
        <f>IFERROR(__xludf.DUMMYFUNCTION("""COMPUTED_VALUE"""),45804.0)</f>
        <v>45804</v>
      </c>
      <c r="F165" s="198"/>
      <c r="G165" s="199">
        <f>IFERROR(__xludf.DUMMYFUNCTION("""COMPUTED_VALUE"""),4.6000000000000005)</f>
        <v>4.6</v>
      </c>
      <c r="H165" s="197">
        <f>IFERROR(__xludf.DUMMYFUNCTION("""COMPUTED_VALUE"""),43536.0)</f>
        <v>43536</v>
      </c>
      <c r="I165" s="199">
        <f>IFERROR(__xludf.DUMMYFUNCTION("""COMPUTED_VALUE"""),6.208333333333333)</f>
        <v>6.208333333</v>
      </c>
      <c r="J165" s="200">
        <f>IFERROR(__xludf.DUMMYFUNCTION("""COMPUTED_VALUE"""),82.0)</f>
        <v>82</v>
      </c>
      <c r="K165" s="200">
        <f>IFERROR(__xludf.DUMMYFUNCTION("""COMPUTED_VALUE"""),26.0)</f>
        <v>26</v>
      </c>
      <c r="L165" s="201" t="str">
        <f>IFERROR(__xludf.DUMMYFUNCTION("""COMPUTED_VALUE"""),"Shooter")</f>
        <v>Shooter</v>
      </c>
      <c r="M165" s="201"/>
    </row>
    <row r="166">
      <c r="A166" s="190" t="str">
        <f>IFERROR(__xludf.DUMMYFUNCTION("""COMPUTED_VALUE"""),"The Elder Scrolls IV: Oblivion - Remastered")</f>
        <v>The Elder Scrolls IV: Oblivion - Remastered</v>
      </c>
      <c r="B166" s="195" t="str">
        <f>IFERROR(__xludf.DUMMYFUNCTION("""COMPUTED_VALUE"""),"Xbox / PC")</f>
        <v>Xbox / PC</v>
      </c>
      <c r="C166" s="196" t="str">
        <f>IFERROR(__xludf.DUMMYFUNCTION("""COMPUTED_VALUE"""),"Yes")</f>
        <v>Yes</v>
      </c>
      <c r="D166" s="196" t="str">
        <f>IFERROR(__xludf.DUMMYFUNCTION("""COMPUTED_VALUE"""),"Active")</f>
        <v>Active</v>
      </c>
      <c r="E166" s="197">
        <f>IFERROR(__xludf.DUMMYFUNCTION("""COMPUTED_VALUE"""),45769.0)</f>
        <v>45769</v>
      </c>
      <c r="F166" s="198"/>
      <c r="G166" s="199">
        <f>IFERROR(__xludf.DUMMYFUNCTION("""COMPUTED_VALUE"""),5.766666666666667)</f>
        <v>5.766666667</v>
      </c>
      <c r="H166" s="197">
        <f>IFERROR(__xludf.DUMMYFUNCTION("""COMPUTED_VALUE"""),45769.0)</f>
        <v>45769</v>
      </c>
      <c r="I166" s="199">
        <f>IFERROR(__xludf.DUMMYFUNCTION("""COMPUTED_VALUE"""),0.0)</f>
        <v>0</v>
      </c>
      <c r="J166" s="200">
        <f>IFERROR(__xludf.DUMMYFUNCTION("""COMPUTED_VALUE"""),82.0)</f>
        <v>82</v>
      </c>
      <c r="K166" s="200">
        <f>IFERROR(__xludf.DUMMYFUNCTION("""COMPUTED_VALUE"""),14.0)</f>
        <v>14</v>
      </c>
      <c r="L166" s="201" t="str">
        <f>IFERROR(__xludf.DUMMYFUNCTION("""COMPUTED_VALUE"""),"RPG")</f>
        <v>RPG</v>
      </c>
      <c r="M166" s="201" t="str">
        <f>IFERROR(__xludf.DUMMYFUNCTION("""COMPUTED_VALUE"""),"Exclusive")</f>
        <v>Exclusive</v>
      </c>
    </row>
    <row r="167">
      <c r="A167" s="190" t="str">
        <f>IFERROR(__xludf.DUMMYFUNCTION("""COMPUTED_VALUE"""),"Spyro Reignited Trilogy")</f>
        <v>Spyro Reignited Trilogy</v>
      </c>
      <c r="B167" s="195" t="str">
        <f>IFERROR(__xludf.DUMMYFUNCTION("""COMPUTED_VALUE"""),"Xbox / PC")</f>
        <v>Xbox / PC</v>
      </c>
      <c r="C167" s="196"/>
      <c r="D167" s="196" t="str">
        <f>IFERROR(__xludf.DUMMYFUNCTION("""COMPUTED_VALUE"""),"Active")</f>
        <v>Active</v>
      </c>
      <c r="E167" s="197">
        <f>IFERROR(__xludf.DUMMYFUNCTION("""COMPUTED_VALUE"""),45608.0)</f>
        <v>45608</v>
      </c>
      <c r="F167" s="198"/>
      <c r="G167" s="199">
        <f>IFERROR(__xludf.DUMMYFUNCTION("""COMPUTED_VALUE"""),11.100000000000001)</f>
        <v>11.1</v>
      </c>
      <c r="H167" s="197">
        <f>IFERROR(__xludf.DUMMYFUNCTION("""COMPUTED_VALUE"""),43417.0)</f>
        <v>43417</v>
      </c>
      <c r="I167" s="199">
        <f>IFERROR(__xludf.DUMMYFUNCTION("""COMPUTED_VALUE"""),5.997222222222222)</f>
        <v>5.997222222</v>
      </c>
      <c r="J167" s="200">
        <f>IFERROR(__xludf.DUMMYFUNCTION("""COMPUTED_VALUE"""),82.0)</f>
        <v>82</v>
      </c>
      <c r="K167" s="200">
        <f>IFERROR(__xludf.DUMMYFUNCTION("""COMPUTED_VALUE"""),17.0)</f>
        <v>17</v>
      </c>
      <c r="L167" s="201" t="str">
        <f>IFERROR(__xludf.DUMMYFUNCTION("""COMPUTED_VALUE"""),"Platformer")</f>
        <v>Platformer</v>
      </c>
      <c r="M167" s="201"/>
    </row>
    <row r="168">
      <c r="A168" s="190" t="str">
        <f>IFERROR(__xludf.DUMMYFUNCTION("""COMPUTED_VALUE"""),"Donut County")</f>
        <v>Donut County</v>
      </c>
      <c r="B168" s="195" t="str">
        <f>IFERROR(__xludf.DUMMYFUNCTION("""COMPUTED_VALUE"""),"Xbox / PC")</f>
        <v>Xbox / PC</v>
      </c>
      <c r="C168" s="196" t="str">
        <f>IFERROR(__xludf.DUMMYFUNCTION("""COMPUTED_VALUE"""),"Touch Controls")</f>
        <v>Touch Controls</v>
      </c>
      <c r="D168" s="196" t="str">
        <f>IFERROR(__xludf.DUMMYFUNCTION("""COMPUTED_VALUE"""),"Active")</f>
        <v>Active</v>
      </c>
      <c r="E168" s="197">
        <f>IFERROR(__xludf.DUMMYFUNCTION("""COMPUTED_VALUE"""),45582.0)</f>
        <v>45582</v>
      </c>
      <c r="F168" s="198"/>
      <c r="G168" s="199">
        <f>IFERROR(__xludf.DUMMYFUNCTION("""COMPUTED_VALUE"""),11.933333333333334)</f>
        <v>11.93333333</v>
      </c>
      <c r="H168" s="197">
        <f>IFERROR(__xludf.DUMMYFUNCTION("""COMPUTED_VALUE"""),43340.0)</f>
        <v>43340</v>
      </c>
      <c r="I168" s="199">
        <f>IFERROR(__xludf.DUMMYFUNCTION("""COMPUTED_VALUE"""),6.136111111111111)</f>
        <v>6.136111111</v>
      </c>
      <c r="J168" s="200">
        <f>IFERROR(__xludf.DUMMYFUNCTION("""COMPUTED_VALUE"""),82.0)</f>
        <v>82</v>
      </c>
      <c r="K168" s="200">
        <f>IFERROR(__xludf.DUMMYFUNCTION("""COMPUTED_VALUE"""),2.0)</f>
        <v>2</v>
      </c>
      <c r="L168" s="201" t="str">
        <f>IFERROR(__xludf.DUMMYFUNCTION("""COMPUTED_VALUE"""),"Action")</f>
        <v>Action</v>
      </c>
      <c r="M168" s="201"/>
    </row>
    <row r="169">
      <c r="A169" s="190" t="str">
        <f>IFERROR(__xludf.DUMMYFUNCTION("""COMPUTED_VALUE"""),"DOOM + DOOM II: Enhanced")</f>
        <v>DOOM + DOOM II: Enhanced</v>
      </c>
      <c r="B169" s="195" t="str">
        <f>IFERROR(__xludf.DUMMYFUNCTION("""COMPUTED_VALUE"""),"Xbox / PC")</f>
        <v>Xbox / PC</v>
      </c>
      <c r="C169" s="196" t="str">
        <f>IFERROR(__xludf.DUMMYFUNCTION("""COMPUTED_VALUE"""),"Yes")</f>
        <v>Yes</v>
      </c>
      <c r="D169" s="196" t="str">
        <f>IFERROR(__xludf.DUMMYFUNCTION("""COMPUTED_VALUE"""),"Active")</f>
        <v>Active</v>
      </c>
      <c r="E169" s="197">
        <f>IFERROR(__xludf.DUMMYFUNCTION("""COMPUTED_VALUE"""),45512.0)</f>
        <v>45512</v>
      </c>
      <c r="F169" s="198"/>
      <c r="G169" s="199">
        <f>IFERROR(__xludf.DUMMYFUNCTION("""COMPUTED_VALUE"""),14.233333333333334)</f>
        <v>14.23333333</v>
      </c>
      <c r="H169" s="197">
        <f>IFERROR(__xludf.DUMMYFUNCTION("""COMPUTED_VALUE"""),45512.0)</f>
        <v>45512</v>
      </c>
      <c r="I169" s="199">
        <f>IFERROR(__xludf.DUMMYFUNCTION("""COMPUTED_VALUE"""),0.0)</f>
        <v>0</v>
      </c>
      <c r="J169" s="200">
        <f>IFERROR(__xludf.DUMMYFUNCTION("""COMPUTED_VALUE"""),82.0)</f>
        <v>82</v>
      </c>
      <c r="K169" s="200">
        <f>IFERROR(__xludf.DUMMYFUNCTION("""COMPUTED_VALUE"""),12.0)</f>
        <v>12</v>
      </c>
      <c r="L169" s="201" t="str">
        <f>IFERROR(__xludf.DUMMYFUNCTION("""COMPUTED_VALUE"""),"Shooter")</f>
        <v>Shooter</v>
      </c>
      <c r="M169" s="201"/>
    </row>
    <row r="170">
      <c r="A170" s="190" t="str">
        <f>IFERROR(__xludf.DUMMYFUNCTION("""COMPUTED_VALUE"""),"Dungeons Of Hinterberg")</f>
        <v>Dungeons Of Hinterberg</v>
      </c>
      <c r="B170" s="195" t="str">
        <f>IFERROR(__xludf.DUMMYFUNCTION("""COMPUTED_VALUE"""),"Xbox / PC")</f>
        <v>Xbox / PC</v>
      </c>
      <c r="C170" s="196" t="str">
        <f>IFERROR(__xludf.DUMMYFUNCTION("""COMPUTED_VALUE"""),"Yes")</f>
        <v>Yes</v>
      </c>
      <c r="D170" s="196" t="str">
        <f>IFERROR(__xludf.DUMMYFUNCTION("""COMPUTED_VALUE"""),"Active")</f>
        <v>Active</v>
      </c>
      <c r="E170" s="197">
        <f>IFERROR(__xludf.DUMMYFUNCTION("""COMPUTED_VALUE"""),45491.0)</f>
        <v>45491</v>
      </c>
      <c r="F170" s="198"/>
      <c r="G170" s="199">
        <f>IFERROR(__xludf.DUMMYFUNCTION("""COMPUTED_VALUE"""),14.9)</f>
        <v>14.9</v>
      </c>
      <c r="H170" s="197">
        <f>IFERROR(__xludf.DUMMYFUNCTION("""COMPUTED_VALUE"""),45491.0)</f>
        <v>45491</v>
      </c>
      <c r="I170" s="199">
        <f>IFERROR(__xludf.DUMMYFUNCTION("""COMPUTED_VALUE"""),0.0)</f>
        <v>0</v>
      </c>
      <c r="J170" s="200">
        <f>IFERROR(__xludf.DUMMYFUNCTION("""COMPUTED_VALUE"""),82.0)</f>
        <v>82</v>
      </c>
      <c r="K170" s="200">
        <f>IFERROR(__xludf.DUMMYFUNCTION("""COMPUTED_VALUE"""),13.0)</f>
        <v>13</v>
      </c>
      <c r="L170" s="201" t="str">
        <f>IFERROR(__xludf.DUMMYFUNCTION("""COMPUTED_VALUE"""),"Action-Adventure")</f>
        <v>Action-Adventure</v>
      </c>
      <c r="M170" s="201" t="str">
        <f>IFERROR(__xludf.DUMMYFUNCTION("""COMPUTED_VALUE"""),"Exclusive")</f>
        <v>Exclusive</v>
      </c>
    </row>
    <row r="171">
      <c r="A171" s="190" t="str">
        <f>IFERROR(__xludf.DUMMYFUNCTION("""COMPUTED_VALUE"""),"Shadow of the Tomb Raider: Definitive Edition")</f>
        <v>Shadow of the Tomb Raider: Definitive Edition</v>
      </c>
      <c r="B171" s="195" t="str">
        <f>IFERROR(__xludf.DUMMYFUNCTION("""COMPUTED_VALUE"""),"Xbox / PC")</f>
        <v>Xbox / PC</v>
      </c>
      <c r="C171" s="196" t="str">
        <f>IFERROR(__xludf.DUMMYFUNCTION("""COMPUTED_VALUE"""),"Yes")</f>
        <v>Yes</v>
      </c>
      <c r="D171" s="196" t="str">
        <f>IFERROR(__xludf.DUMMYFUNCTION("""COMPUTED_VALUE"""),"Active")</f>
        <v>Active</v>
      </c>
      <c r="E171" s="197">
        <f>IFERROR(__xludf.DUMMYFUNCTION("""COMPUTED_VALUE"""),45393.0)</f>
        <v>45393</v>
      </c>
      <c r="F171" s="198"/>
      <c r="G171" s="199">
        <f>IFERROR(__xludf.DUMMYFUNCTION("""COMPUTED_VALUE"""),18.133333333333333)</f>
        <v>18.13333333</v>
      </c>
      <c r="H171" s="197">
        <f>IFERROR(__xludf.DUMMYFUNCTION("""COMPUTED_VALUE"""),43357.0)</f>
        <v>43357</v>
      </c>
      <c r="I171" s="199">
        <f>IFERROR(__xludf.DUMMYFUNCTION("""COMPUTED_VALUE"""),5.575)</f>
        <v>5.575</v>
      </c>
      <c r="J171" s="200">
        <f>IFERROR(__xludf.DUMMYFUNCTION("""COMPUTED_VALUE"""),82.0)</f>
        <v>82</v>
      </c>
      <c r="K171" s="200">
        <f>IFERROR(__xludf.DUMMYFUNCTION("""COMPUTED_VALUE"""),13.0)</f>
        <v>13</v>
      </c>
      <c r="L171" s="201" t="str">
        <f>IFERROR(__xludf.DUMMYFUNCTION("""COMPUTED_VALUE"""),"Action-Adventure")</f>
        <v>Action-Adventure</v>
      </c>
      <c r="M171" s="201"/>
    </row>
    <row r="172">
      <c r="A172" s="190" t="str">
        <f>IFERROR(__xludf.DUMMYFUNCTION("""COMPUTED_VALUE"""),"Superhot: Mind Control Delete")</f>
        <v>Superhot: Mind Control Delete</v>
      </c>
      <c r="B172" s="195" t="str">
        <f>IFERROR(__xludf.DUMMYFUNCTION("""COMPUTED_VALUE"""),"Xbox / PC")</f>
        <v>Xbox / PC</v>
      </c>
      <c r="C172" s="196" t="str">
        <f>IFERROR(__xludf.DUMMYFUNCTION("""COMPUTED_VALUE"""),"Yes")</f>
        <v>Yes</v>
      </c>
      <c r="D172" s="196" t="str">
        <f>IFERROR(__xludf.DUMMYFUNCTION("""COMPUTED_VALUE"""),"Active")</f>
        <v>Active</v>
      </c>
      <c r="E172" s="197">
        <f>IFERROR(__xludf.DUMMYFUNCTION("""COMPUTED_VALUE"""),45384.0)</f>
        <v>45384</v>
      </c>
      <c r="F172" s="198"/>
      <c r="G172" s="199">
        <f>IFERROR(__xludf.DUMMYFUNCTION("""COMPUTED_VALUE"""),18.433333333333334)</f>
        <v>18.43333333</v>
      </c>
      <c r="H172" s="197">
        <f>IFERROR(__xludf.DUMMYFUNCTION("""COMPUTED_VALUE"""),44028.0)</f>
        <v>44028</v>
      </c>
      <c r="I172" s="199">
        <f>IFERROR(__xludf.DUMMYFUNCTION("""COMPUTED_VALUE"""),3.7111111111111112)</f>
        <v>3.711111111</v>
      </c>
      <c r="J172" s="200">
        <f>IFERROR(__xludf.DUMMYFUNCTION("""COMPUTED_VALUE"""),82.0)</f>
        <v>82</v>
      </c>
      <c r="K172" s="200">
        <f>IFERROR(__xludf.DUMMYFUNCTION("""COMPUTED_VALUE"""),5.5)</f>
        <v>5.5</v>
      </c>
      <c r="L172" s="201" t="str">
        <f>IFERROR(__xludf.DUMMYFUNCTION("""COMPUTED_VALUE"""),"First-Person Shooter")</f>
        <v>First-Person Shooter</v>
      </c>
      <c r="M172" s="201" t="str">
        <f>IFERROR(__xludf.DUMMYFUNCTION("""COMPUTED_VALUE"""),"Optimized")</f>
        <v>Optimized</v>
      </c>
    </row>
    <row r="173">
      <c r="A173" s="190" t="str">
        <f>IFERROR(__xludf.DUMMYFUNCTION("""COMPUTED_VALUE"""),"F1 23")</f>
        <v>F1 23</v>
      </c>
      <c r="B173" s="195" t="str">
        <f>IFERROR(__xludf.DUMMYFUNCTION("""COMPUTED_VALUE"""),"Xbox / PC")</f>
        <v>Xbox / PC</v>
      </c>
      <c r="C173" s="196" t="str">
        <f>IFERROR(__xludf.DUMMYFUNCTION("""COMPUTED_VALUE"""),"Yes")</f>
        <v>Yes</v>
      </c>
      <c r="D173" s="196" t="str">
        <f>IFERROR(__xludf.DUMMYFUNCTION("""COMPUTED_VALUE"""),"Active")</f>
        <v>Active</v>
      </c>
      <c r="E173" s="197">
        <f>IFERROR(__xludf.DUMMYFUNCTION("""COMPUTED_VALUE"""),45309.0)</f>
        <v>45309</v>
      </c>
      <c r="F173" s="198"/>
      <c r="G173" s="199">
        <f>IFERROR(__xludf.DUMMYFUNCTION("""COMPUTED_VALUE"""),20.9)</f>
        <v>20.9</v>
      </c>
      <c r="H173" s="197">
        <f>IFERROR(__xludf.DUMMYFUNCTION("""COMPUTED_VALUE"""),45093.0)</f>
        <v>45093</v>
      </c>
      <c r="I173" s="199">
        <f>IFERROR(__xludf.DUMMYFUNCTION("""COMPUTED_VALUE"""),0.5888888888888889)</f>
        <v>0.5888888889</v>
      </c>
      <c r="J173" s="200">
        <f>IFERROR(__xludf.DUMMYFUNCTION("""COMPUTED_VALUE"""),82.0)</f>
        <v>82</v>
      </c>
      <c r="K173" s="200">
        <f>IFERROR(__xludf.DUMMYFUNCTION("""COMPUTED_VALUE"""),8.0)</f>
        <v>8</v>
      </c>
      <c r="L173" s="201" t="str">
        <f>IFERROR(__xludf.DUMMYFUNCTION("""COMPUTED_VALUE"""),"Driving/Racing")</f>
        <v>Driving/Racing</v>
      </c>
      <c r="M173" s="201"/>
    </row>
    <row r="174">
      <c r="A174" s="202" t="str">
        <f>IFERROR(__xludf.DUMMYFUNCTION("""COMPUTED_VALUE"""),"Clone Drone in the Danger Zone")</f>
        <v>Clone Drone in the Danger Zone</v>
      </c>
      <c r="B174" s="195" t="str">
        <f>IFERROR(__xludf.DUMMYFUNCTION("""COMPUTED_VALUE"""),"Xbox / PC")</f>
        <v>Xbox / PC</v>
      </c>
      <c r="C174" s="196" t="str">
        <f>IFERROR(__xludf.DUMMYFUNCTION("""COMPUTED_VALUE"""),"Yes")</f>
        <v>Yes</v>
      </c>
      <c r="D174" s="196" t="str">
        <f>IFERROR(__xludf.DUMMYFUNCTION("""COMPUTED_VALUE"""),"Active")</f>
        <v>Active</v>
      </c>
      <c r="E174" s="197">
        <f>IFERROR(__xludf.DUMMYFUNCTION("""COMPUTED_VALUE"""),45265.0)</f>
        <v>45265</v>
      </c>
      <c r="F174" s="198"/>
      <c r="G174" s="199">
        <f>IFERROR(__xludf.DUMMYFUNCTION("""COMPUTED_VALUE"""),22.333333333333336)</f>
        <v>22.33333333</v>
      </c>
      <c r="H174" s="197">
        <f>IFERROR(__xludf.DUMMYFUNCTION("""COMPUTED_VALUE"""),42702.0)</f>
        <v>42702</v>
      </c>
      <c r="I174" s="199">
        <f>IFERROR(__xludf.DUMMYFUNCTION("""COMPUTED_VALUE"""),7.019444444444445)</f>
        <v>7.019444444</v>
      </c>
      <c r="J174" s="200">
        <f>IFERROR(__xludf.DUMMYFUNCTION("""COMPUTED_VALUE"""),82.0)</f>
        <v>82</v>
      </c>
      <c r="K174" s="200">
        <f>IFERROR(__xludf.DUMMYFUNCTION("""COMPUTED_VALUE"""),2.0)</f>
        <v>2</v>
      </c>
      <c r="L174" s="201" t="str">
        <f>IFERROR(__xludf.DUMMYFUNCTION("""COMPUTED_VALUE"""),"Action / Simulation / Fighting / Brawler")</f>
        <v>Action / Simulation / Fighting / Brawler</v>
      </c>
      <c r="M174" s="201" t="str">
        <f>IFERROR(__xludf.DUMMYFUNCTION("""COMPUTED_VALUE"""),"Exclusive")</f>
        <v>Exclusive</v>
      </c>
    </row>
    <row r="175">
      <c r="A175" s="190" t="str">
        <f>IFERROR(__xludf.DUMMYFUNCTION("""COMPUTED_VALUE"""),"Stacking")</f>
        <v>Stacking</v>
      </c>
      <c r="B175" s="195" t="str">
        <f>IFERROR(__xludf.DUMMYFUNCTION("""COMPUTED_VALUE"""),"Xbox")</f>
        <v>Xbox</v>
      </c>
      <c r="C175" s="196" t="str">
        <f>IFERROR(__xludf.DUMMYFUNCTION("""COMPUTED_VALUE"""),"Yes")</f>
        <v>Yes</v>
      </c>
      <c r="D175" s="196" t="str">
        <f>IFERROR(__xludf.DUMMYFUNCTION("""COMPUTED_VALUE"""),"Active")</f>
        <v>Active</v>
      </c>
      <c r="E175" s="197">
        <f>IFERROR(__xludf.DUMMYFUNCTION("""COMPUTED_VALUE"""),45085.0)</f>
        <v>45085</v>
      </c>
      <c r="F175" s="198"/>
      <c r="G175" s="199">
        <f>IFERROR(__xludf.DUMMYFUNCTION("""COMPUTED_VALUE"""),28.233333333333334)</f>
        <v>28.23333333</v>
      </c>
      <c r="H175" s="197">
        <f>IFERROR(__xludf.DUMMYFUNCTION("""COMPUTED_VALUE"""),40582.0)</f>
        <v>40582</v>
      </c>
      <c r="I175" s="199">
        <f>IFERROR(__xludf.DUMMYFUNCTION("""COMPUTED_VALUE"""),12.333333333333334)</f>
        <v>12.33333333</v>
      </c>
      <c r="J175" s="200">
        <f>IFERROR(__xludf.DUMMYFUNCTION("""COMPUTED_VALUE"""),82.0)</f>
        <v>82</v>
      </c>
      <c r="K175" s="200">
        <f>IFERROR(__xludf.DUMMYFUNCTION("""COMPUTED_VALUE"""),4.0)</f>
        <v>4</v>
      </c>
      <c r="L175" s="201" t="str">
        <f>IFERROR(__xludf.DUMMYFUNCTION("""COMPUTED_VALUE"""),"Adventure / Puzzle")</f>
        <v>Adventure / Puzzle</v>
      </c>
      <c r="M175" s="201"/>
    </row>
    <row r="176">
      <c r="A176" s="190" t="str">
        <f>IFERROR(__xludf.DUMMYFUNCTION("""COMPUTED_VALUE"""),"Iron Brigade")</f>
        <v>Iron Brigade</v>
      </c>
      <c r="B176" s="195" t="str">
        <f>IFERROR(__xludf.DUMMYFUNCTION("""COMPUTED_VALUE"""),"Xbox")</f>
        <v>Xbox</v>
      </c>
      <c r="C176" s="196"/>
      <c r="D176" s="196" t="str">
        <f>IFERROR(__xludf.DUMMYFUNCTION("""COMPUTED_VALUE"""),"Active")</f>
        <v>Active</v>
      </c>
      <c r="E176" s="197">
        <f>IFERROR(__xludf.DUMMYFUNCTION("""COMPUTED_VALUE"""),45022.0)</f>
        <v>45022</v>
      </c>
      <c r="F176" s="198"/>
      <c r="G176" s="199">
        <f>IFERROR(__xludf.DUMMYFUNCTION("""COMPUTED_VALUE"""),30.299999999999997)</f>
        <v>30.3</v>
      </c>
      <c r="H176" s="197">
        <f>IFERROR(__xludf.DUMMYFUNCTION("""COMPUTED_VALUE"""),40716.0)</f>
        <v>40716</v>
      </c>
      <c r="I176" s="199">
        <f>IFERROR(__xludf.DUMMYFUNCTION("""COMPUTED_VALUE"""),11.78888888888889)</f>
        <v>11.78888889</v>
      </c>
      <c r="J176" s="200">
        <f>IFERROR(__xludf.DUMMYFUNCTION("""COMPUTED_VALUE"""),82.0)</f>
        <v>82</v>
      </c>
      <c r="K176" s="200">
        <f>IFERROR(__xludf.DUMMYFUNCTION("""COMPUTED_VALUE"""),6.5)</f>
        <v>6.5</v>
      </c>
      <c r="L176" s="201" t="str">
        <f>IFERROR(__xludf.DUMMYFUNCTION("""COMPUTED_VALUE"""),"Strategy / Shooter")</f>
        <v>Strategy / Shooter</v>
      </c>
      <c r="M176" s="201"/>
    </row>
    <row r="177">
      <c r="A177" s="190" t="str">
        <f>IFERROR(__xludf.DUMMYFUNCTION("""COMPUTED_VALUE"""),"Chivalry II")</f>
        <v>Chivalry II</v>
      </c>
      <c r="B177" s="195" t="str">
        <f>IFERROR(__xludf.DUMMYFUNCTION("""COMPUTED_VALUE"""),"Xbox / PC")</f>
        <v>Xbox / PC</v>
      </c>
      <c r="C177" s="196" t="str">
        <f>IFERROR(__xludf.DUMMYFUNCTION("""COMPUTED_VALUE"""),"Yes")</f>
        <v>Yes</v>
      </c>
      <c r="D177" s="196" t="str">
        <f>IFERROR(__xludf.DUMMYFUNCTION("""COMPUTED_VALUE"""),"Active")</f>
        <v>Active</v>
      </c>
      <c r="E177" s="197">
        <f>IFERROR(__xludf.DUMMYFUNCTION("""COMPUTED_VALUE"""),44838.0)</f>
        <v>44838</v>
      </c>
      <c r="F177" s="198"/>
      <c r="G177" s="199">
        <f>IFERROR(__xludf.DUMMYFUNCTION("""COMPUTED_VALUE"""),36.36666666666667)</f>
        <v>36.36666667</v>
      </c>
      <c r="H177" s="197">
        <f>IFERROR(__xludf.DUMMYFUNCTION("""COMPUTED_VALUE"""),44355.0)</f>
        <v>44355</v>
      </c>
      <c r="I177" s="199">
        <f>IFERROR(__xludf.DUMMYFUNCTION("""COMPUTED_VALUE"""),1.3222222222222222)</f>
        <v>1.322222222</v>
      </c>
      <c r="J177" s="200">
        <f>IFERROR(__xludf.DUMMYFUNCTION("""COMPUTED_VALUE"""),82.0)</f>
        <v>82</v>
      </c>
      <c r="K177" s="200">
        <f>IFERROR(__xludf.DUMMYFUNCTION("""COMPUTED_VALUE"""),42.5)</f>
        <v>42.5</v>
      </c>
      <c r="L177" s="201" t="str">
        <f>IFERROR(__xludf.DUMMYFUNCTION("""COMPUTED_VALUE"""),"Action")</f>
        <v>Action</v>
      </c>
      <c r="M177" s="201"/>
    </row>
    <row r="178">
      <c r="A178" s="190" t="str">
        <f>IFERROR(__xludf.DUMMYFUNCTION("""COMPUTED_VALUE"""),"Ni no Kuni: Wrath of the White Witch - Remastered")</f>
        <v>Ni no Kuni: Wrath of the White Witch - Remastered</v>
      </c>
      <c r="B178" s="195" t="str">
        <f>IFERROR(__xludf.DUMMYFUNCTION("""COMPUTED_VALUE"""),"Xbox / PC")</f>
        <v>Xbox / PC</v>
      </c>
      <c r="C178" s="196" t="str">
        <f>IFERROR(__xludf.DUMMYFUNCTION("""COMPUTED_VALUE"""),"Touch Controls")</f>
        <v>Touch Controls</v>
      </c>
      <c r="D178" s="196" t="str">
        <f>IFERROR(__xludf.DUMMYFUNCTION("""COMPUTED_VALUE"""),"Active")</f>
        <v>Active</v>
      </c>
      <c r="E178" s="197">
        <f>IFERROR(__xludf.DUMMYFUNCTION("""COMPUTED_VALUE"""),44819.0)</f>
        <v>44819</v>
      </c>
      <c r="F178" s="198"/>
      <c r="G178" s="199">
        <f>IFERROR(__xludf.DUMMYFUNCTION("""COMPUTED_VALUE"""),37.0)</f>
        <v>37</v>
      </c>
      <c r="H178" s="197">
        <f>IFERROR(__xludf.DUMMYFUNCTION("""COMPUTED_VALUE"""),43728.0)</f>
        <v>43728</v>
      </c>
      <c r="I178" s="199">
        <f>IFERROR(__xludf.DUMMYFUNCTION("""COMPUTED_VALUE"""),2.986111111111111)</f>
        <v>2.986111111</v>
      </c>
      <c r="J178" s="200">
        <f>IFERROR(__xludf.DUMMYFUNCTION("""COMPUTED_VALUE"""),82.0)</f>
        <v>82</v>
      </c>
      <c r="K178" s="200">
        <f>IFERROR(__xludf.DUMMYFUNCTION("""COMPUTED_VALUE"""),44.5)</f>
        <v>44.5</v>
      </c>
      <c r="L178" s="201" t="str">
        <f>IFERROR(__xludf.DUMMYFUNCTION("""COMPUTED_VALUE"""),"RPG / Action-Adventure")</f>
        <v>RPG / Action-Adventure</v>
      </c>
      <c r="M178" s="201"/>
    </row>
    <row r="179">
      <c r="A179" s="190" t="str">
        <f>IFERROR(__xludf.DUMMYFUNCTION("""COMPUTED_VALUE"""),"Citizen Sleeper")</f>
        <v>Citizen Sleeper</v>
      </c>
      <c r="B179" s="195" t="str">
        <f>IFERROR(__xludf.DUMMYFUNCTION("""COMPUTED_VALUE"""),"Xbox / PC")</f>
        <v>Xbox / PC</v>
      </c>
      <c r="C179" s="196" t="str">
        <f>IFERROR(__xludf.DUMMYFUNCTION("""COMPUTED_VALUE"""),"Touch Controls")</f>
        <v>Touch Controls</v>
      </c>
      <c r="D179" s="196" t="str">
        <f>IFERROR(__xludf.DUMMYFUNCTION("""COMPUTED_VALUE"""),"Active")</f>
        <v>Active</v>
      </c>
      <c r="E179" s="197">
        <f>IFERROR(__xludf.DUMMYFUNCTION("""COMPUTED_VALUE"""),44686.0)</f>
        <v>44686</v>
      </c>
      <c r="F179" s="198"/>
      <c r="G179" s="199">
        <f>IFERROR(__xludf.DUMMYFUNCTION("""COMPUTED_VALUE"""),41.333333333333336)</f>
        <v>41.33333333</v>
      </c>
      <c r="H179" s="197">
        <f>IFERROR(__xludf.DUMMYFUNCTION("""COMPUTED_VALUE"""),44686.0)</f>
        <v>44686</v>
      </c>
      <c r="I179" s="199">
        <f>IFERROR(__xludf.DUMMYFUNCTION("""COMPUTED_VALUE"""),0.0)</f>
        <v>0</v>
      </c>
      <c r="J179" s="200">
        <f>IFERROR(__xludf.DUMMYFUNCTION("""COMPUTED_VALUE"""),82.0)</f>
        <v>82</v>
      </c>
      <c r="K179" s="200">
        <f>IFERROR(__xludf.DUMMYFUNCTION("""COMPUTED_VALUE"""),6.0)</f>
        <v>6</v>
      </c>
      <c r="L179" s="201" t="str">
        <f>IFERROR(__xludf.DUMMYFUNCTION("""COMPUTED_VALUE"""),"Adventure / RPG")</f>
        <v>Adventure / RPG</v>
      </c>
      <c r="M179" s="201"/>
    </row>
    <row r="180">
      <c r="A180" s="190" t="str">
        <f>IFERROR(__xludf.DUMMYFUNCTION("""COMPUTED_VALUE"""),"Unpacking")</f>
        <v>Unpacking</v>
      </c>
      <c r="B180" s="195" t="str">
        <f>IFERROR(__xludf.DUMMYFUNCTION("""COMPUTED_VALUE"""),"Xbox / PC")</f>
        <v>Xbox / PC</v>
      </c>
      <c r="C180" s="196" t="str">
        <f>IFERROR(__xludf.DUMMYFUNCTION("""COMPUTED_VALUE"""),"Touch Controls")</f>
        <v>Touch Controls</v>
      </c>
      <c r="D180" s="196" t="str">
        <f>IFERROR(__xludf.DUMMYFUNCTION("""COMPUTED_VALUE"""),"Active")</f>
        <v>Active</v>
      </c>
      <c r="E180" s="197">
        <f>IFERROR(__xludf.DUMMYFUNCTION("""COMPUTED_VALUE"""),44502.0)</f>
        <v>44502</v>
      </c>
      <c r="F180" s="198"/>
      <c r="G180" s="199">
        <f>IFERROR(__xludf.DUMMYFUNCTION("""COMPUTED_VALUE"""),47.43333333333334)</f>
        <v>47.43333333</v>
      </c>
      <c r="H180" s="197">
        <f>IFERROR(__xludf.DUMMYFUNCTION("""COMPUTED_VALUE"""),44502.0)</f>
        <v>44502</v>
      </c>
      <c r="I180" s="199">
        <f>IFERROR(__xludf.DUMMYFUNCTION("""COMPUTED_VALUE"""),0.0)</f>
        <v>0</v>
      </c>
      <c r="J180" s="200">
        <f>IFERROR(__xludf.DUMMYFUNCTION("""COMPUTED_VALUE"""),82.0)</f>
        <v>82</v>
      </c>
      <c r="K180" s="200">
        <f>IFERROR(__xludf.DUMMYFUNCTION("""COMPUTED_VALUE"""),3.5)</f>
        <v>3.5</v>
      </c>
      <c r="L180" s="201" t="str">
        <f>IFERROR(__xludf.DUMMYFUNCTION("""COMPUTED_VALUE"""),"Simulation / Puzzle")</f>
        <v>Simulation / Puzzle</v>
      </c>
      <c r="M180" s="201"/>
    </row>
    <row r="181">
      <c r="A181" s="190" t="str">
        <f>IFERROR(__xludf.DUMMYFUNCTION("""COMPUTED_VALUE"""),"DiRT Rally 2.0")</f>
        <v>DiRT Rally 2.0</v>
      </c>
      <c r="B181" s="195" t="str">
        <f>IFERROR(__xludf.DUMMYFUNCTION("""COMPUTED_VALUE"""),"Xbox")</f>
        <v>Xbox</v>
      </c>
      <c r="C181" s="196"/>
      <c r="D181" s="196" t="str">
        <f>IFERROR(__xludf.DUMMYFUNCTION("""COMPUTED_VALUE"""),"Active")</f>
        <v>Active</v>
      </c>
      <c r="E181" s="197">
        <f>IFERROR(__xludf.DUMMYFUNCTION("""COMPUTED_VALUE"""),44418.0)</f>
        <v>44418</v>
      </c>
      <c r="F181" s="198"/>
      <c r="G181" s="199">
        <f>IFERROR(__xludf.DUMMYFUNCTION("""COMPUTED_VALUE"""),50.166666666666664)</f>
        <v>50.16666667</v>
      </c>
      <c r="H181" s="197">
        <f>IFERROR(__xludf.DUMMYFUNCTION("""COMPUTED_VALUE"""),43522.0)</f>
        <v>43522</v>
      </c>
      <c r="I181" s="199">
        <f>IFERROR(__xludf.DUMMYFUNCTION("""COMPUTED_VALUE"""),2.4555555555555557)</f>
        <v>2.455555556</v>
      </c>
      <c r="J181" s="200">
        <f>IFERROR(__xludf.DUMMYFUNCTION("""COMPUTED_VALUE"""),82.0)</f>
        <v>82</v>
      </c>
      <c r="K181" s="200">
        <f>IFERROR(__xludf.DUMMYFUNCTION("""COMPUTED_VALUE"""),10.0)</f>
        <v>10</v>
      </c>
      <c r="L181" s="201" t="str">
        <f>IFERROR(__xludf.DUMMYFUNCTION("""COMPUTED_VALUE"""),"Driving/Racing")</f>
        <v>Driving/Racing</v>
      </c>
      <c r="M181" s="201"/>
    </row>
    <row r="182">
      <c r="A182" s="190" t="str">
        <f>IFERROR(__xludf.DUMMYFUNCTION("""COMPUTED_VALUE"""),"EA Sports UFC 4")</f>
        <v>EA Sports UFC 4</v>
      </c>
      <c r="B182" s="195" t="str">
        <f>IFERROR(__xludf.DUMMYFUNCTION("""COMPUTED_VALUE"""),"Xbox")</f>
        <v>Xbox</v>
      </c>
      <c r="C182" s="196"/>
      <c r="D182" s="196" t="str">
        <f>IFERROR(__xludf.DUMMYFUNCTION("""COMPUTED_VALUE"""),"Active")</f>
        <v>Active</v>
      </c>
      <c r="E182" s="197">
        <f>IFERROR(__xludf.DUMMYFUNCTION("""COMPUTED_VALUE"""),44385.0)</f>
        <v>44385</v>
      </c>
      <c r="F182" s="198"/>
      <c r="G182" s="199">
        <f>IFERROR(__xludf.DUMMYFUNCTION("""COMPUTED_VALUE"""),51.233333333333334)</f>
        <v>51.23333333</v>
      </c>
      <c r="H182" s="197">
        <f>IFERROR(__xludf.DUMMYFUNCTION("""COMPUTED_VALUE"""),44057.0)</f>
        <v>44057</v>
      </c>
      <c r="I182" s="199">
        <f>IFERROR(__xludf.DUMMYFUNCTION("""COMPUTED_VALUE"""),0.9)</f>
        <v>0.9</v>
      </c>
      <c r="J182" s="200">
        <f>IFERROR(__xludf.DUMMYFUNCTION("""COMPUTED_VALUE"""),82.0)</f>
        <v>82</v>
      </c>
      <c r="K182" s="200">
        <f>IFERROR(__xludf.DUMMYFUNCTION("""COMPUTED_VALUE"""),12.0)</f>
        <v>12</v>
      </c>
      <c r="L182" s="201" t="str">
        <f>IFERROR(__xludf.DUMMYFUNCTION("""COMPUTED_VALUE"""),"Sports / Fighting")</f>
        <v>Sports / Fighting</v>
      </c>
      <c r="M182" s="201" t="str">
        <f>IFERROR(__xludf.DUMMYFUNCTION("""COMPUTED_VALUE"""),"FPS Boost")</f>
        <v>FPS Boost</v>
      </c>
    </row>
    <row r="183">
      <c r="A183" s="190" t="str">
        <f>IFERROR(__xludf.DUMMYFUNCTION("""COMPUTED_VALUE"""),"Wreckfest")</f>
        <v>Wreckfest</v>
      </c>
      <c r="B183" s="195" t="str">
        <f>IFERROR(__xludf.DUMMYFUNCTION("""COMPUTED_VALUE"""),"Xbox / PC")</f>
        <v>Xbox / PC</v>
      </c>
      <c r="C183" s="196" t="str">
        <f>IFERROR(__xludf.DUMMYFUNCTION("""COMPUTED_VALUE"""),"Touch Controls")</f>
        <v>Touch Controls</v>
      </c>
      <c r="D183" s="196" t="str">
        <f>IFERROR(__xludf.DUMMYFUNCTION("""COMPUTED_VALUE"""),"Active")</f>
        <v>Active</v>
      </c>
      <c r="E183" s="197">
        <f>IFERROR(__xludf.DUMMYFUNCTION("""COMPUTED_VALUE"""),44245.0)</f>
        <v>44245</v>
      </c>
      <c r="F183" s="198"/>
      <c r="G183" s="199">
        <f>IFERROR(__xludf.DUMMYFUNCTION("""COMPUTED_VALUE"""),55.9)</f>
        <v>55.9</v>
      </c>
      <c r="H183" s="197">
        <f>IFERROR(__xludf.DUMMYFUNCTION("""COMPUTED_VALUE"""),43265.0)</f>
        <v>43265</v>
      </c>
      <c r="I183" s="199">
        <f>IFERROR(__xludf.DUMMYFUNCTION("""COMPUTED_VALUE"""),2.6777777777777776)</f>
        <v>2.677777778</v>
      </c>
      <c r="J183" s="200">
        <f>IFERROR(__xludf.DUMMYFUNCTION("""COMPUTED_VALUE"""),82.0)</f>
        <v>82</v>
      </c>
      <c r="K183" s="200">
        <f>IFERROR(__xludf.DUMMYFUNCTION("""COMPUTED_VALUE"""),19.5)</f>
        <v>19.5</v>
      </c>
      <c r="L183" s="201" t="str">
        <f>IFERROR(__xludf.DUMMYFUNCTION("""COMPUTED_VALUE"""),"Driving/Racing")</f>
        <v>Driving/Racing</v>
      </c>
      <c r="M183" s="201"/>
    </row>
    <row r="184">
      <c r="A184" s="190" t="str">
        <f>IFERROR(__xludf.DUMMYFUNCTION("""COMPUTED_VALUE"""),"The Elder Scrolls V: Skyrim Special Edition")</f>
        <v>The Elder Scrolls V: Skyrim Special Edition</v>
      </c>
      <c r="B184" s="195" t="str">
        <f>IFERROR(__xludf.DUMMYFUNCTION("""COMPUTED_VALUE"""),"Xbox / PC")</f>
        <v>Xbox / PC</v>
      </c>
      <c r="C184" s="196" t="str">
        <f>IFERROR(__xludf.DUMMYFUNCTION("""COMPUTED_VALUE"""),"Yes")</f>
        <v>Yes</v>
      </c>
      <c r="D184" s="196" t="str">
        <f>IFERROR(__xludf.DUMMYFUNCTION("""COMPUTED_VALUE"""),"Active")</f>
        <v>Active</v>
      </c>
      <c r="E184" s="197">
        <f>IFERROR(__xludf.DUMMYFUNCTION("""COMPUTED_VALUE"""),44180.0)</f>
        <v>44180</v>
      </c>
      <c r="F184" s="198"/>
      <c r="G184" s="199">
        <f>IFERROR(__xludf.DUMMYFUNCTION("""COMPUTED_VALUE"""),58.0)</f>
        <v>58</v>
      </c>
      <c r="H184" s="197">
        <f>IFERROR(__xludf.DUMMYFUNCTION("""COMPUTED_VALUE"""),42671.0)</f>
        <v>42671</v>
      </c>
      <c r="I184" s="199">
        <f>IFERROR(__xludf.DUMMYFUNCTION("""COMPUTED_VALUE"""),4.1305555555555555)</f>
        <v>4.130555556</v>
      </c>
      <c r="J184" s="200">
        <f>IFERROR(__xludf.DUMMYFUNCTION("""COMPUTED_VALUE"""),82.0)</f>
        <v>82</v>
      </c>
      <c r="K184" s="200">
        <f>IFERROR(__xludf.DUMMYFUNCTION("""COMPUTED_VALUE"""),25.5)</f>
        <v>25.5</v>
      </c>
      <c r="L184" s="201" t="str">
        <f>IFERROR(__xludf.DUMMYFUNCTION("""COMPUTED_VALUE"""),"RPG")</f>
        <v>RPG</v>
      </c>
      <c r="M184" s="201" t="str">
        <f>IFERROR(__xludf.DUMMYFUNCTION("""COMPUTED_VALUE"""),"FPS Boost")</f>
        <v>FPS Boost</v>
      </c>
    </row>
    <row r="185">
      <c r="A185" s="190" t="str">
        <f>IFERROR(__xludf.DUMMYFUNCTION("""COMPUTED_VALUE"""),"Monster Sanctuary")</f>
        <v>Monster Sanctuary</v>
      </c>
      <c r="B185" s="195" t="str">
        <f>IFERROR(__xludf.DUMMYFUNCTION("""COMPUTED_VALUE"""),"Xbox / PC")</f>
        <v>Xbox / PC</v>
      </c>
      <c r="C185" s="196" t="str">
        <f>IFERROR(__xludf.DUMMYFUNCTION("""COMPUTED_VALUE"""),"Touch Controls")</f>
        <v>Touch Controls</v>
      </c>
      <c r="D185" s="196" t="str">
        <f>IFERROR(__xludf.DUMMYFUNCTION("""COMPUTED_VALUE"""),"Active")</f>
        <v>Active</v>
      </c>
      <c r="E185" s="197">
        <f>IFERROR(__xludf.DUMMYFUNCTION("""COMPUTED_VALUE"""),44173.0)</f>
        <v>44173</v>
      </c>
      <c r="F185" s="198"/>
      <c r="G185" s="199">
        <f>IFERROR(__xludf.DUMMYFUNCTION("""COMPUTED_VALUE"""),58.233333333333334)</f>
        <v>58.23333333</v>
      </c>
      <c r="H185" s="197">
        <f>IFERROR(__xludf.DUMMYFUNCTION("""COMPUTED_VALUE"""),43705.0)</f>
        <v>43705</v>
      </c>
      <c r="I185" s="199">
        <f>IFERROR(__xludf.DUMMYFUNCTION("""COMPUTED_VALUE"""),1.2777777777777777)</f>
        <v>1.277777778</v>
      </c>
      <c r="J185" s="200">
        <f>IFERROR(__xludf.DUMMYFUNCTION("""COMPUTED_VALUE"""),82.0)</f>
        <v>82</v>
      </c>
      <c r="K185" s="200">
        <f>IFERROR(__xludf.DUMMYFUNCTION("""COMPUTED_VALUE"""),27.0)</f>
        <v>27</v>
      </c>
      <c r="L185" s="201" t="str">
        <f>IFERROR(__xludf.DUMMYFUNCTION("""COMPUTED_VALUE"""),"Adventure / Platformer")</f>
        <v>Adventure / Platformer</v>
      </c>
      <c r="M185" s="201"/>
    </row>
    <row r="186">
      <c r="A186" s="190" t="str">
        <f>IFERROR(__xludf.DUMMYFUNCTION("""COMPUTED_VALUE"""),"SSX")</f>
        <v>SSX</v>
      </c>
      <c r="B186" s="195" t="str">
        <f>IFERROR(__xludf.DUMMYFUNCTION("""COMPUTED_VALUE"""),"Xbox")</f>
        <v>Xbox</v>
      </c>
      <c r="C186" s="196"/>
      <c r="D186" s="196" t="str">
        <f>IFERROR(__xludf.DUMMYFUNCTION("""COMPUTED_VALUE"""),"Active")</f>
        <v>Active</v>
      </c>
      <c r="E186" s="197">
        <f>IFERROR(__xludf.DUMMYFUNCTION("""COMPUTED_VALUE"""),44145.0)</f>
        <v>44145</v>
      </c>
      <c r="F186" s="198"/>
      <c r="G186" s="199">
        <f>IFERROR(__xludf.DUMMYFUNCTION("""COMPUTED_VALUE"""),59.166666666666664)</f>
        <v>59.16666667</v>
      </c>
      <c r="H186" s="197">
        <f>IFERROR(__xludf.DUMMYFUNCTION("""COMPUTED_VALUE"""),40967.0)</f>
        <v>40967</v>
      </c>
      <c r="I186" s="199">
        <f>IFERROR(__xludf.DUMMYFUNCTION("""COMPUTED_VALUE"""),8.7)</f>
        <v>8.7</v>
      </c>
      <c r="J186" s="200">
        <f>IFERROR(__xludf.DUMMYFUNCTION("""COMPUTED_VALUE"""),82.0)</f>
        <v>82</v>
      </c>
      <c r="K186" s="200">
        <f>IFERROR(__xludf.DUMMYFUNCTION("""COMPUTED_VALUE"""),11.5)</f>
        <v>11.5</v>
      </c>
      <c r="L186" s="201" t="str">
        <f>IFERROR(__xludf.DUMMYFUNCTION("""COMPUTED_VALUE"""),"Sports / Snowboarding/Skiing")</f>
        <v>Sports / Snowboarding/Skiing</v>
      </c>
      <c r="M186" s="201"/>
    </row>
    <row r="187">
      <c r="A187" s="190" t="str">
        <f>IFERROR(__xludf.DUMMYFUNCTION("""COMPUTED_VALUE"""),"Brütal Legend")</f>
        <v>Brütal Legend</v>
      </c>
      <c r="B187" s="195" t="str">
        <f>IFERROR(__xludf.DUMMYFUNCTION("""COMPUTED_VALUE"""),"Xbox")</f>
        <v>Xbox</v>
      </c>
      <c r="C187" s="196"/>
      <c r="D187" s="196" t="str">
        <f>IFERROR(__xludf.DUMMYFUNCTION("""COMPUTED_VALUE"""),"Active")</f>
        <v>Active</v>
      </c>
      <c r="E187" s="197">
        <f>IFERROR(__xludf.DUMMYFUNCTION("""COMPUTED_VALUE"""),44112.0)</f>
        <v>44112</v>
      </c>
      <c r="F187" s="198"/>
      <c r="G187" s="199">
        <f>IFERROR(__xludf.DUMMYFUNCTION("""COMPUTED_VALUE"""),60.233333333333334)</f>
        <v>60.23333333</v>
      </c>
      <c r="H187" s="197">
        <f>IFERROR(__xludf.DUMMYFUNCTION("""COMPUTED_VALUE"""),40099.0)</f>
        <v>40099</v>
      </c>
      <c r="I187" s="199">
        <f>IFERROR(__xludf.DUMMYFUNCTION("""COMPUTED_VALUE"""),10.98611111111111)</f>
        <v>10.98611111</v>
      </c>
      <c r="J187" s="200">
        <f>IFERROR(__xludf.DUMMYFUNCTION("""COMPUTED_VALUE"""),82.0)</f>
        <v>82</v>
      </c>
      <c r="K187" s="200">
        <f>IFERROR(__xludf.DUMMYFUNCTION("""COMPUTED_VALUE"""),9.0)</f>
        <v>9</v>
      </c>
      <c r="L187" s="201" t="str">
        <f>IFERROR(__xludf.DUMMYFUNCTION("""COMPUTED_VALUE"""),"Real-Time Strategy / Action-Adventure")</f>
        <v>Real-Time Strategy / Action-Adventure</v>
      </c>
      <c r="M187" s="201"/>
    </row>
    <row r="188">
      <c r="A188" s="190" t="str">
        <f>IFERROR(__xludf.DUMMYFUNCTION("""COMPUTED_VALUE"""),"Gears of War: Ultimate Edition")</f>
        <v>Gears of War: Ultimate Edition</v>
      </c>
      <c r="B188" s="195" t="str">
        <f>IFERROR(__xludf.DUMMYFUNCTION("""COMPUTED_VALUE"""),"Xbox / PC")</f>
        <v>Xbox / PC</v>
      </c>
      <c r="C188" s="196" t="str">
        <f>IFERROR(__xludf.DUMMYFUNCTION("""COMPUTED_VALUE"""),"Yes")</f>
        <v>Yes</v>
      </c>
      <c r="D188" s="196" t="str">
        <f>IFERROR(__xludf.DUMMYFUNCTION("""COMPUTED_VALUE"""),"Active")</f>
        <v>Active</v>
      </c>
      <c r="E188" s="197">
        <f>IFERROR(__xludf.DUMMYFUNCTION("""COMPUTED_VALUE"""),42887.0)</f>
        <v>42887</v>
      </c>
      <c r="F188" s="198"/>
      <c r="G188" s="199">
        <f>IFERROR(__xludf.DUMMYFUNCTION("""COMPUTED_VALUE"""),100.46666666666667)</f>
        <v>100.4666667</v>
      </c>
      <c r="H188" s="197">
        <f>IFERROR(__xludf.DUMMYFUNCTION("""COMPUTED_VALUE"""),39028.0)</f>
        <v>39028</v>
      </c>
      <c r="I188" s="199">
        <f>IFERROR(__xludf.DUMMYFUNCTION("""COMPUTED_VALUE"""),10.566666666666666)</f>
        <v>10.56666667</v>
      </c>
      <c r="J188" s="200">
        <f>IFERROR(__xludf.DUMMYFUNCTION("""COMPUTED_VALUE"""),82.0)</f>
        <v>82</v>
      </c>
      <c r="K188" s="200">
        <f>IFERROR(__xludf.DUMMYFUNCTION("""COMPUTED_VALUE"""),9.0)</f>
        <v>9</v>
      </c>
      <c r="L188" s="201" t="str">
        <f>IFERROR(__xludf.DUMMYFUNCTION("""COMPUTED_VALUE"""),"Shooter")</f>
        <v>Shooter</v>
      </c>
      <c r="M188" s="201" t="str">
        <f>IFERROR(__xludf.DUMMYFUNCTION("""COMPUTED_VALUE"""),"FPS Boost")</f>
        <v>FPS Boost</v>
      </c>
    </row>
    <row r="189">
      <c r="A189" s="190" t="str">
        <f>IFERROR(__xludf.DUMMYFUNCTION("""COMPUTED_VALUE"""),"Viva Piñata: Trouble in Paradise")</f>
        <v>Viva Piñata: Trouble in Paradise</v>
      </c>
      <c r="B189" s="195" t="str">
        <f>IFERROR(__xludf.DUMMYFUNCTION("""COMPUTED_VALUE"""),"Xbox")</f>
        <v>Xbox</v>
      </c>
      <c r="C189" s="196" t="str">
        <f>IFERROR(__xludf.DUMMYFUNCTION("""COMPUTED_VALUE"""),"Touch Controls")</f>
        <v>Touch Controls</v>
      </c>
      <c r="D189" s="196" t="str">
        <f>IFERROR(__xludf.DUMMYFUNCTION("""COMPUTED_VALUE"""),"Active")</f>
        <v>Active</v>
      </c>
      <c r="E189" s="197">
        <f>IFERROR(__xludf.DUMMYFUNCTION("""COMPUTED_VALUE"""),42887.0)</f>
        <v>42887</v>
      </c>
      <c r="F189" s="198"/>
      <c r="G189" s="199">
        <f>IFERROR(__xludf.DUMMYFUNCTION("""COMPUTED_VALUE"""),100.46666666666667)</f>
        <v>100.4666667</v>
      </c>
      <c r="H189" s="197">
        <f>IFERROR(__xludf.DUMMYFUNCTION("""COMPUTED_VALUE"""),39693.0)</f>
        <v>39693</v>
      </c>
      <c r="I189" s="199">
        <f>IFERROR(__xludf.DUMMYFUNCTION("""COMPUTED_VALUE"""),8.747222222222222)</f>
        <v>8.747222222</v>
      </c>
      <c r="J189" s="200">
        <f>IFERROR(__xludf.DUMMYFUNCTION("""COMPUTED_VALUE"""),82.0)</f>
        <v>82</v>
      </c>
      <c r="K189" s="200">
        <f>IFERROR(__xludf.DUMMYFUNCTION("""COMPUTED_VALUE"""),26.5)</f>
        <v>26.5</v>
      </c>
      <c r="L189" s="201" t="str">
        <f>IFERROR(__xludf.DUMMYFUNCTION("""COMPUTED_VALUE"""),"Strategy / Simulation")</f>
        <v>Strategy / Simulation</v>
      </c>
      <c r="M189" s="201"/>
    </row>
    <row r="190">
      <c r="A190" s="190" t="str">
        <f>IFERROR(__xludf.DUMMYFUNCTION("""COMPUTED_VALUE"""),"Super Mega Baseball 3")</f>
        <v>Super Mega Baseball 3</v>
      </c>
      <c r="B190" s="195" t="str">
        <f>IFERROR(__xludf.DUMMYFUNCTION("""COMPUTED_VALUE"""),"Xbox / PC")</f>
        <v>Xbox / PC</v>
      </c>
      <c r="C190" s="196" t="str">
        <f>IFERROR(__xludf.DUMMYFUNCTION("""COMPUTED_VALUE"""),"Touch Controls")</f>
        <v>Touch Controls</v>
      </c>
      <c r="D190" s="196" t="str">
        <f>IFERROR(__xludf.DUMMYFUNCTION("""COMPUTED_VALUE"""),"Active")</f>
        <v>Active</v>
      </c>
      <c r="E190" s="197">
        <f>IFERROR(__xludf.DUMMYFUNCTION("""COMPUTED_VALUE"""),44616.0)</f>
        <v>44616</v>
      </c>
      <c r="F190" s="198"/>
      <c r="G190" s="199">
        <f>IFERROR(__xludf.DUMMYFUNCTION("""COMPUTED_VALUE"""),43.7)</f>
        <v>43.7</v>
      </c>
      <c r="H190" s="197">
        <f>IFERROR(__xludf.DUMMYFUNCTION("""COMPUTED_VALUE"""),43964.0)</f>
        <v>43964</v>
      </c>
      <c r="I190" s="199">
        <f>IFERROR(__xludf.DUMMYFUNCTION("""COMPUTED_VALUE"""),1.7805555555555554)</f>
        <v>1.780555556</v>
      </c>
      <c r="J190" s="200">
        <f>IFERROR(__xludf.DUMMYFUNCTION("""COMPUTED_VALUE"""),81.5)</f>
        <v>81.5</v>
      </c>
      <c r="K190" s="200">
        <f>IFERROR(__xludf.DUMMYFUNCTION("""COMPUTED_VALUE"""),24.0)</f>
        <v>24</v>
      </c>
      <c r="L190" s="201" t="str">
        <f>IFERROR(__xludf.DUMMYFUNCTION("""COMPUTED_VALUE"""),"Sports / Baseball")</f>
        <v>Sports / Baseball</v>
      </c>
      <c r="M190" s="201"/>
    </row>
    <row r="191">
      <c r="A191" s="190" t="str">
        <f>IFERROR(__xludf.DUMMYFUNCTION("""COMPUTED_VALUE"""),"Trackmania Turbo")</f>
        <v>Trackmania Turbo</v>
      </c>
      <c r="B191" s="195" t="str">
        <f>IFERROR(__xludf.DUMMYFUNCTION("""COMPUTED_VALUE"""),"Xbox / PC")</f>
        <v>Xbox / PC</v>
      </c>
      <c r="C191" s="196" t="str">
        <f>IFERROR(__xludf.DUMMYFUNCTION("""COMPUTED_VALUE"""),"Yes")</f>
        <v>Yes</v>
      </c>
      <c r="D191" s="196" t="str">
        <f>IFERROR(__xludf.DUMMYFUNCTION("""COMPUTED_VALUE"""),"Active")</f>
        <v>Active</v>
      </c>
      <c r="E191" s="197">
        <f>IFERROR(__xludf.DUMMYFUNCTION("""COMPUTED_VALUE"""),45931.0)</f>
        <v>45931</v>
      </c>
      <c r="F191" s="198"/>
      <c r="G191" s="199">
        <f>IFERROR(__xludf.DUMMYFUNCTION("""COMPUTED_VALUE"""),0.4666666666666667)</f>
        <v>0.4666666667</v>
      </c>
      <c r="H191" s="197">
        <f>IFERROR(__xludf.DUMMYFUNCTION("""COMPUTED_VALUE"""),42451.0)</f>
        <v>42451</v>
      </c>
      <c r="I191" s="199">
        <f>IFERROR(__xludf.DUMMYFUNCTION("""COMPUTED_VALUE"""),9.525)</f>
        <v>9.525</v>
      </c>
      <c r="J191" s="200">
        <f>IFERROR(__xludf.DUMMYFUNCTION("""COMPUTED_VALUE"""),81.0)</f>
        <v>81</v>
      </c>
      <c r="K191" s="200">
        <f>IFERROR(__xludf.DUMMYFUNCTION("""COMPUTED_VALUE"""),13.0)</f>
        <v>13</v>
      </c>
      <c r="L191" s="201" t="str">
        <f>IFERROR(__xludf.DUMMYFUNCTION("""COMPUTED_VALUE"""),"Racing")</f>
        <v>Racing</v>
      </c>
      <c r="M191" s="201"/>
    </row>
    <row r="192">
      <c r="A192" s="190" t="str">
        <f>IFERROR(__xludf.DUMMYFUNCTION("""COMPUTED_VALUE"""),"Uno")</f>
        <v>Uno</v>
      </c>
      <c r="B192" s="195" t="str">
        <f>IFERROR(__xludf.DUMMYFUNCTION("""COMPUTED_VALUE"""),"Xbox / PC")</f>
        <v>Xbox / PC</v>
      </c>
      <c r="C192" s="196" t="str">
        <f>IFERROR(__xludf.DUMMYFUNCTION("""COMPUTED_VALUE"""),"Yes")</f>
        <v>Yes</v>
      </c>
      <c r="D192" s="196" t="str">
        <f>IFERROR(__xludf.DUMMYFUNCTION("""COMPUTED_VALUE"""),"Active")</f>
        <v>Active</v>
      </c>
      <c r="E192" s="197">
        <f>IFERROR(__xludf.DUMMYFUNCTION("""COMPUTED_VALUE"""),45931.0)</f>
        <v>45931</v>
      </c>
      <c r="F192" s="198"/>
      <c r="G192" s="199">
        <f>IFERROR(__xludf.DUMMYFUNCTION("""COMPUTED_VALUE"""),0.4666666666666667)</f>
        <v>0.4666666667</v>
      </c>
      <c r="H192" s="197">
        <f>IFERROR(__xludf.DUMMYFUNCTION("""COMPUTED_VALUE"""),38846.0)</f>
        <v>38846</v>
      </c>
      <c r="I192" s="199">
        <f>IFERROR(__xludf.DUMMYFUNCTION("""COMPUTED_VALUE"""),19.394444444444446)</f>
        <v>19.39444444</v>
      </c>
      <c r="J192" s="200">
        <f>IFERROR(__xludf.DUMMYFUNCTION("""COMPUTED_VALUE"""),81.0)</f>
        <v>81</v>
      </c>
      <c r="K192" s="200">
        <f>IFERROR(__xludf.DUMMYFUNCTION("""COMPUTED_VALUE"""),3.0)</f>
        <v>3</v>
      </c>
      <c r="L192" s="201" t="str">
        <f>IFERROR(__xludf.DUMMYFUNCTION("""COMPUTED_VALUE"""),"Board")</f>
        <v>Board</v>
      </c>
      <c r="M192" s="201"/>
    </row>
    <row r="193">
      <c r="A193" s="190" t="str">
        <f>IFERROR(__xludf.DUMMYFUNCTION("""COMPUTED_VALUE"""),"The Rogue Prince of Persia")</f>
        <v>The Rogue Prince of Persia</v>
      </c>
      <c r="B193" s="195" t="str">
        <f>IFERROR(__xludf.DUMMYFUNCTION("""COMPUTED_VALUE"""),"Xbox / PC")</f>
        <v>Xbox / PC</v>
      </c>
      <c r="C193" s="196" t="str">
        <f>IFERROR(__xludf.DUMMYFUNCTION("""COMPUTED_VALUE"""),"Yes")</f>
        <v>Yes</v>
      </c>
      <c r="D193" s="196" t="str">
        <f>IFERROR(__xludf.DUMMYFUNCTION("""COMPUTED_VALUE"""),"Active")</f>
        <v>Active</v>
      </c>
      <c r="E193" s="197">
        <f>IFERROR(__xludf.DUMMYFUNCTION("""COMPUTED_VALUE"""),45889.0)</f>
        <v>45889</v>
      </c>
      <c r="F193" s="198"/>
      <c r="G193" s="199">
        <f>IFERROR(__xludf.DUMMYFUNCTION("""COMPUTED_VALUE"""),1.8333333333333335)</f>
        <v>1.833333333</v>
      </c>
      <c r="H193" s="197">
        <f>IFERROR(__xludf.DUMMYFUNCTION("""COMPUTED_VALUE"""),45889.0)</f>
        <v>45889</v>
      </c>
      <c r="I193" s="199">
        <f>IFERROR(__xludf.DUMMYFUNCTION("""COMPUTED_VALUE"""),0.0)</f>
        <v>0</v>
      </c>
      <c r="J193" s="200">
        <f>IFERROR(__xludf.DUMMYFUNCTION("""COMPUTED_VALUE"""),81.0)</f>
        <v>81</v>
      </c>
      <c r="K193" s="200">
        <f>IFERROR(__xludf.DUMMYFUNCTION("""COMPUTED_VALUE"""),8.0)</f>
        <v>8</v>
      </c>
      <c r="L193" s="201" t="str">
        <f>IFERROR(__xludf.DUMMYFUNCTION("""COMPUTED_VALUE"""),"Platformer")</f>
        <v>Platformer</v>
      </c>
      <c r="M193" s="201"/>
    </row>
    <row r="194">
      <c r="A194" s="190" t="str">
        <f>IFERROR(__xludf.DUMMYFUNCTION("""COMPUTED_VALUE"""),"My Friendly Neighborhood")</f>
        <v>My Friendly Neighborhood</v>
      </c>
      <c r="B194" s="195" t="str">
        <f>IFERROR(__xludf.DUMMYFUNCTION("""COMPUTED_VALUE"""),"Xbox / PC")</f>
        <v>Xbox / PC</v>
      </c>
      <c r="C194" s="196" t="str">
        <f>IFERROR(__xludf.DUMMYFUNCTION("""COMPUTED_VALUE"""),"Yes")</f>
        <v>Yes</v>
      </c>
      <c r="D194" s="196" t="str">
        <f>IFERROR(__xludf.DUMMYFUNCTION("""COMPUTED_VALUE"""),"Active")</f>
        <v>Active</v>
      </c>
      <c r="E194" s="197">
        <f>IFERROR(__xludf.DUMMYFUNCTION("""COMPUTED_VALUE"""),45855.0)</f>
        <v>45855</v>
      </c>
      <c r="F194" s="198"/>
      <c r="G194" s="199">
        <f>IFERROR(__xludf.DUMMYFUNCTION("""COMPUTED_VALUE"""),2.933333333333333)</f>
        <v>2.933333333</v>
      </c>
      <c r="H194" s="197">
        <f>IFERROR(__xludf.DUMMYFUNCTION("""COMPUTED_VALUE"""),45125.0)</f>
        <v>45125</v>
      </c>
      <c r="I194" s="199">
        <f>IFERROR(__xludf.DUMMYFUNCTION("""COMPUTED_VALUE"""),1.9972222222222222)</f>
        <v>1.997222222</v>
      </c>
      <c r="J194" s="200">
        <f>IFERROR(__xludf.DUMMYFUNCTION("""COMPUTED_VALUE"""),81.0)</f>
        <v>81</v>
      </c>
      <c r="K194" s="200">
        <f>IFERROR(__xludf.DUMMYFUNCTION("""COMPUTED_VALUE"""),5.0)</f>
        <v>5</v>
      </c>
      <c r="L194" s="201" t="str">
        <f>IFERROR(__xludf.DUMMYFUNCTION("""COMPUTED_VALUE"""),"Survival")</f>
        <v>Survival</v>
      </c>
      <c r="M194" s="201"/>
    </row>
    <row r="195">
      <c r="A195" s="190" t="str">
        <f>IFERROR(__xludf.DUMMYFUNCTION("""COMPUTED_VALUE"""),"Anno 1800")</f>
        <v>Anno 1800</v>
      </c>
      <c r="B195" s="195" t="str">
        <f>IFERROR(__xludf.DUMMYFUNCTION("""COMPUTED_VALUE"""),"Xbox / PC")</f>
        <v>Xbox / PC</v>
      </c>
      <c r="C195" s="196" t="str">
        <f>IFERROR(__xludf.DUMMYFUNCTION("""COMPUTED_VALUE"""),"Yes")</f>
        <v>Yes</v>
      </c>
      <c r="D195" s="196" t="str">
        <f>IFERROR(__xludf.DUMMYFUNCTION("""COMPUTED_VALUE"""),"Active")</f>
        <v>Active</v>
      </c>
      <c r="E195" s="197">
        <f>IFERROR(__xludf.DUMMYFUNCTION("""COMPUTED_VALUE"""),45778.0)</f>
        <v>45778</v>
      </c>
      <c r="F195" s="198"/>
      <c r="G195" s="199">
        <f>IFERROR(__xludf.DUMMYFUNCTION("""COMPUTED_VALUE"""),5.466666666666667)</f>
        <v>5.466666667</v>
      </c>
      <c r="H195" s="197">
        <f>IFERROR(__xludf.DUMMYFUNCTION("""COMPUTED_VALUE"""),43571.0)</f>
        <v>43571</v>
      </c>
      <c r="I195" s="199">
        <f>IFERROR(__xludf.DUMMYFUNCTION("""COMPUTED_VALUE"""),6.041666666666667)</f>
        <v>6.041666667</v>
      </c>
      <c r="J195" s="200">
        <f>IFERROR(__xludf.DUMMYFUNCTION("""COMPUTED_VALUE"""),81.0)</f>
        <v>81</v>
      </c>
      <c r="K195" s="200">
        <f>IFERROR(__xludf.DUMMYFUNCTION("""COMPUTED_VALUE"""),15.0)</f>
        <v>15</v>
      </c>
      <c r="L195" s="201" t="str">
        <f>IFERROR(__xludf.DUMMYFUNCTION("""COMPUTED_VALUE"""),"Management")</f>
        <v>Management</v>
      </c>
      <c r="M195" s="201" t="str">
        <f>IFERROR(__xludf.DUMMYFUNCTION("""COMPUTED_VALUE"""),"Exclusive")</f>
        <v>Exclusive</v>
      </c>
    </row>
    <row r="196">
      <c r="A196" s="190" t="str">
        <f>IFERROR(__xludf.DUMMYFUNCTION("""COMPUTED_VALUE"""),"Avowed")</f>
        <v>Avowed</v>
      </c>
      <c r="B196" s="195" t="str">
        <f>IFERROR(__xludf.DUMMYFUNCTION("""COMPUTED_VALUE"""),"Xbox / PC")</f>
        <v>Xbox / PC</v>
      </c>
      <c r="C196" s="196" t="str">
        <f>IFERROR(__xludf.DUMMYFUNCTION("""COMPUTED_VALUE"""),"Yes")</f>
        <v>Yes</v>
      </c>
      <c r="D196" s="196" t="str">
        <f>IFERROR(__xludf.DUMMYFUNCTION("""COMPUTED_VALUE"""),"Active")</f>
        <v>Active</v>
      </c>
      <c r="E196" s="197">
        <f>IFERROR(__xludf.DUMMYFUNCTION("""COMPUTED_VALUE"""),45706.0)</f>
        <v>45706</v>
      </c>
      <c r="F196" s="198"/>
      <c r="G196" s="199">
        <f>IFERROR(__xludf.DUMMYFUNCTION("""COMPUTED_VALUE"""),7.9)</f>
        <v>7.9</v>
      </c>
      <c r="H196" s="197">
        <f>IFERROR(__xludf.DUMMYFUNCTION("""COMPUTED_VALUE"""),45706.0)</f>
        <v>45706</v>
      </c>
      <c r="I196" s="199">
        <f>IFERROR(__xludf.DUMMYFUNCTION("""COMPUTED_VALUE"""),0.0)</f>
        <v>0</v>
      </c>
      <c r="J196" s="200">
        <f>IFERROR(__xludf.DUMMYFUNCTION("""COMPUTED_VALUE"""),81.0)</f>
        <v>81</v>
      </c>
      <c r="K196" s="200">
        <f>IFERROR(__xludf.DUMMYFUNCTION("""COMPUTED_VALUE"""),17.0)</f>
        <v>17</v>
      </c>
      <c r="L196" s="201" t="str">
        <f>IFERROR(__xludf.DUMMYFUNCTION("""COMPUTED_VALUE"""),"RPG")</f>
        <v>RPG</v>
      </c>
      <c r="M196" s="201" t="str">
        <f>IFERROR(__xludf.DUMMYFUNCTION("""COMPUTED_VALUE"""),"Exclusive")</f>
        <v>Exclusive</v>
      </c>
    </row>
    <row r="197">
      <c r="A197" s="190" t="str">
        <f>IFERROR(__xludf.DUMMYFUNCTION("""COMPUTED_VALUE"""),"SIFU")</f>
        <v>SIFU</v>
      </c>
      <c r="B197" s="195" t="str">
        <f>IFERROR(__xludf.DUMMYFUNCTION("""COMPUTED_VALUE"""),"Xbox / PC")</f>
        <v>Xbox / PC</v>
      </c>
      <c r="C197" s="196" t="str">
        <f>IFERROR(__xludf.DUMMYFUNCTION("""COMPUTED_VALUE"""),"Yes")</f>
        <v>Yes</v>
      </c>
      <c r="D197" s="196" t="str">
        <f>IFERROR(__xludf.DUMMYFUNCTION("""COMPUTED_VALUE"""),"Active")</f>
        <v>Active</v>
      </c>
      <c r="E197" s="197">
        <f>IFERROR(__xludf.DUMMYFUNCTION("""COMPUTED_VALUE"""),45567.0)</f>
        <v>45567</v>
      </c>
      <c r="F197" s="198"/>
      <c r="G197" s="199">
        <f>IFERROR(__xludf.DUMMYFUNCTION("""COMPUTED_VALUE"""),12.433333333333334)</f>
        <v>12.43333333</v>
      </c>
      <c r="H197" s="197">
        <f>IFERROR(__xludf.DUMMYFUNCTION("""COMPUTED_VALUE"""),44600.0)</f>
        <v>44600</v>
      </c>
      <c r="I197" s="199">
        <f>IFERROR(__xludf.DUMMYFUNCTION("""COMPUTED_VALUE"""),2.65)</f>
        <v>2.65</v>
      </c>
      <c r="J197" s="200">
        <f>IFERROR(__xludf.DUMMYFUNCTION("""COMPUTED_VALUE"""),81.0)</f>
        <v>81</v>
      </c>
      <c r="K197" s="200">
        <f>IFERROR(__xludf.DUMMYFUNCTION("""COMPUTED_VALUE"""),9.0)</f>
        <v>9</v>
      </c>
      <c r="L197" s="201" t="str">
        <f>IFERROR(__xludf.DUMMYFUNCTION("""COMPUTED_VALUE"""),"Xbox / PC")</f>
        <v>Xbox / PC</v>
      </c>
      <c r="M197" s="201"/>
    </row>
    <row r="198">
      <c r="A198" s="190" t="str">
        <f>IFERROR(__xludf.DUMMYFUNCTION("""COMPUTED_VALUE"""),"Have A Nice Death")</f>
        <v>Have A Nice Death</v>
      </c>
      <c r="B198" s="195" t="str">
        <f>IFERROR(__xludf.DUMMYFUNCTION("""COMPUTED_VALUE"""),"Xbox / PC")</f>
        <v>Xbox / PC</v>
      </c>
      <c r="C198" s="196" t="str">
        <f>IFERROR(__xludf.DUMMYFUNCTION("""COMPUTED_VALUE"""),"Yes")</f>
        <v>Yes</v>
      </c>
      <c r="D198" s="196" t="str">
        <f>IFERROR(__xludf.DUMMYFUNCTION("""COMPUTED_VALUE"""),"Active")</f>
        <v>Active</v>
      </c>
      <c r="E198" s="197">
        <f>IFERROR(__xludf.DUMMYFUNCTION("""COMPUTED_VALUE"""),45412.0)</f>
        <v>45412</v>
      </c>
      <c r="F198" s="198"/>
      <c r="G198" s="199">
        <f>IFERROR(__xludf.DUMMYFUNCTION("""COMPUTED_VALUE"""),17.5)</f>
        <v>17.5</v>
      </c>
      <c r="H198" s="197">
        <f>IFERROR(__xludf.DUMMYFUNCTION("""COMPUTED_VALUE"""),45007.0)</f>
        <v>45007</v>
      </c>
      <c r="I198" s="199">
        <f>IFERROR(__xludf.DUMMYFUNCTION("""COMPUTED_VALUE"""),1.1055555555555556)</f>
        <v>1.105555556</v>
      </c>
      <c r="J198" s="200">
        <f>IFERROR(__xludf.DUMMYFUNCTION("""COMPUTED_VALUE"""),81.0)</f>
        <v>81</v>
      </c>
      <c r="K198" s="200">
        <f>IFERROR(__xludf.DUMMYFUNCTION("""COMPUTED_VALUE"""),9.0)</f>
        <v>9</v>
      </c>
      <c r="L198" s="201" t="str">
        <f>IFERROR(__xludf.DUMMYFUNCTION("""COMPUTED_VALUE"""),"Platformer")</f>
        <v>Platformer</v>
      </c>
      <c r="M198" s="201"/>
    </row>
    <row r="199">
      <c r="A199" s="190" t="str">
        <f>IFERROR(__xludf.DUMMYFUNCTION("""COMPUTED_VALUE"""),"Ni no Kuni II: Revenant Kingdom - The Prince's Edition")</f>
        <v>Ni no Kuni II: Revenant Kingdom - The Prince's Edition</v>
      </c>
      <c r="B199" s="195" t="str">
        <f>IFERROR(__xludf.DUMMYFUNCTION("""COMPUTED_VALUE"""),"Xbox / PC")</f>
        <v>Xbox / PC</v>
      </c>
      <c r="C199" s="196"/>
      <c r="D199" s="196" t="str">
        <f>IFERROR(__xludf.DUMMYFUNCTION("""COMPUTED_VALUE"""),"Active")</f>
        <v>Active</v>
      </c>
      <c r="E199" s="197">
        <f>IFERROR(__xludf.DUMMYFUNCTION("""COMPUTED_VALUE"""),45006.0)</f>
        <v>45006</v>
      </c>
      <c r="F199" s="198"/>
      <c r="G199" s="199">
        <f>IFERROR(__xludf.DUMMYFUNCTION("""COMPUTED_VALUE"""),30.800000000000004)</f>
        <v>30.8</v>
      </c>
      <c r="H199" s="197">
        <f>IFERROR(__xludf.DUMMYFUNCTION("""COMPUTED_VALUE"""),43182.0)</f>
        <v>43182</v>
      </c>
      <c r="I199" s="199">
        <f>IFERROR(__xludf.DUMMYFUNCTION("""COMPUTED_VALUE"""),4.9944444444444445)</f>
        <v>4.994444444</v>
      </c>
      <c r="J199" s="200">
        <f>IFERROR(__xludf.DUMMYFUNCTION("""COMPUTED_VALUE"""),81.0)</f>
        <v>81</v>
      </c>
      <c r="K199" s="200">
        <f>IFERROR(__xludf.DUMMYFUNCTION("""COMPUTED_VALUE"""),39.0)</f>
        <v>39</v>
      </c>
      <c r="L199" s="201" t="str">
        <f>IFERROR(__xludf.DUMMYFUNCTION("""COMPUTED_VALUE"""),"Action / RPG")</f>
        <v>Action / RPG</v>
      </c>
      <c r="M199" s="201"/>
    </row>
    <row r="200">
      <c r="A200" s="190" t="str">
        <f>IFERROR(__xludf.DUMMYFUNCTION("""COMPUTED_VALUE"""),"Immortals Fenyx Rising")</f>
        <v>Immortals Fenyx Rising</v>
      </c>
      <c r="B200" s="195" t="str">
        <f>IFERROR(__xludf.DUMMYFUNCTION("""COMPUTED_VALUE"""),"Xbox / PC")</f>
        <v>Xbox / PC</v>
      </c>
      <c r="C200" s="196" t="str">
        <f>IFERROR(__xludf.DUMMYFUNCTION("""COMPUTED_VALUE"""),"Touch Controls")</f>
        <v>Touch Controls</v>
      </c>
      <c r="D200" s="196" t="str">
        <f>IFERROR(__xludf.DUMMYFUNCTION("""COMPUTED_VALUE"""),"Active")</f>
        <v>Active</v>
      </c>
      <c r="E200" s="197">
        <f>IFERROR(__xludf.DUMMYFUNCTION("""COMPUTED_VALUE"""),44803.0)</f>
        <v>44803</v>
      </c>
      <c r="F200" s="198"/>
      <c r="G200" s="199">
        <f>IFERROR(__xludf.DUMMYFUNCTION("""COMPUTED_VALUE"""),37.5)</f>
        <v>37.5</v>
      </c>
      <c r="H200" s="197">
        <f>IFERROR(__xludf.DUMMYFUNCTION("""COMPUTED_VALUE"""),44168.0)</f>
        <v>44168</v>
      </c>
      <c r="I200" s="199">
        <f>IFERROR(__xludf.DUMMYFUNCTION("""COMPUTED_VALUE"""),1.7416666666666667)</f>
        <v>1.741666667</v>
      </c>
      <c r="J200" s="200">
        <f>IFERROR(__xludf.DUMMYFUNCTION("""COMPUTED_VALUE"""),81.0)</f>
        <v>81</v>
      </c>
      <c r="K200" s="200">
        <f>IFERROR(__xludf.DUMMYFUNCTION("""COMPUTED_VALUE"""),25.5)</f>
        <v>25.5</v>
      </c>
      <c r="L200" s="201" t="str">
        <f>IFERROR(__xludf.DUMMYFUNCTION("""COMPUTED_VALUE"""),"RPG / Action-Adventure")</f>
        <v>RPG / Action-Adventure</v>
      </c>
      <c r="M200" s="201"/>
    </row>
    <row r="201">
      <c r="A201" s="190" t="str">
        <f>IFERROR(__xludf.DUMMYFUNCTION("""COMPUTED_VALUE"""),"Age of Empires IV: Anniversary Edition")</f>
        <v>Age of Empires IV: Anniversary Edition</v>
      </c>
      <c r="B201" s="195" t="str">
        <f>IFERROR(__xludf.DUMMYFUNCTION("""COMPUTED_VALUE"""),"Xbox / PC")</f>
        <v>Xbox / PC</v>
      </c>
      <c r="C201" s="196" t="str">
        <f>IFERROR(__xludf.DUMMYFUNCTION("""COMPUTED_VALUE"""),"Yes")</f>
        <v>Yes</v>
      </c>
      <c r="D201" s="196" t="str">
        <f>IFERROR(__xludf.DUMMYFUNCTION("""COMPUTED_VALUE"""),"Active")</f>
        <v>Active</v>
      </c>
      <c r="E201" s="197">
        <f>IFERROR(__xludf.DUMMYFUNCTION("""COMPUTED_VALUE"""),44497.0)</f>
        <v>44497</v>
      </c>
      <c r="F201" s="198"/>
      <c r="G201" s="199">
        <f>IFERROR(__xludf.DUMMYFUNCTION("""COMPUTED_VALUE"""),47.56666666666667)</f>
        <v>47.56666667</v>
      </c>
      <c r="H201" s="197">
        <f>IFERROR(__xludf.DUMMYFUNCTION("""COMPUTED_VALUE"""),44497.0)</f>
        <v>44497</v>
      </c>
      <c r="I201" s="199">
        <f>IFERROR(__xludf.DUMMYFUNCTION("""COMPUTED_VALUE"""),0.0)</f>
        <v>0</v>
      </c>
      <c r="J201" s="200">
        <f>IFERROR(__xludf.DUMMYFUNCTION("""COMPUTED_VALUE"""),81.0)</f>
        <v>81</v>
      </c>
      <c r="K201" s="200">
        <f>IFERROR(__xludf.DUMMYFUNCTION("""COMPUTED_VALUE"""),24.5)</f>
        <v>24.5</v>
      </c>
      <c r="L201" s="201" t="str">
        <f>IFERROR(__xludf.DUMMYFUNCTION("""COMPUTED_VALUE"""),"Real-Time Strategy")</f>
        <v>Real-Time Strategy</v>
      </c>
      <c r="M201" s="201"/>
    </row>
    <row r="202">
      <c r="A202" s="190" t="str">
        <f>IFERROR(__xludf.DUMMYFUNCTION("""COMPUTED_VALUE"""),"The Evil Within 2")</f>
        <v>The Evil Within 2</v>
      </c>
      <c r="B202" s="195" t="str">
        <f>IFERROR(__xludf.DUMMYFUNCTION("""COMPUTED_VALUE"""),"Xbox / PC")</f>
        <v>Xbox / PC</v>
      </c>
      <c r="C202" s="196" t="str">
        <f>IFERROR(__xludf.DUMMYFUNCTION("""COMPUTED_VALUE"""),"Yes")</f>
        <v>Yes</v>
      </c>
      <c r="D202" s="196" t="str">
        <f>IFERROR(__xludf.DUMMYFUNCTION("""COMPUTED_VALUE"""),"Active")</f>
        <v>Active</v>
      </c>
      <c r="E202" s="197">
        <f>IFERROR(__xludf.DUMMYFUNCTION("""COMPUTED_VALUE"""),44360.0)</f>
        <v>44360</v>
      </c>
      <c r="F202" s="198"/>
      <c r="G202" s="199">
        <f>IFERROR(__xludf.DUMMYFUNCTION("""COMPUTED_VALUE"""),52.06666666666666)</f>
        <v>52.06666667</v>
      </c>
      <c r="H202" s="197">
        <f>IFERROR(__xludf.DUMMYFUNCTION("""COMPUTED_VALUE"""),43021.0)</f>
        <v>43021</v>
      </c>
      <c r="I202" s="199">
        <f>IFERROR(__xludf.DUMMYFUNCTION("""COMPUTED_VALUE"""),3.6666666666666665)</f>
        <v>3.666666667</v>
      </c>
      <c r="J202" s="200">
        <f>IFERROR(__xludf.DUMMYFUNCTION("""COMPUTED_VALUE"""),81.0)</f>
        <v>81</v>
      </c>
      <c r="K202" s="200">
        <f>IFERROR(__xludf.DUMMYFUNCTION("""COMPUTED_VALUE"""),13.5)</f>
        <v>13.5</v>
      </c>
      <c r="L202" s="201" t="str">
        <f>IFERROR(__xludf.DUMMYFUNCTION("""COMPUTED_VALUE"""),"Shooter")</f>
        <v>Shooter</v>
      </c>
      <c r="M202" s="201" t="str">
        <f>IFERROR(__xludf.DUMMYFUNCTION("""COMPUTED_VALUE"""),"FPS Boost")</f>
        <v>FPS Boost</v>
      </c>
    </row>
    <row r="203">
      <c r="A203" s="190" t="str">
        <f>IFERROR(__xludf.DUMMYFUNCTION("""COMPUTED_VALUE"""),"SnowRunner")</f>
        <v>SnowRunner</v>
      </c>
      <c r="B203" s="195" t="str">
        <f>IFERROR(__xludf.DUMMYFUNCTION("""COMPUTED_VALUE"""),"Xbox / PC")</f>
        <v>Xbox / PC</v>
      </c>
      <c r="C203" s="196" t="str">
        <f>IFERROR(__xludf.DUMMYFUNCTION("""COMPUTED_VALUE"""),"Yes")</f>
        <v>Yes</v>
      </c>
      <c r="D203" s="196" t="str">
        <f>IFERROR(__xludf.DUMMYFUNCTION("""COMPUTED_VALUE"""),"Active")</f>
        <v>Active</v>
      </c>
      <c r="E203" s="197">
        <f>IFERROR(__xludf.DUMMYFUNCTION("""COMPUTED_VALUE"""),44334.0)</f>
        <v>44334</v>
      </c>
      <c r="F203" s="198"/>
      <c r="G203" s="199">
        <f>IFERROR(__xludf.DUMMYFUNCTION("""COMPUTED_VALUE"""),52.9)</f>
        <v>52.9</v>
      </c>
      <c r="H203" s="197">
        <f>IFERROR(__xludf.DUMMYFUNCTION("""COMPUTED_VALUE"""),43949.0)</f>
        <v>43949</v>
      </c>
      <c r="I203" s="199">
        <f>IFERROR(__xludf.DUMMYFUNCTION("""COMPUTED_VALUE"""),1.0555555555555556)</f>
        <v>1.055555556</v>
      </c>
      <c r="J203" s="200">
        <f>IFERROR(__xludf.DUMMYFUNCTION("""COMPUTED_VALUE"""),81.0)</f>
        <v>81</v>
      </c>
      <c r="K203" s="200">
        <f>IFERROR(__xludf.DUMMYFUNCTION("""COMPUTED_VALUE"""),90.0)</f>
        <v>90</v>
      </c>
      <c r="L203" s="201" t="str">
        <f>IFERROR(__xludf.DUMMYFUNCTION("""COMPUTED_VALUE"""),"Driving/Racing / Simulation")</f>
        <v>Driving/Racing / Simulation</v>
      </c>
      <c r="M203" s="201"/>
    </row>
    <row r="204">
      <c r="A204" s="190" t="str">
        <f>IFERROR(__xludf.DUMMYFUNCTION("""COMPUTED_VALUE"""),"Starbound")</f>
        <v>Starbound</v>
      </c>
      <c r="B204" s="195" t="str">
        <f>IFERROR(__xludf.DUMMYFUNCTION("""COMPUTED_VALUE"""),"Xbox / PC")</f>
        <v>Xbox / PC</v>
      </c>
      <c r="C204" s="196" t="str">
        <f>IFERROR(__xludf.DUMMYFUNCTION("""COMPUTED_VALUE"""),"Yes")</f>
        <v>Yes</v>
      </c>
      <c r="D204" s="196" t="str">
        <f>IFERROR(__xludf.DUMMYFUNCTION("""COMPUTED_VALUE"""),"Active")</f>
        <v>Active</v>
      </c>
      <c r="E204" s="197">
        <f>IFERROR(__xludf.DUMMYFUNCTION("""COMPUTED_VALUE"""),44173.0)</f>
        <v>44173</v>
      </c>
      <c r="F204" s="198"/>
      <c r="G204" s="199">
        <f>IFERROR(__xludf.DUMMYFUNCTION("""COMPUTED_VALUE"""),58.233333333333334)</f>
        <v>58.23333333</v>
      </c>
      <c r="H204" s="197">
        <f>IFERROR(__xludf.DUMMYFUNCTION("""COMPUTED_VALUE"""),42573.0)</f>
        <v>42573</v>
      </c>
      <c r="I204" s="199">
        <f>IFERROR(__xludf.DUMMYFUNCTION("""COMPUTED_VALUE"""),4.377777777777778)</f>
        <v>4.377777778</v>
      </c>
      <c r="J204" s="200">
        <f>IFERROR(__xludf.DUMMYFUNCTION("""COMPUTED_VALUE"""),81.0)</f>
        <v>81</v>
      </c>
      <c r="K204" s="200">
        <f>IFERROR(__xludf.DUMMYFUNCTION("""COMPUTED_VALUE"""),21.5)</f>
        <v>21.5</v>
      </c>
      <c r="L204" s="201" t="str">
        <f>IFERROR(__xludf.DUMMYFUNCTION("""COMPUTED_VALUE"""),"Platformer / Action-Adventure")</f>
        <v>Platformer / Action-Adventure</v>
      </c>
      <c r="M204" s="201"/>
    </row>
    <row r="205">
      <c r="A205" s="190" t="str">
        <f>IFERROR(__xludf.DUMMYFUNCTION("""COMPUTED_VALUE"""),"Battlefield 4: Premium Edition")</f>
        <v>Battlefield 4: Premium Edition</v>
      </c>
      <c r="B205" s="195" t="str">
        <f>IFERROR(__xludf.DUMMYFUNCTION("""COMPUTED_VALUE"""),"Xbox / PC")</f>
        <v>Xbox / PC</v>
      </c>
      <c r="C205" s="196" t="str">
        <f>IFERROR(__xludf.DUMMYFUNCTION("""COMPUTED_VALUE"""),"Yes")</f>
        <v>Yes</v>
      </c>
      <c r="D205" s="196" t="str">
        <f>IFERROR(__xludf.DUMMYFUNCTION("""COMPUTED_VALUE"""),"Active")</f>
        <v>Active</v>
      </c>
      <c r="E205" s="197">
        <f>IFERROR(__xludf.DUMMYFUNCTION("""COMPUTED_VALUE"""),44145.0)</f>
        <v>44145</v>
      </c>
      <c r="F205" s="198"/>
      <c r="G205" s="199">
        <f>IFERROR(__xludf.DUMMYFUNCTION("""COMPUTED_VALUE"""),59.166666666666664)</f>
        <v>59.16666667</v>
      </c>
      <c r="H205" s="197">
        <f>IFERROR(__xludf.DUMMYFUNCTION("""COMPUTED_VALUE"""),41576.0)</f>
        <v>41576</v>
      </c>
      <c r="I205" s="199">
        <f>IFERROR(__xludf.DUMMYFUNCTION("""COMPUTED_VALUE"""),7.030555555555556)</f>
        <v>7.030555556</v>
      </c>
      <c r="J205" s="200">
        <f>IFERROR(__xludf.DUMMYFUNCTION("""COMPUTED_VALUE"""),81.0)</f>
        <v>81</v>
      </c>
      <c r="K205" s="200">
        <f>IFERROR(__xludf.DUMMYFUNCTION("""COMPUTED_VALUE"""),6.0)</f>
        <v>6</v>
      </c>
      <c r="L205" s="201" t="str">
        <f>IFERROR(__xludf.DUMMYFUNCTION("""COMPUTED_VALUE"""),"First-Person Shooter")</f>
        <v>First-Person Shooter</v>
      </c>
      <c r="M205" s="201" t="str">
        <f>IFERROR(__xludf.DUMMYFUNCTION("""COMPUTED_VALUE"""),"FPS Boost")</f>
        <v>FPS Boost</v>
      </c>
    </row>
    <row r="206">
      <c r="A206" s="190" t="str">
        <f>IFERROR(__xludf.DUMMYFUNCTION("""COMPUTED_VALUE"""),"Crysis")</f>
        <v>Crysis</v>
      </c>
      <c r="B206" s="195" t="str">
        <f>IFERROR(__xludf.DUMMYFUNCTION("""COMPUTED_VALUE"""),"Xbox / PC")</f>
        <v>Xbox / PC</v>
      </c>
      <c r="C206" s="196"/>
      <c r="D206" s="196" t="str">
        <f>IFERROR(__xludf.DUMMYFUNCTION("""COMPUTED_VALUE"""),"Active")</f>
        <v>Active</v>
      </c>
      <c r="E206" s="197">
        <f>IFERROR(__xludf.DUMMYFUNCTION("""COMPUTED_VALUE"""),44145.0)</f>
        <v>44145</v>
      </c>
      <c r="F206" s="198"/>
      <c r="G206" s="199">
        <f>IFERROR(__xludf.DUMMYFUNCTION("""COMPUTED_VALUE"""),59.166666666666664)</f>
        <v>59.16666667</v>
      </c>
      <c r="H206" s="197">
        <f>IFERROR(__xludf.DUMMYFUNCTION("""COMPUTED_VALUE"""),39399.0)</f>
        <v>39399</v>
      </c>
      <c r="I206" s="199">
        <f>IFERROR(__xludf.DUMMYFUNCTION("""COMPUTED_VALUE"""),12.991666666666667)</f>
        <v>12.99166667</v>
      </c>
      <c r="J206" s="200">
        <f>IFERROR(__xludf.DUMMYFUNCTION("""COMPUTED_VALUE"""),81.0)</f>
        <v>81</v>
      </c>
      <c r="K206" s="200">
        <f>IFERROR(__xludf.DUMMYFUNCTION("""COMPUTED_VALUE"""),10.0)</f>
        <v>10</v>
      </c>
      <c r="L206" s="201" t="str">
        <f>IFERROR(__xludf.DUMMYFUNCTION("""COMPUTED_VALUE"""),"Action / First-Person Shooter")</f>
        <v>Action / First-Person Shooter</v>
      </c>
      <c r="M206" s="201"/>
    </row>
    <row r="207">
      <c r="A207" s="190" t="str">
        <f>IFERROR(__xludf.DUMMYFUNCTION("""COMPUTED_VALUE"""),"Star Wars Jedi: Fallen Order")</f>
        <v>Star Wars Jedi: Fallen Order</v>
      </c>
      <c r="B207" s="195" t="str">
        <f>IFERROR(__xludf.DUMMYFUNCTION("""COMPUTED_VALUE"""),"Xbox / PC")</f>
        <v>Xbox / PC</v>
      </c>
      <c r="C207" s="196" t="str">
        <f>IFERROR(__xludf.DUMMYFUNCTION("""COMPUTED_VALUE"""),"Yes")</f>
        <v>Yes</v>
      </c>
      <c r="D207" s="196" t="str">
        <f>IFERROR(__xludf.DUMMYFUNCTION("""COMPUTED_VALUE"""),"Active")</f>
        <v>Active</v>
      </c>
      <c r="E207" s="197">
        <f>IFERROR(__xludf.DUMMYFUNCTION("""COMPUTED_VALUE"""),44145.0)</f>
        <v>44145</v>
      </c>
      <c r="F207" s="198"/>
      <c r="G207" s="199">
        <f>IFERROR(__xludf.DUMMYFUNCTION("""COMPUTED_VALUE"""),59.166666666666664)</f>
        <v>59.16666667</v>
      </c>
      <c r="H207" s="197">
        <f>IFERROR(__xludf.DUMMYFUNCTION("""COMPUTED_VALUE"""),43784.0)</f>
        <v>43784</v>
      </c>
      <c r="I207" s="199">
        <f>IFERROR(__xludf.DUMMYFUNCTION("""COMPUTED_VALUE"""),0.9861111111111112)</f>
        <v>0.9861111111</v>
      </c>
      <c r="J207" s="200">
        <f>IFERROR(__xludf.DUMMYFUNCTION("""COMPUTED_VALUE"""),81.0)</f>
        <v>81</v>
      </c>
      <c r="K207" s="200">
        <f>IFERROR(__xludf.DUMMYFUNCTION("""COMPUTED_VALUE"""),24.0)</f>
        <v>24</v>
      </c>
      <c r="L207" s="201" t="str">
        <f>IFERROR(__xludf.DUMMYFUNCTION("""COMPUTED_VALUE"""),"Action-Adventure")</f>
        <v>Action-Adventure</v>
      </c>
      <c r="M207" s="201" t="str">
        <f>IFERROR(__xludf.DUMMYFUNCTION("""COMPUTED_VALUE"""),"Optimized")</f>
        <v>Optimized</v>
      </c>
    </row>
    <row r="208">
      <c r="A208" s="190" t="str">
        <f>IFERROR(__xludf.DUMMYFUNCTION("""COMPUTED_VALUE"""),"Unravel Two")</f>
        <v>Unravel Two</v>
      </c>
      <c r="B208" s="195" t="str">
        <f>IFERROR(__xludf.DUMMYFUNCTION("""COMPUTED_VALUE"""),"Xbox / PC")</f>
        <v>Xbox / PC</v>
      </c>
      <c r="C208" s="196" t="str">
        <f>IFERROR(__xludf.DUMMYFUNCTION("""COMPUTED_VALUE"""),"Yes")</f>
        <v>Yes</v>
      </c>
      <c r="D208" s="196" t="str">
        <f>IFERROR(__xludf.DUMMYFUNCTION("""COMPUTED_VALUE"""),"Active")</f>
        <v>Active</v>
      </c>
      <c r="E208" s="197">
        <f>IFERROR(__xludf.DUMMYFUNCTION("""COMPUTED_VALUE"""),44145.0)</f>
        <v>44145</v>
      </c>
      <c r="F208" s="198"/>
      <c r="G208" s="199">
        <f>IFERROR(__xludf.DUMMYFUNCTION("""COMPUTED_VALUE"""),59.166666666666664)</f>
        <v>59.16666667</v>
      </c>
      <c r="H208" s="197">
        <f>IFERROR(__xludf.DUMMYFUNCTION("""COMPUTED_VALUE"""),43260.0)</f>
        <v>43260</v>
      </c>
      <c r="I208" s="199">
        <f>IFERROR(__xludf.DUMMYFUNCTION("""COMPUTED_VALUE"""),2.4194444444444443)</f>
        <v>2.419444444</v>
      </c>
      <c r="J208" s="200">
        <f>IFERROR(__xludf.DUMMYFUNCTION("""COMPUTED_VALUE"""),81.0)</f>
        <v>81</v>
      </c>
      <c r="K208" s="200">
        <f>IFERROR(__xludf.DUMMYFUNCTION("""COMPUTED_VALUE"""),5.0)</f>
        <v>5</v>
      </c>
      <c r="L208" s="201" t="str">
        <f>IFERROR(__xludf.DUMMYFUNCTION("""COMPUTED_VALUE"""),"Puzzle / Platformer")</f>
        <v>Puzzle / Platformer</v>
      </c>
      <c r="M208" s="201" t="str">
        <f>IFERROR(__xludf.DUMMYFUNCTION("""COMPUTED_VALUE"""),"FPS Boost")</f>
        <v>FPS Boost</v>
      </c>
    </row>
    <row r="209">
      <c r="A209" s="190" t="str">
        <f>IFERROR(__xludf.DUMMYFUNCTION("""COMPUTED_VALUE"""),"Gears Tactics")</f>
        <v>Gears Tactics</v>
      </c>
      <c r="B209" s="195" t="str">
        <f>IFERROR(__xludf.DUMMYFUNCTION("""COMPUTED_VALUE"""),"Xbox / PC")</f>
        <v>Xbox / PC</v>
      </c>
      <c r="C209" s="196" t="str">
        <f>IFERROR(__xludf.DUMMYFUNCTION("""COMPUTED_VALUE"""),"M+KB")</f>
        <v>M+KB</v>
      </c>
      <c r="D209" s="196" t="str">
        <f>IFERROR(__xludf.DUMMYFUNCTION("""COMPUTED_VALUE"""),"Active")</f>
        <v>Active</v>
      </c>
      <c r="E209" s="197">
        <f>IFERROR(__xludf.DUMMYFUNCTION("""COMPUTED_VALUE"""),43949.0)</f>
        <v>43949</v>
      </c>
      <c r="F209" s="198"/>
      <c r="G209" s="199">
        <f>IFERROR(__xludf.DUMMYFUNCTION("""COMPUTED_VALUE"""),65.56666666666666)</f>
        <v>65.56666667</v>
      </c>
      <c r="H209" s="197">
        <f>IFERROR(__xludf.DUMMYFUNCTION("""COMPUTED_VALUE"""),43949.0)</f>
        <v>43949</v>
      </c>
      <c r="I209" s="199">
        <f>IFERROR(__xludf.DUMMYFUNCTION("""COMPUTED_VALUE"""),0.0)</f>
        <v>0</v>
      </c>
      <c r="J209" s="200">
        <f>IFERROR(__xludf.DUMMYFUNCTION("""COMPUTED_VALUE"""),81.0)</f>
        <v>81</v>
      </c>
      <c r="K209" s="200">
        <f>IFERROR(__xludf.DUMMYFUNCTION("""COMPUTED_VALUE"""),22.5)</f>
        <v>22.5</v>
      </c>
      <c r="L209" s="201" t="str">
        <f>IFERROR(__xludf.DUMMYFUNCTION("""COMPUTED_VALUE"""),"Strategy")</f>
        <v>Strategy</v>
      </c>
      <c r="M209" s="201" t="str">
        <f>IFERROR(__xludf.DUMMYFUNCTION("""COMPUTED_VALUE"""),"Optimized")</f>
        <v>Optimized</v>
      </c>
    </row>
    <row r="210">
      <c r="A210" s="190" t="str">
        <f>IFERROR(__xludf.DUMMYFUNCTION("""COMPUTED_VALUE"""),"Stellaris")</f>
        <v>Stellaris</v>
      </c>
      <c r="B210" s="195" t="str">
        <f>IFERROR(__xludf.DUMMYFUNCTION("""COMPUTED_VALUE"""),"Xbox / PC")</f>
        <v>Xbox / PC</v>
      </c>
      <c r="C210" s="196" t="str">
        <f>IFERROR(__xludf.DUMMYFUNCTION("""COMPUTED_VALUE"""),"Yes")</f>
        <v>Yes</v>
      </c>
      <c r="D210" s="196" t="str">
        <f>IFERROR(__xludf.DUMMYFUNCTION("""COMPUTED_VALUE"""),"Active")</f>
        <v>Active</v>
      </c>
      <c r="E210" s="197">
        <f>IFERROR(__xludf.DUMMYFUNCTION("""COMPUTED_VALUE"""),43696.0)</f>
        <v>43696</v>
      </c>
      <c r="F210" s="198"/>
      <c r="G210" s="199">
        <f>IFERROR(__xludf.DUMMYFUNCTION("""COMPUTED_VALUE"""),73.86666666666667)</f>
        <v>73.86666667</v>
      </c>
      <c r="H210" s="197">
        <f>IFERROR(__xludf.DUMMYFUNCTION("""COMPUTED_VALUE"""),42499.0)</f>
        <v>42499</v>
      </c>
      <c r="I210" s="199">
        <f>IFERROR(__xludf.DUMMYFUNCTION("""COMPUTED_VALUE"""),3.2777777777777777)</f>
        <v>3.277777778</v>
      </c>
      <c r="J210" s="200">
        <f>IFERROR(__xludf.DUMMYFUNCTION("""COMPUTED_VALUE"""),81.0)</f>
        <v>81</v>
      </c>
      <c r="K210" s="200">
        <f>IFERROR(__xludf.DUMMYFUNCTION("""COMPUTED_VALUE"""),21.0)</f>
        <v>21</v>
      </c>
      <c r="L210" s="201" t="str">
        <f>IFERROR(__xludf.DUMMYFUNCTION("""COMPUTED_VALUE"""),"Strategy")</f>
        <v>Strategy</v>
      </c>
      <c r="M210" s="201" t="str">
        <f>IFERROR(__xludf.DUMMYFUNCTION("""COMPUTED_VALUE"""),"Optimized")</f>
        <v>Optimized</v>
      </c>
    </row>
    <row r="211">
      <c r="A211" s="190" t="str">
        <f>IFERROR(__xludf.DUMMYFUNCTION("""COMPUTED_VALUE"""),"Middle-earth: Shadow of War")</f>
        <v>Middle-earth: Shadow of War</v>
      </c>
      <c r="B211" s="195" t="str">
        <f>IFERROR(__xludf.DUMMYFUNCTION("""COMPUTED_VALUE"""),"Xbox / PC")</f>
        <v>Xbox / PC</v>
      </c>
      <c r="C211" s="196" t="str">
        <f>IFERROR(__xludf.DUMMYFUNCTION("""COMPUTED_VALUE"""),"Yes")</f>
        <v>Yes</v>
      </c>
      <c r="D211" s="196" t="str">
        <f>IFERROR(__xludf.DUMMYFUNCTION("""COMPUTED_VALUE"""),"Active")</f>
        <v>Active</v>
      </c>
      <c r="E211" s="197">
        <f>IFERROR(__xludf.DUMMYFUNCTION("""COMPUTED_VALUE"""),43650.0)</f>
        <v>43650</v>
      </c>
      <c r="F211" s="198"/>
      <c r="G211" s="199">
        <f>IFERROR(__xludf.DUMMYFUNCTION("""COMPUTED_VALUE"""),75.36666666666667)</f>
        <v>75.36666667</v>
      </c>
      <c r="H211" s="197">
        <f>IFERROR(__xludf.DUMMYFUNCTION("""COMPUTED_VALUE"""),43018.0)</f>
        <v>43018</v>
      </c>
      <c r="I211" s="199">
        <f>IFERROR(__xludf.DUMMYFUNCTION("""COMPUTED_VALUE"""),1.7333333333333334)</f>
        <v>1.733333333</v>
      </c>
      <c r="J211" s="200">
        <f>IFERROR(__xludf.DUMMYFUNCTION("""COMPUTED_VALUE"""),81.0)</f>
        <v>81</v>
      </c>
      <c r="K211" s="200">
        <f>IFERROR(__xludf.DUMMYFUNCTION("""COMPUTED_VALUE"""),20.5)</f>
        <v>20.5</v>
      </c>
      <c r="L211" s="201" t="str">
        <f>IFERROR(__xludf.DUMMYFUNCTION("""COMPUTED_VALUE"""),"Action / RPG / Action-Adventure")</f>
        <v>Action / RPG / Action-Adventure</v>
      </c>
      <c r="M211" s="201"/>
    </row>
    <row r="212">
      <c r="A212" s="190" t="str">
        <f>IFERROR(__xludf.DUMMYFUNCTION("""COMPUTED_VALUE"""),"Torment: Tides of Numenera")</f>
        <v>Torment: Tides of Numenera</v>
      </c>
      <c r="B212" s="195" t="str">
        <f>IFERROR(__xludf.DUMMYFUNCTION("""COMPUTED_VALUE"""),"Xbox / PC")</f>
        <v>Xbox / PC</v>
      </c>
      <c r="C212" s="196" t="str">
        <f>IFERROR(__xludf.DUMMYFUNCTION("""COMPUTED_VALUE"""),"Touch Controls")</f>
        <v>Touch Controls</v>
      </c>
      <c r="D212" s="196" t="str">
        <f>IFERROR(__xludf.DUMMYFUNCTION("""COMPUTED_VALUE"""),"Active")</f>
        <v>Active</v>
      </c>
      <c r="E212" s="197">
        <f>IFERROR(__xludf.DUMMYFUNCTION("""COMPUTED_VALUE"""),43643.0)</f>
        <v>43643</v>
      </c>
      <c r="F212" s="198"/>
      <c r="G212" s="199">
        <f>IFERROR(__xludf.DUMMYFUNCTION("""COMPUTED_VALUE"""),75.6)</f>
        <v>75.6</v>
      </c>
      <c r="H212" s="197">
        <f>IFERROR(__xludf.DUMMYFUNCTION("""COMPUTED_VALUE"""),42794.0)</f>
        <v>42794</v>
      </c>
      <c r="I212" s="199">
        <f>IFERROR(__xludf.DUMMYFUNCTION("""COMPUTED_VALUE"""),2.3305555555555557)</f>
        <v>2.330555556</v>
      </c>
      <c r="J212" s="200">
        <f>IFERROR(__xludf.DUMMYFUNCTION("""COMPUTED_VALUE"""),81.0)</f>
        <v>81</v>
      </c>
      <c r="K212" s="200">
        <f>IFERROR(__xludf.DUMMYFUNCTION("""COMPUTED_VALUE"""),26.0)</f>
        <v>26</v>
      </c>
      <c r="L212" s="201" t="str">
        <f>IFERROR(__xludf.DUMMYFUNCTION("""COMPUTED_VALUE"""),"RPG")</f>
        <v>RPG</v>
      </c>
      <c r="M212" s="201"/>
    </row>
    <row r="213">
      <c r="A213" s="190" t="str">
        <f>IFERROR(__xludf.DUMMYFUNCTION("""COMPUTED_VALUE"""),"RAGE")</f>
        <v>RAGE</v>
      </c>
      <c r="B213" s="195" t="str">
        <f>IFERROR(__xludf.DUMMYFUNCTION("""COMPUTED_VALUE"""),"Xbox")</f>
        <v>Xbox</v>
      </c>
      <c r="C213" s="196" t="str">
        <f>IFERROR(__xludf.DUMMYFUNCTION("""COMPUTED_VALUE"""),"Yes")</f>
        <v>Yes</v>
      </c>
      <c r="D213" s="196" t="str">
        <f>IFERROR(__xludf.DUMMYFUNCTION("""COMPUTED_VALUE"""),"Active")</f>
        <v>Active</v>
      </c>
      <c r="E213" s="197">
        <f>IFERROR(__xludf.DUMMYFUNCTION("""COMPUTED_VALUE"""),43313.0)</f>
        <v>43313</v>
      </c>
      <c r="F213" s="198"/>
      <c r="G213" s="199">
        <f>IFERROR(__xludf.DUMMYFUNCTION("""COMPUTED_VALUE"""),86.46666666666667)</f>
        <v>86.46666667</v>
      </c>
      <c r="H213" s="197">
        <f>IFERROR(__xludf.DUMMYFUNCTION("""COMPUTED_VALUE"""),40820.0)</f>
        <v>40820</v>
      </c>
      <c r="I213" s="199">
        <f>IFERROR(__xludf.DUMMYFUNCTION("""COMPUTED_VALUE"""),6.825)</f>
        <v>6.825</v>
      </c>
      <c r="J213" s="200">
        <f>IFERROR(__xludf.DUMMYFUNCTION("""COMPUTED_VALUE"""),81.0)</f>
        <v>81</v>
      </c>
      <c r="K213" s="200">
        <f>IFERROR(__xludf.DUMMYFUNCTION("""COMPUTED_VALUE"""),11.0)</f>
        <v>11</v>
      </c>
      <c r="L213" s="201" t="str">
        <f>IFERROR(__xludf.DUMMYFUNCTION("""COMPUTED_VALUE"""),"First-Person Shooter / Vehicular Combat")</f>
        <v>First-Person Shooter / Vehicular Combat</v>
      </c>
      <c r="M213" s="201"/>
    </row>
    <row r="214">
      <c r="A214" s="190" t="str">
        <f>IFERROR(__xludf.DUMMYFUNCTION("""COMPUTED_VALUE"""),"Halo Wars: Definitive Edition")</f>
        <v>Halo Wars: Definitive Edition</v>
      </c>
      <c r="B214" s="195" t="str">
        <f>IFERROR(__xludf.DUMMYFUNCTION("""COMPUTED_VALUE"""),"Xbox / PC")</f>
        <v>Xbox / PC</v>
      </c>
      <c r="C214" s="196" t="str">
        <f>IFERROR(__xludf.DUMMYFUNCTION("""COMPUTED_VALUE"""),"Touch Controls")</f>
        <v>Touch Controls</v>
      </c>
      <c r="D214" s="196" t="str">
        <f>IFERROR(__xludf.DUMMYFUNCTION("""COMPUTED_VALUE"""),"Active")</f>
        <v>Active</v>
      </c>
      <c r="E214" s="197">
        <f>IFERROR(__xludf.DUMMYFUNCTION("""COMPUTED_VALUE"""),43040.0)</f>
        <v>43040</v>
      </c>
      <c r="F214" s="198"/>
      <c r="G214" s="199">
        <f>IFERROR(__xludf.DUMMYFUNCTION("""COMPUTED_VALUE"""),95.46666666666667)</f>
        <v>95.46666667</v>
      </c>
      <c r="H214" s="197">
        <f>IFERROR(__xludf.DUMMYFUNCTION("""COMPUTED_VALUE"""),39870.0)</f>
        <v>39870</v>
      </c>
      <c r="I214" s="199">
        <f>IFERROR(__xludf.DUMMYFUNCTION("""COMPUTED_VALUE"""),8.680555555555555)</f>
        <v>8.680555556</v>
      </c>
      <c r="J214" s="200">
        <f>IFERROR(__xludf.DUMMYFUNCTION("""COMPUTED_VALUE"""),81.0)</f>
        <v>81</v>
      </c>
      <c r="K214" s="200">
        <f>IFERROR(__xludf.DUMMYFUNCTION("""COMPUTED_VALUE"""),9.0)</f>
        <v>9</v>
      </c>
      <c r="L214" s="201" t="str">
        <f>IFERROR(__xludf.DUMMYFUNCTION("""COMPUTED_VALUE"""),"Action / RPG")</f>
        <v>Action / RPG</v>
      </c>
      <c r="M214" s="201"/>
    </row>
    <row r="215">
      <c r="A215" s="190" t="str">
        <f>IFERROR(__xludf.DUMMYFUNCTION("""COMPUTED_VALUE"""),"Perfect Dark Zero")</f>
        <v>Perfect Dark Zero</v>
      </c>
      <c r="B215" s="195" t="str">
        <f>IFERROR(__xludf.DUMMYFUNCTION("""COMPUTED_VALUE"""),"Xbox")</f>
        <v>Xbox</v>
      </c>
      <c r="C215" s="196" t="str">
        <f>IFERROR(__xludf.DUMMYFUNCTION("""COMPUTED_VALUE"""),"Yes")</f>
        <v>Yes</v>
      </c>
      <c r="D215" s="196" t="str">
        <f>IFERROR(__xludf.DUMMYFUNCTION("""COMPUTED_VALUE"""),"Active")</f>
        <v>Active</v>
      </c>
      <c r="E215" s="197">
        <f>IFERROR(__xludf.DUMMYFUNCTION("""COMPUTED_VALUE"""),42887.0)</f>
        <v>42887</v>
      </c>
      <c r="F215" s="198"/>
      <c r="G215" s="199">
        <f>IFERROR(__xludf.DUMMYFUNCTION("""COMPUTED_VALUE"""),100.46666666666667)</f>
        <v>100.4666667</v>
      </c>
      <c r="H215" s="197">
        <f>IFERROR(__xludf.DUMMYFUNCTION("""COMPUTED_VALUE"""),38875.0)</f>
        <v>38875</v>
      </c>
      <c r="I215" s="199">
        <f>IFERROR(__xludf.DUMMYFUNCTION("""COMPUTED_VALUE"""),10.983333333333333)</f>
        <v>10.98333333</v>
      </c>
      <c r="J215" s="200">
        <f>IFERROR(__xludf.DUMMYFUNCTION("""COMPUTED_VALUE"""),81.0)</f>
        <v>81</v>
      </c>
      <c r="K215" s="200">
        <f>IFERROR(__xludf.DUMMYFUNCTION("""COMPUTED_VALUE"""),8.0)</f>
        <v>8</v>
      </c>
      <c r="L215" s="201" t="str">
        <f>IFERROR(__xludf.DUMMYFUNCTION("""COMPUTED_VALUE"""),"First-Person Shooter")</f>
        <v>First-Person Shooter</v>
      </c>
      <c r="M215" s="201"/>
    </row>
    <row r="216">
      <c r="A216" s="190" t="str">
        <f>IFERROR(__xludf.DUMMYFUNCTION("""COMPUTED_VALUE"""),"Sunset Overdrive")</f>
        <v>Sunset Overdrive</v>
      </c>
      <c r="B216" s="195" t="str">
        <f>IFERROR(__xludf.DUMMYFUNCTION("""COMPUTED_VALUE"""),"Xbox / PC")</f>
        <v>Xbox / PC</v>
      </c>
      <c r="C216" s="196"/>
      <c r="D216" s="196" t="str">
        <f>IFERROR(__xludf.DUMMYFUNCTION("""COMPUTED_VALUE"""),"Active")</f>
        <v>Active</v>
      </c>
      <c r="E216" s="197">
        <f>IFERROR(__xludf.DUMMYFUNCTION("""COMPUTED_VALUE"""),42887.0)</f>
        <v>42887</v>
      </c>
      <c r="F216" s="198"/>
      <c r="G216" s="199">
        <f>IFERROR(__xludf.DUMMYFUNCTION("""COMPUTED_VALUE"""),100.46666666666667)</f>
        <v>100.4666667</v>
      </c>
      <c r="H216" s="197">
        <f>IFERROR(__xludf.DUMMYFUNCTION("""COMPUTED_VALUE"""),41940.0)</f>
        <v>41940</v>
      </c>
      <c r="I216" s="199">
        <f>IFERROR(__xludf.DUMMYFUNCTION("""COMPUTED_VALUE"""),2.591666666666667)</f>
        <v>2.591666667</v>
      </c>
      <c r="J216" s="200">
        <f>IFERROR(__xludf.DUMMYFUNCTION("""COMPUTED_VALUE"""),81.0)</f>
        <v>81</v>
      </c>
      <c r="K216" s="200">
        <f>IFERROR(__xludf.DUMMYFUNCTION("""COMPUTED_VALUE"""),10.0)</f>
        <v>10</v>
      </c>
      <c r="L216" s="201" t="str">
        <f>IFERROR(__xludf.DUMMYFUNCTION("""COMPUTED_VALUE"""),"Shooter / Platformer / Action-Adventure")</f>
        <v>Shooter / Platformer / Action-Adventure</v>
      </c>
      <c r="M216" s="201"/>
    </row>
    <row r="217">
      <c r="A217" s="190" t="str">
        <f>IFERROR(__xludf.DUMMYFUNCTION("""COMPUTED_VALUE"""),"Far Cry 3: Blood Dragon")</f>
        <v>Far Cry 3: Blood Dragon</v>
      </c>
      <c r="B217" s="195" t="str">
        <f>IFERROR(__xludf.DUMMYFUNCTION("""COMPUTED_VALUE"""),"Xbox / PC")</f>
        <v>Xbox / PC</v>
      </c>
      <c r="C217" s="196" t="str">
        <f>IFERROR(__xludf.DUMMYFUNCTION("""COMPUTED_VALUE"""),"Yes")</f>
        <v>Yes</v>
      </c>
      <c r="D217" s="196" t="str">
        <f>IFERROR(__xludf.DUMMYFUNCTION("""COMPUTED_VALUE"""),"Active")</f>
        <v>Active</v>
      </c>
      <c r="E217" s="197">
        <f>IFERROR(__xludf.DUMMYFUNCTION("""COMPUTED_VALUE"""),45931.0)</f>
        <v>45931</v>
      </c>
      <c r="F217" s="198"/>
      <c r="G217" s="199">
        <f>IFERROR(__xludf.DUMMYFUNCTION("""COMPUTED_VALUE"""),0.4666666666666667)</f>
        <v>0.4666666667</v>
      </c>
      <c r="H217" s="197">
        <f>IFERROR(__xludf.DUMMYFUNCTION("""COMPUTED_VALUE"""),41395.0)</f>
        <v>41395</v>
      </c>
      <c r="I217" s="199">
        <f>IFERROR(__xludf.DUMMYFUNCTION("""COMPUTED_VALUE"""),12.416666666666666)</f>
        <v>12.41666667</v>
      </c>
      <c r="J217" s="200">
        <f>IFERROR(__xludf.DUMMYFUNCTION("""COMPUTED_VALUE"""),80.0)</f>
        <v>80</v>
      </c>
      <c r="K217" s="200">
        <f>IFERROR(__xludf.DUMMYFUNCTION("""COMPUTED_VALUE"""),5.0)</f>
        <v>5</v>
      </c>
      <c r="L217" s="201" t="str">
        <f>IFERROR(__xludf.DUMMYFUNCTION("""COMPUTED_VALUE"""),"Action-Adventure")</f>
        <v>Action-Adventure</v>
      </c>
      <c r="M217" s="201"/>
    </row>
    <row r="218">
      <c r="A218" s="190" t="str">
        <f>IFERROR(__xludf.DUMMYFUNCTION("""COMPUTED_VALUE"""),"Tom Clancy's The Division")</f>
        <v>Tom Clancy's The Division</v>
      </c>
      <c r="B218" s="195" t="str">
        <f>IFERROR(__xludf.DUMMYFUNCTION("""COMPUTED_VALUE"""),"Xbox / PC")</f>
        <v>Xbox / PC</v>
      </c>
      <c r="C218" s="196" t="str">
        <f>IFERROR(__xludf.DUMMYFUNCTION("""COMPUTED_VALUE"""),"Yes")</f>
        <v>Yes</v>
      </c>
      <c r="D218" s="196" t="str">
        <f>IFERROR(__xludf.DUMMYFUNCTION("""COMPUTED_VALUE"""),"Active")</f>
        <v>Active</v>
      </c>
      <c r="E218" s="197">
        <f>IFERROR(__xludf.DUMMYFUNCTION("""COMPUTED_VALUE"""),45931.0)</f>
        <v>45931</v>
      </c>
      <c r="F218" s="198"/>
      <c r="G218" s="199">
        <f>IFERROR(__xludf.DUMMYFUNCTION("""COMPUTED_VALUE"""),0.4666666666666667)</f>
        <v>0.4666666667</v>
      </c>
      <c r="H218" s="197">
        <f>IFERROR(__xludf.DUMMYFUNCTION("""COMPUTED_VALUE"""),42437.0)</f>
        <v>42437</v>
      </c>
      <c r="I218" s="199">
        <f>IFERROR(__xludf.DUMMYFUNCTION("""COMPUTED_VALUE"""),9.563888888888888)</f>
        <v>9.563888889</v>
      </c>
      <c r="J218" s="200">
        <f>IFERROR(__xludf.DUMMYFUNCTION("""COMPUTED_VALUE"""),80.0)</f>
        <v>80</v>
      </c>
      <c r="K218" s="200">
        <f>IFERROR(__xludf.DUMMYFUNCTION("""COMPUTED_VALUE"""),24.0)</f>
        <v>24</v>
      </c>
      <c r="L218" s="201" t="str">
        <f>IFERROR(__xludf.DUMMYFUNCTION("""COMPUTED_VALUE"""),"Shooter")</f>
        <v>Shooter</v>
      </c>
      <c r="M218" s="201"/>
    </row>
    <row r="219">
      <c r="A219" s="190" t="str">
        <f>IFERROR(__xludf.DUMMYFUNCTION("""COMPUTED_VALUE"""),"Watch_Dogs")</f>
        <v>Watch_Dogs</v>
      </c>
      <c r="B219" s="195" t="str">
        <f>IFERROR(__xludf.DUMMYFUNCTION("""COMPUTED_VALUE"""),"Xbox / PC")</f>
        <v>Xbox / PC</v>
      </c>
      <c r="C219" s="196" t="str">
        <f>IFERROR(__xludf.DUMMYFUNCTION("""COMPUTED_VALUE"""),"Yes")</f>
        <v>Yes</v>
      </c>
      <c r="D219" s="196" t="str">
        <f>IFERROR(__xludf.DUMMYFUNCTION("""COMPUTED_VALUE"""),"Active")</f>
        <v>Active</v>
      </c>
      <c r="E219" s="197">
        <f>IFERROR(__xludf.DUMMYFUNCTION("""COMPUTED_VALUE"""),45931.0)</f>
        <v>45931</v>
      </c>
      <c r="F219" s="198"/>
      <c r="G219" s="199">
        <f>IFERROR(__xludf.DUMMYFUNCTION("""COMPUTED_VALUE"""),0.4666666666666667)</f>
        <v>0.4666666667</v>
      </c>
      <c r="H219" s="197">
        <f>IFERROR(__xludf.DUMMYFUNCTION("""COMPUTED_VALUE"""),41786.0)</f>
        <v>41786</v>
      </c>
      <c r="I219" s="199">
        <f>IFERROR(__xludf.DUMMYFUNCTION("""COMPUTED_VALUE"""),11.344444444444445)</f>
        <v>11.34444444</v>
      </c>
      <c r="J219" s="200">
        <f>IFERROR(__xludf.DUMMYFUNCTION("""COMPUTED_VALUE"""),80.0)</f>
        <v>80</v>
      </c>
      <c r="K219" s="200">
        <f>IFERROR(__xludf.DUMMYFUNCTION("""COMPUTED_VALUE"""),20.0)</f>
        <v>20</v>
      </c>
      <c r="L219" s="201" t="str">
        <f>IFERROR(__xludf.DUMMYFUNCTION("""COMPUTED_VALUE"""),"Action-Adventure")</f>
        <v>Action-Adventure</v>
      </c>
      <c r="M219" s="201"/>
    </row>
    <row r="220">
      <c r="A220" s="190" t="str">
        <f>IFERROR(__xludf.DUMMYFUNCTION("""COMPUTED_VALUE"""),"Wheel of Fortune")</f>
        <v>Wheel of Fortune</v>
      </c>
      <c r="B220" s="195" t="str">
        <f>IFERROR(__xludf.DUMMYFUNCTION("""COMPUTED_VALUE"""),"Xbox")</f>
        <v>Xbox</v>
      </c>
      <c r="C220" s="196" t="str">
        <f>IFERROR(__xludf.DUMMYFUNCTION("""COMPUTED_VALUE"""),"Yes")</f>
        <v>Yes</v>
      </c>
      <c r="D220" s="196" t="str">
        <f>IFERROR(__xludf.DUMMYFUNCTION("""COMPUTED_VALUE"""),"Active")</f>
        <v>Active</v>
      </c>
      <c r="E220" s="197">
        <f>IFERROR(__xludf.DUMMYFUNCTION("""COMPUTED_VALUE"""),45931.0)</f>
        <v>45931</v>
      </c>
      <c r="F220" s="198"/>
      <c r="G220" s="199">
        <f>IFERROR(__xludf.DUMMYFUNCTION("""COMPUTED_VALUE"""),0.4666666666666667)</f>
        <v>0.4666666667</v>
      </c>
      <c r="H220" s="197">
        <f>IFERROR(__xludf.DUMMYFUNCTION("""COMPUTED_VALUE"""),43046.0)</f>
        <v>43046</v>
      </c>
      <c r="I220" s="199">
        <f>IFERROR(__xludf.DUMMYFUNCTION("""COMPUTED_VALUE"""),7.9)</f>
        <v>7.9</v>
      </c>
      <c r="J220" s="200">
        <f>IFERROR(__xludf.DUMMYFUNCTION("""COMPUTED_VALUE"""),80.0)</f>
        <v>80</v>
      </c>
      <c r="K220" s="200">
        <f>IFERROR(__xludf.DUMMYFUNCTION("""COMPUTED_VALUE"""),2.0)</f>
        <v>2</v>
      </c>
      <c r="L220" s="201" t="str">
        <f>IFERROR(__xludf.DUMMYFUNCTION("""COMPUTED_VALUE"""),"Trivia")</f>
        <v>Trivia</v>
      </c>
      <c r="M220" s="201"/>
    </row>
    <row r="221">
      <c r="A221" s="190" t="str">
        <f>IFERROR(__xludf.DUMMYFUNCTION("""COMPUTED_VALUE"""),"Wobbly Life")</f>
        <v>Wobbly Life</v>
      </c>
      <c r="B221" s="195" t="str">
        <f>IFERROR(__xludf.DUMMYFUNCTION("""COMPUTED_VALUE"""),"Xbox / PC")</f>
        <v>Xbox / PC</v>
      </c>
      <c r="C221" s="196" t="str">
        <f>IFERROR(__xludf.DUMMYFUNCTION("""COMPUTED_VALUE"""),"Yes")</f>
        <v>Yes</v>
      </c>
      <c r="D221" s="196" t="str">
        <f>IFERROR(__xludf.DUMMYFUNCTION("""COMPUTED_VALUE"""),"Active")</f>
        <v>Active</v>
      </c>
      <c r="E221" s="197">
        <f>IFERROR(__xludf.DUMMYFUNCTION("""COMPUTED_VALUE"""),45918.0)</f>
        <v>45918</v>
      </c>
      <c r="F221" s="198"/>
      <c r="G221" s="199">
        <f>IFERROR(__xludf.DUMMYFUNCTION("""COMPUTED_VALUE"""),0.8999999999999999)</f>
        <v>0.9</v>
      </c>
      <c r="H221" s="197">
        <f>IFERROR(__xludf.DUMMYFUNCTION("""COMPUTED_VALUE"""),45898.0)</f>
        <v>45898</v>
      </c>
      <c r="I221" s="199">
        <f>IFERROR(__xludf.DUMMYFUNCTION("""COMPUTED_VALUE"""),0.05277777777777778)</f>
        <v>0.05277777778</v>
      </c>
      <c r="J221" s="200">
        <f>IFERROR(__xludf.DUMMYFUNCTION("""COMPUTED_VALUE"""),80.0)</f>
        <v>80</v>
      </c>
      <c r="K221" s="200">
        <f>IFERROR(__xludf.DUMMYFUNCTION("""COMPUTED_VALUE"""),3.0)</f>
        <v>3</v>
      </c>
      <c r="L221" s="201" t="str">
        <f>IFERROR(__xludf.DUMMYFUNCTION("""COMPUTED_VALUE"""),"Action-Adventure")</f>
        <v>Action-Adventure</v>
      </c>
      <c r="M221" s="201" t="str">
        <f>IFERROR(__xludf.DUMMYFUNCTION("""COMPUTED_VALUE"""),"Exclusive")</f>
        <v>Exclusive</v>
      </c>
    </row>
    <row r="222">
      <c r="A222" s="190" t="str">
        <f>IFERROR(__xludf.DUMMYFUNCTION("""COMPUTED_VALUE"""),"Ultimate Chicken Horse")</f>
        <v>Ultimate Chicken Horse</v>
      </c>
      <c r="B222" s="195" t="str">
        <f>IFERROR(__xludf.DUMMYFUNCTION("""COMPUTED_VALUE"""),"Xbox / PC")</f>
        <v>Xbox / PC</v>
      </c>
      <c r="C222" s="196" t="str">
        <f>IFERROR(__xludf.DUMMYFUNCTION("""COMPUTED_VALUE"""),"Yes")</f>
        <v>Yes</v>
      </c>
      <c r="D222" s="196" t="str">
        <f>IFERROR(__xludf.DUMMYFUNCTION("""COMPUTED_VALUE"""),"Active")</f>
        <v>Active</v>
      </c>
      <c r="E222" s="197">
        <f>IFERROR(__xludf.DUMMYFUNCTION("""COMPUTED_VALUE"""),45841.0)</f>
        <v>45841</v>
      </c>
      <c r="F222" s="198"/>
      <c r="G222" s="199">
        <f>IFERROR(__xludf.DUMMYFUNCTION("""COMPUTED_VALUE"""),3.4)</f>
        <v>3.4</v>
      </c>
      <c r="H222" s="197">
        <f>IFERROR(__xludf.DUMMYFUNCTION("""COMPUTED_VALUE"""),43368.0)</f>
        <v>43368</v>
      </c>
      <c r="I222" s="199">
        <f>IFERROR(__xludf.DUMMYFUNCTION("""COMPUTED_VALUE"""),6.772222222222222)</f>
        <v>6.772222222</v>
      </c>
      <c r="J222" s="200">
        <f>IFERROR(__xludf.DUMMYFUNCTION("""COMPUTED_VALUE"""),80.0)</f>
        <v>80</v>
      </c>
      <c r="K222" s="200">
        <f>IFERROR(__xludf.DUMMYFUNCTION("""COMPUTED_VALUE"""),7.0)</f>
        <v>7</v>
      </c>
      <c r="L222" s="201" t="str">
        <f>IFERROR(__xludf.DUMMYFUNCTION("""COMPUTED_VALUE"""),"Platformer")</f>
        <v>Platformer</v>
      </c>
      <c r="M222" s="201"/>
    </row>
    <row r="223">
      <c r="A223" s="190" t="str">
        <f>IFERROR(__xludf.DUMMYFUNCTION("""COMPUTED_VALUE"""),"Volcano Princess")</f>
        <v>Volcano Princess</v>
      </c>
      <c r="B223" s="195" t="str">
        <f>IFERROR(__xludf.DUMMYFUNCTION("""COMPUTED_VALUE"""),"Xbox / PC")</f>
        <v>Xbox / PC</v>
      </c>
      <c r="C223" s="196" t="str">
        <f>IFERROR(__xludf.DUMMYFUNCTION("""COMPUTED_VALUE"""),"Yes")</f>
        <v>Yes</v>
      </c>
      <c r="D223" s="196" t="str">
        <f>IFERROR(__xludf.DUMMYFUNCTION("""COMPUTED_VALUE"""),"Active")</f>
        <v>Active</v>
      </c>
      <c r="E223" s="197">
        <f>IFERROR(__xludf.DUMMYFUNCTION("""COMPUTED_VALUE"""),45832.0)</f>
        <v>45832</v>
      </c>
      <c r="F223" s="198"/>
      <c r="G223" s="199">
        <f>IFERROR(__xludf.DUMMYFUNCTION("""COMPUTED_VALUE"""),3.7)</f>
        <v>3.7</v>
      </c>
      <c r="H223" s="197">
        <f>IFERROR(__xludf.DUMMYFUNCTION("""COMPUTED_VALUE"""),45036.0)</f>
        <v>45036</v>
      </c>
      <c r="I223" s="199">
        <f>IFERROR(__xludf.DUMMYFUNCTION("""COMPUTED_VALUE"""),2.1777777777777776)</f>
        <v>2.177777778</v>
      </c>
      <c r="J223" s="200">
        <f>IFERROR(__xludf.DUMMYFUNCTION("""COMPUTED_VALUE"""),80.0)</f>
        <v>80</v>
      </c>
      <c r="K223" s="200">
        <f>IFERROR(__xludf.DUMMYFUNCTION("""COMPUTED_VALUE"""),9.0)</f>
        <v>9</v>
      </c>
      <c r="L223" s="201" t="str">
        <f>IFERROR(__xludf.DUMMYFUNCTION("""COMPUTED_VALUE"""),"RPG")</f>
        <v>RPG</v>
      </c>
      <c r="M223" s="201"/>
    </row>
    <row r="224">
      <c r="A224" s="190" t="str">
        <f>IFERROR(__xludf.DUMMYFUNCTION("""COMPUTED_VALUE"""),"Barbie Project Friendship")</f>
        <v>Barbie Project Friendship</v>
      </c>
      <c r="B224" s="195" t="str">
        <f>IFERROR(__xludf.DUMMYFUNCTION("""COMPUTED_VALUE"""),"Xbox / PC")</f>
        <v>Xbox / PC</v>
      </c>
      <c r="C224" s="196" t="str">
        <f>IFERROR(__xludf.DUMMYFUNCTION("""COMPUTED_VALUE"""),"Yes")</f>
        <v>Yes</v>
      </c>
      <c r="D224" s="196" t="str">
        <f>IFERROR(__xludf.DUMMYFUNCTION("""COMPUTED_VALUE"""),"Active")</f>
        <v>Active</v>
      </c>
      <c r="E224" s="197">
        <f>IFERROR(__xludf.DUMMYFUNCTION("""COMPUTED_VALUE"""),45819.0)</f>
        <v>45819</v>
      </c>
      <c r="F224" s="198"/>
      <c r="G224" s="199">
        <f>IFERROR(__xludf.DUMMYFUNCTION("""COMPUTED_VALUE"""),4.133333333333333)</f>
        <v>4.133333333</v>
      </c>
      <c r="H224" s="197">
        <f>IFERROR(__xludf.DUMMYFUNCTION("""COMPUTED_VALUE"""),45590.0)</f>
        <v>45590</v>
      </c>
      <c r="I224" s="199">
        <f>IFERROR(__xludf.DUMMYFUNCTION("""COMPUTED_VALUE"""),0.6277777777777778)</f>
        <v>0.6277777778</v>
      </c>
      <c r="J224" s="200">
        <f>IFERROR(__xludf.DUMMYFUNCTION("""COMPUTED_VALUE"""),80.0)</f>
        <v>80</v>
      </c>
      <c r="K224" s="200">
        <f>IFERROR(__xludf.DUMMYFUNCTION("""COMPUTED_VALUE"""),8.0)</f>
        <v>8</v>
      </c>
      <c r="L224" s="201" t="str">
        <f>IFERROR(__xludf.DUMMYFUNCTION("""COMPUTED_VALUE"""),"Action-Adventure")</f>
        <v>Action-Adventure</v>
      </c>
      <c r="M224" s="201"/>
    </row>
    <row r="225">
      <c r="A225" s="190" t="str">
        <f>IFERROR(__xludf.DUMMYFUNCTION("""COMPUTED_VALUE"""),"DREDGE")</f>
        <v>DREDGE</v>
      </c>
      <c r="B225" s="195" t="str">
        <f>IFERROR(__xludf.DUMMYFUNCTION("""COMPUTED_VALUE"""),"Xbox / PC")</f>
        <v>Xbox / PC</v>
      </c>
      <c r="C225" s="196" t="str">
        <f>IFERROR(__xludf.DUMMYFUNCTION("""COMPUTED_VALUE"""),"Yes")</f>
        <v>Yes</v>
      </c>
      <c r="D225" s="196" t="str">
        <f>IFERROR(__xludf.DUMMYFUNCTION("""COMPUTED_VALUE"""),"Active")</f>
        <v>Active</v>
      </c>
      <c r="E225" s="197">
        <f>IFERROR(__xludf.DUMMYFUNCTION("""COMPUTED_VALUE"""),45783.0)</f>
        <v>45783</v>
      </c>
      <c r="F225" s="198"/>
      <c r="G225" s="199">
        <f>IFERROR(__xludf.DUMMYFUNCTION("""COMPUTED_VALUE"""),5.3)</f>
        <v>5.3</v>
      </c>
      <c r="H225" s="197">
        <f>IFERROR(__xludf.DUMMYFUNCTION("""COMPUTED_VALUE"""),45015.0)</f>
        <v>45015</v>
      </c>
      <c r="I225" s="199">
        <f>IFERROR(__xludf.DUMMYFUNCTION("""COMPUTED_VALUE"""),2.1)</f>
        <v>2.1</v>
      </c>
      <c r="J225" s="200">
        <f>IFERROR(__xludf.DUMMYFUNCTION("""COMPUTED_VALUE"""),80.0)</f>
        <v>80</v>
      </c>
      <c r="K225" s="200">
        <f>IFERROR(__xludf.DUMMYFUNCTION("""COMPUTED_VALUE"""),10.0)</f>
        <v>10</v>
      </c>
      <c r="L225" s="201" t="str">
        <f>IFERROR(__xludf.DUMMYFUNCTION("""COMPUTED_VALUE"""),"Action-Adventure")</f>
        <v>Action-Adventure</v>
      </c>
      <c r="M225" s="201" t="str">
        <f>IFERROR(__xludf.DUMMYFUNCTION("""COMPUTED_VALUE"""),"Exclusive")</f>
        <v>Exclusive</v>
      </c>
    </row>
    <row r="226">
      <c r="A226" s="190" t="str">
        <f>IFERROR(__xludf.DUMMYFUNCTION("""COMPUTED_VALUE"""),"Ninja Gaiden II: Black")</f>
        <v>Ninja Gaiden II: Black</v>
      </c>
      <c r="B226" s="195" t="str">
        <f>IFERROR(__xludf.DUMMYFUNCTION("""COMPUTED_VALUE"""),"Xbox / PC")</f>
        <v>Xbox / PC</v>
      </c>
      <c r="C226" s="196" t="str">
        <f>IFERROR(__xludf.DUMMYFUNCTION("""COMPUTED_VALUE"""),"Yes")</f>
        <v>Yes</v>
      </c>
      <c r="D226" s="196" t="str">
        <f>IFERROR(__xludf.DUMMYFUNCTION("""COMPUTED_VALUE"""),"Active")</f>
        <v>Active</v>
      </c>
      <c r="E226" s="197">
        <f>IFERROR(__xludf.DUMMYFUNCTION("""COMPUTED_VALUE"""),45680.0)</f>
        <v>45680</v>
      </c>
      <c r="F226" s="198"/>
      <c r="G226" s="199">
        <f>IFERROR(__xludf.DUMMYFUNCTION("""COMPUTED_VALUE"""),8.733333333333333)</f>
        <v>8.733333333</v>
      </c>
      <c r="H226" s="197">
        <f>IFERROR(__xludf.DUMMYFUNCTION("""COMPUTED_VALUE"""),45680.0)</f>
        <v>45680</v>
      </c>
      <c r="I226" s="199">
        <f>IFERROR(__xludf.DUMMYFUNCTION("""COMPUTED_VALUE"""),0.0)</f>
        <v>0</v>
      </c>
      <c r="J226" s="200">
        <f>IFERROR(__xludf.DUMMYFUNCTION("""COMPUTED_VALUE"""),80.0)</f>
        <v>80</v>
      </c>
      <c r="K226" s="200">
        <f>IFERROR(__xludf.DUMMYFUNCTION("""COMPUTED_VALUE"""),10.0)</f>
        <v>10</v>
      </c>
      <c r="L226" s="201" t="str">
        <f>IFERROR(__xludf.DUMMYFUNCTION("""COMPUTED_VALUE"""),"Action-Adventure")</f>
        <v>Action-Adventure</v>
      </c>
      <c r="M226" s="201"/>
    </row>
    <row r="227">
      <c r="A227" s="190" t="str">
        <f>IFERROR(__xludf.DUMMYFUNCTION("""COMPUTED_VALUE"""),"Hunt: Showdown 1896")</f>
        <v>Hunt: Showdown 1896</v>
      </c>
      <c r="B227" s="195" t="str">
        <f>IFERROR(__xludf.DUMMYFUNCTION("""COMPUTED_VALUE"""),"Xbox / PC")</f>
        <v>Xbox / PC</v>
      </c>
      <c r="C227" s="196" t="str">
        <f>IFERROR(__xludf.DUMMYFUNCTION("""COMPUTED_VALUE"""),"Yes")</f>
        <v>Yes</v>
      </c>
      <c r="D227" s="196" t="str">
        <f>IFERROR(__xludf.DUMMYFUNCTION("""COMPUTED_VALUE"""),"Active")</f>
        <v>Active</v>
      </c>
      <c r="E227" s="197">
        <f>IFERROR(__xludf.DUMMYFUNCTION("""COMPUTED_VALUE"""),45638.0)</f>
        <v>45638</v>
      </c>
      <c r="F227" s="198"/>
      <c r="G227" s="199">
        <f>IFERROR(__xludf.DUMMYFUNCTION("""COMPUTED_VALUE"""),10.1)</f>
        <v>10.1</v>
      </c>
      <c r="H227" s="197">
        <f>IFERROR(__xludf.DUMMYFUNCTION("""COMPUTED_VALUE"""),45519.0)</f>
        <v>45519</v>
      </c>
      <c r="I227" s="199">
        <f>IFERROR(__xludf.DUMMYFUNCTION("""COMPUTED_VALUE"""),0.325)</f>
        <v>0.325</v>
      </c>
      <c r="J227" s="200">
        <f>IFERROR(__xludf.DUMMYFUNCTION("""COMPUTED_VALUE"""),80.0)</f>
        <v>80</v>
      </c>
      <c r="K227" s="200">
        <f>IFERROR(__xludf.DUMMYFUNCTION("""COMPUTED_VALUE"""),41.0)</f>
        <v>41</v>
      </c>
      <c r="L227" s="201" t="str">
        <f>IFERROR(__xludf.DUMMYFUNCTION("""COMPUTED_VALUE"""),"Shooter")</f>
        <v>Shooter</v>
      </c>
      <c r="M227" s="201" t="str">
        <f>IFERROR(__xludf.DUMMYFUNCTION("""COMPUTED_VALUE"""),"Exclusive")</f>
        <v>Exclusive</v>
      </c>
    </row>
    <row r="228">
      <c r="A228" s="190" t="str">
        <f>IFERROR(__xludf.DUMMYFUNCTION("""COMPUTED_VALUE"""),"Wildfrost")</f>
        <v>Wildfrost</v>
      </c>
      <c r="B228" s="195" t="str">
        <f>IFERROR(__xludf.DUMMYFUNCTION("""COMPUTED_VALUE"""),"Xbox / PC")</f>
        <v>Xbox / PC</v>
      </c>
      <c r="C228" s="196" t="str">
        <f>IFERROR(__xludf.DUMMYFUNCTION("""COMPUTED_VALUE"""),"Yes")</f>
        <v>Yes</v>
      </c>
      <c r="D228" s="196" t="str">
        <f>IFERROR(__xludf.DUMMYFUNCTION("""COMPUTED_VALUE"""),"Active")</f>
        <v>Active</v>
      </c>
      <c r="E228" s="197">
        <f>IFERROR(__xludf.DUMMYFUNCTION("""COMPUTED_VALUE"""),45636.0)</f>
        <v>45636</v>
      </c>
      <c r="F228" s="198"/>
      <c r="G228" s="199">
        <f>IFERROR(__xludf.DUMMYFUNCTION("""COMPUTED_VALUE"""),10.166666666666666)</f>
        <v>10.16666667</v>
      </c>
      <c r="H228" s="197">
        <f>IFERROR(__xludf.DUMMYFUNCTION("""COMPUTED_VALUE"""),45028.0)</f>
        <v>45028</v>
      </c>
      <c r="I228" s="199">
        <f>IFERROR(__xludf.DUMMYFUNCTION("""COMPUTED_VALUE"""),1.6611111111111112)</f>
        <v>1.661111111</v>
      </c>
      <c r="J228" s="200">
        <f>IFERROR(__xludf.DUMMYFUNCTION("""COMPUTED_VALUE"""),80.0)</f>
        <v>80</v>
      </c>
      <c r="K228" s="200">
        <f>IFERROR(__xludf.DUMMYFUNCTION("""COMPUTED_VALUE"""),13.0)</f>
        <v>13</v>
      </c>
      <c r="L228" s="201" t="str">
        <f>IFERROR(__xludf.DUMMYFUNCTION("""COMPUTED_VALUE"""),"Card Battle")</f>
        <v>Card Battle</v>
      </c>
      <c r="M228" s="201"/>
    </row>
    <row r="229">
      <c r="A229" s="190" t="str">
        <f>IFERROR(__xludf.DUMMYFUNCTION("""COMPUTED_VALUE"""),"EA Sports WRC")</f>
        <v>EA Sports WRC</v>
      </c>
      <c r="B229" s="195" t="str">
        <f>IFERROR(__xludf.DUMMYFUNCTION("""COMPUTED_VALUE"""),"Xbox / PC")</f>
        <v>Xbox / PC</v>
      </c>
      <c r="C229" s="196" t="str">
        <f>IFERROR(__xludf.DUMMYFUNCTION("""COMPUTED_VALUE"""),"Yes")</f>
        <v>Yes</v>
      </c>
      <c r="D229" s="196" t="str">
        <f>IFERROR(__xludf.DUMMYFUNCTION("""COMPUTED_VALUE"""),"Active")</f>
        <v>Active</v>
      </c>
      <c r="E229" s="197">
        <f>IFERROR(__xludf.DUMMYFUNCTION("""COMPUTED_VALUE"""),45631.0)</f>
        <v>45631</v>
      </c>
      <c r="F229" s="198"/>
      <c r="G229" s="199">
        <f>IFERROR(__xludf.DUMMYFUNCTION("""COMPUTED_VALUE"""),10.333333333333334)</f>
        <v>10.33333333</v>
      </c>
      <c r="H229" s="197">
        <f>IFERROR(__xludf.DUMMYFUNCTION("""COMPUTED_VALUE"""),45233.0)</f>
        <v>45233</v>
      </c>
      <c r="I229" s="199">
        <f>IFERROR(__xludf.DUMMYFUNCTION("""COMPUTED_VALUE"""),1.0888888888888888)</f>
        <v>1.088888889</v>
      </c>
      <c r="J229" s="200">
        <f>IFERROR(__xludf.DUMMYFUNCTION("""COMPUTED_VALUE"""),80.0)</f>
        <v>80</v>
      </c>
      <c r="K229" s="200">
        <f>IFERROR(__xludf.DUMMYFUNCTION("""COMPUTED_VALUE"""),11.0)</f>
        <v>11</v>
      </c>
      <c r="L229" s="201" t="str">
        <f>IFERROR(__xludf.DUMMYFUNCTION("""COMPUTED_VALUE"""),"Racing")</f>
        <v>Racing</v>
      </c>
      <c r="M229" s="201" t="str">
        <f>IFERROR(__xludf.DUMMYFUNCTION("""COMPUTED_VALUE"""),"Exclusive")</f>
        <v>Exclusive</v>
      </c>
    </row>
    <row r="230">
      <c r="A230" s="190" t="str">
        <f>IFERROR(__xludf.DUMMYFUNCTION("""COMPUTED_VALUE"""),"Crash Bandicoot N. Sane Trilogy")</f>
        <v>Crash Bandicoot N. Sane Trilogy</v>
      </c>
      <c r="B230" s="195" t="str">
        <f>IFERROR(__xludf.DUMMYFUNCTION("""COMPUTED_VALUE"""),"Xbox / PC")</f>
        <v>Xbox / PC</v>
      </c>
      <c r="C230" s="196" t="str">
        <f>IFERROR(__xludf.DUMMYFUNCTION("""COMPUTED_VALUE"""),"Yes")</f>
        <v>Yes</v>
      </c>
      <c r="D230" s="196" t="str">
        <f>IFERROR(__xludf.DUMMYFUNCTION("""COMPUTED_VALUE"""),"Active")</f>
        <v>Active</v>
      </c>
      <c r="E230" s="197">
        <f>IFERROR(__xludf.DUMMYFUNCTION("""COMPUTED_VALUE"""),45512.0)</f>
        <v>45512</v>
      </c>
      <c r="F230" s="198"/>
      <c r="G230" s="199">
        <f>IFERROR(__xludf.DUMMYFUNCTION("""COMPUTED_VALUE"""),14.233333333333334)</f>
        <v>14.23333333</v>
      </c>
      <c r="H230" s="197">
        <f>IFERROR(__xludf.DUMMYFUNCTION("""COMPUTED_VALUE"""),42916.0)</f>
        <v>42916</v>
      </c>
      <c r="I230" s="199">
        <f>IFERROR(__xludf.DUMMYFUNCTION("""COMPUTED_VALUE"""),7.105555555555555)</f>
        <v>7.105555556</v>
      </c>
      <c r="J230" s="200">
        <f>IFERROR(__xludf.DUMMYFUNCTION("""COMPUTED_VALUE"""),80.0)</f>
        <v>80</v>
      </c>
      <c r="K230" s="200">
        <f>IFERROR(__xludf.DUMMYFUNCTION("""COMPUTED_VALUE"""),15.0)</f>
        <v>15</v>
      </c>
      <c r="L230" s="201" t="str">
        <f>IFERROR(__xludf.DUMMYFUNCTION("""COMPUTED_VALUE"""),"Platformer")</f>
        <v>Platformer</v>
      </c>
      <c r="M230" s="201"/>
    </row>
    <row r="231">
      <c r="A231" s="190" t="str">
        <f>IFERROR(__xludf.DUMMYFUNCTION("""COMPUTED_VALUE"""),"Moving Out 2")</f>
        <v>Moving Out 2</v>
      </c>
      <c r="B231" s="195" t="str">
        <f>IFERROR(__xludf.DUMMYFUNCTION("""COMPUTED_VALUE"""),"Xbox / PC")</f>
        <v>Xbox / PC</v>
      </c>
      <c r="C231" s="196" t="str">
        <f>IFERROR(__xludf.DUMMYFUNCTION("""COMPUTED_VALUE"""),"Yes")</f>
        <v>Yes</v>
      </c>
      <c r="D231" s="196" t="str">
        <f>IFERROR(__xludf.DUMMYFUNCTION("""COMPUTED_VALUE"""),"Active")</f>
        <v>Active</v>
      </c>
      <c r="E231" s="197">
        <f>IFERROR(__xludf.DUMMYFUNCTION("""COMPUTED_VALUE"""),45440.0)</f>
        <v>45440</v>
      </c>
      <c r="F231" s="198"/>
      <c r="G231" s="199">
        <f>IFERROR(__xludf.DUMMYFUNCTION("""COMPUTED_VALUE"""),16.566666666666666)</f>
        <v>16.56666667</v>
      </c>
      <c r="H231" s="197">
        <f>IFERROR(__xludf.DUMMYFUNCTION("""COMPUTED_VALUE"""),45153.0)</f>
        <v>45153</v>
      </c>
      <c r="I231" s="199">
        <f>IFERROR(__xludf.DUMMYFUNCTION("""COMPUTED_VALUE"""),0.7861111111111111)</f>
        <v>0.7861111111</v>
      </c>
      <c r="J231" s="200">
        <f>IFERROR(__xludf.DUMMYFUNCTION("""COMPUTED_VALUE"""),80.0)</f>
        <v>80</v>
      </c>
      <c r="K231" s="200">
        <f>IFERROR(__xludf.DUMMYFUNCTION("""COMPUTED_VALUE"""),10.0)</f>
        <v>10</v>
      </c>
      <c r="L231" s="201" t="str">
        <f>IFERROR(__xludf.DUMMYFUNCTION("""COMPUTED_VALUE"""),"Simulation")</f>
        <v>Simulation</v>
      </c>
      <c r="M231" s="201" t="str">
        <f>IFERROR(__xludf.DUMMYFUNCTION("""COMPUTED_VALUE"""),"Exclusive")</f>
        <v>Exclusive</v>
      </c>
    </row>
    <row r="232">
      <c r="A232" s="190" t="str">
        <f>IFERROR(__xludf.DUMMYFUNCTION("""COMPUTED_VALUE"""),"Galacticare")</f>
        <v>Galacticare</v>
      </c>
      <c r="B232" s="195" t="str">
        <f>IFERROR(__xludf.DUMMYFUNCTION("""COMPUTED_VALUE"""),"Xbox / PC")</f>
        <v>Xbox / PC</v>
      </c>
      <c r="C232" s="196" t="str">
        <f>IFERROR(__xludf.DUMMYFUNCTION("""COMPUTED_VALUE"""),"Yes")</f>
        <v>Yes</v>
      </c>
      <c r="D232" s="196" t="str">
        <f>IFERROR(__xludf.DUMMYFUNCTION("""COMPUTED_VALUE"""),"Active")</f>
        <v>Active</v>
      </c>
      <c r="E232" s="197">
        <f>IFERROR(__xludf.DUMMYFUNCTION("""COMPUTED_VALUE"""),45435.0)</f>
        <v>45435</v>
      </c>
      <c r="F232" s="198"/>
      <c r="G232" s="199">
        <f>IFERROR(__xludf.DUMMYFUNCTION("""COMPUTED_VALUE"""),16.733333333333334)</f>
        <v>16.73333333</v>
      </c>
      <c r="H232" s="197">
        <f>IFERROR(__xludf.DUMMYFUNCTION("""COMPUTED_VALUE"""),45435.0)</f>
        <v>45435</v>
      </c>
      <c r="I232" s="199">
        <f>IFERROR(__xludf.DUMMYFUNCTION("""COMPUTED_VALUE"""),0.0)</f>
        <v>0</v>
      </c>
      <c r="J232" s="200">
        <f>IFERROR(__xludf.DUMMYFUNCTION("""COMPUTED_VALUE"""),80.0)</f>
        <v>80</v>
      </c>
      <c r="K232" s="200">
        <f>IFERROR(__xludf.DUMMYFUNCTION("""COMPUTED_VALUE"""),20.0)</f>
        <v>20</v>
      </c>
      <c r="L232" s="201" t="str">
        <f>IFERROR(__xludf.DUMMYFUNCTION("""COMPUTED_VALUE"""),"Tycoon")</f>
        <v>Tycoon</v>
      </c>
      <c r="M232" s="201" t="str">
        <f>IFERROR(__xludf.DUMMYFUNCTION("""COMPUTED_VALUE"""),"Exclusive")</f>
        <v>Exclusive</v>
      </c>
    </row>
    <row r="233">
      <c r="A233" s="190" t="str">
        <f>IFERROR(__xludf.DUMMYFUNCTION("""COMPUTED_VALUE"""),"Senua's Saga: Hellblade II")</f>
        <v>Senua's Saga: Hellblade II</v>
      </c>
      <c r="B233" s="195" t="str">
        <f>IFERROR(__xludf.DUMMYFUNCTION("""COMPUTED_VALUE"""),"Xbox / PC")</f>
        <v>Xbox / PC</v>
      </c>
      <c r="C233" s="196" t="str">
        <f>IFERROR(__xludf.DUMMYFUNCTION("""COMPUTED_VALUE"""),"Yes")</f>
        <v>Yes</v>
      </c>
      <c r="D233" s="196" t="str">
        <f>IFERROR(__xludf.DUMMYFUNCTION("""COMPUTED_VALUE"""),"Active")</f>
        <v>Active</v>
      </c>
      <c r="E233" s="197">
        <f>IFERROR(__xludf.DUMMYFUNCTION("""COMPUTED_VALUE"""),45433.0)</f>
        <v>45433</v>
      </c>
      <c r="F233" s="198"/>
      <c r="G233" s="199">
        <f>IFERROR(__xludf.DUMMYFUNCTION("""COMPUTED_VALUE"""),16.799999999999997)</f>
        <v>16.8</v>
      </c>
      <c r="H233" s="197">
        <f>IFERROR(__xludf.DUMMYFUNCTION("""COMPUTED_VALUE"""),45433.0)</f>
        <v>45433</v>
      </c>
      <c r="I233" s="199">
        <f>IFERROR(__xludf.DUMMYFUNCTION("""COMPUTED_VALUE"""),0.0)</f>
        <v>0</v>
      </c>
      <c r="J233" s="200">
        <f>IFERROR(__xludf.DUMMYFUNCTION("""COMPUTED_VALUE"""),80.0)</f>
        <v>80</v>
      </c>
      <c r="K233" s="200">
        <f>IFERROR(__xludf.DUMMYFUNCTION("""COMPUTED_VALUE"""),7.0)</f>
        <v>7</v>
      </c>
      <c r="L233" s="201" t="str">
        <f>IFERROR(__xludf.DUMMYFUNCTION("""COMPUTED_VALUE"""),"Action / Action-Adventure")</f>
        <v>Action / Action-Adventure</v>
      </c>
      <c r="M233" s="201" t="str">
        <f>IFERROR(__xludf.DUMMYFUNCTION("""COMPUTED_VALUE"""),"Exclusive")</f>
        <v>Exclusive</v>
      </c>
    </row>
    <row r="234">
      <c r="A234" s="190" t="str">
        <f>IFERROR(__xludf.DUMMYFUNCTION("""COMPUTED_VALUE"""),"Assassin's Creed Valhalla")</f>
        <v>Assassin's Creed Valhalla</v>
      </c>
      <c r="B234" s="195" t="str">
        <f>IFERROR(__xludf.DUMMYFUNCTION("""COMPUTED_VALUE"""),"Xbox / PC")</f>
        <v>Xbox / PC</v>
      </c>
      <c r="C234" s="196" t="str">
        <f>IFERROR(__xludf.DUMMYFUNCTION("""COMPUTED_VALUE"""),"Yes")</f>
        <v>Yes</v>
      </c>
      <c r="D234" s="196" t="str">
        <f>IFERROR(__xludf.DUMMYFUNCTION("""COMPUTED_VALUE"""),"Active")</f>
        <v>Active</v>
      </c>
      <c r="E234" s="197">
        <f>IFERROR(__xludf.DUMMYFUNCTION("""COMPUTED_VALUE"""),45300.0)</f>
        <v>45300</v>
      </c>
      <c r="F234" s="198"/>
      <c r="G234" s="199">
        <f>IFERROR(__xludf.DUMMYFUNCTION("""COMPUTED_VALUE"""),21.2)</f>
        <v>21.2</v>
      </c>
      <c r="H234" s="197">
        <f>IFERROR(__xludf.DUMMYFUNCTION("""COMPUTED_VALUE"""),44145.0)</f>
        <v>44145</v>
      </c>
      <c r="I234" s="199">
        <f>IFERROR(__xludf.DUMMYFUNCTION("""COMPUTED_VALUE"""),3.1638888888888888)</f>
        <v>3.163888889</v>
      </c>
      <c r="J234" s="200">
        <f>IFERROR(__xludf.DUMMYFUNCTION("""COMPUTED_VALUE"""),80.0)</f>
        <v>80</v>
      </c>
      <c r="K234" s="200">
        <f>IFERROR(__xludf.DUMMYFUNCTION("""COMPUTED_VALUE"""),61.0)</f>
        <v>61</v>
      </c>
      <c r="L234" s="201" t="str">
        <f>IFERROR(__xludf.DUMMYFUNCTION("""COMPUTED_VALUE"""),"RPG / Action-Adventure")</f>
        <v>RPG / Action-Adventure</v>
      </c>
      <c r="M234" s="201"/>
    </row>
    <row r="235">
      <c r="A235" s="190" t="str">
        <f>IFERROR(__xludf.DUMMYFUNCTION("""COMPUTED_VALUE"""),"Thirsty Suitors")</f>
        <v>Thirsty Suitors</v>
      </c>
      <c r="B235" s="195" t="str">
        <f>IFERROR(__xludf.DUMMYFUNCTION("""COMPUTED_VALUE"""),"Xbox / PC")</f>
        <v>Xbox / PC</v>
      </c>
      <c r="C235" s="196" t="str">
        <f>IFERROR(__xludf.DUMMYFUNCTION("""COMPUTED_VALUE"""),"Yes")</f>
        <v>Yes</v>
      </c>
      <c r="D235" s="196" t="str">
        <f>IFERROR(__xludf.DUMMYFUNCTION("""COMPUTED_VALUE"""),"Active")</f>
        <v>Active</v>
      </c>
      <c r="E235" s="197">
        <f>IFERROR(__xludf.DUMMYFUNCTION("""COMPUTED_VALUE"""),45232.0)</f>
        <v>45232</v>
      </c>
      <c r="F235" s="198"/>
      <c r="G235" s="199">
        <f>IFERROR(__xludf.DUMMYFUNCTION("""COMPUTED_VALUE"""),23.433333333333334)</f>
        <v>23.43333333</v>
      </c>
      <c r="H235" s="197">
        <f>IFERROR(__xludf.DUMMYFUNCTION("""COMPUTED_VALUE"""),45232.0)</f>
        <v>45232</v>
      </c>
      <c r="I235" s="199">
        <f>IFERROR(__xludf.DUMMYFUNCTION("""COMPUTED_VALUE"""),0.0)</f>
        <v>0</v>
      </c>
      <c r="J235" s="200">
        <f>IFERROR(__xludf.DUMMYFUNCTION("""COMPUTED_VALUE"""),80.0)</f>
        <v>80</v>
      </c>
      <c r="K235" s="200">
        <f>IFERROR(__xludf.DUMMYFUNCTION("""COMPUTED_VALUE"""),8.0)</f>
        <v>8</v>
      </c>
      <c r="L235" s="201" t="str">
        <f>IFERROR(__xludf.DUMMYFUNCTION("""COMPUTED_VALUE"""),"Adventure / RPG")</f>
        <v>Adventure / RPG</v>
      </c>
      <c r="M235" s="201"/>
    </row>
    <row r="236">
      <c r="A236" s="190" t="str">
        <f>IFERROR(__xludf.DUMMYFUNCTION("""COMPUTED_VALUE"""),"Wartales")</f>
        <v>Wartales</v>
      </c>
      <c r="B236" s="195" t="str">
        <f>IFERROR(__xludf.DUMMYFUNCTION("""COMPUTED_VALUE"""),"Xbox / PC")</f>
        <v>Xbox / PC</v>
      </c>
      <c r="C236" s="196" t="str">
        <f>IFERROR(__xludf.DUMMYFUNCTION("""COMPUTED_VALUE"""),"Yes")</f>
        <v>Yes</v>
      </c>
      <c r="D236" s="196" t="str">
        <f>IFERROR(__xludf.DUMMYFUNCTION("""COMPUTED_VALUE"""),"Active")</f>
        <v>Active</v>
      </c>
      <c r="E236" s="197">
        <f>IFERROR(__xludf.DUMMYFUNCTION("""COMPUTED_VALUE"""),45230.0)</f>
        <v>45230</v>
      </c>
      <c r="F236" s="198"/>
      <c r="G236" s="199">
        <f>IFERROR(__xludf.DUMMYFUNCTION("""COMPUTED_VALUE"""),23.5)</f>
        <v>23.5</v>
      </c>
      <c r="H236" s="197">
        <f>IFERROR(__xludf.DUMMYFUNCTION("""COMPUTED_VALUE"""),44531.0)</f>
        <v>44531</v>
      </c>
      <c r="I236" s="199">
        <f>IFERROR(__xludf.DUMMYFUNCTION("""COMPUTED_VALUE"""),1.913888888888889)</f>
        <v>1.913888889</v>
      </c>
      <c r="J236" s="200">
        <f>IFERROR(__xludf.DUMMYFUNCTION("""COMPUTED_VALUE"""),80.0)</f>
        <v>80</v>
      </c>
      <c r="K236" s="200">
        <f>IFERROR(__xludf.DUMMYFUNCTION("""COMPUTED_VALUE"""),38.0)</f>
        <v>38</v>
      </c>
      <c r="L236" s="201" t="str">
        <f>IFERROR(__xludf.DUMMYFUNCTION("""COMPUTED_VALUE"""),"Strategy / Adventure / RPG")</f>
        <v>Strategy / Adventure / RPG</v>
      </c>
      <c r="M236" s="201"/>
    </row>
    <row r="237">
      <c r="A237" s="190" t="str">
        <f>IFERROR(__xludf.DUMMYFUNCTION("""COMPUTED_VALUE"""),"Planet of Lana")</f>
        <v>Planet of Lana</v>
      </c>
      <c r="B237" s="195" t="str">
        <f>IFERROR(__xludf.DUMMYFUNCTION("""COMPUTED_VALUE"""),"Xbox / PC")</f>
        <v>Xbox / PC</v>
      </c>
      <c r="C237" s="196" t="str">
        <f>IFERROR(__xludf.DUMMYFUNCTION("""COMPUTED_VALUE"""),"Yes")</f>
        <v>Yes</v>
      </c>
      <c r="D237" s="196" t="str">
        <f>IFERROR(__xludf.DUMMYFUNCTION("""COMPUTED_VALUE"""),"Active")</f>
        <v>Active</v>
      </c>
      <c r="E237" s="197">
        <f>IFERROR(__xludf.DUMMYFUNCTION("""COMPUTED_VALUE"""),45069.0)</f>
        <v>45069</v>
      </c>
      <c r="F237" s="198"/>
      <c r="G237" s="199">
        <f>IFERROR(__xludf.DUMMYFUNCTION("""COMPUTED_VALUE"""),28.733333333333334)</f>
        <v>28.73333333</v>
      </c>
      <c r="H237" s="197">
        <f>IFERROR(__xludf.DUMMYFUNCTION("""COMPUTED_VALUE"""),45069.0)</f>
        <v>45069</v>
      </c>
      <c r="I237" s="199">
        <f>IFERROR(__xludf.DUMMYFUNCTION("""COMPUTED_VALUE"""),0.0)</f>
        <v>0</v>
      </c>
      <c r="J237" s="200">
        <f>IFERROR(__xludf.DUMMYFUNCTION("""COMPUTED_VALUE"""),80.0)</f>
        <v>80</v>
      </c>
      <c r="K237" s="200">
        <f>IFERROR(__xludf.DUMMYFUNCTION("""COMPUTED_VALUE"""),5.0)</f>
        <v>5</v>
      </c>
      <c r="L237" s="201" t="str">
        <f>IFERROR(__xludf.DUMMYFUNCTION("""COMPUTED_VALUE"""),"Adventure / Puzzle")</f>
        <v>Adventure / Puzzle</v>
      </c>
      <c r="M237" s="201"/>
    </row>
    <row r="238">
      <c r="A238" s="190" t="str">
        <f>IFERROR(__xludf.DUMMYFUNCTION("""COMPUTED_VALUE"""),"Valorant")</f>
        <v>Valorant</v>
      </c>
      <c r="B238" s="195" t="str">
        <f>IFERROR(__xludf.DUMMYFUNCTION("""COMPUTED_VALUE"""),"Xbox / PC")</f>
        <v>Xbox / PC</v>
      </c>
      <c r="C238" s="196"/>
      <c r="D238" s="196" t="str">
        <f>IFERROR(__xludf.DUMMYFUNCTION("""COMPUTED_VALUE"""),"Active")</f>
        <v>Active</v>
      </c>
      <c r="E238" s="197">
        <f>IFERROR(__xludf.DUMMYFUNCTION("""COMPUTED_VALUE"""),44907.0)</f>
        <v>44907</v>
      </c>
      <c r="F238" s="198"/>
      <c r="G238" s="199">
        <f>IFERROR(__xludf.DUMMYFUNCTION("""COMPUTED_VALUE"""),34.1)</f>
        <v>34.1</v>
      </c>
      <c r="H238" s="197">
        <f>IFERROR(__xludf.DUMMYFUNCTION("""COMPUTED_VALUE"""),43984.0)</f>
        <v>43984</v>
      </c>
      <c r="I238" s="199">
        <f>IFERROR(__xludf.DUMMYFUNCTION("""COMPUTED_VALUE"""),2.5277777777777777)</f>
        <v>2.527777778</v>
      </c>
      <c r="J238" s="200">
        <f>IFERROR(__xludf.DUMMYFUNCTION("""COMPUTED_VALUE"""),80.0)</f>
        <v>80</v>
      </c>
      <c r="K238" s="200">
        <f>IFERROR(__xludf.DUMMYFUNCTION("""COMPUTED_VALUE"""),65.0)</f>
        <v>65</v>
      </c>
      <c r="L238" s="201" t="str">
        <f>IFERROR(__xludf.DUMMYFUNCTION("""COMPUTED_VALUE"""),"First-Person Shooter / MOBA")</f>
        <v>First-Person Shooter / MOBA</v>
      </c>
      <c r="M238" s="201"/>
    </row>
    <row r="239">
      <c r="A239" s="190" t="str">
        <f>IFERROR(__xludf.DUMMYFUNCTION("""COMPUTED_VALUE"""),"LEGO Star Wars: The Skywalker Saga")</f>
        <v>LEGO Star Wars: The Skywalker Saga</v>
      </c>
      <c r="B239" s="195" t="str">
        <f>IFERROR(__xludf.DUMMYFUNCTION("""COMPUTED_VALUE"""),"Xbox / PC")</f>
        <v>Xbox / PC</v>
      </c>
      <c r="C239" s="196" t="str">
        <f>IFERROR(__xludf.DUMMYFUNCTION("""COMPUTED_VALUE"""),"Yes")</f>
        <v>Yes</v>
      </c>
      <c r="D239" s="196" t="str">
        <f>IFERROR(__xludf.DUMMYFUNCTION("""COMPUTED_VALUE"""),"Active")</f>
        <v>Active</v>
      </c>
      <c r="E239" s="197">
        <f>IFERROR(__xludf.DUMMYFUNCTION("""COMPUTED_VALUE"""),44901.0)</f>
        <v>44901</v>
      </c>
      <c r="F239" s="198"/>
      <c r="G239" s="199">
        <f>IFERROR(__xludf.DUMMYFUNCTION("""COMPUTED_VALUE"""),34.3)</f>
        <v>34.3</v>
      </c>
      <c r="H239" s="197">
        <f>IFERROR(__xludf.DUMMYFUNCTION("""COMPUTED_VALUE"""),44656.0)</f>
        <v>44656</v>
      </c>
      <c r="I239" s="199">
        <f>IFERROR(__xludf.DUMMYFUNCTION("""COMPUTED_VALUE"""),0.6694444444444444)</f>
        <v>0.6694444444</v>
      </c>
      <c r="J239" s="200">
        <f>IFERROR(__xludf.DUMMYFUNCTION("""COMPUTED_VALUE"""),80.0)</f>
        <v>80</v>
      </c>
      <c r="K239" s="200">
        <f>IFERROR(__xludf.DUMMYFUNCTION("""COMPUTED_VALUE"""),19.0)</f>
        <v>19</v>
      </c>
      <c r="L239" s="201" t="str">
        <f>IFERROR(__xludf.DUMMYFUNCTION("""COMPUTED_VALUE"""),"Shooter / Brawler / Action-Adventure")</f>
        <v>Shooter / Brawler / Action-Adventure</v>
      </c>
      <c r="M239" s="201"/>
    </row>
    <row r="240">
      <c r="A240" s="190" t="str">
        <f>IFERROR(__xludf.DUMMYFUNCTION("""COMPUTED_VALUE"""),"Far Cry 5")</f>
        <v>Far Cry 5</v>
      </c>
      <c r="B240" s="195" t="str">
        <f>IFERROR(__xludf.DUMMYFUNCTION("""COMPUTED_VALUE"""),"Xbox / PC")</f>
        <v>Xbox / PC</v>
      </c>
      <c r="C240" s="196" t="str">
        <f>IFERROR(__xludf.DUMMYFUNCTION("""COMPUTED_VALUE"""),"Yes")</f>
        <v>Yes</v>
      </c>
      <c r="D240" s="196" t="str">
        <f>IFERROR(__xludf.DUMMYFUNCTION("""COMPUTED_VALUE"""),"Active")</f>
        <v>Active</v>
      </c>
      <c r="E240" s="197">
        <f>IFERROR(__xludf.DUMMYFUNCTION("""COMPUTED_VALUE"""),44743.0)</f>
        <v>44743</v>
      </c>
      <c r="F240" s="198"/>
      <c r="G240" s="199">
        <f>IFERROR(__xludf.DUMMYFUNCTION("""COMPUTED_VALUE"""),39.46666666666667)</f>
        <v>39.46666667</v>
      </c>
      <c r="H240" s="197">
        <f>IFERROR(__xludf.DUMMYFUNCTION("""COMPUTED_VALUE"""),43186.0)</f>
        <v>43186</v>
      </c>
      <c r="I240" s="199">
        <f>IFERROR(__xludf.DUMMYFUNCTION("""COMPUTED_VALUE"""),4.261111111111111)</f>
        <v>4.261111111</v>
      </c>
      <c r="J240" s="200">
        <f>IFERROR(__xludf.DUMMYFUNCTION("""COMPUTED_VALUE"""),80.0)</f>
        <v>80</v>
      </c>
      <c r="K240" s="200">
        <f>IFERROR(__xludf.DUMMYFUNCTION("""COMPUTED_VALUE"""),18.0)</f>
        <v>18</v>
      </c>
      <c r="L240" s="201" t="str">
        <f>IFERROR(__xludf.DUMMYFUNCTION("""COMPUTED_VALUE"""),"First-Person Shooter")</f>
        <v>First-Person Shooter</v>
      </c>
      <c r="M240" s="201"/>
    </row>
    <row r="241">
      <c r="A241" s="190" t="str">
        <f>IFERROR(__xludf.DUMMYFUNCTION("""COMPUTED_VALUE"""),"Plants vs. Zombies: Garden Warfare 2 - Deluxe Edition")</f>
        <v>Plants vs. Zombies: Garden Warfare 2 - Deluxe Edition</v>
      </c>
      <c r="B241" s="195" t="str">
        <f>IFERROR(__xludf.DUMMYFUNCTION("""COMPUTED_VALUE"""),"Xbox / PC")</f>
        <v>Xbox / PC</v>
      </c>
      <c r="C241" s="196" t="str">
        <f>IFERROR(__xludf.DUMMYFUNCTION("""COMPUTED_VALUE"""),"Yes")</f>
        <v>Yes</v>
      </c>
      <c r="D241" s="196" t="str">
        <f>IFERROR(__xludf.DUMMYFUNCTION("""COMPUTED_VALUE"""),"Active")</f>
        <v>Active</v>
      </c>
      <c r="E241" s="197">
        <f>IFERROR(__xludf.DUMMYFUNCTION("""COMPUTED_VALUE"""),44145.0)</f>
        <v>44145</v>
      </c>
      <c r="F241" s="198"/>
      <c r="G241" s="199">
        <f>IFERROR(__xludf.DUMMYFUNCTION("""COMPUTED_VALUE"""),59.166666666666664)</f>
        <v>59.16666667</v>
      </c>
      <c r="H241" s="197">
        <f>IFERROR(__xludf.DUMMYFUNCTION("""COMPUTED_VALUE"""),42423.0)</f>
        <v>42423</v>
      </c>
      <c r="I241" s="199">
        <f>IFERROR(__xludf.DUMMYFUNCTION("""COMPUTED_VALUE"""),4.713888888888889)</f>
        <v>4.713888889</v>
      </c>
      <c r="J241" s="200">
        <f>IFERROR(__xludf.DUMMYFUNCTION("""COMPUTED_VALUE"""),80.0)</f>
        <v>80</v>
      </c>
      <c r="K241" s="200">
        <f>IFERROR(__xludf.DUMMYFUNCTION("""COMPUTED_VALUE"""),12.5)</f>
        <v>12.5</v>
      </c>
      <c r="L241" s="201" t="str">
        <f>IFERROR(__xludf.DUMMYFUNCTION("""COMPUTED_VALUE"""),"Action")</f>
        <v>Action</v>
      </c>
      <c r="M241" s="201" t="str">
        <f>IFERROR(__xludf.DUMMYFUNCTION("""COMPUTED_VALUE"""),"FPS Boost")</f>
        <v>FPS Boost</v>
      </c>
    </row>
    <row r="242">
      <c r="A242" s="190" t="str">
        <f>IFERROR(__xludf.DUMMYFUNCTION("""COMPUTED_VALUE"""),"Skate 3")</f>
        <v>Skate 3</v>
      </c>
      <c r="B242" s="195" t="str">
        <f>IFERROR(__xludf.DUMMYFUNCTION("""COMPUTED_VALUE"""),"Xbox")</f>
        <v>Xbox</v>
      </c>
      <c r="C242" s="196" t="str">
        <f>IFERROR(__xludf.DUMMYFUNCTION("""COMPUTED_VALUE"""),"Yes")</f>
        <v>Yes</v>
      </c>
      <c r="D242" s="196" t="str">
        <f>IFERROR(__xludf.DUMMYFUNCTION("""COMPUTED_VALUE"""),"Active")</f>
        <v>Active</v>
      </c>
      <c r="E242" s="197">
        <f>IFERROR(__xludf.DUMMYFUNCTION("""COMPUTED_VALUE"""),44145.0)</f>
        <v>44145</v>
      </c>
      <c r="F242" s="198"/>
      <c r="G242" s="199">
        <f>IFERROR(__xludf.DUMMYFUNCTION("""COMPUTED_VALUE"""),59.166666666666664)</f>
        <v>59.16666667</v>
      </c>
      <c r="H242" s="197">
        <f>IFERROR(__xludf.DUMMYFUNCTION("""COMPUTED_VALUE"""),40309.0)</f>
        <v>40309</v>
      </c>
      <c r="I242" s="199">
        <f>IFERROR(__xludf.DUMMYFUNCTION("""COMPUTED_VALUE"""),10.497222222222222)</f>
        <v>10.49722222</v>
      </c>
      <c r="J242" s="200">
        <f>IFERROR(__xludf.DUMMYFUNCTION("""COMPUTED_VALUE"""),80.0)</f>
        <v>80</v>
      </c>
      <c r="K242" s="200">
        <f>IFERROR(__xludf.DUMMYFUNCTION("""COMPUTED_VALUE"""),9.0)</f>
        <v>9</v>
      </c>
      <c r="L242" s="201" t="str">
        <f>IFERROR(__xludf.DUMMYFUNCTION("""COMPUTED_VALUE"""),"Skateboarding")</f>
        <v>Skateboarding</v>
      </c>
      <c r="M242" s="201"/>
    </row>
    <row r="243">
      <c r="A243" s="190" t="str">
        <f>IFERROR(__xludf.DUMMYFUNCTION("""COMPUTED_VALUE"""),"Grim Fandango Remastered")</f>
        <v>Grim Fandango Remastered</v>
      </c>
      <c r="B243" s="195" t="str">
        <f>IFERROR(__xludf.DUMMYFUNCTION("""COMPUTED_VALUE"""),"Xbox / PC")</f>
        <v>Xbox / PC</v>
      </c>
      <c r="C243" s="196"/>
      <c r="D243" s="196" t="str">
        <f>IFERROR(__xludf.DUMMYFUNCTION("""COMPUTED_VALUE"""),"Active")</f>
        <v>Active</v>
      </c>
      <c r="E243" s="197">
        <f>IFERROR(__xludf.DUMMYFUNCTION("""COMPUTED_VALUE"""),44133.0)</f>
        <v>44133</v>
      </c>
      <c r="F243" s="198"/>
      <c r="G243" s="199">
        <f>IFERROR(__xludf.DUMMYFUNCTION("""COMPUTED_VALUE"""),59.53333333333333)</f>
        <v>59.53333333</v>
      </c>
      <c r="H243" s="197">
        <f>IFERROR(__xludf.DUMMYFUNCTION("""COMPUTED_VALUE"""),42031.0)</f>
        <v>42031</v>
      </c>
      <c r="I243" s="199">
        <f>IFERROR(__xludf.DUMMYFUNCTION("""COMPUTED_VALUE"""),5.7555555555555555)</f>
        <v>5.755555556</v>
      </c>
      <c r="J243" s="200">
        <f>IFERROR(__xludf.DUMMYFUNCTION("""COMPUTED_VALUE"""),80.0)</f>
        <v>80</v>
      </c>
      <c r="K243" s="200">
        <f>IFERROR(__xludf.DUMMYFUNCTION("""COMPUTED_VALUE"""),11.0)</f>
        <v>11</v>
      </c>
      <c r="L243" s="201" t="str">
        <f>IFERROR(__xludf.DUMMYFUNCTION("""COMPUTED_VALUE"""),"Adventure")</f>
        <v>Adventure</v>
      </c>
      <c r="M243" s="201"/>
    </row>
    <row r="244">
      <c r="A244" s="190" t="str">
        <f>IFERROR(__xludf.DUMMYFUNCTION("""COMPUTED_VALUE"""),"Tell Me Why")</f>
        <v>Tell Me Why</v>
      </c>
      <c r="B244" s="195" t="str">
        <f>IFERROR(__xludf.DUMMYFUNCTION("""COMPUTED_VALUE"""),"Xbox / PC")</f>
        <v>Xbox / PC</v>
      </c>
      <c r="C244" s="196" t="str">
        <f>IFERROR(__xludf.DUMMYFUNCTION("""COMPUTED_VALUE"""),"Touch Controls")</f>
        <v>Touch Controls</v>
      </c>
      <c r="D244" s="196" t="str">
        <f>IFERROR(__xludf.DUMMYFUNCTION("""COMPUTED_VALUE"""),"Active")</f>
        <v>Active</v>
      </c>
      <c r="E244" s="197">
        <f>IFERROR(__xludf.DUMMYFUNCTION("""COMPUTED_VALUE"""),44070.0)</f>
        <v>44070</v>
      </c>
      <c r="F244" s="198"/>
      <c r="G244" s="199">
        <f>IFERROR(__xludf.DUMMYFUNCTION("""COMPUTED_VALUE"""),61.60000000000001)</f>
        <v>61.6</v>
      </c>
      <c r="H244" s="197">
        <f>IFERROR(__xludf.DUMMYFUNCTION("""COMPUTED_VALUE"""),44070.0)</f>
        <v>44070</v>
      </c>
      <c r="I244" s="199">
        <f>IFERROR(__xludf.DUMMYFUNCTION("""COMPUTED_VALUE"""),0.0)</f>
        <v>0</v>
      </c>
      <c r="J244" s="200">
        <f>IFERROR(__xludf.DUMMYFUNCTION("""COMPUTED_VALUE"""),80.0)</f>
        <v>80</v>
      </c>
      <c r="K244" s="200">
        <f>IFERROR(__xludf.DUMMYFUNCTION("""COMPUTED_VALUE"""),9.0)</f>
        <v>9</v>
      </c>
      <c r="L244" s="201" t="str">
        <f>IFERROR(__xludf.DUMMYFUNCTION("""COMPUTED_VALUE"""),"Adventure")</f>
        <v>Adventure</v>
      </c>
      <c r="M244" s="201"/>
    </row>
    <row r="245">
      <c r="A245" s="190" t="str">
        <f>IFERROR(__xludf.DUMMYFUNCTION("""COMPUTED_VALUE"""),"Wolfenstein: The New Order")</f>
        <v>Wolfenstein: The New Order</v>
      </c>
      <c r="B245" s="195" t="str">
        <f>IFERROR(__xludf.DUMMYFUNCTION("""COMPUTED_VALUE"""),"Xbox / PC")</f>
        <v>Xbox / PC</v>
      </c>
      <c r="C245" s="196" t="str">
        <f>IFERROR(__xludf.DUMMYFUNCTION("""COMPUTED_VALUE"""),"Yes")</f>
        <v>Yes</v>
      </c>
      <c r="D245" s="196" t="str">
        <f>IFERROR(__xludf.DUMMYFUNCTION("""COMPUTED_VALUE"""),"Active")</f>
        <v>Active</v>
      </c>
      <c r="E245" s="197">
        <f>IFERROR(__xludf.DUMMYFUNCTION("""COMPUTED_VALUE"""),43374.0)</f>
        <v>43374</v>
      </c>
      <c r="F245" s="198"/>
      <c r="G245" s="199">
        <f>IFERROR(__xludf.DUMMYFUNCTION("""COMPUTED_VALUE"""),84.46666666666667)</f>
        <v>84.46666667</v>
      </c>
      <c r="H245" s="197">
        <f>IFERROR(__xludf.DUMMYFUNCTION("""COMPUTED_VALUE"""),41779.0)</f>
        <v>41779</v>
      </c>
      <c r="I245" s="199">
        <f>IFERROR(__xludf.DUMMYFUNCTION("""COMPUTED_VALUE"""),4.363888888888889)</f>
        <v>4.363888889</v>
      </c>
      <c r="J245" s="200">
        <f>IFERROR(__xludf.DUMMYFUNCTION("""COMPUTED_VALUE"""),80.0)</f>
        <v>80</v>
      </c>
      <c r="K245" s="200">
        <f>IFERROR(__xludf.DUMMYFUNCTION("""COMPUTED_VALUE"""),11.5)</f>
        <v>11.5</v>
      </c>
      <c r="L245" s="201" t="str">
        <f>IFERROR(__xludf.DUMMYFUNCTION("""COMPUTED_VALUE"""),"First-Person Shooter")</f>
        <v>First-Person Shooter</v>
      </c>
      <c r="M245" s="201"/>
    </row>
    <row r="246">
      <c r="A246" s="190" t="str">
        <f>IFERROR(__xludf.DUMMYFUNCTION("""COMPUTED_VALUE"""),"Fable III")</f>
        <v>Fable III</v>
      </c>
      <c r="B246" s="195" t="str">
        <f>IFERROR(__xludf.DUMMYFUNCTION("""COMPUTED_VALUE"""),"Xbox")</f>
        <v>Xbox</v>
      </c>
      <c r="C246" s="196" t="str">
        <f>IFERROR(__xludf.DUMMYFUNCTION("""COMPUTED_VALUE"""),"Touch Controls")</f>
        <v>Touch Controls</v>
      </c>
      <c r="D246" s="196" t="str">
        <f>IFERROR(__xludf.DUMMYFUNCTION("""COMPUTED_VALUE"""),"Active")</f>
        <v>Active</v>
      </c>
      <c r="E246" s="197">
        <f>IFERROR(__xludf.DUMMYFUNCTION("""COMPUTED_VALUE"""),42887.0)</f>
        <v>42887</v>
      </c>
      <c r="F246" s="198"/>
      <c r="G246" s="199">
        <f>IFERROR(__xludf.DUMMYFUNCTION("""COMPUTED_VALUE"""),100.46666666666667)</f>
        <v>100.4666667</v>
      </c>
      <c r="H246" s="197">
        <f>IFERROR(__xludf.DUMMYFUNCTION("""COMPUTED_VALUE"""),40477.0)</f>
        <v>40477</v>
      </c>
      <c r="I246" s="199">
        <f>IFERROR(__xludf.DUMMYFUNCTION("""COMPUTED_VALUE"""),6.597222222222222)</f>
        <v>6.597222222</v>
      </c>
      <c r="J246" s="200">
        <f>IFERROR(__xludf.DUMMYFUNCTION("""COMPUTED_VALUE"""),80.0)</f>
        <v>80</v>
      </c>
      <c r="K246" s="200">
        <f>IFERROR(__xludf.DUMMYFUNCTION("""COMPUTED_VALUE"""),12.5)</f>
        <v>12.5</v>
      </c>
      <c r="L246" s="201" t="str">
        <f>IFERROR(__xludf.DUMMYFUNCTION("""COMPUTED_VALUE"""),"Adventure")</f>
        <v>Adventure</v>
      </c>
      <c r="M246" s="201" t="str">
        <f>IFERROR(__xludf.DUMMYFUNCTION("""COMPUTED_VALUE"""),"FPS Boost")</f>
        <v>FPS Boost</v>
      </c>
    </row>
    <row r="247">
      <c r="A247" s="190" t="str">
        <f>IFERROR(__xludf.DUMMYFUNCTION("""COMPUTED_VALUE"""),"Shadowrun Trilogy")</f>
        <v>Shadowrun Trilogy</v>
      </c>
      <c r="B247" s="195" t="str">
        <f>IFERROR(__xludf.DUMMYFUNCTION("""COMPUTED_VALUE"""),"Xbox / PC")</f>
        <v>Xbox / PC</v>
      </c>
      <c r="C247" s="196" t="str">
        <f>IFERROR(__xludf.DUMMYFUNCTION("""COMPUTED_VALUE"""),"Touch Controls")</f>
        <v>Touch Controls</v>
      </c>
      <c r="D247" s="196" t="str">
        <f>IFERROR(__xludf.DUMMYFUNCTION("""COMPUTED_VALUE"""),"Active")</f>
        <v>Active</v>
      </c>
      <c r="E247" s="197">
        <f>IFERROR(__xludf.DUMMYFUNCTION("""COMPUTED_VALUE"""),44733.0)</f>
        <v>44733</v>
      </c>
      <c r="F247" s="198"/>
      <c r="G247" s="199">
        <f>IFERROR(__xludf.DUMMYFUNCTION("""COMPUTED_VALUE"""),39.800000000000004)</f>
        <v>39.8</v>
      </c>
      <c r="H247" s="197">
        <f>IFERROR(__xludf.DUMMYFUNCTION("""COMPUTED_VALUE"""),42236.0)</f>
        <v>42236</v>
      </c>
      <c r="I247" s="199">
        <f>IFERROR(__xludf.DUMMYFUNCTION("""COMPUTED_VALUE"""),6.836111111111111)</f>
        <v>6.836111111</v>
      </c>
      <c r="J247" s="200">
        <f>IFERROR(__xludf.DUMMYFUNCTION("""COMPUTED_VALUE"""),79.33333333333333)</f>
        <v>79.33333333</v>
      </c>
      <c r="K247" s="200">
        <f>IFERROR(__xludf.DUMMYFUNCTION("""COMPUTED_VALUE"""),53.5)</f>
        <v>53.5</v>
      </c>
      <c r="L247" s="201" t="str">
        <f>IFERROR(__xludf.DUMMYFUNCTION("""COMPUTED_VALUE"""),"Strategy / RPG")</f>
        <v>Strategy / RPG</v>
      </c>
      <c r="M247" s="201"/>
    </row>
    <row r="248">
      <c r="A248" s="190" t="str">
        <f>IFERROR(__xludf.DUMMYFUNCTION("""COMPUTED_VALUE"""),"DiRT 5")</f>
        <v>DiRT 5</v>
      </c>
      <c r="B248" s="195" t="str">
        <f>IFERROR(__xludf.DUMMYFUNCTION("""COMPUTED_VALUE"""),"Xbox / PC")</f>
        <v>Xbox / PC</v>
      </c>
      <c r="C248" s="196" t="str">
        <f>IFERROR(__xludf.DUMMYFUNCTION("""COMPUTED_VALUE"""),"Touch Controls")</f>
        <v>Touch Controls</v>
      </c>
      <c r="D248" s="196" t="str">
        <f>IFERROR(__xludf.DUMMYFUNCTION("""COMPUTED_VALUE"""),"Active")</f>
        <v>Active</v>
      </c>
      <c r="E248" s="197">
        <f>IFERROR(__xludf.DUMMYFUNCTION("""COMPUTED_VALUE"""),44252.0)</f>
        <v>44252</v>
      </c>
      <c r="F248" s="198"/>
      <c r="G248" s="199">
        <f>IFERROR(__xludf.DUMMYFUNCTION("""COMPUTED_VALUE"""),55.66666666666667)</f>
        <v>55.66666667</v>
      </c>
      <c r="H248" s="197">
        <f>IFERROR(__xludf.DUMMYFUNCTION("""COMPUTED_VALUE"""),44120.0)</f>
        <v>44120</v>
      </c>
      <c r="I248" s="199">
        <f>IFERROR(__xludf.DUMMYFUNCTION("""COMPUTED_VALUE"""),0.35833333333333334)</f>
        <v>0.3583333333</v>
      </c>
      <c r="J248" s="200">
        <f>IFERROR(__xludf.DUMMYFUNCTION("""COMPUTED_VALUE"""),79.33333333333333)</f>
        <v>79.33333333</v>
      </c>
      <c r="K248" s="200">
        <f>IFERROR(__xludf.DUMMYFUNCTION("""COMPUTED_VALUE"""),8.0)</f>
        <v>8</v>
      </c>
      <c r="L248" s="201" t="str">
        <f>IFERROR(__xludf.DUMMYFUNCTION("""COMPUTED_VALUE"""),"Driving/Racing")</f>
        <v>Driving/Racing</v>
      </c>
      <c r="M248" s="201" t="str">
        <f>IFERROR(__xludf.DUMMYFUNCTION("""COMPUTED_VALUE"""),"Optimized")</f>
        <v>Optimized</v>
      </c>
    </row>
    <row r="249">
      <c r="A249" s="190" t="str">
        <f>IFERROR(__xludf.DUMMYFUNCTION("""COMPUTED_VALUE"""),"Sopa: Tale of the Stolen Potato")</f>
        <v>Sopa: Tale of the Stolen Potato</v>
      </c>
      <c r="B249" s="195" t="str">
        <f>IFERROR(__xludf.DUMMYFUNCTION("""COMPUTED_VALUE"""),"Xbox / PC")</f>
        <v>Xbox / PC</v>
      </c>
      <c r="C249" s="196" t="str">
        <f>IFERROR(__xludf.DUMMYFUNCTION("""COMPUTED_VALUE"""),"Yes")</f>
        <v>Yes</v>
      </c>
      <c r="D249" s="196" t="str">
        <f>IFERROR(__xludf.DUMMYFUNCTION("""COMPUTED_VALUE"""),"Active")</f>
        <v>Active</v>
      </c>
      <c r="E249" s="197">
        <f>IFERROR(__xludf.DUMMYFUNCTION("""COMPUTED_VALUE"""),45937.0)</f>
        <v>45937</v>
      </c>
      <c r="F249" s="198"/>
      <c r="G249" s="199">
        <f>IFERROR(__xludf.DUMMYFUNCTION("""COMPUTED_VALUE"""),0.26666666666666666)</f>
        <v>0.2666666667</v>
      </c>
      <c r="H249" s="197">
        <f>IFERROR(__xludf.DUMMYFUNCTION("""COMPUTED_VALUE"""),45937.0)</f>
        <v>45937</v>
      </c>
      <c r="I249" s="199">
        <f>IFERROR(__xludf.DUMMYFUNCTION("""COMPUTED_VALUE"""),0.0)</f>
        <v>0</v>
      </c>
      <c r="J249" s="200">
        <f>IFERROR(__xludf.DUMMYFUNCTION("""COMPUTED_VALUE"""),79.0)</f>
        <v>79</v>
      </c>
      <c r="K249" s="200">
        <f>IFERROR(__xludf.DUMMYFUNCTION("""COMPUTED_VALUE"""),3.0)</f>
        <v>3</v>
      </c>
      <c r="L249" s="201" t="str">
        <f>IFERROR(__xludf.DUMMYFUNCTION("""COMPUTED_VALUE"""),"Action-Adventure")</f>
        <v>Action-Adventure</v>
      </c>
      <c r="M249" s="201"/>
    </row>
    <row r="250">
      <c r="A250" s="190" t="str">
        <f>IFERROR(__xludf.DUMMYFUNCTION("""COMPUTED_VALUE"""),"Scott Pilgrim vs. The World: The Game")</f>
        <v>Scott Pilgrim vs. The World: The Game</v>
      </c>
      <c r="B250" s="195" t="str">
        <f>IFERROR(__xludf.DUMMYFUNCTION("""COMPUTED_VALUE"""),"Xbox / PC")</f>
        <v>Xbox / PC</v>
      </c>
      <c r="C250" s="196" t="str">
        <f>IFERROR(__xludf.DUMMYFUNCTION("""COMPUTED_VALUE"""),"Yes")</f>
        <v>Yes</v>
      </c>
      <c r="D250" s="196" t="str">
        <f>IFERROR(__xludf.DUMMYFUNCTION("""COMPUTED_VALUE"""),"Active")</f>
        <v>Active</v>
      </c>
      <c r="E250" s="197">
        <f>IFERROR(__xludf.DUMMYFUNCTION("""COMPUTED_VALUE"""),45931.0)</f>
        <v>45931</v>
      </c>
      <c r="F250" s="198"/>
      <c r="G250" s="199">
        <f>IFERROR(__xludf.DUMMYFUNCTION("""COMPUTED_VALUE"""),0.4666666666666667)</f>
        <v>0.4666666667</v>
      </c>
      <c r="H250" s="197">
        <f>IFERROR(__xludf.DUMMYFUNCTION("""COMPUTED_VALUE"""),44210.0)</f>
        <v>44210</v>
      </c>
      <c r="I250" s="199">
        <f>IFERROR(__xludf.DUMMYFUNCTION("""COMPUTED_VALUE"""),4.713888888888889)</f>
        <v>4.713888889</v>
      </c>
      <c r="J250" s="200">
        <f>IFERROR(__xludf.DUMMYFUNCTION("""COMPUTED_VALUE"""),79.0)</f>
        <v>79</v>
      </c>
      <c r="K250" s="200">
        <f>IFERROR(__xludf.DUMMYFUNCTION("""COMPUTED_VALUE"""),5.0)</f>
        <v>5</v>
      </c>
      <c r="L250" s="201" t="str">
        <f>IFERROR(__xludf.DUMMYFUNCTION("""COMPUTED_VALUE"""),"Beat-'Em-Up")</f>
        <v>Beat-'Em-Up</v>
      </c>
      <c r="M250" s="201"/>
    </row>
    <row r="251">
      <c r="A251" s="190" t="str">
        <f>IFERROR(__xludf.DUMMYFUNCTION("""COMPUTED_VALUE"""),"Trials Fusion")</f>
        <v>Trials Fusion</v>
      </c>
      <c r="B251" s="195" t="str">
        <f>IFERROR(__xludf.DUMMYFUNCTION("""COMPUTED_VALUE"""),"Xbox / PC")</f>
        <v>Xbox / PC</v>
      </c>
      <c r="C251" s="196" t="str">
        <f>IFERROR(__xludf.DUMMYFUNCTION("""COMPUTED_VALUE"""),"Yes")</f>
        <v>Yes</v>
      </c>
      <c r="D251" s="196" t="str">
        <f>IFERROR(__xludf.DUMMYFUNCTION("""COMPUTED_VALUE"""),"Active")</f>
        <v>Active</v>
      </c>
      <c r="E251" s="197">
        <f>IFERROR(__xludf.DUMMYFUNCTION("""COMPUTED_VALUE"""),45931.0)</f>
        <v>45931</v>
      </c>
      <c r="F251" s="198"/>
      <c r="G251" s="199">
        <f>IFERROR(__xludf.DUMMYFUNCTION("""COMPUTED_VALUE"""),0.4666666666666667)</f>
        <v>0.4666666667</v>
      </c>
      <c r="H251" s="197">
        <f>IFERROR(__xludf.DUMMYFUNCTION("""COMPUTED_VALUE"""),41744.0)</f>
        <v>41744</v>
      </c>
      <c r="I251" s="199">
        <f>IFERROR(__xludf.DUMMYFUNCTION("""COMPUTED_VALUE"""),11.46111111111111)</f>
        <v>11.46111111</v>
      </c>
      <c r="J251" s="200">
        <f>IFERROR(__xludf.DUMMYFUNCTION("""COMPUTED_VALUE"""),79.0)</f>
        <v>79</v>
      </c>
      <c r="K251" s="200">
        <f>IFERROR(__xludf.DUMMYFUNCTION("""COMPUTED_VALUE"""),7.0)</f>
        <v>7</v>
      </c>
      <c r="L251" s="201" t="str">
        <f>IFERROR(__xludf.DUMMYFUNCTION("""COMPUTED_VALUE"""),"Racing")</f>
        <v>Racing</v>
      </c>
      <c r="M251" s="201"/>
    </row>
    <row r="252">
      <c r="A252" s="190" t="str">
        <f>IFERROR(__xludf.DUMMYFUNCTION("""COMPUTED_VALUE"""),"Trials Rising")</f>
        <v>Trials Rising</v>
      </c>
      <c r="B252" s="195" t="str">
        <f>IFERROR(__xludf.DUMMYFUNCTION("""COMPUTED_VALUE"""),"Xbox / PC")</f>
        <v>Xbox / PC</v>
      </c>
      <c r="C252" s="196" t="str">
        <f>IFERROR(__xludf.DUMMYFUNCTION("""COMPUTED_VALUE"""),"Yes")</f>
        <v>Yes</v>
      </c>
      <c r="D252" s="196" t="str">
        <f>IFERROR(__xludf.DUMMYFUNCTION("""COMPUTED_VALUE"""),"Active")</f>
        <v>Active</v>
      </c>
      <c r="E252" s="197">
        <f>IFERROR(__xludf.DUMMYFUNCTION("""COMPUTED_VALUE"""),45931.0)</f>
        <v>45931</v>
      </c>
      <c r="F252" s="198"/>
      <c r="G252" s="199">
        <f>IFERROR(__xludf.DUMMYFUNCTION("""COMPUTED_VALUE"""),0.4666666666666667)</f>
        <v>0.4666666667</v>
      </c>
      <c r="H252" s="197">
        <f>IFERROR(__xludf.DUMMYFUNCTION("""COMPUTED_VALUE"""),43522.0)</f>
        <v>43522</v>
      </c>
      <c r="I252" s="199">
        <f>IFERROR(__xludf.DUMMYFUNCTION("""COMPUTED_VALUE"""),6.597222222222222)</f>
        <v>6.597222222</v>
      </c>
      <c r="J252" s="200">
        <f>IFERROR(__xludf.DUMMYFUNCTION("""COMPUTED_VALUE"""),79.0)</f>
        <v>79</v>
      </c>
      <c r="K252" s="200">
        <f>IFERROR(__xludf.DUMMYFUNCTION("""COMPUTED_VALUE"""),18.0)</f>
        <v>18</v>
      </c>
      <c r="L252" s="201" t="str">
        <f>IFERROR(__xludf.DUMMYFUNCTION("""COMPUTED_VALUE"""),"Racing")</f>
        <v>Racing</v>
      </c>
      <c r="M252" s="201"/>
    </row>
    <row r="253">
      <c r="A253" s="190" t="str">
        <f>IFERROR(__xludf.DUMMYFUNCTION("""COMPUTED_VALUE"""),"PAW Patrol World")</f>
        <v>PAW Patrol World</v>
      </c>
      <c r="B253" s="195" t="str">
        <f>IFERROR(__xludf.DUMMYFUNCTION("""COMPUTED_VALUE"""),"Xbox / PC")</f>
        <v>Xbox / PC</v>
      </c>
      <c r="C253" s="196" t="str">
        <f>IFERROR(__xludf.DUMMYFUNCTION("""COMPUTED_VALUE"""),"Yes")</f>
        <v>Yes</v>
      </c>
      <c r="D253" s="196" t="str">
        <f>IFERROR(__xludf.DUMMYFUNCTION("""COMPUTED_VALUE"""),"Active")</f>
        <v>Active</v>
      </c>
      <c r="E253" s="197">
        <f>IFERROR(__xludf.DUMMYFUNCTION("""COMPUTED_VALUE"""),45910.0)</f>
        <v>45910</v>
      </c>
      <c r="F253" s="198"/>
      <c r="G253" s="199">
        <f>IFERROR(__xludf.DUMMYFUNCTION("""COMPUTED_VALUE"""),1.1666666666666667)</f>
        <v>1.166666667</v>
      </c>
      <c r="H253" s="197">
        <f>IFERROR(__xludf.DUMMYFUNCTION("""COMPUTED_VALUE"""),45198.0)</f>
        <v>45198</v>
      </c>
      <c r="I253" s="199">
        <f>IFERROR(__xludf.DUMMYFUNCTION("""COMPUTED_VALUE"""),1.9472222222222222)</f>
        <v>1.947222222</v>
      </c>
      <c r="J253" s="200">
        <f>IFERROR(__xludf.DUMMYFUNCTION("""COMPUTED_VALUE"""),79.0)</f>
        <v>79</v>
      </c>
      <c r="K253" s="200">
        <f>IFERROR(__xludf.DUMMYFUNCTION("""COMPUTED_VALUE"""),7.0)</f>
        <v>7</v>
      </c>
      <c r="L253" s="201" t="str">
        <f>IFERROR(__xludf.DUMMYFUNCTION("""COMPUTED_VALUE"""),"Action-Adventure")</f>
        <v>Action-Adventure</v>
      </c>
      <c r="M253" s="201"/>
    </row>
    <row r="254">
      <c r="A254" s="190" t="str">
        <f>IFERROR(__xludf.DUMMYFUNCTION("""COMPUTED_VALUE"""),"I Am Your Beast")</f>
        <v>I Am Your Beast</v>
      </c>
      <c r="B254" s="195" t="str">
        <f>IFERROR(__xludf.DUMMYFUNCTION("""COMPUTED_VALUE"""),"Xbox / PC")</f>
        <v>Xbox / PC</v>
      </c>
      <c r="C254" s="196" t="str">
        <f>IFERROR(__xludf.DUMMYFUNCTION("""COMPUTED_VALUE"""),"Yes")</f>
        <v>Yes</v>
      </c>
      <c r="D254" s="196" t="str">
        <f>IFERROR(__xludf.DUMMYFUNCTION("""COMPUTED_VALUE"""),"Active")</f>
        <v>Active</v>
      </c>
      <c r="E254" s="197">
        <f>IFERROR(__xludf.DUMMYFUNCTION("""COMPUTED_VALUE"""),45901.0)</f>
        <v>45901</v>
      </c>
      <c r="F254" s="198"/>
      <c r="G254" s="199">
        <f>IFERROR(__xludf.DUMMYFUNCTION("""COMPUTED_VALUE"""),1.4666666666666666)</f>
        <v>1.466666667</v>
      </c>
      <c r="H254" s="197">
        <f>IFERROR(__xludf.DUMMYFUNCTION("""COMPUTED_VALUE"""),45545.0)</f>
        <v>45545</v>
      </c>
      <c r="I254" s="199">
        <f>IFERROR(__xludf.DUMMYFUNCTION("""COMPUTED_VALUE"""),0.975)</f>
        <v>0.975</v>
      </c>
      <c r="J254" s="200">
        <f>IFERROR(__xludf.DUMMYFUNCTION("""COMPUTED_VALUE"""),79.0)</f>
        <v>79</v>
      </c>
      <c r="K254" s="200">
        <f>IFERROR(__xludf.DUMMYFUNCTION("""COMPUTED_VALUE"""),3.0)</f>
        <v>3</v>
      </c>
      <c r="L254" s="201" t="str">
        <f>IFERROR(__xludf.DUMMYFUNCTION("""COMPUTED_VALUE"""),"Shooter")</f>
        <v>Shooter</v>
      </c>
      <c r="M254" s="201" t="str">
        <f>IFERROR(__xludf.DUMMYFUNCTION("""COMPUTED_VALUE"""),"Exclusive")</f>
        <v>Exclusive</v>
      </c>
    </row>
    <row r="255">
      <c r="A255" s="190" t="str">
        <f>IFERROR(__xludf.DUMMYFUNCTION("""COMPUTED_VALUE"""),"Gears of War: Reloaded")</f>
        <v>Gears of War: Reloaded</v>
      </c>
      <c r="B255" s="195" t="str">
        <f>IFERROR(__xludf.DUMMYFUNCTION("""COMPUTED_VALUE"""),"Xbox / PC")</f>
        <v>Xbox / PC</v>
      </c>
      <c r="C255" s="196" t="str">
        <f>IFERROR(__xludf.DUMMYFUNCTION("""COMPUTED_VALUE"""),"Yes")</f>
        <v>Yes</v>
      </c>
      <c r="D255" s="196" t="str">
        <f>IFERROR(__xludf.DUMMYFUNCTION("""COMPUTED_VALUE"""),"Active")</f>
        <v>Active</v>
      </c>
      <c r="E255" s="197">
        <f>IFERROR(__xludf.DUMMYFUNCTION("""COMPUTED_VALUE"""),45895.0)</f>
        <v>45895</v>
      </c>
      <c r="F255" s="198"/>
      <c r="G255" s="199">
        <f>IFERROR(__xludf.DUMMYFUNCTION("""COMPUTED_VALUE"""),1.6333333333333333)</f>
        <v>1.633333333</v>
      </c>
      <c r="H255" s="197">
        <f>IFERROR(__xludf.DUMMYFUNCTION("""COMPUTED_VALUE"""),45895.0)</f>
        <v>45895</v>
      </c>
      <c r="I255" s="199">
        <f>IFERROR(__xludf.DUMMYFUNCTION("""COMPUTED_VALUE"""),0.0)</f>
        <v>0</v>
      </c>
      <c r="J255" s="200">
        <f>IFERROR(__xludf.DUMMYFUNCTION("""COMPUTED_VALUE"""),79.0)</f>
        <v>79</v>
      </c>
      <c r="K255" s="200">
        <f>IFERROR(__xludf.DUMMYFUNCTION("""COMPUTED_VALUE"""),7.0)</f>
        <v>7</v>
      </c>
      <c r="L255" s="201" t="str">
        <f>IFERROR(__xludf.DUMMYFUNCTION("""COMPUTED_VALUE"""),"Shooter")</f>
        <v>Shooter</v>
      </c>
      <c r="M255" s="201" t="str">
        <f>IFERROR(__xludf.DUMMYFUNCTION("""COMPUTED_VALUE"""),"Exclusive")</f>
        <v>Exclusive</v>
      </c>
    </row>
    <row r="256">
      <c r="A256" s="190" t="str">
        <f>IFERROR(__xludf.DUMMYFUNCTION("""COMPUTED_VALUE"""),"Call of Duty: WWII")</f>
        <v>Call of Duty: WWII</v>
      </c>
      <c r="B256" s="195" t="str">
        <f>IFERROR(__xludf.DUMMYFUNCTION("""COMPUTED_VALUE"""),"Xbox / PC")</f>
        <v>Xbox / PC</v>
      </c>
      <c r="C256" s="196"/>
      <c r="D256" s="196" t="str">
        <f>IFERROR(__xludf.DUMMYFUNCTION("""COMPUTED_VALUE"""),"Active")</f>
        <v>Active</v>
      </c>
      <c r="E256" s="197">
        <f>IFERROR(__xludf.DUMMYFUNCTION("""COMPUTED_VALUE"""),45838.0)</f>
        <v>45838</v>
      </c>
      <c r="F256" s="198"/>
      <c r="G256" s="199">
        <f>IFERROR(__xludf.DUMMYFUNCTION("""COMPUTED_VALUE"""),3.5)</f>
        <v>3.5</v>
      </c>
      <c r="H256" s="197">
        <f>IFERROR(__xludf.DUMMYFUNCTION("""COMPUTED_VALUE"""),43042.0)</f>
        <v>43042</v>
      </c>
      <c r="I256" s="199">
        <f>IFERROR(__xludf.DUMMYFUNCTION("""COMPUTED_VALUE"""),7.658333333333333)</f>
        <v>7.658333333</v>
      </c>
      <c r="J256" s="200">
        <f>IFERROR(__xludf.DUMMYFUNCTION("""COMPUTED_VALUE"""),79.0)</f>
        <v>79</v>
      </c>
      <c r="K256" s="200">
        <f>IFERROR(__xludf.DUMMYFUNCTION("""COMPUTED_VALUE"""),7.0)</f>
        <v>7</v>
      </c>
      <c r="L256" s="201" t="str">
        <f>IFERROR(__xludf.DUMMYFUNCTION("""COMPUTED_VALUE"""),"Shooter")</f>
        <v>Shooter</v>
      </c>
      <c r="M256" s="201"/>
    </row>
    <row r="257">
      <c r="A257" s="190" t="str">
        <f>IFERROR(__xludf.DUMMYFUNCTION("""COMPUTED_VALUE"""),"Road 96")</f>
        <v>Road 96</v>
      </c>
      <c r="B257" s="195" t="str">
        <f>IFERROR(__xludf.DUMMYFUNCTION("""COMPUTED_VALUE"""),"Xbox / PC")</f>
        <v>Xbox / PC</v>
      </c>
      <c r="C257" s="196" t="str">
        <f>IFERROR(__xludf.DUMMYFUNCTION("""COMPUTED_VALUE"""),"Touch Controls")</f>
        <v>Touch Controls</v>
      </c>
      <c r="D257" s="196" t="str">
        <f>IFERROR(__xludf.DUMMYFUNCTION("""COMPUTED_VALUE"""),"Active")</f>
        <v>Active</v>
      </c>
      <c r="E257" s="197">
        <f>IFERROR(__xludf.DUMMYFUNCTION("""COMPUTED_VALUE"""),45664.0)</f>
        <v>45664</v>
      </c>
      <c r="F257" s="198"/>
      <c r="G257" s="199">
        <f>IFERROR(__xludf.DUMMYFUNCTION("""COMPUTED_VALUE"""),9.266666666666667)</f>
        <v>9.266666667</v>
      </c>
      <c r="H257" s="197">
        <f>IFERROR(__xludf.DUMMYFUNCTION("""COMPUTED_VALUE"""),44424.0)</f>
        <v>44424</v>
      </c>
      <c r="I257" s="199">
        <f>IFERROR(__xludf.DUMMYFUNCTION("""COMPUTED_VALUE"""),3.3916666666666666)</f>
        <v>3.391666667</v>
      </c>
      <c r="J257" s="200">
        <f>IFERROR(__xludf.DUMMYFUNCTION("""COMPUTED_VALUE"""),79.0)</f>
        <v>79</v>
      </c>
      <c r="K257" s="200">
        <f>IFERROR(__xludf.DUMMYFUNCTION("""COMPUTED_VALUE"""),7.5)</f>
        <v>7.5</v>
      </c>
      <c r="L257" s="201" t="str">
        <f>IFERROR(__xludf.DUMMYFUNCTION("""COMPUTED_VALUE"""),"Adventure")</f>
        <v>Adventure</v>
      </c>
      <c r="M257" s="201"/>
    </row>
    <row r="258">
      <c r="A258" s="190" t="str">
        <f>IFERROR(__xludf.DUMMYFUNCTION("""COMPUTED_VALUE"""),"Metal Slug: Tactics")</f>
        <v>Metal Slug: Tactics</v>
      </c>
      <c r="B258" s="195" t="str">
        <f>IFERROR(__xludf.DUMMYFUNCTION("""COMPUTED_VALUE"""),"Xbox / PC")</f>
        <v>Xbox / PC</v>
      </c>
      <c r="C258" s="196" t="str">
        <f>IFERROR(__xludf.DUMMYFUNCTION("""COMPUTED_VALUE"""),"Yes")</f>
        <v>Yes</v>
      </c>
      <c r="D258" s="196" t="str">
        <f>IFERROR(__xludf.DUMMYFUNCTION("""COMPUTED_VALUE"""),"Active")</f>
        <v>Active</v>
      </c>
      <c r="E258" s="197">
        <f>IFERROR(__xludf.DUMMYFUNCTION("""COMPUTED_VALUE"""),45601.0)</f>
        <v>45601</v>
      </c>
      <c r="F258" s="198"/>
      <c r="G258" s="199">
        <f>IFERROR(__xludf.DUMMYFUNCTION("""COMPUTED_VALUE"""),11.333333333333332)</f>
        <v>11.33333333</v>
      </c>
      <c r="H258" s="197">
        <f>IFERROR(__xludf.DUMMYFUNCTION("""COMPUTED_VALUE"""),45601.0)</f>
        <v>45601</v>
      </c>
      <c r="I258" s="199">
        <f>IFERROR(__xludf.DUMMYFUNCTION("""COMPUTED_VALUE"""),0.0)</f>
        <v>0</v>
      </c>
      <c r="J258" s="200">
        <f>IFERROR(__xludf.DUMMYFUNCTION("""COMPUTED_VALUE"""),79.0)</f>
        <v>79</v>
      </c>
      <c r="K258" s="200">
        <f>IFERROR(__xludf.DUMMYFUNCTION("""COMPUTED_VALUE"""),8.0)</f>
        <v>8</v>
      </c>
      <c r="L258" s="201" t="str">
        <f>IFERROR(__xludf.DUMMYFUNCTION("""COMPUTED_VALUE"""),"Strategy")</f>
        <v>Strategy</v>
      </c>
      <c r="M258" s="201"/>
    </row>
    <row r="259">
      <c r="A259" s="190" t="str">
        <f>IFERROR(__xludf.DUMMYFUNCTION("""COMPUTED_VALUE"""),"Call of Duty: Warzone")</f>
        <v>Call of Duty: Warzone</v>
      </c>
      <c r="B259" s="195" t="str">
        <f>IFERROR(__xludf.DUMMYFUNCTION("""COMPUTED_VALUE"""),"Xbox / PC")</f>
        <v>Xbox / PC</v>
      </c>
      <c r="C259" s="196" t="str">
        <f>IFERROR(__xludf.DUMMYFUNCTION("""COMPUTED_VALUE"""),"Yes")</f>
        <v>Yes</v>
      </c>
      <c r="D259" s="196" t="str">
        <f>IFERROR(__xludf.DUMMYFUNCTION("""COMPUTED_VALUE"""),"Active")</f>
        <v>Active</v>
      </c>
      <c r="E259" s="197">
        <f>IFERROR(__xludf.DUMMYFUNCTION("""COMPUTED_VALUE"""),45590.0)</f>
        <v>45590</v>
      </c>
      <c r="F259" s="198"/>
      <c r="G259" s="199">
        <f>IFERROR(__xludf.DUMMYFUNCTION("""COMPUTED_VALUE"""),11.666666666666666)</f>
        <v>11.66666667</v>
      </c>
      <c r="H259" s="197">
        <f>IFERROR(__xludf.DUMMYFUNCTION("""COMPUTED_VALUE"""),44881.0)</f>
        <v>44881</v>
      </c>
      <c r="I259" s="199">
        <f>IFERROR(__xludf.DUMMYFUNCTION("""COMPUTED_VALUE"""),1.9416666666666667)</f>
        <v>1.941666667</v>
      </c>
      <c r="J259" s="200">
        <f>IFERROR(__xludf.DUMMYFUNCTION("""COMPUTED_VALUE"""),79.0)</f>
        <v>79</v>
      </c>
      <c r="K259" s="200">
        <f>IFERROR(__xludf.DUMMYFUNCTION("""COMPUTED_VALUE"""),99.0)</f>
        <v>99</v>
      </c>
      <c r="L259" s="201" t="str">
        <f>IFERROR(__xludf.DUMMYFUNCTION("""COMPUTED_VALUE"""),"Shooter")</f>
        <v>Shooter</v>
      </c>
      <c r="M259" s="201"/>
    </row>
    <row r="260">
      <c r="A260" s="190" t="str">
        <f>IFERROR(__xludf.DUMMYFUNCTION("""COMPUTED_VALUE"""),"Mechwarrior 5: Clans")</f>
        <v>Mechwarrior 5: Clans</v>
      </c>
      <c r="B260" s="195" t="str">
        <f>IFERROR(__xludf.DUMMYFUNCTION("""COMPUTED_VALUE"""),"Xbox / PC")</f>
        <v>Xbox / PC</v>
      </c>
      <c r="C260" s="196" t="str">
        <f>IFERROR(__xludf.DUMMYFUNCTION("""COMPUTED_VALUE"""),"Yes")</f>
        <v>Yes</v>
      </c>
      <c r="D260" s="196" t="str">
        <f>IFERROR(__xludf.DUMMYFUNCTION("""COMPUTED_VALUE"""),"Active")</f>
        <v>Active</v>
      </c>
      <c r="E260" s="197">
        <f>IFERROR(__xludf.DUMMYFUNCTION("""COMPUTED_VALUE"""),45582.0)</f>
        <v>45582</v>
      </c>
      <c r="F260" s="198"/>
      <c r="G260" s="199">
        <f>IFERROR(__xludf.DUMMYFUNCTION("""COMPUTED_VALUE"""),11.933333333333334)</f>
        <v>11.93333333</v>
      </c>
      <c r="H260" s="197">
        <f>IFERROR(__xludf.DUMMYFUNCTION("""COMPUTED_VALUE"""),45582.0)</f>
        <v>45582</v>
      </c>
      <c r="I260" s="199">
        <f>IFERROR(__xludf.DUMMYFUNCTION("""COMPUTED_VALUE"""),0.0)</f>
        <v>0</v>
      </c>
      <c r="J260" s="200">
        <f>IFERROR(__xludf.DUMMYFUNCTION("""COMPUTED_VALUE"""),79.0)</f>
        <v>79</v>
      </c>
      <c r="K260" s="200">
        <f>IFERROR(__xludf.DUMMYFUNCTION("""COMPUTED_VALUE"""),23.0)</f>
        <v>23</v>
      </c>
      <c r="L260" s="201" t="str">
        <f>IFERROR(__xludf.DUMMYFUNCTION("""COMPUTED_VALUE"""),"Simulation")</f>
        <v>Simulation</v>
      </c>
      <c r="M260" s="201" t="str">
        <f>IFERROR(__xludf.DUMMYFUNCTION("""COMPUTED_VALUE"""),"Exclusive")</f>
        <v>Exclusive</v>
      </c>
    </row>
    <row r="261">
      <c r="A261" s="190" t="str">
        <f>IFERROR(__xludf.DUMMYFUNCTION("""COMPUTED_VALUE"""),"Overwatch 2")</f>
        <v>Overwatch 2</v>
      </c>
      <c r="B261" s="195" t="str">
        <f>IFERROR(__xludf.DUMMYFUNCTION("""COMPUTED_VALUE"""),"Xbox / PC")</f>
        <v>Xbox / PC</v>
      </c>
      <c r="C261" s="196"/>
      <c r="D261" s="196" t="str">
        <f>IFERROR(__xludf.DUMMYFUNCTION("""COMPUTED_VALUE"""),"Active")</f>
        <v>Active</v>
      </c>
      <c r="E261" s="197">
        <f>IFERROR(__xludf.DUMMYFUNCTION("""COMPUTED_VALUE"""),45552.0)</f>
        <v>45552</v>
      </c>
      <c r="F261" s="198"/>
      <c r="G261" s="199">
        <f>IFERROR(__xludf.DUMMYFUNCTION("""COMPUTED_VALUE"""),12.933333333333334)</f>
        <v>12.93333333</v>
      </c>
      <c r="H261" s="197">
        <f>IFERROR(__xludf.DUMMYFUNCTION("""COMPUTED_VALUE"""),45148.0)</f>
        <v>45148</v>
      </c>
      <c r="I261" s="199">
        <f>IFERROR(__xludf.DUMMYFUNCTION("""COMPUTED_VALUE"""),1.1027777777777779)</f>
        <v>1.102777778</v>
      </c>
      <c r="J261" s="200">
        <f>IFERROR(__xludf.DUMMYFUNCTION("""COMPUTED_VALUE"""),79.0)</f>
        <v>79</v>
      </c>
      <c r="K261" s="200">
        <f>IFERROR(__xludf.DUMMYFUNCTION("""COMPUTED_VALUE"""),57.0)</f>
        <v>57</v>
      </c>
      <c r="L261" s="201" t="str">
        <f>IFERROR(__xludf.DUMMYFUNCTION("""COMPUTED_VALUE"""),"Shooter")</f>
        <v>Shooter</v>
      </c>
      <c r="M261" s="201"/>
    </row>
    <row r="262">
      <c r="A262" s="190" t="str">
        <f>IFERROR(__xludf.DUMMYFUNCTION("""COMPUTED_VALUE"""),"Little Kitty, Big City")</f>
        <v>Little Kitty, Big City</v>
      </c>
      <c r="B262" s="195" t="str">
        <f>IFERROR(__xludf.DUMMYFUNCTION("""COMPUTED_VALUE"""),"Xbox / PC")</f>
        <v>Xbox / PC</v>
      </c>
      <c r="C262" s="196" t="str">
        <f>IFERROR(__xludf.DUMMYFUNCTION("""COMPUTED_VALUE"""),"Yes")</f>
        <v>Yes</v>
      </c>
      <c r="D262" s="196" t="str">
        <f>IFERROR(__xludf.DUMMYFUNCTION("""COMPUTED_VALUE"""),"Active")</f>
        <v>Active</v>
      </c>
      <c r="E262" s="197">
        <f>IFERROR(__xludf.DUMMYFUNCTION("""COMPUTED_VALUE"""),45421.0)</f>
        <v>45421</v>
      </c>
      <c r="F262" s="198"/>
      <c r="G262" s="199">
        <f>IFERROR(__xludf.DUMMYFUNCTION("""COMPUTED_VALUE"""),17.2)</f>
        <v>17.2</v>
      </c>
      <c r="H262" s="197">
        <f>IFERROR(__xludf.DUMMYFUNCTION("""COMPUTED_VALUE"""),45421.0)</f>
        <v>45421</v>
      </c>
      <c r="I262" s="199">
        <f>IFERROR(__xludf.DUMMYFUNCTION("""COMPUTED_VALUE"""),0.0)</f>
        <v>0</v>
      </c>
      <c r="J262" s="200">
        <f>IFERROR(__xludf.DUMMYFUNCTION("""COMPUTED_VALUE"""),79.0)</f>
        <v>79</v>
      </c>
      <c r="K262" s="200">
        <f>IFERROR(__xludf.DUMMYFUNCTION("""COMPUTED_VALUE"""),3.0)</f>
        <v>3</v>
      </c>
      <c r="L262" s="201" t="str">
        <f>IFERROR(__xludf.DUMMYFUNCTION("""COMPUTED_VALUE"""),"Action-Adventure")</f>
        <v>Action-Adventure</v>
      </c>
      <c r="M262" s="201"/>
    </row>
    <row r="263">
      <c r="A263" s="190" t="str">
        <f>IFERROR(__xludf.DUMMYFUNCTION("""COMPUTED_VALUE"""),"Kona II: Brume")</f>
        <v>Kona II: Brume</v>
      </c>
      <c r="B263" s="195" t="str">
        <f>IFERROR(__xludf.DUMMYFUNCTION("""COMPUTED_VALUE"""),"Xbox / PC")</f>
        <v>Xbox / PC</v>
      </c>
      <c r="C263" s="196" t="str">
        <f>IFERROR(__xludf.DUMMYFUNCTION("""COMPUTED_VALUE"""),"Yes")</f>
        <v>Yes</v>
      </c>
      <c r="D263" s="196" t="str">
        <f>IFERROR(__xludf.DUMMYFUNCTION("""COMPUTED_VALUE"""),"Active")</f>
        <v>Active</v>
      </c>
      <c r="E263" s="197">
        <f>IFERROR(__xludf.DUMMYFUNCTION("""COMPUTED_VALUE"""),45419.0)</f>
        <v>45419</v>
      </c>
      <c r="F263" s="198"/>
      <c r="G263" s="199">
        <f>IFERROR(__xludf.DUMMYFUNCTION("""COMPUTED_VALUE"""),17.266666666666666)</f>
        <v>17.26666667</v>
      </c>
      <c r="H263" s="197">
        <f>IFERROR(__xludf.DUMMYFUNCTION("""COMPUTED_VALUE"""),45217.0)</f>
        <v>45217</v>
      </c>
      <c r="I263" s="199">
        <f>IFERROR(__xludf.DUMMYFUNCTION("""COMPUTED_VALUE"""),0.5527777777777778)</f>
        <v>0.5527777778</v>
      </c>
      <c r="J263" s="200">
        <f>IFERROR(__xludf.DUMMYFUNCTION("""COMPUTED_VALUE"""),79.0)</f>
        <v>79</v>
      </c>
      <c r="K263" s="200">
        <f>IFERROR(__xludf.DUMMYFUNCTION("""COMPUTED_VALUE"""),8.0)</f>
        <v>8</v>
      </c>
      <c r="L263" s="201" t="str">
        <f>IFERROR(__xludf.DUMMYFUNCTION("""COMPUTED_VALUE"""),"Action-Adventure")</f>
        <v>Action-Adventure</v>
      </c>
      <c r="M263" s="201"/>
    </row>
    <row r="264">
      <c r="A264" s="190" t="str">
        <f>IFERROR(__xludf.DUMMYFUNCTION("""COMPUTED_VALUE"""),"Another Crab's Treasure")</f>
        <v>Another Crab's Treasure</v>
      </c>
      <c r="B264" s="195" t="str">
        <f>IFERROR(__xludf.DUMMYFUNCTION("""COMPUTED_VALUE"""),"Xbox / PC")</f>
        <v>Xbox / PC</v>
      </c>
      <c r="C264" s="196" t="str">
        <f>IFERROR(__xludf.DUMMYFUNCTION("""COMPUTED_VALUE"""),"Yes")</f>
        <v>Yes</v>
      </c>
      <c r="D264" s="196" t="str">
        <f>IFERROR(__xludf.DUMMYFUNCTION("""COMPUTED_VALUE"""),"Active")</f>
        <v>Active</v>
      </c>
      <c r="E264" s="197">
        <f>IFERROR(__xludf.DUMMYFUNCTION("""COMPUTED_VALUE"""),45407.0)</f>
        <v>45407</v>
      </c>
      <c r="F264" s="198"/>
      <c r="G264" s="199">
        <f>IFERROR(__xludf.DUMMYFUNCTION("""COMPUTED_VALUE"""),17.666666666666668)</f>
        <v>17.66666667</v>
      </c>
      <c r="H264" s="197">
        <f>IFERROR(__xludf.DUMMYFUNCTION("""COMPUTED_VALUE"""),45407.0)</f>
        <v>45407</v>
      </c>
      <c r="I264" s="199">
        <f>IFERROR(__xludf.DUMMYFUNCTION("""COMPUTED_VALUE"""),0.0)</f>
        <v>0</v>
      </c>
      <c r="J264" s="200">
        <f>IFERROR(__xludf.DUMMYFUNCTION("""COMPUTED_VALUE"""),79.0)</f>
        <v>79</v>
      </c>
      <c r="K264" s="200">
        <f>IFERROR(__xludf.DUMMYFUNCTION("""COMPUTED_VALUE"""),12.0)</f>
        <v>12</v>
      </c>
      <c r="L264" s="201" t="str">
        <f>IFERROR(__xludf.DUMMYFUNCTION("""COMPUTED_VALUE"""),"Action-Adventure")</f>
        <v>Action-Adventure</v>
      </c>
      <c r="M264" s="201"/>
    </row>
    <row r="265">
      <c r="A265" s="190" t="str">
        <f>IFERROR(__xludf.DUMMYFUNCTION("""COMPUTED_VALUE"""),"Eiyuden Chronicle: Hundred Heroes")</f>
        <v>Eiyuden Chronicle: Hundred Heroes</v>
      </c>
      <c r="B265" s="195" t="str">
        <f>IFERROR(__xludf.DUMMYFUNCTION("""COMPUTED_VALUE"""),"Xbox / PC")</f>
        <v>Xbox / PC</v>
      </c>
      <c r="C265" s="196" t="str">
        <f>IFERROR(__xludf.DUMMYFUNCTION("""COMPUTED_VALUE"""),"Yes")</f>
        <v>Yes</v>
      </c>
      <c r="D265" s="196" t="str">
        <f>IFERROR(__xludf.DUMMYFUNCTION("""COMPUTED_VALUE"""),"Active")</f>
        <v>Active</v>
      </c>
      <c r="E265" s="197">
        <f>IFERROR(__xludf.DUMMYFUNCTION("""COMPUTED_VALUE"""),45405.0)</f>
        <v>45405</v>
      </c>
      <c r="F265" s="198"/>
      <c r="G265" s="199">
        <f>IFERROR(__xludf.DUMMYFUNCTION("""COMPUTED_VALUE"""),17.733333333333334)</f>
        <v>17.73333333</v>
      </c>
      <c r="H265" s="197">
        <f>IFERROR(__xludf.DUMMYFUNCTION("""COMPUTED_VALUE"""),45405.0)</f>
        <v>45405</v>
      </c>
      <c r="I265" s="199">
        <f>IFERROR(__xludf.DUMMYFUNCTION("""COMPUTED_VALUE"""),0.0)</f>
        <v>0</v>
      </c>
      <c r="J265" s="200">
        <f>IFERROR(__xludf.DUMMYFUNCTION("""COMPUTED_VALUE"""),79.0)</f>
        <v>79</v>
      </c>
      <c r="K265" s="200">
        <f>IFERROR(__xludf.DUMMYFUNCTION("""COMPUTED_VALUE"""),44.0)</f>
        <v>44</v>
      </c>
      <c r="L265" s="201" t="str">
        <f>IFERROR(__xludf.DUMMYFUNCTION("""COMPUTED_VALUE"""),"RPG")</f>
        <v>RPG</v>
      </c>
      <c r="M265" s="201"/>
    </row>
    <row r="266">
      <c r="A266" s="190" t="str">
        <f>IFERROR(__xludf.DUMMYFUNCTION("""COMPUTED_VALUE"""),"Resident Evil 3")</f>
        <v>Resident Evil 3</v>
      </c>
      <c r="B266" s="195" t="str">
        <f>IFERROR(__xludf.DUMMYFUNCTION("""COMPUTED_VALUE"""),"Xbox / PC")</f>
        <v>Xbox / PC</v>
      </c>
      <c r="C266" s="196" t="str">
        <f>IFERROR(__xludf.DUMMYFUNCTION("""COMPUTED_VALUE"""),"Yes")</f>
        <v>Yes</v>
      </c>
      <c r="D266" s="196" t="str">
        <f>IFERROR(__xludf.DUMMYFUNCTION("""COMPUTED_VALUE"""),"Active")</f>
        <v>Active</v>
      </c>
      <c r="E266" s="197">
        <f>IFERROR(__xludf.DUMMYFUNCTION("""COMPUTED_VALUE"""),45335.0)</f>
        <v>45335</v>
      </c>
      <c r="F266" s="198"/>
      <c r="G266" s="199">
        <f>IFERROR(__xludf.DUMMYFUNCTION("""COMPUTED_VALUE"""),20.066666666666666)</f>
        <v>20.06666667</v>
      </c>
      <c r="H266" s="197">
        <f>IFERROR(__xludf.DUMMYFUNCTION("""COMPUTED_VALUE"""),43924.0)</f>
        <v>43924</v>
      </c>
      <c r="I266" s="199">
        <f>IFERROR(__xludf.DUMMYFUNCTION("""COMPUTED_VALUE"""),3.861111111111111)</f>
        <v>3.861111111</v>
      </c>
      <c r="J266" s="200">
        <f>IFERROR(__xludf.DUMMYFUNCTION("""COMPUTED_VALUE"""),79.0)</f>
        <v>79</v>
      </c>
      <c r="K266" s="200">
        <f>IFERROR(__xludf.DUMMYFUNCTION("""COMPUTED_VALUE"""),6.0)</f>
        <v>6</v>
      </c>
      <c r="L266" s="201" t="str">
        <f>IFERROR(__xludf.DUMMYFUNCTION("""COMPUTED_VALUE"""),"Shooter / Action-Adventure")</f>
        <v>Shooter / Action-Adventure</v>
      </c>
      <c r="M266" s="201"/>
    </row>
    <row r="267">
      <c r="A267" s="190" t="str">
        <f>IFERROR(__xludf.DUMMYFUNCTION("""COMPUTED_VALUE"""),"Super Mega Baseball 4")</f>
        <v>Super Mega Baseball 4</v>
      </c>
      <c r="B267" s="195" t="str">
        <f>IFERROR(__xludf.DUMMYFUNCTION("""COMPUTED_VALUE"""),"Xbox / PC")</f>
        <v>Xbox / PC</v>
      </c>
      <c r="C267" s="196" t="str">
        <f>IFERROR(__xludf.DUMMYFUNCTION("""COMPUTED_VALUE"""),"Yes")</f>
        <v>Yes</v>
      </c>
      <c r="D267" s="196" t="str">
        <f>IFERROR(__xludf.DUMMYFUNCTION("""COMPUTED_VALUE"""),"Active")</f>
        <v>Active</v>
      </c>
      <c r="E267" s="197">
        <f>IFERROR(__xludf.DUMMYFUNCTION("""COMPUTED_VALUE"""),45302.0)</f>
        <v>45302</v>
      </c>
      <c r="F267" s="198"/>
      <c r="G267" s="199">
        <f>IFERROR(__xludf.DUMMYFUNCTION("""COMPUTED_VALUE"""),21.133333333333333)</f>
        <v>21.13333333</v>
      </c>
      <c r="H267" s="197">
        <f>IFERROR(__xludf.DUMMYFUNCTION("""COMPUTED_VALUE"""),45079.0)</f>
        <v>45079</v>
      </c>
      <c r="I267" s="199">
        <f>IFERROR(__xludf.DUMMYFUNCTION("""COMPUTED_VALUE"""),0.6083333333333333)</f>
        <v>0.6083333333</v>
      </c>
      <c r="J267" s="200">
        <f>IFERROR(__xludf.DUMMYFUNCTION("""COMPUTED_VALUE"""),79.0)</f>
        <v>79</v>
      </c>
      <c r="K267" s="200"/>
      <c r="L267" s="201" t="str">
        <f>IFERROR(__xludf.DUMMYFUNCTION("""COMPUTED_VALUE"""),"Sports/Baseball")</f>
        <v>Sports/Baseball</v>
      </c>
      <c r="M267" s="201"/>
    </row>
    <row r="268">
      <c r="A268" s="190" t="str">
        <f>IFERROR(__xludf.DUMMYFUNCTION("""COMPUTED_VALUE"""),"Hell Let Loose")</f>
        <v>Hell Let Loose</v>
      </c>
      <c r="B268" s="195" t="str">
        <f>IFERROR(__xludf.DUMMYFUNCTION("""COMPUTED_VALUE"""),"Xbox / PC")</f>
        <v>Xbox / PC</v>
      </c>
      <c r="C268" s="196" t="str">
        <f>IFERROR(__xludf.DUMMYFUNCTION("""COMPUTED_VALUE"""),"Yes")</f>
        <v>Yes</v>
      </c>
      <c r="D268" s="196" t="str">
        <f>IFERROR(__xludf.DUMMYFUNCTION("""COMPUTED_VALUE"""),"Active")</f>
        <v>Active</v>
      </c>
      <c r="E268" s="197">
        <f>IFERROR(__xludf.DUMMYFUNCTION("""COMPUTED_VALUE"""),45295.0)</f>
        <v>45295</v>
      </c>
      <c r="F268" s="198"/>
      <c r="G268" s="199">
        <f>IFERROR(__xludf.DUMMYFUNCTION("""COMPUTED_VALUE"""),21.366666666666667)</f>
        <v>21.36666667</v>
      </c>
      <c r="H268" s="197">
        <f>IFERROR(__xludf.DUMMYFUNCTION("""COMPUTED_VALUE"""),43622.0)</f>
        <v>43622</v>
      </c>
      <c r="I268" s="199">
        <f>IFERROR(__xludf.DUMMYFUNCTION("""COMPUTED_VALUE"""),4.5777777777777775)</f>
        <v>4.577777778</v>
      </c>
      <c r="J268" s="200">
        <f>IFERROR(__xludf.DUMMYFUNCTION("""COMPUTED_VALUE"""),79.0)</f>
        <v>79</v>
      </c>
      <c r="K268" s="200">
        <f>IFERROR(__xludf.DUMMYFUNCTION("""COMPUTED_VALUE"""),30.0)</f>
        <v>30</v>
      </c>
      <c r="L268" s="201" t="str">
        <f>IFERROR(__xludf.DUMMYFUNCTION("""COMPUTED_VALUE"""),"Action / First-Person Shooter / Vehicular Combat")</f>
        <v>Action / First-Person Shooter / Vehicular Combat</v>
      </c>
      <c r="M268" s="201" t="str">
        <f>IFERROR(__xludf.DUMMYFUNCTION("""COMPUTED_VALUE"""),"Exclusive")</f>
        <v>Exclusive</v>
      </c>
    </row>
    <row r="269">
      <c r="A269" s="190" t="str">
        <f>IFERROR(__xludf.DUMMYFUNCTION("""COMPUTED_VALUE"""),"Wild Hearts")</f>
        <v>Wild Hearts</v>
      </c>
      <c r="B269" s="195" t="str">
        <f>IFERROR(__xludf.DUMMYFUNCTION("""COMPUTED_VALUE"""),"Xbox / PC")</f>
        <v>Xbox / PC</v>
      </c>
      <c r="C269" s="196" t="str">
        <f>IFERROR(__xludf.DUMMYFUNCTION("""COMPUTED_VALUE"""),"Yes")</f>
        <v>Yes</v>
      </c>
      <c r="D269" s="196" t="str">
        <f>IFERROR(__xludf.DUMMYFUNCTION("""COMPUTED_VALUE"""),"Active")</f>
        <v>Active</v>
      </c>
      <c r="E269" s="197">
        <f>IFERROR(__xludf.DUMMYFUNCTION("""COMPUTED_VALUE"""),45239.0)</f>
        <v>45239</v>
      </c>
      <c r="F269" s="198"/>
      <c r="G269" s="199">
        <f>IFERROR(__xludf.DUMMYFUNCTION("""COMPUTED_VALUE"""),23.2)</f>
        <v>23.2</v>
      </c>
      <c r="H269" s="197">
        <f>IFERROR(__xludf.DUMMYFUNCTION("""COMPUTED_VALUE"""),44974.0)</f>
        <v>44974</v>
      </c>
      <c r="I269" s="199">
        <f>IFERROR(__xludf.DUMMYFUNCTION("""COMPUTED_VALUE"""),0.7277777777777777)</f>
        <v>0.7277777778</v>
      </c>
      <c r="J269" s="200">
        <f>IFERROR(__xludf.DUMMYFUNCTION("""COMPUTED_VALUE"""),79.0)</f>
        <v>79</v>
      </c>
      <c r="K269" s="200">
        <f>IFERROR(__xludf.DUMMYFUNCTION("""COMPUTED_VALUE"""),46.0)</f>
        <v>46</v>
      </c>
      <c r="L269" s="201" t="str">
        <f>IFERROR(__xludf.DUMMYFUNCTION("""COMPUTED_VALUE"""),"Action-Adventure")</f>
        <v>Action-Adventure</v>
      </c>
      <c r="M269" s="201"/>
    </row>
    <row r="270">
      <c r="A270" s="190" t="str">
        <f>IFERROR(__xludf.DUMMYFUNCTION("""COMPUTED_VALUE"""),"Jurassic World Evolution 2")</f>
        <v>Jurassic World Evolution 2</v>
      </c>
      <c r="B270" s="195" t="str">
        <f>IFERROR(__xludf.DUMMYFUNCTION("""COMPUTED_VALUE"""),"Xbox / PC")</f>
        <v>Xbox / PC</v>
      </c>
      <c r="C270" s="196" t="str">
        <f>IFERROR(__xludf.DUMMYFUNCTION("""COMPUTED_VALUE"""),"Yes")</f>
        <v>Yes</v>
      </c>
      <c r="D270" s="196" t="str">
        <f>IFERROR(__xludf.DUMMYFUNCTION("""COMPUTED_VALUE"""),"Active")</f>
        <v>Active</v>
      </c>
      <c r="E270" s="197">
        <f>IFERROR(__xludf.DUMMYFUNCTION("""COMPUTED_VALUE"""),44698.0)</f>
        <v>44698</v>
      </c>
      <c r="F270" s="198"/>
      <c r="G270" s="199">
        <f>IFERROR(__xludf.DUMMYFUNCTION("""COMPUTED_VALUE"""),40.93333333333333)</f>
        <v>40.93333333</v>
      </c>
      <c r="H270" s="197">
        <f>IFERROR(__xludf.DUMMYFUNCTION("""COMPUTED_VALUE"""),44509.0)</f>
        <v>44509</v>
      </c>
      <c r="I270" s="199">
        <f>IFERROR(__xludf.DUMMYFUNCTION("""COMPUTED_VALUE"""),0.5222222222222223)</f>
        <v>0.5222222222</v>
      </c>
      <c r="J270" s="200">
        <f>IFERROR(__xludf.DUMMYFUNCTION("""COMPUTED_VALUE"""),79.0)</f>
        <v>79</v>
      </c>
      <c r="K270" s="200">
        <f>IFERROR(__xludf.DUMMYFUNCTION("""COMPUTED_VALUE"""),6.0)</f>
        <v>6</v>
      </c>
      <c r="L270" s="201" t="str">
        <f>IFERROR(__xludf.DUMMYFUNCTION("""COMPUTED_VALUE"""),"Simulation")</f>
        <v>Simulation</v>
      </c>
      <c r="M270" s="201"/>
    </row>
    <row r="271">
      <c r="A271" s="190" t="str">
        <f>IFERROR(__xludf.DUMMYFUNCTION("""COMPUTED_VALUE"""),"Genesis Noir")</f>
        <v>Genesis Noir</v>
      </c>
      <c r="B271" s="195" t="str">
        <f>IFERROR(__xludf.DUMMYFUNCTION("""COMPUTED_VALUE"""),"Xbox / PC")</f>
        <v>Xbox / PC</v>
      </c>
      <c r="C271" s="196" t="str">
        <f>IFERROR(__xludf.DUMMYFUNCTION("""COMPUTED_VALUE"""),"Touch Controls")</f>
        <v>Touch Controls</v>
      </c>
      <c r="D271" s="196" t="str">
        <f>IFERROR(__xludf.DUMMYFUNCTION("""COMPUTED_VALUE"""),"Active")</f>
        <v>Active</v>
      </c>
      <c r="E271" s="197">
        <f>IFERROR(__xludf.DUMMYFUNCTION("""COMPUTED_VALUE"""),44280.0)</f>
        <v>44280</v>
      </c>
      <c r="F271" s="198"/>
      <c r="G271" s="199">
        <f>IFERROR(__xludf.DUMMYFUNCTION("""COMPUTED_VALUE"""),54.666666666666664)</f>
        <v>54.66666667</v>
      </c>
      <c r="H271" s="197">
        <f>IFERROR(__xludf.DUMMYFUNCTION("""COMPUTED_VALUE"""),44280.0)</f>
        <v>44280</v>
      </c>
      <c r="I271" s="199">
        <f>IFERROR(__xludf.DUMMYFUNCTION("""COMPUTED_VALUE"""),0.0)</f>
        <v>0</v>
      </c>
      <c r="J271" s="200">
        <f>IFERROR(__xludf.DUMMYFUNCTION("""COMPUTED_VALUE"""),79.0)</f>
        <v>79</v>
      </c>
      <c r="K271" s="200">
        <f>IFERROR(__xludf.DUMMYFUNCTION("""COMPUTED_VALUE"""),4.5)</f>
        <v>4.5</v>
      </c>
      <c r="L271" s="201" t="str">
        <f>IFERROR(__xludf.DUMMYFUNCTION("""COMPUTED_VALUE"""),"Adventure")</f>
        <v>Adventure</v>
      </c>
      <c r="M271" s="201"/>
    </row>
    <row r="272">
      <c r="A272" s="190" t="str">
        <f>IFERROR(__xludf.DUMMYFUNCTION("""COMPUTED_VALUE"""),"A Way Out")</f>
        <v>A Way Out</v>
      </c>
      <c r="B272" s="195" t="str">
        <f>IFERROR(__xludf.DUMMYFUNCTION("""COMPUTED_VALUE"""),"Xbox / PC")</f>
        <v>Xbox / PC</v>
      </c>
      <c r="C272" s="196"/>
      <c r="D272" s="196" t="str">
        <f>IFERROR(__xludf.DUMMYFUNCTION("""COMPUTED_VALUE"""),"Active")</f>
        <v>Active</v>
      </c>
      <c r="E272" s="197">
        <f>IFERROR(__xludf.DUMMYFUNCTION("""COMPUTED_VALUE"""),44145.0)</f>
        <v>44145</v>
      </c>
      <c r="F272" s="198"/>
      <c r="G272" s="199">
        <f>IFERROR(__xludf.DUMMYFUNCTION("""COMPUTED_VALUE"""),59.166666666666664)</f>
        <v>59.16666667</v>
      </c>
      <c r="H272" s="197">
        <f>IFERROR(__xludf.DUMMYFUNCTION("""COMPUTED_VALUE"""),43182.0)</f>
        <v>43182</v>
      </c>
      <c r="I272" s="199">
        <f>IFERROR(__xludf.DUMMYFUNCTION("""COMPUTED_VALUE"""),2.6305555555555555)</f>
        <v>2.630555556</v>
      </c>
      <c r="J272" s="200">
        <f>IFERROR(__xludf.DUMMYFUNCTION("""COMPUTED_VALUE"""),79.0)</f>
        <v>79</v>
      </c>
      <c r="K272" s="200">
        <f>IFERROR(__xludf.DUMMYFUNCTION("""COMPUTED_VALUE"""),6.0)</f>
        <v>6</v>
      </c>
      <c r="L272" s="201" t="str">
        <f>IFERROR(__xludf.DUMMYFUNCTION("""COMPUTED_VALUE"""),"Action / Action-Adventure")</f>
        <v>Action / Action-Adventure</v>
      </c>
      <c r="M272" s="201"/>
    </row>
    <row r="273">
      <c r="A273" s="190" t="str">
        <f>IFERROR(__xludf.DUMMYFUNCTION("""COMPUTED_VALUE"""),"Burnout: Paradise - Remastered")</f>
        <v>Burnout: Paradise - Remastered</v>
      </c>
      <c r="B273" s="195" t="str">
        <f>IFERROR(__xludf.DUMMYFUNCTION("""COMPUTED_VALUE"""),"Xbox / PC")</f>
        <v>Xbox / PC</v>
      </c>
      <c r="C273" s="196"/>
      <c r="D273" s="196" t="str">
        <f>IFERROR(__xludf.DUMMYFUNCTION("""COMPUTED_VALUE"""),"Active")</f>
        <v>Active</v>
      </c>
      <c r="E273" s="197">
        <f>IFERROR(__xludf.DUMMYFUNCTION("""COMPUTED_VALUE"""),44145.0)</f>
        <v>44145</v>
      </c>
      <c r="F273" s="198"/>
      <c r="G273" s="199">
        <f>IFERROR(__xludf.DUMMYFUNCTION("""COMPUTED_VALUE"""),59.166666666666664)</f>
        <v>59.16666667</v>
      </c>
      <c r="H273" s="197">
        <f>IFERROR(__xludf.DUMMYFUNCTION("""COMPUTED_VALUE"""),39469.0)</f>
        <v>39469</v>
      </c>
      <c r="I273" s="199">
        <f>IFERROR(__xludf.DUMMYFUNCTION("""COMPUTED_VALUE"""),12.8)</f>
        <v>12.8</v>
      </c>
      <c r="J273" s="200">
        <f>IFERROR(__xludf.DUMMYFUNCTION("""COMPUTED_VALUE"""),79.0)</f>
        <v>79</v>
      </c>
      <c r="K273" s="200">
        <f>IFERROR(__xludf.DUMMYFUNCTION("""COMPUTED_VALUE"""),10.5)</f>
        <v>10.5</v>
      </c>
      <c r="L273" s="201" t="str">
        <f>IFERROR(__xludf.DUMMYFUNCTION("""COMPUTED_VALUE"""),"Driving/Racing")</f>
        <v>Driving/Racing</v>
      </c>
      <c r="M273" s="201"/>
    </row>
    <row r="274">
      <c r="A274" s="190" t="str">
        <f>IFERROR(__xludf.DUMMYFUNCTION("""COMPUTED_VALUE"""),"Dragon Age II")</f>
        <v>Dragon Age II</v>
      </c>
      <c r="B274" s="195" t="str">
        <f>IFERROR(__xludf.DUMMYFUNCTION("""COMPUTED_VALUE"""),"Xbox / PC")</f>
        <v>Xbox / PC</v>
      </c>
      <c r="C274" s="196" t="str">
        <f>IFERROR(__xludf.DUMMYFUNCTION("""COMPUTED_VALUE"""),"Touch Controls")</f>
        <v>Touch Controls</v>
      </c>
      <c r="D274" s="196" t="str">
        <f>IFERROR(__xludf.DUMMYFUNCTION("""COMPUTED_VALUE"""),"Active")</f>
        <v>Active</v>
      </c>
      <c r="E274" s="197">
        <f>IFERROR(__xludf.DUMMYFUNCTION("""COMPUTED_VALUE"""),44145.0)</f>
        <v>44145</v>
      </c>
      <c r="F274" s="198"/>
      <c r="G274" s="199">
        <f>IFERROR(__xludf.DUMMYFUNCTION("""COMPUTED_VALUE"""),59.166666666666664)</f>
        <v>59.16666667</v>
      </c>
      <c r="H274" s="197">
        <f>IFERROR(__xludf.DUMMYFUNCTION("""COMPUTED_VALUE"""),40610.0)</f>
        <v>40610</v>
      </c>
      <c r="I274" s="199">
        <f>IFERROR(__xludf.DUMMYFUNCTION("""COMPUTED_VALUE"""),9.672222222222222)</f>
        <v>9.672222222</v>
      </c>
      <c r="J274" s="200">
        <f>IFERROR(__xludf.DUMMYFUNCTION("""COMPUTED_VALUE"""),79.0)</f>
        <v>79</v>
      </c>
      <c r="K274" s="200">
        <f>IFERROR(__xludf.DUMMYFUNCTION("""COMPUTED_VALUE"""),26.5)</f>
        <v>26.5</v>
      </c>
      <c r="L274" s="201" t="str">
        <f>IFERROR(__xludf.DUMMYFUNCTION("""COMPUTED_VALUE"""),"RPG")</f>
        <v>RPG</v>
      </c>
      <c r="M274" s="201" t="str">
        <f>IFERROR(__xludf.DUMMYFUNCTION("""COMPUTED_VALUE"""),"FPS Boost")</f>
        <v>FPS Boost</v>
      </c>
    </row>
    <row r="275">
      <c r="A275" s="190" t="str">
        <f>IFERROR(__xludf.DUMMYFUNCTION("""COMPUTED_VALUE"""),"Mirror's Edge")</f>
        <v>Mirror's Edge</v>
      </c>
      <c r="B275" s="195" t="str">
        <f>IFERROR(__xludf.DUMMYFUNCTION("""COMPUTED_VALUE"""),"Xbox / PC")</f>
        <v>Xbox / PC</v>
      </c>
      <c r="C275" s="196"/>
      <c r="D275" s="196" t="str">
        <f>IFERROR(__xludf.DUMMYFUNCTION("""COMPUTED_VALUE"""),"Active")</f>
        <v>Active</v>
      </c>
      <c r="E275" s="197">
        <f>IFERROR(__xludf.DUMMYFUNCTION("""COMPUTED_VALUE"""),44145.0)</f>
        <v>44145</v>
      </c>
      <c r="F275" s="198"/>
      <c r="G275" s="199">
        <f>IFERROR(__xludf.DUMMYFUNCTION("""COMPUTED_VALUE"""),59.166666666666664)</f>
        <v>59.16666667</v>
      </c>
      <c r="H275" s="197">
        <f>IFERROR(__xludf.DUMMYFUNCTION("""COMPUTED_VALUE"""),40269.0)</f>
        <v>40269</v>
      </c>
      <c r="I275" s="199">
        <f>IFERROR(__xludf.DUMMYFUNCTION("""COMPUTED_VALUE"""),10.608333333333333)</f>
        <v>10.60833333</v>
      </c>
      <c r="J275" s="200">
        <f>IFERROR(__xludf.DUMMYFUNCTION("""COMPUTED_VALUE"""),79.0)</f>
        <v>79</v>
      </c>
      <c r="K275" s="200">
        <f>IFERROR(__xludf.DUMMYFUNCTION("""COMPUTED_VALUE"""),6.0)</f>
        <v>6</v>
      </c>
      <c r="L275" s="201" t="str">
        <f>IFERROR(__xludf.DUMMYFUNCTION("""COMPUTED_VALUE"""),"Action / Platformer")</f>
        <v>Action / Platformer</v>
      </c>
      <c r="M275" s="201" t="str">
        <f>IFERROR(__xludf.DUMMYFUNCTION("""COMPUTED_VALUE"""),"FPS Boost")</f>
        <v>FPS Boost</v>
      </c>
    </row>
    <row r="276">
      <c r="A276" s="190" t="str">
        <f>IFERROR(__xludf.DUMMYFUNCTION("""COMPUTED_VALUE"""),"Halo: Combat Evolved - Anniversary")</f>
        <v>Halo: Combat Evolved - Anniversary</v>
      </c>
      <c r="B276" s="195" t="str">
        <f>IFERROR(__xludf.DUMMYFUNCTION("""COMPUTED_VALUE"""),"Xbox / PC")</f>
        <v>Xbox / PC</v>
      </c>
      <c r="C276" s="196"/>
      <c r="D276" s="196" t="str">
        <f>IFERROR(__xludf.DUMMYFUNCTION("""COMPUTED_VALUE"""),"Active")</f>
        <v>Active</v>
      </c>
      <c r="E276" s="197">
        <f>IFERROR(__xludf.DUMMYFUNCTION("""COMPUTED_VALUE"""),43893.0)</f>
        <v>43893</v>
      </c>
      <c r="F276" s="198"/>
      <c r="G276" s="199">
        <f>IFERROR(__xludf.DUMMYFUNCTION("""COMPUTED_VALUE"""),67.39999999999999)</f>
        <v>67.4</v>
      </c>
      <c r="H276" s="197">
        <f>IFERROR(__xludf.DUMMYFUNCTION("""COMPUTED_VALUE"""),37210.0)</f>
        <v>37210</v>
      </c>
      <c r="I276" s="199">
        <f>IFERROR(__xludf.DUMMYFUNCTION("""COMPUTED_VALUE"""),18.3)</f>
        <v>18.3</v>
      </c>
      <c r="J276" s="200">
        <f>IFERROR(__xludf.DUMMYFUNCTION("""COMPUTED_VALUE"""),79.0)</f>
        <v>79</v>
      </c>
      <c r="K276" s="200">
        <f>IFERROR(__xludf.DUMMYFUNCTION("""COMPUTED_VALUE"""),10.0)</f>
        <v>10</v>
      </c>
      <c r="L276" s="201" t="str">
        <f>IFERROR(__xludf.DUMMYFUNCTION("""COMPUTED_VALUE"""),"First-Person Shooter")</f>
        <v>First-Person Shooter</v>
      </c>
      <c r="M276" s="201"/>
    </row>
    <row r="277">
      <c r="A277" s="190" t="str">
        <f>IFERROR(__xludf.DUMMYFUNCTION("""COMPUTED_VALUE"""),"Perfect Dark")</f>
        <v>Perfect Dark</v>
      </c>
      <c r="B277" s="195" t="str">
        <f>IFERROR(__xludf.DUMMYFUNCTION("""COMPUTED_VALUE"""),"Xbox")</f>
        <v>Xbox</v>
      </c>
      <c r="C277" s="196" t="str">
        <f>IFERROR(__xludf.DUMMYFUNCTION("""COMPUTED_VALUE"""),"Yes")</f>
        <v>Yes</v>
      </c>
      <c r="D277" s="196" t="str">
        <f>IFERROR(__xludf.DUMMYFUNCTION("""COMPUTED_VALUE"""),"Active")</f>
        <v>Active</v>
      </c>
      <c r="E277" s="197">
        <f>IFERROR(__xludf.DUMMYFUNCTION("""COMPUTED_VALUE"""),43636.0)</f>
        <v>43636</v>
      </c>
      <c r="F277" s="198"/>
      <c r="G277" s="199">
        <f>IFERROR(__xludf.DUMMYFUNCTION("""COMPUTED_VALUE"""),75.83333333333334)</f>
        <v>75.83333333</v>
      </c>
      <c r="H277" s="197">
        <f>IFERROR(__xludf.DUMMYFUNCTION("""COMPUTED_VALUE"""),36766.0)</f>
        <v>36766</v>
      </c>
      <c r="I277" s="199">
        <f>IFERROR(__xludf.DUMMYFUNCTION("""COMPUTED_VALUE"""),18.81111111111111)</f>
        <v>18.81111111</v>
      </c>
      <c r="J277" s="200">
        <f>IFERROR(__xludf.DUMMYFUNCTION("""COMPUTED_VALUE"""),79.0)</f>
        <v>79</v>
      </c>
      <c r="K277" s="200">
        <f>IFERROR(__xludf.DUMMYFUNCTION("""COMPUTED_VALUE"""),9.0)</f>
        <v>9</v>
      </c>
      <c r="L277" s="201" t="str">
        <f>IFERROR(__xludf.DUMMYFUNCTION("""COMPUTED_VALUE"""),"Action / Shooter")</f>
        <v>Action / Shooter</v>
      </c>
      <c r="M277" s="201"/>
    </row>
    <row r="278">
      <c r="A278" s="190" t="str">
        <f>IFERROR(__xludf.DUMMYFUNCTION("""COMPUTED_VALUE"""),"Halo Wars 2")</f>
        <v>Halo Wars 2</v>
      </c>
      <c r="B278" s="195" t="str">
        <f>IFERROR(__xludf.DUMMYFUNCTION("""COMPUTED_VALUE"""),"Xbox / PC")</f>
        <v>Xbox / PC</v>
      </c>
      <c r="C278" s="196" t="str">
        <f>IFERROR(__xludf.DUMMYFUNCTION("""COMPUTED_VALUE"""),"Touch Controls")</f>
        <v>Touch Controls</v>
      </c>
      <c r="D278" s="196" t="str">
        <f>IFERROR(__xludf.DUMMYFUNCTION("""COMPUTED_VALUE"""),"Active")</f>
        <v>Active</v>
      </c>
      <c r="E278" s="197">
        <f>IFERROR(__xludf.DUMMYFUNCTION("""COMPUTED_VALUE"""),43132.0)</f>
        <v>43132</v>
      </c>
      <c r="F278" s="198"/>
      <c r="G278" s="199">
        <f>IFERROR(__xludf.DUMMYFUNCTION("""COMPUTED_VALUE"""),92.46666666666667)</f>
        <v>92.46666667</v>
      </c>
      <c r="H278" s="197">
        <f>IFERROR(__xludf.DUMMYFUNCTION("""COMPUTED_VALUE"""),42783.0)</f>
        <v>42783</v>
      </c>
      <c r="I278" s="199">
        <f>IFERROR(__xludf.DUMMYFUNCTION("""COMPUTED_VALUE"""),0.9555555555555556)</f>
        <v>0.9555555556</v>
      </c>
      <c r="J278" s="200">
        <f>IFERROR(__xludf.DUMMYFUNCTION("""COMPUTED_VALUE"""),79.0)</f>
        <v>79</v>
      </c>
      <c r="K278" s="200">
        <f>IFERROR(__xludf.DUMMYFUNCTION("""COMPUTED_VALUE"""),8.0)</f>
        <v>8</v>
      </c>
      <c r="L278" s="201" t="str">
        <f>IFERROR(__xludf.DUMMYFUNCTION("""COMPUTED_VALUE"""),"Real-Time Strategy")</f>
        <v>Real-Time Strategy</v>
      </c>
      <c r="M278" s="201" t="str">
        <f>IFERROR(__xludf.DUMMYFUNCTION("""COMPUTED_VALUE"""),"FPS Boost")</f>
        <v>FPS Boost</v>
      </c>
    </row>
    <row r="279">
      <c r="A279" s="190" t="str">
        <f>IFERROR(__xludf.DUMMYFUNCTION("""COMPUTED_VALUE"""),"Banjo-Kazooie: Nuts &amp; Bolts")</f>
        <v>Banjo-Kazooie: Nuts &amp; Bolts</v>
      </c>
      <c r="B279" s="195" t="str">
        <f>IFERROR(__xludf.DUMMYFUNCTION("""COMPUTED_VALUE"""),"Xbox")</f>
        <v>Xbox</v>
      </c>
      <c r="C279" s="196" t="str">
        <f>IFERROR(__xludf.DUMMYFUNCTION("""COMPUTED_VALUE"""),"Yes")</f>
        <v>Yes</v>
      </c>
      <c r="D279" s="196" t="str">
        <f>IFERROR(__xludf.DUMMYFUNCTION("""COMPUTED_VALUE"""),"Active")</f>
        <v>Active</v>
      </c>
      <c r="E279" s="197">
        <f>IFERROR(__xludf.DUMMYFUNCTION("""COMPUTED_VALUE"""),42887.0)</f>
        <v>42887</v>
      </c>
      <c r="F279" s="198"/>
      <c r="G279" s="199">
        <f>IFERROR(__xludf.DUMMYFUNCTION("""COMPUTED_VALUE"""),100.46666666666667)</f>
        <v>100.4666667</v>
      </c>
      <c r="H279" s="197">
        <f>IFERROR(__xludf.DUMMYFUNCTION("""COMPUTED_VALUE"""),39763.0)</f>
        <v>39763</v>
      </c>
      <c r="I279" s="199">
        <f>IFERROR(__xludf.DUMMYFUNCTION("""COMPUTED_VALUE"""),8.555555555555555)</f>
        <v>8.555555556</v>
      </c>
      <c r="J279" s="200">
        <f>IFERROR(__xludf.DUMMYFUNCTION("""COMPUTED_VALUE"""),79.0)</f>
        <v>79</v>
      </c>
      <c r="K279" s="200">
        <f>IFERROR(__xludf.DUMMYFUNCTION("""COMPUTED_VALUE"""),15.5)</f>
        <v>15.5</v>
      </c>
      <c r="L279" s="201" t="str">
        <f>IFERROR(__xludf.DUMMYFUNCTION("""COMPUTED_VALUE"""),"Adventure")</f>
        <v>Adventure</v>
      </c>
      <c r="M279" s="201"/>
    </row>
    <row r="280">
      <c r="A280" s="190" t="str">
        <f>IFERROR(__xludf.DUMMYFUNCTION("""COMPUTED_VALUE"""),"Gears of War: Judgment")</f>
        <v>Gears of War: Judgment</v>
      </c>
      <c r="B280" s="195" t="str">
        <f>IFERROR(__xludf.DUMMYFUNCTION("""COMPUTED_VALUE"""),"Xbox")</f>
        <v>Xbox</v>
      </c>
      <c r="C280" s="196" t="str">
        <f>IFERROR(__xludf.DUMMYFUNCTION("""COMPUTED_VALUE"""),"Yes")</f>
        <v>Yes</v>
      </c>
      <c r="D280" s="196" t="str">
        <f>IFERROR(__xludf.DUMMYFUNCTION("""COMPUTED_VALUE"""),"Active")</f>
        <v>Active</v>
      </c>
      <c r="E280" s="197">
        <f>IFERROR(__xludf.DUMMYFUNCTION("""COMPUTED_VALUE"""),42887.0)</f>
        <v>42887</v>
      </c>
      <c r="F280" s="198"/>
      <c r="G280" s="199">
        <f>IFERROR(__xludf.DUMMYFUNCTION("""COMPUTED_VALUE"""),100.46666666666667)</f>
        <v>100.4666667</v>
      </c>
      <c r="H280" s="197">
        <f>IFERROR(__xludf.DUMMYFUNCTION("""COMPUTED_VALUE"""),41352.0)</f>
        <v>41352</v>
      </c>
      <c r="I280" s="199">
        <f>IFERROR(__xludf.DUMMYFUNCTION("""COMPUTED_VALUE"""),4.2)</f>
        <v>4.2</v>
      </c>
      <c r="J280" s="200">
        <f>IFERROR(__xludf.DUMMYFUNCTION("""COMPUTED_VALUE"""),79.0)</f>
        <v>79</v>
      </c>
      <c r="K280" s="200">
        <f>IFERROR(__xludf.DUMMYFUNCTION("""COMPUTED_VALUE"""),7.0)</f>
        <v>7</v>
      </c>
      <c r="L280" s="201" t="str">
        <f>IFERROR(__xludf.DUMMYFUNCTION("""COMPUTED_VALUE"""),"Action / Shooter")</f>
        <v>Action / Shooter</v>
      </c>
      <c r="M280" s="201" t="str">
        <f>IFERROR(__xludf.DUMMYFUNCTION("""COMPUTED_VALUE"""),"FPS Boost")</f>
        <v>FPS Boost</v>
      </c>
    </row>
    <row r="281">
      <c r="A281" s="190" t="str">
        <f>IFERROR(__xludf.DUMMYFUNCTION("""COMPUTED_VALUE"""),"Kameo: Elements of Power")</f>
        <v>Kameo: Elements of Power</v>
      </c>
      <c r="B281" s="195" t="str">
        <f>IFERROR(__xludf.DUMMYFUNCTION("""COMPUTED_VALUE"""),"Xbox")</f>
        <v>Xbox</v>
      </c>
      <c r="C281" s="196" t="str">
        <f>IFERROR(__xludf.DUMMYFUNCTION("""COMPUTED_VALUE"""),"Yes")</f>
        <v>Yes</v>
      </c>
      <c r="D281" s="196" t="str">
        <f>IFERROR(__xludf.DUMMYFUNCTION("""COMPUTED_VALUE"""),"Active")</f>
        <v>Active</v>
      </c>
      <c r="E281" s="197">
        <f>IFERROR(__xludf.DUMMYFUNCTION("""COMPUTED_VALUE"""),42887.0)</f>
        <v>42887</v>
      </c>
      <c r="F281" s="198"/>
      <c r="G281" s="199">
        <f>IFERROR(__xludf.DUMMYFUNCTION("""COMPUTED_VALUE"""),100.46666666666667)</f>
        <v>100.4666667</v>
      </c>
      <c r="H281" s="197">
        <f>IFERROR(__xludf.DUMMYFUNCTION("""COMPUTED_VALUE"""),38670.0)</f>
        <v>38670</v>
      </c>
      <c r="I281" s="199">
        <f>IFERROR(__xludf.DUMMYFUNCTION("""COMPUTED_VALUE"""),11.547222222222222)</f>
        <v>11.54722222</v>
      </c>
      <c r="J281" s="200">
        <f>IFERROR(__xludf.DUMMYFUNCTION("""COMPUTED_VALUE"""),79.0)</f>
        <v>79</v>
      </c>
      <c r="K281" s="200">
        <f>IFERROR(__xludf.DUMMYFUNCTION("""COMPUTED_VALUE"""),9.5)</f>
        <v>9.5</v>
      </c>
      <c r="L281" s="201" t="str">
        <f>IFERROR(__xludf.DUMMYFUNCTION("""COMPUTED_VALUE"""),"Action-Adventure")</f>
        <v>Action-Adventure</v>
      </c>
      <c r="M281" s="201" t="str">
        <f>IFERROR(__xludf.DUMMYFUNCTION("""COMPUTED_VALUE"""),"FPS Boost")</f>
        <v>FPS Boost</v>
      </c>
    </row>
    <row r="282">
      <c r="A282" s="190" t="str">
        <f>IFERROR(__xludf.DUMMYFUNCTION("""COMPUTED_VALUE"""),"Star Wars Squadrons")</f>
        <v>Star Wars Squadrons</v>
      </c>
      <c r="B282" s="195" t="str">
        <f>IFERROR(__xludf.DUMMYFUNCTION("""COMPUTED_VALUE"""),"Xbox / PC")</f>
        <v>Xbox / PC</v>
      </c>
      <c r="C282" s="196" t="str">
        <f>IFERROR(__xludf.DUMMYFUNCTION("""COMPUTED_VALUE"""),"Touch Controls")</f>
        <v>Touch Controls</v>
      </c>
      <c r="D282" s="196" t="str">
        <f>IFERROR(__xludf.DUMMYFUNCTION("""COMPUTED_VALUE"""),"Active")</f>
        <v>Active</v>
      </c>
      <c r="E282" s="197">
        <f>IFERROR(__xludf.DUMMYFUNCTION("""COMPUTED_VALUE"""),44273.0)</f>
        <v>44273</v>
      </c>
      <c r="F282" s="198"/>
      <c r="G282" s="199">
        <f>IFERROR(__xludf.DUMMYFUNCTION("""COMPUTED_VALUE"""),54.900000000000006)</f>
        <v>54.9</v>
      </c>
      <c r="H282" s="197">
        <f>IFERROR(__xludf.DUMMYFUNCTION("""COMPUTED_VALUE"""),44106.0)</f>
        <v>44106</v>
      </c>
      <c r="I282" s="199">
        <f>IFERROR(__xludf.DUMMYFUNCTION("""COMPUTED_VALUE"""),0.46111111111111114)</f>
        <v>0.4611111111</v>
      </c>
      <c r="J282" s="200">
        <f>IFERROR(__xludf.DUMMYFUNCTION("""COMPUTED_VALUE"""),78.5)</f>
        <v>78.5</v>
      </c>
      <c r="K282" s="200">
        <f>IFERROR(__xludf.DUMMYFUNCTION("""COMPUTED_VALUE"""),9.0)</f>
        <v>9</v>
      </c>
      <c r="L282" s="201" t="str">
        <f>IFERROR(__xludf.DUMMYFUNCTION("""COMPUTED_VALUE"""),"Action / Flight Simulator")</f>
        <v>Action / Flight Simulator</v>
      </c>
      <c r="M282" s="201" t="str">
        <f>IFERROR(__xludf.DUMMYFUNCTION("""COMPUTED_VALUE"""),"Optimized")</f>
        <v>Optimized</v>
      </c>
    </row>
    <row r="283">
      <c r="A283" s="190" t="str">
        <f>IFERROR(__xludf.DUMMYFUNCTION("""COMPUTED_VALUE"""),"Minami Lane")</f>
        <v>Minami Lane</v>
      </c>
      <c r="B283" s="195" t="str">
        <f>IFERROR(__xludf.DUMMYFUNCTION("""COMPUTED_VALUE"""),"Xbox / PC")</f>
        <v>Xbox / PC</v>
      </c>
      <c r="C283" s="196" t="str">
        <f>IFERROR(__xludf.DUMMYFUNCTION("""COMPUTED_VALUE"""),"Yes")</f>
        <v>Yes</v>
      </c>
      <c r="D283" s="196" t="str">
        <f>IFERROR(__xludf.DUMMYFUNCTION("""COMPUTED_VALUE"""),"Active")</f>
        <v>Active</v>
      </c>
      <c r="E283" s="197">
        <f>IFERROR(__xludf.DUMMYFUNCTION("""COMPUTED_VALUE"""),45847.0)</f>
        <v>45847</v>
      </c>
      <c r="F283" s="198"/>
      <c r="G283" s="199">
        <f>IFERROR(__xludf.DUMMYFUNCTION("""COMPUTED_VALUE"""),3.2)</f>
        <v>3.2</v>
      </c>
      <c r="H283" s="197">
        <f>IFERROR(__xludf.DUMMYFUNCTION("""COMPUTED_VALUE"""),45350.0)</f>
        <v>45350</v>
      </c>
      <c r="I283" s="199">
        <f>IFERROR(__xludf.DUMMYFUNCTION("""COMPUTED_VALUE"""),1.363888888888889)</f>
        <v>1.363888889</v>
      </c>
      <c r="J283" s="200">
        <f>IFERROR(__xludf.DUMMYFUNCTION("""COMPUTED_VALUE"""),78.0)</f>
        <v>78</v>
      </c>
      <c r="K283" s="200">
        <f>IFERROR(__xludf.DUMMYFUNCTION("""COMPUTED_VALUE"""),3.0)</f>
        <v>3</v>
      </c>
      <c r="L283" s="201" t="str">
        <f>IFERROR(__xludf.DUMMYFUNCTION("""COMPUTED_VALUE"""),"Tycoon")</f>
        <v>Tycoon</v>
      </c>
      <c r="M283" s="201"/>
    </row>
    <row r="284">
      <c r="A284" s="190" t="str">
        <f>IFERROR(__xludf.DUMMYFUNCTION("""COMPUTED_VALUE"""),"Rematch")</f>
        <v>Rematch</v>
      </c>
      <c r="B284" s="195" t="str">
        <f>IFERROR(__xludf.DUMMYFUNCTION("""COMPUTED_VALUE"""),"Xbox / PC")</f>
        <v>Xbox / PC</v>
      </c>
      <c r="C284" s="196" t="str">
        <f>IFERROR(__xludf.DUMMYFUNCTION("""COMPUTED_VALUE"""),"Yes")</f>
        <v>Yes</v>
      </c>
      <c r="D284" s="196" t="str">
        <f>IFERROR(__xludf.DUMMYFUNCTION("""COMPUTED_VALUE"""),"Active")</f>
        <v>Active</v>
      </c>
      <c r="E284" s="197">
        <f>IFERROR(__xludf.DUMMYFUNCTION("""COMPUTED_VALUE"""),45827.0)</f>
        <v>45827</v>
      </c>
      <c r="F284" s="198"/>
      <c r="G284" s="199">
        <f>IFERROR(__xludf.DUMMYFUNCTION("""COMPUTED_VALUE"""),3.866666666666667)</f>
        <v>3.866666667</v>
      </c>
      <c r="H284" s="197">
        <f>IFERROR(__xludf.DUMMYFUNCTION("""COMPUTED_VALUE"""),45827.0)</f>
        <v>45827</v>
      </c>
      <c r="I284" s="199">
        <f>IFERROR(__xludf.DUMMYFUNCTION("""COMPUTED_VALUE"""),0.0)</f>
        <v>0</v>
      </c>
      <c r="J284" s="200">
        <f>IFERROR(__xludf.DUMMYFUNCTION("""COMPUTED_VALUE"""),78.0)</f>
        <v>78</v>
      </c>
      <c r="K284" s="200">
        <f>IFERROR(__xludf.DUMMYFUNCTION("""COMPUTED_VALUE"""),37.0)</f>
        <v>37</v>
      </c>
      <c r="L284" s="201" t="str">
        <f>IFERROR(__xludf.DUMMYFUNCTION("""COMPUTED_VALUE"""),"Sports")</f>
        <v>Sports</v>
      </c>
      <c r="M284" s="201" t="str">
        <f>IFERROR(__xludf.DUMMYFUNCTION("""COMPUTED_VALUE"""),"Exclusive")</f>
        <v>Exclusive</v>
      </c>
    </row>
    <row r="285">
      <c r="A285" s="190" t="str">
        <f>IFERROR(__xludf.DUMMYFUNCTION("""COMPUTED_VALUE"""),"Lost in Random: The Eternal Die")</f>
        <v>Lost in Random: The Eternal Die</v>
      </c>
      <c r="B285" s="195" t="str">
        <f>IFERROR(__xludf.DUMMYFUNCTION("""COMPUTED_VALUE"""),"Xbox / PC")</f>
        <v>Xbox / PC</v>
      </c>
      <c r="C285" s="196" t="str">
        <f>IFERROR(__xludf.DUMMYFUNCTION("""COMPUTED_VALUE"""),"Yes")</f>
        <v>Yes</v>
      </c>
      <c r="D285" s="196" t="str">
        <f>IFERROR(__xludf.DUMMYFUNCTION("""COMPUTED_VALUE"""),"Active")</f>
        <v>Active</v>
      </c>
      <c r="E285" s="197">
        <f>IFERROR(__xludf.DUMMYFUNCTION("""COMPUTED_VALUE"""),45825.0)</f>
        <v>45825</v>
      </c>
      <c r="F285" s="198"/>
      <c r="G285" s="199">
        <f>IFERROR(__xludf.DUMMYFUNCTION("""COMPUTED_VALUE"""),3.9333333333333336)</f>
        <v>3.933333333</v>
      </c>
      <c r="H285" s="197">
        <f>IFERROR(__xludf.DUMMYFUNCTION("""COMPUTED_VALUE"""),45825.0)</f>
        <v>45825</v>
      </c>
      <c r="I285" s="199">
        <f>IFERROR(__xludf.DUMMYFUNCTION("""COMPUTED_VALUE"""),0.0)</f>
        <v>0</v>
      </c>
      <c r="J285" s="200">
        <f>IFERROR(__xludf.DUMMYFUNCTION("""COMPUTED_VALUE"""),78.0)</f>
        <v>78</v>
      </c>
      <c r="K285" s="200">
        <f>IFERROR(__xludf.DUMMYFUNCTION("""COMPUTED_VALUE"""),6.0)</f>
        <v>6</v>
      </c>
      <c r="L285" s="201" t="str">
        <f>IFERROR(__xludf.DUMMYFUNCTION("""COMPUTED_VALUE"""),"Action-Adventure")</f>
        <v>Action-Adventure</v>
      </c>
      <c r="M285" s="201" t="str">
        <f>IFERROR(__xludf.DUMMYFUNCTION("""COMPUTED_VALUE"""),"Exclusive")</f>
        <v>Exclusive</v>
      </c>
    </row>
    <row r="286">
      <c r="A286" s="190" t="str">
        <f>IFERROR(__xludf.DUMMYFUNCTION("""COMPUTED_VALUE"""),"Baldur's Gate: Enhanced Edition")</f>
        <v>Baldur's Gate: Enhanced Edition</v>
      </c>
      <c r="B286" s="195" t="str">
        <f>IFERROR(__xludf.DUMMYFUNCTION("""COMPUTED_VALUE"""),"Xbox")</f>
        <v>Xbox</v>
      </c>
      <c r="C286" s="196" t="str">
        <f>IFERROR(__xludf.DUMMYFUNCTION("""COMPUTED_VALUE"""),"Yes")</f>
        <v>Yes</v>
      </c>
      <c r="D286" s="196" t="str">
        <f>IFERROR(__xludf.DUMMYFUNCTION("""COMPUTED_VALUE"""),"Active")</f>
        <v>Active</v>
      </c>
      <c r="E286" s="197">
        <f>IFERROR(__xludf.DUMMYFUNCTION("""COMPUTED_VALUE"""),45813.0)</f>
        <v>45813</v>
      </c>
      <c r="F286" s="198"/>
      <c r="G286" s="199">
        <f>IFERROR(__xludf.DUMMYFUNCTION("""COMPUTED_VALUE"""),4.333333333333333)</f>
        <v>4.333333333</v>
      </c>
      <c r="H286" s="197">
        <f>IFERROR(__xludf.DUMMYFUNCTION("""COMPUTED_VALUE"""),41241.0)</f>
        <v>41241</v>
      </c>
      <c r="I286" s="199">
        <f>IFERROR(__xludf.DUMMYFUNCTION("""COMPUTED_VALUE"""),12.519444444444444)</f>
        <v>12.51944444</v>
      </c>
      <c r="J286" s="200">
        <f>IFERROR(__xludf.DUMMYFUNCTION("""COMPUTED_VALUE"""),78.0)</f>
        <v>78</v>
      </c>
      <c r="K286" s="200">
        <f>IFERROR(__xludf.DUMMYFUNCTION("""COMPUTED_VALUE"""),31.0)</f>
        <v>31</v>
      </c>
      <c r="L286" s="201" t="str">
        <f>IFERROR(__xludf.DUMMYFUNCTION("""COMPUTED_VALUE"""),"RPG")</f>
        <v>RPG</v>
      </c>
      <c r="M286" s="201"/>
    </row>
    <row r="287">
      <c r="A287" s="190" t="str">
        <f>IFERROR(__xludf.DUMMYFUNCTION("""COMPUTED_VALUE"""),"Baldur's Gate II: Enhanced Edition")</f>
        <v>Baldur's Gate II: Enhanced Edition</v>
      </c>
      <c r="B287" s="195" t="str">
        <f>IFERROR(__xludf.DUMMYFUNCTION("""COMPUTED_VALUE"""),"Xbox")</f>
        <v>Xbox</v>
      </c>
      <c r="C287" s="196" t="str">
        <f>IFERROR(__xludf.DUMMYFUNCTION("""COMPUTED_VALUE"""),"Yes")</f>
        <v>Yes</v>
      </c>
      <c r="D287" s="196" t="str">
        <f>IFERROR(__xludf.DUMMYFUNCTION("""COMPUTED_VALUE"""),"Active")</f>
        <v>Active</v>
      </c>
      <c r="E287" s="197">
        <f>IFERROR(__xludf.DUMMYFUNCTION("""COMPUTED_VALUE"""),45813.0)</f>
        <v>45813</v>
      </c>
      <c r="F287" s="198"/>
      <c r="G287" s="199">
        <f>IFERROR(__xludf.DUMMYFUNCTION("""COMPUTED_VALUE"""),4.333333333333333)</f>
        <v>4.333333333</v>
      </c>
      <c r="H287" s="197">
        <f>IFERROR(__xludf.DUMMYFUNCTION("""COMPUTED_VALUE"""),41593.0)</f>
        <v>41593</v>
      </c>
      <c r="I287" s="199">
        <f>IFERROR(__xludf.DUMMYFUNCTION("""COMPUTED_VALUE"""),11.555555555555555)</f>
        <v>11.55555556</v>
      </c>
      <c r="J287" s="200">
        <f>IFERROR(__xludf.DUMMYFUNCTION("""COMPUTED_VALUE"""),78.0)</f>
        <v>78</v>
      </c>
      <c r="K287" s="200">
        <f>IFERROR(__xludf.DUMMYFUNCTION("""COMPUTED_VALUE"""),45.0)</f>
        <v>45</v>
      </c>
      <c r="L287" s="201" t="str">
        <f>IFERROR(__xludf.DUMMYFUNCTION("""COMPUTED_VALUE"""),"RPG")</f>
        <v>RPG</v>
      </c>
      <c r="M287" s="201"/>
    </row>
    <row r="288">
      <c r="A288" s="190" t="str">
        <f>IFERROR(__xludf.DUMMYFUNCTION("""COMPUTED_VALUE"""),"Spray Paint Simulator")</f>
        <v>Spray Paint Simulator</v>
      </c>
      <c r="B288" s="195" t="str">
        <f>IFERROR(__xludf.DUMMYFUNCTION("""COMPUTED_VALUE"""),"Xbox / PC")</f>
        <v>Xbox / PC</v>
      </c>
      <c r="C288" s="196" t="str">
        <f>IFERROR(__xludf.DUMMYFUNCTION("""COMPUTED_VALUE"""),"Yes")</f>
        <v>Yes</v>
      </c>
      <c r="D288" s="196" t="str">
        <f>IFERROR(__xludf.DUMMYFUNCTION("""COMPUTED_VALUE"""),"Active")</f>
        <v>Active</v>
      </c>
      <c r="E288" s="197">
        <f>IFERROR(__xludf.DUMMYFUNCTION("""COMPUTED_VALUE"""),45806.0)</f>
        <v>45806</v>
      </c>
      <c r="F288" s="198"/>
      <c r="G288" s="199">
        <f>IFERROR(__xludf.DUMMYFUNCTION("""COMPUTED_VALUE"""),4.533333333333333)</f>
        <v>4.533333333</v>
      </c>
      <c r="H288" s="197">
        <f>IFERROR(__xludf.DUMMYFUNCTION("""COMPUTED_VALUE"""),45806.0)</f>
        <v>45806</v>
      </c>
      <c r="I288" s="199">
        <f>IFERROR(__xludf.DUMMYFUNCTION("""COMPUTED_VALUE"""),0.0)</f>
        <v>0</v>
      </c>
      <c r="J288" s="200">
        <f>IFERROR(__xludf.DUMMYFUNCTION("""COMPUTED_VALUE"""),78.0)</f>
        <v>78</v>
      </c>
      <c r="K288" s="200">
        <f>IFERROR(__xludf.DUMMYFUNCTION("""COMPUTED_VALUE"""),9.0)</f>
        <v>9</v>
      </c>
      <c r="L288" s="201" t="str">
        <f>IFERROR(__xludf.DUMMYFUNCTION("""COMPUTED_VALUE"""),"Simulation")</f>
        <v>Simulation</v>
      </c>
      <c r="M288" s="201" t="str">
        <f>IFERROR(__xludf.DUMMYFUNCTION("""COMPUTED_VALUE"""),"Exclusive")</f>
        <v>Exclusive</v>
      </c>
    </row>
    <row r="289">
      <c r="A289" s="190" t="str">
        <f>IFERROR(__xludf.DUMMYFUNCTION("""COMPUTED_VALUE"""),"Shady Part of Me")</f>
        <v>Shady Part of Me</v>
      </c>
      <c r="B289" s="195" t="str">
        <f>IFERROR(__xludf.DUMMYFUNCTION("""COMPUTED_VALUE"""),"Xbox / PC")</f>
        <v>Xbox / PC</v>
      </c>
      <c r="C289" s="196" t="str">
        <f>IFERROR(__xludf.DUMMYFUNCTION("""COMPUTED_VALUE"""),"Yes")</f>
        <v>Yes</v>
      </c>
      <c r="D289" s="196" t="str">
        <f>IFERROR(__xludf.DUMMYFUNCTION("""COMPUTED_VALUE"""),"Active")</f>
        <v>Active</v>
      </c>
      <c r="E289" s="197">
        <f>IFERROR(__xludf.DUMMYFUNCTION("""COMPUTED_VALUE"""),45686.0)</f>
        <v>45686</v>
      </c>
      <c r="F289" s="198"/>
      <c r="G289" s="199">
        <f>IFERROR(__xludf.DUMMYFUNCTION("""COMPUTED_VALUE"""),8.533333333333333)</f>
        <v>8.533333333</v>
      </c>
      <c r="H289" s="197">
        <f>IFERROR(__xludf.DUMMYFUNCTION("""COMPUTED_VALUE"""),44175.0)</f>
        <v>44175</v>
      </c>
      <c r="I289" s="199">
        <f>IFERROR(__xludf.DUMMYFUNCTION("""COMPUTED_VALUE"""),4.136111111111111)</f>
        <v>4.136111111</v>
      </c>
      <c r="J289" s="200">
        <f>IFERROR(__xludf.DUMMYFUNCTION("""COMPUTED_VALUE"""),78.0)</f>
        <v>78</v>
      </c>
      <c r="K289" s="200">
        <f>IFERROR(__xludf.DUMMYFUNCTION("""COMPUTED_VALUE"""),5.0)</f>
        <v>5</v>
      </c>
      <c r="L289" s="201" t="str">
        <f>IFERROR(__xludf.DUMMYFUNCTION("""COMPUTED_VALUE"""),"Action-Adventure")</f>
        <v>Action-Adventure</v>
      </c>
      <c r="M289" s="201"/>
    </row>
    <row r="290">
      <c r="A290" s="190" t="str">
        <f>IFERROR(__xludf.DUMMYFUNCTION("""COMPUTED_VALUE"""),"EA Sports UFC 5")</f>
        <v>EA Sports UFC 5</v>
      </c>
      <c r="B290" s="195" t="str">
        <f>IFERROR(__xludf.DUMMYFUNCTION("""COMPUTED_VALUE"""),"Xbox")</f>
        <v>Xbox</v>
      </c>
      <c r="C290" s="196" t="str">
        <f>IFERROR(__xludf.DUMMYFUNCTION("""COMPUTED_VALUE"""),"Yes")</f>
        <v>Yes</v>
      </c>
      <c r="D290" s="196" t="str">
        <f>IFERROR(__xludf.DUMMYFUNCTION("""COMPUTED_VALUE"""),"Active")</f>
        <v>Active</v>
      </c>
      <c r="E290" s="197">
        <f>IFERROR(__xludf.DUMMYFUNCTION("""COMPUTED_VALUE"""),45671.0)</f>
        <v>45671</v>
      </c>
      <c r="F290" s="198"/>
      <c r="G290" s="199">
        <f>IFERROR(__xludf.DUMMYFUNCTION("""COMPUTED_VALUE"""),9.033333333333333)</f>
        <v>9.033333333</v>
      </c>
      <c r="H290" s="197">
        <f>IFERROR(__xludf.DUMMYFUNCTION("""COMPUTED_VALUE"""),45226.0)</f>
        <v>45226</v>
      </c>
      <c r="I290" s="199">
        <f>IFERROR(__xludf.DUMMYFUNCTION("""COMPUTED_VALUE"""),1.2138888888888888)</f>
        <v>1.213888889</v>
      </c>
      <c r="J290" s="200">
        <f>IFERROR(__xludf.DUMMYFUNCTION("""COMPUTED_VALUE"""),78.0)</f>
        <v>78</v>
      </c>
      <c r="K290" s="200">
        <f>IFERROR(__xludf.DUMMYFUNCTION("""COMPUTED_VALUE"""),14.0)</f>
        <v>14</v>
      </c>
      <c r="L290" s="201" t="str">
        <f>IFERROR(__xludf.DUMMYFUNCTION("""COMPUTED_VALUE"""),"Fighting")</f>
        <v>Fighting</v>
      </c>
      <c r="M290" s="201" t="str">
        <f>IFERROR(__xludf.DUMMYFUNCTION("""COMPUTED_VALUE"""),"Exclusive")</f>
        <v>Exclusive</v>
      </c>
    </row>
    <row r="291">
      <c r="A291" s="190" t="str">
        <f>IFERROR(__xludf.DUMMYFUNCTION("""COMPUTED_VALUE"""),"Microsoft Flight Simulator 2024")</f>
        <v>Microsoft Flight Simulator 2024</v>
      </c>
      <c r="B291" s="195" t="str">
        <f>IFERROR(__xludf.DUMMYFUNCTION("""COMPUTED_VALUE"""),"Xbox / PC")</f>
        <v>Xbox / PC</v>
      </c>
      <c r="C291" s="196" t="str">
        <f>IFERROR(__xludf.DUMMYFUNCTION("""COMPUTED_VALUE"""),"Yes")</f>
        <v>Yes</v>
      </c>
      <c r="D291" s="196" t="str">
        <f>IFERROR(__xludf.DUMMYFUNCTION("""COMPUTED_VALUE"""),"Active")</f>
        <v>Active</v>
      </c>
      <c r="E291" s="197">
        <f>IFERROR(__xludf.DUMMYFUNCTION("""COMPUTED_VALUE"""),45615.0)</f>
        <v>45615</v>
      </c>
      <c r="F291" s="198"/>
      <c r="G291" s="199">
        <f>IFERROR(__xludf.DUMMYFUNCTION("""COMPUTED_VALUE"""),10.866666666666667)</f>
        <v>10.86666667</v>
      </c>
      <c r="H291" s="197">
        <f>IFERROR(__xludf.DUMMYFUNCTION("""COMPUTED_VALUE"""),45615.0)</f>
        <v>45615</v>
      </c>
      <c r="I291" s="199">
        <f>IFERROR(__xludf.DUMMYFUNCTION("""COMPUTED_VALUE"""),0.0)</f>
        <v>0</v>
      </c>
      <c r="J291" s="200">
        <f>IFERROR(__xludf.DUMMYFUNCTION("""COMPUTED_VALUE"""),78.0)</f>
        <v>78</v>
      </c>
      <c r="K291" s="200">
        <f>IFERROR(__xludf.DUMMYFUNCTION("""COMPUTED_VALUE"""),50.0)</f>
        <v>50</v>
      </c>
      <c r="L291" s="201" t="str">
        <f>IFERROR(__xludf.DUMMYFUNCTION("""COMPUTED_VALUE"""),"Simulation")</f>
        <v>Simulation</v>
      </c>
      <c r="M291" s="201" t="str">
        <f>IFERROR(__xludf.DUMMYFUNCTION("""COMPUTED_VALUE"""),"Exclusive")</f>
        <v>Exclusive</v>
      </c>
    </row>
    <row r="292">
      <c r="A292" s="190" t="str">
        <f>IFERROR(__xludf.DUMMYFUNCTION("""COMPUTED_VALUE"""),"Ashen")</f>
        <v>Ashen</v>
      </c>
      <c r="B292" s="195" t="str">
        <f>IFERROR(__xludf.DUMMYFUNCTION("""COMPUTED_VALUE"""),"Xbox / PC")</f>
        <v>Xbox / PC</v>
      </c>
      <c r="C292" s="196"/>
      <c r="D292" s="196" t="str">
        <f>IFERROR(__xludf.DUMMYFUNCTION("""COMPUTED_VALUE"""),"Active")</f>
        <v>Active</v>
      </c>
      <c r="E292" s="197">
        <f>IFERROR(__xludf.DUMMYFUNCTION("""COMPUTED_VALUE"""),45594.0)</f>
        <v>45594</v>
      </c>
      <c r="F292" s="198"/>
      <c r="G292" s="199">
        <f>IFERROR(__xludf.DUMMYFUNCTION("""COMPUTED_VALUE"""),11.533333333333333)</f>
        <v>11.53333333</v>
      </c>
      <c r="H292" s="197">
        <f>IFERROR(__xludf.DUMMYFUNCTION("""COMPUTED_VALUE"""),43441.0)</f>
        <v>43441</v>
      </c>
      <c r="I292" s="199">
        <f>IFERROR(__xludf.DUMMYFUNCTION("""COMPUTED_VALUE"""),5.894444444444445)</f>
        <v>5.894444444</v>
      </c>
      <c r="J292" s="200">
        <f>IFERROR(__xludf.DUMMYFUNCTION("""COMPUTED_VALUE"""),78.0)</f>
        <v>78</v>
      </c>
      <c r="K292" s="200">
        <f>IFERROR(__xludf.DUMMYFUNCTION("""COMPUTED_VALUE"""),15.5)</f>
        <v>15.5</v>
      </c>
      <c r="L292" s="201" t="str">
        <f>IFERROR(__xludf.DUMMYFUNCTION("""COMPUTED_VALUE"""),"Action / RPG / Action-Adventure")</f>
        <v>Action / RPG / Action-Adventure</v>
      </c>
      <c r="M292" s="201"/>
    </row>
    <row r="293">
      <c r="A293" s="190" t="str">
        <f>IFERROR(__xludf.DUMMYFUNCTION("""COMPUTED_VALUE"""),"The Rewinder")</f>
        <v>The Rewinder</v>
      </c>
      <c r="B293" s="195" t="str">
        <f>IFERROR(__xludf.DUMMYFUNCTION("""COMPUTED_VALUE"""),"Xbox / PC")</f>
        <v>Xbox / PC</v>
      </c>
      <c r="C293" s="196" t="str">
        <f>IFERROR(__xludf.DUMMYFUNCTION("""COMPUTED_VALUE"""),"Yes")</f>
        <v>Yes</v>
      </c>
      <c r="D293" s="196" t="str">
        <f>IFERROR(__xludf.DUMMYFUNCTION("""COMPUTED_VALUE"""),"Active")</f>
        <v>Active</v>
      </c>
      <c r="E293" s="197">
        <f>IFERROR(__xludf.DUMMYFUNCTION("""COMPUTED_VALUE"""),45411.0)</f>
        <v>45411</v>
      </c>
      <c r="F293" s="198"/>
      <c r="G293" s="199">
        <f>IFERROR(__xludf.DUMMYFUNCTION("""COMPUTED_VALUE"""),17.53333333333333)</f>
        <v>17.53333333</v>
      </c>
      <c r="H293" s="197">
        <f>IFERROR(__xludf.DUMMYFUNCTION("""COMPUTED_VALUE"""),44449.0)</f>
        <v>44449</v>
      </c>
      <c r="I293" s="199">
        <f>IFERROR(__xludf.DUMMYFUNCTION("""COMPUTED_VALUE"""),2.636111111111111)</f>
        <v>2.636111111</v>
      </c>
      <c r="J293" s="200">
        <f>IFERROR(__xludf.DUMMYFUNCTION("""COMPUTED_VALUE"""),78.0)</f>
        <v>78</v>
      </c>
      <c r="K293" s="200">
        <f>IFERROR(__xludf.DUMMYFUNCTION("""COMPUTED_VALUE"""),5.0)</f>
        <v>5</v>
      </c>
      <c r="L293" s="201" t="str">
        <f>IFERROR(__xludf.DUMMYFUNCTION("""COMPUTED_VALUE"""),"Action-Adventure")</f>
        <v>Action-Adventure</v>
      </c>
      <c r="M293" s="201"/>
    </row>
    <row r="294">
      <c r="A294" s="190" t="str">
        <f>IFERROR(__xludf.DUMMYFUNCTION("""COMPUTED_VALUE"""),"The Walking Dead: The Final Season")</f>
        <v>The Walking Dead: The Final Season</v>
      </c>
      <c r="B294" s="195" t="str">
        <f>IFERROR(__xludf.DUMMYFUNCTION("""COMPUTED_VALUE"""),"Xbox / PC")</f>
        <v>Xbox / PC</v>
      </c>
      <c r="C294" s="196" t="str">
        <f>IFERROR(__xludf.DUMMYFUNCTION("""COMPUTED_VALUE"""),"Yes")</f>
        <v>Yes</v>
      </c>
      <c r="D294" s="196" t="str">
        <f>IFERROR(__xludf.DUMMYFUNCTION("""COMPUTED_VALUE"""),"Active")</f>
        <v>Active</v>
      </c>
      <c r="E294" s="197">
        <f>IFERROR(__xludf.DUMMYFUNCTION("""COMPUTED_VALUE"""),44896.0)</f>
        <v>44896</v>
      </c>
      <c r="F294" s="198"/>
      <c r="G294" s="199">
        <f>IFERROR(__xludf.DUMMYFUNCTION("""COMPUTED_VALUE"""),34.46666666666667)</f>
        <v>34.46666667</v>
      </c>
      <c r="H294" s="197">
        <f>IFERROR(__xludf.DUMMYFUNCTION("""COMPUTED_VALUE"""),43325.0)</f>
        <v>43325</v>
      </c>
      <c r="I294" s="199">
        <f>IFERROR(__xludf.DUMMYFUNCTION("""COMPUTED_VALUE"""),4.3)</f>
        <v>4.3</v>
      </c>
      <c r="J294" s="200">
        <f>IFERROR(__xludf.DUMMYFUNCTION("""COMPUTED_VALUE"""),78.0)</f>
        <v>78</v>
      </c>
      <c r="K294" s="200">
        <f>IFERROR(__xludf.DUMMYFUNCTION("""COMPUTED_VALUE"""),10.0)</f>
        <v>10</v>
      </c>
      <c r="L294" s="201" t="str">
        <f>IFERROR(__xludf.DUMMYFUNCTION("""COMPUTED_VALUE"""),"Adventure")</f>
        <v>Adventure</v>
      </c>
      <c r="M294" s="201"/>
    </row>
    <row r="295">
      <c r="A295" s="190" t="str">
        <f>IFERROR(__xludf.DUMMYFUNCTION("""COMPUTED_VALUE"""),"Warhammer 40,000: Darktide")</f>
        <v>Warhammer 40,000: Darktide</v>
      </c>
      <c r="B295" s="195" t="str">
        <f>IFERROR(__xludf.DUMMYFUNCTION("""COMPUTED_VALUE"""),"Xbox / PC")</f>
        <v>Xbox / PC</v>
      </c>
      <c r="C295" s="196" t="str">
        <f>IFERROR(__xludf.DUMMYFUNCTION("""COMPUTED_VALUE"""),"Yes")</f>
        <v>Yes</v>
      </c>
      <c r="D295" s="196" t="str">
        <f>IFERROR(__xludf.DUMMYFUNCTION("""COMPUTED_VALUE"""),"Active")</f>
        <v>Active</v>
      </c>
      <c r="E295" s="197">
        <f>IFERROR(__xludf.DUMMYFUNCTION("""COMPUTED_VALUE"""),44895.0)</f>
        <v>44895</v>
      </c>
      <c r="F295" s="198"/>
      <c r="G295" s="199">
        <f>IFERROR(__xludf.DUMMYFUNCTION("""COMPUTED_VALUE"""),34.5)</f>
        <v>34.5</v>
      </c>
      <c r="H295" s="197">
        <f>IFERROR(__xludf.DUMMYFUNCTION("""COMPUTED_VALUE"""),44895.0)</f>
        <v>44895</v>
      </c>
      <c r="I295" s="199">
        <f>IFERROR(__xludf.DUMMYFUNCTION("""COMPUTED_VALUE"""),0.0)</f>
        <v>0</v>
      </c>
      <c r="J295" s="200">
        <f>IFERROR(__xludf.DUMMYFUNCTION("""COMPUTED_VALUE"""),78.0)</f>
        <v>78</v>
      </c>
      <c r="K295" s="200">
        <f>IFERROR(__xludf.DUMMYFUNCTION("""COMPUTED_VALUE"""),41.0)</f>
        <v>41</v>
      </c>
      <c r="L295" s="201" t="str">
        <f>IFERROR(__xludf.DUMMYFUNCTION("""COMPUTED_VALUE"""),"Action")</f>
        <v>Action</v>
      </c>
      <c r="M295" s="201" t="str">
        <f>IFERROR(__xludf.DUMMYFUNCTION("""COMPUTED_VALUE"""),"Exclusive")</f>
        <v>Exclusive</v>
      </c>
    </row>
    <row r="296">
      <c r="A296" s="190" t="str">
        <f>IFERROR(__xludf.DUMMYFUNCTION("""COMPUTED_VALUE"""),"As Dusk Falls")</f>
        <v>As Dusk Falls</v>
      </c>
      <c r="B296" s="195" t="str">
        <f>IFERROR(__xludf.DUMMYFUNCTION("""COMPUTED_VALUE"""),"Xbox / PC")</f>
        <v>Xbox / PC</v>
      </c>
      <c r="C296" s="196" t="str">
        <f>IFERROR(__xludf.DUMMYFUNCTION("""COMPUTED_VALUE"""),"Touch Controls")</f>
        <v>Touch Controls</v>
      </c>
      <c r="D296" s="196" t="str">
        <f>IFERROR(__xludf.DUMMYFUNCTION("""COMPUTED_VALUE"""),"Active")</f>
        <v>Active</v>
      </c>
      <c r="E296" s="197">
        <f>IFERROR(__xludf.DUMMYFUNCTION("""COMPUTED_VALUE"""),44761.0)</f>
        <v>44761</v>
      </c>
      <c r="F296" s="198"/>
      <c r="G296" s="199">
        <f>IFERROR(__xludf.DUMMYFUNCTION("""COMPUTED_VALUE"""),38.86666666666667)</f>
        <v>38.86666667</v>
      </c>
      <c r="H296" s="197">
        <f>IFERROR(__xludf.DUMMYFUNCTION("""COMPUTED_VALUE"""),44761.0)</f>
        <v>44761</v>
      </c>
      <c r="I296" s="199">
        <f>IFERROR(__xludf.DUMMYFUNCTION("""COMPUTED_VALUE"""),0.0)</f>
        <v>0</v>
      </c>
      <c r="J296" s="200">
        <f>IFERROR(__xludf.DUMMYFUNCTION("""COMPUTED_VALUE"""),78.0)</f>
        <v>78</v>
      </c>
      <c r="K296" s="200">
        <f>IFERROR(__xludf.DUMMYFUNCTION("""COMPUTED_VALUE"""),6.0)</f>
        <v>6</v>
      </c>
      <c r="L296" s="201" t="str">
        <f>IFERROR(__xludf.DUMMYFUNCTION("""COMPUTED_VALUE"""),"Adventure")</f>
        <v>Adventure</v>
      </c>
      <c r="M296" s="201"/>
    </row>
    <row r="297">
      <c r="A297" s="190" t="str">
        <f>IFERROR(__xludf.DUMMYFUNCTION("""COMPUTED_VALUE"""),"Watch_Dogs 2")</f>
        <v>Watch_Dogs 2</v>
      </c>
      <c r="B297" s="195" t="str">
        <f>IFERROR(__xludf.DUMMYFUNCTION("""COMPUTED_VALUE"""),"Xbox / PC")</f>
        <v>Xbox / PC</v>
      </c>
      <c r="C297" s="196" t="str">
        <f>IFERROR(__xludf.DUMMYFUNCTION("""COMPUTED_VALUE"""),"Yes")</f>
        <v>Yes</v>
      </c>
      <c r="D297" s="196" t="str">
        <f>IFERROR(__xludf.DUMMYFUNCTION("""COMPUTED_VALUE"""),"Active")</f>
        <v>Active</v>
      </c>
      <c r="E297" s="197">
        <f>IFERROR(__xludf.DUMMYFUNCTION("""COMPUTED_VALUE"""),44761.0)</f>
        <v>44761</v>
      </c>
      <c r="F297" s="198"/>
      <c r="G297" s="199">
        <f>IFERROR(__xludf.DUMMYFUNCTION("""COMPUTED_VALUE"""),38.86666666666667)</f>
        <v>38.86666667</v>
      </c>
      <c r="H297" s="197">
        <f>IFERROR(__xludf.DUMMYFUNCTION("""COMPUTED_VALUE"""),42689.0)</f>
        <v>42689</v>
      </c>
      <c r="I297" s="199">
        <f>IFERROR(__xludf.DUMMYFUNCTION("""COMPUTED_VALUE"""),5.677777777777778)</f>
        <v>5.677777778</v>
      </c>
      <c r="J297" s="200">
        <f>IFERROR(__xludf.DUMMYFUNCTION("""COMPUTED_VALUE"""),78.0)</f>
        <v>78</v>
      </c>
      <c r="K297" s="200">
        <f>IFERROR(__xludf.DUMMYFUNCTION("""COMPUTED_VALUE"""),19.0)</f>
        <v>19</v>
      </c>
      <c r="L297" s="201" t="str">
        <f>IFERROR(__xludf.DUMMYFUNCTION("""COMPUTED_VALUE"""),"Driving/Racing / Shooter / Action-Adventure")</f>
        <v>Driving/Racing / Shooter / Action-Adventure</v>
      </c>
      <c r="M297" s="201"/>
    </row>
    <row r="298">
      <c r="A298" s="190" t="str">
        <f>IFERROR(__xludf.DUMMYFUNCTION("""COMPUTED_VALUE"""),"Battlefield V: Year Two Edition")</f>
        <v>Battlefield V: Year Two Edition</v>
      </c>
      <c r="B298" s="195" t="str">
        <f>IFERROR(__xludf.DUMMYFUNCTION("""COMPUTED_VALUE"""),"Xbox / PC")</f>
        <v>Xbox / PC</v>
      </c>
      <c r="C298" s="196" t="str">
        <f>IFERROR(__xludf.DUMMYFUNCTION("""COMPUTED_VALUE"""),"Yes")</f>
        <v>Yes</v>
      </c>
      <c r="D298" s="196" t="str">
        <f>IFERROR(__xludf.DUMMYFUNCTION("""COMPUTED_VALUE"""),"Active")</f>
        <v>Active</v>
      </c>
      <c r="E298" s="197">
        <f>IFERROR(__xludf.DUMMYFUNCTION("""COMPUTED_VALUE"""),44145.0)</f>
        <v>44145</v>
      </c>
      <c r="F298" s="198"/>
      <c r="G298" s="199">
        <f>IFERROR(__xludf.DUMMYFUNCTION("""COMPUTED_VALUE"""),59.166666666666664)</f>
        <v>59.16666667</v>
      </c>
      <c r="H298" s="197">
        <f>IFERROR(__xludf.DUMMYFUNCTION("""COMPUTED_VALUE"""),43419.0)</f>
        <v>43419</v>
      </c>
      <c r="I298" s="199">
        <f>IFERROR(__xludf.DUMMYFUNCTION("""COMPUTED_VALUE"""),1.9861111111111112)</f>
        <v>1.986111111</v>
      </c>
      <c r="J298" s="200">
        <f>IFERROR(__xludf.DUMMYFUNCTION("""COMPUTED_VALUE"""),78.0)</f>
        <v>78</v>
      </c>
      <c r="K298" s="200">
        <f>IFERROR(__xludf.DUMMYFUNCTION("""COMPUTED_VALUE"""),6.0)</f>
        <v>6</v>
      </c>
      <c r="L298" s="201" t="str">
        <f>IFERROR(__xludf.DUMMYFUNCTION("""COMPUTED_VALUE"""),"Action / First-Person Shooter")</f>
        <v>Action / First-Person Shooter</v>
      </c>
      <c r="M298" s="201" t="str">
        <f>IFERROR(__xludf.DUMMYFUNCTION("""COMPUTED_VALUE"""),"FPS Boost X Only")</f>
        <v>FPS Boost X Only</v>
      </c>
    </row>
    <row r="299" ht="13.5" customHeight="1">
      <c r="A299" s="190" t="str">
        <f>IFERROR(__xludf.DUMMYFUNCTION("""COMPUTED_VALUE"""),"Bejeweled 3")</f>
        <v>Bejeweled 3</v>
      </c>
      <c r="B299" s="195" t="str">
        <f>IFERROR(__xludf.DUMMYFUNCTION("""COMPUTED_VALUE"""),"Xbox")</f>
        <v>Xbox</v>
      </c>
      <c r="C299" s="196"/>
      <c r="D299" s="196" t="str">
        <f>IFERROR(__xludf.DUMMYFUNCTION("""COMPUTED_VALUE"""),"Active")</f>
        <v>Active</v>
      </c>
      <c r="E299" s="197">
        <f>IFERROR(__xludf.DUMMYFUNCTION("""COMPUTED_VALUE"""),44145.0)</f>
        <v>44145</v>
      </c>
      <c r="F299" s="198"/>
      <c r="G299" s="199">
        <f>IFERROR(__xludf.DUMMYFUNCTION("""COMPUTED_VALUE"""),59.166666666666664)</f>
        <v>59.16666667</v>
      </c>
      <c r="H299" s="197">
        <f>IFERROR(__xludf.DUMMYFUNCTION("""COMPUTED_VALUE"""),40519.0)</f>
        <v>40519</v>
      </c>
      <c r="I299" s="199">
        <f>IFERROR(__xludf.DUMMYFUNCTION("""COMPUTED_VALUE"""),9.925)</f>
        <v>9.925</v>
      </c>
      <c r="J299" s="200">
        <f>IFERROR(__xludf.DUMMYFUNCTION("""COMPUTED_VALUE"""),78.0)</f>
        <v>78</v>
      </c>
      <c r="K299" s="200">
        <f>IFERROR(__xludf.DUMMYFUNCTION("""COMPUTED_VALUE"""),4.5)</f>
        <v>4.5</v>
      </c>
      <c r="L299" s="201" t="str">
        <f>IFERROR(__xludf.DUMMYFUNCTION("""COMPUTED_VALUE"""),"Strategy / Puzzle")</f>
        <v>Strategy / Puzzle</v>
      </c>
      <c r="M299" s="201"/>
    </row>
    <row r="300">
      <c r="A300" s="190" t="str">
        <f>IFERROR(__xludf.DUMMYFUNCTION("""COMPUTED_VALUE"""),"Dead Space 3")</f>
        <v>Dead Space 3</v>
      </c>
      <c r="B300" s="195" t="str">
        <f>IFERROR(__xludf.DUMMYFUNCTION("""COMPUTED_VALUE"""),"Xbox / PC")</f>
        <v>Xbox / PC</v>
      </c>
      <c r="C300" s="196" t="str">
        <f>IFERROR(__xludf.DUMMYFUNCTION("""COMPUTED_VALUE"""),"Yes")</f>
        <v>Yes</v>
      </c>
      <c r="D300" s="196" t="str">
        <f>IFERROR(__xludf.DUMMYFUNCTION("""COMPUTED_VALUE"""),"Active")</f>
        <v>Active</v>
      </c>
      <c r="E300" s="197">
        <f>IFERROR(__xludf.DUMMYFUNCTION("""COMPUTED_VALUE"""),44145.0)</f>
        <v>44145</v>
      </c>
      <c r="F300" s="198"/>
      <c r="G300" s="199">
        <f>IFERROR(__xludf.DUMMYFUNCTION("""COMPUTED_VALUE"""),59.166666666666664)</f>
        <v>59.16666667</v>
      </c>
      <c r="H300" s="197">
        <f>IFERROR(__xludf.DUMMYFUNCTION("""COMPUTED_VALUE"""),41310.0)</f>
        <v>41310</v>
      </c>
      <c r="I300" s="199">
        <f>IFERROR(__xludf.DUMMYFUNCTION("""COMPUTED_VALUE"""),7.763888888888889)</f>
        <v>7.763888889</v>
      </c>
      <c r="J300" s="200">
        <f>IFERROR(__xludf.DUMMYFUNCTION("""COMPUTED_VALUE"""),78.0)</f>
        <v>78</v>
      </c>
      <c r="K300" s="200">
        <f>IFERROR(__xludf.DUMMYFUNCTION("""COMPUTED_VALUE"""),13.0)</f>
        <v>13</v>
      </c>
      <c r="L300" s="201" t="str">
        <f>IFERROR(__xludf.DUMMYFUNCTION("""COMPUTED_VALUE"""),"Action / Shooter")</f>
        <v>Action / Shooter</v>
      </c>
      <c r="M300" s="201" t="str">
        <f>IFERROR(__xludf.DUMMYFUNCTION("""COMPUTED_VALUE"""),"FPS Boost")</f>
        <v>FPS Boost</v>
      </c>
    </row>
    <row r="301">
      <c r="A301" s="190" t="str">
        <f>IFERROR(__xludf.DUMMYFUNCTION("""COMPUTED_VALUE"""),"Zuma")</f>
        <v>Zuma</v>
      </c>
      <c r="B301" s="195" t="str">
        <f>IFERROR(__xludf.DUMMYFUNCTION("""COMPUTED_VALUE"""),"Xbox")</f>
        <v>Xbox</v>
      </c>
      <c r="C301" s="196"/>
      <c r="D301" s="196" t="str">
        <f>IFERROR(__xludf.DUMMYFUNCTION("""COMPUTED_VALUE"""),"Active")</f>
        <v>Active</v>
      </c>
      <c r="E301" s="197">
        <f>IFERROR(__xludf.DUMMYFUNCTION("""COMPUTED_VALUE"""),44145.0)</f>
        <v>44145</v>
      </c>
      <c r="F301" s="198"/>
      <c r="G301" s="199">
        <f>IFERROR(__xludf.DUMMYFUNCTION("""COMPUTED_VALUE"""),59.166666666666664)</f>
        <v>59.16666667</v>
      </c>
      <c r="H301" s="197">
        <f>IFERROR(__xludf.DUMMYFUNCTION("""COMPUTED_VALUE"""),37967.0)</f>
        <v>37967</v>
      </c>
      <c r="I301" s="199">
        <f>IFERROR(__xludf.DUMMYFUNCTION("""COMPUTED_VALUE"""),16.91111111111111)</f>
        <v>16.91111111</v>
      </c>
      <c r="J301" s="200">
        <f>IFERROR(__xludf.DUMMYFUNCTION("""COMPUTED_VALUE"""),78.0)</f>
        <v>78</v>
      </c>
      <c r="K301" s="200">
        <f>IFERROR(__xludf.DUMMYFUNCTION("""COMPUTED_VALUE"""),5.0)</f>
        <v>5</v>
      </c>
      <c r="L301" s="201" t="str">
        <f>IFERROR(__xludf.DUMMYFUNCTION("""COMPUTED_VALUE"""),"Puzzle")</f>
        <v>Puzzle</v>
      </c>
      <c r="M301" s="201"/>
    </row>
    <row r="302">
      <c r="A302" s="190" t="str">
        <f>IFERROR(__xludf.DUMMYFUNCTION("""COMPUTED_VALUE"""),"State of Decay 2: Juggernaut Edition")</f>
        <v>State of Decay 2: Juggernaut Edition</v>
      </c>
      <c r="B302" s="195" t="str">
        <f>IFERROR(__xludf.DUMMYFUNCTION("""COMPUTED_VALUE"""),"Xbox / PC")</f>
        <v>Xbox / PC</v>
      </c>
      <c r="C302" s="196" t="str">
        <f>IFERROR(__xludf.DUMMYFUNCTION("""COMPUTED_VALUE"""),"M+KB")</f>
        <v>M+KB</v>
      </c>
      <c r="D302" s="196" t="str">
        <f>IFERROR(__xludf.DUMMYFUNCTION("""COMPUTED_VALUE"""),"Active")</f>
        <v>Active</v>
      </c>
      <c r="E302" s="197">
        <f>IFERROR(__xludf.DUMMYFUNCTION("""COMPUTED_VALUE"""),43242.0)</f>
        <v>43242</v>
      </c>
      <c r="F302" s="198"/>
      <c r="G302" s="199">
        <f>IFERROR(__xludf.DUMMYFUNCTION("""COMPUTED_VALUE"""),88.76666666666667)</f>
        <v>88.76666667</v>
      </c>
      <c r="H302" s="197">
        <f>IFERROR(__xludf.DUMMYFUNCTION("""COMPUTED_VALUE"""),43238.0)</f>
        <v>43238</v>
      </c>
      <c r="I302" s="199">
        <f>IFERROR(__xludf.DUMMYFUNCTION("""COMPUTED_VALUE"""),0.011111111111111112)</f>
        <v>0.01111111111</v>
      </c>
      <c r="J302" s="200">
        <f>IFERROR(__xludf.DUMMYFUNCTION("""COMPUTED_VALUE"""),78.0)</f>
        <v>78</v>
      </c>
      <c r="K302" s="200">
        <f>IFERROR(__xludf.DUMMYFUNCTION("""COMPUTED_VALUE"""),36.5)</f>
        <v>36.5</v>
      </c>
      <c r="L302" s="201" t="str">
        <f>IFERROR(__xludf.DUMMYFUNCTION("""COMPUTED_VALUE"""),"Action-Adventure")</f>
        <v>Action-Adventure</v>
      </c>
      <c r="M302" s="201" t="str">
        <f>IFERROR(__xludf.DUMMYFUNCTION("""COMPUTED_VALUE"""),"Optimized")</f>
        <v>Optimized</v>
      </c>
    </row>
    <row r="303">
      <c r="A303" s="190" t="str">
        <f>IFERROR(__xludf.DUMMYFUNCTION("""COMPUTED_VALUE"""),"For Honor: Marching Fire Edition")</f>
        <v>For Honor: Marching Fire Edition</v>
      </c>
      <c r="B303" s="195" t="str">
        <f>IFERROR(__xludf.DUMMYFUNCTION("""COMPUTED_VALUE"""),"Xbox / PC")</f>
        <v>Xbox / PC</v>
      </c>
      <c r="C303" s="196" t="str">
        <f>IFERROR(__xludf.DUMMYFUNCTION("""COMPUTED_VALUE"""),"Yes")</f>
        <v>Yes</v>
      </c>
      <c r="D303" s="196" t="str">
        <f>IFERROR(__xludf.DUMMYFUNCTION("""COMPUTED_VALUE"""),"Active")</f>
        <v>Active</v>
      </c>
      <c r="E303" s="197">
        <f>IFERROR(__xludf.DUMMYFUNCTION("""COMPUTED_VALUE"""),44350.0)</f>
        <v>44350</v>
      </c>
      <c r="F303" s="198"/>
      <c r="G303" s="199">
        <f>IFERROR(__xludf.DUMMYFUNCTION("""COMPUTED_VALUE"""),52.39999999999999)</f>
        <v>52.4</v>
      </c>
      <c r="H303" s="197">
        <f>IFERROR(__xludf.DUMMYFUNCTION("""COMPUTED_VALUE"""),43083.0)</f>
        <v>43083</v>
      </c>
      <c r="I303" s="199">
        <f>IFERROR(__xludf.DUMMYFUNCTION("""COMPUTED_VALUE"""),3.4694444444444446)</f>
        <v>3.469444444</v>
      </c>
      <c r="J303" s="200">
        <f>IFERROR(__xludf.DUMMYFUNCTION("""COMPUTED_VALUE"""),77.5)</f>
        <v>77.5</v>
      </c>
      <c r="K303" s="200">
        <f>IFERROR(__xludf.DUMMYFUNCTION("""COMPUTED_VALUE"""),7.0)</f>
        <v>7</v>
      </c>
      <c r="L303" s="201" t="str">
        <f>IFERROR(__xludf.DUMMYFUNCTION("""COMPUTED_VALUE"""),"Action / Strategy / Fighting / MOBA")</f>
        <v>Action / Strategy / Fighting / MOBA</v>
      </c>
      <c r="M303" s="201" t="str">
        <f>IFERROR(__xludf.DUMMYFUNCTION("""COMPUTED_VALUE"""),"Optimized")</f>
        <v>Optimized</v>
      </c>
    </row>
    <row r="304">
      <c r="A304" s="190" t="str">
        <f>IFERROR(__xludf.DUMMYFUNCTION("""COMPUTED_VALUE"""),"Valiant Hearts: The Great War")</f>
        <v>Valiant Hearts: The Great War</v>
      </c>
      <c r="B304" s="195" t="str">
        <f>IFERROR(__xludf.DUMMYFUNCTION("""COMPUTED_VALUE"""),"Xbox / PC")</f>
        <v>Xbox / PC</v>
      </c>
      <c r="C304" s="196" t="str">
        <f>IFERROR(__xludf.DUMMYFUNCTION("""COMPUTED_VALUE"""),"Yes")</f>
        <v>Yes</v>
      </c>
      <c r="D304" s="196" t="str">
        <f>IFERROR(__xludf.DUMMYFUNCTION("""COMPUTED_VALUE"""),"Active")</f>
        <v>Active</v>
      </c>
      <c r="E304" s="197">
        <f>IFERROR(__xludf.DUMMYFUNCTION("""COMPUTED_VALUE"""),45931.0)</f>
        <v>45931</v>
      </c>
      <c r="F304" s="198"/>
      <c r="G304" s="199">
        <f>IFERROR(__xludf.DUMMYFUNCTION("""COMPUTED_VALUE"""),0.4666666666666667)</f>
        <v>0.4666666667</v>
      </c>
      <c r="H304" s="197">
        <f>IFERROR(__xludf.DUMMYFUNCTION("""COMPUTED_VALUE"""),41814.0)</f>
        <v>41814</v>
      </c>
      <c r="I304" s="199">
        <f>IFERROR(__xludf.DUMMYFUNCTION("""COMPUTED_VALUE"""),11.269444444444444)</f>
        <v>11.26944444</v>
      </c>
      <c r="J304" s="200">
        <f>IFERROR(__xludf.DUMMYFUNCTION("""COMPUTED_VALUE"""),77.0)</f>
        <v>77</v>
      </c>
      <c r="K304" s="200">
        <f>IFERROR(__xludf.DUMMYFUNCTION("""COMPUTED_VALUE"""),7.0)</f>
        <v>7</v>
      </c>
      <c r="L304" s="201" t="str">
        <f>IFERROR(__xludf.DUMMYFUNCTION("""COMPUTED_VALUE"""),"Platformer")</f>
        <v>Platformer</v>
      </c>
      <c r="M304" s="201"/>
    </row>
    <row r="305">
      <c r="A305" s="190" t="str">
        <f>IFERROR(__xludf.DUMMYFUNCTION("""COMPUTED_VALUE"""),"RoadCraft")</f>
        <v>RoadCraft</v>
      </c>
      <c r="B305" s="195" t="str">
        <f>IFERROR(__xludf.DUMMYFUNCTION("""COMPUTED_VALUE"""),"Xbox")</f>
        <v>Xbox</v>
      </c>
      <c r="C305" s="196" t="str">
        <f>IFERROR(__xludf.DUMMYFUNCTION("""COMPUTED_VALUE"""),"Yes")</f>
        <v>Yes</v>
      </c>
      <c r="D305" s="196" t="str">
        <f>IFERROR(__xludf.DUMMYFUNCTION("""COMPUTED_VALUE"""),"Active")</f>
        <v>Active</v>
      </c>
      <c r="E305" s="197">
        <f>IFERROR(__xludf.DUMMYFUNCTION("""COMPUTED_VALUE"""),45916.0)</f>
        <v>45916</v>
      </c>
      <c r="F305" s="198"/>
      <c r="G305" s="199">
        <f>IFERROR(__xludf.DUMMYFUNCTION("""COMPUTED_VALUE"""),0.9666666666666668)</f>
        <v>0.9666666667</v>
      </c>
      <c r="H305" s="197">
        <f>IFERROR(__xludf.DUMMYFUNCTION("""COMPUTED_VALUE"""),45797.0)</f>
        <v>45797</v>
      </c>
      <c r="I305" s="199">
        <f>IFERROR(__xludf.DUMMYFUNCTION("""COMPUTED_VALUE"""),0.32222222222222224)</f>
        <v>0.3222222222</v>
      </c>
      <c r="J305" s="200">
        <f>IFERROR(__xludf.DUMMYFUNCTION("""COMPUTED_VALUE"""),77.0)</f>
        <v>77</v>
      </c>
      <c r="K305" s="200">
        <f>IFERROR(__xludf.DUMMYFUNCTION("""COMPUTED_VALUE"""),51.0)</f>
        <v>51</v>
      </c>
      <c r="L305" s="201" t="str">
        <f>IFERROR(__xludf.DUMMYFUNCTION("""COMPUTED_VALUE"""),"Racing")</f>
        <v>Racing</v>
      </c>
      <c r="M305" s="201" t="str">
        <f>IFERROR(__xludf.DUMMYFUNCTION("""COMPUTED_VALUE"""),"Exclusive")</f>
        <v>Exclusive</v>
      </c>
    </row>
    <row r="306">
      <c r="A306" s="190" t="str">
        <f>IFERROR(__xludf.DUMMYFUNCTION("""COMPUTED_VALUE"""),"Herdling")</f>
        <v>Herdling</v>
      </c>
      <c r="B306" s="195" t="str">
        <f>IFERROR(__xludf.DUMMYFUNCTION("""COMPUTED_VALUE"""),"Xbox / PC")</f>
        <v>Xbox / PC</v>
      </c>
      <c r="C306" s="196" t="str">
        <f>IFERROR(__xludf.DUMMYFUNCTION("""COMPUTED_VALUE"""),"Yes")</f>
        <v>Yes</v>
      </c>
      <c r="D306" s="196" t="str">
        <f>IFERROR(__xludf.DUMMYFUNCTION("""COMPUTED_VALUE"""),"Active")</f>
        <v>Active</v>
      </c>
      <c r="E306" s="197">
        <f>IFERROR(__xludf.DUMMYFUNCTION("""COMPUTED_VALUE"""),45890.0)</f>
        <v>45890</v>
      </c>
      <c r="F306" s="198"/>
      <c r="G306" s="199">
        <f>IFERROR(__xludf.DUMMYFUNCTION("""COMPUTED_VALUE"""),1.7999999999999998)</f>
        <v>1.8</v>
      </c>
      <c r="H306" s="197">
        <f>IFERROR(__xludf.DUMMYFUNCTION("""COMPUTED_VALUE"""),45890.0)</f>
        <v>45890</v>
      </c>
      <c r="I306" s="199">
        <f>IFERROR(__xludf.DUMMYFUNCTION("""COMPUTED_VALUE"""),0.0)</f>
        <v>0</v>
      </c>
      <c r="J306" s="200">
        <f>IFERROR(__xludf.DUMMYFUNCTION("""COMPUTED_VALUE"""),77.0)</f>
        <v>77</v>
      </c>
      <c r="K306" s="200">
        <f>IFERROR(__xludf.DUMMYFUNCTION("""COMPUTED_VALUE"""),4.0)</f>
        <v>4</v>
      </c>
      <c r="L306" s="201" t="str">
        <f>IFERROR(__xludf.DUMMYFUNCTION("""COMPUTED_VALUE"""),"Action-Adventure")</f>
        <v>Action-Adventure</v>
      </c>
      <c r="M306" s="201" t="str">
        <f>IFERROR(__xludf.DUMMYFUNCTION("""COMPUTED_VALUE"""),"Exclusive")</f>
        <v>Exclusive</v>
      </c>
    </row>
    <row r="307">
      <c r="A307" s="190" t="str">
        <f>IFERROR(__xludf.DUMMYFUNCTION("""COMPUTED_VALUE"""),"Revenge of the Savage Planet")</f>
        <v>Revenge of the Savage Planet</v>
      </c>
      <c r="B307" s="195" t="str">
        <f>IFERROR(__xludf.DUMMYFUNCTION("""COMPUTED_VALUE"""),"Xbox / PC")</f>
        <v>Xbox / PC</v>
      </c>
      <c r="C307" s="196" t="str">
        <f>IFERROR(__xludf.DUMMYFUNCTION("""COMPUTED_VALUE"""),"Yes")</f>
        <v>Yes</v>
      </c>
      <c r="D307" s="196" t="str">
        <f>IFERROR(__xludf.DUMMYFUNCTION("""COMPUTED_VALUE"""),"Active")</f>
        <v>Active</v>
      </c>
      <c r="E307" s="197">
        <f>IFERROR(__xludf.DUMMYFUNCTION("""COMPUTED_VALUE"""),45785.0)</f>
        <v>45785</v>
      </c>
      <c r="F307" s="198"/>
      <c r="G307" s="199">
        <f>IFERROR(__xludf.DUMMYFUNCTION("""COMPUTED_VALUE"""),5.233333333333333)</f>
        <v>5.233333333</v>
      </c>
      <c r="H307" s="197">
        <f>IFERROR(__xludf.DUMMYFUNCTION("""COMPUTED_VALUE"""),45785.0)</f>
        <v>45785</v>
      </c>
      <c r="I307" s="199">
        <f>IFERROR(__xludf.DUMMYFUNCTION("""COMPUTED_VALUE"""),0.0)</f>
        <v>0</v>
      </c>
      <c r="J307" s="200">
        <f>IFERROR(__xludf.DUMMYFUNCTION("""COMPUTED_VALUE"""),77.0)</f>
        <v>77</v>
      </c>
      <c r="K307" s="200">
        <f>IFERROR(__xludf.DUMMYFUNCTION("""COMPUTED_VALUE"""),9.0)</f>
        <v>9</v>
      </c>
      <c r="L307" s="201" t="str">
        <f>IFERROR(__xludf.DUMMYFUNCTION("""COMPUTED_VALUE"""),"Action-Adventure")</f>
        <v>Action-Adventure</v>
      </c>
      <c r="M307" s="201" t="str">
        <f>IFERROR(__xludf.DUMMYFUNCTION("""COMPUTED_VALUE"""),"Exclusive")</f>
        <v>Exclusive</v>
      </c>
    </row>
    <row r="308">
      <c r="A308" s="190" t="str">
        <f>IFERROR(__xludf.DUMMYFUNCTION("""COMPUTED_VALUE"""),"South of Midnight")</f>
        <v>South of Midnight</v>
      </c>
      <c r="B308" s="195" t="str">
        <f>IFERROR(__xludf.DUMMYFUNCTION("""COMPUTED_VALUE"""),"Xbox / PC")</f>
        <v>Xbox / PC</v>
      </c>
      <c r="C308" s="196"/>
      <c r="D308" s="196" t="str">
        <f>IFERROR(__xludf.DUMMYFUNCTION("""COMPUTED_VALUE"""),"Active")</f>
        <v>Active</v>
      </c>
      <c r="E308" s="197">
        <f>IFERROR(__xludf.DUMMYFUNCTION("""COMPUTED_VALUE"""),45755.0)</f>
        <v>45755</v>
      </c>
      <c r="F308" s="198"/>
      <c r="G308" s="199">
        <f>IFERROR(__xludf.DUMMYFUNCTION("""COMPUTED_VALUE"""),6.233333333333334)</f>
        <v>6.233333333</v>
      </c>
      <c r="H308" s="197">
        <f>IFERROR(__xludf.DUMMYFUNCTION("""COMPUTED_VALUE"""),45755.0)</f>
        <v>45755</v>
      </c>
      <c r="I308" s="199">
        <f>IFERROR(__xludf.DUMMYFUNCTION("""COMPUTED_VALUE"""),0.0)</f>
        <v>0</v>
      </c>
      <c r="J308" s="200">
        <f>IFERROR(__xludf.DUMMYFUNCTION("""COMPUTED_VALUE"""),77.0)</f>
        <v>77</v>
      </c>
      <c r="K308" s="200">
        <f>IFERROR(__xludf.DUMMYFUNCTION("""COMPUTED_VALUE"""),10.0)</f>
        <v>10</v>
      </c>
      <c r="L308" s="201" t="str">
        <f>IFERROR(__xludf.DUMMYFUNCTION("""COMPUTED_VALUE"""),"Action-Adventure")</f>
        <v>Action-Adventure</v>
      </c>
      <c r="M308" s="201" t="str">
        <f>IFERROR(__xludf.DUMMYFUNCTION("""COMPUTED_VALUE"""),"Exclusive")</f>
        <v>Exclusive</v>
      </c>
    </row>
    <row r="309">
      <c r="A309" s="190" t="str">
        <f>IFERROR(__xludf.DUMMYFUNCTION("""COMPUTED_VALUE"""),"Train Sim World 5")</f>
        <v>Train Sim World 5</v>
      </c>
      <c r="B309" s="195" t="str">
        <f>IFERROR(__xludf.DUMMYFUNCTION("""COMPUTED_VALUE"""),"Xbox / PC")</f>
        <v>Xbox / PC</v>
      </c>
      <c r="C309" s="196" t="str">
        <f>IFERROR(__xludf.DUMMYFUNCTION("""COMPUTED_VALUE"""),"Yes")</f>
        <v>Yes</v>
      </c>
      <c r="D309" s="196" t="str">
        <f>IFERROR(__xludf.DUMMYFUNCTION("""COMPUTED_VALUE"""),"Active")</f>
        <v>Active</v>
      </c>
      <c r="E309" s="197">
        <f>IFERROR(__xludf.DUMMYFUNCTION("""COMPUTED_VALUE"""),45552.0)</f>
        <v>45552</v>
      </c>
      <c r="F309" s="198"/>
      <c r="G309" s="199">
        <f>IFERROR(__xludf.DUMMYFUNCTION("""COMPUTED_VALUE"""),12.933333333333334)</f>
        <v>12.93333333</v>
      </c>
      <c r="H309" s="197">
        <f>IFERROR(__xludf.DUMMYFUNCTION("""COMPUTED_VALUE"""),45195.0)</f>
        <v>45195</v>
      </c>
      <c r="I309" s="199">
        <f>IFERROR(__xludf.DUMMYFUNCTION("""COMPUTED_VALUE"""),0.975)</f>
        <v>0.975</v>
      </c>
      <c r="J309" s="200">
        <f>IFERROR(__xludf.DUMMYFUNCTION("""COMPUTED_VALUE"""),77.0)</f>
        <v>77</v>
      </c>
      <c r="K309" s="200"/>
      <c r="L309" s="201" t="str">
        <f>IFERROR(__xludf.DUMMYFUNCTION("""COMPUTED_VALUE"""),"Simulation")</f>
        <v>Simulation</v>
      </c>
      <c r="M309" s="201"/>
    </row>
    <row r="310">
      <c r="A310" s="190" t="str">
        <f>IFERROR(__xludf.DUMMYFUNCTION("""COMPUTED_VALUE"""),"Riders Republic")</f>
        <v>Riders Republic</v>
      </c>
      <c r="B310" s="195" t="str">
        <f>IFERROR(__xludf.DUMMYFUNCTION("""COMPUTED_VALUE"""),"Xbox / PC")</f>
        <v>Xbox / PC</v>
      </c>
      <c r="C310" s="196" t="str">
        <f>IFERROR(__xludf.DUMMYFUNCTION("""COMPUTED_VALUE"""),"Yes")</f>
        <v>Yes</v>
      </c>
      <c r="D310" s="196" t="str">
        <f>IFERROR(__xludf.DUMMYFUNCTION("""COMPUTED_VALUE"""),"Active")</f>
        <v>Active</v>
      </c>
      <c r="E310" s="197">
        <f>IFERROR(__xludf.DUMMYFUNCTION("""COMPUTED_VALUE"""),45546.0)</f>
        <v>45546</v>
      </c>
      <c r="F310" s="198"/>
      <c r="G310" s="199">
        <f>IFERROR(__xludf.DUMMYFUNCTION("""COMPUTED_VALUE"""),13.133333333333335)</f>
        <v>13.13333333</v>
      </c>
      <c r="H310" s="197">
        <f>IFERROR(__xludf.DUMMYFUNCTION("""COMPUTED_VALUE"""),44497.0)</f>
        <v>44497</v>
      </c>
      <c r="I310" s="199">
        <f>IFERROR(__xludf.DUMMYFUNCTION("""COMPUTED_VALUE"""),2.8694444444444445)</f>
        <v>2.869444444</v>
      </c>
      <c r="J310" s="200">
        <f>IFERROR(__xludf.DUMMYFUNCTION("""COMPUTED_VALUE"""),77.0)</f>
        <v>77</v>
      </c>
      <c r="K310" s="200">
        <f>IFERROR(__xludf.DUMMYFUNCTION("""COMPUTED_VALUE"""),18.0)</f>
        <v>18</v>
      </c>
      <c r="L310" s="201" t="str">
        <f>IFERROR(__xludf.DUMMYFUNCTION("""COMPUTED_VALUE"""),"Sports")</f>
        <v>Sports</v>
      </c>
      <c r="M310" s="201"/>
    </row>
    <row r="311">
      <c r="A311" s="190" t="str">
        <f>IFERROR(__xludf.DUMMYFUNCTION("""COMPUTED_VALUE"""),"Expeditions: A MudRunner Game")</f>
        <v>Expeditions: A MudRunner Game</v>
      </c>
      <c r="B311" s="195" t="str">
        <f>IFERROR(__xludf.DUMMYFUNCTION("""COMPUTED_VALUE"""),"Xbox / PC")</f>
        <v>Xbox / PC</v>
      </c>
      <c r="C311" s="196" t="str">
        <f>IFERROR(__xludf.DUMMYFUNCTION("""COMPUTED_VALUE"""),"Yes")</f>
        <v>Yes</v>
      </c>
      <c r="D311" s="196" t="str">
        <f>IFERROR(__xludf.DUMMYFUNCTION("""COMPUTED_VALUE"""),"Active")</f>
        <v>Active</v>
      </c>
      <c r="E311" s="197">
        <f>IFERROR(__xludf.DUMMYFUNCTION("""COMPUTED_VALUE"""),45540.0)</f>
        <v>45540</v>
      </c>
      <c r="F311" s="198"/>
      <c r="G311" s="199">
        <f>IFERROR(__xludf.DUMMYFUNCTION("""COMPUTED_VALUE"""),13.333333333333334)</f>
        <v>13.33333333</v>
      </c>
      <c r="H311" s="197">
        <f>IFERROR(__xludf.DUMMYFUNCTION("""COMPUTED_VALUE"""),45356.0)</f>
        <v>45356</v>
      </c>
      <c r="I311" s="199">
        <f>IFERROR(__xludf.DUMMYFUNCTION("""COMPUTED_VALUE"""),0.5)</f>
        <v>0.5</v>
      </c>
      <c r="J311" s="200">
        <f>IFERROR(__xludf.DUMMYFUNCTION("""COMPUTED_VALUE"""),77.0)</f>
        <v>77</v>
      </c>
      <c r="K311" s="200">
        <f>IFERROR(__xludf.DUMMYFUNCTION("""COMPUTED_VALUE"""),50.0)</f>
        <v>50</v>
      </c>
      <c r="L311" s="201" t="str">
        <f>IFERROR(__xludf.DUMMYFUNCTION("""COMPUTED_VALUE"""),"Simulation")</f>
        <v>Simulation</v>
      </c>
      <c r="M311" s="201"/>
    </row>
    <row r="312">
      <c r="A312" s="190" t="str">
        <f>IFERROR(__xludf.DUMMYFUNCTION("""COMPUTED_VALUE"""),"Nickelodeon All-Star Brawl 2")</f>
        <v>Nickelodeon All-Star Brawl 2</v>
      </c>
      <c r="B312" s="195" t="str">
        <f>IFERROR(__xludf.DUMMYFUNCTION("""COMPUTED_VALUE"""),"Xbox / PC")</f>
        <v>Xbox / PC</v>
      </c>
      <c r="C312" s="196" t="str">
        <f>IFERROR(__xludf.DUMMYFUNCTION("""COMPUTED_VALUE"""),"Yes")</f>
        <v>Yes</v>
      </c>
      <c r="D312" s="196" t="str">
        <f>IFERROR(__xludf.DUMMYFUNCTION("""COMPUTED_VALUE"""),"Active")</f>
        <v>Active</v>
      </c>
      <c r="E312" s="197">
        <f>IFERROR(__xludf.DUMMYFUNCTION("""COMPUTED_VALUE"""),45476.0)</f>
        <v>45476</v>
      </c>
      <c r="F312" s="198"/>
      <c r="G312" s="199">
        <f>IFERROR(__xludf.DUMMYFUNCTION("""COMPUTED_VALUE"""),15.400000000000002)</f>
        <v>15.4</v>
      </c>
      <c r="H312" s="197">
        <f>IFERROR(__xludf.DUMMYFUNCTION("""COMPUTED_VALUE"""),45237.0)</f>
        <v>45237</v>
      </c>
      <c r="I312" s="199">
        <f>IFERROR(__xludf.DUMMYFUNCTION("""COMPUTED_VALUE"""),0.6555555555555556)</f>
        <v>0.6555555556</v>
      </c>
      <c r="J312" s="200">
        <f>IFERROR(__xludf.DUMMYFUNCTION("""COMPUTED_VALUE"""),77.0)</f>
        <v>77</v>
      </c>
      <c r="K312" s="200">
        <f>IFERROR(__xludf.DUMMYFUNCTION("""COMPUTED_VALUE"""),4.0)</f>
        <v>4</v>
      </c>
      <c r="L312" s="201" t="str">
        <f>IFERROR(__xludf.DUMMYFUNCTION("""COMPUTED_VALUE"""),"Fighting")</f>
        <v>Fighting</v>
      </c>
      <c r="M312" s="201"/>
    </row>
    <row r="313">
      <c r="A313" s="190" t="str">
        <f>IFERROR(__xludf.DUMMYFUNCTION("""COMPUTED_VALUE"""),"Need for Speed: Unbound")</f>
        <v>Need for Speed: Unbound</v>
      </c>
      <c r="B313" s="195" t="str">
        <f>IFERROR(__xludf.DUMMYFUNCTION("""COMPUTED_VALUE"""),"Xbox / PC")</f>
        <v>Xbox / PC</v>
      </c>
      <c r="C313" s="196" t="str">
        <f>IFERROR(__xludf.DUMMYFUNCTION("""COMPUTED_VALUE"""),"Yes")</f>
        <v>Yes</v>
      </c>
      <c r="D313" s="196" t="str">
        <f>IFERROR(__xludf.DUMMYFUNCTION("""COMPUTED_VALUE"""),"Active")</f>
        <v>Active</v>
      </c>
      <c r="E313" s="197">
        <f>IFERROR(__xludf.DUMMYFUNCTION("""COMPUTED_VALUE"""),45099.0)</f>
        <v>45099</v>
      </c>
      <c r="F313" s="198"/>
      <c r="G313" s="199">
        <f>IFERROR(__xludf.DUMMYFUNCTION("""COMPUTED_VALUE"""),27.76666666666667)</f>
        <v>27.76666667</v>
      </c>
      <c r="H313" s="197">
        <f>IFERROR(__xludf.DUMMYFUNCTION("""COMPUTED_VALUE"""),44894.0)</f>
        <v>44894</v>
      </c>
      <c r="I313" s="199">
        <f>IFERROR(__xludf.DUMMYFUNCTION("""COMPUTED_VALUE"""),0.5638888888888889)</f>
        <v>0.5638888889</v>
      </c>
      <c r="J313" s="200">
        <f>IFERROR(__xludf.DUMMYFUNCTION("""COMPUTED_VALUE"""),77.0)</f>
        <v>77</v>
      </c>
      <c r="K313" s="200">
        <f>IFERROR(__xludf.DUMMYFUNCTION("""COMPUTED_VALUE"""),23.0)</f>
        <v>23</v>
      </c>
      <c r="L313" s="201" t="str">
        <f>IFERROR(__xludf.DUMMYFUNCTION("""COMPUTED_VALUE"""),"Driving/Racing")</f>
        <v>Driving/Racing</v>
      </c>
      <c r="M313" s="201" t="str">
        <f>IFERROR(__xludf.DUMMYFUNCTION("""COMPUTED_VALUE"""),"Exclusive")</f>
        <v>Exclusive</v>
      </c>
    </row>
    <row r="314">
      <c r="A314" s="190" t="str">
        <f>IFERROR(__xludf.DUMMYFUNCTION("""COMPUTED_VALUE"""),"Sniper Elite 5")</f>
        <v>Sniper Elite 5</v>
      </c>
      <c r="B314" s="195" t="str">
        <f>IFERROR(__xludf.DUMMYFUNCTION("""COMPUTED_VALUE"""),"Xbox / PC")</f>
        <v>Xbox / PC</v>
      </c>
      <c r="C314" s="196" t="str">
        <f>IFERROR(__xludf.DUMMYFUNCTION("""COMPUTED_VALUE"""),"M+KB")</f>
        <v>M+KB</v>
      </c>
      <c r="D314" s="196" t="str">
        <f>IFERROR(__xludf.DUMMYFUNCTION("""COMPUTED_VALUE"""),"Active")</f>
        <v>Active</v>
      </c>
      <c r="E314" s="197">
        <f>IFERROR(__xludf.DUMMYFUNCTION("""COMPUTED_VALUE"""),44707.0)</f>
        <v>44707</v>
      </c>
      <c r="F314" s="198"/>
      <c r="G314" s="199">
        <f>IFERROR(__xludf.DUMMYFUNCTION("""COMPUTED_VALUE"""),40.63333333333333)</f>
        <v>40.63333333</v>
      </c>
      <c r="H314" s="197">
        <f>IFERROR(__xludf.DUMMYFUNCTION("""COMPUTED_VALUE"""),44707.0)</f>
        <v>44707</v>
      </c>
      <c r="I314" s="199">
        <f>IFERROR(__xludf.DUMMYFUNCTION("""COMPUTED_VALUE"""),0.0)</f>
        <v>0</v>
      </c>
      <c r="J314" s="200">
        <f>IFERROR(__xludf.DUMMYFUNCTION("""COMPUTED_VALUE"""),77.0)</f>
        <v>77</v>
      </c>
      <c r="K314" s="200">
        <f>IFERROR(__xludf.DUMMYFUNCTION("""COMPUTED_VALUE"""),9.0)</f>
        <v>9</v>
      </c>
      <c r="L314" s="201" t="str">
        <f>IFERROR(__xludf.DUMMYFUNCTION("""COMPUTED_VALUE"""),"Action / Shooter")</f>
        <v>Action / Shooter</v>
      </c>
      <c r="M314" s="201"/>
    </row>
    <row r="315">
      <c r="A315" s="190" t="str">
        <f>IFERROR(__xludf.DUMMYFUNCTION("""COMPUTED_VALUE"""),"Broken Age")</f>
        <v>Broken Age</v>
      </c>
      <c r="B315" s="195" t="str">
        <f>IFERROR(__xludf.DUMMYFUNCTION("""COMPUTED_VALUE"""),"Xbox / PC")</f>
        <v>Xbox / PC</v>
      </c>
      <c r="C315" s="196" t="str">
        <f>IFERROR(__xludf.DUMMYFUNCTION("""COMPUTED_VALUE"""),"Touch Controls")</f>
        <v>Touch Controls</v>
      </c>
      <c r="D315" s="196" t="str">
        <f>IFERROR(__xludf.DUMMYFUNCTION("""COMPUTED_VALUE"""),"Active")</f>
        <v>Active</v>
      </c>
      <c r="E315" s="197">
        <f>IFERROR(__xludf.DUMMYFUNCTION("""COMPUTED_VALUE"""),44546.0)</f>
        <v>44546</v>
      </c>
      <c r="F315" s="198"/>
      <c r="G315" s="199">
        <f>IFERROR(__xludf.DUMMYFUNCTION("""COMPUTED_VALUE"""),45.96666666666667)</f>
        <v>45.96666667</v>
      </c>
      <c r="H315" s="197">
        <f>IFERROR(__xludf.DUMMYFUNCTION("""COMPUTED_VALUE"""),41653.0)</f>
        <v>41653</v>
      </c>
      <c r="I315" s="199">
        <f>IFERROR(__xludf.DUMMYFUNCTION("""COMPUTED_VALUE"""),7.9222222222222225)</f>
        <v>7.922222222</v>
      </c>
      <c r="J315" s="200">
        <f>IFERROR(__xludf.DUMMYFUNCTION("""COMPUTED_VALUE"""),77.0)</f>
        <v>77</v>
      </c>
      <c r="K315" s="200">
        <f>IFERROR(__xludf.DUMMYFUNCTION("""COMPUTED_VALUE"""),10.0)</f>
        <v>10</v>
      </c>
      <c r="L315" s="201" t="str">
        <f>IFERROR(__xludf.DUMMYFUNCTION("""COMPUTED_VALUE"""),"Adventure")</f>
        <v>Adventure</v>
      </c>
      <c r="M315" s="201"/>
    </row>
    <row r="316">
      <c r="A316" s="190" t="str">
        <f>IFERROR(__xludf.DUMMYFUNCTION("""COMPUTED_VALUE"""),"Superliminal")</f>
        <v>Superliminal</v>
      </c>
      <c r="B316" s="195" t="str">
        <f>IFERROR(__xludf.DUMMYFUNCTION("""COMPUTED_VALUE"""),"Xbox / PC")</f>
        <v>Xbox / PC</v>
      </c>
      <c r="C316" s="196" t="str">
        <f>IFERROR(__xludf.DUMMYFUNCTION("""COMPUTED_VALUE"""),"Touch Controls")</f>
        <v>Touch Controls</v>
      </c>
      <c r="D316" s="196" t="str">
        <f>IFERROR(__xludf.DUMMYFUNCTION("""COMPUTED_VALUE"""),"Active")</f>
        <v>Active</v>
      </c>
      <c r="E316" s="197">
        <f>IFERROR(__xludf.DUMMYFUNCTION("""COMPUTED_VALUE"""),44455.0)</f>
        <v>44455</v>
      </c>
      <c r="F316" s="198"/>
      <c r="G316" s="199">
        <f>IFERROR(__xludf.DUMMYFUNCTION("""COMPUTED_VALUE"""),48.96666666666667)</f>
        <v>48.96666667</v>
      </c>
      <c r="H316" s="197">
        <f>IFERROR(__xludf.DUMMYFUNCTION("""COMPUTED_VALUE"""),43781.0)</f>
        <v>43781</v>
      </c>
      <c r="I316" s="199">
        <f>IFERROR(__xludf.DUMMYFUNCTION("""COMPUTED_VALUE"""),1.8444444444444446)</f>
        <v>1.844444444</v>
      </c>
      <c r="J316" s="200">
        <f>IFERROR(__xludf.DUMMYFUNCTION("""COMPUTED_VALUE"""),77.0)</f>
        <v>77</v>
      </c>
      <c r="K316" s="200">
        <f>IFERROR(__xludf.DUMMYFUNCTION("""COMPUTED_VALUE"""),2.5)</f>
        <v>2.5</v>
      </c>
      <c r="L316" s="201" t="str">
        <f>IFERROR(__xludf.DUMMYFUNCTION("""COMPUTED_VALUE"""),"Puzzle")</f>
        <v>Puzzle</v>
      </c>
      <c r="M316" s="201"/>
    </row>
    <row r="317">
      <c r="A317" s="190" t="str">
        <f>IFERROR(__xludf.DUMMYFUNCTION("""COMPUTED_VALUE"""),"DOOM 64")</f>
        <v>DOOM 64</v>
      </c>
      <c r="B317" s="195" t="str">
        <f>IFERROR(__xludf.DUMMYFUNCTION("""COMPUTED_VALUE"""),"Xbox / PC")</f>
        <v>Xbox / PC</v>
      </c>
      <c r="C317" s="196" t="str">
        <f>IFERROR(__xludf.DUMMYFUNCTION("""COMPUTED_VALUE"""),"M+KB")</f>
        <v>M+KB</v>
      </c>
      <c r="D317" s="196" t="str">
        <f>IFERROR(__xludf.DUMMYFUNCTION("""COMPUTED_VALUE"""),"Active")</f>
        <v>Active</v>
      </c>
      <c r="E317" s="197">
        <f>IFERROR(__xludf.DUMMYFUNCTION("""COMPUTED_VALUE"""),44267.0)</f>
        <v>44267</v>
      </c>
      <c r="F317" s="198"/>
      <c r="G317" s="199">
        <f>IFERROR(__xludf.DUMMYFUNCTION("""COMPUTED_VALUE"""),55.1)</f>
        <v>55.1</v>
      </c>
      <c r="H317" s="197">
        <f>IFERROR(__xludf.DUMMYFUNCTION("""COMPUTED_VALUE"""),35520.0)</f>
        <v>35520</v>
      </c>
      <c r="I317" s="199">
        <f>IFERROR(__xludf.DUMMYFUNCTION("""COMPUTED_VALUE"""),23.95)</f>
        <v>23.95</v>
      </c>
      <c r="J317" s="200">
        <f>IFERROR(__xludf.DUMMYFUNCTION("""COMPUTED_VALUE"""),77.0)</f>
        <v>77</v>
      </c>
      <c r="K317" s="200">
        <f>IFERROR(__xludf.DUMMYFUNCTION("""COMPUTED_VALUE"""),7.0)</f>
        <v>7</v>
      </c>
      <c r="L317" s="201" t="str">
        <f>IFERROR(__xludf.DUMMYFUNCTION("""COMPUTED_VALUE"""),"First-Person Shooter")</f>
        <v>First-Person Shooter</v>
      </c>
      <c r="M317" s="201"/>
    </row>
    <row r="318">
      <c r="A318" s="190" t="str">
        <f>IFERROR(__xludf.DUMMYFUNCTION("""COMPUTED_VALUE"""),"BLACK")</f>
        <v>BLACK</v>
      </c>
      <c r="B318" s="195" t="str">
        <f>IFERROR(__xludf.DUMMYFUNCTION("""COMPUTED_VALUE"""),"Xbox")</f>
        <v>Xbox</v>
      </c>
      <c r="C318" s="196"/>
      <c r="D318" s="196" t="str">
        <f>IFERROR(__xludf.DUMMYFUNCTION("""COMPUTED_VALUE"""),"Active")</f>
        <v>Active</v>
      </c>
      <c r="E318" s="197">
        <f>IFERROR(__xludf.DUMMYFUNCTION("""COMPUTED_VALUE"""),44145.0)</f>
        <v>44145</v>
      </c>
      <c r="F318" s="198"/>
      <c r="G318" s="199">
        <f>IFERROR(__xludf.DUMMYFUNCTION("""COMPUTED_VALUE"""),59.166666666666664)</f>
        <v>59.16666667</v>
      </c>
      <c r="H318" s="197">
        <f>IFERROR(__xludf.DUMMYFUNCTION("""COMPUTED_VALUE"""),38776.0)</f>
        <v>38776</v>
      </c>
      <c r="I318" s="199">
        <f>IFERROR(__xludf.DUMMYFUNCTION("""COMPUTED_VALUE"""),14.7)</f>
        <v>14.7</v>
      </c>
      <c r="J318" s="200">
        <f>IFERROR(__xludf.DUMMYFUNCTION("""COMPUTED_VALUE"""),77.0)</f>
        <v>77</v>
      </c>
      <c r="K318" s="200">
        <f>IFERROR(__xludf.DUMMYFUNCTION("""COMPUTED_VALUE"""),6.0)</f>
        <v>6</v>
      </c>
      <c r="L318" s="201" t="str">
        <f>IFERROR(__xludf.DUMMYFUNCTION("""COMPUTED_VALUE"""),"First-Person Shooter")</f>
        <v>First-Person Shooter</v>
      </c>
      <c r="M318" s="201"/>
    </row>
    <row r="319">
      <c r="A319" s="190" t="str">
        <f>IFERROR(__xludf.DUMMYFUNCTION("""COMPUTED_VALUE"""),"Heavy Weapon")</f>
        <v>Heavy Weapon</v>
      </c>
      <c r="B319" s="195" t="str">
        <f>IFERROR(__xludf.DUMMYFUNCTION("""COMPUTED_VALUE"""),"Xbox")</f>
        <v>Xbox</v>
      </c>
      <c r="C319" s="196"/>
      <c r="D319" s="196" t="str">
        <f>IFERROR(__xludf.DUMMYFUNCTION("""COMPUTED_VALUE"""),"Active")</f>
        <v>Active</v>
      </c>
      <c r="E319" s="197">
        <f>IFERROR(__xludf.DUMMYFUNCTION("""COMPUTED_VALUE"""),44145.0)</f>
        <v>44145</v>
      </c>
      <c r="F319" s="198"/>
      <c r="G319" s="199">
        <f>IFERROR(__xludf.DUMMYFUNCTION("""COMPUTED_VALUE"""),59.166666666666664)</f>
        <v>59.16666667</v>
      </c>
      <c r="H319" s="197">
        <f>IFERROR(__xludf.DUMMYFUNCTION("""COMPUTED_VALUE"""),39099.0)</f>
        <v>39099</v>
      </c>
      <c r="I319" s="199">
        <f>IFERROR(__xludf.DUMMYFUNCTION("""COMPUTED_VALUE"""),13.813888888888888)</f>
        <v>13.81388889</v>
      </c>
      <c r="J319" s="200">
        <f>IFERROR(__xludf.DUMMYFUNCTION("""COMPUTED_VALUE"""),77.0)</f>
        <v>77</v>
      </c>
      <c r="K319" s="200">
        <f>IFERROR(__xludf.DUMMYFUNCTION("""COMPUTED_VALUE"""),2.0)</f>
        <v>2</v>
      </c>
      <c r="L319" s="201" t="str">
        <f>IFERROR(__xludf.DUMMYFUNCTION("""COMPUTED_VALUE"""),"Dual-Joystick Shooter")</f>
        <v>Dual-Joystick Shooter</v>
      </c>
      <c r="M319" s="201"/>
    </row>
    <row r="320">
      <c r="A320" s="190" t="str">
        <f>IFERROR(__xludf.DUMMYFUNCTION("""COMPUTED_VALUE"""),"Neon Abyss")</f>
        <v>Neon Abyss</v>
      </c>
      <c r="B320" s="195" t="str">
        <f>IFERROR(__xludf.DUMMYFUNCTION("""COMPUTED_VALUE"""),"Xbox / PC")</f>
        <v>Xbox / PC</v>
      </c>
      <c r="C320" s="196" t="str">
        <f>IFERROR(__xludf.DUMMYFUNCTION("""COMPUTED_VALUE"""),"Yes")</f>
        <v>Yes</v>
      </c>
      <c r="D320" s="196" t="str">
        <f>IFERROR(__xludf.DUMMYFUNCTION("""COMPUTED_VALUE"""),"Active")</f>
        <v>Active</v>
      </c>
      <c r="E320" s="197">
        <f>IFERROR(__xludf.DUMMYFUNCTION("""COMPUTED_VALUE"""),44026.0)</f>
        <v>44026</v>
      </c>
      <c r="F320" s="198"/>
      <c r="G320" s="199">
        <f>IFERROR(__xludf.DUMMYFUNCTION("""COMPUTED_VALUE"""),63.03333333333334)</f>
        <v>63.03333333</v>
      </c>
      <c r="H320" s="197">
        <f>IFERROR(__xludf.DUMMYFUNCTION("""COMPUTED_VALUE"""),44026.0)</f>
        <v>44026</v>
      </c>
      <c r="I320" s="199">
        <f>IFERROR(__xludf.DUMMYFUNCTION("""COMPUTED_VALUE"""),0.0)</f>
        <v>0</v>
      </c>
      <c r="J320" s="200">
        <f>IFERROR(__xludf.DUMMYFUNCTION("""COMPUTED_VALUE"""),77.0)</f>
        <v>77</v>
      </c>
      <c r="K320" s="200">
        <f>IFERROR(__xludf.DUMMYFUNCTION("""COMPUTED_VALUE"""),12.0)</f>
        <v>12</v>
      </c>
      <c r="L320" s="201" t="str">
        <f>IFERROR(__xludf.DUMMYFUNCTION("""COMPUTED_VALUE"""),"Action / Platformer")</f>
        <v>Action / Platformer</v>
      </c>
      <c r="M320" s="201"/>
    </row>
    <row r="321">
      <c r="A321" s="190" t="str">
        <f>IFERROR(__xludf.DUMMYFUNCTION("""COMPUTED_VALUE"""),"Descenders")</f>
        <v>Descenders</v>
      </c>
      <c r="B321" s="195" t="str">
        <f>IFERROR(__xludf.DUMMYFUNCTION("""COMPUTED_VALUE"""),"Xbox / PC")</f>
        <v>Xbox / PC</v>
      </c>
      <c r="C321" s="196" t="str">
        <f>IFERROR(__xludf.DUMMYFUNCTION("""COMPUTED_VALUE"""),"Yes")</f>
        <v>Yes</v>
      </c>
      <c r="D321" s="196" t="str">
        <f>IFERROR(__xludf.DUMMYFUNCTION("""COMPUTED_VALUE"""),"Active")</f>
        <v>Active</v>
      </c>
      <c r="E321" s="197">
        <f>IFERROR(__xludf.DUMMYFUNCTION("""COMPUTED_VALUE"""),43592.0)</f>
        <v>43592</v>
      </c>
      <c r="F321" s="198"/>
      <c r="G321" s="199">
        <f>IFERROR(__xludf.DUMMYFUNCTION("""COMPUTED_VALUE"""),77.26666666666667)</f>
        <v>77.26666667</v>
      </c>
      <c r="H321" s="197">
        <f>IFERROR(__xludf.DUMMYFUNCTION("""COMPUTED_VALUE"""),43140.0)</f>
        <v>43140</v>
      </c>
      <c r="I321" s="199">
        <f>IFERROR(__xludf.DUMMYFUNCTION("""COMPUTED_VALUE"""),1.2444444444444445)</f>
        <v>1.244444444</v>
      </c>
      <c r="J321" s="200">
        <f>IFERROR(__xludf.DUMMYFUNCTION("""COMPUTED_VALUE"""),77.0)</f>
        <v>77</v>
      </c>
      <c r="K321" s="200">
        <f>IFERROR(__xludf.DUMMYFUNCTION("""COMPUTED_VALUE"""),4.0)</f>
        <v>4</v>
      </c>
      <c r="L321" s="201" t="str">
        <f>IFERROR(__xludf.DUMMYFUNCTION("""COMPUTED_VALUE"""),"Sports / Driving/Racing")</f>
        <v>Sports / Driving/Racing</v>
      </c>
      <c r="M321" s="201" t="str">
        <f>IFERROR(__xludf.DUMMYFUNCTION("""COMPUTED_VALUE"""),"Optimized")</f>
        <v>Optimized</v>
      </c>
    </row>
    <row r="322">
      <c r="A322" s="190" t="str">
        <f>IFERROR(__xludf.DUMMYFUNCTION("""COMPUTED_VALUE"""),"Quantum Break")</f>
        <v>Quantum Break</v>
      </c>
      <c r="B322" s="195" t="str">
        <f>IFERROR(__xludf.DUMMYFUNCTION("""COMPUTED_VALUE"""),"Xbox / PC")</f>
        <v>Xbox / PC</v>
      </c>
      <c r="C322" s="196"/>
      <c r="D322" s="196" t="str">
        <f>IFERROR(__xludf.DUMMYFUNCTION("""COMPUTED_VALUE"""),"Active")</f>
        <v>Active</v>
      </c>
      <c r="E322" s="197">
        <f>IFERROR(__xludf.DUMMYFUNCTION("""COMPUTED_VALUE"""),43344.0)</f>
        <v>43344</v>
      </c>
      <c r="F322" s="198"/>
      <c r="G322" s="199">
        <f>IFERROR(__xludf.DUMMYFUNCTION("""COMPUTED_VALUE"""),85.46666666666667)</f>
        <v>85.46666667</v>
      </c>
      <c r="H322" s="197">
        <f>IFERROR(__xludf.DUMMYFUNCTION("""COMPUTED_VALUE"""),42465.0)</f>
        <v>42465</v>
      </c>
      <c r="I322" s="199">
        <f>IFERROR(__xludf.DUMMYFUNCTION("""COMPUTED_VALUE"""),2.4055555555555554)</f>
        <v>2.405555556</v>
      </c>
      <c r="J322" s="200">
        <f>IFERROR(__xludf.DUMMYFUNCTION("""COMPUTED_VALUE"""),77.0)</f>
        <v>77</v>
      </c>
      <c r="K322" s="200">
        <f>IFERROR(__xludf.DUMMYFUNCTION("""COMPUTED_VALUE"""),10.0)</f>
        <v>10</v>
      </c>
      <c r="L322" s="201" t="str">
        <f>IFERROR(__xludf.DUMMYFUNCTION("""COMPUTED_VALUE"""),"Shooter")</f>
        <v>Shooter</v>
      </c>
      <c r="M322" s="201"/>
    </row>
    <row r="323">
      <c r="A323" s="190" t="str">
        <f>IFERROR(__xludf.DUMMYFUNCTION("""COMPUTED_VALUE"""),"The Elder Scrolls Online")</f>
        <v>The Elder Scrolls Online</v>
      </c>
      <c r="B323" s="195" t="str">
        <f>IFERROR(__xludf.DUMMYFUNCTION("""COMPUTED_VALUE"""),"Xbox")</f>
        <v>Xbox</v>
      </c>
      <c r="C323" s="196"/>
      <c r="D323" s="196" t="str">
        <f>IFERROR(__xludf.DUMMYFUNCTION("""COMPUTED_VALUE"""),"Active")</f>
        <v>Active</v>
      </c>
      <c r="E323" s="197">
        <f>IFERROR(__xludf.DUMMYFUNCTION("""COMPUTED_VALUE"""),43261.0)</f>
        <v>43261</v>
      </c>
      <c r="F323" s="198"/>
      <c r="G323" s="199">
        <f>IFERROR(__xludf.DUMMYFUNCTION("""COMPUTED_VALUE"""),88.16666666666667)</f>
        <v>88.16666667</v>
      </c>
      <c r="H323" s="197">
        <f>IFERROR(__xludf.DUMMYFUNCTION("""COMPUTED_VALUE"""),41733.0)</f>
        <v>41733</v>
      </c>
      <c r="I323" s="199">
        <f>IFERROR(__xludf.DUMMYFUNCTION("""COMPUTED_VALUE"""),4.183333333333334)</f>
        <v>4.183333333</v>
      </c>
      <c r="J323" s="200">
        <f>IFERROR(__xludf.DUMMYFUNCTION("""COMPUTED_VALUE"""),77.0)</f>
        <v>77</v>
      </c>
      <c r="K323" s="200">
        <f>IFERROR(__xludf.DUMMYFUNCTION("""COMPUTED_VALUE"""),87.0)</f>
        <v>87</v>
      </c>
      <c r="L323" s="201" t="str">
        <f>IFERROR(__xludf.DUMMYFUNCTION("""COMPUTED_VALUE"""),"MMORPG")</f>
        <v>MMORPG</v>
      </c>
      <c r="M323" s="201"/>
    </row>
    <row r="324">
      <c r="A324" s="190" t="str">
        <f>IFERROR(__xludf.DUMMYFUNCTION("""COMPUTED_VALUE"""),"Wasteland 2: Director's Cut")</f>
        <v>Wasteland 2: Director's Cut</v>
      </c>
      <c r="B324" s="195" t="str">
        <f>IFERROR(__xludf.DUMMYFUNCTION("""COMPUTED_VALUE"""),"Xbox / PC")</f>
        <v>Xbox / PC</v>
      </c>
      <c r="C324" s="196" t="str">
        <f>IFERROR(__xludf.DUMMYFUNCTION("""COMPUTED_VALUE"""),"Touch Controls")</f>
        <v>Touch Controls</v>
      </c>
      <c r="D324" s="196" t="str">
        <f>IFERROR(__xludf.DUMMYFUNCTION("""COMPUTED_VALUE"""),"Active")</f>
        <v>Active</v>
      </c>
      <c r="E324" s="197">
        <f>IFERROR(__xludf.DUMMYFUNCTION("""COMPUTED_VALUE"""),43252.0)</f>
        <v>43252</v>
      </c>
      <c r="F324" s="198"/>
      <c r="G324" s="199">
        <f>IFERROR(__xludf.DUMMYFUNCTION("""COMPUTED_VALUE"""),88.46666666666667)</f>
        <v>88.46666667</v>
      </c>
      <c r="H324" s="197">
        <f>IFERROR(__xludf.DUMMYFUNCTION("""COMPUTED_VALUE"""),41900.0)</f>
        <v>41900</v>
      </c>
      <c r="I324" s="199">
        <f>IFERROR(__xludf.DUMMYFUNCTION("""COMPUTED_VALUE"""),3.702777777777778)</f>
        <v>3.702777778</v>
      </c>
      <c r="J324" s="200">
        <f>IFERROR(__xludf.DUMMYFUNCTION("""COMPUTED_VALUE"""),77.0)</f>
        <v>77</v>
      </c>
      <c r="K324" s="200">
        <f>IFERROR(__xludf.DUMMYFUNCTION("""COMPUTED_VALUE"""),39.5)</f>
        <v>39.5</v>
      </c>
      <c r="L324" s="201" t="str">
        <f>IFERROR(__xludf.DUMMYFUNCTION("""COMPUTED_VALUE"""),"RPG")</f>
        <v>RPG</v>
      </c>
      <c r="M324" s="201"/>
    </row>
    <row r="325">
      <c r="A325" s="190" t="str">
        <f>IFERROR(__xludf.DUMMYFUNCTION("""COMPUTED_VALUE"""),"Banjo-Kazooie")</f>
        <v>Banjo-Kazooie</v>
      </c>
      <c r="B325" s="195" t="str">
        <f>IFERROR(__xludf.DUMMYFUNCTION("""COMPUTED_VALUE"""),"Xbox")</f>
        <v>Xbox</v>
      </c>
      <c r="C325" s="196" t="str">
        <f>IFERROR(__xludf.DUMMYFUNCTION("""COMPUTED_VALUE"""),"Touch Controls")</f>
        <v>Touch Controls</v>
      </c>
      <c r="D325" s="196" t="str">
        <f>IFERROR(__xludf.DUMMYFUNCTION("""COMPUTED_VALUE"""),"Active")</f>
        <v>Active</v>
      </c>
      <c r="E325" s="197">
        <f>IFERROR(__xludf.DUMMYFUNCTION("""COMPUTED_VALUE"""),42887.0)</f>
        <v>42887</v>
      </c>
      <c r="F325" s="198"/>
      <c r="G325" s="199">
        <f>IFERROR(__xludf.DUMMYFUNCTION("""COMPUTED_VALUE"""),100.46666666666667)</f>
        <v>100.4666667</v>
      </c>
      <c r="H325" s="197">
        <f>IFERROR(__xludf.DUMMYFUNCTION("""COMPUTED_VALUE"""),35975.0)</f>
        <v>35975</v>
      </c>
      <c r="I325" s="199">
        <f>IFERROR(__xludf.DUMMYFUNCTION("""COMPUTED_VALUE"""),18.92222222222222)</f>
        <v>18.92222222</v>
      </c>
      <c r="J325" s="200">
        <f>IFERROR(__xludf.DUMMYFUNCTION("""COMPUTED_VALUE"""),77.0)</f>
        <v>77</v>
      </c>
      <c r="K325" s="200">
        <f>IFERROR(__xludf.DUMMYFUNCTION("""COMPUTED_VALUE"""),11.0)</f>
        <v>11</v>
      </c>
      <c r="L325" s="201" t="str">
        <f>IFERROR(__xludf.DUMMYFUNCTION("""COMPUTED_VALUE"""),"Adventure")</f>
        <v>Adventure</v>
      </c>
      <c r="M325" s="201"/>
    </row>
    <row r="326">
      <c r="A326" s="190" t="str">
        <f>IFERROR(__xludf.DUMMYFUNCTION("""COMPUTED_VALUE"""),"Crime Scene Cleaner")</f>
        <v>Crime Scene Cleaner</v>
      </c>
      <c r="B326" s="195" t="str">
        <f>IFERROR(__xludf.DUMMYFUNCTION("""COMPUTED_VALUE"""),"Xbox / PC")</f>
        <v>Xbox / PC</v>
      </c>
      <c r="C326" s="196" t="str">
        <f>IFERROR(__xludf.DUMMYFUNCTION("""COMPUTED_VALUE"""),"Yes")</f>
        <v>Yes</v>
      </c>
      <c r="D326" s="196" t="str">
        <f>IFERROR(__xludf.DUMMYFUNCTION("""COMPUTED_VALUE"""),"Active")</f>
        <v>Active</v>
      </c>
      <c r="E326" s="197">
        <f>IFERROR(__xludf.DUMMYFUNCTION("""COMPUTED_VALUE"""),45764.0)</f>
        <v>45764</v>
      </c>
      <c r="F326" s="198"/>
      <c r="G326" s="199">
        <f>IFERROR(__xludf.DUMMYFUNCTION("""COMPUTED_VALUE"""),5.933333333333334)</f>
        <v>5.933333333</v>
      </c>
      <c r="H326" s="197">
        <f>IFERROR(__xludf.DUMMYFUNCTION("""COMPUTED_VALUE"""),45518.0)</f>
        <v>45518</v>
      </c>
      <c r="I326" s="199">
        <f>IFERROR(__xludf.DUMMYFUNCTION("""COMPUTED_VALUE"""),0.675)</f>
        <v>0.675</v>
      </c>
      <c r="J326" s="200">
        <f>IFERROR(__xludf.DUMMYFUNCTION("""COMPUTED_VALUE"""),76.66666666666667)</f>
        <v>76.66666667</v>
      </c>
      <c r="K326" s="200">
        <f>IFERROR(__xludf.DUMMYFUNCTION("""COMPUTED_VALUE"""),13.0)</f>
        <v>13</v>
      </c>
      <c r="L326" s="201" t="str">
        <f>IFERROR(__xludf.DUMMYFUNCTION("""COMPUTED_VALUE"""),"Simulation")</f>
        <v>Simulation</v>
      </c>
      <c r="M326" s="201" t="str">
        <f>IFERROR(__xludf.DUMMYFUNCTION("""COMPUTED_VALUE"""),"Exclusive")</f>
        <v>Exclusive</v>
      </c>
    </row>
    <row r="327">
      <c r="A327" s="190" t="str">
        <f>IFERROR(__xludf.DUMMYFUNCTION("""COMPUTED_VALUE"""),"Assassin's Creed Syndicate")</f>
        <v>Assassin's Creed Syndicate</v>
      </c>
      <c r="B327" s="195" t="str">
        <f>IFERROR(__xludf.DUMMYFUNCTION("""COMPUTED_VALUE"""),"Xbox / PC")</f>
        <v>Xbox / PC</v>
      </c>
      <c r="C327" s="196" t="str">
        <f>IFERROR(__xludf.DUMMYFUNCTION("""COMPUTED_VALUE"""),"Yes")</f>
        <v>Yes</v>
      </c>
      <c r="D327" s="196" t="str">
        <f>IFERROR(__xludf.DUMMYFUNCTION("""COMPUTED_VALUE"""),"Active")</f>
        <v>Active</v>
      </c>
      <c r="E327" s="197">
        <f>IFERROR(__xludf.DUMMYFUNCTION("""COMPUTED_VALUE"""),45931.0)</f>
        <v>45931</v>
      </c>
      <c r="F327" s="198"/>
      <c r="G327" s="199">
        <f>IFERROR(__xludf.DUMMYFUNCTION("""COMPUTED_VALUE"""),0.4666666666666667)</f>
        <v>0.4666666667</v>
      </c>
      <c r="H327" s="197">
        <f>IFERROR(__xludf.DUMMYFUNCTION("""COMPUTED_VALUE"""),42300.0)</f>
        <v>42300</v>
      </c>
      <c r="I327" s="199">
        <f>IFERROR(__xludf.DUMMYFUNCTION("""COMPUTED_VALUE"""),9.938888888888888)</f>
        <v>9.938888889</v>
      </c>
      <c r="J327" s="200">
        <f>IFERROR(__xludf.DUMMYFUNCTION("""COMPUTED_VALUE"""),76.0)</f>
        <v>76</v>
      </c>
      <c r="K327" s="200">
        <f>IFERROR(__xludf.DUMMYFUNCTION("""COMPUTED_VALUE"""),19.0)</f>
        <v>19</v>
      </c>
      <c r="L327" s="201" t="str">
        <f>IFERROR(__xludf.DUMMYFUNCTION("""COMPUTED_VALUE"""),"Action-Adventure")</f>
        <v>Action-Adventure</v>
      </c>
      <c r="M327" s="201"/>
    </row>
    <row r="328">
      <c r="A328" s="190" t="str">
        <f>IFERROR(__xludf.DUMMYFUNCTION("""COMPUTED_VALUE"""),"Far Cry Primal")</f>
        <v>Far Cry Primal</v>
      </c>
      <c r="B328" s="195" t="str">
        <f>IFERROR(__xludf.DUMMYFUNCTION("""COMPUTED_VALUE"""),"Xbox / PC")</f>
        <v>Xbox / PC</v>
      </c>
      <c r="C328" s="196" t="str">
        <f>IFERROR(__xludf.DUMMYFUNCTION("""COMPUTED_VALUE"""),"Yes")</f>
        <v>Yes</v>
      </c>
      <c r="D328" s="196" t="str">
        <f>IFERROR(__xludf.DUMMYFUNCTION("""COMPUTED_VALUE"""),"Active")</f>
        <v>Active</v>
      </c>
      <c r="E328" s="197">
        <f>IFERROR(__xludf.DUMMYFUNCTION("""COMPUTED_VALUE"""),45931.0)</f>
        <v>45931</v>
      </c>
      <c r="F328" s="198"/>
      <c r="G328" s="199">
        <f>IFERROR(__xludf.DUMMYFUNCTION("""COMPUTED_VALUE"""),0.4666666666666667)</f>
        <v>0.4666666667</v>
      </c>
      <c r="H328" s="197">
        <f>IFERROR(__xludf.DUMMYFUNCTION("""COMPUTED_VALUE"""),42423.0)</f>
        <v>42423</v>
      </c>
      <c r="I328" s="199">
        <f>IFERROR(__xludf.DUMMYFUNCTION("""COMPUTED_VALUE"""),9.605555555555556)</f>
        <v>9.605555556</v>
      </c>
      <c r="J328" s="200">
        <f>IFERROR(__xludf.DUMMYFUNCTION("""COMPUTED_VALUE"""),76.0)</f>
        <v>76</v>
      </c>
      <c r="K328" s="200">
        <f>IFERROR(__xludf.DUMMYFUNCTION("""COMPUTED_VALUE"""),15.0)</f>
        <v>15</v>
      </c>
      <c r="L328" s="201" t="str">
        <f>IFERROR(__xludf.DUMMYFUNCTION("""COMPUTED_VALUE"""),"Action-Adventure")</f>
        <v>Action-Adventure</v>
      </c>
      <c r="M328" s="201"/>
    </row>
    <row r="329">
      <c r="A329" s="190" t="str">
        <f>IFERROR(__xludf.DUMMYFUNCTION("""COMPUTED_VALUE"""),"Assassin's Creed Mirage")</f>
        <v>Assassin's Creed Mirage</v>
      </c>
      <c r="B329" s="195" t="str">
        <f>IFERROR(__xludf.DUMMYFUNCTION("""COMPUTED_VALUE"""),"Xbox / PC")</f>
        <v>Xbox / PC</v>
      </c>
      <c r="C329" s="196" t="str">
        <f>IFERROR(__xludf.DUMMYFUNCTION("""COMPUTED_VALUE"""),"Yes")</f>
        <v>Yes</v>
      </c>
      <c r="D329" s="196" t="str">
        <f>IFERROR(__xludf.DUMMYFUNCTION("""COMPUTED_VALUE"""),"Active")</f>
        <v>Active</v>
      </c>
      <c r="E329" s="197">
        <f>IFERROR(__xludf.DUMMYFUNCTION("""COMPUTED_VALUE"""),45876.0)</f>
        <v>45876</v>
      </c>
      <c r="F329" s="198"/>
      <c r="G329" s="199">
        <f>IFERROR(__xludf.DUMMYFUNCTION("""COMPUTED_VALUE"""),2.2666666666666666)</f>
        <v>2.266666667</v>
      </c>
      <c r="H329" s="197">
        <f>IFERROR(__xludf.DUMMYFUNCTION("""COMPUTED_VALUE"""),45204.0)</f>
        <v>45204</v>
      </c>
      <c r="I329" s="199">
        <f>IFERROR(__xludf.DUMMYFUNCTION("""COMPUTED_VALUE"""),1.8388888888888888)</f>
        <v>1.838888889</v>
      </c>
      <c r="J329" s="200">
        <f>IFERROR(__xludf.DUMMYFUNCTION("""COMPUTED_VALUE"""),76.0)</f>
        <v>76</v>
      </c>
      <c r="K329" s="200">
        <f>IFERROR(__xludf.DUMMYFUNCTION("""COMPUTED_VALUE"""),16.0)</f>
        <v>16</v>
      </c>
      <c r="L329" s="201" t="str">
        <f>IFERROR(__xludf.DUMMYFUNCTION("""COMPUTED_VALUE"""),"RPG")</f>
        <v>RPG</v>
      </c>
      <c r="M329" s="201"/>
    </row>
    <row r="330">
      <c r="A330" s="190" t="str">
        <f>IFERROR(__xludf.DUMMYFUNCTION("""COMPUTED_VALUE"""),"EA Sports FC 25")</f>
        <v>EA Sports FC 25</v>
      </c>
      <c r="B330" s="195" t="str">
        <f>IFERROR(__xludf.DUMMYFUNCTION("""COMPUTED_VALUE"""),"Xbox / PC")</f>
        <v>Xbox / PC</v>
      </c>
      <c r="C330" s="196" t="str">
        <f>IFERROR(__xludf.DUMMYFUNCTION("""COMPUTED_VALUE"""),"Yes")</f>
        <v>Yes</v>
      </c>
      <c r="D330" s="196" t="str">
        <f>IFERROR(__xludf.DUMMYFUNCTION("""COMPUTED_VALUE"""),"Active")</f>
        <v>Active</v>
      </c>
      <c r="E330" s="197">
        <f>IFERROR(__xludf.DUMMYFUNCTION("""COMPUTED_VALUE"""),45820.0)</f>
        <v>45820</v>
      </c>
      <c r="F330" s="198"/>
      <c r="G330" s="199">
        <f>IFERROR(__xludf.DUMMYFUNCTION("""COMPUTED_VALUE"""),4.1)</f>
        <v>4.1</v>
      </c>
      <c r="H330" s="197">
        <f>IFERROR(__xludf.DUMMYFUNCTION("""COMPUTED_VALUE"""),45562.0)</f>
        <v>45562</v>
      </c>
      <c r="I330" s="199">
        <f>IFERROR(__xludf.DUMMYFUNCTION("""COMPUTED_VALUE"""),0.7083333333333334)</f>
        <v>0.7083333333</v>
      </c>
      <c r="J330" s="200">
        <f>IFERROR(__xludf.DUMMYFUNCTION("""COMPUTED_VALUE"""),76.0)</f>
        <v>76</v>
      </c>
      <c r="K330" s="200">
        <f>IFERROR(__xludf.DUMMYFUNCTION("""COMPUTED_VALUE"""),35.0)</f>
        <v>35</v>
      </c>
      <c r="L330" s="201" t="str">
        <f>IFERROR(__xludf.DUMMYFUNCTION("""COMPUTED_VALUE"""),"Sports")</f>
        <v>Sports</v>
      </c>
      <c r="M330" s="201"/>
    </row>
    <row r="331">
      <c r="A331" s="190" t="str">
        <f>IFERROR(__xludf.DUMMYFUNCTION("""COMPUTED_VALUE"""),"Warhammer 40,000: Space Marine - Master Crafted Edition")</f>
        <v>Warhammer 40,000: Space Marine - Master Crafted Edition</v>
      </c>
      <c r="B331" s="195" t="str">
        <f>IFERROR(__xludf.DUMMYFUNCTION("""COMPUTED_VALUE"""),"Xbox / PC")</f>
        <v>Xbox / PC</v>
      </c>
      <c r="C331" s="196" t="str">
        <f>IFERROR(__xludf.DUMMYFUNCTION("""COMPUTED_VALUE"""),"Yes")</f>
        <v>Yes</v>
      </c>
      <c r="D331" s="196" t="str">
        <f>IFERROR(__xludf.DUMMYFUNCTION("""COMPUTED_VALUE"""),"Active")</f>
        <v>Active</v>
      </c>
      <c r="E331" s="197">
        <f>IFERROR(__xludf.DUMMYFUNCTION("""COMPUTED_VALUE"""),45818.0)</f>
        <v>45818</v>
      </c>
      <c r="F331" s="198"/>
      <c r="G331" s="199">
        <f>IFERROR(__xludf.DUMMYFUNCTION("""COMPUTED_VALUE"""),4.166666666666666)</f>
        <v>4.166666667</v>
      </c>
      <c r="H331" s="197">
        <f>IFERROR(__xludf.DUMMYFUNCTION("""COMPUTED_VALUE"""),40792.0)</f>
        <v>40792</v>
      </c>
      <c r="I331" s="199">
        <f>IFERROR(__xludf.DUMMYFUNCTION("""COMPUTED_VALUE"""),13.761111111111111)</f>
        <v>13.76111111</v>
      </c>
      <c r="J331" s="200">
        <f>IFERROR(__xludf.DUMMYFUNCTION("""COMPUTED_VALUE"""),76.0)</f>
        <v>76</v>
      </c>
      <c r="K331" s="200">
        <f>IFERROR(__xludf.DUMMYFUNCTION("""COMPUTED_VALUE"""),8.0)</f>
        <v>8</v>
      </c>
      <c r="L331" s="201" t="str">
        <f>IFERROR(__xludf.DUMMYFUNCTION("""COMPUTED_VALUE"""),"Shooter")</f>
        <v>Shooter</v>
      </c>
      <c r="M331" s="201" t="str">
        <f>IFERROR(__xludf.DUMMYFUNCTION("""COMPUTED_VALUE"""),"Exclusive")</f>
        <v>Exclusive</v>
      </c>
    </row>
    <row r="332">
      <c r="A332" s="190" t="str">
        <f>IFERROR(__xludf.DUMMYFUNCTION("""COMPUTED_VALUE"""),"Tales of Kenzera: ZAU")</f>
        <v>Tales of Kenzera: ZAU</v>
      </c>
      <c r="B332" s="195" t="str">
        <f>IFERROR(__xludf.DUMMYFUNCTION("""COMPUTED_VALUE"""),"Xbox / PC")</f>
        <v>Xbox / PC</v>
      </c>
      <c r="C332" s="196" t="str">
        <f>IFERROR(__xludf.DUMMYFUNCTION("""COMPUTED_VALUE"""),"Yes")</f>
        <v>Yes</v>
      </c>
      <c r="D332" s="196" t="str">
        <f>IFERROR(__xludf.DUMMYFUNCTION("""COMPUTED_VALUE"""),"Active")</f>
        <v>Active</v>
      </c>
      <c r="E332" s="197">
        <f>IFERROR(__xludf.DUMMYFUNCTION("""COMPUTED_VALUE"""),45799.0)</f>
        <v>45799</v>
      </c>
      <c r="F332" s="198"/>
      <c r="G332" s="199">
        <f>IFERROR(__xludf.DUMMYFUNCTION("""COMPUTED_VALUE"""),4.766666666666667)</f>
        <v>4.766666667</v>
      </c>
      <c r="H332" s="197">
        <f>IFERROR(__xludf.DUMMYFUNCTION("""COMPUTED_VALUE"""),45405.0)</f>
        <v>45405</v>
      </c>
      <c r="I332" s="199">
        <f>IFERROR(__xludf.DUMMYFUNCTION("""COMPUTED_VALUE"""),1.0805555555555555)</f>
        <v>1.080555556</v>
      </c>
      <c r="J332" s="200">
        <f>IFERROR(__xludf.DUMMYFUNCTION("""COMPUTED_VALUE"""),76.0)</f>
        <v>76</v>
      </c>
      <c r="K332" s="200">
        <f>IFERROR(__xludf.DUMMYFUNCTION("""COMPUTED_VALUE"""),8.0)</f>
        <v>8</v>
      </c>
      <c r="L332" s="201" t="str">
        <f>IFERROR(__xludf.DUMMYFUNCTION("""COMPUTED_VALUE"""),"Metroidvania ")</f>
        <v>Metroidvania </v>
      </c>
      <c r="M332" s="201" t="str">
        <f>IFERROR(__xludf.DUMMYFUNCTION("""COMPUTED_VALUE"""),"Exclusive")</f>
        <v>Exclusive</v>
      </c>
    </row>
    <row r="333">
      <c r="A333" s="190" t="str">
        <f>IFERROR(__xludf.DUMMYFUNCTION("""COMPUTED_VALUE"""),"Commandos: Origins")</f>
        <v>Commandos: Origins</v>
      </c>
      <c r="B333" s="195" t="str">
        <f>IFERROR(__xludf.DUMMYFUNCTION("""COMPUTED_VALUE"""),"Xbox / PC")</f>
        <v>Xbox / PC</v>
      </c>
      <c r="C333" s="196" t="str">
        <f>IFERROR(__xludf.DUMMYFUNCTION("""COMPUTED_VALUE"""),"Yes")</f>
        <v>Yes</v>
      </c>
      <c r="D333" s="196" t="str">
        <f>IFERROR(__xludf.DUMMYFUNCTION("""COMPUTED_VALUE"""),"Active")</f>
        <v>Active</v>
      </c>
      <c r="E333" s="197">
        <f>IFERROR(__xludf.DUMMYFUNCTION("""COMPUTED_VALUE"""),45756.0)</f>
        <v>45756</v>
      </c>
      <c r="F333" s="198"/>
      <c r="G333" s="199">
        <f>IFERROR(__xludf.DUMMYFUNCTION("""COMPUTED_VALUE"""),6.200000000000001)</f>
        <v>6.2</v>
      </c>
      <c r="H333" s="197">
        <f>IFERROR(__xludf.DUMMYFUNCTION("""COMPUTED_VALUE"""),45756.0)</f>
        <v>45756</v>
      </c>
      <c r="I333" s="199">
        <f>IFERROR(__xludf.DUMMYFUNCTION("""COMPUTED_VALUE"""),0.0)</f>
        <v>0</v>
      </c>
      <c r="J333" s="200">
        <f>IFERROR(__xludf.DUMMYFUNCTION("""COMPUTED_VALUE"""),76.0)</f>
        <v>76</v>
      </c>
      <c r="K333" s="200">
        <f>IFERROR(__xludf.DUMMYFUNCTION("""COMPUTED_VALUE"""),31.0)</f>
        <v>31</v>
      </c>
      <c r="L333" s="201" t="str">
        <f>IFERROR(__xludf.DUMMYFUNCTION("""COMPUTED_VALUE"""),"Strategy")</f>
        <v>Strategy</v>
      </c>
      <c r="M333" s="201" t="str">
        <f>IFERROR(__xludf.DUMMYFUNCTION("""COMPUTED_VALUE"""),"Exclusive")</f>
        <v>Exclusive</v>
      </c>
    </row>
    <row r="334">
      <c r="A334" s="190" t="str">
        <f>IFERROR(__xludf.DUMMYFUNCTION("""COMPUTED_VALUE"""),"Watch Dogs: Legion")</f>
        <v>Watch Dogs: Legion</v>
      </c>
      <c r="B334" s="195" t="str">
        <f>IFERROR(__xludf.DUMMYFUNCTION("""COMPUTED_VALUE"""),"Xbox / PC")</f>
        <v>Xbox / PC</v>
      </c>
      <c r="C334" s="196" t="str">
        <f>IFERROR(__xludf.DUMMYFUNCTION("""COMPUTED_VALUE"""),"Yes")</f>
        <v>Yes</v>
      </c>
      <c r="D334" s="196" t="str">
        <f>IFERROR(__xludf.DUMMYFUNCTION("""COMPUTED_VALUE"""),"Active")</f>
        <v>Active</v>
      </c>
      <c r="E334" s="197">
        <f>IFERROR(__xludf.DUMMYFUNCTION("""COMPUTED_VALUE"""),45713.0)</f>
        <v>45713</v>
      </c>
      <c r="F334" s="198"/>
      <c r="G334" s="199">
        <f>IFERROR(__xludf.DUMMYFUNCTION("""COMPUTED_VALUE"""),7.666666666666666)</f>
        <v>7.666666667</v>
      </c>
      <c r="H334" s="197">
        <f>IFERROR(__xludf.DUMMYFUNCTION("""COMPUTED_VALUE"""),44133.0)</f>
        <v>44133</v>
      </c>
      <c r="I334" s="199">
        <f>IFERROR(__xludf.DUMMYFUNCTION("""COMPUTED_VALUE"""),4.322222222222222)</f>
        <v>4.322222222</v>
      </c>
      <c r="J334" s="200">
        <f>IFERROR(__xludf.DUMMYFUNCTION("""COMPUTED_VALUE"""),76.0)</f>
        <v>76</v>
      </c>
      <c r="K334" s="200">
        <f>IFERROR(__xludf.DUMMYFUNCTION("""COMPUTED_VALUE"""),18.0)</f>
        <v>18</v>
      </c>
      <c r="L334" s="201" t="str">
        <f>IFERROR(__xludf.DUMMYFUNCTION("""COMPUTED_VALUE"""),"Action-Adventure")</f>
        <v>Action-Adventure</v>
      </c>
      <c r="M334" s="201"/>
    </row>
    <row r="335">
      <c r="A335" s="190" t="str">
        <f>IFERROR(__xludf.DUMMYFUNCTION("""COMPUTED_VALUE"""),"Carrion")</f>
        <v>Carrion</v>
      </c>
      <c r="B335" s="195" t="str">
        <f>IFERROR(__xludf.DUMMYFUNCTION("""COMPUTED_VALUE"""),"Xbox / PC")</f>
        <v>Xbox / PC</v>
      </c>
      <c r="C335" s="196" t="str">
        <f>IFERROR(__xludf.DUMMYFUNCTION("""COMPUTED_VALUE"""),"Yes")</f>
        <v>Yes</v>
      </c>
      <c r="D335" s="196" t="str">
        <f>IFERROR(__xludf.DUMMYFUNCTION("""COMPUTED_VALUE"""),"Active")</f>
        <v>Active</v>
      </c>
      <c r="E335" s="197">
        <f>IFERROR(__xludf.DUMMYFUNCTION("""COMPUTED_VALUE"""),45659.0)</f>
        <v>45659</v>
      </c>
      <c r="F335" s="198"/>
      <c r="G335" s="199">
        <f>IFERROR(__xludf.DUMMYFUNCTION("""COMPUTED_VALUE"""),9.433333333333334)</f>
        <v>9.433333333</v>
      </c>
      <c r="H335" s="197">
        <f>IFERROR(__xludf.DUMMYFUNCTION("""COMPUTED_VALUE"""),44035.0)</f>
        <v>44035</v>
      </c>
      <c r="I335" s="199">
        <f>IFERROR(__xludf.DUMMYFUNCTION("""COMPUTED_VALUE"""),4.441666666666666)</f>
        <v>4.441666667</v>
      </c>
      <c r="J335" s="200">
        <f>IFERROR(__xludf.DUMMYFUNCTION("""COMPUTED_VALUE"""),76.0)</f>
        <v>76</v>
      </c>
      <c r="K335" s="200">
        <f>IFERROR(__xludf.DUMMYFUNCTION("""COMPUTED_VALUE"""),4.0)</f>
        <v>4</v>
      </c>
      <c r="L335" s="201" t="str">
        <f>IFERROR(__xludf.DUMMYFUNCTION("""COMPUTED_VALUE"""),"Action")</f>
        <v>Action</v>
      </c>
      <c r="M335" s="201"/>
    </row>
    <row r="336">
      <c r="A336" s="190" t="str">
        <f>IFERROR(__xludf.DUMMYFUNCTION("""COMPUTED_VALUE"""),"For The King II")</f>
        <v>For The King II</v>
      </c>
      <c r="B336" s="195" t="str">
        <f>IFERROR(__xludf.DUMMYFUNCTION("""COMPUTED_VALUE"""),"Xbox / PC")</f>
        <v>Xbox / PC</v>
      </c>
      <c r="C336" s="196" t="str">
        <f>IFERROR(__xludf.DUMMYFUNCTION("""COMPUTED_VALUE"""),"Yes")</f>
        <v>Yes</v>
      </c>
      <c r="D336" s="196" t="str">
        <f>IFERROR(__xludf.DUMMYFUNCTION("""COMPUTED_VALUE"""),"Active")</f>
        <v>Active</v>
      </c>
      <c r="E336" s="197">
        <f>IFERROR(__xludf.DUMMYFUNCTION("""COMPUTED_VALUE"""),45638.0)</f>
        <v>45638</v>
      </c>
      <c r="F336" s="198"/>
      <c r="G336" s="199">
        <f>IFERROR(__xludf.DUMMYFUNCTION("""COMPUTED_VALUE"""),10.1)</f>
        <v>10.1</v>
      </c>
      <c r="H336" s="197">
        <f>IFERROR(__xludf.DUMMYFUNCTION("""COMPUTED_VALUE"""),45232.0)</f>
        <v>45232</v>
      </c>
      <c r="I336" s="199">
        <f>IFERROR(__xludf.DUMMYFUNCTION("""COMPUTED_VALUE"""),1.1111111111111112)</f>
        <v>1.111111111</v>
      </c>
      <c r="J336" s="200">
        <f>IFERROR(__xludf.DUMMYFUNCTION("""COMPUTED_VALUE"""),76.0)</f>
        <v>76</v>
      </c>
      <c r="K336" s="200">
        <f>IFERROR(__xludf.DUMMYFUNCTION("""COMPUTED_VALUE"""),15.0)</f>
        <v>15</v>
      </c>
      <c r="L336" s="201" t="str">
        <f>IFERROR(__xludf.DUMMYFUNCTION("""COMPUTED_VALUE"""),"Roguelike")</f>
        <v>Roguelike</v>
      </c>
      <c r="M336" s="201"/>
    </row>
    <row r="337">
      <c r="A337" s="190" t="str">
        <f>IFERROR(__xludf.DUMMYFUNCTION("""COMPUTED_VALUE"""),"Trials of Mana (2020)")</f>
        <v>Trials of Mana (2020)</v>
      </c>
      <c r="B337" s="195" t="str">
        <f>IFERROR(__xludf.DUMMYFUNCTION("""COMPUTED_VALUE"""),"Xbox / PC")</f>
        <v>Xbox / PC</v>
      </c>
      <c r="C337" s="196" t="str">
        <f>IFERROR(__xludf.DUMMYFUNCTION("""COMPUTED_VALUE"""),"Yes")</f>
        <v>Yes</v>
      </c>
      <c r="D337" s="196" t="str">
        <f>IFERROR(__xludf.DUMMYFUNCTION("""COMPUTED_VALUE"""),"Active")</f>
        <v>Active</v>
      </c>
      <c r="E337" s="197">
        <f>IFERROR(__xludf.DUMMYFUNCTION("""COMPUTED_VALUE"""),45561.0)</f>
        <v>45561</v>
      </c>
      <c r="F337" s="198"/>
      <c r="G337" s="199">
        <f>IFERROR(__xludf.DUMMYFUNCTION("""COMPUTED_VALUE"""),12.633333333333333)</f>
        <v>12.63333333</v>
      </c>
      <c r="H337" s="197">
        <f>IFERROR(__xludf.DUMMYFUNCTION("""COMPUTED_VALUE"""),43945.0)</f>
        <v>43945</v>
      </c>
      <c r="I337" s="199">
        <f>IFERROR(__xludf.DUMMYFUNCTION("""COMPUTED_VALUE"""),4.4222222222222225)</f>
        <v>4.422222222</v>
      </c>
      <c r="J337" s="200">
        <f>IFERROR(__xludf.DUMMYFUNCTION("""COMPUTED_VALUE"""),76.0)</f>
        <v>76</v>
      </c>
      <c r="K337" s="200">
        <f>IFERROR(__xludf.DUMMYFUNCTION("""COMPUTED_VALUE"""),21.0)</f>
        <v>21</v>
      </c>
      <c r="L337" s="201" t="str">
        <f>IFERROR(__xludf.DUMMYFUNCTION("""COMPUTED_VALUE"""),"RPG")</f>
        <v>RPG</v>
      </c>
      <c r="M337" s="201"/>
    </row>
    <row r="338">
      <c r="A338" s="190" t="str">
        <f>IFERROR(__xludf.DUMMYFUNCTION("""COMPUTED_VALUE"""),"EA Sports PGA Tour")</f>
        <v>EA Sports PGA Tour</v>
      </c>
      <c r="B338" s="195" t="str">
        <f>IFERROR(__xludf.DUMMYFUNCTION("""COMPUTED_VALUE"""),"Xbox / PC")</f>
        <v>Xbox / PC</v>
      </c>
      <c r="C338" s="196" t="str">
        <f>IFERROR(__xludf.DUMMYFUNCTION("""COMPUTED_VALUE"""),"Yes")</f>
        <v>Yes</v>
      </c>
      <c r="D338" s="196" t="str">
        <f>IFERROR(__xludf.DUMMYFUNCTION("""COMPUTED_VALUE"""),"Active")</f>
        <v>Active</v>
      </c>
      <c r="E338" s="197">
        <f>IFERROR(__xludf.DUMMYFUNCTION("""COMPUTED_VALUE"""),45386.0)</f>
        <v>45386</v>
      </c>
      <c r="F338" s="198"/>
      <c r="G338" s="199">
        <f>IFERROR(__xludf.DUMMYFUNCTION("""COMPUTED_VALUE"""),18.366666666666667)</f>
        <v>18.36666667</v>
      </c>
      <c r="H338" s="197">
        <f>IFERROR(__xludf.DUMMYFUNCTION("""COMPUTED_VALUE"""),45020.0)</f>
        <v>45020</v>
      </c>
      <c r="I338" s="199">
        <f>IFERROR(__xludf.DUMMYFUNCTION("""COMPUTED_VALUE"""),1.0)</f>
        <v>1</v>
      </c>
      <c r="J338" s="200">
        <f>IFERROR(__xludf.DUMMYFUNCTION("""COMPUTED_VALUE"""),76.0)</f>
        <v>76</v>
      </c>
      <c r="K338" s="200"/>
      <c r="L338" s="201" t="str">
        <f>IFERROR(__xludf.DUMMYFUNCTION("""COMPUTED_VALUE"""),"Sports")</f>
        <v>Sports</v>
      </c>
      <c r="M338" s="201" t="str">
        <f>IFERROR(__xludf.DUMMYFUNCTION("""COMPUTED_VALUE"""),"Exclusive")</f>
        <v>Exclusive</v>
      </c>
    </row>
    <row r="339">
      <c r="A339" s="190" t="str">
        <f>IFERROR(__xludf.DUMMYFUNCTION("""COMPUTED_VALUE"""),"Brotato")</f>
        <v>Brotato</v>
      </c>
      <c r="B339" s="195" t="str">
        <f>IFERROR(__xludf.DUMMYFUNCTION("""COMPUTED_VALUE"""),"Xbox / PC")</f>
        <v>Xbox / PC</v>
      </c>
      <c r="C339" s="196" t="str">
        <f>IFERROR(__xludf.DUMMYFUNCTION("""COMPUTED_VALUE"""),"Yes")</f>
        <v>Yes</v>
      </c>
      <c r="D339" s="196" t="str">
        <f>IFERROR(__xludf.DUMMYFUNCTION("""COMPUTED_VALUE"""),"Active")</f>
        <v>Active</v>
      </c>
      <c r="E339" s="197">
        <f>IFERROR(__xludf.DUMMYFUNCTION("""COMPUTED_VALUE"""),45321.0)</f>
        <v>45321</v>
      </c>
      <c r="F339" s="198"/>
      <c r="G339" s="199">
        <f>IFERROR(__xludf.DUMMYFUNCTION("""COMPUTED_VALUE"""),20.5)</f>
        <v>20.5</v>
      </c>
      <c r="H339" s="197">
        <f>IFERROR(__xludf.DUMMYFUNCTION("""COMPUTED_VALUE"""),44619.0)</f>
        <v>44619</v>
      </c>
      <c r="I339" s="199">
        <f>IFERROR(__xludf.DUMMYFUNCTION("""COMPUTED_VALUE"""),1.925)</f>
        <v>1.925</v>
      </c>
      <c r="J339" s="200">
        <f>IFERROR(__xludf.DUMMYFUNCTION("""COMPUTED_VALUE"""),76.0)</f>
        <v>76</v>
      </c>
      <c r="K339" s="200">
        <f>IFERROR(__xludf.DUMMYFUNCTION("""COMPUTED_VALUE"""),5.0)</f>
        <v>5</v>
      </c>
      <c r="L339" s="201" t="str">
        <f>IFERROR(__xludf.DUMMYFUNCTION("""COMPUTED_VALUE"""),"Action")</f>
        <v>Action</v>
      </c>
      <c r="M339" s="201"/>
    </row>
    <row r="340">
      <c r="A340" s="190" t="str">
        <f>IFERROR(__xludf.DUMMYFUNCTION("""COMPUTED_VALUE"""),"Spirittea")</f>
        <v>Spirittea</v>
      </c>
      <c r="B340" s="195" t="str">
        <f>IFERROR(__xludf.DUMMYFUNCTION("""COMPUTED_VALUE"""),"Xbox / PC")</f>
        <v>Xbox / PC</v>
      </c>
      <c r="C340" s="196" t="str">
        <f>IFERROR(__xludf.DUMMYFUNCTION("""COMPUTED_VALUE"""),"Yes")</f>
        <v>Yes</v>
      </c>
      <c r="D340" s="196" t="str">
        <f>IFERROR(__xludf.DUMMYFUNCTION("""COMPUTED_VALUE"""),"Active")</f>
        <v>Active</v>
      </c>
      <c r="E340" s="197">
        <f>IFERROR(__xludf.DUMMYFUNCTION("""COMPUTED_VALUE"""),45243.0)</f>
        <v>45243</v>
      </c>
      <c r="F340" s="198"/>
      <c r="G340" s="199">
        <f>IFERROR(__xludf.DUMMYFUNCTION("""COMPUTED_VALUE"""),23.066666666666666)</f>
        <v>23.06666667</v>
      </c>
      <c r="H340" s="197">
        <f>IFERROR(__xludf.DUMMYFUNCTION("""COMPUTED_VALUE"""),45243.0)</f>
        <v>45243</v>
      </c>
      <c r="I340" s="199">
        <f>IFERROR(__xludf.DUMMYFUNCTION("""COMPUTED_VALUE"""),0.0)</f>
        <v>0</v>
      </c>
      <c r="J340" s="200">
        <f>IFERROR(__xludf.DUMMYFUNCTION("""COMPUTED_VALUE"""),76.0)</f>
        <v>76</v>
      </c>
      <c r="K340" s="200">
        <f>IFERROR(__xludf.DUMMYFUNCTION("""COMPUTED_VALUE"""),33.0)</f>
        <v>33</v>
      </c>
      <c r="L340" s="201" t="str">
        <f>IFERROR(__xludf.DUMMYFUNCTION("""COMPUTED_VALUE"""),"Strategy / Adventure / RPG / Simulation")</f>
        <v>Strategy / Adventure / RPG / Simulation</v>
      </c>
      <c r="M340" s="201"/>
    </row>
    <row r="341">
      <c r="A341" s="190" t="str">
        <f>IFERROR(__xludf.DUMMYFUNCTION("""COMPUTED_VALUE"""),"Ghostwire: Tokyo")</f>
        <v>Ghostwire: Tokyo</v>
      </c>
      <c r="B341" s="195" t="str">
        <f>IFERROR(__xludf.DUMMYFUNCTION("""COMPUTED_VALUE"""),"Xbox / PC")</f>
        <v>Xbox / PC</v>
      </c>
      <c r="C341" s="196" t="str">
        <f>IFERROR(__xludf.DUMMYFUNCTION("""COMPUTED_VALUE"""),"Yes")</f>
        <v>Yes</v>
      </c>
      <c r="D341" s="196" t="str">
        <f>IFERROR(__xludf.DUMMYFUNCTION("""COMPUTED_VALUE"""),"Active")</f>
        <v>Active</v>
      </c>
      <c r="E341" s="197">
        <f>IFERROR(__xludf.DUMMYFUNCTION("""COMPUTED_VALUE"""),45028.0)</f>
        <v>45028</v>
      </c>
      <c r="F341" s="198"/>
      <c r="G341" s="199">
        <f>IFERROR(__xludf.DUMMYFUNCTION("""COMPUTED_VALUE"""),30.1)</f>
        <v>30.1</v>
      </c>
      <c r="H341" s="197">
        <f>IFERROR(__xludf.DUMMYFUNCTION("""COMPUTED_VALUE"""),44645.0)</f>
        <v>44645</v>
      </c>
      <c r="I341" s="199">
        <f>IFERROR(__xludf.DUMMYFUNCTION("""COMPUTED_VALUE"""),1.0472222222222223)</f>
        <v>1.047222222</v>
      </c>
      <c r="J341" s="200">
        <f>IFERROR(__xludf.DUMMYFUNCTION("""COMPUTED_VALUE"""),76.0)</f>
        <v>76</v>
      </c>
      <c r="K341" s="200">
        <f>IFERROR(__xludf.DUMMYFUNCTION("""COMPUTED_VALUE"""),11.0)</f>
        <v>11</v>
      </c>
      <c r="L341" s="201" t="str">
        <f>IFERROR(__xludf.DUMMYFUNCTION("""COMPUTED_VALUE"""),"Action-Adventure")</f>
        <v>Action-Adventure</v>
      </c>
      <c r="M341" s="201" t="str">
        <f>IFERROR(__xludf.DUMMYFUNCTION("""COMPUTED_VALUE"""),"Exclusive")</f>
        <v>Exclusive</v>
      </c>
    </row>
    <row r="342">
      <c r="A342" s="190" t="str">
        <f>IFERROR(__xludf.DUMMYFUNCTION("""COMPUTED_VALUE"""),"Tom Clancy's Ghost Recon: Wildlands")</f>
        <v>Tom Clancy's Ghost Recon: Wildlands</v>
      </c>
      <c r="B342" s="195" t="str">
        <f>IFERROR(__xludf.DUMMYFUNCTION("""COMPUTED_VALUE"""),"Xbox / PC")</f>
        <v>Xbox / PC</v>
      </c>
      <c r="C342" s="196" t="str">
        <f>IFERROR(__xludf.DUMMYFUNCTION("""COMPUTED_VALUE"""),"Yes")</f>
        <v>Yes</v>
      </c>
      <c r="D342" s="196" t="str">
        <f>IFERROR(__xludf.DUMMYFUNCTION("""COMPUTED_VALUE"""),"Active")</f>
        <v>Active</v>
      </c>
      <c r="E342" s="197">
        <f>IFERROR(__xludf.DUMMYFUNCTION("""COMPUTED_VALUE"""),44774.0)</f>
        <v>44774</v>
      </c>
      <c r="F342" s="198"/>
      <c r="G342" s="199">
        <f>IFERROR(__xludf.DUMMYFUNCTION("""COMPUTED_VALUE"""),38.46666666666667)</f>
        <v>38.46666667</v>
      </c>
      <c r="H342" s="197">
        <f>IFERROR(__xludf.DUMMYFUNCTION("""COMPUTED_VALUE"""),42801.0)</f>
        <v>42801</v>
      </c>
      <c r="I342" s="199">
        <f>IFERROR(__xludf.DUMMYFUNCTION("""COMPUTED_VALUE"""),5.4)</f>
        <v>5.4</v>
      </c>
      <c r="J342" s="200">
        <f>IFERROR(__xludf.DUMMYFUNCTION("""COMPUTED_VALUE"""),76.0)</f>
        <v>76</v>
      </c>
      <c r="K342" s="200">
        <f>IFERROR(__xludf.DUMMYFUNCTION("""COMPUTED_VALUE"""),26.5)</f>
        <v>26.5</v>
      </c>
      <c r="L342" s="201" t="str">
        <f>IFERROR(__xludf.DUMMYFUNCTION("""COMPUTED_VALUE"""),"Shooter")</f>
        <v>Shooter</v>
      </c>
      <c r="M342" s="201"/>
    </row>
    <row r="343">
      <c r="A343" s="190" t="str">
        <f>IFERROR(__xludf.DUMMYFUNCTION("""COMPUTED_VALUE"""),"PowerWash Simulator")</f>
        <v>PowerWash Simulator</v>
      </c>
      <c r="B343" s="195" t="str">
        <f>IFERROR(__xludf.DUMMYFUNCTION("""COMPUTED_VALUE"""),"Xbox / PC")</f>
        <v>Xbox / PC</v>
      </c>
      <c r="C343" s="196" t="str">
        <f>IFERROR(__xludf.DUMMYFUNCTION("""COMPUTED_VALUE"""),"Yes")</f>
        <v>Yes</v>
      </c>
      <c r="D343" s="196" t="str">
        <f>IFERROR(__xludf.DUMMYFUNCTION("""COMPUTED_VALUE"""),"Active")</f>
        <v>Active</v>
      </c>
      <c r="E343" s="197">
        <f>IFERROR(__xludf.DUMMYFUNCTION("""COMPUTED_VALUE"""),44756.0)</f>
        <v>44756</v>
      </c>
      <c r="F343" s="198"/>
      <c r="G343" s="199">
        <f>IFERROR(__xludf.DUMMYFUNCTION("""COMPUTED_VALUE"""),39.03333333333333)</f>
        <v>39.03333333</v>
      </c>
      <c r="H343" s="197">
        <f>IFERROR(__xludf.DUMMYFUNCTION("""COMPUTED_VALUE"""),44335.0)</f>
        <v>44335</v>
      </c>
      <c r="I343" s="199">
        <f>IFERROR(__xludf.DUMMYFUNCTION("""COMPUTED_VALUE"""),1.1527777777777777)</f>
        <v>1.152777778</v>
      </c>
      <c r="J343" s="200">
        <f>IFERROR(__xludf.DUMMYFUNCTION("""COMPUTED_VALUE"""),76.0)</f>
        <v>76</v>
      </c>
      <c r="K343" s="200">
        <f>IFERROR(__xludf.DUMMYFUNCTION("""COMPUTED_VALUE"""),21.5)</f>
        <v>21.5</v>
      </c>
      <c r="L343" s="201" t="str">
        <f>IFERROR(__xludf.DUMMYFUNCTION("""COMPUTED_VALUE"""),"Simulation")</f>
        <v>Simulation</v>
      </c>
      <c r="M343" s="201"/>
    </row>
    <row r="344">
      <c r="A344" s="190" t="str">
        <f>IFERROR(__xludf.DUMMYFUNCTION("""COMPUTED_VALUE"""),"Lost In Random")</f>
        <v>Lost In Random</v>
      </c>
      <c r="B344" s="195" t="str">
        <f>IFERROR(__xludf.DUMMYFUNCTION("""COMPUTED_VALUE"""),"Xbox / PC")</f>
        <v>Xbox / PC</v>
      </c>
      <c r="C344" s="196" t="str">
        <f>IFERROR(__xludf.DUMMYFUNCTION("""COMPUTED_VALUE"""),"Touch Controls")</f>
        <v>Touch Controls</v>
      </c>
      <c r="D344" s="196" t="str">
        <f>IFERROR(__xludf.DUMMYFUNCTION("""COMPUTED_VALUE"""),"Active")</f>
        <v>Active</v>
      </c>
      <c r="E344" s="197">
        <f>IFERROR(__xludf.DUMMYFUNCTION("""COMPUTED_VALUE"""),44663.0)</f>
        <v>44663</v>
      </c>
      <c r="F344" s="198"/>
      <c r="G344" s="199">
        <f>IFERROR(__xludf.DUMMYFUNCTION("""COMPUTED_VALUE"""),42.1)</f>
        <v>42.1</v>
      </c>
      <c r="H344" s="197">
        <f>IFERROR(__xludf.DUMMYFUNCTION("""COMPUTED_VALUE"""),44449.0)</f>
        <v>44449</v>
      </c>
      <c r="I344" s="199">
        <f>IFERROR(__xludf.DUMMYFUNCTION("""COMPUTED_VALUE"""),0.5888888888888889)</f>
        <v>0.5888888889</v>
      </c>
      <c r="J344" s="200">
        <f>IFERROR(__xludf.DUMMYFUNCTION("""COMPUTED_VALUE"""),76.0)</f>
        <v>76</v>
      </c>
      <c r="K344" s="200">
        <f>IFERROR(__xludf.DUMMYFUNCTION("""COMPUTED_VALUE"""),11.5)</f>
        <v>11.5</v>
      </c>
      <c r="L344" s="201" t="str">
        <f>IFERROR(__xludf.DUMMYFUNCTION("""COMPUTED_VALUE"""),"RPG / Card Game / Action-Adventure")</f>
        <v>RPG / Card Game / Action-Adventure</v>
      </c>
      <c r="M344" s="201"/>
    </row>
    <row r="345">
      <c r="A345" s="190" t="str">
        <f>IFERROR(__xludf.DUMMYFUNCTION("""COMPUTED_VALUE"""),"Need for Speed: Hot Pursuit - Remastered")</f>
        <v>Need for Speed: Hot Pursuit - Remastered</v>
      </c>
      <c r="B345" s="195" t="str">
        <f>IFERROR(__xludf.DUMMYFUNCTION("""COMPUTED_VALUE"""),"Xbox / PC")</f>
        <v>Xbox / PC</v>
      </c>
      <c r="C345" s="196" t="str">
        <f>IFERROR(__xludf.DUMMYFUNCTION("""COMPUTED_VALUE"""),"Touch Controls")</f>
        <v>Touch Controls</v>
      </c>
      <c r="D345" s="196" t="str">
        <f>IFERROR(__xludf.DUMMYFUNCTION("""COMPUTED_VALUE"""),"Active")</f>
        <v>Active</v>
      </c>
      <c r="E345" s="197">
        <f>IFERROR(__xludf.DUMMYFUNCTION("""COMPUTED_VALUE"""),44371.0)</f>
        <v>44371</v>
      </c>
      <c r="F345" s="198"/>
      <c r="G345" s="199">
        <f>IFERROR(__xludf.DUMMYFUNCTION("""COMPUTED_VALUE"""),51.7)</f>
        <v>51.7</v>
      </c>
      <c r="H345" s="197">
        <f>IFERROR(__xludf.DUMMYFUNCTION("""COMPUTED_VALUE"""),44141.0)</f>
        <v>44141</v>
      </c>
      <c r="I345" s="199">
        <f>IFERROR(__xludf.DUMMYFUNCTION("""COMPUTED_VALUE"""),0.6333333333333333)</f>
        <v>0.6333333333</v>
      </c>
      <c r="J345" s="200">
        <f>IFERROR(__xludf.DUMMYFUNCTION("""COMPUTED_VALUE"""),76.0)</f>
        <v>76</v>
      </c>
      <c r="K345" s="200">
        <f>IFERROR(__xludf.DUMMYFUNCTION("""COMPUTED_VALUE"""),15.5)</f>
        <v>15.5</v>
      </c>
      <c r="L345" s="201" t="str">
        <f>IFERROR(__xludf.DUMMYFUNCTION("""COMPUTED_VALUE"""),"Driving/Racing")</f>
        <v>Driving/Racing</v>
      </c>
      <c r="M345" s="201"/>
    </row>
    <row r="346">
      <c r="A346" s="190" t="str">
        <f>IFERROR(__xludf.DUMMYFUNCTION("""COMPUTED_VALUE"""),"Dishonored: Definitive Edition")</f>
        <v>Dishonored: Definitive Edition</v>
      </c>
      <c r="B346" s="195" t="str">
        <f>IFERROR(__xludf.DUMMYFUNCTION("""COMPUTED_VALUE"""),"Xbox / PC")</f>
        <v>Xbox / PC</v>
      </c>
      <c r="C346" s="196" t="str">
        <f>IFERROR(__xludf.DUMMYFUNCTION("""COMPUTED_VALUE"""),"Yes")</f>
        <v>Yes</v>
      </c>
      <c r="D346" s="196" t="str">
        <f>IFERROR(__xludf.DUMMYFUNCTION("""COMPUTED_VALUE"""),"Active")</f>
        <v>Active</v>
      </c>
      <c r="E346" s="197">
        <f>IFERROR(__xludf.DUMMYFUNCTION("""COMPUTED_VALUE"""),44267.0)</f>
        <v>44267</v>
      </c>
      <c r="F346" s="198"/>
      <c r="G346" s="199">
        <f>IFERROR(__xludf.DUMMYFUNCTION("""COMPUTED_VALUE"""),55.1)</f>
        <v>55.1</v>
      </c>
      <c r="H346" s="197">
        <f>IFERROR(__xludf.DUMMYFUNCTION("""COMPUTED_VALUE"""),43337.0)</f>
        <v>43337</v>
      </c>
      <c r="I346" s="199">
        <f>IFERROR(__xludf.DUMMYFUNCTION("""COMPUTED_VALUE"""),2.547222222222222)</f>
        <v>2.547222222</v>
      </c>
      <c r="J346" s="200">
        <f>IFERROR(__xludf.DUMMYFUNCTION("""COMPUTED_VALUE"""),76.0)</f>
        <v>76</v>
      </c>
      <c r="K346" s="200">
        <f>IFERROR(__xludf.DUMMYFUNCTION("""COMPUTED_VALUE"""),12.5)</f>
        <v>12.5</v>
      </c>
      <c r="L346" s="201" t="str">
        <f>IFERROR(__xludf.DUMMYFUNCTION("""COMPUTED_VALUE"""),"RPG / First-Person Shooter / Action-Adventure")</f>
        <v>RPG / First-Person Shooter / Action-Adventure</v>
      </c>
      <c r="M346" s="201" t="str">
        <f>IFERROR(__xludf.DUMMYFUNCTION("""COMPUTED_VALUE"""),"FPS Boost")</f>
        <v>FPS Boost</v>
      </c>
    </row>
    <row r="347">
      <c r="A347" s="190" t="str">
        <f>IFERROR(__xludf.DUMMYFUNCTION("""COMPUTED_VALUE"""),"Crysis 3")</f>
        <v>Crysis 3</v>
      </c>
      <c r="B347" s="195" t="str">
        <f>IFERROR(__xludf.DUMMYFUNCTION("""COMPUTED_VALUE"""),"Xbox / PC")</f>
        <v>Xbox / PC</v>
      </c>
      <c r="C347" s="196"/>
      <c r="D347" s="196" t="str">
        <f>IFERROR(__xludf.DUMMYFUNCTION("""COMPUTED_VALUE"""),"Active")</f>
        <v>Active</v>
      </c>
      <c r="E347" s="197">
        <f>IFERROR(__xludf.DUMMYFUNCTION("""COMPUTED_VALUE"""),44145.0)</f>
        <v>44145</v>
      </c>
      <c r="F347" s="198"/>
      <c r="G347" s="199">
        <f>IFERROR(__xludf.DUMMYFUNCTION("""COMPUTED_VALUE"""),59.166666666666664)</f>
        <v>59.16666667</v>
      </c>
      <c r="H347" s="197">
        <f>IFERROR(__xludf.DUMMYFUNCTION("""COMPUTED_VALUE"""),41324.0)</f>
        <v>41324</v>
      </c>
      <c r="I347" s="199">
        <f>IFERROR(__xludf.DUMMYFUNCTION("""COMPUTED_VALUE"""),7.725)</f>
        <v>7.725</v>
      </c>
      <c r="J347" s="200">
        <f>IFERROR(__xludf.DUMMYFUNCTION("""COMPUTED_VALUE"""),76.0)</f>
        <v>76</v>
      </c>
      <c r="K347" s="200">
        <f>IFERROR(__xludf.DUMMYFUNCTION("""COMPUTED_VALUE"""),7.0)</f>
        <v>7</v>
      </c>
      <c r="L347" s="201" t="str">
        <f>IFERROR(__xludf.DUMMYFUNCTION("""COMPUTED_VALUE"""),"First-Person Shooter")</f>
        <v>First-Person Shooter</v>
      </c>
      <c r="M347" s="201"/>
    </row>
    <row r="348">
      <c r="A348" s="190" t="str">
        <f>IFERROR(__xludf.DUMMYFUNCTION("""COMPUTED_VALUE"""),"Mass Effect: Andromeda - Deluxe Edition")</f>
        <v>Mass Effect: Andromeda - Deluxe Edition</v>
      </c>
      <c r="B348" s="195" t="str">
        <f>IFERROR(__xludf.DUMMYFUNCTION("""COMPUTED_VALUE"""),"Xbox / PC")</f>
        <v>Xbox / PC</v>
      </c>
      <c r="C348" s="196" t="str">
        <f>IFERROR(__xludf.DUMMYFUNCTION("""COMPUTED_VALUE"""),"Yes")</f>
        <v>Yes</v>
      </c>
      <c r="D348" s="196" t="str">
        <f>IFERROR(__xludf.DUMMYFUNCTION("""COMPUTED_VALUE"""),"Active")</f>
        <v>Active</v>
      </c>
      <c r="E348" s="197">
        <f>IFERROR(__xludf.DUMMYFUNCTION("""COMPUTED_VALUE"""),44145.0)</f>
        <v>44145</v>
      </c>
      <c r="F348" s="198"/>
      <c r="G348" s="199">
        <f>IFERROR(__xludf.DUMMYFUNCTION("""COMPUTED_VALUE"""),59.166666666666664)</f>
        <v>59.16666667</v>
      </c>
      <c r="H348" s="197">
        <f>IFERROR(__xludf.DUMMYFUNCTION("""COMPUTED_VALUE"""),42815.0)</f>
        <v>42815</v>
      </c>
      <c r="I348" s="199">
        <f>IFERROR(__xludf.DUMMYFUNCTION("""COMPUTED_VALUE"""),3.636111111111111)</f>
        <v>3.636111111</v>
      </c>
      <c r="J348" s="200">
        <f>IFERROR(__xludf.DUMMYFUNCTION("""COMPUTED_VALUE"""),76.0)</f>
        <v>76</v>
      </c>
      <c r="K348" s="200">
        <f>IFERROR(__xludf.DUMMYFUNCTION("""COMPUTED_VALUE"""),18.5)</f>
        <v>18.5</v>
      </c>
      <c r="L348" s="201" t="str">
        <f>IFERROR(__xludf.DUMMYFUNCTION("""COMPUTED_VALUE"""),"RPG / Action-Adventure")</f>
        <v>RPG / Action-Adventure</v>
      </c>
      <c r="M348" s="201"/>
    </row>
    <row r="349">
      <c r="A349" s="190" t="str">
        <f>IFERROR(__xludf.DUMMYFUNCTION("""COMPUTED_VALUE"""),"Plants vs. Zombies: Battle for Neighborville - Deluxe Edition")</f>
        <v>Plants vs. Zombies: Battle for Neighborville - Deluxe Edition</v>
      </c>
      <c r="B349" s="195" t="str">
        <f>IFERROR(__xludf.DUMMYFUNCTION("""COMPUTED_VALUE"""),"Xbox / PC")</f>
        <v>Xbox / PC</v>
      </c>
      <c r="C349" s="196" t="str">
        <f>IFERROR(__xludf.DUMMYFUNCTION("""COMPUTED_VALUE"""),"Yes")</f>
        <v>Yes</v>
      </c>
      <c r="D349" s="196" t="str">
        <f>IFERROR(__xludf.DUMMYFUNCTION("""COMPUTED_VALUE"""),"Active")</f>
        <v>Active</v>
      </c>
      <c r="E349" s="197">
        <f>IFERROR(__xludf.DUMMYFUNCTION("""COMPUTED_VALUE"""),44145.0)</f>
        <v>44145</v>
      </c>
      <c r="F349" s="198"/>
      <c r="G349" s="199">
        <f>IFERROR(__xludf.DUMMYFUNCTION("""COMPUTED_VALUE"""),59.166666666666664)</f>
        <v>59.16666667</v>
      </c>
      <c r="H349" s="197">
        <f>IFERROR(__xludf.DUMMYFUNCTION("""COMPUTED_VALUE"""),43756.0)</f>
        <v>43756</v>
      </c>
      <c r="I349" s="199">
        <f>IFERROR(__xludf.DUMMYFUNCTION("""COMPUTED_VALUE"""),1.0611111111111111)</f>
        <v>1.061111111</v>
      </c>
      <c r="J349" s="200">
        <f>IFERROR(__xludf.DUMMYFUNCTION("""COMPUTED_VALUE"""),76.0)</f>
        <v>76</v>
      </c>
      <c r="K349" s="200">
        <f>IFERROR(__xludf.DUMMYFUNCTION("""COMPUTED_VALUE"""),4.5)</f>
        <v>4.5</v>
      </c>
      <c r="L349" s="201" t="str">
        <f>IFERROR(__xludf.DUMMYFUNCTION("""COMPUTED_VALUE"""),"Shooter")</f>
        <v>Shooter</v>
      </c>
      <c r="M349" s="201" t="str">
        <f>IFERROR(__xludf.DUMMYFUNCTION("""COMPUTED_VALUE"""),"FPS Boost")</f>
        <v>FPS Boost</v>
      </c>
    </row>
    <row r="350">
      <c r="A350" s="190" t="str">
        <f>IFERROR(__xludf.DUMMYFUNCTION("""COMPUTED_VALUE"""),"Plants vs. Zombies: Garden Warfare")</f>
        <v>Plants vs. Zombies: Garden Warfare</v>
      </c>
      <c r="B350" s="195" t="str">
        <f>IFERROR(__xludf.DUMMYFUNCTION("""COMPUTED_VALUE"""),"Xbox / PC")</f>
        <v>Xbox / PC</v>
      </c>
      <c r="C350" s="196" t="str">
        <f>IFERROR(__xludf.DUMMYFUNCTION("""COMPUTED_VALUE"""),"Yes")</f>
        <v>Yes</v>
      </c>
      <c r="D350" s="196" t="str">
        <f>IFERROR(__xludf.DUMMYFUNCTION("""COMPUTED_VALUE"""),"Active")</f>
        <v>Active</v>
      </c>
      <c r="E350" s="197">
        <f>IFERROR(__xludf.DUMMYFUNCTION("""COMPUTED_VALUE"""),44145.0)</f>
        <v>44145</v>
      </c>
      <c r="F350" s="198"/>
      <c r="G350" s="199">
        <f>IFERROR(__xludf.DUMMYFUNCTION("""COMPUTED_VALUE"""),59.166666666666664)</f>
        <v>59.16666667</v>
      </c>
      <c r="H350" s="197">
        <f>IFERROR(__xludf.DUMMYFUNCTION("""COMPUTED_VALUE"""),41688.0)</f>
        <v>41688</v>
      </c>
      <c r="I350" s="199">
        <f>IFERROR(__xludf.DUMMYFUNCTION("""COMPUTED_VALUE"""),6.727777777777778)</f>
        <v>6.727777778</v>
      </c>
      <c r="J350" s="200">
        <f>IFERROR(__xludf.DUMMYFUNCTION("""COMPUTED_VALUE"""),76.0)</f>
        <v>76</v>
      </c>
      <c r="K350" s="200">
        <f>IFERROR(__xludf.DUMMYFUNCTION("""COMPUTED_VALUE"""),67.5)</f>
        <v>67.5</v>
      </c>
      <c r="L350" s="201" t="str">
        <f>IFERROR(__xludf.DUMMYFUNCTION("""COMPUTED_VALUE"""),"Shooter")</f>
        <v>Shooter</v>
      </c>
      <c r="M350" s="201" t="str">
        <f>IFERROR(__xludf.DUMMYFUNCTION("""COMPUTED_VALUE"""),"FPS Boost")</f>
        <v>FPS Boost</v>
      </c>
    </row>
    <row r="351">
      <c r="A351" s="190" t="str">
        <f>IFERROR(__xludf.DUMMYFUNCTION("""COMPUTED_VALUE"""),"Zuma's Revenge!")</f>
        <v>Zuma's Revenge!</v>
      </c>
      <c r="B351" s="195" t="str">
        <f>IFERROR(__xludf.DUMMYFUNCTION("""COMPUTED_VALUE"""),"Xbox")</f>
        <v>Xbox</v>
      </c>
      <c r="C351" s="196"/>
      <c r="D351" s="196" t="str">
        <f>IFERROR(__xludf.DUMMYFUNCTION("""COMPUTED_VALUE"""),"Active")</f>
        <v>Active</v>
      </c>
      <c r="E351" s="197">
        <f>IFERROR(__xludf.DUMMYFUNCTION("""COMPUTED_VALUE"""),44145.0)</f>
        <v>44145</v>
      </c>
      <c r="F351" s="198"/>
      <c r="G351" s="199">
        <f>IFERROR(__xludf.DUMMYFUNCTION("""COMPUTED_VALUE"""),59.166666666666664)</f>
        <v>59.16666667</v>
      </c>
      <c r="H351" s="197">
        <f>IFERROR(__xludf.DUMMYFUNCTION("""COMPUTED_VALUE"""),40071.0)</f>
        <v>40071</v>
      </c>
      <c r="I351" s="199">
        <f>IFERROR(__xludf.DUMMYFUNCTION("""COMPUTED_VALUE"""),11.152777777777779)</f>
        <v>11.15277778</v>
      </c>
      <c r="J351" s="200">
        <f>IFERROR(__xludf.DUMMYFUNCTION("""COMPUTED_VALUE"""),76.0)</f>
        <v>76</v>
      </c>
      <c r="K351" s="200">
        <f>IFERROR(__xludf.DUMMYFUNCTION("""COMPUTED_VALUE"""),5.0)</f>
        <v>5</v>
      </c>
      <c r="L351" s="201" t="str">
        <f>IFERROR(__xludf.DUMMYFUNCTION("""COMPUTED_VALUE"""),"Puzzle")</f>
        <v>Puzzle</v>
      </c>
      <c r="M351" s="201"/>
    </row>
    <row r="352">
      <c r="A352" s="190" t="str">
        <f>IFERROR(__xludf.DUMMYFUNCTION("""COMPUTED_VALUE"""),"Full Throttle Remastered")</f>
        <v>Full Throttle Remastered</v>
      </c>
      <c r="B352" s="195" t="str">
        <f>IFERROR(__xludf.DUMMYFUNCTION("""COMPUTED_VALUE"""),"Xbox / PC")</f>
        <v>Xbox / PC</v>
      </c>
      <c r="C352" s="196"/>
      <c r="D352" s="196" t="str">
        <f>IFERROR(__xludf.DUMMYFUNCTION("""COMPUTED_VALUE"""),"Active")</f>
        <v>Active</v>
      </c>
      <c r="E352" s="197">
        <f>IFERROR(__xludf.DUMMYFUNCTION("""COMPUTED_VALUE"""),44133.0)</f>
        <v>44133</v>
      </c>
      <c r="F352" s="198"/>
      <c r="G352" s="199">
        <f>IFERROR(__xludf.DUMMYFUNCTION("""COMPUTED_VALUE"""),59.53333333333333)</f>
        <v>59.53333333</v>
      </c>
      <c r="H352" s="197">
        <f>IFERROR(__xludf.DUMMYFUNCTION("""COMPUTED_VALUE"""),42843.0)</f>
        <v>42843</v>
      </c>
      <c r="I352" s="199">
        <f>IFERROR(__xludf.DUMMYFUNCTION("""COMPUTED_VALUE"""),3.5305555555555554)</f>
        <v>3.530555556</v>
      </c>
      <c r="J352" s="200">
        <f>IFERROR(__xludf.DUMMYFUNCTION("""COMPUTED_VALUE"""),76.0)</f>
        <v>76</v>
      </c>
      <c r="K352" s="200">
        <f>IFERROR(__xludf.DUMMYFUNCTION("""COMPUTED_VALUE"""),4.0)</f>
        <v>4</v>
      </c>
      <c r="L352" s="201" t="str">
        <f>IFERROR(__xludf.DUMMYFUNCTION("""COMPUTED_VALUE"""),"Adventure")</f>
        <v>Adventure</v>
      </c>
      <c r="M352" s="201"/>
    </row>
    <row r="353">
      <c r="A353" s="190" t="str">
        <f>IFERROR(__xludf.DUMMYFUNCTION("""COMPUTED_VALUE"""),"New Super Lucky's Tale")</f>
        <v>New Super Lucky's Tale</v>
      </c>
      <c r="B353" s="195" t="str">
        <f>IFERROR(__xludf.DUMMYFUNCTION("""COMPUTED_VALUE"""),"Xbox / PC")</f>
        <v>Xbox / PC</v>
      </c>
      <c r="C353" s="196" t="str">
        <f>IFERROR(__xludf.DUMMYFUNCTION("""COMPUTED_VALUE"""),"Touch Controls")</f>
        <v>Touch Controls</v>
      </c>
      <c r="D353" s="196" t="str">
        <f>IFERROR(__xludf.DUMMYFUNCTION("""COMPUTED_VALUE"""),"Active")</f>
        <v>Active</v>
      </c>
      <c r="E353" s="197">
        <f>IFERROR(__xludf.DUMMYFUNCTION("""COMPUTED_VALUE"""),44063.0)</f>
        <v>44063</v>
      </c>
      <c r="F353" s="198"/>
      <c r="G353" s="199">
        <f>IFERROR(__xludf.DUMMYFUNCTION("""COMPUTED_VALUE"""),61.83333333333333)</f>
        <v>61.83333333</v>
      </c>
      <c r="H353" s="197">
        <f>IFERROR(__xludf.DUMMYFUNCTION("""COMPUTED_VALUE"""),43777.0)</f>
        <v>43777</v>
      </c>
      <c r="I353" s="199">
        <f>IFERROR(__xludf.DUMMYFUNCTION("""COMPUTED_VALUE"""),0.7833333333333333)</f>
        <v>0.7833333333</v>
      </c>
      <c r="J353" s="200">
        <f>IFERROR(__xludf.DUMMYFUNCTION("""COMPUTED_VALUE"""),76.0)</f>
        <v>76</v>
      </c>
      <c r="K353" s="200">
        <f>IFERROR(__xludf.DUMMYFUNCTION("""COMPUTED_VALUE"""),7.5)</f>
        <v>7.5</v>
      </c>
      <c r="L353" s="201" t="str">
        <f>IFERROR(__xludf.DUMMYFUNCTION("""COMPUTED_VALUE"""),"Platformer")</f>
        <v>Platformer</v>
      </c>
      <c r="M353" s="201" t="str">
        <f>IFERROR(__xludf.DUMMYFUNCTION("""COMPUTED_VALUE"""),"FPS Boost")</f>
        <v>FPS Boost</v>
      </c>
    </row>
    <row r="354">
      <c r="A354" s="190" t="str">
        <f>IFERROR(__xludf.DUMMYFUNCTION("""COMPUTED_VALUE"""),"Totally Accurate Battle Simulator")</f>
        <v>Totally Accurate Battle Simulator</v>
      </c>
      <c r="B354" s="195" t="str">
        <f>IFERROR(__xludf.DUMMYFUNCTION("""COMPUTED_VALUE"""),"Xbox / PC")</f>
        <v>Xbox / PC</v>
      </c>
      <c r="C354" s="196" t="str">
        <f>IFERROR(__xludf.DUMMYFUNCTION("""COMPUTED_VALUE"""),"Touch Controls")</f>
        <v>Touch Controls</v>
      </c>
      <c r="D354" s="196" t="str">
        <f>IFERROR(__xludf.DUMMYFUNCTION("""COMPUTED_VALUE"""),"Active")</f>
        <v>Active</v>
      </c>
      <c r="E354" s="197">
        <f>IFERROR(__xludf.DUMMYFUNCTION("""COMPUTED_VALUE"""),43819.0)</f>
        <v>43819</v>
      </c>
      <c r="F354" s="198"/>
      <c r="G354" s="199">
        <f>IFERROR(__xludf.DUMMYFUNCTION("""COMPUTED_VALUE"""),69.83333333333334)</f>
        <v>69.83333333</v>
      </c>
      <c r="H354" s="197">
        <f>IFERROR(__xludf.DUMMYFUNCTION("""COMPUTED_VALUE"""),43556.0)</f>
        <v>43556</v>
      </c>
      <c r="I354" s="199">
        <f>IFERROR(__xludf.DUMMYFUNCTION("""COMPUTED_VALUE"""),0.7194444444444444)</f>
        <v>0.7194444444</v>
      </c>
      <c r="J354" s="200">
        <f>IFERROR(__xludf.DUMMYFUNCTION("""COMPUTED_VALUE"""),76.0)</f>
        <v>76</v>
      </c>
      <c r="K354" s="200">
        <f>IFERROR(__xludf.DUMMYFUNCTION("""COMPUTED_VALUE"""),4.5)</f>
        <v>4.5</v>
      </c>
      <c r="L354" s="201" t="str">
        <f>IFERROR(__xludf.DUMMYFUNCTION("""COMPUTED_VALUE"""),"Strategy / Simulation")</f>
        <v>Strategy / Simulation</v>
      </c>
      <c r="M354" s="201"/>
    </row>
    <row r="355">
      <c r="A355" s="190" t="str">
        <f>IFERROR(__xludf.DUMMYFUNCTION("""COMPUTED_VALUE"""),"Zombie Army 4: Dead War")</f>
        <v>Zombie Army 4: Dead War</v>
      </c>
      <c r="B355" s="195" t="str">
        <f>IFERROR(__xludf.DUMMYFUNCTION("""COMPUTED_VALUE"""),"Xbox / PC")</f>
        <v>Xbox / PC</v>
      </c>
      <c r="C355" s="196" t="str">
        <f>IFERROR(__xludf.DUMMYFUNCTION("""COMPUTED_VALUE"""),"M+KB")</f>
        <v>M+KB</v>
      </c>
      <c r="D355" s="196" t="str">
        <f>IFERROR(__xludf.DUMMYFUNCTION("""COMPUTED_VALUE"""),"Active")</f>
        <v>Active</v>
      </c>
      <c r="E355" s="197">
        <f>IFERROR(__xludf.DUMMYFUNCTION("""COMPUTED_VALUE"""),44294.0)</f>
        <v>44294</v>
      </c>
      <c r="F355" s="198"/>
      <c r="G355" s="199">
        <f>IFERROR(__xludf.DUMMYFUNCTION("""COMPUTED_VALUE"""),54.233333333333334)</f>
        <v>54.23333333</v>
      </c>
      <c r="H355" s="197">
        <f>IFERROR(__xludf.DUMMYFUNCTION("""COMPUTED_VALUE"""),43865.0)</f>
        <v>43865</v>
      </c>
      <c r="I355" s="199">
        <f>IFERROR(__xludf.DUMMYFUNCTION("""COMPUTED_VALUE"""),1.1777777777777778)</f>
        <v>1.177777778</v>
      </c>
      <c r="J355" s="200">
        <f>IFERROR(__xludf.DUMMYFUNCTION("""COMPUTED_VALUE"""),75.5)</f>
        <v>75.5</v>
      </c>
      <c r="K355" s="200">
        <f>IFERROR(__xludf.DUMMYFUNCTION("""COMPUTED_VALUE"""),11.5)</f>
        <v>11.5</v>
      </c>
      <c r="L355" s="201" t="str">
        <f>IFERROR(__xludf.DUMMYFUNCTION("""COMPUTED_VALUE"""),"First-Person Shooter / Action-Adventure")</f>
        <v>First-Person Shooter / Action-Adventure</v>
      </c>
      <c r="M355" s="201" t="str">
        <f>IFERROR(__xludf.DUMMYFUNCTION("""COMPUTED_VALUE"""),"Optimized")</f>
        <v>Optimized</v>
      </c>
    </row>
    <row r="356">
      <c r="A356" s="190" t="str">
        <f>IFERROR(__xludf.DUMMYFUNCTION("""COMPUTED_VALUE"""),"Wolfenstein: The Old Blood")</f>
        <v>Wolfenstein: The Old Blood</v>
      </c>
      <c r="B356" s="195" t="str">
        <f>IFERROR(__xludf.DUMMYFUNCTION("""COMPUTED_VALUE"""),"Xbox / PC")</f>
        <v>Xbox / PC</v>
      </c>
      <c r="C356" s="196" t="str">
        <f>IFERROR(__xludf.DUMMYFUNCTION("""COMPUTED_VALUE"""),"Yes")</f>
        <v>Yes</v>
      </c>
      <c r="D356" s="196" t="str">
        <f>IFERROR(__xludf.DUMMYFUNCTION("""COMPUTED_VALUE"""),"Active")</f>
        <v>Active</v>
      </c>
      <c r="E356" s="197">
        <f>IFERROR(__xludf.DUMMYFUNCTION("""COMPUTED_VALUE"""),44267.0)</f>
        <v>44267</v>
      </c>
      <c r="F356" s="198"/>
      <c r="G356" s="199">
        <f>IFERROR(__xludf.DUMMYFUNCTION("""COMPUTED_VALUE"""),55.1)</f>
        <v>55.1</v>
      </c>
      <c r="H356" s="197">
        <f>IFERROR(__xludf.DUMMYFUNCTION("""COMPUTED_VALUE"""),42129.0)</f>
        <v>42129</v>
      </c>
      <c r="I356" s="199">
        <f>IFERROR(__xludf.DUMMYFUNCTION("""COMPUTED_VALUE"""),5.852777777777778)</f>
        <v>5.852777778</v>
      </c>
      <c r="J356" s="200">
        <f>IFERROR(__xludf.DUMMYFUNCTION("""COMPUTED_VALUE"""),75.5)</f>
        <v>75.5</v>
      </c>
      <c r="K356" s="200">
        <f>IFERROR(__xludf.DUMMYFUNCTION("""COMPUTED_VALUE"""),6.0)</f>
        <v>6</v>
      </c>
      <c r="L356" s="201" t="str">
        <f>IFERROR(__xludf.DUMMYFUNCTION("""COMPUTED_VALUE"""),"First-Person Shooter")</f>
        <v>First-Person Shooter</v>
      </c>
      <c r="M356" s="201"/>
    </row>
    <row r="357">
      <c r="A357" s="190" t="str">
        <f>IFERROR(__xludf.DUMMYFUNCTION("""COMPUTED_VALUE"""),"Visions of Mana")</f>
        <v>Visions of Mana</v>
      </c>
      <c r="B357" s="195" t="str">
        <f>IFERROR(__xludf.DUMMYFUNCTION("""COMPUTED_VALUE"""),"Xbox / PC")</f>
        <v>Xbox / PC</v>
      </c>
      <c r="C357" s="196" t="str">
        <f>IFERROR(__xludf.DUMMYFUNCTION("""COMPUTED_VALUE"""),"Yes")</f>
        <v>Yes</v>
      </c>
      <c r="D357" s="196" t="str">
        <f>IFERROR(__xludf.DUMMYFUNCTION("""COMPUTED_VALUE"""),"Active")</f>
        <v>Active</v>
      </c>
      <c r="E357" s="197">
        <f>IFERROR(__xludf.DUMMYFUNCTION("""COMPUTED_VALUE"""),45925.0)</f>
        <v>45925</v>
      </c>
      <c r="F357" s="198"/>
      <c r="G357" s="199">
        <f>IFERROR(__xludf.DUMMYFUNCTION("""COMPUTED_VALUE"""),0.6666666666666666)</f>
        <v>0.6666666667</v>
      </c>
      <c r="H357" s="197">
        <f>IFERROR(__xludf.DUMMYFUNCTION("""COMPUTED_VALUE"""),45533.0)</f>
        <v>45533</v>
      </c>
      <c r="I357" s="199">
        <f>IFERROR(__xludf.DUMMYFUNCTION("""COMPUTED_VALUE"""),1.0722222222222222)</f>
        <v>1.072222222</v>
      </c>
      <c r="J357" s="200">
        <f>IFERROR(__xludf.DUMMYFUNCTION("""COMPUTED_VALUE"""),75.0)</f>
        <v>75</v>
      </c>
      <c r="K357" s="200">
        <f>IFERROR(__xludf.DUMMYFUNCTION("""COMPUTED_VALUE"""),29.0)</f>
        <v>29</v>
      </c>
      <c r="L357" s="201" t="str">
        <f>IFERROR(__xludf.DUMMYFUNCTION("""COMPUTED_VALUE"""),"RPG")</f>
        <v>RPG</v>
      </c>
      <c r="M357" s="201" t="str">
        <f>IFERROR(__xludf.DUMMYFUNCTION("""COMPUTED_VALUE"""),"Exclusive")</f>
        <v>Exclusive</v>
      </c>
    </row>
    <row r="358">
      <c r="A358" s="190" t="str">
        <f>IFERROR(__xludf.DUMMYFUNCTION("""COMPUTED_VALUE"""),"Farming Simulator 25")</f>
        <v>Farming Simulator 25</v>
      </c>
      <c r="B358" s="195" t="str">
        <f>IFERROR(__xludf.DUMMYFUNCTION("""COMPUTED_VALUE"""),"Xbox / PC")</f>
        <v>Xbox / PC</v>
      </c>
      <c r="C358" s="196" t="str">
        <f>IFERROR(__xludf.DUMMYFUNCTION("""COMPUTED_VALUE"""),"Yes")</f>
        <v>Yes</v>
      </c>
      <c r="D358" s="196" t="str">
        <f>IFERROR(__xludf.DUMMYFUNCTION("""COMPUTED_VALUE"""),"Active")</f>
        <v>Active</v>
      </c>
      <c r="E358" s="197">
        <f>IFERROR(__xludf.DUMMYFUNCTION("""COMPUTED_VALUE"""),45870.0)</f>
        <v>45870</v>
      </c>
      <c r="F358" s="198"/>
      <c r="G358" s="199">
        <f>IFERROR(__xludf.DUMMYFUNCTION("""COMPUTED_VALUE"""),2.466666666666667)</f>
        <v>2.466666667</v>
      </c>
      <c r="H358" s="197">
        <f>IFERROR(__xludf.DUMMYFUNCTION("""COMPUTED_VALUE"""),45608.0)</f>
        <v>45608</v>
      </c>
      <c r="I358" s="199">
        <f>IFERROR(__xludf.DUMMYFUNCTION("""COMPUTED_VALUE"""),0.7194444444444444)</f>
        <v>0.7194444444</v>
      </c>
      <c r="J358" s="200">
        <f>IFERROR(__xludf.DUMMYFUNCTION("""COMPUTED_VALUE"""),75.0)</f>
        <v>75</v>
      </c>
      <c r="K358" s="200"/>
      <c r="L358" s="201" t="str">
        <f>IFERROR(__xludf.DUMMYFUNCTION("""COMPUTED_VALUE"""),"Simulation")</f>
        <v>Simulation</v>
      </c>
      <c r="M358" s="201"/>
    </row>
    <row r="359">
      <c r="A359" s="190" t="str">
        <f>IFERROR(__xludf.DUMMYFUNCTION("""COMPUTED_VALUE"""),"Call of Duty: Modern Warfare II")</f>
        <v>Call of Duty: Modern Warfare II</v>
      </c>
      <c r="B359" s="195" t="str">
        <f>IFERROR(__xludf.DUMMYFUNCTION("""COMPUTED_VALUE"""),"Xbox / PC")</f>
        <v>Xbox / PC</v>
      </c>
      <c r="C359" s="196" t="str">
        <f>IFERROR(__xludf.DUMMYFUNCTION("""COMPUTED_VALUE"""),"Yes")</f>
        <v>Yes</v>
      </c>
      <c r="D359" s="196" t="str">
        <f>IFERROR(__xludf.DUMMYFUNCTION("""COMPUTED_VALUE"""),"Active")</f>
        <v>Active</v>
      </c>
      <c r="E359" s="197">
        <f>IFERROR(__xludf.DUMMYFUNCTION("""COMPUTED_VALUE"""),45778.0)</f>
        <v>45778</v>
      </c>
      <c r="F359" s="198"/>
      <c r="G359" s="199">
        <f>IFERROR(__xludf.DUMMYFUNCTION("""COMPUTED_VALUE"""),5.466666666666667)</f>
        <v>5.466666667</v>
      </c>
      <c r="H359" s="197">
        <f>IFERROR(__xludf.DUMMYFUNCTION("""COMPUTED_VALUE"""),44862.0)</f>
        <v>44862</v>
      </c>
      <c r="I359" s="199">
        <f>IFERROR(__xludf.DUMMYFUNCTION("""COMPUTED_VALUE"""),2.5083333333333333)</f>
        <v>2.508333333</v>
      </c>
      <c r="J359" s="200">
        <f>IFERROR(__xludf.DUMMYFUNCTION("""COMPUTED_VALUE"""),75.0)</f>
        <v>75</v>
      </c>
      <c r="K359" s="200">
        <f>IFERROR(__xludf.DUMMYFUNCTION("""COMPUTED_VALUE"""),8.0)</f>
        <v>8</v>
      </c>
      <c r="L359" s="201" t="str">
        <f>IFERROR(__xludf.DUMMYFUNCTION("""COMPUTED_VALUE"""),"Shooter")</f>
        <v>Shooter</v>
      </c>
      <c r="M359" s="201"/>
    </row>
    <row r="360">
      <c r="A360" s="190" t="str">
        <f>IFERROR(__xludf.DUMMYFUNCTION("""COMPUTED_VALUE"""),"Atomfall")</f>
        <v>Atomfall</v>
      </c>
      <c r="B360" s="195" t="str">
        <f>IFERROR(__xludf.DUMMYFUNCTION("""COMPUTED_VALUE"""),"Xbox / PC")</f>
        <v>Xbox / PC</v>
      </c>
      <c r="C360" s="196" t="str">
        <f>IFERROR(__xludf.DUMMYFUNCTION("""COMPUTED_VALUE"""),"Yes")</f>
        <v>Yes</v>
      </c>
      <c r="D360" s="196" t="str">
        <f>IFERROR(__xludf.DUMMYFUNCTION("""COMPUTED_VALUE"""),"Active")</f>
        <v>Active</v>
      </c>
      <c r="E360" s="197">
        <f>IFERROR(__xludf.DUMMYFUNCTION("""COMPUTED_VALUE"""),45743.0)</f>
        <v>45743</v>
      </c>
      <c r="F360" s="198"/>
      <c r="G360" s="199">
        <f>IFERROR(__xludf.DUMMYFUNCTION("""COMPUTED_VALUE"""),6.6000000000000005)</f>
        <v>6.6</v>
      </c>
      <c r="H360" s="197">
        <f>IFERROR(__xludf.DUMMYFUNCTION("""COMPUTED_VALUE"""),45743.0)</f>
        <v>45743</v>
      </c>
      <c r="I360" s="199">
        <f>IFERROR(__xludf.DUMMYFUNCTION("""COMPUTED_VALUE"""),0.0)</f>
        <v>0</v>
      </c>
      <c r="J360" s="200">
        <f>IFERROR(__xludf.DUMMYFUNCTION("""COMPUTED_VALUE"""),75.0)</f>
        <v>75</v>
      </c>
      <c r="K360" s="200">
        <f>IFERROR(__xludf.DUMMYFUNCTION("""COMPUTED_VALUE"""),9.0)</f>
        <v>9</v>
      </c>
      <c r="L360" s="201" t="str">
        <f>IFERROR(__xludf.DUMMYFUNCTION("""COMPUTED_VALUE"""),"Action-Adventure")</f>
        <v>Action-Adventure</v>
      </c>
      <c r="M360" s="201"/>
    </row>
    <row r="361">
      <c r="A361" s="190" t="str">
        <f>IFERROR(__xludf.DUMMYFUNCTION("""COMPUTED_VALUE"""),"Blizzard Arcade Collection")</f>
        <v>Blizzard Arcade Collection</v>
      </c>
      <c r="B361" s="195" t="str">
        <f>IFERROR(__xludf.DUMMYFUNCTION("""COMPUTED_VALUE"""),"Xbox / PC")</f>
        <v>Xbox / PC</v>
      </c>
      <c r="C361" s="196" t="str">
        <f>IFERROR(__xludf.DUMMYFUNCTION("""COMPUTED_VALUE"""),"Yes")</f>
        <v>Yes</v>
      </c>
      <c r="D361" s="196" t="str">
        <f>IFERROR(__xludf.DUMMYFUNCTION("""COMPUTED_VALUE"""),"Active")</f>
        <v>Active</v>
      </c>
      <c r="E361" s="197">
        <f>IFERROR(__xludf.DUMMYFUNCTION("""COMPUTED_VALUE"""),45741.0)</f>
        <v>45741</v>
      </c>
      <c r="F361" s="198"/>
      <c r="G361" s="199">
        <f>IFERROR(__xludf.DUMMYFUNCTION("""COMPUTED_VALUE"""),6.666666666666667)</f>
        <v>6.666666667</v>
      </c>
      <c r="H361" s="197">
        <f>IFERROR(__xludf.DUMMYFUNCTION("""COMPUTED_VALUE"""),44246.0)</f>
        <v>44246</v>
      </c>
      <c r="I361" s="199">
        <f>IFERROR(__xludf.DUMMYFUNCTION("""COMPUTED_VALUE"""),4.1)</f>
        <v>4.1</v>
      </c>
      <c r="J361" s="200">
        <f>IFERROR(__xludf.DUMMYFUNCTION("""COMPUTED_VALUE"""),75.0)</f>
        <v>75</v>
      </c>
      <c r="K361" s="200">
        <f>IFERROR(__xludf.DUMMYFUNCTION("""COMPUTED_VALUE"""),5.0)</f>
        <v>5</v>
      </c>
      <c r="L361" s="201" t="str">
        <f>IFERROR(__xludf.DUMMYFUNCTION("""COMPUTED_VALUE"""),"Compilation")</f>
        <v>Compilation</v>
      </c>
      <c r="M361" s="201"/>
    </row>
    <row r="362">
      <c r="A362" s="190" t="str">
        <f>IFERROR(__xludf.DUMMYFUNCTION("""COMPUTED_VALUE"""),"Sniper Elite: Resistance")</f>
        <v>Sniper Elite: Resistance</v>
      </c>
      <c r="B362" s="195" t="str">
        <f>IFERROR(__xludf.DUMMYFUNCTION("""COMPUTED_VALUE"""),"Xbox / PC")</f>
        <v>Xbox / PC</v>
      </c>
      <c r="C362" s="196" t="str">
        <f>IFERROR(__xludf.DUMMYFUNCTION("""COMPUTED_VALUE"""),"Yes")</f>
        <v>Yes</v>
      </c>
      <c r="D362" s="196" t="str">
        <f>IFERROR(__xludf.DUMMYFUNCTION("""COMPUTED_VALUE"""),"Active")</f>
        <v>Active</v>
      </c>
      <c r="E362" s="197">
        <f>IFERROR(__xludf.DUMMYFUNCTION("""COMPUTED_VALUE"""),45687.0)</f>
        <v>45687</v>
      </c>
      <c r="F362" s="198"/>
      <c r="G362" s="199">
        <f>IFERROR(__xludf.DUMMYFUNCTION("""COMPUTED_VALUE"""),8.5)</f>
        <v>8.5</v>
      </c>
      <c r="H362" s="197">
        <f>IFERROR(__xludf.DUMMYFUNCTION("""COMPUTED_VALUE"""),45687.0)</f>
        <v>45687</v>
      </c>
      <c r="I362" s="199">
        <f>IFERROR(__xludf.DUMMYFUNCTION("""COMPUTED_VALUE"""),0.0)</f>
        <v>0</v>
      </c>
      <c r="J362" s="200">
        <f>IFERROR(__xludf.DUMMYFUNCTION("""COMPUTED_VALUE"""),75.0)</f>
        <v>75</v>
      </c>
      <c r="K362" s="200">
        <f>IFERROR(__xludf.DUMMYFUNCTION("""COMPUTED_VALUE"""),9.0)</f>
        <v>9</v>
      </c>
      <c r="L362" s="201" t="str">
        <f>IFERROR(__xludf.DUMMYFUNCTION("""COMPUTED_VALUE"""),"Shooter")</f>
        <v>Shooter</v>
      </c>
      <c r="M362" s="201"/>
    </row>
    <row r="363">
      <c r="A363" s="190" t="str">
        <f>IFERROR(__xludf.DUMMYFUNCTION("""COMPUTED_VALUE"""),"Aliens: Dark Descent")</f>
        <v>Aliens: Dark Descent</v>
      </c>
      <c r="B363" s="195" t="str">
        <f>IFERROR(__xludf.DUMMYFUNCTION("""COMPUTED_VALUE"""),"Xbox / PC")</f>
        <v>Xbox / PC</v>
      </c>
      <c r="C363" s="196" t="str">
        <f>IFERROR(__xludf.DUMMYFUNCTION("""COMPUTED_VALUE"""),"Yes")</f>
        <v>Yes</v>
      </c>
      <c r="D363" s="196" t="str">
        <f>IFERROR(__xludf.DUMMYFUNCTION("""COMPUTED_VALUE"""),"Active")</f>
        <v>Active</v>
      </c>
      <c r="E363" s="197">
        <f>IFERROR(__xludf.DUMMYFUNCTION("""COMPUTED_VALUE"""),45623.0)</f>
        <v>45623</v>
      </c>
      <c r="F363" s="198"/>
      <c r="G363" s="199">
        <f>IFERROR(__xludf.DUMMYFUNCTION("""COMPUTED_VALUE"""),10.6)</f>
        <v>10.6</v>
      </c>
      <c r="H363" s="197">
        <f>IFERROR(__xludf.DUMMYFUNCTION("""COMPUTED_VALUE"""),45097.0)</f>
        <v>45097</v>
      </c>
      <c r="I363" s="199">
        <f>IFERROR(__xludf.DUMMYFUNCTION("""COMPUTED_VALUE"""),1.4361111111111111)</f>
        <v>1.436111111</v>
      </c>
      <c r="J363" s="200">
        <f>IFERROR(__xludf.DUMMYFUNCTION("""COMPUTED_VALUE"""),75.0)</f>
        <v>75</v>
      </c>
      <c r="K363" s="200">
        <f>IFERROR(__xludf.DUMMYFUNCTION("""COMPUTED_VALUE"""),24.0)</f>
        <v>24</v>
      </c>
      <c r="L363" s="201" t="str">
        <f>IFERROR(__xludf.DUMMYFUNCTION("""COMPUTED_VALUE"""),"Strategy")</f>
        <v>Strategy</v>
      </c>
      <c r="M363" s="201"/>
    </row>
    <row r="364">
      <c r="A364" s="190" t="str">
        <f>IFERROR(__xludf.DUMMYFUNCTION("""COMPUTED_VALUE"""),"South Park: The Fractured but Whole")</f>
        <v>South Park: The Fractured but Whole</v>
      </c>
      <c r="B364" s="195" t="str">
        <f>IFERROR(__xludf.DUMMYFUNCTION("""COMPUTED_VALUE"""),"Xbox / PC")</f>
        <v>Xbox / PC</v>
      </c>
      <c r="C364" s="196" t="str">
        <f>IFERROR(__xludf.DUMMYFUNCTION("""COMPUTED_VALUE"""),"Yes")</f>
        <v>Yes</v>
      </c>
      <c r="D364" s="196" t="str">
        <f>IFERROR(__xludf.DUMMYFUNCTION("""COMPUTED_VALUE"""),"Active")</f>
        <v>Active</v>
      </c>
      <c r="E364" s="197">
        <f>IFERROR(__xludf.DUMMYFUNCTION("""COMPUTED_VALUE"""),45581.0)</f>
        <v>45581</v>
      </c>
      <c r="F364" s="198"/>
      <c r="G364" s="199">
        <f>IFERROR(__xludf.DUMMYFUNCTION("""COMPUTED_VALUE"""),11.966666666666667)</f>
        <v>11.96666667</v>
      </c>
      <c r="H364" s="197">
        <f>IFERROR(__xludf.DUMMYFUNCTION("""COMPUTED_VALUE"""),43312.0)</f>
        <v>43312</v>
      </c>
      <c r="I364" s="199">
        <f>IFERROR(__xludf.DUMMYFUNCTION("""COMPUTED_VALUE"""),6.211111111111111)</f>
        <v>6.211111111</v>
      </c>
      <c r="J364" s="200">
        <f>IFERROR(__xludf.DUMMYFUNCTION("""COMPUTED_VALUE"""),75.0)</f>
        <v>75</v>
      </c>
      <c r="K364" s="200">
        <f>IFERROR(__xludf.DUMMYFUNCTION("""COMPUTED_VALUE"""),18.0)</f>
        <v>18</v>
      </c>
      <c r="L364" s="201" t="str">
        <f>IFERROR(__xludf.DUMMYFUNCTION("""COMPUTED_VALUE"""),"RPG")</f>
        <v>RPG</v>
      </c>
      <c r="M364" s="201"/>
    </row>
    <row r="365">
      <c r="A365" s="190" t="str">
        <f>IFERROR(__xludf.DUMMYFUNCTION("""COMPUTED_VALUE"""),"Creatures of Ava")</f>
        <v>Creatures of Ava</v>
      </c>
      <c r="B365" s="195" t="str">
        <f>IFERROR(__xludf.DUMMYFUNCTION("""COMPUTED_VALUE"""),"Xbox / PC")</f>
        <v>Xbox / PC</v>
      </c>
      <c r="C365" s="196" t="str">
        <f>IFERROR(__xludf.DUMMYFUNCTION("""COMPUTED_VALUE"""),"Yes")</f>
        <v>Yes</v>
      </c>
      <c r="D365" s="196" t="str">
        <f>IFERROR(__xludf.DUMMYFUNCTION("""COMPUTED_VALUE"""),"Active")</f>
        <v>Active</v>
      </c>
      <c r="E365" s="197">
        <f>IFERROR(__xludf.DUMMYFUNCTION("""COMPUTED_VALUE"""),45511.0)</f>
        <v>45511</v>
      </c>
      <c r="F365" s="198"/>
      <c r="G365" s="199">
        <f>IFERROR(__xludf.DUMMYFUNCTION("""COMPUTED_VALUE"""),14.266666666666666)</f>
        <v>14.26666667</v>
      </c>
      <c r="H365" s="197">
        <f>IFERROR(__xludf.DUMMYFUNCTION("""COMPUTED_VALUE"""),45511.0)</f>
        <v>45511</v>
      </c>
      <c r="I365" s="199">
        <f>IFERROR(__xludf.DUMMYFUNCTION("""COMPUTED_VALUE"""),0.0)</f>
        <v>0</v>
      </c>
      <c r="J365" s="200">
        <f>IFERROR(__xludf.DUMMYFUNCTION("""COMPUTED_VALUE"""),75.0)</f>
        <v>75</v>
      </c>
      <c r="K365" s="200">
        <f>IFERROR(__xludf.DUMMYFUNCTION("""COMPUTED_VALUE"""),9.0)</f>
        <v>9</v>
      </c>
      <c r="L365" s="201" t="str">
        <f>IFERROR(__xludf.DUMMYFUNCTION("""COMPUTED_VALUE"""),"Action-Adventure")</f>
        <v>Action-Adventure</v>
      </c>
      <c r="M365" s="201" t="str">
        <f>IFERROR(__xludf.DUMMYFUNCTION("""COMPUTED_VALUE"""),"Exclusive")</f>
        <v>Exclusive</v>
      </c>
    </row>
    <row r="366">
      <c r="A366" s="190" t="str">
        <f>IFERROR(__xludf.DUMMYFUNCTION("""COMPUTED_VALUE"""),"EA Sports FC 24")</f>
        <v>EA Sports FC 24</v>
      </c>
      <c r="B366" s="195" t="str">
        <f>IFERROR(__xludf.DUMMYFUNCTION("""COMPUTED_VALUE"""),"Xbox / PC")</f>
        <v>Xbox / PC</v>
      </c>
      <c r="C366" s="196" t="str">
        <f>IFERROR(__xludf.DUMMYFUNCTION("""COMPUTED_VALUE"""),"Yes")</f>
        <v>Yes</v>
      </c>
      <c r="D366" s="196" t="str">
        <f>IFERROR(__xludf.DUMMYFUNCTION("""COMPUTED_VALUE"""),"Active")</f>
        <v>Active</v>
      </c>
      <c r="E366" s="197">
        <f>IFERROR(__xludf.DUMMYFUNCTION("""COMPUTED_VALUE"""),45468.0)</f>
        <v>45468</v>
      </c>
      <c r="F366" s="198"/>
      <c r="G366" s="199">
        <f>IFERROR(__xludf.DUMMYFUNCTION("""COMPUTED_VALUE"""),15.666666666666668)</f>
        <v>15.66666667</v>
      </c>
      <c r="H366" s="197">
        <f>IFERROR(__xludf.DUMMYFUNCTION("""COMPUTED_VALUE"""),45198.0)</f>
        <v>45198</v>
      </c>
      <c r="I366" s="199">
        <f>IFERROR(__xludf.DUMMYFUNCTION("""COMPUTED_VALUE"""),0.7388888888888889)</f>
        <v>0.7388888889</v>
      </c>
      <c r="J366" s="200">
        <f>IFERROR(__xludf.DUMMYFUNCTION("""COMPUTED_VALUE"""),75.0)</f>
        <v>75</v>
      </c>
      <c r="K366" s="200">
        <f>IFERROR(__xludf.DUMMYFUNCTION("""COMPUTED_VALUE"""),34.0)</f>
        <v>34</v>
      </c>
      <c r="L366" s="201" t="str">
        <f>IFERROR(__xludf.DUMMYFUNCTION("""COMPUTED_VALUE"""),"Sports")</f>
        <v>Sports</v>
      </c>
      <c r="M366" s="201"/>
    </row>
    <row r="367">
      <c r="A367" s="190" t="str">
        <f>IFERROR(__xludf.DUMMYFUNCTION("""COMPUTED_VALUE"""),"Lords of the Fallen")</f>
        <v>Lords of the Fallen</v>
      </c>
      <c r="B367" s="195" t="str">
        <f>IFERROR(__xludf.DUMMYFUNCTION("""COMPUTED_VALUE"""),"Xbox / PC")</f>
        <v>Xbox / PC</v>
      </c>
      <c r="C367" s="196" t="str">
        <f>IFERROR(__xludf.DUMMYFUNCTION("""COMPUTED_VALUE"""),"Yes")</f>
        <v>Yes</v>
      </c>
      <c r="D367" s="196" t="str">
        <f>IFERROR(__xludf.DUMMYFUNCTION("""COMPUTED_VALUE"""),"Active")</f>
        <v>Active</v>
      </c>
      <c r="E367" s="197">
        <f>IFERROR(__xludf.DUMMYFUNCTION("""COMPUTED_VALUE"""),45442.0)</f>
        <v>45442</v>
      </c>
      <c r="F367" s="198"/>
      <c r="G367" s="199">
        <f>IFERROR(__xludf.DUMMYFUNCTION("""COMPUTED_VALUE"""),16.5)</f>
        <v>16.5</v>
      </c>
      <c r="H367" s="197">
        <f>IFERROR(__xludf.DUMMYFUNCTION("""COMPUTED_VALUE"""),45212.0)</f>
        <v>45212</v>
      </c>
      <c r="I367" s="199">
        <f>IFERROR(__xludf.DUMMYFUNCTION("""COMPUTED_VALUE"""),0.6305555555555555)</f>
        <v>0.6305555556</v>
      </c>
      <c r="J367" s="200">
        <f>IFERROR(__xludf.DUMMYFUNCTION("""COMPUTED_VALUE"""),75.0)</f>
        <v>75</v>
      </c>
      <c r="K367" s="200">
        <f>IFERROR(__xludf.DUMMYFUNCTION("""COMPUTED_VALUE"""),15.0)</f>
        <v>15</v>
      </c>
      <c r="L367" s="201" t="str">
        <f>IFERROR(__xludf.DUMMYFUNCTION("""COMPUTED_VALUE"""),"RPG")</f>
        <v>RPG</v>
      </c>
      <c r="M367" s="201" t="str">
        <f>IFERROR(__xludf.DUMMYFUNCTION("""COMPUTED_VALUE"""),"Exclusive")</f>
        <v>Exclusive</v>
      </c>
    </row>
    <row r="368">
      <c r="A368" s="190" t="str">
        <f>IFERROR(__xludf.DUMMYFUNCTION("""COMPUTED_VALUE"""),"Mount &amp; Blade II: Bannerlord")</f>
        <v>Mount &amp; Blade II: Bannerlord</v>
      </c>
      <c r="B368" s="195" t="str">
        <f>IFERROR(__xludf.DUMMYFUNCTION("""COMPUTED_VALUE"""),"Xbox / PC")</f>
        <v>Xbox / PC</v>
      </c>
      <c r="C368" s="196" t="str">
        <f>IFERROR(__xludf.DUMMYFUNCTION("""COMPUTED_VALUE"""),"M+KB")</f>
        <v>M+KB</v>
      </c>
      <c r="D368" s="196" t="str">
        <f>IFERROR(__xludf.DUMMYFUNCTION("""COMPUTED_VALUE"""),"Active")</f>
        <v>Active</v>
      </c>
      <c r="E368" s="197">
        <f>IFERROR(__xludf.DUMMYFUNCTION("""COMPUTED_VALUE"""),44971.0)</f>
        <v>44971</v>
      </c>
      <c r="F368" s="198"/>
      <c r="G368" s="199">
        <f>IFERROR(__xludf.DUMMYFUNCTION("""COMPUTED_VALUE"""),32.03333333333333)</f>
        <v>32.03333333</v>
      </c>
      <c r="H368" s="197">
        <f>IFERROR(__xludf.DUMMYFUNCTION("""COMPUTED_VALUE"""),43920.0)</f>
        <v>43920</v>
      </c>
      <c r="I368" s="199">
        <f>IFERROR(__xludf.DUMMYFUNCTION("""COMPUTED_VALUE"""),2.8722222222222222)</f>
        <v>2.872222222</v>
      </c>
      <c r="J368" s="200">
        <f>IFERROR(__xludf.DUMMYFUNCTION("""COMPUTED_VALUE"""),75.0)</f>
        <v>75</v>
      </c>
      <c r="K368" s="200">
        <f>IFERROR(__xludf.DUMMYFUNCTION("""COMPUTED_VALUE"""),39.0)</f>
        <v>39</v>
      </c>
      <c r="L368" s="201" t="str">
        <f>IFERROR(__xludf.DUMMYFUNCTION("""COMPUTED_VALUE"""),"Action / Adventure / RPG / Simulation")</f>
        <v>Action / Adventure / RPG / Simulation</v>
      </c>
      <c r="M368" s="201"/>
    </row>
    <row r="369">
      <c r="A369" s="190" t="str">
        <f>IFERROR(__xludf.DUMMYFUNCTION("""COMPUTED_VALUE"""),"Disney Dreamlight Valley: Founder's Edition")</f>
        <v>Disney Dreamlight Valley: Founder's Edition</v>
      </c>
      <c r="B369" s="195" t="str">
        <f>IFERROR(__xludf.DUMMYFUNCTION("""COMPUTED_VALUE"""),"Xbox / PC")</f>
        <v>Xbox / PC</v>
      </c>
      <c r="C369" s="196" t="str">
        <f>IFERROR(__xludf.DUMMYFUNCTION("""COMPUTED_VALUE"""),"Touch Controls")</f>
        <v>Touch Controls</v>
      </c>
      <c r="D369" s="196" t="str">
        <f>IFERROR(__xludf.DUMMYFUNCTION("""COMPUTED_VALUE"""),"Active")</f>
        <v>Active</v>
      </c>
      <c r="E369" s="197">
        <f>IFERROR(__xludf.DUMMYFUNCTION("""COMPUTED_VALUE"""),44810.0)</f>
        <v>44810</v>
      </c>
      <c r="F369" s="198"/>
      <c r="G369" s="199">
        <f>IFERROR(__xludf.DUMMYFUNCTION("""COMPUTED_VALUE"""),37.3)</f>
        <v>37.3</v>
      </c>
      <c r="H369" s="197">
        <f>IFERROR(__xludf.DUMMYFUNCTION("""COMPUTED_VALUE"""),44810.0)</f>
        <v>44810</v>
      </c>
      <c r="I369" s="199">
        <f>IFERROR(__xludf.DUMMYFUNCTION("""COMPUTED_VALUE"""),0.0)</f>
        <v>0</v>
      </c>
      <c r="J369" s="200">
        <f>IFERROR(__xludf.DUMMYFUNCTION("""COMPUTED_VALUE"""),75.0)</f>
        <v>75</v>
      </c>
      <c r="K369" s="200">
        <f>IFERROR(__xludf.DUMMYFUNCTION("""COMPUTED_VALUE"""),15.5)</f>
        <v>15.5</v>
      </c>
      <c r="L369" s="201" t="str">
        <f>IFERROR(__xludf.DUMMYFUNCTION("""COMPUTED_VALUE"""),"Simulation")</f>
        <v>Simulation</v>
      </c>
      <c r="M369" s="201"/>
    </row>
    <row r="370">
      <c r="A370" s="190" t="str">
        <f>IFERROR(__xludf.DUMMYFUNCTION("""COMPUTED_VALUE"""),"GRID: Legends")</f>
        <v>GRID: Legends</v>
      </c>
      <c r="B370" s="195" t="str">
        <f>IFERROR(__xludf.DUMMYFUNCTION("""COMPUTED_VALUE"""),"Xbox / PC")</f>
        <v>Xbox / PC</v>
      </c>
      <c r="C370" s="196" t="str">
        <f>IFERROR(__xludf.DUMMYFUNCTION("""COMPUTED_VALUE"""),"Yes")</f>
        <v>Yes</v>
      </c>
      <c r="D370" s="196" t="str">
        <f>IFERROR(__xludf.DUMMYFUNCTION("""COMPUTED_VALUE"""),"Active")</f>
        <v>Active</v>
      </c>
      <c r="E370" s="197">
        <f>IFERROR(__xludf.DUMMYFUNCTION("""COMPUTED_VALUE"""),44805.0)</f>
        <v>44805</v>
      </c>
      <c r="F370" s="198"/>
      <c r="G370" s="199">
        <f>IFERROR(__xludf.DUMMYFUNCTION("""COMPUTED_VALUE"""),37.46666666666667)</f>
        <v>37.46666667</v>
      </c>
      <c r="H370" s="197">
        <f>IFERROR(__xludf.DUMMYFUNCTION("""COMPUTED_VALUE"""),44617.0)</f>
        <v>44617</v>
      </c>
      <c r="I370" s="199">
        <f>IFERROR(__xludf.DUMMYFUNCTION("""COMPUTED_VALUE"""),0.5166666666666667)</f>
        <v>0.5166666667</v>
      </c>
      <c r="J370" s="200">
        <f>IFERROR(__xludf.DUMMYFUNCTION("""COMPUTED_VALUE"""),75.0)</f>
        <v>75</v>
      </c>
      <c r="K370" s="200">
        <f>IFERROR(__xludf.DUMMYFUNCTION("""COMPUTED_VALUE"""),6.0)</f>
        <v>6</v>
      </c>
      <c r="L370" s="201" t="str">
        <f>IFERROR(__xludf.DUMMYFUNCTION("""COMPUTED_VALUE"""),"Driving/Racing")</f>
        <v>Driving/Racing</v>
      </c>
      <c r="M370" s="201"/>
    </row>
    <row r="371">
      <c r="A371" s="190" t="str">
        <f>IFERROR(__xludf.DUMMYFUNCTION("""COMPUTED_VALUE"""),"NBA LIVE 19")</f>
        <v>NBA LIVE 19</v>
      </c>
      <c r="B371" s="195" t="str">
        <f>IFERROR(__xludf.DUMMYFUNCTION("""COMPUTED_VALUE"""),"Xbox")</f>
        <v>Xbox</v>
      </c>
      <c r="C371" s="196"/>
      <c r="D371" s="196" t="str">
        <f>IFERROR(__xludf.DUMMYFUNCTION("""COMPUTED_VALUE"""),"Active")</f>
        <v>Active</v>
      </c>
      <c r="E371" s="197">
        <f>IFERROR(__xludf.DUMMYFUNCTION("""COMPUTED_VALUE"""),44145.0)</f>
        <v>44145</v>
      </c>
      <c r="F371" s="198"/>
      <c r="G371" s="199">
        <f>IFERROR(__xludf.DUMMYFUNCTION("""COMPUTED_VALUE"""),59.166666666666664)</f>
        <v>59.16666667</v>
      </c>
      <c r="H371" s="197">
        <f>IFERROR(__xludf.DUMMYFUNCTION("""COMPUTED_VALUE"""),43350.0)</f>
        <v>43350</v>
      </c>
      <c r="I371" s="199">
        <f>IFERROR(__xludf.DUMMYFUNCTION("""COMPUTED_VALUE"""),2.175)</f>
        <v>2.175</v>
      </c>
      <c r="J371" s="200">
        <f>IFERROR(__xludf.DUMMYFUNCTION("""COMPUTED_VALUE"""),75.0)</f>
        <v>75</v>
      </c>
      <c r="K371" s="200">
        <f>IFERROR(__xludf.DUMMYFUNCTION("""COMPUTED_VALUE"""),27.5)</f>
        <v>27.5</v>
      </c>
      <c r="L371" s="201" t="str">
        <f>IFERROR(__xludf.DUMMYFUNCTION("""COMPUTED_VALUE"""),"Sports / Basketball")</f>
        <v>Sports / Basketball</v>
      </c>
      <c r="M371" s="201"/>
    </row>
    <row r="372">
      <c r="A372" s="190" t="str">
        <f>IFERROR(__xludf.DUMMYFUNCTION("""COMPUTED_VALUE"""),"Need for Speed: Rivals - Complete Edition")</f>
        <v>Need for Speed: Rivals - Complete Edition</v>
      </c>
      <c r="B372" s="195" t="str">
        <f>IFERROR(__xludf.DUMMYFUNCTION("""COMPUTED_VALUE"""),"Xbox / PC")</f>
        <v>Xbox / PC</v>
      </c>
      <c r="C372" s="196"/>
      <c r="D372" s="196" t="str">
        <f>IFERROR(__xludf.DUMMYFUNCTION("""COMPUTED_VALUE"""),"Active")</f>
        <v>Active</v>
      </c>
      <c r="E372" s="197">
        <f>IFERROR(__xludf.DUMMYFUNCTION("""COMPUTED_VALUE"""),44145.0)</f>
        <v>44145</v>
      </c>
      <c r="F372" s="198"/>
      <c r="G372" s="199">
        <f>IFERROR(__xludf.DUMMYFUNCTION("""COMPUTED_VALUE"""),59.166666666666664)</f>
        <v>59.16666667</v>
      </c>
      <c r="H372" s="197">
        <f>IFERROR(__xludf.DUMMYFUNCTION("""COMPUTED_VALUE"""),41593.0)</f>
        <v>41593</v>
      </c>
      <c r="I372" s="199">
        <f>IFERROR(__xludf.DUMMYFUNCTION("""COMPUTED_VALUE"""),6.986111111111111)</f>
        <v>6.986111111</v>
      </c>
      <c r="J372" s="200">
        <f>IFERROR(__xludf.DUMMYFUNCTION("""COMPUTED_VALUE"""),75.0)</f>
        <v>75</v>
      </c>
      <c r="K372" s="200">
        <f>IFERROR(__xludf.DUMMYFUNCTION("""COMPUTED_VALUE"""),13.0)</f>
        <v>13</v>
      </c>
      <c r="L372" s="201" t="str">
        <f>IFERROR(__xludf.DUMMYFUNCTION("""COMPUTED_VALUE"""),"Driving/Racing")</f>
        <v>Driving/Racing</v>
      </c>
      <c r="M372" s="201"/>
    </row>
    <row r="373">
      <c r="A373" s="190" t="str">
        <f>IFERROR(__xludf.DUMMYFUNCTION("""COMPUTED_VALUE"""),"Star Wars Battlefront: Ultimate Edition")</f>
        <v>Star Wars Battlefront: Ultimate Edition</v>
      </c>
      <c r="B373" s="195" t="str">
        <f>IFERROR(__xludf.DUMMYFUNCTION("""COMPUTED_VALUE"""),"Xbox / PC")</f>
        <v>Xbox / PC</v>
      </c>
      <c r="C373" s="196"/>
      <c r="D373" s="196" t="str">
        <f>IFERROR(__xludf.DUMMYFUNCTION("""COMPUTED_VALUE"""),"Active")</f>
        <v>Active</v>
      </c>
      <c r="E373" s="197">
        <f>IFERROR(__xludf.DUMMYFUNCTION("""COMPUTED_VALUE"""),44145.0)</f>
        <v>44145</v>
      </c>
      <c r="F373" s="198"/>
      <c r="G373" s="199">
        <f>IFERROR(__xludf.DUMMYFUNCTION("""COMPUTED_VALUE"""),59.166666666666664)</f>
        <v>59.16666667</v>
      </c>
      <c r="H373" s="197">
        <f>IFERROR(__xludf.DUMMYFUNCTION("""COMPUTED_VALUE"""),42325.0)</f>
        <v>42325</v>
      </c>
      <c r="I373" s="199">
        <f>IFERROR(__xludf.DUMMYFUNCTION("""COMPUTED_VALUE"""),4.980555555555555)</f>
        <v>4.980555556</v>
      </c>
      <c r="J373" s="200">
        <f>IFERROR(__xludf.DUMMYFUNCTION("""COMPUTED_VALUE"""),75.0)</f>
        <v>75</v>
      </c>
      <c r="K373" s="200">
        <f>IFERROR(__xludf.DUMMYFUNCTION("""COMPUTED_VALUE"""),14.5)</f>
        <v>14.5</v>
      </c>
      <c r="L373" s="201" t="str">
        <f>IFERROR(__xludf.DUMMYFUNCTION("""COMPUTED_VALUE"""),"Action / Shooter")</f>
        <v>Action / Shooter</v>
      </c>
      <c r="M373" s="201" t="str">
        <f>IFERROR(__xludf.DUMMYFUNCTION("""COMPUTED_VALUE"""),"FPS Boost")</f>
        <v>FPS Boost</v>
      </c>
    </row>
    <row r="374">
      <c r="A374" s="190" t="str">
        <f>IFERROR(__xludf.DUMMYFUNCTION("""COMPUTED_VALUE"""),"Unravel")</f>
        <v>Unravel</v>
      </c>
      <c r="B374" s="195" t="str">
        <f>IFERROR(__xludf.DUMMYFUNCTION("""COMPUTED_VALUE"""),"Xbox / PC")</f>
        <v>Xbox / PC</v>
      </c>
      <c r="C374" s="196"/>
      <c r="D374" s="196" t="str">
        <f>IFERROR(__xludf.DUMMYFUNCTION("""COMPUTED_VALUE"""),"Active")</f>
        <v>Active</v>
      </c>
      <c r="E374" s="197">
        <f>IFERROR(__xludf.DUMMYFUNCTION("""COMPUTED_VALUE"""),44145.0)</f>
        <v>44145</v>
      </c>
      <c r="F374" s="198"/>
      <c r="G374" s="199">
        <f>IFERROR(__xludf.DUMMYFUNCTION("""COMPUTED_VALUE"""),59.166666666666664)</f>
        <v>59.16666667</v>
      </c>
      <c r="H374" s="197">
        <f>IFERROR(__xludf.DUMMYFUNCTION("""COMPUTED_VALUE"""),42409.0)</f>
        <v>42409</v>
      </c>
      <c r="I374" s="199">
        <f>IFERROR(__xludf.DUMMYFUNCTION("""COMPUTED_VALUE"""),4.752777777777778)</f>
        <v>4.752777778</v>
      </c>
      <c r="J374" s="200">
        <f>IFERROR(__xludf.DUMMYFUNCTION("""COMPUTED_VALUE"""),75.0)</f>
        <v>75</v>
      </c>
      <c r="K374" s="200">
        <f>IFERROR(__xludf.DUMMYFUNCTION("""COMPUTED_VALUE"""),6.0)</f>
        <v>6</v>
      </c>
      <c r="L374" s="201" t="str">
        <f>IFERROR(__xludf.DUMMYFUNCTION("""COMPUTED_VALUE"""),"Puzzle / Platformer")</f>
        <v>Puzzle / Platformer</v>
      </c>
      <c r="M374" s="201"/>
    </row>
    <row r="375">
      <c r="A375" s="190" t="str">
        <f>IFERROR(__xludf.DUMMYFUNCTION("""COMPUTED_VALUE"""),"Monopoly (2024)")</f>
        <v>Monopoly (2024)</v>
      </c>
      <c r="B375" s="195" t="str">
        <f>IFERROR(__xludf.DUMMYFUNCTION("""COMPUTED_VALUE"""),"Xbox / PC")</f>
        <v>Xbox / PC</v>
      </c>
      <c r="C375" s="196" t="str">
        <f>IFERROR(__xludf.DUMMYFUNCTION("""COMPUTED_VALUE"""),"Yes")</f>
        <v>Yes</v>
      </c>
      <c r="D375" s="196" t="str">
        <f>IFERROR(__xludf.DUMMYFUNCTION("""COMPUTED_VALUE"""),"Active")</f>
        <v>Active</v>
      </c>
      <c r="E375" s="197">
        <f>IFERROR(__xludf.DUMMYFUNCTION("""COMPUTED_VALUE"""),45931.0)</f>
        <v>45931</v>
      </c>
      <c r="F375" s="198"/>
      <c r="G375" s="199">
        <f>IFERROR(__xludf.DUMMYFUNCTION("""COMPUTED_VALUE"""),0.4666666666666667)</f>
        <v>0.4666666667</v>
      </c>
      <c r="H375" s="197">
        <f>IFERROR(__xludf.DUMMYFUNCTION("""COMPUTED_VALUE"""),45561.0)</f>
        <v>45561</v>
      </c>
      <c r="I375" s="199">
        <f>IFERROR(__xludf.DUMMYFUNCTION("""COMPUTED_VALUE"""),1.0138888888888888)</f>
        <v>1.013888889</v>
      </c>
      <c r="J375" s="200">
        <f>IFERROR(__xludf.DUMMYFUNCTION("""COMPUTED_VALUE"""),74.0)</f>
        <v>74</v>
      </c>
      <c r="K375" s="200">
        <f>IFERROR(__xludf.DUMMYFUNCTION("""COMPUTED_VALUE"""),14.0)</f>
        <v>14</v>
      </c>
      <c r="L375" s="201" t="str">
        <f>IFERROR(__xludf.DUMMYFUNCTION("""COMPUTED_VALUE"""),"Board")</f>
        <v>Board</v>
      </c>
      <c r="M375" s="201"/>
    </row>
    <row r="376">
      <c r="A376" s="190" t="str">
        <f>IFERROR(__xludf.DUMMYFUNCTION("""COMPUTED_VALUE"""),"Starlink: Battle for Atlas")</f>
        <v>Starlink: Battle for Atlas</v>
      </c>
      <c r="B376" s="195" t="str">
        <f>IFERROR(__xludf.DUMMYFUNCTION("""COMPUTED_VALUE"""),"Xbox / PC")</f>
        <v>Xbox / PC</v>
      </c>
      <c r="C376" s="196" t="str">
        <f>IFERROR(__xludf.DUMMYFUNCTION("""COMPUTED_VALUE"""),"Yes")</f>
        <v>Yes</v>
      </c>
      <c r="D376" s="196" t="str">
        <f>IFERROR(__xludf.DUMMYFUNCTION("""COMPUTED_VALUE"""),"Active")</f>
        <v>Active</v>
      </c>
      <c r="E376" s="197">
        <f>IFERROR(__xludf.DUMMYFUNCTION("""COMPUTED_VALUE"""),45931.0)</f>
        <v>45931</v>
      </c>
      <c r="F376" s="198"/>
      <c r="G376" s="199">
        <f>IFERROR(__xludf.DUMMYFUNCTION("""COMPUTED_VALUE"""),0.4666666666666667)</f>
        <v>0.4666666667</v>
      </c>
      <c r="H376" s="197">
        <f>IFERROR(__xludf.DUMMYFUNCTION("""COMPUTED_VALUE"""),43389.0)</f>
        <v>43389</v>
      </c>
      <c r="I376" s="199">
        <f>IFERROR(__xludf.DUMMYFUNCTION("""COMPUTED_VALUE"""),6.958333333333333)</f>
        <v>6.958333333</v>
      </c>
      <c r="J376" s="200">
        <f>IFERROR(__xludf.DUMMYFUNCTION("""COMPUTED_VALUE"""),74.0)</f>
        <v>74</v>
      </c>
      <c r="K376" s="200">
        <f>IFERROR(__xludf.DUMMYFUNCTION("""COMPUTED_VALUE"""),15.0)</f>
        <v>15</v>
      </c>
      <c r="L376" s="201" t="str">
        <f>IFERROR(__xludf.DUMMYFUNCTION("""COMPUTED_VALUE"""),"Simulation")</f>
        <v>Simulation</v>
      </c>
      <c r="M376" s="201"/>
    </row>
    <row r="377">
      <c r="A377" s="190" t="str">
        <f>IFERROR(__xludf.DUMMYFUNCTION("""COMPUTED_VALUE"""),"WUCHANG: Fallen Feathers")</f>
        <v>WUCHANG: Fallen Feathers</v>
      </c>
      <c r="B377" s="195" t="str">
        <f>IFERROR(__xludf.DUMMYFUNCTION("""COMPUTED_VALUE"""),"Xbox / PC")</f>
        <v>Xbox / PC</v>
      </c>
      <c r="C377" s="196" t="str">
        <f>IFERROR(__xludf.DUMMYFUNCTION("""COMPUTED_VALUE"""),"Yes")</f>
        <v>Yes</v>
      </c>
      <c r="D377" s="196" t="str">
        <f>IFERROR(__xludf.DUMMYFUNCTION("""COMPUTED_VALUE"""),"Active")</f>
        <v>Active</v>
      </c>
      <c r="E377" s="197">
        <f>IFERROR(__xludf.DUMMYFUNCTION("""COMPUTED_VALUE"""),45862.0)</f>
        <v>45862</v>
      </c>
      <c r="F377" s="198"/>
      <c r="G377" s="199">
        <f>IFERROR(__xludf.DUMMYFUNCTION("""COMPUTED_VALUE"""),2.7)</f>
        <v>2.7</v>
      </c>
      <c r="H377" s="197">
        <f>IFERROR(__xludf.DUMMYFUNCTION("""COMPUTED_VALUE"""),45862.0)</f>
        <v>45862</v>
      </c>
      <c r="I377" s="199">
        <f>IFERROR(__xludf.DUMMYFUNCTION("""COMPUTED_VALUE"""),0.0)</f>
        <v>0</v>
      </c>
      <c r="J377" s="200">
        <f>IFERROR(__xludf.DUMMYFUNCTION("""COMPUTED_VALUE"""),74.0)</f>
        <v>74</v>
      </c>
      <c r="K377" s="200">
        <f>IFERROR(__xludf.DUMMYFUNCTION("""COMPUTED_VALUE"""),32.0)</f>
        <v>32</v>
      </c>
      <c r="L377" s="201" t="str">
        <f>IFERROR(__xludf.DUMMYFUNCTION("""COMPUTED_VALUE"""),"RPG")</f>
        <v>RPG</v>
      </c>
      <c r="M377" s="201" t="str">
        <f>IFERROR(__xludf.DUMMYFUNCTION("""COMPUTED_VALUE"""),"Exclusive")</f>
        <v>Exclusive</v>
      </c>
    </row>
    <row r="378">
      <c r="A378" s="190" t="str">
        <f>IFERROR(__xludf.DUMMYFUNCTION("""COMPUTED_VALUE"""),"Tempopo")</f>
        <v>Tempopo</v>
      </c>
      <c r="B378" s="195" t="str">
        <f>IFERROR(__xludf.DUMMYFUNCTION("""COMPUTED_VALUE"""),"Xbox / PC")</f>
        <v>Xbox / PC</v>
      </c>
      <c r="C378" s="196" t="str">
        <f>IFERROR(__xludf.DUMMYFUNCTION("""COMPUTED_VALUE"""),"Yes")</f>
        <v>Yes</v>
      </c>
      <c r="D378" s="196" t="str">
        <f>IFERROR(__xludf.DUMMYFUNCTION("""COMPUTED_VALUE"""),"Active")</f>
        <v>Active</v>
      </c>
      <c r="E378" s="197">
        <f>IFERROR(__xludf.DUMMYFUNCTION("""COMPUTED_VALUE"""),45764.0)</f>
        <v>45764</v>
      </c>
      <c r="F378" s="198"/>
      <c r="G378" s="199">
        <f>IFERROR(__xludf.DUMMYFUNCTION("""COMPUTED_VALUE"""),5.933333333333334)</f>
        <v>5.933333333</v>
      </c>
      <c r="H378" s="197">
        <f>IFERROR(__xludf.DUMMYFUNCTION("""COMPUTED_VALUE"""),45764.0)</f>
        <v>45764</v>
      </c>
      <c r="I378" s="199">
        <f>IFERROR(__xludf.DUMMYFUNCTION("""COMPUTED_VALUE"""),0.0)</f>
        <v>0</v>
      </c>
      <c r="J378" s="200">
        <f>IFERROR(__xludf.DUMMYFUNCTION("""COMPUTED_VALUE"""),74.0)</f>
        <v>74</v>
      </c>
      <c r="K378" s="200">
        <f>IFERROR(__xludf.DUMMYFUNCTION("""COMPUTED_VALUE"""),5.0)</f>
        <v>5</v>
      </c>
      <c r="L378" s="201" t="str">
        <f>IFERROR(__xludf.DUMMYFUNCTION("""COMPUTED_VALUE"""),"Acton Puzzle")</f>
        <v>Acton Puzzle</v>
      </c>
      <c r="M378" s="201"/>
    </row>
    <row r="379">
      <c r="A379" s="190" t="str">
        <f>IFERROR(__xludf.DUMMYFUNCTION("""COMPUTED_VALUE"""),"Star Trucker")</f>
        <v>Star Trucker</v>
      </c>
      <c r="B379" s="195" t="str">
        <f>IFERROR(__xludf.DUMMYFUNCTION("""COMPUTED_VALUE"""),"Xbox / PC")</f>
        <v>Xbox / PC</v>
      </c>
      <c r="C379" s="196" t="str">
        <f>IFERROR(__xludf.DUMMYFUNCTION("""COMPUTED_VALUE"""),"Yes")</f>
        <v>Yes</v>
      </c>
      <c r="D379" s="196" t="str">
        <f>IFERROR(__xludf.DUMMYFUNCTION("""COMPUTED_VALUE"""),"Active")</f>
        <v>Active</v>
      </c>
      <c r="E379" s="197">
        <f>IFERROR(__xludf.DUMMYFUNCTION("""COMPUTED_VALUE"""),45538.0)</f>
        <v>45538</v>
      </c>
      <c r="F379" s="198"/>
      <c r="G379" s="199">
        <f>IFERROR(__xludf.DUMMYFUNCTION("""COMPUTED_VALUE"""),13.4)</f>
        <v>13.4</v>
      </c>
      <c r="H379" s="197">
        <f>IFERROR(__xludf.DUMMYFUNCTION("""COMPUTED_VALUE"""),45538.0)</f>
        <v>45538</v>
      </c>
      <c r="I379" s="199">
        <f>IFERROR(__xludf.DUMMYFUNCTION("""COMPUTED_VALUE"""),0.0)</f>
        <v>0</v>
      </c>
      <c r="J379" s="200">
        <f>IFERROR(__xludf.DUMMYFUNCTION("""COMPUTED_VALUE"""),74.0)</f>
        <v>74</v>
      </c>
      <c r="K379" s="200">
        <f>IFERROR(__xludf.DUMMYFUNCTION("""COMPUTED_VALUE"""),25.0)</f>
        <v>25</v>
      </c>
      <c r="L379" s="201" t="str">
        <f>IFERROR(__xludf.DUMMYFUNCTION("""COMPUTED_VALUE"""),"Simulation")</f>
        <v>Simulation</v>
      </c>
      <c r="M379" s="201"/>
    </row>
    <row r="380">
      <c r="A380" s="190" t="str">
        <f>IFERROR(__xludf.DUMMYFUNCTION("""COMPUTED_VALUE"""),"Still Wakes the Deep")</f>
        <v>Still Wakes the Deep</v>
      </c>
      <c r="B380" s="195" t="str">
        <f>IFERROR(__xludf.DUMMYFUNCTION("""COMPUTED_VALUE"""),"Xbox / PC")</f>
        <v>Xbox / PC</v>
      </c>
      <c r="C380" s="196" t="str">
        <f>IFERROR(__xludf.DUMMYFUNCTION("""COMPUTED_VALUE"""),"Yes")</f>
        <v>Yes</v>
      </c>
      <c r="D380" s="196" t="str">
        <f>IFERROR(__xludf.DUMMYFUNCTION("""COMPUTED_VALUE"""),"Active")</f>
        <v>Active</v>
      </c>
      <c r="E380" s="197">
        <f>IFERROR(__xludf.DUMMYFUNCTION("""COMPUTED_VALUE"""),45461.0)</f>
        <v>45461</v>
      </c>
      <c r="F380" s="198"/>
      <c r="G380" s="199">
        <f>IFERROR(__xludf.DUMMYFUNCTION("""COMPUTED_VALUE"""),15.899999999999999)</f>
        <v>15.9</v>
      </c>
      <c r="H380" s="197">
        <f>IFERROR(__xludf.DUMMYFUNCTION("""COMPUTED_VALUE"""),45461.0)</f>
        <v>45461</v>
      </c>
      <c r="I380" s="199">
        <f>IFERROR(__xludf.DUMMYFUNCTION("""COMPUTED_VALUE"""),0.0)</f>
        <v>0</v>
      </c>
      <c r="J380" s="200">
        <f>IFERROR(__xludf.DUMMYFUNCTION("""COMPUTED_VALUE"""),74.0)</f>
        <v>74</v>
      </c>
      <c r="K380" s="200">
        <f>IFERROR(__xludf.DUMMYFUNCTION("""COMPUTED_VALUE"""),5.0)</f>
        <v>5</v>
      </c>
      <c r="L380" s="201" t="str">
        <f>IFERROR(__xludf.DUMMYFUNCTION("""COMPUTED_VALUE"""),"Survival")</f>
        <v>Survival</v>
      </c>
      <c r="M380" s="201" t="str">
        <f>IFERROR(__xludf.DUMMYFUNCTION("""COMPUTED_VALUE"""),"Exclusive")</f>
        <v>Exclusive</v>
      </c>
    </row>
    <row r="381">
      <c r="A381" s="190" t="str">
        <f>IFERROR(__xludf.DUMMYFUNCTION("""COMPUTED_VALUE"""),"SteamWorld Build")</f>
        <v>SteamWorld Build</v>
      </c>
      <c r="B381" s="195" t="str">
        <f>IFERROR(__xludf.DUMMYFUNCTION("""COMPUTED_VALUE"""),"Xbox / PC")</f>
        <v>Xbox / PC</v>
      </c>
      <c r="C381" s="196" t="str">
        <f>IFERROR(__xludf.DUMMYFUNCTION("""COMPUTED_VALUE"""),"Yes")</f>
        <v>Yes</v>
      </c>
      <c r="D381" s="196" t="str">
        <f>IFERROR(__xludf.DUMMYFUNCTION("""COMPUTED_VALUE"""),"Active")</f>
        <v>Active</v>
      </c>
      <c r="E381" s="197">
        <f>IFERROR(__xludf.DUMMYFUNCTION("""COMPUTED_VALUE"""),45261.0)</f>
        <v>45261</v>
      </c>
      <c r="F381" s="198"/>
      <c r="G381" s="199">
        <f>IFERROR(__xludf.DUMMYFUNCTION("""COMPUTED_VALUE"""),22.46666666666667)</f>
        <v>22.46666667</v>
      </c>
      <c r="H381" s="197">
        <f>IFERROR(__xludf.DUMMYFUNCTION("""COMPUTED_VALUE"""),45261.0)</f>
        <v>45261</v>
      </c>
      <c r="I381" s="199">
        <f>IFERROR(__xludf.DUMMYFUNCTION("""COMPUTED_VALUE"""),0.0)</f>
        <v>0</v>
      </c>
      <c r="J381" s="200">
        <f>IFERROR(__xludf.DUMMYFUNCTION("""COMPUTED_VALUE"""),74.0)</f>
        <v>74</v>
      </c>
      <c r="K381" s="200">
        <f>IFERROR(__xludf.DUMMYFUNCTION("""COMPUTED_VALUE"""),9.0)</f>
        <v>9</v>
      </c>
      <c r="L381" s="201" t="str">
        <f>IFERROR(__xludf.DUMMYFUNCTION("""COMPUTED_VALUE"""),"Strategy / Simulation")</f>
        <v>Strategy / Simulation</v>
      </c>
      <c r="M381" s="201"/>
    </row>
    <row r="382">
      <c r="A382" s="190" t="str">
        <f>IFERROR(__xludf.DUMMYFUNCTION("""COMPUTED_VALUE"""),"Costume Quest")</f>
        <v>Costume Quest</v>
      </c>
      <c r="B382" s="195" t="str">
        <f>IFERROR(__xludf.DUMMYFUNCTION("""COMPUTED_VALUE"""),"Xbox")</f>
        <v>Xbox</v>
      </c>
      <c r="C382" s="196" t="str">
        <f>IFERROR(__xludf.DUMMYFUNCTION("""COMPUTED_VALUE"""),"Yes")</f>
        <v>Yes</v>
      </c>
      <c r="D382" s="196" t="str">
        <f>IFERROR(__xludf.DUMMYFUNCTION("""COMPUTED_VALUE"""),"Active")</f>
        <v>Active</v>
      </c>
      <c r="E382" s="197">
        <f>IFERROR(__xludf.DUMMYFUNCTION("""COMPUTED_VALUE"""),44845.0)</f>
        <v>44845</v>
      </c>
      <c r="F382" s="198"/>
      <c r="G382" s="199">
        <f>IFERROR(__xludf.DUMMYFUNCTION("""COMPUTED_VALUE"""),36.13333333333333)</f>
        <v>36.13333333</v>
      </c>
      <c r="H382" s="197">
        <f>IFERROR(__xludf.DUMMYFUNCTION("""COMPUTED_VALUE"""),40471.0)</f>
        <v>40471</v>
      </c>
      <c r="I382" s="199">
        <f>IFERROR(__xludf.DUMMYFUNCTION("""COMPUTED_VALUE"""),11.975)</f>
        <v>11.975</v>
      </c>
      <c r="J382" s="200">
        <f>IFERROR(__xludf.DUMMYFUNCTION("""COMPUTED_VALUE"""),74.0)</f>
        <v>74</v>
      </c>
      <c r="K382" s="200">
        <f>IFERROR(__xludf.DUMMYFUNCTION("""COMPUTED_VALUE"""),5.5)</f>
        <v>5.5</v>
      </c>
      <c r="L382" s="201" t="str">
        <f>IFERROR(__xludf.DUMMYFUNCTION("""COMPUTED_VALUE"""),"RPG")</f>
        <v>RPG</v>
      </c>
      <c r="M382" s="201"/>
    </row>
    <row r="383">
      <c r="A383" s="190" t="str">
        <f>IFERROR(__xludf.DUMMYFUNCTION("""COMPUTED_VALUE"""),"Need for Speed: Heat - Deluxe Edition")</f>
        <v>Need for Speed: Heat - Deluxe Edition</v>
      </c>
      <c r="B383" s="195" t="str">
        <f>IFERROR(__xludf.DUMMYFUNCTION("""COMPUTED_VALUE"""),"Xbox / PC")</f>
        <v>Xbox / PC</v>
      </c>
      <c r="C383" s="196" t="str">
        <f>IFERROR(__xludf.DUMMYFUNCTION("""COMPUTED_VALUE"""),"Touch Controls")</f>
        <v>Touch Controls</v>
      </c>
      <c r="D383" s="196" t="str">
        <f>IFERROR(__xludf.DUMMYFUNCTION("""COMPUTED_VALUE"""),"Active")</f>
        <v>Active</v>
      </c>
      <c r="E383" s="197">
        <f>IFERROR(__xludf.DUMMYFUNCTION("""COMPUTED_VALUE"""),44145.0)</f>
        <v>44145</v>
      </c>
      <c r="F383" s="198"/>
      <c r="G383" s="199">
        <f>IFERROR(__xludf.DUMMYFUNCTION("""COMPUTED_VALUE"""),59.166666666666664)</f>
        <v>59.16666667</v>
      </c>
      <c r="H383" s="197">
        <f>IFERROR(__xludf.DUMMYFUNCTION("""COMPUTED_VALUE"""),43777.0)</f>
        <v>43777</v>
      </c>
      <c r="I383" s="199">
        <f>IFERROR(__xludf.DUMMYFUNCTION("""COMPUTED_VALUE"""),1.0055555555555555)</f>
        <v>1.005555556</v>
      </c>
      <c r="J383" s="200">
        <f>IFERROR(__xludf.DUMMYFUNCTION("""COMPUTED_VALUE"""),74.0)</f>
        <v>74</v>
      </c>
      <c r="K383" s="200">
        <f>IFERROR(__xludf.DUMMYFUNCTION("""COMPUTED_VALUE"""),12.5)</f>
        <v>12.5</v>
      </c>
      <c r="L383" s="201" t="str">
        <f>IFERROR(__xludf.DUMMYFUNCTION("""COMPUTED_VALUE"""),"Driving/Racing")</f>
        <v>Driving/Racing</v>
      </c>
      <c r="M383" s="201"/>
    </row>
    <row r="384">
      <c r="A384" s="190" t="str">
        <f>IFERROR(__xludf.DUMMYFUNCTION("""COMPUTED_VALUE"""),"Tom Clancy's Rainbow Six: Siege - Deluxe Edition")</f>
        <v>Tom Clancy's Rainbow Six: Siege - Deluxe Edition</v>
      </c>
      <c r="B384" s="195" t="str">
        <f>IFERROR(__xludf.DUMMYFUNCTION("""COMPUTED_VALUE"""),"Xbox / PC")</f>
        <v>Xbox / PC</v>
      </c>
      <c r="C384" s="196" t="str">
        <f>IFERROR(__xludf.DUMMYFUNCTION("""COMPUTED_VALUE"""),"Yes")</f>
        <v>Yes</v>
      </c>
      <c r="D384" s="196" t="str">
        <f>IFERROR(__xludf.DUMMYFUNCTION("""COMPUTED_VALUE"""),"Active")</f>
        <v>Active</v>
      </c>
      <c r="E384" s="197">
        <f>IFERROR(__xludf.DUMMYFUNCTION("""COMPUTED_VALUE"""),44126.0)</f>
        <v>44126</v>
      </c>
      <c r="F384" s="198"/>
      <c r="G384" s="199">
        <f>IFERROR(__xludf.DUMMYFUNCTION("""COMPUTED_VALUE"""),59.766666666666666)</f>
        <v>59.76666667</v>
      </c>
      <c r="H384" s="197">
        <f>IFERROR(__xludf.DUMMYFUNCTION("""COMPUTED_VALUE"""),42339.0)</f>
        <v>42339</v>
      </c>
      <c r="I384" s="199">
        <f>IFERROR(__xludf.DUMMYFUNCTION("""COMPUTED_VALUE"""),4.891666666666667)</f>
        <v>4.891666667</v>
      </c>
      <c r="J384" s="200">
        <f>IFERROR(__xludf.DUMMYFUNCTION("""COMPUTED_VALUE"""),74.0)</f>
        <v>74</v>
      </c>
      <c r="K384" s="200">
        <f>IFERROR(__xludf.DUMMYFUNCTION("""COMPUTED_VALUE"""),7.5)</f>
        <v>7.5</v>
      </c>
      <c r="L384" s="201" t="str">
        <f>IFERROR(__xludf.DUMMYFUNCTION("""COMPUTED_VALUE"""),"First-Person Shooter")</f>
        <v>First-Person Shooter</v>
      </c>
      <c r="M384" s="201" t="str">
        <f>IFERROR(__xludf.DUMMYFUNCTION("""COMPUTED_VALUE"""),"Optimized")</f>
        <v>Optimized</v>
      </c>
    </row>
    <row r="385">
      <c r="A385" s="190" t="str">
        <f>IFERROR(__xludf.DUMMYFUNCTION("""COMPUTED_VALUE"""),"MechWarrior 5: Mercenaries")</f>
        <v>MechWarrior 5: Mercenaries</v>
      </c>
      <c r="B385" s="195" t="str">
        <f>IFERROR(__xludf.DUMMYFUNCTION("""COMPUTED_VALUE"""),"Xbox / PC")</f>
        <v>Xbox / PC</v>
      </c>
      <c r="C385" s="196" t="str">
        <f>IFERROR(__xludf.DUMMYFUNCTION("""COMPUTED_VALUE"""),"Yes")</f>
        <v>Yes</v>
      </c>
      <c r="D385" s="196" t="str">
        <f>IFERROR(__xludf.DUMMYFUNCTION("""COMPUTED_VALUE"""),"Active")</f>
        <v>Active</v>
      </c>
      <c r="E385" s="197">
        <f>IFERROR(__xludf.DUMMYFUNCTION("""COMPUTED_VALUE"""),43958.0)</f>
        <v>43958</v>
      </c>
      <c r="F385" s="198"/>
      <c r="G385" s="199">
        <f>IFERROR(__xludf.DUMMYFUNCTION("""COMPUTED_VALUE"""),65.26666666666667)</f>
        <v>65.26666667</v>
      </c>
      <c r="H385" s="197">
        <f>IFERROR(__xludf.DUMMYFUNCTION("""COMPUTED_VALUE"""),43809.0)</f>
        <v>43809</v>
      </c>
      <c r="I385" s="199">
        <f>IFERROR(__xludf.DUMMYFUNCTION("""COMPUTED_VALUE"""),0.4083333333333333)</f>
        <v>0.4083333333</v>
      </c>
      <c r="J385" s="200">
        <f>IFERROR(__xludf.DUMMYFUNCTION("""COMPUTED_VALUE"""),74.0)</f>
        <v>74</v>
      </c>
      <c r="K385" s="200">
        <f>IFERROR(__xludf.DUMMYFUNCTION("""COMPUTED_VALUE"""),46.5)</f>
        <v>46.5</v>
      </c>
      <c r="L385" s="201" t="str">
        <f>IFERROR(__xludf.DUMMYFUNCTION("""COMPUTED_VALUE"""),"Action / Simulation / Shooter")</f>
        <v>Action / Simulation / Shooter</v>
      </c>
      <c r="M385" s="201"/>
    </row>
    <row r="386">
      <c r="A386" s="190" t="str">
        <f>IFERROR(__xludf.DUMMYFUNCTION("""COMPUTED_VALUE"""),"Phoenix Point")</f>
        <v>Phoenix Point</v>
      </c>
      <c r="B386" s="195" t="str">
        <f>IFERROR(__xludf.DUMMYFUNCTION("""COMPUTED_VALUE"""),"Xbox / PC")</f>
        <v>Xbox / PC</v>
      </c>
      <c r="C386" s="196" t="str">
        <f>IFERROR(__xludf.DUMMYFUNCTION("""COMPUTED_VALUE"""),"Touch Controls")</f>
        <v>Touch Controls</v>
      </c>
      <c r="D386" s="196" t="str">
        <f>IFERROR(__xludf.DUMMYFUNCTION("""COMPUTED_VALUE"""),"Active")</f>
        <v>Active</v>
      </c>
      <c r="E386" s="197">
        <f>IFERROR(__xludf.DUMMYFUNCTION("""COMPUTED_VALUE"""),43819.0)</f>
        <v>43819</v>
      </c>
      <c r="F386" s="198"/>
      <c r="G386" s="199">
        <f>IFERROR(__xludf.DUMMYFUNCTION("""COMPUTED_VALUE"""),69.83333333333334)</f>
        <v>69.83333333</v>
      </c>
      <c r="H386" s="197">
        <f>IFERROR(__xludf.DUMMYFUNCTION("""COMPUTED_VALUE"""),43802.0)</f>
        <v>43802</v>
      </c>
      <c r="I386" s="199">
        <f>IFERROR(__xludf.DUMMYFUNCTION("""COMPUTED_VALUE"""),0.04722222222222222)</f>
        <v>0.04722222222</v>
      </c>
      <c r="J386" s="200">
        <f>IFERROR(__xludf.DUMMYFUNCTION("""COMPUTED_VALUE"""),74.0)</f>
        <v>74</v>
      </c>
      <c r="K386" s="200">
        <f>IFERROR(__xludf.DUMMYFUNCTION("""COMPUTED_VALUE"""),32.0)</f>
        <v>32</v>
      </c>
      <c r="L386" s="201" t="str">
        <f>IFERROR(__xludf.DUMMYFUNCTION("""COMPUTED_VALUE"""),"Strategy")</f>
        <v>Strategy</v>
      </c>
      <c r="M386" s="201"/>
    </row>
    <row r="387">
      <c r="A387" s="190" t="str">
        <f>IFERROR(__xludf.DUMMYFUNCTION("""COMPUTED_VALUE"""),"The Evil Within")</f>
        <v>The Evil Within</v>
      </c>
      <c r="B387" s="195" t="str">
        <f>IFERROR(__xludf.DUMMYFUNCTION("""COMPUTED_VALUE"""),"Xbox / PC")</f>
        <v>Xbox / PC</v>
      </c>
      <c r="C387" s="196" t="str">
        <f>IFERROR(__xludf.DUMMYFUNCTION("""COMPUTED_VALUE"""),"Yes")</f>
        <v>Yes</v>
      </c>
      <c r="D387" s="196" t="str">
        <f>IFERROR(__xludf.DUMMYFUNCTION("""COMPUTED_VALUE"""),"Active")</f>
        <v>Active</v>
      </c>
      <c r="E387" s="197">
        <f>IFERROR(__xludf.DUMMYFUNCTION("""COMPUTED_VALUE"""),44267.0)</f>
        <v>44267</v>
      </c>
      <c r="F387" s="198"/>
      <c r="G387" s="199">
        <f>IFERROR(__xludf.DUMMYFUNCTION("""COMPUTED_VALUE"""),55.1)</f>
        <v>55.1</v>
      </c>
      <c r="H387" s="197">
        <f>IFERROR(__xludf.DUMMYFUNCTION("""COMPUTED_VALUE"""),41926.0)</f>
        <v>41926</v>
      </c>
      <c r="I387" s="199">
        <f>IFERROR(__xludf.DUMMYFUNCTION("""COMPUTED_VALUE"""),6.411111111111111)</f>
        <v>6.411111111</v>
      </c>
      <c r="J387" s="200">
        <f>IFERROR(__xludf.DUMMYFUNCTION("""COMPUTED_VALUE"""),73.5)</f>
        <v>73.5</v>
      </c>
      <c r="K387" s="200">
        <f>IFERROR(__xludf.DUMMYFUNCTION("""COMPUTED_VALUE"""),16.0)</f>
        <v>16</v>
      </c>
      <c r="L387" s="201" t="str">
        <f>IFERROR(__xludf.DUMMYFUNCTION("""COMPUTED_VALUE"""),"Shooter")</f>
        <v>Shooter</v>
      </c>
      <c r="M387" s="201"/>
    </row>
    <row r="388">
      <c r="A388" s="190" t="str">
        <f>IFERROR(__xludf.DUMMYFUNCTION("""COMPUTED_VALUE"""),"Evil West")</f>
        <v>Evil West</v>
      </c>
      <c r="B388" s="195" t="str">
        <f>IFERROR(__xludf.DUMMYFUNCTION("""COMPUTED_VALUE"""),"Xbox / PC")</f>
        <v>Xbox / PC</v>
      </c>
      <c r="C388" s="196" t="str">
        <f>IFERROR(__xludf.DUMMYFUNCTION("""COMPUTED_VALUE"""),"Yes")</f>
        <v>Yes</v>
      </c>
      <c r="D388" s="196" t="str">
        <f>IFERROR(__xludf.DUMMYFUNCTION("""COMPUTED_VALUE"""),"Coming Soon")</f>
        <v>Coming Soon</v>
      </c>
      <c r="E388" s="197">
        <f>IFERROR(__xludf.DUMMYFUNCTION("""COMPUTED_VALUE"""),45951.0)</f>
        <v>45951</v>
      </c>
      <c r="F388" s="198"/>
      <c r="G388" s="199">
        <f>IFERROR(__xludf.DUMMYFUNCTION("""COMPUTED_VALUE"""),-0.2)</f>
        <v>-0.2</v>
      </c>
      <c r="H388" s="197">
        <f>IFERROR(__xludf.DUMMYFUNCTION("""COMPUTED_VALUE"""),44887.0)</f>
        <v>44887</v>
      </c>
      <c r="I388" s="199">
        <f>IFERROR(__xludf.DUMMYFUNCTION("""COMPUTED_VALUE"""),2.9138888888888888)</f>
        <v>2.913888889</v>
      </c>
      <c r="J388" s="200">
        <f>IFERROR(__xludf.DUMMYFUNCTION("""COMPUTED_VALUE"""),73.0)</f>
        <v>73</v>
      </c>
      <c r="K388" s="200">
        <f>IFERROR(__xludf.DUMMYFUNCTION("""COMPUTED_VALUE"""),11.0)</f>
        <v>11</v>
      </c>
      <c r="L388" s="201" t="str">
        <f>IFERROR(__xludf.DUMMYFUNCTION("""COMPUTED_VALUE"""),"Shooter")</f>
        <v>Shooter</v>
      </c>
      <c r="M388" s="201"/>
    </row>
    <row r="389">
      <c r="A389" s="190" t="str">
        <f>IFERROR(__xludf.DUMMYFUNCTION("""COMPUTED_VALUE"""),"To a T")</f>
        <v>To a T</v>
      </c>
      <c r="B389" s="195" t="str">
        <f>IFERROR(__xludf.DUMMYFUNCTION("""COMPUTED_VALUE"""),"Xbox / PC")</f>
        <v>Xbox / PC</v>
      </c>
      <c r="C389" s="196" t="str">
        <f>IFERROR(__xludf.DUMMYFUNCTION("""COMPUTED_VALUE"""),"Yes")</f>
        <v>Yes</v>
      </c>
      <c r="D389" s="196" t="str">
        <f>IFERROR(__xludf.DUMMYFUNCTION("""COMPUTED_VALUE"""),"Active")</f>
        <v>Active</v>
      </c>
      <c r="E389" s="197">
        <f>IFERROR(__xludf.DUMMYFUNCTION("""COMPUTED_VALUE"""),45805.0)</f>
        <v>45805</v>
      </c>
      <c r="F389" s="198"/>
      <c r="G389" s="199">
        <f>IFERROR(__xludf.DUMMYFUNCTION("""COMPUTED_VALUE"""),4.566666666666666)</f>
        <v>4.566666667</v>
      </c>
      <c r="H389" s="197">
        <f>IFERROR(__xludf.DUMMYFUNCTION("""COMPUTED_VALUE"""),45805.0)</f>
        <v>45805</v>
      </c>
      <c r="I389" s="199">
        <f>IFERROR(__xludf.DUMMYFUNCTION("""COMPUTED_VALUE"""),0.0)</f>
        <v>0</v>
      </c>
      <c r="J389" s="200">
        <f>IFERROR(__xludf.DUMMYFUNCTION("""COMPUTED_VALUE"""),73.0)</f>
        <v>73</v>
      </c>
      <c r="K389" s="200">
        <f>IFERROR(__xludf.DUMMYFUNCTION("""COMPUTED_VALUE"""),6.0)</f>
        <v>6</v>
      </c>
      <c r="L389" s="201" t="str">
        <f>IFERROR(__xludf.DUMMYFUNCTION("""COMPUTED_VALUE"""),"Action-Adventure")</f>
        <v>Action-Adventure</v>
      </c>
      <c r="M389" s="201" t="str">
        <f>IFERROR(__xludf.DUMMYFUNCTION("""COMPUTED_VALUE"""),"Exclusive")</f>
        <v>Exclusive</v>
      </c>
    </row>
    <row r="390">
      <c r="A390" s="190" t="str">
        <f>IFERROR(__xludf.DUMMYFUNCTION("""COMPUTED_VALUE"""),"Kulebra and the Souls of Limbo")</f>
        <v>Kulebra and the Souls of Limbo</v>
      </c>
      <c r="B390" s="195" t="str">
        <f>IFERROR(__xludf.DUMMYFUNCTION("""COMPUTED_VALUE"""),"Xbox / PC")</f>
        <v>Xbox / PC</v>
      </c>
      <c r="C390" s="196" t="str">
        <f>IFERROR(__xludf.DUMMYFUNCTION("""COMPUTED_VALUE"""),"Yes")</f>
        <v>Yes</v>
      </c>
      <c r="D390" s="196" t="str">
        <f>IFERROR(__xludf.DUMMYFUNCTION("""COMPUTED_VALUE"""),"Active")</f>
        <v>Active</v>
      </c>
      <c r="E390" s="197">
        <f>IFERROR(__xludf.DUMMYFUNCTION("""COMPUTED_VALUE"""),45793.0)</f>
        <v>45793</v>
      </c>
      <c r="F390" s="198"/>
      <c r="G390" s="199">
        <f>IFERROR(__xludf.DUMMYFUNCTION("""COMPUTED_VALUE"""),4.966666666666667)</f>
        <v>4.966666667</v>
      </c>
      <c r="H390" s="197">
        <f>IFERROR(__xludf.DUMMYFUNCTION("""COMPUTED_VALUE"""),45793.0)</f>
        <v>45793</v>
      </c>
      <c r="I390" s="199">
        <f>IFERROR(__xludf.DUMMYFUNCTION("""COMPUTED_VALUE"""),0.0)</f>
        <v>0</v>
      </c>
      <c r="J390" s="200">
        <f>IFERROR(__xludf.DUMMYFUNCTION("""COMPUTED_VALUE"""),73.0)</f>
        <v>73</v>
      </c>
      <c r="K390" s="200">
        <f>IFERROR(__xludf.DUMMYFUNCTION("""COMPUTED_VALUE"""),10.0)</f>
        <v>10</v>
      </c>
      <c r="L390" s="201" t="str">
        <f>IFERROR(__xludf.DUMMYFUNCTION("""COMPUTED_VALUE"""),"Action-Adventure")</f>
        <v>Action-Adventure</v>
      </c>
      <c r="M390" s="201"/>
    </row>
    <row r="391">
      <c r="A391" s="190" t="str">
        <f>IFERROR(__xludf.DUMMYFUNCTION("""COMPUTED_VALUE"""),"S.T.A.L.K.E.R. 2: Heart of Chornobyl")</f>
        <v>S.T.A.L.K.E.R. 2: Heart of Chornobyl</v>
      </c>
      <c r="B391" s="195" t="str">
        <f>IFERROR(__xludf.DUMMYFUNCTION("""COMPUTED_VALUE"""),"Xbox / PC")</f>
        <v>Xbox / PC</v>
      </c>
      <c r="C391" s="196" t="str">
        <f>IFERROR(__xludf.DUMMYFUNCTION("""COMPUTED_VALUE"""),"Yes")</f>
        <v>Yes</v>
      </c>
      <c r="D391" s="196" t="str">
        <f>IFERROR(__xludf.DUMMYFUNCTION("""COMPUTED_VALUE"""),"Active")</f>
        <v>Active</v>
      </c>
      <c r="E391" s="197">
        <f>IFERROR(__xludf.DUMMYFUNCTION("""COMPUTED_VALUE"""),45616.0)</f>
        <v>45616</v>
      </c>
      <c r="F391" s="198"/>
      <c r="G391" s="199">
        <f>IFERROR(__xludf.DUMMYFUNCTION("""COMPUTED_VALUE"""),10.833333333333334)</f>
        <v>10.83333333</v>
      </c>
      <c r="H391" s="197">
        <f>IFERROR(__xludf.DUMMYFUNCTION("""COMPUTED_VALUE"""),45616.0)</f>
        <v>45616</v>
      </c>
      <c r="I391" s="199">
        <f>IFERROR(__xludf.DUMMYFUNCTION("""COMPUTED_VALUE"""),0.0)</f>
        <v>0</v>
      </c>
      <c r="J391" s="200">
        <f>IFERROR(__xludf.DUMMYFUNCTION("""COMPUTED_VALUE"""),73.0)</f>
        <v>73</v>
      </c>
      <c r="K391" s="200">
        <f>IFERROR(__xludf.DUMMYFUNCTION("""COMPUTED_VALUE"""),31.0)</f>
        <v>31</v>
      </c>
      <c r="L391" s="201" t="str">
        <f>IFERROR(__xludf.DUMMYFUNCTION("""COMPUTED_VALUE"""),"Action-Adventure")</f>
        <v>Action-Adventure</v>
      </c>
      <c r="M391" s="201" t="str">
        <f>IFERROR(__xludf.DUMMYFUNCTION("""COMPUTED_VALUE"""),"Exclusive")</f>
        <v>Exclusive</v>
      </c>
    </row>
    <row r="392">
      <c r="A392" s="190" t="str">
        <f>IFERROR(__xludf.DUMMYFUNCTION("""COMPUTED_VALUE"""),"Dead Island 2")</f>
        <v>Dead Island 2</v>
      </c>
      <c r="B392" s="195" t="str">
        <f>IFERROR(__xludf.DUMMYFUNCTION("""COMPUTED_VALUE"""),"Xbox / PC")</f>
        <v>Xbox / PC</v>
      </c>
      <c r="C392" s="196" t="str">
        <f>IFERROR(__xludf.DUMMYFUNCTION("""COMPUTED_VALUE"""),"Yes")</f>
        <v>Yes</v>
      </c>
      <c r="D392" s="196" t="str">
        <f>IFERROR(__xludf.DUMMYFUNCTION("""COMPUTED_VALUE"""),"Active")</f>
        <v>Active</v>
      </c>
      <c r="E392" s="197">
        <f>IFERROR(__xludf.DUMMYFUNCTION("""COMPUTED_VALUE"""),45342.0)</f>
        <v>45342</v>
      </c>
      <c r="F392" s="198"/>
      <c r="G392" s="199">
        <f>IFERROR(__xludf.DUMMYFUNCTION("""COMPUTED_VALUE"""),19.833333333333332)</f>
        <v>19.83333333</v>
      </c>
      <c r="H392" s="197">
        <f>IFERROR(__xludf.DUMMYFUNCTION("""COMPUTED_VALUE"""),45037.0)</f>
        <v>45037</v>
      </c>
      <c r="I392" s="199">
        <f>IFERROR(__xludf.DUMMYFUNCTION("""COMPUTED_VALUE"""),0.8305555555555556)</f>
        <v>0.8305555556</v>
      </c>
      <c r="J392" s="200">
        <f>IFERROR(__xludf.DUMMYFUNCTION("""COMPUTED_VALUE"""),73.0)</f>
        <v>73</v>
      </c>
      <c r="K392" s="200">
        <f>IFERROR(__xludf.DUMMYFUNCTION("""COMPUTED_VALUE"""),16.0)</f>
        <v>16</v>
      </c>
      <c r="L392" s="201" t="str">
        <f>IFERROR(__xludf.DUMMYFUNCTION("""COMPUTED_VALUE"""),"Shooter")</f>
        <v>Shooter</v>
      </c>
      <c r="M392" s="201"/>
    </row>
    <row r="393">
      <c r="A393" s="190" t="str">
        <f>IFERROR(__xludf.DUMMYFUNCTION("""COMPUTED_VALUE"""),"PlateUp!")</f>
        <v>PlateUp!</v>
      </c>
      <c r="B393" s="195" t="str">
        <f>IFERROR(__xludf.DUMMYFUNCTION("""COMPUTED_VALUE"""),"Xbox / PC")</f>
        <v>Xbox / PC</v>
      </c>
      <c r="C393" s="196" t="str">
        <f>IFERROR(__xludf.DUMMYFUNCTION("""COMPUTED_VALUE"""),"Yes")</f>
        <v>Yes</v>
      </c>
      <c r="D393" s="196" t="str">
        <f>IFERROR(__xludf.DUMMYFUNCTION("""COMPUTED_VALUE"""),"Active")</f>
        <v>Active</v>
      </c>
      <c r="E393" s="197">
        <f>IFERROR(__xludf.DUMMYFUNCTION("""COMPUTED_VALUE"""),45337.0)</f>
        <v>45337</v>
      </c>
      <c r="F393" s="198"/>
      <c r="G393" s="199">
        <f>IFERROR(__xludf.DUMMYFUNCTION("""COMPUTED_VALUE"""),20.0)</f>
        <v>20</v>
      </c>
      <c r="H393" s="197">
        <f>IFERROR(__xludf.DUMMYFUNCTION("""COMPUTED_VALUE"""),44777.0)</f>
        <v>44777</v>
      </c>
      <c r="I393" s="199">
        <f>IFERROR(__xludf.DUMMYFUNCTION("""COMPUTED_VALUE"""),1.5305555555555554)</f>
        <v>1.530555556</v>
      </c>
      <c r="J393" s="200">
        <f>IFERROR(__xludf.DUMMYFUNCTION("""COMPUTED_VALUE"""),73.0)</f>
        <v>73</v>
      </c>
      <c r="K393" s="200">
        <f>IFERROR(__xludf.DUMMYFUNCTION("""COMPUTED_VALUE"""),19.0)</f>
        <v>19</v>
      </c>
      <c r="L393" s="201" t="str">
        <f>IFERROR(__xludf.DUMMYFUNCTION("""COMPUTED_VALUE"""),"Strategy")</f>
        <v>Strategy</v>
      </c>
      <c r="M393" s="201"/>
    </row>
    <row r="394">
      <c r="A394" s="202" t="str">
        <f>IFERROR(__xludf.DUMMYFUNCTION("""COMPUTED_VALUE"""),"Far Cry 6")</f>
        <v>Far Cry 6</v>
      </c>
      <c r="B394" s="195" t="str">
        <f>IFERROR(__xludf.DUMMYFUNCTION("""COMPUTED_VALUE"""),"Xbox / PC")</f>
        <v>Xbox / PC</v>
      </c>
      <c r="C394" s="196" t="str">
        <f>IFERROR(__xludf.DUMMYFUNCTION("""COMPUTED_VALUE"""),"Yes")</f>
        <v>Yes</v>
      </c>
      <c r="D394" s="196" t="str">
        <f>IFERROR(__xludf.DUMMYFUNCTION("""COMPUTED_VALUE"""),"Active")</f>
        <v>Active</v>
      </c>
      <c r="E394" s="197">
        <f>IFERROR(__xludf.DUMMYFUNCTION("""COMPUTED_VALUE"""),45274.0)</f>
        <v>45274</v>
      </c>
      <c r="F394" s="198"/>
      <c r="G394" s="199">
        <f>IFERROR(__xludf.DUMMYFUNCTION("""COMPUTED_VALUE"""),22.03333333333333)</f>
        <v>22.03333333</v>
      </c>
      <c r="H394" s="197">
        <f>IFERROR(__xludf.DUMMYFUNCTION("""COMPUTED_VALUE"""),44476.0)</f>
        <v>44476</v>
      </c>
      <c r="I394" s="199">
        <f>IFERROR(__xludf.DUMMYFUNCTION("""COMPUTED_VALUE"""),2.186111111111111)</f>
        <v>2.186111111</v>
      </c>
      <c r="J394" s="200">
        <f>IFERROR(__xludf.DUMMYFUNCTION("""COMPUTED_VALUE"""),73.0)</f>
        <v>73</v>
      </c>
      <c r="K394" s="200">
        <f>IFERROR(__xludf.DUMMYFUNCTION("""COMPUTED_VALUE"""),24.0)</f>
        <v>24</v>
      </c>
      <c r="L394" s="201" t="str">
        <f>IFERROR(__xludf.DUMMYFUNCTION("""COMPUTED_VALUE"""),"First-Person Shooter")</f>
        <v>First-Person Shooter</v>
      </c>
      <c r="M394" s="201"/>
    </row>
    <row r="395">
      <c r="A395" s="190" t="str">
        <f>IFERROR(__xludf.DUMMYFUNCTION("""COMPUTED_VALUE"""),"World War Z: Aftermath")</f>
        <v>World War Z: Aftermath</v>
      </c>
      <c r="B395" s="195" t="str">
        <f>IFERROR(__xludf.DUMMYFUNCTION("""COMPUTED_VALUE"""),"Xbox / PC")</f>
        <v>Xbox / PC</v>
      </c>
      <c r="C395" s="196" t="str">
        <f>IFERROR(__xludf.DUMMYFUNCTION("""COMPUTED_VALUE"""),"Yes")</f>
        <v>Yes</v>
      </c>
      <c r="D395" s="196" t="str">
        <f>IFERROR(__xludf.DUMMYFUNCTION("""COMPUTED_VALUE"""),"Active")</f>
        <v>Active</v>
      </c>
      <c r="E395" s="197">
        <f>IFERROR(__xludf.DUMMYFUNCTION("""COMPUTED_VALUE"""),45265.0)</f>
        <v>45265</v>
      </c>
      <c r="F395" s="198"/>
      <c r="G395" s="199">
        <f>IFERROR(__xludf.DUMMYFUNCTION("""COMPUTED_VALUE"""),22.333333333333336)</f>
        <v>22.33333333</v>
      </c>
      <c r="H395" s="197">
        <f>IFERROR(__xludf.DUMMYFUNCTION("""COMPUTED_VALUE"""),43571.0)</f>
        <v>43571</v>
      </c>
      <c r="I395" s="199">
        <f>IFERROR(__xludf.DUMMYFUNCTION("""COMPUTED_VALUE"""),4.636111111111111)</f>
        <v>4.636111111</v>
      </c>
      <c r="J395" s="200">
        <f>IFERROR(__xludf.DUMMYFUNCTION("""COMPUTED_VALUE"""),73.0)</f>
        <v>73</v>
      </c>
      <c r="K395" s="200">
        <f>IFERROR(__xludf.DUMMYFUNCTION("""COMPUTED_VALUE"""),7.0)</f>
        <v>7</v>
      </c>
      <c r="L395" s="201" t="str">
        <f>IFERROR(__xludf.DUMMYFUNCTION("""COMPUTED_VALUE"""),"Action")</f>
        <v>Action</v>
      </c>
      <c r="M395" s="201"/>
    </row>
    <row r="396">
      <c r="A396" s="190" t="str">
        <f>IFERROR(__xludf.DUMMYFUNCTION("""COMPUTED_VALUE"""),"Medieval Dynasty")</f>
        <v>Medieval Dynasty</v>
      </c>
      <c r="B396" s="195" t="str">
        <f>IFERROR(__xludf.DUMMYFUNCTION("""COMPUTED_VALUE"""),"Xbox / PC")</f>
        <v>Xbox / PC</v>
      </c>
      <c r="C396" s="196" t="str">
        <f>IFERROR(__xludf.DUMMYFUNCTION("""COMPUTED_VALUE"""),"Yes")</f>
        <v>Yes</v>
      </c>
      <c r="D396" s="196" t="str">
        <f>IFERROR(__xludf.DUMMYFUNCTION("""COMPUTED_VALUE"""),"Active")</f>
        <v>Active</v>
      </c>
      <c r="E396" s="197">
        <f>IFERROR(__xludf.DUMMYFUNCTION("""COMPUTED_VALUE"""),44364.0)</f>
        <v>44364</v>
      </c>
      <c r="F396" s="198"/>
      <c r="G396" s="199">
        <f>IFERROR(__xludf.DUMMYFUNCTION("""COMPUTED_VALUE"""),51.93333333333333)</f>
        <v>51.93333333</v>
      </c>
      <c r="H396" s="197">
        <f>IFERROR(__xludf.DUMMYFUNCTION("""COMPUTED_VALUE"""),44091.0)</f>
        <v>44091</v>
      </c>
      <c r="I396" s="199">
        <f>IFERROR(__xludf.DUMMYFUNCTION("""COMPUTED_VALUE"""),0.75)</f>
        <v>0.75</v>
      </c>
      <c r="J396" s="200">
        <f>IFERROR(__xludf.DUMMYFUNCTION("""COMPUTED_VALUE"""),73.0)</f>
        <v>73</v>
      </c>
      <c r="K396" s="200">
        <f>IFERROR(__xludf.DUMMYFUNCTION("""COMPUTED_VALUE"""),29.5)</f>
        <v>29.5</v>
      </c>
      <c r="L396" s="201" t="str">
        <f>IFERROR(__xludf.DUMMYFUNCTION("""COMPUTED_VALUE"""),"RPG / Simulation / Action-Adventure")</f>
        <v>RPG / Simulation / Action-Adventure</v>
      </c>
      <c r="M396" s="201"/>
    </row>
    <row r="397">
      <c r="A397" s="190" t="str">
        <f>IFERROR(__xludf.DUMMYFUNCTION("""COMPUTED_VALUE"""),"Dante's Inferno")</f>
        <v>Dante's Inferno</v>
      </c>
      <c r="B397" s="195" t="str">
        <f>IFERROR(__xludf.DUMMYFUNCTION("""COMPUTED_VALUE"""),"Xbox")</f>
        <v>Xbox</v>
      </c>
      <c r="C397" s="196"/>
      <c r="D397" s="196" t="str">
        <f>IFERROR(__xludf.DUMMYFUNCTION("""COMPUTED_VALUE"""),"Active")</f>
        <v>Active</v>
      </c>
      <c r="E397" s="197">
        <f>IFERROR(__xludf.DUMMYFUNCTION("""COMPUTED_VALUE"""),44145.0)</f>
        <v>44145</v>
      </c>
      <c r="F397" s="198"/>
      <c r="G397" s="199">
        <f>IFERROR(__xludf.DUMMYFUNCTION("""COMPUTED_VALUE"""),59.166666666666664)</f>
        <v>59.16666667</v>
      </c>
      <c r="H397" s="197">
        <f>IFERROR(__xludf.DUMMYFUNCTION("""COMPUTED_VALUE"""),40218.0)</f>
        <v>40218</v>
      </c>
      <c r="I397" s="199">
        <f>IFERROR(__xludf.DUMMYFUNCTION("""COMPUTED_VALUE"""),10.752777777777778)</f>
        <v>10.75277778</v>
      </c>
      <c r="J397" s="200">
        <f>IFERROR(__xludf.DUMMYFUNCTION("""COMPUTED_VALUE"""),73.0)</f>
        <v>73</v>
      </c>
      <c r="K397" s="200">
        <f>IFERROR(__xludf.DUMMYFUNCTION("""COMPUTED_VALUE"""),8.0)</f>
        <v>8</v>
      </c>
      <c r="L397" s="201" t="str">
        <f>IFERROR(__xludf.DUMMYFUNCTION("""COMPUTED_VALUE"""),"Action")</f>
        <v>Action</v>
      </c>
      <c r="M397" s="201"/>
    </row>
    <row r="398">
      <c r="A398" s="190" t="str">
        <f>IFERROR(__xludf.DUMMYFUNCTION("""COMPUTED_VALUE"""),"Medal of Honor: Airborne")</f>
        <v>Medal of Honor: Airborne</v>
      </c>
      <c r="B398" s="195" t="str">
        <f>IFERROR(__xludf.DUMMYFUNCTION("""COMPUTED_VALUE"""),"Xbox / PC")</f>
        <v>Xbox / PC</v>
      </c>
      <c r="C398" s="196"/>
      <c r="D398" s="196" t="str">
        <f>IFERROR(__xludf.DUMMYFUNCTION("""COMPUTED_VALUE"""),"Active")</f>
        <v>Active</v>
      </c>
      <c r="E398" s="197">
        <f>IFERROR(__xludf.DUMMYFUNCTION("""COMPUTED_VALUE"""),44145.0)</f>
        <v>44145</v>
      </c>
      <c r="F398" s="198"/>
      <c r="G398" s="199">
        <f>IFERROR(__xludf.DUMMYFUNCTION("""COMPUTED_VALUE"""),59.166666666666664)</f>
        <v>59.16666667</v>
      </c>
      <c r="H398" s="197">
        <f>IFERROR(__xludf.DUMMYFUNCTION("""COMPUTED_VALUE"""),39329.0)</f>
        <v>39329</v>
      </c>
      <c r="I398" s="199">
        <f>IFERROR(__xludf.DUMMYFUNCTION("""COMPUTED_VALUE"""),13.183333333333334)</f>
        <v>13.18333333</v>
      </c>
      <c r="J398" s="200">
        <f>IFERROR(__xludf.DUMMYFUNCTION("""COMPUTED_VALUE"""),73.0)</f>
        <v>73</v>
      </c>
      <c r="K398" s="200">
        <f>IFERROR(__xludf.DUMMYFUNCTION("""COMPUTED_VALUE"""),6.0)</f>
        <v>6</v>
      </c>
      <c r="L398" s="201" t="str">
        <f>IFERROR(__xludf.DUMMYFUNCTION("""COMPUTED_VALUE"""),"Action / First-Person Shooter")</f>
        <v>Action / First-Person Shooter</v>
      </c>
      <c r="M398" s="201" t="str">
        <f>IFERROR(__xludf.DUMMYFUNCTION("""COMPUTED_VALUE"""),"FPS Boost")</f>
        <v>FPS Boost</v>
      </c>
    </row>
    <row r="399">
      <c r="A399" s="190" t="str">
        <f>IFERROR(__xludf.DUMMYFUNCTION("""COMPUTED_VALUE"""),"The Walking Dead: A New Frontier")</f>
        <v>The Walking Dead: A New Frontier</v>
      </c>
      <c r="B399" s="195" t="str">
        <f>IFERROR(__xludf.DUMMYFUNCTION("""COMPUTED_VALUE"""),"Xbox / PC")</f>
        <v>Xbox / PC</v>
      </c>
      <c r="C399" s="196" t="str">
        <f>IFERROR(__xludf.DUMMYFUNCTION("""COMPUTED_VALUE"""),"Touch Controls")</f>
        <v>Touch Controls</v>
      </c>
      <c r="D399" s="196" t="str">
        <f>IFERROR(__xludf.DUMMYFUNCTION("""COMPUTED_VALUE"""),"Active")</f>
        <v>Active</v>
      </c>
      <c r="E399" s="197">
        <f>IFERROR(__xludf.DUMMYFUNCTION("""COMPUTED_VALUE"""),43573.0)</f>
        <v>43573</v>
      </c>
      <c r="F399" s="198"/>
      <c r="G399" s="199">
        <f>IFERROR(__xludf.DUMMYFUNCTION("""COMPUTED_VALUE"""),77.89999999999999)</f>
        <v>77.9</v>
      </c>
      <c r="H399" s="197">
        <f>IFERROR(__xludf.DUMMYFUNCTION("""COMPUTED_VALUE"""),42724.0)</f>
        <v>42724</v>
      </c>
      <c r="I399" s="199">
        <f>IFERROR(__xludf.DUMMYFUNCTION("""COMPUTED_VALUE"""),2.327777777777778)</f>
        <v>2.327777778</v>
      </c>
      <c r="J399" s="200">
        <f>IFERROR(__xludf.DUMMYFUNCTION("""COMPUTED_VALUE"""),73.0)</f>
        <v>73</v>
      </c>
      <c r="K399" s="200">
        <f>IFERROR(__xludf.DUMMYFUNCTION("""COMPUTED_VALUE"""),8.0)</f>
        <v>8</v>
      </c>
      <c r="L399" s="201" t="str">
        <f>IFERROR(__xludf.DUMMYFUNCTION("""COMPUTED_VALUE"""),"Adventure")</f>
        <v>Adventure</v>
      </c>
      <c r="M399" s="201"/>
    </row>
    <row r="400">
      <c r="A400" s="190" t="str">
        <f>IFERROR(__xludf.DUMMYFUNCTION("""COMPUTED_VALUE"""),"Human: Fall Flat")</f>
        <v>Human: Fall Flat</v>
      </c>
      <c r="B400" s="195" t="str">
        <f>IFERROR(__xludf.DUMMYFUNCTION("""COMPUTED_VALUE"""),"Xbox / PC")</f>
        <v>Xbox / PC</v>
      </c>
      <c r="C400" s="196" t="str">
        <f>IFERROR(__xludf.DUMMYFUNCTION("""COMPUTED_VALUE"""),"Yes")</f>
        <v>Yes</v>
      </c>
      <c r="D400" s="196" t="str">
        <f>IFERROR(__xludf.DUMMYFUNCTION("""COMPUTED_VALUE"""),"Active")</f>
        <v>Active</v>
      </c>
      <c r="E400" s="197">
        <f>IFERROR(__xludf.DUMMYFUNCTION("""COMPUTED_VALUE"""),43282.0)</f>
        <v>43282</v>
      </c>
      <c r="F400" s="198"/>
      <c r="G400" s="199">
        <f>IFERROR(__xludf.DUMMYFUNCTION("""COMPUTED_VALUE"""),87.46666666666667)</f>
        <v>87.46666667</v>
      </c>
      <c r="H400" s="197">
        <f>IFERROR(__xludf.DUMMYFUNCTION("""COMPUTED_VALUE"""),42573.0)</f>
        <v>42573</v>
      </c>
      <c r="I400" s="199">
        <f>IFERROR(__xludf.DUMMYFUNCTION("""COMPUTED_VALUE"""),1.9416666666666667)</f>
        <v>1.941666667</v>
      </c>
      <c r="J400" s="200">
        <f>IFERROR(__xludf.DUMMYFUNCTION("""COMPUTED_VALUE"""),73.0)</f>
        <v>73</v>
      </c>
      <c r="K400" s="200">
        <f>IFERROR(__xludf.DUMMYFUNCTION("""COMPUTED_VALUE"""),5.5)</f>
        <v>5.5</v>
      </c>
      <c r="L400" s="201" t="str">
        <f>IFERROR(__xludf.DUMMYFUNCTION("""COMPUTED_VALUE"""),"Puzzle")</f>
        <v>Puzzle</v>
      </c>
      <c r="M400" s="201" t="str">
        <f>IFERROR(__xludf.DUMMYFUNCTION("""COMPUTED_VALUE"""),"Optimized")</f>
        <v>Optimized</v>
      </c>
    </row>
    <row r="401">
      <c r="A401" s="190" t="str">
        <f>IFERROR(__xludf.DUMMYFUNCTION("""COMPUTED_VALUE"""),"Banjo-Tooie")</f>
        <v>Banjo-Tooie</v>
      </c>
      <c r="B401" s="195" t="str">
        <f>IFERROR(__xludf.DUMMYFUNCTION("""COMPUTED_VALUE"""),"Xbox")</f>
        <v>Xbox</v>
      </c>
      <c r="C401" s="196" t="str">
        <f>IFERROR(__xludf.DUMMYFUNCTION("""COMPUTED_VALUE"""),"Touch Controls")</f>
        <v>Touch Controls</v>
      </c>
      <c r="D401" s="196" t="str">
        <f>IFERROR(__xludf.DUMMYFUNCTION("""COMPUTED_VALUE"""),"Active")</f>
        <v>Active</v>
      </c>
      <c r="E401" s="197">
        <f>IFERROR(__xludf.DUMMYFUNCTION("""COMPUTED_VALUE"""),42887.0)</f>
        <v>42887</v>
      </c>
      <c r="F401" s="198"/>
      <c r="G401" s="199">
        <f>IFERROR(__xludf.DUMMYFUNCTION("""COMPUTED_VALUE"""),100.46666666666667)</f>
        <v>100.4666667</v>
      </c>
      <c r="H401" s="197">
        <f>IFERROR(__xludf.DUMMYFUNCTION("""COMPUTED_VALUE"""),36849.0)</f>
        <v>36849</v>
      </c>
      <c r="I401" s="199">
        <f>IFERROR(__xludf.DUMMYFUNCTION("""COMPUTED_VALUE"""),16.533333333333335)</f>
        <v>16.53333333</v>
      </c>
      <c r="J401" s="200">
        <f>IFERROR(__xludf.DUMMYFUNCTION("""COMPUTED_VALUE"""),73.0)</f>
        <v>73</v>
      </c>
      <c r="K401" s="200">
        <f>IFERROR(__xludf.DUMMYFUNCTION("""COMPUTED_VALUE"""),16.0)</f>
        <v>16</v>
      </c>
      <c r="L401" s="201" t="str">
        <f>IFERROR(__xludf.DUMMYFUNCTION("""COMPUTED_VALUE"""),"Adventure")</f>
        <v>Adventure</v>
      </c>
      <c r="M401" s="201"/>
    </row>
    <row r="402">
      <c r="A402" s="190" t="str">
        <f>IFERROR(__xludf.DUMMYFUNCTION("""COMPUTED_VALUE"""),"Jetpac Refuelled")</f>
        <v>Jetpac Refuelled</v>
      </c>
      <c r="B402" s="195" t="str">
        <f>IFERROR(__xludf.DUMMYFUNCTION("""COMPUTED_VALUE"""),"Xbox")</f>
        <v>Xbox</v>
      </c>
      <c r="C402" s="196" t="str">
        <f>IFERROR(__xludf.DUMMYFUNCTION("""COMPUTED_VALUE"""),"Touch Controls")</f>
        <v>Touch Controls</v>
      </c>
      <c r="D402" s="196" t="str">
        <f>IFERROR(__xludf.DUMMYFUNCTION("""COMPUTED_VALUE"""),"Active")</f>
        <v>Active</v>
      </c>
      <c r="E402" s="197">
        <f>IFERROR(__xludf.DUMMYFUNCTION("""COMPUTED_VALUE"""),42887.0)</f>
        <v>42887</v>
      </c>
      <c r="F402" s="198"/>
      <c r="G402" s="199">
        <f>IFERROR(__xludf.DUMMYFUNCTION("""COMPUTED_VALUE"""),100.46666666666667)</f>
        <v>100.4666667</v>
      </c>
      <c r="H402" s="197">
        <f>IFERROR(__xludf.DUMMYFUNCTION("""COMPUTED_VALUE"""),39169.0)</f>
        <v>39169</v>
      </c>
      <c r="I402" s="199">
        <f>IFERROR(__xludf.DUMMYFUNCTION("""COMPUTED_VALUE"""),10.175)</f>
        <v>10.175</v>
      </c>
      <c r="J402" s="200">
        <f>IFERROR(__xludf.DUMMYFUNCTION("""COMPUTED_VALUE"""),73.0)</f>
        <v>73</v>
      </c>
      <c r="K402" s="200">
        <f>IFERROR(__xludf.DUMMYFUNCTION("""COMPUTED_VALUE"""),4.5)</f>
        <v>4.5</v>
      </c>
      <c r="L402" s="201" t="str">
        <f>IFERROR(__xludf.DUMMYFUNCTION("""COMPUTED_VALUE"""),"Action / Shooter")</f>
        <v>Action / Shooter</v>
      </c>
      <c r="M402" s="201"/>
    </row>
    <row r="403">
      <c r="A403" s="190" t="str">
        <f>IFERROR(__xludf.DUMMYFUNCTION("""COMPUTED_VALUE"""),"Battletoads")</f>
        <v>Battletoads</v>
      </c>
      <c r="B403" s="195" t="str">
        <f>IFERROR(__xludf.DUMMYFUNCTION("""COMPUTED_VALUE"""),"Xbox / PC")</f>
        <v>Xbox / PC</v>
      </c>
      <c r="C403" s="196" t="str">
        <f>IFERROR(__xludf.DUMMYFUNCTION("""COMPUTED_VALUE"""),"Yes")</f>
        <v>Yes</v>
      </c>
      <c r="D403" s="196" t="str">
        <f>IFERROR(__xludf.DUMMYFUNCTION("""COMPUTED_VALUE"""),"Active")</f>
        <v>Active</v>
      </c>
      <c r="E403" s="197">
        <f>IFERROR(__xludf.DUMMYFUNCTION("""COMPUTED_VALUE"""),44063.0)</f>
        <v>44063</v>
      </c>
      <c r="F403" s="198"/>
      <c r="G403" s="199">
        <f>IFERROR(__xludf.DUMMYFUNCTION("""COMPUTED_VALUE"""),61.83333333333333)</f>
        <v>61.83333333</v>
      </c>
      <c r="H403" s="197">
        <f>IFERROR(__xludf.DUMMYFUNCTION("""COMPUTED_VALUE"""),44063.0)</f>
        <v>44063</v>
      </c>
      <c r="I403" s="199">
        <f>IFERROR(__xludf.DUMMYFUNCTION("""COMPUTED_VALUE"""),0.0)</f>
        <v>0</v>
      </c>
      <c r="J403" s="200">
        <f>IFERROR(__xludf.DUMMYFUNCTION("""COMPUTED_VALUE"""),72.5)</f>
        <v>72.5</v>
      </c>
      <c r="K403" s="200">
        <f>IFERROR(__xludf.DUMMYFUNCTION("""COMPUTED_VALUE"""),4.0)</f>
        <v>4</v>
      </c>
      <c r="L403" s="201" t="str">
        <f>IFERROR(__xludf.DUMMYFUNCTION("""COMPUTED_VALUE"""),"Brawler")</f>
        <v>Brawler</v>
      </c>
      <c r="M403" s="201"/>
    </row>
    <row r="404">
      <c r="A404" s="190" t="str">
        <f>IFERROR(__xludf.DUMMYFUNCTION("""COMPUTED_VALUE"""),"Minecraft: Dungeons")</f>
        <v>Minecraft: Dungeons</v>
      </c>
      <c r="B404" s="195" t="str">
        <f>IFERROR(__xludf.DUMMYFUNCTION("""COMPUTED_VALUE"""),"Xbox / PC")</f>
        <v>Xbox / PC</v>
      </c>
      <c r="C404" s="196" t="str">
        <f>IFERROR(__xludf.DUMMYFUNCTION("""COMPUTED_VALUE"""),"Touch Controls")</f>
        <v>Touch Controls</v>
      </c>
      <c r="D404" s="196" t="str">
        <f>IFERROR(__xludf.DUMMYFUNCTION("""COMPUTED_VALUE"""),"Active")</f>
        <v>Active</v>
      </c>
      <c r="E404" s="197">
        <f>IFERROR(__xludf.DUMMYFUNCTION("""COMPUTED_VALUE"""),43977.0)</f>
        <v>43977</v>
      </c>
      <c r="F404" s="198"/>
      <c r="G404" s="199">
        <f>IFERROR(__xludf.DUMMYFUNCTION("""COMPUTED_VALUE"""),64.63333333333333)</f>
        <v>64.63333333</v>
      </c>
      <c r="H404" s="197">
        <f>IFERROR(__xludf.DUMMYFUNCTION("""COMPUTED_VALUE"""),43977.0)</f>
        <v>43977</v>
      </c>
      <c r="I404" s="199">
        <f>IFERROR(__xludf.DUMMYFUNCTION("""COMPUTED_VALUE"""),0.0)</f>
        <v>0</v>
      </c>
      <c r="J404" s="200">
        <f>IFERROR(__xludf.DUMMYFUNCTION("""COMPUTED_VALUE"""),72.5)</f>
        <v>72.5</v>
      </c>
      <c r="K404" s="200">
        <f>IFERROR(__xludf.DUMMYFUNCTION("""COMPUTED_VALUE"""),5.0)</f>
        <v>5</v>
      </c>
      <c r="L404" s="201" t="str">
        <f>IFERROR(__xludf.DUMMYFUNCTION("""COMPUTED_VALUE"""),"RPG / Action-Adventure")</f>
        <v>RPG / Action-Adventure</v>
      </c>
      <c r="M404" s="201" t="str">
        <f>IFERROR(__xludf.DUMMYFUNCTION("""COMPUTED_VALUE"""),"Optimized")</f>
        <v>Optimized</v>
      </c>
    </row>
    <row r="405">
      <c r="A405" s="190" t="str">
        <f>IFERROR(__xludf.DUMMYFUNCTION("""COMPUTED_VALUE"""),"Assassin's Creed III: Remastered")</f>
        <v>Assassin's Creed III: Remastered</v>
      </c>
      <c r="B405" s="195" t="str">
        <f>IFERROR(__xludf.DUMMYFUNCTION("""COMPUTED_VALUE"""),"Xbox / PC")</f>
        <v>Xbox / PC</v>
      </c>
      <c r="C405" s="196" t="str">
        <f>IFERROR(__xludf.DUMMYFUNCTION("""COMPUTED_VALUE"""),"Yes")</f>
        <v>Yes</v>
      </c>
      <c r="D405" s="196" t="str">
        <f>IFERROR(__xludf.DUMMYFUNCTION("""COMPUTED_VALUE"""),"Active")</f>
        <v>Active</v>
      </c>
      <c r="E405" s="197">
        <f>IFERROR(__xludf.DUMMYFUNCTION("""COMPUTED_VALUE"""),45931.0)</f>
        <v>45931</v>
      </c>
      <c r="F405" s="198"/>
      <c r="G405" s="199">
        <f>IFERROR(__xludf.DUMMYFUNCTION("""COMPUTED_VALUE"""),0.4666666666666667)</f>
        <v>0.4666666667</v>
      </c>
      <c r="H405" s="197">
        <f>IFERROR(__xludf.DUMMYFUNCTION("""COMPUTED_VALUE"""),43553.0)</f>
        <v>43553</v>
      </c>
      <c r="I405" s="199">
        <f>IFERROR(__xludf.DUMMYFUNCTION("""COMPUTED_VALUE"""),6.5055555555555555)</f>
        <v>6.505555556</v>
      </c>
      <c r="J405" s="200">
        <f>IFERROR(__xludf.DUMMYFUNCTION("""COMPUTED_VALUE"""),72.0)</f>
        <v>72</v>
      </c>
      <c r="K405" s="200">
        <f>IFERROR(__xludf.DUMMYFUNCTION("""COMPUTED_VALUE"""),15.0)</f>
        <v>15</v>
      </c>
      <c r="L405" s="201" t="str">
        <f>IFERROR(__xludf.DUMMYFUNCTION("""COMPUTED_VALUE"""),"Action-Adventure")</f>
        <v>Action-Adventure</v>
      </c>
      <c r="M405" s="201"/>
    </row>
    <row r="406">
      <c r="A406" s="190" t="str">
        <f>IFERROR(__xludf.DUMMYFUNCTION("""COMPUTED_VALUE"""),"Assassin's Creed: The Ezio Collection")</f>
        <v>Assassin's Creed: The Ezio Collection</v>
      </c>
      <c r="B406" s="195" t="str">
        <f>IFERROR(__xludf.DUMMYFUNCTION("""COMPUTED_VALUE"""),"Xbox")</f>
        <v>Xbox</v>
      </c>
      <c r="C406" s="196" t="str">
        <f>IFERROR(__xludf.DUMMYFUNCTION("""COMPUTED_VALUE"""),"Yes")</f>
        <v>Yes</v>
      </c>
      <c r="D406" s="196" t="str">
        <f>IFERROR(__xludf.DUMMYFUNCTION("""COMPUTED_VALUE"""),"Active")</f>
        <v>Active</v>
      </c>
      <c r="E406" s="197">
        <f>IFERROR(__xludf.DUMMYFUNCTION("""COMPUTED_VALUE"""),45931.0)</f>
        <v>45931</v>
      </c>
      <c r="F406" s="198"/>
      <c r="G406" s="199">
        <f>IFERROR(__xludf.DUMMYFUNCTION("""COMPUTED_VALUE"""),0.4666666666666667)</f>
        <v>0.4666666667</v>
      </c>
      <c r="H406" s="197">
        <f>IFERROR(__xludf.DUMMYFUNCTION("""COMPUTED_VALUE"""),42689.0)</f>
        <v>42689</v>
      </c>
      <c r="I406" s="199">
        <f>IFERROR(__xludf.DUMMYFUNCTION("""COMPUTED_VALUE"""),8.877777777777778)</f>
        <v>8.877777778</v>
      </c>
      <c r="J406" s="200">
        <f>IFERROR(__xludf.DUMMYFUNCTION("""COMPUTED_VALUE"""),72.0)</f>
        <v>72</v>
      </c>
      <c r="K406" s="200">
        <f>IFERROR(__xludf.DUMMYFUNCTION("""COMPUTED_VALUE"""),72.0)</f>
        <v>72</v>
      </c>
      <c r="L406" s="201" t="str">
        <f>IFERROR(__xludf.DUMMYFUNCTION("""COMPUTED_VALUE"""),"Action-Adventure")</f>
        <v>Action-Adventure</v>
      </c>
      <c r="M406" s="201"/>
    </row>
    <row r="407">
      <c r="A407" s="190" t="str">
        <f>IFERROR(__xludf.DUMMYFUNCTION("""COMPUTED_VALUE"""),"Assassin's Creed Unity")</f>
        <v>Assassin's Creed Unity</v>
      </c>
      <c r="B407" s="195" t="str">
        <f>IFERROR(__xludf.DUMMYFUNCTION("""COMPUTED_VALUE"""),"Xbox / PC")</f>
        <v>Xbox / PC</v>
      </c>
      <c r="C407" s="196" t="str">
        <f>IFERROR(__xludf.DUMMYFUNCTION("""COMPUTED_VALUE"""),"Yes")</f>
        <v>Yes</v>
      </c>
      <c r="D407" s="196" t="str">
        <f>IFERROR(__xludf.DUMMYFUNCTION("""COMPUTED_VALUE"""),"Active")</f>
        <v>Active</v>
      </c>
      <c r="E407" s="197">
        <f>IFERROR(__xludf.DUMMYFUNCTION("""COMPUTED_VALUE"""),45931.0)</f>
        <v>45931</v>
      </c>
      <c r="F407" s="198"/>
      <c r="G407" s="199">
        <f>IFERROR(__xludf.DUMMYFUNCTION("""COMPUTED_VALUE"""),0.4666666666666667)</f>
        <v>0.4666666667</v>
      </c>
      <c r="H407" s="197">
        <f>IFERROR(__xludf.DUMMYFUNCTION("""COMPUTED_VALUE"""),41954.0)</f>
        <v>41954</v>
      </c>
      <c r="I407" s="199">
        <f>IFERROR(__xludf.DUMMYFUNCTION("""COMPUTED_VALUE"""),10.88888888888889)</f>
        <v>10.88888889</v>
      </c>
      <c r="J407" s="200">
        <f>IFERROR(__xludf.DUMMYFUNCTION("""COMPUTED_VALUE"""),72.0)</f>
        <v>72</v>
      </c>
      <c r="K407" s="200">
        <f>IFERROR(__xludf.DUMMYFUNCTION("""COMPUTED_VALUE"""),17.0)</f>
        <v>17</v>
      </c>
      <c r="L407" s="201" t="str">
        <f>IFERROR(__xludf.DUMMYFUNCTION("""COMPUTED_VALUE"""),"Action-Adventure")</f>
        <v>Action-Adventure</v>
      </c>
      <c r="M407" s="201"/>
    </row>
    <row r="408">
      <c r="A408" s="190" t="str">
        <f>IFERROR(__xludf.DUMMYFUNCTION("""COMPUTED_VALUE"""),"Peppa Pig: World Adventures")</f>
        <v>Peppa Pig: World Adventures</v>
      </c>
      <c r="B408" s="195" t="str">
        <f>IFERROR(__xludf.DUMMYFUNCTION("""COMPUTED_VALUE"""),"Xbox / PC")</f>
        <v>Xbox / PC</v>
      </c>
      <c r="C408" s="196" t="str">
        <f>IFERROR(__xludf.DUMMYFUNCTION("""COMPUTED_VALUE"""),"Yes")</f>
        <v>Yes</v>
      </c>
      <c r="D408" s="196" t="str">
        <f>IFERROR(__xludf.DUMMYFUNCTION("""COMPUTED_VALUE"""),"Active")</f>
        <v>Active</v>
      </c>
      <c r="E408" s="197">
        <f>IFERROR(__xludf.DUMMYFUNCTION("""COMPUTED_VALUE"""),45925.0)</f>
        <v>45925</v>
      </c>
      <c r="F408" s="198"/>
      <c r="G408" s="199">
        <f>IFERROR(__xludf.DUMMYFUNCTION("""COMPUTED_VALUE"""),0.6666666666666666)</f>
        <v>0.6666666667</v>
      </c>
      <c r="H408" s="197">
        <f>IFERROR(__xludf.DUMMYFUNCTION("""COMPUTED_VALUE"""),45002.0)</f>
        <v>45002</v>
      </c>
      <c r="I408" s="199">
        <f>IFERROR(__xludf.DUMMYFUNCTION("""COMPUTED_VALUE"""),2.522222222222222)</f>
        <v>2.522222222</v>
      </c>
      <c r="J408" s="200">
        <f>IFERROR(__xludf.DUMMYFUNCTION("""COMPUTED_VALUE"""),72.0)</f>
        <v>72</v>
      </c>
      <c r="K408" s="200">
        <f>IFERROR(__xludf.DUMMYFUNCTION("""COMPUTED_VALUE"""),2.0)</f>
        <v>2</v>
      </c>
      <c r="L408" s="201" t="str">
        <f>IFERROR(__xludf.DUMMYFUNCTION("""COMPUTED_VALUE"""),"Action-Adventure")</f>
        <v>Action-Adventure</v>
      </c>
      <c r="M408" s="201" t="str">
        <f>IFERROR(__xludf.DUMMYFUNCTION("""COMPUTED_VALUE"""),"Exclusive")</f>
        <v>Exclusive</v>
      </c>
    </row>
    <row r="409">
      <c r="A409" s="190" t="str">
        <f>IFERROR(__xludf.DUMMYFUNCTION("""COMPUTED_VALUE"""),"RoboCop: Rogue City")</f>
        <v>RoboCop: Rogue City</v>
      </c>
      <c r="B409" s="195" t="str">
        <f>IFERROR(__xludf.DUMMYFUNCTION("""COMPUTED_VALUE"""),"Xbox / PC")</f>
        <v>Xbox / PC</v>
      </c>
      <c r="C409" s="196" t="str">
        <f>IFERROR(__xludf.DUMMYFUNCTION("""COMPUTED_VALUE"""),"Yes")</f>
        <v>Yes</v>
      </c>
      <c r="D409" s="196" t="str">
        <f>IFERROR(__xludf.DUMMYFUNCTION("""COMPUTED_VALUE"""),"Active")</f>
        <v>Active</v>
      </c>
      <c r="E409" s="197">
        <f>IFERROR(__xludf.DUMMYFUNCTION("""COMPUTED_VALUE"""),45855.0)</f>
        <v>45855</v>
      </c>
      <c r="F409" s="198"/>
      <c r="G409" s="199">
        <f>IFERROR(__xludf.DUMMYFUNCTION("""COMPUTED_VALUE"""),2.933333333333333)</f>
        <v>2.933333333</v>
      </c>
      <c r="H409" s="197">
        <f>IFERROR(__xludf.DUMMYFUNCTION("""COMPUTED_VALUE"""),45232.0)</f>
        <v>45232</v>
      </c>
      <c r="I409" s="199">
        <f>IFERROR(__xludf.DUMMYFUNCTION("""COMPUTED_VALUE"""),1.7083333333333333)</f>
        <v>1.708333333</v>
      </c>
      <c r="J409" s="200">
        <f>IFERROR(__xludf.DUMMYFUNCTION("""COMPUTED_VALUE"""),72.0)</f>
        <v>72</v>
      </c>
      <c r="K409" s="200">
        <f>IFERROR(__xludf.DUMMYFUNCTION("""COMPUTED_VALUE"""),12.0)</f>
        <v>12</v>
      </c>
      <c r="L409" s="201" t="str">
        <f>IFERROR(__xludf.DUMMYFUNCTION("""COMPUTED_VALUE"""),"Shooter")</f>
        <v>Shooter</v>
      </c>
      <c r="M409" s="201" t="str">
        <f>IFERROR(__xludf.DUMMYFUNCTION("""COMPUTED_VALUE"""),"Exclusive")</f>
        <v>Exclusive</v>
      </c>
    </row>
    <row r="410">
      <c r="A410" s="190" t="str">
        <f>IFERROR(__xludf.DUMMYFUNCTION("""COMPUTED_VALUE"""),"Dragon Ball Xenoverse 2")</f>
        <v>Dragon Ball Xenoverse 2</v>
      </c>
      <c r="B410" s="195" t="str">
        <f>IFERROR(__xludf.DUMMYFUNCTION("""COMPUTED_VALUE"""),"Xbox / PC")</f>
        <v>Xbox / PC</v>
      </c>
      <c r="C410" s="196" t="str">
        <f>IFERROR(__xludf.DUMMYFUNCTION("""COMPUTED_VALUE"""),"Yes")</f>
        <v>Yes</v>
      </c>
      <c r="D410" s="196" t="str">
        <f>IFERROR(__xludf.DUMMYFUNCTION("""COMPUTED_VALUE"""),"Active")</f>
        <v>Active</v>
      </c>
      <c r="E410" s="197">
        <f>IFERROR(__xludf.DUMMYFUNCTION("""COMPUTED_VALUE"""),45784.0)</f>
        <v>45784</v>
      </c>
      <c r="F410" s="198"/>
      <c r="G410" s="199">
        <f>IFERROR(__xludf.DUMMYFUNCTION("""COMPUTED_VALUE"""),5.266666666666667)</f>
        <v>5.266666667</v>
      </c>
      <c r="H410" s="197">
        <f>IFERROR(__xludf.DUMMYFUNCTION("""COMPUTED_VALUE"""),42668.0)</f>
        <v>42668</v>
      </c>
      <c r="I410" s="199">
        <f>IFERROR(__xludf.DUMMYFUNCTION("""COMPUTED_VALUE"""),8.533333333333333)</f>
        <v>8.533333333</v>
      </c>
      <c r="J410" s="200">
        <f>IFERROR(__xludf.DUMMYFUNCTION("""COMPUTED_VALUE"""),72.0)</f>
        <v>72</v>
      </c>
      <c r="K410" s="200">
        <f>IFERROR(__xludf.DUMMYFUNCTION("""COMPUTED_VALUE"""),20.0)</f>
        <v>20</v>
      </c>
      <c r="L410" s="201" t="str">
        <f>IFERROR(__xludf.DUMMYFUNCTION("""COMPUTED_VALUE"""),"Fighting")</f>
        <v>Fighting</v>
      </c>
      <c r="M410" s="201"/>
    </row>
    <row r="411">
      <c r="A411" s="190" t="str">
        <f>IFERROR(__xludf.DUMMYFUNCTION("""COMPUTED_VALUE"""),"F1 24")</f>
        <v>F1 24</v>
      </c>
      <c r="B411" s="195" t="str">
        <f>IFERROR(__xludf.DUMMYFUNCTION("""COMPUTED_VALUE"""),"Xbox / PC")</f>
        <v>Xbox / PC</v>
      </c>
      <c r="C411" s="196" t="str">
        <f>IFERROR(__xludf.DUMMYFUNCTION("""COMPUTED_VALUE"""),"Yes")</f>
        <v>Yes</v>
      </c>
      <c r="D411" s="196" t="str">
        <f>IFERROR(__xludf.DUMMYFUNCTION("""COMPUTED_VALUE"""),"Active")</f>
        <v>Active</v>
      </c>
      <c r="E411" s="197">
        <f>IFERROR(__xludf.DUMMYFUNCTION("""COMPUTED_VALUE"""),45708.0)</f>
        <v>45708</v>
      </c>
      <c r="F411" s="198"/>
      <c r="G411" s="199">
        <f>IFERROR(__xludf.DUMMYFUNCTION("""COMPUTED_VALUE"""),7.833333333333334)</f>
        <v>7.833333333</v>
      </c>
      <c r="H411" s="197">
        <f>IFERROR(__xludf.DUMMYFUNCTION("""COMPUTED_VALUE"""),45443.0)</f>
        <v>45443</v>
      </c>
      <c r="I411" s="199">
        <f>IFERROR(__xludf.DUMMYFUNCTION("""COMPUTED_VALUE"""),0.7222222222222222)</f>
        <v>0.7222222222</v>
      </c>
      <c r="J411" s="200">
        <f>IFERROR(__xludf.DUMMYFUNCTION("""COMPUTED_VALUE"""),72.0)</f>
        <v>72</v>
      </c>
      <c r="K411" s="200">
        <f>IFERROR(__xludf.DUMMYFUNCTION("""COMPUTED_VALUE"""),7.0)</f>
        <v>7</v>
      </c>
      <c r="L411" s="201" t="str">
        <f>IFERROR(__xludf.DUMMYFUNCTION("""COMPUTED_VALUE"""),"Racing")</f>
        <v>Racing</v>
      </c>
      <c r="M411" s="201"/>
    </row>
    <row r="412">
      <c r="A412" s="190" t="str">
        <f>IFERROR(__xludf.DUMMYFUNCTION("""COMPUTED_VALUE"""),"Legend of Mana (2021)")</f>
        <v>Legend of Mana (2021)</v>
      </c>
      <c r="B412" s="195" t="str">
        <f>IFERROR(__xludf.DUMMYFUNCTION("""COMPUTED_VALUE"""),"Xbox / PC")</f>
        <v>Xbox / PC</v>
      </c>
      <c r="C412" s="196" t="str">
        <f>IFERROR(__xludf.DUMMYFUNCTION("""COMPUTED_VALUE"""),"Yes")</f>
        <v>Yes</v>
      </c>
      <c r="D412" s="196" t="str">
        <f>IFERROR(__xludf.DUMMYFUNCTION("""COMPUTED_VALUE"""),"Active")</f>
        <v>Active</v>
      </c>
      <c r="E412" s="197">
        <f>IFERROR(__xludf.DUMMYFUNCTION("""COMPUTED_VALUE"""),45561.0)</f>
        <v>45561</v>
      </c>
      <c r="F412" s="198"/>
      <c r="G412" s="199">
        <f>IFERROR(__xludf.DUMMYFUNCTION("""COMPUTED_VALUE"""),12.633333333333333)</f>
        <v>12.63333333</v>
      </c>
      <c r="H412" s="197">
        <f>IFERROR(__xludf.DUMMYFUNCTION("""COMPUTED_VALUE"""),44371.0)</f>
        <v>44371</v>
      </c>
      <c r="I412" s="199">
        <f>IFERROR(__xludf.DUMMYFUNCTION("""COMPUTED_VALUE"""),3.2555555555555555)</f>
        <v>3.255555556</v>
      </c>
      <c r="J412" s="200">
        <f>IFERROR(__xludf.DUMMYFUNCTION("""COMPUTED_VALUE"""),72.0)</f>
        <v>72</v>
      </c>
      <c r="K412" s="200">
        <f>IFERROR(__xludf.DUMMYFUNCTION("""COMPUTED_VALUE"""),18.0)</f>
        <v>18</v>
      </c>
      <c r="L412" s="201" t="str">
        <f>IFERROR(__xludf.DUMMYFUNCTION("""COMPUTED_VALUE"""),"RPG")</f>
        <v>RPG</v>
      </c>
      <c r="M412" s="201"/>
    </row>
    <row r="413">
      <c r="A413" s="190" t="str">
        <f>IFERROR(__xludf.DUMMYFUNCTION("""COMPUTED_VALUE"""),"Massive Chalice")</f>
        <v>Massive Chalice</v>
      </c>
      <c r="B413" s="195" t="str">
        <f>IFERROR(__xludf.DUMMYFUNCTION("""COMPUTED_VALUE"""),"Xbox")</f>
        <v>Xbox</v>
      </c>
      <c r="C413" s="196" t="str">
        <f>IFERROR(__xludf.DUMMYFUNCTION("""COMPUTED_VALUE"""),"Yes")</f>
        <v>Yes</v>
      </c>
      <c r="D413" s="196" t="str">
        <f>IFERROR(__xludf.DUMMYFUNCTION("""COMPUTED_VALUE"""),"Active")</f>
        <v>Active</v>
      </c>
      <c r="E413" s="197">
        <f>IFERROR(__xludf.DUMMYFUNCTION("""COMPUTED_VALUE"""),45071.0)</f>
        <v>45071</v>
      </c>
      <c r="F413" s="198"/>
      <c r="G413" s="199">
        <f>IFERROR(__xludf.DUMMYFUNCTION("""COMPUTED_VALUE"""),28.666666666666664)</f>
        <v>28.66666667</v>
      </c>
      <c r="H413" s="197">
        <f>IFERROR(__xludf.DUMMYFUNCTION("""COMPUTED_VALUE"""),42156.0)</f>
        <v>42156</v>
      </c>
      <c r="I413" s="199">
        <f>IFERROR(__xludf.DUMMYFUNCTION("""COMPUTED_VALUE"""),7.983333333333333)</f>
        <v>7.983333333</v>
      </c>
      <c r="J413" s="200">
        <f>IFERROR(__xludf.DUMMYFUNCTION("""COMPUTED_VALUE"""),72.0)</f>
        <v>72</v>
      </c>
      <c r="K413" s="200">
        <f>IFERROR(__xludf.DUMMYFUNCTION("""COMPUTED_VALUE"""),15.5)</f>
        <v>15.5</v>
      </c>
      <c r="L413" s="201" t="str">
        <f>IFERROR(__xludf.DUMMYFUNCTION("""COMPUTED_VALUE"""),"Strategy / RPG")</f>
        <v>Strategy / RPG</v>
      </c>
      <c r="M413" s="201"/>
    </row>
    <row r="414">
      <c r="A414" s="190" t="str">
        <f>IFERROR(__xludf.DUMMYFUNCTION("""COMPUTED_VALUE"""),"Army of Two")</f>
        <v>Army of Two</v>
      </c>
      <c r="B414" s="195" t="str">
        <f>IFERROR(__xludf.DUMMYFUNCTION("""COMPUTED_VALUE"""),"Xbox")</f>
        <v>Xbox</v>
      </c>
      <c r="C414" s="196"/>
      <c r="D414" s="196" t="str">
        <f>IFERROR(__xludf.DUMMYFUNCTION("""COMPUTED_VALUE"""),"Active")</f>
        <v>Active</v>
      </c>
      <c r="E414" s="197">
        <f>IFERROR(__xludf.DUMMYFUNCTION("""COMPUTED_VALUE"""),44145.0)</f>
        <v>44145</v>
      </c>
      <c r="F414" s="198"/>
      <c r="G414" s="199">
        <f>IFERROR(__xludf.DUMMYFUNCTION("""COMPUTED_VALUE"""),59.166666666666664)</f>
        <v>59.16666667</v>
      </c>
      <c r="H414" s="197">
        <f>IFERROR(__xludf.DUMMYFUNCTION("""COMPUTED_VALUE"""),39511.0)</f>
        <v>39511</v>
      </c>
      <c r="I414" s="199">
        <f>IFERROR(__xludf.DUMMYFUNCTION("""COMPUTED_VALUE"""),12.683333333333334)</f>
        <v>12.68333333</v>
      </c>
      <c r="J414" s="200">
        <f>IFERROR(__xludf.DUMMYFUNCTION("""COMPUTED_VALUE"""),72.0)</f>
        <v>72</v>
      </c>
      <c r="K414" s="200">
        <f>IFERROR(__xludf.DUMMYFUNCTION("""COMPUTED_VALUE"""),6.5)</f>
        <v>6.5</v>
      </c>
      <c r="L414" s="201" t="str">
        <f>IFERROR(__xludf.DUMMYFUNCTION("""COMPUTED_VALUE"""),"Action / Shooter")</f>
        <v>Action / Shooter</v>
      </c>
      <c r="M414" s="201"/>
    </row>
    <row r="415">
      <c r="A415" s="190" t="str">
        <f>IFERROR(__xludf.DUMMYFUNCTION("""COMPUTED_VALUE"""),"Mirror's Edge: Catalyst")</f>
        <v>Mirror's Edge: Catalyst</v>
      </c>
      <c r="B415" s="195" t="str">
        <f>IFERROR(__xludf.DUMMYFUNCTION("""COMPUTED_VALUE"""),"Xbox / PC")</f>
        <v>Xbox / PC</v>
      </c>
      <c r="C415" s="196" t="str">
        <f>IFERROR(__xludf.DUMMYFUNCTION("""COMPUTED_VALUE"""),"Yes")</f>
        <v>Yes</v>
      </c>
      <c r="D415" s="196" t="str">
        <f>IFERROR(__xludf.DUMMYFUNCTION("""COMPUTED_VALUE"""),"Active")</f>
        <v>Active</v>
      </c>
      <c r="E415" s="197">
        <f>IFERROR(__xludf.DUMMYFUNCTION("""COMPUTED_VALUE"""),44145.0)</f>
        <v>44145</v>
      </c>
      <c r="F415" s="198"/>
      <c r="G415" s="199">
        <f>IFERROR(__xludf.DUMMYFUNCTION("""COMPUTED_VALUE"""),59.166666666666664)</f>
        <v>59.16666667</v>
      </c>
      <c r="H415" s="197">
        <f>IFERROR(__xludf.DUMMYFUNCTION("""COMPUTED_VALUE"""),42528.0)</f>
        <v>42528</v>
      </c>
      <c r="I415" s="199">
        <f>IFERROR(__xludf.DUMMYFUNCTION("""COMPUTED_VALUE"""),4.425)</f>
        <v>4.425</v>
      </c>
      <c r="J415" s="200">
        <f>IFERROR(__xludf.DUMMYFUNCTION("""COMPUTED_VALUE"""),72.0)</f>
        <v>72</v>
      </c>
      <c r="K415" s="200">
        <f>IFERROR(__xludf.DUMMYFUNCTION("""COMPUTED_VALUE"""),8.5)</f>
        <v>8.5</v>
      </c>
      <c r="L415" s="201" t="str">
        <f>IFERROR(__xludf.DUMMYFUNCTION("""COMPUTED_VALUE"""),"Action-Adventure")</f>
        <v>Action-Adventure</v>
      </c>
      <c r="M415" s="201" t="str">
        <f>IFERROR(__xludf.DUMMYFUNCTION("""COMPUTED_VALUE"""),"FPS Boost X Only")</f>
        <v>FPS Boost X Only</v>
      </c>
    </row>
    <row r="416">
      <c r="A416" s="190" t="str">
        <f>IFERROR(__xludf.DUMMYFUNCTION("""COMPUTED_VALUE"""),"Sea of Solitude")</f>
        <v>Sea of Solitude</v>
      </c>
      <c r="B416" s="195" t="str">
        <f>IFERROR(__xludf.DUMMYFUNCTION("""COMPUTED_VALUE"""),"Xbox / PC")</f>
        <v>Xbox / PC</v>
      </c>
      <c r="C416" s="196"/>
      <c r="D416" s="196" t="str">
        <f>IFERROR(__xludf.DUMMYFUNCTION("""COMPUTED_VALUE"""),"Active")</f>
        <v>Active</v>
      </c>
      <c r="E416" s="197">
        <f>IFERROR(__xludf.DUMMYFUNCTION("""COMPUTED_VALUE"""),44145.0)</f>
        <v>44145</v>
      </c>
      <c r="F416" s="198"/>
      <c r="G416" s="199">
        <f>IFERROR(__xludf.DUMMYFUNCTION("""COMPUTED_VALUE"""),59.166666666666664)</f>
        <v>59.16666667</v>
      </c>
      <c r="H416" s="197">
        <f>IFERROR(__xludf.DUMMYFUNCTION("""COMPUTED_VALUE"""),43651.0)</f>
        <v>43651</v>
      </c>
      <c r="I416" s="199">
        <f>IFERROR(__xludf.DUMMYFUNCTION("""COMPUTED_VALUE"""),1.3472222222222223)</f>
        <v>1.347222222</v>
      </c>
      <c r="J416" s="200">
        <f>IFERROR(__xludf.DUMMYFUNCTION("""COMPUTED_VALUE"""),72.0)</f>
        <v>72</v>
      </c>
      <c r="K416" s="200">
        <f>IFERROR(__xludf.DUMMYFUNCTION("""COMPUTED_VALUE"""),3.0)</f>
        <v>3</v>
      </c>
      <c r="L416" s="201" t="str">
        <f>IFERROR(__xludf.DUMMYFUNCTION("""COMPUTED_VALUE"""),"Adventure")</f>
        <v>Adventure</v>
      </c>
      <c r="M416" s="201" t="str">
        <f>IFERROR(__xludf.DUMMYFUNCTION("""COMPUTED_VALUE"""),"FPS Boost")</f>
        <v>FPS Boost</v>
      </c>
    </row>
    <row r="417">
      <c r="A417" s="190" t="str">
        <f>IFERROR(__xludf.DUMMYFUNCTION("""COMPUTED_VALUE"""),"RAGE 2")</f>
        <v>RAGE 2</v>
      </c>
      <c r="B417" s="195" t="str">
        <f>IFERROR(__xludf.DUMMYFUNCTION("""COMPUTED_VALUE"""),"Xbox / PC")</f>
        <v>Xbox / PC</v>
      </c>
      <c r="C417" s="196" t="str">
        <f>IFERROR(__xludf.DUMMYFUNCTION("""COMPUTED_VALUE"""),"Yes")</f>
        <v>Yes</v>
      </c>
      <c r="D417" s="196" t="str">
        <f>IFERROR(__xludf.DUMMYFUNCTION("""COMPUTED_VALUE"""),"Active")</f>
        <v>Active</v>
      </c>
      <c r="E417" s="197">
        <f>IFERROR(__xludf.DUMMYFUNCTION("""COMPUTED_VALUE"""),43783.0)</f>
        <v>43783</v>
      </c>
      <c r="F417" s="198"/>
      <c r="G417" s="199">
        <f>IFERROR(__xludf.DUMMYFUNCTION("""COMPUTED_VALUE"""),71.03333333333333)</f>
        <v>71.03333333</v>
      </c>
      <c r="H417" s="197">
        <f>IFERROR(__xludf.DUMMYFUNCTION("""COMPUTED_VALUE"""),43599.0)</f>
        <v>43599</v>
      </c>
      <c r="I417" s="199">
        <f>IFERROR(__xludf.DUMMYFUNCTION("""COMPUTED_VALUE"""),0.5)</f>
        <v>0.5</v>
      </c>
      <c r="J417" s="200">
        <f>IFERROR(__xludf.DUMMYFUNCTION("""COMPUTED_VALUE"""),72.0)</f>
        <v>72</v>
      </c>
      <c r="K417" s="200">
        <f>IFERROR(__xludf.DUMMYFUNCTION("""COMPUTED_VALUE"""),10.0)</f>
        <v>10</v>
      </c>
      <c r="L417" s="201" t="str">
        <f>IFERROR(__xludf.DUMMYFUNCTION("""COMPUTED_VALUE"""),"First-Person Shooter")</f>
        <v>First-Person Shooter</v>
      </c>
      <c r="M417" s="201"/>
    </row>
    <row r="418">
      <c r="A418" s="190" t="str">
        <f>IFERROR(__xludf.DUMMYFUNCTION("""COMPUTED_VALUE"""),"ASTRONEER")</f>
        <v>ASTRONEER</v>
      </c>
      <c r="B418" s="195" t="str">
        <f>IFERROR(__xludf.DUMMYFUNCTION("""COMPUTED_VALUE"""),"Xbox / PC")</f>
        <v>Xbox / PC</v>
      </c>
      <c r="C418" s="196" t="str">
        <f>IFERROR(__xludf.DUMMYFUNCTION("""COMPUTED_VALUE"""),"Yes")</f>
        <v>Yes</v>
      </c>
      <c r="D418" s="196" t="str">
        <f>IFERROR(__xludf.DUMMYFUNCTION("""COMPUTED_VALUE"""),"Active")</f>
        <v>Active</v>
      </c>
      <c r="E418" s="197">
        <f>IFERROR(__xludf.DUMMYFUNCTION("""COMPUTED_VALUE"""),43625.0)</f>
        <v>43625</v>
      </c>
      <c r="F418" s="198"/>
      <c r="G418" s="199">
        <f>IFERROR(__xludf.DUMMYFUNCTION("""COMPUTED_VALUE"""),76.19999999999999)</f>
        <v>76.2</v>
      </c>
      <c r="H418" s="197">
        <f>IFERROR(__xludf.DUMMYFUNCTION("""COMPUTED_VALUE"""),42720.0)</f>
        <v>42720</v>
      </c>
      <c r="I418" s="199">
        <f>IFERROR(__xludf.DUMMYFUNCTION("""COMPUTED_VALUE"""),2.4805555555555556)</f>
        <v>2.480555556</v>
      </c>
      <c r="J418" s="200">
        <f>IFERROR(__xludf.DUMMYFUNCTION("""COMPUTED_VALUE"""),72.0)</f>
        <v>72</v>
      </c>
      <c r="K418" s="200">
        <f>IFERROR(__xludf.DUMMYFUNCTION("""COMPUTED_VALUE"""),18.5)</f>
        <v>18.5</v>
      </c>
      <c r="L418" s="201" t="str">
        <f>IFERROR(__xludf.DUMMYFUNCTION("""COMPUTED_VALUE"""),"Adventure")</f>
        <v>Adventure</v>
      </c>
      <c r="M418" s="201"/>
    </row>
    <row r="419">
      <c r="A419" s="190" t="str">
        <f>IFERROR(__xludf.DUMMYFUNCTION("""COMPUTED_VALUE"""),"State of Decay: Year One Survival Edition")</f>
        <v>State of Decay: Year One Survival Edition</v>
      </c>
      <c r="B419" s="195" t="str">
        <f>IFERROR(__xludf.DUMMYFUNCTION("""COMPUTED_VALUE"""),"Xbox")</f>
        <v>Xbox</v>
      </c>
      <c r="C419" s="196"/>
      <c r="D419" s="196" t="str">
        <f>IFERROR(__xludf.DUMMYFUNCTION("""COMPUTED_VALUE"""),"Active")</f>
        <v>Active</v>
      </c>
      <c r="E419" s="197">
        <f>IFERROR(__xludf.DUMMYFUNCTION("""COMPUTED_VALUE"""),43009.0)</f>
        <v>43009</v>
      </c>
      <c r="F419" s="198"/>
      <c r="G419" s="199">
        <f>IFERROR(__xludf.DUMMYFUNCTION("""COMPUTED_VALUE"""),96.46666666666667)</f>
        <v>96.46666667</v>
      </c>
      <c r="H419" s="197">
        <f>IFERROR(__xludf.DUMMYFUNCTION("""COMPUTED_VALUE"""),42122.0)</f>
        <v>42122</v>
      </c>
      <c r="I419" s="199">
        <f>IFERROR(__xludf.DUMMYFUNCTION("""COMPUTED_VALUE"""),2.425)</f>
        <v>2.425</v>
      </c>
      <c r="J419" s="200">
        <f>IFERROR(__xludf.DUMMYFUNCTION("""COMPUTED_VALUE"""),72.0)</f>
        <v>72</v>
      </c>
      <c r="K419" s="200">
        <f>IFERROR(__xludf.DUMMYFUNCTION("""COMPUTED_VALUE"""),17.5)</f>
        <v>17.5</v>
      </c>
      <c r="L419" s="201" t="str">
        <f>IFERROR(__xludf.DUMMYFUNCTION("""COMPUTED_VALUE"""),"Strategy / Shooter / Action-Adventure")</f>
        <v>Strategy / Shooter / Action-Adventure</v>
      </c>
      <c r="M419" s="201"/>
    </row>
    <row r="420">
      <c r="A420" s="190" t="str">
        <f>IFERROR(__xludf.DUMMYFUNCTION("""COMPUTED_VALUE"""),"Max: The Curse of Brotherhood")</f>
        <v>Max: The Curse of Brotherhood</v>
      </c>
      <c r="B420" s="195" t="str">
        <f>IFERROR(__xludf.DUMMYFUNCTION("""COMPUTED_VALUE"""),"Xbox")</f>
        <v>Xbox</v>
      </c>
      <c r="C420" s="196"/>
      <c r="D420" s="196" t="str">
        <f>IFERROR(__xludf.DUMMYFUNCTION("""COMPUTED_VALUE"""),"Active")</f>
        <v>Active</v>
      </c>
      <c r="E420" s="197">
        <f>IFERROR(__xludf.DUMMYFUNCTION("""COMPUTED_VALUE"""),42887.0)</f>
        <v>42887</v>
      </c>
      <c r="F420" s="198"/>
      <c r="G420" s="199">
        <f>IFERROR(__xludf.DUMMYFUNCTION("""COMPUTED_VALUE"""),100.46666666666667)</f>
        <v>100.4666667</v>
      </c>
      <c r="H420" s="197">
        <f>IFERROR(__xludf.DUMMYFUNCTION("""COMPUTED_VALUE"""),41628.0)</f>
        <v>41628</v>
      </c>
      <c r="I420" s="199">
        <f>IFERROR(__xludf.DUMMYFUNCTION("""COMPUTED_VALUE"""),3.4472222222222224)</f>
        <v>3.447222222</v>
      </c>
      <c r="J420" s="200">
        <f>IFERROR(__xludf.DUMMYFUNCTION("""COMPUTED_VALUE"""),72.0)</f>
        <v>72</v>
      </c>
      <c r="K420" s="200">
        <f>IFERROR(__xludf.DUMMYFUNCTION("""COMPUTED_VALUE"""),6.0)</f>
        <v>6</v>
      </c>
      <c r="L420" s="201" t="str">
        <f>IFERROR(__xludf.DUMMYFUNCTION("""COMPUTED_VALUE"""),"Puzzle / Platformer")</f>
        <v>Puzzle / Platformer</v>
      </c>
      <c r="M420" s="201"/>
    </row>
    <row r="421">
      <c r="A421" s="190" t="str">
        <f>IFERROR(__xludf.DUMMYFUNCTION("""COMPUTED_VALUE"""),"Tom Clancy's Rainbow Six: Extraction")</f>
        <v>Tom Clancy's Rainbow Six: Extraction</v>
      </c>
      <c r="B421" s="195" t="str">
        <f>IFERROR(__xludf.DUMMYFUNCTION("""COMPUTED_VALUE"""),"Xbox / PC")</f>
        <v>Xbox / PC</v>
      </c>
      <c r="C421" s="196" t="str">
        <f>IFERROR(__xludf.DUMMYFUNCTION("""COMPUTED_VALUE"""),"Yes")</f>
        <v>Yes</v>
      </c>
      <c r="D421" s="196" t="str">
        <f>IFERROR(__xludf.DUMMYFUNCTION("""COMPUTED_VALUE"""),"Active")</f>
        <v>Active</v>
      </c>
      <c r="E421" s="197">
        <f>IFERROR(__xludf.DUMMYFUNCTION("""COMPUTED_VALUE"""),45931.0)</f>
        <v>45931</v>
      </c>
      <c r="F421" s="198"/>
      <c r="G421" s="199">
        <f>IFERROR(__xludf.DUMMYFUNCTION("""COMPUTED_VALUE"""),0.4666666666666667)</f>
        <v>0.4666666667</v>
      </c>
      <c r="H421" s="197">
        <f>IFERROR(__xludf.DUMMYFUNCTION("""COMPUTED_VALUE"""),44581.0)</f>
        <v>44581</v>
      </c>
      <c r="I421" s="199">
        <f>IFERROR(__xludf.DUMMYFUNCTION("""COMPUTED_VALUE"""),3.6972222222222224)</f>
        <v>3.697222222</v>
      </c>
      <c r="J421" s="200">
        <f>IFERROR(__xludf.DUMMYFUNCTION("""COMPUTED_VALUE"""),71.5)</f>
        <v>71.5</v>
      </c>
      <c r="K421" s="200">
        <f>IFERROR(__xludf.DUMMYFUNCTION("""COMPUTED_VALUE"""),8.0)</f>
        <v>8</v>
      </c>
      <c r="L421" s="201" t="str">
        <f>IFERROR(__xludf.DUMMYFUNCTION("""COMPUTED_VALUE"""),"Shooter")</f>
        <v>Shooter</v>
      </c>
      <c r="M421" s="201"/>
    </row>
    <row r="422">
      <c r="A422" s="190" t="str">
        <f>IFERROR(__xludf.DUMMYFUNCTION("""COMPUTED_VALUE"""),"Assassin's Creed Rogue: Remastered")</f>
        <v>Assassin's Creed Rogue: Remastered</v>
      </c>
      <c r="B422" s="195" t="str">
        <f>IFERROR(__xludf.DUMMYFUNCTION("""COMPUTED_VALUE"""),"Xbox / PC")</f>
        <v>Xbox / PC</v>
      </c>
      <c r="C422" s="196" t="str">
        <f>IFERROR(__xludf.DUMMYFUNCTION("""COMPUTED_VALUE"""),"Yes")</f>
        <v>Yes</v>
      </c>
      <c r="D422" s="196" t="str">
        <f>IFERROR(__xludf.DUMMYFUNCTION("""COMPUTED_VALUE"""),"Active")</f>
        <v>Active</v>
      </c>
      <c r="E422" s="197">
        <f>IFERROR(__xludf.DUMMYFUNCTION("""COMPUTED_VALUE"""),45931.0)</f>
        <v>45931</v>
      </c>
      <c r="F422" s="198"/>
      <c r="G422" s="199">
        <f>IFERROR(__xludf.DUMMYFUNCTION("""COMPUTED_VALUE"""),0.4666666666666667)</f>
        <v>0.4666666667</v>
      </c>
      <c r="H422" s="197">
        <f>IFERROR(__xludf.DUMMYFUNCTION("""COMPUTED_VALUE"""),43179.0)</f>
        <v>43179</v>
      </c>
      <c r="I422" s="199">
        <f>IFERROR(__xludf.DUMMYFUNCTION("""COMPUTED_VALUE"""),7.530555555555556)</f>
        <v>7.530555556</v>
      </c>
      <c r="J422" s="200">
        <f>IFERROR(__xludf.DUMMYFUNCTION("""COMPUTED_VALUE"""),71.0)</f>
        <v>71</v>
      </c>
      <c r="K422" s="200">
        <f>IFERROR(__xludf.DUMMYFUNCTION("""COMPUTED_VALUE"""),11.0)</f>
        <v>11</v>
      </c>
      <c r="L422" s="201" t="str">
        <f>IFERROR(__xludf.DUMMYFUNCTION("""COMPUTED_VALUE"""),"Action-Adventure")</f>
        <v>Action-Adventure</v>
      </c>
      <c r="M422" s="201"/>
    </row>
    <row r="423">
      <c r="A423" s="190" t="str">
        <f>IFERROR(__xludf.DUMMYFUNCTION("""COMPUTED_VALUE"""),"OddBallers")</f>
        <v>OddBallers</v>
      </c>
      <c r="B423" s="195" t="str">
        <f>IFERROR(__xludf.DUMMYFUNCTION("""COMPUTED_VALUE"""),"Xbox / PC")</f>
        <v>Xbox / PC</v>
      </c>
      <c r="C423" s="196" t="str">
        <f>IFERROR(__xludf.DUMMYFUNCTION("""COMPUTED_VALUE"""),"Yes")</f>
        <v>Yes</v>
      </c>
      <c r="D423" s="196" t="str">
        <f>IFERROR(__xludf.DUMMYFUNCTION("""COMPUTED_VALUE"""),"Active")</f>
        <v>Active</v>
      </c>
      <c r="E423" s="197">
        <f>IFERROR(__xludf.DUMMYFUNCTION("""COMPUTED_VALUE"""),45931.0)</f>
        <v>45931</v>
      </c>
      <c r="F423" s="198"/>
      <c r="G423" s="199">
        <f>IFERROR(__xludf.DUMMYFUNCTION("""COMPUTED_VALUE"""),0.4666666666666667)</f>
        <v>0.4666666667</v>
      </c>
      <c r="H423" s="197">
        <f>IFERROR(__xludf.DUMMYFUNCTION("""COMPUTED_VALUE"""),44952.0)</f>
        <v>44952</v>
      </c>
      <c r="I423" s="199">
        <f>IFERROR(__xludf.DUMMYFUNCTION("""COMPUTED_VALUE"""),2.6805555555555554)</f>
        <v>2.680555556</v>
      </c>
      <c r="J423" s="200">
        <f>IFERROR(__xludf.DUMMYFUNCTION("""COMPUTED_VALUE"""),71.0)</f>
        <v>71</v>
      </c>
      <c r="K423" s="200">
        <f>IFERROR(__xludf.DUMMYFUNCTION("""COMPUTED_VALUE"""),8.0)</f>
        <v>8</v>
      </c>
      <c r="L423" s="201" t="str">
        <f>IFERROR(__xludf.DUMMYFUNCTION("""COMPUTED_VALUE"""),"Party")</f>
        <v>Party</v>
      </c>
      <c r="M423" s="201"/>
    </row>
    <row r="424">
      <c r="A424" s="190" t="str">
        <f>IFERROR(__xludf.DUMMYFUNCTION("""COMPUTED_VALUE"""),"Steep")</f>
        <v>Steep</v>
      </c>
      <c r="B424" s="195" t="str">
        <f>IFERROR(__xludf.DUMMYFUNCTION("""COMPUTED_VALUE"""),"Xbox / PC")</f>
        <v>Xbox / PC</v>
      </c>
      <c r="C424" s="196" t="str">
        <f>IFERROR(__xludf.DUMMYFUNCTION("""COMPUTED_VALUE"""),"Yes")</f>
        <v>Yes</v>
      </c>
      <c r="D424" s="196" t="str">
        <f>IFERROR(__xludf.DUMMYFUNCTION("""COMPUTED_VALUE"""),"Active")</f>
        <v>Active</v>
      </c>
      <c r="E424" s="197">
        <f>IFERROR(__xludf.DUMMYFUNCTION("""COMPUTED_VALUE"""),45931.0)</f>
        <v>45931</v>
      </c>
      <c r="F424" s="198"/>
      <c r="G424" s="199">
        <f>IFERROR(__xludf.DUMMYFUNCTION("""COMPUTED_VALUE"""),0.4666666666666667)</f>
        <v>0.4666666667</v>
      </c>
      <c r="H424" s="197">
        <f>IFERROR(__xludf.DUMMYFUNCTION("""COMPUTED_VALUE"""),42703.0)</f>
        <v>42703</v>
      </c>
      <c r="I424" s="199">
        <f>IFERROR(__xludf.DUMMYFUNCTION("""COMPUTED_VALUE"""),8.838888888888889)</f>
        <v>8.838888889</v>
      </c>
      <c r="J424" s="200">
        <f>IFERROR(__xludf.DUMMYFUNCTION("""COMPUTED_VALUE"""),71.0)</f>
        <v>71</v>
      </c>
      <c r="K424" s="200">
        <f>IFERROR(__xludf.DUMMYFUNCTION("""COMPUTED_VALUE"""),12.0)</f>
        <v>12</v>
      </c>
      <c r="L424" s="201" t="str">
        <f>IFERROR(__xludf.DUMMYFUNCTION("""COMPUTED_VALUE"""),"Sports")</f>
        <v>Sports</v>
      </c>
      <c r="M424" s="201"/>
    </row>
    <row r="425">
      <c r="A425" s="190" t="str">
        <f>IFERROR(__xludf.DUMMYFUNCTION("""COMPUTED_VALUE"""),"Transference")</f>
        <v>Transference</v>
      </c>
      <c r="B425" s="195" t="str">
        <f>IFERROR(__xludf.DUMMYFUNCTION("""COMPUTED_VALUE"""),"Xbox")</f>
        <v>Xbox</v>
      </c>
      <c r="C425" s="196" t="str">
        <f>IFERROR(__xludf.DUMMYFUNCTION("""COMPUTED_VALUE"""),"Yes")</f>
        <v>Yes</v>
      </c>
      <c r="D425" s="196" t="str">
        <f>IFERROR(__xludf.DUMMYFUNCTION("""COMPUTED_VALUE"""),"Active")</f>
        <v>Active</v>
      </c>
      <c r="E425" s="197">
        <f>IFERROR(__xludf.DUMMYFUNCTION("""COMPUTED_VALUE"""),45931.0)</f>
        <v>45931</v>
      </c>
      <c r="F425" s="198"/>
      <c r="G425" s="199">
        <f>IFERROR(__xludf.DUMMYFUNCTION("""COMPUTED_VALUE"""),0.4666666666666667)</f>
        <v>0.4666666667</v>
      </c>
      <c r="H425" s="197">
        <f>IFERROR(__xludf.DUMMYFUNCTION("""COMPUTED_VALUE"""),43361.0)</f>
        <v>43361</v>
      </c>
      <c r="I425" s="199">
        <f>IFERROR(__xludf.DUMMYFUNCTION("""COMPUTED_VALUE"""),7.036111111111111)</f>
        <v>7.036111111</v>
      </c>
      <c r="J425" s="200">
        <f>IFERROR(__xludf.DUMMYFUNCTION("""COMPUTED_VALUE"""),71.0)</f>
        <v>71</v>
      </c>
      <c r="K425" s="200">
        <f>IFERROR(__xludf.DUMMYFUNCTION("""COMPUTED_VALUE"""),2.0)</f>
        <v>2</v>
      </c>
      <c r="L425" s="201" t="str">
        <f>IFERROR(__xludf.DUMMYFUNCTION("""COMPUTED_VALUE"""),"Action-Adventure")</f>
        <v>Action-Adventure</v>
      </c>
      <c r="M425" s="201"/>
    </row>
    <row r="426">
      <c r="A426" s="190" t="str">
        <f>IFERROR(__xludf.DUMMYFUNCTION("""COMPUTED_VALUE"""),"Wheel World")</f>
        <v>Wheel World</v>
      </c>
      <c r="B426" s="195" t="str">
        <f>IFERROR(__xludf.DUMMYFUNCTION("""COMPUTED_VALUE"""),"Xbox / PC")</f>
        <v>Xbox / PC</v>
      </c>
      <c r="C426" s="196" t="str">
        <f>IFERROR(__xludf.DUMMYFUNCTION("""COMPUTED_VALUE"""),"Yes")</f>
        <v>Yes</v>
      </c>
      <c r="D426" s="196" t="str">
        <f>IFERROR(__xludf.DUMMYFUNCTION("""COMPUTED_VALUE"""),"Active")</f>
        <v>Active</v>
      </c>
      <c r="E426" s="197">
        <f>IFERROR(__xludf.DUMMYFUNCTION("""COMPUTED_VALUE"""),45861.0)</f>
        <v>45861</v>
      </c>
      <c r="F426" s="198"/>
      <c r="G426" s="199">
        <f>IFERROR(__xludf.DUMMYFUNCTION("""COMPUTED_VALUE"""),2.7333333333333334)</f>
        <v>2.733333333</v>
      </c>
      <c r="H426" s="197">
        <f>IFERROR(__xludf.DUMMYFUNCTION("""COMPUTED_VALUE"""),45861.0)</f>
        <v>45861</v>
      </c>
      <c r="I426" s="199">
        <f>IFERROR(__xludf.DUMMYFUNCTION("""COMPUTED_VALUE"""),0.0)</f>
        <v>0</v>
      </c>
      <c r="J426" s="200">
        <f>IFERROR(__xludf.DUMMYFUNCTION("""COMPUTED_VALUE"""),71.0)</f>
        <v>71</v>
      </c>
      <c r="K426" s="200">
        <f>IFERROR(__xludf.DUMMYFUNCTION("""COMPUTED_VALUE"""),5.0)</f>
        <v>5</v>
      </c>
      <c r="L426" s="201" t="str">
        <f>IFERROR(__xludf.DUMMYFUNCTION("""COMPUTED_VALUE"""),"Action-Adventure")</f>
        <v>Action-Adventure</v>
      </c>
      <c r="M426" s="201" t="str">
        <f>IFERROR(__xludf.DUMMYFUNCTION("""COMPUTED_VALUE"""),"Exclusive")</f>
        <v>Exclusive</v>
      </c>
    </row>
    <row r="427">
      <c r="A427" s="190" t="str">
        <f>IFERROR(__xludf.DUMMYFUNCTION("""COMPUTED_VALUE"""),"Far Cry: New Dawn")</f>
        <v>Far Cry: New Dawn</v>
      </c>
      <c r="B427" s="195" t="str">
        <f>IFERROR(__xludf.DUMMYFUNCTION("""COMPUTED_VALUE"""),"Xbox / PC")</f>
        <v>Xbox / PC</v>
      </c>
      <c r="C427" s="196" t="str">
        <f>IFERROR(__xludf.DUMMYFUNCTION("""COMPUTED_VALUE"""),"Yes")</f>
        <v>Yes</v>
      </c>
      <c r="D427" s="196" t="str">
        <f>IFERROR(__xludf.DUMMYFUNCTION("""COMPUTED_VALUE"""),"Active")</f>
        <v>Active</v>
      </c>
      <c r="E427" s="197">
        <f>IFERROR(__xludf.DUMMYFUNCTION("""COMPUTED_VALUE"""),45692.0)</f>
        <v>45692</v>
      </c>
      <c r="F427" s="198"/>
      <c r="G427" s="199">
        <f>IFERROR(__xludf.DUMMYFUNCTION("""COMPUTED_VALUE"""),8.366666666666667)</f>
        <v>8.366666667</v>
      </c>
      <c r="H427" s="197">
        <f>IFERROR(__xludf.DUMMYFUNCTION("""COMPUTED_VALUE"""),43511.0)</f>
        <v>43511</v>
      </c>
      <c r="I427" s="199">
        <f>IFERROR(__xludf.DUMMYFUNCTION("""COMPUTED_VALUE"""),5.969444444444444)</f>
        <v>5.969444444</v>
      </c>
      <c r="J427" s="200">
        <f>IFERROR(__xludf.DUMMYFUNCTION("""COMPUTED_VALUE"""),71.0)</f>
        <v>71</v>
      </c>
      <c r="K427" s="200">
        <f>IFERROR(__xludf.DUMMYFUNCTION("""COMPUTED_VALUE"""),11.0)</f>
        <v>11</v>
      </c>
      <c r="L427" s="201" t="str">
        <f>IFERROR(__xludf.DUMMYFUNCTION("""COMPUTED_VALUE"""),"Shooter")</f>
        <v>Shooter</v>
      </c>
      <c r="M427" s="201"/>
    </row>
    <row r="428">
      <c r="A428" s="190" t="str">
        <f>IFERROR(__xludf.DUMMYFUNCTION("""COMPUTED_VALUE"""),"Flintlock: The Siege of Dawn")</f>
        <v>Flintlock: The Siege of Dawn</v>
      </c>
      <c r="B428" s="195" t="str">
        <f>IFERROR(__xludf.DUMMYFUNCTION("""COMPUTED_VALUE"""),"Xbox / PC")</f>
        <v>Xbox / PC</v>
      </c>
      <c r="C428" s="196" t="str">
        <f>IFERROR(__xludf.DUMMYFUNCTION("""COMPUTED_VALUE"""),"Yes")</f>
        <v>Yes</v>
      </c>
      <c r="D428" s="196" t="str">
        <f>IFERROR(__xludf.DUMMYFUNCTION("""COMPUTED_VALUE"""),"Active")</f>
        <v>Active</v>
      </c>
      <c r="E428" s="197">
        <f>IFERROR(__xludf.DUMMYFUNCTION("""COMPUTED_VALUE"""),45491.0)</f>
        <v>45491</v>
      </c>
      <c r="F428" s="198"/>
      <c r="G428" s="199">
        <f>IFERROR(__xludf.DUMMYFUNCTION("""COMPUTED_VALUE"""),14.9)</f>
        <v>14.9</v>
      </c>
      <c r="H428" s="197">
        <f>IFERROR(__xludf.DUMMYFUNCTION("""COMPUTED_VALUE"""),45491.0)</f>
        <v>45491</v>
      </c>
      <c r="I428" s="199">
        <f>IFERROR(__xludf.DUMMYFUNCTION("""COMPUTED_VALUE"""),0.0)</f>
        <v>0</v>
      </c>
      <c r="J428" s="200">
        <f>IFERROR(__xludf.DUMMYFUNCTION("""COMPUTED_VALUE"""),71.0)</f>
        <v>71</v>
      </c>
      <c r="K428" s="200">
        <f>IFERROR(__xludf.DUMMYFUNCTION("""COMPUTED_VALUE"""),9.0)</f>
        <v>9</v>
      </c>
      <c r="L428" s="201" t="str">
        <f>IFERROR(__xludf.DUMMYFUNCTION("""COMPUTED_VALUE"""),"Action-Adventure")</f>
        <v>Action-Adventure</v>
      </c>
      <c r="M428" s="201" t="str">
        <f>IFERROR(__xludf.DUMMYFUNCTION("""COMPUTED_VALUE"""),"Exclusive")</f>
        <v>Exclusive</v>
      </c>
    </row>
    <row r="429">
      <c r="A429" s="190" t="str">
        <f>IFERROR(__xludf.DUMMYFUNCTION("""COMPUTED_VALUE"""),"NHL 24")</f>
        <v>NHL 24</v>
      </c>
      <c r="B429" s="195" t="str">
        <f>IFERROR(__xludf.DUMMYFUNCTION("""COMPUTED_VALUE"""),"Xbox")</f>
        <v>Xbox</v>
      </c>
      <c r="C429" s="196" t="str">
        <f>IFERROR(__xludf.DUMMYFUNCTION("""COMPUTED_VALUE"""),"Yes")</f>
        <v>Yes</v>
      </c>
      <c r="D429" s="196" t="str">
        <f>IFERROR(__xludf.DUMMYFUNCTION("""COMPUTED_VALUE"""),"Active")</f>
        <v>Active</v>
      </c>
      <c r="E429" s="197">
        <f>IFERROR(__xludf.DUMMYFUNCTION("""COMPUTED_VALUE"""),45400.0)</f>
        <v>45400</v>
      </c>
      <c r="F429" s="198"/>
      <c r="G429" s="199">
        <f>IFERROR(__xludf.DUMMYFUNCTION("""COMPUTED_VALUE"""),17.9)</f>
        <v>17.9</v>
      </c>
      <c r="H429" s="197">
        <f>IFERROR(__xludf.DUMMYFUNCTION("""COMPUTED_VALUE"""),45205.0)</f>
        <v>45205</v>
      </c>
      <c r="I429" s="199">
        <f>IFERROR(__xludf.DUMMYFUNCTION("""COMPUTED_VALUE"""),0.5333333333333333)</f>
        <v>0.5333333333</v>
      </c>
      <c r="J429" s="200">
        <f>IFERROR(__xludf.DUMMYFUNCTION("""COMPUTED_VALUE"""),71.0)</f>
        <v>71</v>
      </c>
      <c r="K429" s="200"/>
      <c r="L429" s="201" t="str">
        <f>IFERROR(__xludf.DUMMYFUNCTION("""COMPUTED_VALUE"""),"Sports")</f>
        <v>Sports</v>
      </c>
      <c r="M429" s="201"/>
    </row>
    <row r="430">
      <c r="A430" s="190" t="str">
        <f>IFERROR(__xludf.DUMMYFUNCTION("""COMPUTED_VALUE"""),"NHL 23")</f>
        <v>NHL 23</v>
      </c>
      <c r="B430" s="195" t="str">
        <f>IFERROR(__xludf.DUMMYFUNCTION("""COMPUTED_VALUE"""),"Xbox")</f>
        <v>Xbox</v>
      </c>
      <c r="C430" s="196"/>
      <c r="D430" s="196" t="str">
        <f>IFERROR(__xludf.DUMMYFUNCTION("""COMPUTED_VALUE"""),"Active")</f>
        <v>Active</v>
      </c>
      <c r="E430" s="197">
        <f>IFERROR(__xludf.DUMMYFUNCTION("""COMPUTED_VALUE"""),45029.0)</f>
        <v>45029</v>
      </c>
      <c r="F430" s="198"/>
      <c r="G430" s="199">
        <f>IFERROR(__xludf.DUMMYFUNCTION("""COMPUTED_VALUE"""),30.066666666666666)</f>
        <v>30.06666667</v>
      </c>
      <c r="H430" s="197">
        <f>IFERROR(__xludf.DUMMYFUNCTION("""COMPUTED_VALUE"""),44845.0)</f>
        <v>44845</v>
      </c>
      <c r="I430" s="199">
        <f>IFERROR(__xludf.DUMMYFUNCTION("""COMPUTED_VALUE"""),0.5055555555555555)</f>
        <v>0.5055555556</v>
      </c>
      <c r="J430" s="200">
        <f>IFERROR(__xludf.DUMMYFUNCTION("""COMPUTED_VALUE"""),71.0)</f>
        <v>71</v>
      </c>
      <c r="K430" s="200">
        <f>IFERROR(__xludf.DUMMYFUNCTION("""COMPUTED_VALUE"""),12.0)</f>
        <v>12</v>
      </c>
      <c r="L430" s="201" t="str">
        <f>IFERROR(__xludf.DUMMYFUNCTION("""COMPUTED_VALUE"""),"Sports / Hockey")</f>
        <v>Sports / Hockey</v>
      </c>
      <c r="M430" s="201"/>
    </row>
    <row r="431">
      <c r="A431" s="190" t="str">
        <f>IFERROR(__xludf.DUMMYFUNCTION("""COMPUTED_VALUE"""),"Blinx: The Time Sweeper")</f>
        <v>Blinx: The Time Sweeper</v>
      </c>
      <c r="B431" s="195" t="str">
        <f>IFERROR(__xludf.DUMMYFUNCTION("""COMPUTED_VALUE"""),"Xbox")</f>
        <v>Xbox</v>
      </c>
      <c r="C431" s="196" t="str">
        <f>IFERROR(__xludf.DUMMYFUNCTION("""COMPUTED_VALUE"""),"Touch Controls")</f>
        <v>Touch Controls</v>
      </c>
      <c r="D431" s="196" t="str">
        <f>IFERROR(__xludf.DUMMYFUNCTION("""COMPUTED_VALUE"""),"Active")</f>
        <v>Active</v>
      </c>
      <c r="E431" s="197">
        <f>IFERROR(__xludf.DUMMYFUNCTION("""COMPUTED_VALUE"""),44399.0)</f>
        <v>44399</v>
      </c>
      <c r="F431" s="198"/>
      <c r="G431" s="199">
        <f>IFERROR(__xludf.DUMMYFUNCTION("""COMPUTED_VALUE"""),50.766666666666666)</f>
        <v>50.76666667</v>
      </c>
      <c r="H431" s="197">
        <f>IFERROR(__xludf.DUMMYFUNCTION("""COMPUTED_VALUE"""),37536.0)</f>
        <v>37536</v>
      </c>
      <c r="I431" s="199">
        <f>IFERROR(__xludf.DUMMYFUNCTION("""COMPUTED_VALUE"""),18.791666666666668)</f>
        <v>18.79166667</v>
      </c>
      <c r="J431" s="200">
        <f>IFERROR(__xludf.DUMMYFUNCTION("""COMPUTED_VALUE"""),71.0)</f>
        <v>71</v>
      </c>
      <c r="K431" s="200">
        <f>IFERROR(__xludf.DUMMYFUNCTION("""COMPUTED_VALUE"""),10.0)</f>
        <v>10</v>
      </c>
      <c r="L431" s="201" t="str">
        <f>IFERROR(__xludf.DUMMYFUNCTION("""COMPUTED_VALUE"""),"Action")</f>
        <v>Action</v>
      </c>
      <c r="M431" s="201"/>
    </row>
    <row r="432">
      <c r="A432" s="190" t="str">
        <f>IFERROR(__xludf.DUMMYFUNCTION("""COMPUTED_VALUE"""),"Battlefield: Hardline - Ultimate Edition")</f>
        <v>Battlefield: Hardline - Ultimate Edition</v>
      </c>
      <c r="B432" s="195" t="str">
        <f>IFERROR(__xludf.DUMMYFUNCTION("""COMPUTED_VALUE"""),"Xbox / PC")</f>
        <v>Xbox / PC</v>
      </c>
      <c r="C432" s="196"/>
      <c r="D432" s="196" t="str">
        <f>IFERROR(__xludf.DUMMYFUNCTION("""COMPUTED_VALUE"""),"Active")</f>
        <v>Active</v>
      </c>
      <c r="E432" s="197">
        <f>IFERROR(__xludf.DUMMYFUNCTION("""COMPUTED_VALUE"""),44145.0)</f>
        <v>44145</v>
      </c>
      <c r="F432" s="198"/>
      <c r="G432" s="199">
        <f>IFERROR(__xludf.DUMMYFUNCTION("""COMPUTED_VALUE"""),59.166666666666664)</f>
        <v>59.16666667</v>
      </c>
      <c r="H432" s="197">
        <f>IFERROR(__xludf.DUMMYFUNCTION("""COMPUTED_VALUE"""),42080.0)</f>
        <v>42080</v>
      </c>
      <c r="I432" s="199">
        <f>IFERROR(__xludf.DUMMYFUNCTION("""COMPUTED_VALUE"""),5.647222222222222)</f>
        <v>5.647222222</v>
      </c>
      <c r="J432" s="200">
        <f>IFERROR(__xludf.DUMMYFUNCTION("""COMPUTED_VALUE"""),71.0)</f>
        <v>71</v>
      </c>
      <c r="K432" s="200">
        <f>IFERROR(__xludf.DUMMYFUNCTION("""COMPUTED_VALUE"""),7.5)</f>
        <v>7.5</v>
      </c>
      <c r="L432" s="201" t="str">
        <f>IFERROR(__xludf.DUMMYFUNCTION("""COMPUTED_VALUE"""),"First-Person Shooter")</f>
        <v>First-Person Shooter</v>
      </c>
      <c r="M432" s="201" t="str">
        <f>IFERROR(__xludf.DUMMYFUNCTION("""COMPUTED_VALUE"""),"FPS Boost")</f>
        <v>FPS Boost</v>
      </c>
    </row>
    <row r="433">
      <c r="A433" s="190" t="str">
        <f>IFERROR(__xludf.DUMMYFUNCTION("""COMPUTED_VALUE"""),"Halo 2: Anniversary")</f>
        <v>Halo 2: Anniversary</v>
      </c>
      <c r="B433" s="195" t="str">
        <f>IFERROR(__xludf.DUMMYFUNCTION("""COMPUTED_VALUE"""),"Xbox / PC")</f>
        <v>Xbox / PC</v>
      </c>
      <c r="C433" s="196"/>
      <c r="D433" s="196" t="str">
        <f>IFERROR(__xludf.DUMMYFUNCTION("""COMPUTED_VALUE"""),"Active")</f>
        <v>Active</v>
      </c>
      <c r="E433" s="197">
        <f>IFERROR(__xludf.DUMMYFUNCTION("""COMPUTED_VALUE"""),43963.0)</f>
        <v>43963</v>
      </c>
      <c r="F433" s="198"/>
      <c r="G433" s="199">
        <f>IFERROR(__xludf.DUMMYFUNCTION("""COMPUTED_VALUE"""),65.1)</f>
        <v>65.1</v>
      </c>
      <c r="H433" s="197">
        <f>IFERROR(__xludf.DUMMYFUNCTION("""COMPUTED_VALUE"""),38300.0)</f>
        <v>38300</v>
      </c>
      <c r="I433" s="199">
        <f>IFERROR(__xludf.DUMMYFUNCTION("""COMPUTED_VALUE"""),15.508333333333333)</f>
        <v>15.50833333</v>
      </c>
      <c r="J433" s="200">
        <f>IFERROR(__xludf.DUMMYFUNCTION("""COMPUTED_VALUE"""),71.0)</f>
        <v>71</v>
      </c>
      <c r="K433" s="200">
        <f>IFERROR(__xludf.DUMMYFUNCTION("""COMPUTED_VALUE"""),8.0)</f>
        <v>8</v>
      </c>
      <c r="L433" s="201" t="str">
        <f>IFERROR(__xludf.DUMMYFUNCTION("""COMPUTED_VALUE"""),"First-Person Shooter")</f>
        <v>First-Person Shooter</v>
      </c>
      <c r="M433" s="201"/>
    </row>
    <row r="434">
      <c r="A434" s="190" t="str">
        <f>IFERROR(__xludf.DUMMYFUNCTION("""COMPUTED_VALUE"""),"ScreamRide")</f>
        <v>ScreamRide</v>
      </c>
      <c r="B434" s="195" t="str">
        <f>IFERROR(__xludf.DUMMYFUNCTION("""COMPUTED_VALUE"""),"Xbox")</f>
        <v>Xbox</v>
      </c>
      <c r="C434" s="196"/>
      <c r="D434" s="196" t="str">
        <f>IFERROR(__xludf.DUMMYFUNCTION("""COMPUTED_VALUE"""),"Active")</f>
        <v>Active</v>
      </c>
      <c r="E434" s="197">
        <f>IFERROR(__xludf.DUMMYFUNCTION("""COMPUTED_VALUE"""),42887.0)</f>
        <v>42887</v>
      </c>
      <c r="F434" s="198"/>
      <c r="G434" s="199">
        <f>IFERROR(__xludf.DUMMYFUNCTION("""COMPUTED_VALUE"""),100.46666666666667)</f>
        <v>100.4666667</v>
      </c>
      <c r="H434" s="197">
        <f>IFERROR(__xludf.DUMMYFUNCTION("""COMPUTED_VALUE"""),42066.0)</f>
        <v>42066</v>
      </c>
      <c r="I434" s="199">
        <f>IFERROR(__xludf.DUMMYFUNCTION("""COMPUTED_VALUE"""),2.2444444444444445)</f>
        <v>2.244444444</v>
      </c>
      <c r="J434" s="200">
        <f>IFERROR(__xludf.DUMMYFUNCTION("""COMPUTED_VALUE"""),71.0)</f>
        <v>71</v>
      </c>
      <c r="K434" s="200">
        <f>IFERROR(__xludf.DUMMYFUNCTION("""COMPUTED_VALUE"""),6.0)</f>
        <v>6</v>
      </c>
      <c r="L434" s="201" t="str">
        <f>IFERROR(__xludf.DUMMYFUNCTION("""COMPUTED_VALUE"""),"Action")</f>
        <v>Action</v>
      </c>
      <c r="M434" s="201"/>
    </row>
    <row r="435">
      <c r="A435" s="190" t="str">
        <f>IFERROR(__xludf.DUMMYFUNCTION("""COMPUTED_VALUE"""),"Madden NFL 25 (2024)")</f>
        <v>Madden NFL 25 (2024)</v>
      </c>
      <c r="B435" s="195" t="str">
        <f>IFERROR(__xludf.DUMMYFUNCTION("""COMPUTED_VALUE"""),"Xbox / PC")</f>
        <v>Xbox / PC</v>
      </c>
      <c r="C435" s="196" t="str">
        <f>IFERROR(__xludf.DUMMYFUNCTION("""COMPUTED_VALUE"""),"Yes")</f>
        <v>Yes</v>
      </c>
      <c r="D435" s="196" t="str">
        <f>IFERROR(__xludf.DUMMYFUNCTION("""COMPUTED_VALUE"""),"Active")</f>
        <v>Active</v>
      </c>
      <c r="E435" s="197">
        <f>IFERROR(__xludf.DUMMYFUNCTION("""COMPUTED_VALUE"""),45694.0)</f>
        <v>45694</v>
      </c>
      <c r="F435" s="198"/>
      <c r="G435" s="199">
        <f>IFERROR(__xludf.DUMMYFUNCTION("""COMPUTED_VALUE"""),8.3)</f>
        <v>8.3</v>
      </c>
      <c r="H435" s="197">
        <f>IFERROR(__xludf.DUMMYFUNCTION("""COMPUTED_VALUE"""),45520.0)</f>
        <v>45520</v>
      </c>
      <c r="I435" s="199">
        <f>IFERROR(__xludf.DUMMYFUNCTION("""COMPUTED_VALUE"""),0.4722222222222222)</f>
        <v>0.4722222222</v>
      </c>
      <c r="J435" s="200">
        <f>IFERROR(__xludf.DUMMYFUNCTION("""COMPUTED_VALUE"""),70.0)</f>
        <v>70</v>
      </c>
      <c r="K435" s="200">
        <f>IFERROR(__xludf.DUMMYFUNCTION("""COMPUTED_VALUE"""),3.1)</f>
        <v>3.1</v>
      </c>
      <c r="L435" s="201" t="str">
        <f>IFERROR(__xludf.DUMMYFUNCTION("""COMPUTED_VALUE"""),"Sports")</f>
        <v>Sports</v>
      </c>
      <c r="M435" s="201"/>
    </row>
    <row r="436">
      <c r="A436" s="190" t="str">
        <f>IFERROR(__xludf.DUMMYFUNCTION("""COMPUTED_VALUE"""),"Orcs Must Die! Deathtrap")</f>
        <v>Orcs Must Die! Deathtrap</v>
      </c>
      <c r="B436" s="195" t="str">
        <f>IFERROR(__xludf.DUMMYFUNCTION("""COMPUTED_VALUE"""),"Xbox / PC")</f>
        <v>Xbox / PC</v>
      </c>
      <c r="C436" s="196" t="str">
        <f>IFERROR(__xludf.DUMMYFUNCTION("""COMPUTED_VALUE"""),"Yes")</f>
        <v>Yes</v>
      </c>
      <c r="D436" s="196" t="str">
        <f>IFERROR(__xludf.DUMMYFUNCTION("""COMPUTED_VALUE"""),"Active")</f>
        <v>Active</v>
      </c>
      <c r="E436" s="197">
        <f>IFERROR(__xludf.DUMMYFUNCTION("""COMPUTED_VALUE"""),45685.0)</f>
        <v>45685</v>
      </c>
      <c r="F436" s="198"/>
      <c r="G436" s="199">
        <f>IFERROR(__xludf.DUMMYFUNCTION("""COMPUTED_VALUE"""),8.566666666666666)</f>
        <v>8.566666667</v>
      </c>
      <c r="H436" s="197">
        <f>IFERROR(__xludf.DUMMYFUNCTION("""COMPUTED_VALUE"""),45685.0)</f>
        <v>45685</v>
      </c>
      <c r="I436" s="199">
        <f>IFERROR(__xludf.DUMMYFUNCTION("""COMPUTED_VALUE"""),0.0)</f>
        <v>0</v>
      </c>
      <c r="J436" s="200">
        <f>IFERROR(__xludf.DUMMYFUNCTION("""COMPUTED_VALUE"""),70.0)</f>
        <v>70</v>
      </c>
      <c r="K436" s="200">
        <f>IFERROR(__xludf.DUMMYFUNCTION("""COMPUTED_VALUE"""),21.0)</f>
        <v>21</v>
      </c>
      <c r="L436" s="201" t="str">
        <f>IFERROR(__xludf.DUMMYFUNCTION("""COMPUTED_VALUE"""),"Roguelike")</f>
        <v>Roguelike</v>
      </c>
      <c r="M436" s="201" t="str">
        <f>IFERROR(__xludf.DUMMYFUNCTION("""COMPUTED_VALUE"""),"Exclusive")</f>
        <v>Exclusive</v>
      </c>
    </row>
    <row r="437">
      <c r="A437" s="190" t="str">
        <f>IFERROR(__xludf.DUMMYFUNCTION("""COMPUTED_VALUE"""),"Car Mechanic Simulator 2021")</f>
        <v>Car Mechanic Simulator 2021</v>
      </c>
      <c r="B437" s="195" t="str">
        <f>IFERROR(__xludf.DUMMYFUNCTION("""COMPUTED_VALUE"""),"Xbox / PC")</f>
        <v>Xbox / PC</v>
      </c>
      <c r="C437" s="196" t="str">
        <f>IFERROR(__xludf.DUMMYFUNCTION("""COMPUTED_VALUE"""),"Yes")</f>
        <v>Yes</v>
      </c>
      <c r="D437" s="196" t="str">
        <f>IFERROR(__xludf.DUMMYFUNCTION("""COMPUTED_VALUE"""),"Active")</f>
        <v>Active</v>
      </c>
      <c r="E437" s="197">
        <f>IFERROR(__xludf.DUMMYFUNCTION("""COMPUTED_VALUE"""),45078.0)</f>
        <v>45078</v>
      </c>
      <c r="F437" s="198"/>
      <c r="G437" s="199">
        <f>IFERROR(__xludf.DUMMYFUNCTION("""COMPUTED_VALUE"""),28.46666666666667)</f>
        <v>28.46666667</v>
      </c>
      <c r="H437" s="197">
        <f>IFERROR(__xludf.DUMMYFUNCTION("""COMPUTED_VALUE"""),44419.0)</f>
        <v>44419</v>
      </c>
      <c r="I437" s="199">
        <f>IFERROR(__xludf.DUMMYFUNCTION("""COMPUTED_VALUE"""),1.8055555555555556)</f>
        <v>1.805555556</v>
      </c>
      <c r="J437" s="200">
        <f>IFERROR(__xludf.DUMMYFUNCTION("""COMPUTED_VALUE"""),70.0)</f>
        <v>70</v>
      </c>
      <c r="K437" s="200">
        <f>IFERROR(__xludf.DUMMYFUNCTION("""COMPUTED_VALUE"""),23.0)</f>
        <v>23</v>
      </c>
      <c r="L437" s="201" t="str">
        <f>IFERROR(__xludf.DUMMYFUNCTION("""COMPUTED_VALUE"""),"Simulation")</f>
        <v>Simulation</v>
      </c>
      <c r="M437" s="201"/>
    </row>
    <row r="438">
      <c r="A438" s="190" t="str">
        <f>IFERROR(__xludf.DUMMYFUNCTION("""COMPUTED_VALUE"""),"Alice: Madness Returns")</f>
        <v>Alice: Madness Returns</v>
      </c>
      <c r="B438" s="195" t="str">
        <f>IFERROR(__xludf.DUMMYFUNCTION("""COMPUTED_VALUE"""),"Xbox / PC")</f>
        <v>Xbox / PC</v>
      </c>
      <c r="C438" s="196"/>
      <c r="D438" s="196" t="str">
        <f>IFERROR(__xludf.DUMMYFUNCTION("""COMPUTED_VALUE"""),"Active")</f>
        <v>Active</v>
      </c>
      <c r="E438" s="197">
        <f>IFERROR(__xludf.DUMMYFUNCTION("""COMPUTED_VALUE"""),44145.0)</f>
        <v>44145</v>
      </c>
      <c r="F438" s="198"/>
      <c r="G438" s="199">
        <f>IFERROR(__xludf.DUMMYFUNCTION("""COMPUTED_VALUE"""),59.166666666666664)</f>
        <v>59.16666667</v>
      </c>
      <c r="H438" s="197">
        <f>IFERROR(__xludf.DUMMYFUNCTION("""COMPUTED_VALUE"""),40708.0)</f>
        <v>40708</v>
      </c>
      <c r="I438" s="199">
        <f>IFERROR(__xludf.DUMMYFUNCTION("""COMPUTED_VALUE"""),9.405555555555555)</f>
        <v>9.405555556</v>
      </c>
      <c r="J438" s="200">
        <f>IFERROR(__xludf.DUMMYFUNCTION("""COMPUTED_VALUE"""),70.0)</f>
        <v>70</v>
      </c>
      <c r="K438" s="200">
        <f>IFERROR(__xludf.DUMMYFUNCTION("""COMPUTED_VALUE"""),14.0)</f>
        <v>14</v>
      </c>
      <c r="L438" s="201" t="str">
        <f>IFERROR(__xludf.DUMMYFUNCTION("""COMPUTED_VALUE"""),"Platformer / Action-Adventure")</f>
        <v>Platformer / Action-Adventure</v>
      </c>
      <c r="M438" s="201"/>
    </row>
    <row r="439">
      <c r="A439" s="190" t="str">
        <f>IFERROR(__xludf.DUMMYFUNCTION("""COMPUTED_VALUE"""),"Fe")</f>
        <v>Fe</v>
      </c>
      <c r="B439" s="195" t="str">
        <f>IFERROR(__xludf.DUMMYFUNCTION("""COMPUTED_VALUE"""),"Xbox / PC")</f>
        <v>Xbox / PC</v>
      </c>
      <c r="C439" s="196"/>
      <c r="D439" s="196" t="str">
        <f>IFERROR(__xludf.DUMMYFUNCTION("""COMPUTED_VALUE"""),"Active")</f>
        <v>Active</v>
      </c>
      <c r="E439" s="197">
        <f>IFERROR(__xludf.DUMMYFUNCTION("""COMPUTED_VALUE"""),44145.0)</f>
        <v>44145</v>
      </c>
      <c r="F439" s="198"/>
      <c r="G439" s="199">
        <f>IFERROR(__xludf.DUMMYFUNCTION("""COMPUTED_VALUE"""),59.166666666666664)</f>
        <v>59.16666667</v>
      </c>
      <c r="H439" s="197">
        <f>IFERROR(__xludf.DUMMYFUNCTION("""COMPUTED_VALUE"""),43147.0)</f>
        <v>43147</v>
      </c>
      <c r="I439" s="199">
        <f>IFERROR(__xludf.DUMMYFUNCTION("""COMPUTED_VALUE"""),2.7333333333333334)</f>
        <v>2.733333333</v>
      </c>
      <c r="J439" s="200">
        <f>IFERROR(__xludf.DUMMYFUNCTION("""COMPUTED_VALUE"""),70.0)</f>
        <v>70</v>
      </c>
      <c r="K439" s="200">
        <f>IFERROR(__xludf.DUMMYFUNCTION("""COMPUTED_VALUE"""),5.5)</f>
        <v>5.5</v>
      </c>
      <c r="L439" s="201" t="str">
        <f>IFERROR(__xludf.DUMMYFUNCTION("""COMPUTED_VALUE"""),"Action-Adventure")</f>
        <v>Action-Adventure</v>
      </c>
      <c r="M439" s="201"/>
    </row>
    <row r="440">
      <c r="A440" s="190" t="str">
        <f>IFERROR(__xludf.DUMMYFUNCTION("""COMPUTED_VALUE"""),"Trailmakers")</f>
        <v>Trailmakers</v>
      </c>
      <c r="B440" s="195" t="str">
        <f>IFERROR(__xludf.DUMMYFUNCTION("""COMPUTED_VALUE"""),"Xbox / PC")</f>
        <v>Xbox / PC</v>
      </c>
      <c r="C440" s="196" t="str">
        <f>IFERROR(__xludf.DUMMYFUNCTION("""COMPUTED_VALUE"""),"Yes")</f>
        <v>Yes</v>
      </c>
      <c r="D440" s="196" t="str">
        <f>IFERROR(__xludf.DUMMYFUNCTION("""COMPUTED_VALUE"""),"Active")</f>
        <v>Active</v>
      </c>
      <c r="E440" s="197">
        <f>IFERROR(__xludf.DUMMYFUNCTION("""COMPUTED_VALUE"""),44049.0)</f>
        <v>44049</v>
      </c>
      <c r="F440" s="198"/>
      <c r="G440" s="199">
        <f>IFERROR(__xludf.DUMMYFUNCTION("""COMPUTED_VALUE"""),62.3)</f>
        <v>62.3</v>
      </c>
      <c r="H440" s="197">
        <f>IFERROR(__xludf.DUMMYFUNCTION("""COMPUTED_VALUE"""),43726.0)</f>
        <v>43726</v>
      </c>
      <c r="I440" s="199">
        <f>IFERROR(__xludf.DUMMYFUNCTION("""COMPUTED_VALUE"""),0.8833333333333333)</f>
        <v>0.8833333333</v>
      </c>
      <c r="J440" s="200">
        <f>IFERROR(__xludf.DUMMYFUNCTION("""COMPUTED_VALUE"""),70.0)</f>
        <v>70</v>
      </c>
      <c r="K440" s="200">
        <f>IFERROR(__xludf.DUMMYFUNCTION("""COMPUTED_VALUE"""),11.5)</f>
        <v>11.5</v>
      </c>
      <c r="L440" s="201" t="str">
        <f>IFERROR(__xludf.DUMMYFUNCTION("""COMPUTED_VALUE"""),"Driving/Racing")</f>
        <v>Driving/Racing</v>
      </c>
      <c r="M440" s="201"/>
    </row>
    <row r="441">
      <c r="A441" s="190" t="str">
        <f>IFERROR(__xludf.DUMMYFUNCTION("""COMPUTED_VALUE"""),"Bleeding Edge")</f>
        <v>Bleeding Edge</v>
      </c>
      <c r="B441" s="195" t="str">
        <f>IFERROR(__xludf.DUMMYFUNCTION("""COMPUTED_VALUE"""),"Xbox / PC")</f>
        <v>Xbox / PC</v>
      </c>
      <c r="C441" s="196" t="str">
        <f>IFERROR(__xludf.DUMMYFUNCTION("""COMPUTED_VALUE"""),"Yes")</f>
        <v>Yes</v>
      </c>
      <c r="D441" s="196" t="str">
        <f>IFERROR(__xludf.DUMMYFUNCTION("""COMPUTED_VALUE"""),"Active")</f>
        <v>Active</v>
      </c>
      <c r="E441" s="197">
        <f>IFERROR(__xludf.DUMMYFUNCTION("""COMPUTED_VALUE"""),43914.0)</f>
        <v>43914</v>
      </c>
      <c r="F441" s="198"/>
      <c r="G441" s="199">
        <f>IFERROR(__xludf.DUMMYFUNCTION("""COMPUTED_VALUE"""),66.7)</f>
        <v>66.7</v>
      </c>
      <c r="H441" s="197">
        <f>IFERROR(__xludf.DUMMYFUNCTION("""COMPUTED_VALUE"""),43914.0)</f>
        <v>43914</v>
      </c>
      <c r="I441" s="199">
        <f>IFERROR(__xludf.DUMMYFUNCTION("""COMPUTED_VALUE"""),0.0)</f>
        <v>0</v>
      </c>
      <c r="J441" s="200">
        <f>IFERROR(__xludf.DUMMYFUNCTION("""COMPUTED_VALUE"""),70.0)</f>
        <v>70</v>
      </c>
      <c r="K441" s="200">
        <f>IFERROR(__xludf.DUMMYFUNCTION("""COMPUTED_VALUE"""),6.5)</f>
        <v>6.5</v>
      </c>
      <c r="L441" s="201" t="str">
        <f>IFERROR(__xludf.DUMMYFUNCTION("""COMPUTED_VALUE"""),"Action")</f>
        <v>Action</v>
      </c>
      <c r="M441" s="201"/>
    </row>
    <row r="442">
      <c r="A442" s="190" t="str">
        <f>IFERROR(__xludf.DUMMYFUNCTION("""COMPUTED_VALUE"""),"The Bard's Tale IV: Director's Cut")</f>
        <v>The Bard's Tale IV: Director's Cut</v>
      </c>
      <c r="B442" s="195" t="str">
        <f>IFERROR(__xludf.DUMMYFUNCTION("""COMPUTED_VALUE"""),"Xbox / PC")</f>
        <v>Xbox / PC</v>
      </c>
      <c r="C442" s="196" t="str">
        <f>IFERROR(__xludf.DUMMYFUNCTION("""COMPUTED_VALUE"""),"Touch Controls")</f>
        <v>Touch Controls</v>
      </c>
      <c r="D442" s="196" t="str">
        <f>IFERROR(__xludf.DUMMYFUNCTION("""COMPUTED_VALUE"""),"Active")</f>
        <v>Active</v>
      </c>
      <c r="E442" s="197">
        <f>IFERROR(__xludf.DUMMYFUNCTION("""COMPUTED_VALUE"""),43704.0)</f>
        <v>43704</v>
      </c>
      <c r="F442" s="198"/>
      <c r="G442" s="199">
        <f>IFERROR(__xludf.DUMMYFUNCTION("""COMPUTED_VALUE"""),73.60000000000001)</f>
        <v>73.6</v>
      </c>
      <c r="H442" s="197">
        <f>IFERROR(__xludf.DUMMYFUNCTION("""COMPUTED_VALUE"""),43361.0)</f>
        <v>43361</v>
      </c>
      <c r="I442" s="199">
        <f>IFERROR(__xludf.DUMMYFUNCTION("""COMPUTED_VALUE"""),0.9416666666666667)</f>
        <v>0.9416666667</v>
      </c>
      <c r="J442" s="200">
        <f>IFERROR(__xludf.DUMMYFUNCTION("""COMPUTED_VALUE"""),70.0)</f>
        <v>70</v>
      </c>
      <c r="K442" s="200">
        <f>IFERROR(__xludf.DUMMYFUNCTION("""COMPUTED_VALUE"""),59.5)</f>
        <v>59.5</v>
      </c>
      <c r="L442" s="201" t="str">
        <f>IFERROR(__xludf.DUMMYFUNCTION("""COMPUTED_VALUE"""),"RPG")</f>
        <v>RPG</v>
      </c>
      <c r="M442" s="201"/>
    </row>
    <row r="443">
      <c r="A443" s="190" t="str">
        <f>IFERROR(__xludf.DUMMYFUNCTION("""COMPUTED_VALUE"""),"The Bard's Tale Trilogy")</f>
        <v>The Bard's Tale Trilogy</v>
      </c>
      <c r="B443" s="195" t="str">
        <f>IFERROR(__xludf.DUMMYFUNCTION("""COMPUTED_VALUE"""),"Xbox / PC")</f>
        <v>Xbox / PC</v>
      </c>
      <c r="C443" s="196" t="str">
        <f>IFERROR(__xludf.DUMMYFUNCTION("""COMPUTED_VALUE"""),"Touch Controls")</f>
        <v>Touch Controls</v>
      </c>
      <c r="D443" s="196" t="str">
        <f>IFERROR(__xludf.DUMMYFUNCTION("""COMPUTED_VALUE"""),"Active")</f>
        <v>Active</v>
      </c>
      <c r="E443" s="197">
        <f>IFERROR(__xludf.DUMMYFUNCTION("""COMPUTED_VALUE"""),43690.0)</f>
        <v>43690</v>
      </c>
      <c r="F443" s="198"/>
      <c r="G443" s="199">
        <f>IFERROR(__xludf.DUMMYFUNCTION("""COMPUTED_VALUE"""),74.06666666666666)</f>
        <v>74.06666667</v>
      </c>
      <c r="H443" s="197">
        <f>IFERROR(__xludf.DUMMYFUNCTION("""COMPUTED_VALUE"""),43326.0)</f>
        <v>43326</v>
      </c>
      <c r="I443" s="199">
        <f>IFERROR(__xludf.DUMMYFUNCTION("""COMPUTED_VALUE"""),0.9972222222222222)</f>
        <v>0.9972222222</v>
      </c>
      <c r="J443" s="200">
        <f>IFERROR(__xludf.DUMMYFUNCTION("""COMPUTED_VALUE"""),70.0)</f>
        <v>70</v>
      </c>
      <c r="K443" s="200">
        <f>IFERROR(__xludf.DUMMYFUNCTION("""COMPUTED_VALUE"""),24.0)</f>
        <v>24</v>
      </c>
      <c r="L443" s="201" t="str">
        <f>IFERROR(__xludf.DUMMYFUNCTION("""COMPUTED_VALUE"""),"RPG")</f>
        <v>RPG</v>
      </c>
      <c r="M443" s="201"/>
    </row>
    <row r="444">
      <c r="A444" s="190" t="str">
        <f>IFERROR(__xludf.DUMMYFUNCTION("""COMPUTED_VALUE"""),"Fuzion Frenzy")</f>
        <v>Fuzion Frenzy</v>
      </c>
      <c r="B444" s="195" t="str">
        <f>IFERROR(__xludf.DUMMYFUNCTION("""COMPUTED_VALUE"""),"Xbox")</f>
        <v>Xbox</v>
      </c>
      <c r="C444" s="196" t="str">
        <f>IFERROR(__xludf.DUMMYFUNCTION("""COMPUTED_VALUE"""),"Touch Controls")</f>
        <v>Touch Controls</v>
      </c>
      <c r="D444" s="196" t="str">
        <f>IFERROR(__xludf.DUMMYFUNCTION("""COMPUTED_VALUE"""),"Active")</f>
        <v>Active</v>
      </c>
      <c r="E444" s="197">
        <f>IFERROR(__xludf.DUMMYFUNCTION("""COMPUTED_VALUE"""),42887.0)</f>
        <v>42887</v>
      </c>
      <c r="F444" s="198"/>
      <c r="G444" s="199">
        <f>IFERROR(__xludf.DUMMYFUNCTION("""COMPUTED_VALUE"""),100.46666666666667)</f>
        <v>100.4666667</v>
      </c>
      <c r="H444" s="197">
        <f>IFERROR(__xludf.DUMMYFUNCTION("""COMPUTED_VALUE"""),37209.0)</f>
        <v>37209</v>
      </c>
      <c r="I444" s="199">
        <f>IFERROR(__xludf.DUMMYFUNCTION("""COMPUTED_VALUE"""),15.547222222222222)</f>
        <v>15.54722222</v>
      </c>
      <c r="J444" s="200">
        <f>IFERROR(__xludf.DUMMYFUNCTION("""COMPUTED_VALUE"""),70.0)</f>
        <v>70</v>
      </c>
      <c r="K444" s="200">
        <f>IFERROR(__xludf.DUMMYFUNCTION("""COMPUTED_VALUE"""),4.0)</f>
        <v>4</v>
      </c>
      <c r="L444" s="201" t="str">
        <f>IFERROR(__xludf.DUMMYFUNCTION("""COMPUTED_VALUE"""),"Minigame Collection")</f>
        <v>Minigame Collection</v>
      </c>
      <c r="M444" s="201"/>
    </row>
    <row r="445">
      <c r="A445" s="190" t="str">
        <f>IFERROR(__xludf.DUMMYFUNCTION("""COMPUTED_VALUE"""),"The Ascent")</f>
        <v>The Ascent</v>
      </c>
      <c r="B445" s="195" t="str">
        <f>IFERROR(__xludf.DUMMYFUNCTION("""COMPUTED_VALUE"""),"Xbox / PC")</f>
        <v>Xbox / PC</v>
      </c>
      <c r="C445" s="196" t="str">
        <f>IFERROR(__xludf.DUMMYFUNCTION("""COMPUTED_VALUE"""),"Touch Controls")</f>
        <v>Touch Controls</v>
      </c>
      <c r="D445" s="196" t="str">
        <f>IFERROR(__xludf.DUMMYFUNCTION("""COMPUTED_VALUE"""),"Active")</f>
        <v>Active</v>
      </c>
      <c r="E445" s="197">
        <f>IFERROR(__xludf.DUMMYFUNCTION("""COMPUTED_VALUE"""),45846.0)</f>
        <v>45846</v>
      </c>
      <c r="F445" s="198"/>
      <c r="G445" s="199">
        <f>IFERROR(__xludf.DUMMYFUNCTION("""COMPUTED_VALUE"""),3.2333333333333334)</f>
        <v>3.233333333</v>
      </c>
      <c r="H445" s="197">
        <f>IFERROR(__xludf.DUMMYFUNCTION("""COMPUTED_VALUE"""),44406.0)</f>
        <v>44406</v>
      </c>
      <c r="I445" s="199">
        <f>IFERROR(__xludf.DUMMYFUNCTION("""COMPUTED_VALUE"""),3.941666666666667)</f>
        <v>3.941666667</v>
      </c>
      <c r="J445" s="200">
        <f>IFERROR(__xludf.DUMMYFUNCTION("""COMPUTED_VALUE"""),69.5)</f>
        <v>69.5</v>
      </c>
      <c r="K445" s="200">
        <f>IFERROR(__xludf.DUMMYFUNCTION("""COMPUTED_VALUE"""),9.0)</f>
        <v>9</v>
      </c>
      <c r="L445" s="201" t="str">
        <f>IFERROR(__xludf.DUMMYFUNCTION("""COMPUTED_VALUE"""),"Action / RPG")</f>
        <v>Action / RPG</v>
      </c>
      <c r="M445" s="201" t="str">
        <f>IFERROR(__xludf.DUMMYFUNCTION("""COMPUTED_VALUE"""),"Optimized")</f>
        <v>Optimized</v>
      </c>
    </row>
    <row r="446">
      <c r="A446" s="190" t="str">
        <f>IFERROR(__xludf.DUMMYFUNCTION("""COMPUTED_VALUE"""),"Assassin's Creed Chronicles: China")</f>
        <v>Assassin's Creed Chronicles: China</v>
      </c>
      <c r="B446" s="195" t="str">
        <f>IFERROR(__xludf.DUMMYFUNCTION("""COMPUTED_VALUE"""),"Xbox / PC")</f>
        <v>Xbox / PC</v>
      </c>
      <c r="C446" s="196" t="str">
        <f>IFERROR(__xludf.DUMMYFUNCTION("""COMPUTED_VALUE"""),"Yes")</f>
        <v>Yes</v>
      </c>
      <c r="D446" s="196" t="str">
        <f>IFERROR(__xludf.DUMMYFUNCTION("""COMPUTED_VALUE"""),"Active")</f>
        <v>Active</v>
      </c>
      <c r="E446" s="197">
        <f>IFERROR(__xludf.DUMMYFUNCTION("""COMPUTED_VALUE"""),45931.0)</f>
        <v>45931</v>
      </c>
      <c r="F446" s="198"/>
      <c r="G446" s="199">
        <f>IFERROR(__xludf.DUMMYFUNCTION("""COMPUTED_VALUE"""),0.4666666666666667)</f>
        <v>0.4666666667</v>
      </c>
      <c r="H446" s="197">
        <f>IFERROR(__xludf.DUMMYFUNCTION("""COMPUTED_VALUE"""),42115.0)</f>
        <v>42115</v>
      </c>
      <c r="I446" s="199">
        <f>IFERROR(__xludf.DUMMYFUNCTION("""COMPUTED_VALUE"""),10.444444444444445)</f>
        <v>10.44444444</v>
      </c>
      <c r="J446" s="200">
        <f>IFERROR(__xludf.DUMMYFUNCTION("""COMPUTED_VALUE"""),69.0)</f>
        <v>69</v>
      </c>
      <c r="K446" s="200">
        <f>IFERROR(__xludf.DUMMYFUNCTION("""COMPUTED_VALUE"""),6.0)</f>
        <v>6</v>
      </c>
      <c r="L446" s="201" t="str">
        <f>IFERROR(__xludf.DUMMYFUNCTION("""COMPUTED_VALUE"""),"Action-Adventure")</f>
        <v>Action-Adventure</v>
      </c>
      <c r="M446" s="201"/>
    </row>
    <row r="447">
      <c r="A447" s="190" t="str">
        <f>IFERROR(__xludf.DUMMYFUNCTION("""COMPUTED_VALUE"""),"Rabbids: Party of Legends")</f>
        <v>Rabbids: Party of Legends</v>
      </c>
      <c r="B447" s="195" t="str">
        <f>IFERROR(__xludf.DUMMYFUNCTION("""COMPUTED_VALUE"""),"Xbox / PC")</f>
        <v>Xbox / PC</v>
      </c>
      <c r="C447" s="196" t="str">
        <f>IFERROR(__xludf.DUMMYFUNCTION("""COMPUTED_VALUE"""),"Yes")</f>
        <v>Yes</v>
      </c>
      <c r="D447" s="196" t="str">
        <f>IFERROR(__xludf.DUMMYFUNCTION("""COMPUTED_VALUE"""),"Active")</f>
        <v>Active</v>
      </c>
      <c r="E447" s="197">
        <f>IFERROR(__xludf.DUMMYFUNCTION("""COMPUTED_VALUE"""),45931.0)</f>
        <v>45931</v>
      </c>
      <c r="F447" s="198"/>
      <c r="G447" s="199">
        <f>IFERROR(__xludf.DUMMYFUNCTION("""COMPUTED_VALUE"""),0.4666666666666667)</f>
        <v>0.4666666667</v>
      </c>
      <c r="H447" s="197">
        <f>IFERROR(__xludf.DUMMYFUNCTION("""COMPUTED_VALUE"""),44742.0)</f>
        <v>44742</v>
      </c>
      <c r="I447" s="199">
        <f>IFERROR(__xludf.DUMMYFUNCTION("""COMPUTED_VALUE"""),3.2527777777777778)</f>
        <v>3.252777778</v>
      </c>
      <c r="J447" s="200">
        <f>IFERROR(__xludf.DUMMYFUNCTION("""COMPUTED_VALUE"""),69.0)</f>
        <v>69</v>
      </c>
      <c r="K447" s="200">
        <f>IFERROR(__xludf.DUMMYFUNCTION("""COMPUTED_VALUE"""),3.0)</f>
        <v>3</v>
      </c>
      <c r="L447" s="201" t="str">
        <f>IFERROR(__xludf.DUMMYFUNCTION("""COMPUTED_VALUE"""),"Party")</f>
        <v>Party</v>
      </c>
      <c r="M447" s="201"/>
    </row>
    <row r="448">
      <c r="A448" s="190" t="str">
        <f>IFERROR(__xludf.DUMMYFUNCTION("""COMPUTED_VALUE"""),"Aliens: Fireteam Elite")</f>
        <v>Aliens: Fireteam Elite</v>
      </c>
      <c r="B448" s="195" t="str">
        <f>IFERROR(__xludf.DUMMYFUNCTION("""COMPUTED_VALUE"""),"Xbox / PC")</f>
        <v>Xbox / PC</v>
      </c>
      <c r="C448" s="196" t="str">
        <f>IFERROR(__xludf.DUMMYFUNCTION("""COMPUTED_VALUE"""),"Yes")</f>
        <v>Yes</v>
      </c>
      <c r="D448" s="196" t="str">
        <f>IFERROR(__xludf.DUMMYFUNCTION("""COMPUTED_VALUE"""),"Active")</f>
        <v>Active</v>
      </c>
      <c r="E448" s="197">
        <f>IFERROR(__xludf.DUMMYFUNCTION("""COMPUTED_VALUE"""),45881.0)</f>
        <v>45881</v>
      </c>
      <c r="F448" s="198"/>
      <c r="G448" s="199">
        <f>IFERROR(__xludf.DUMMYFUNCTION("""COMPUTED_VALUE"""),2.0999999999999996)</f>
        <v>2.1</v>
      </c>
      <c r="H448" s="197">
        <f>IFERROR(__xludf.DUMMYFUNCTION("""COMPUTED_VALUE"""),44803.0)</f>
        <v>44803</v>
      </c>
      <c r="I448" s="199">
        <f>IFERROR(__xludf.DUMMYFUNCTION("""COMPUTED_VALUE"""),2.95)</f>
        <v>2.95</v>
      </c>
      <c r="J448" s="200">
        <f>IFERROR(__xludf.DUMMYFUNCTION("""COMPUTED_VALUE"""),69.0)</f>
        <v>69</v>
      </c>
      <c r="K448" s="200">
        <f>IFERROR(__xludf.DUMMYFUNCTION("""COMPUTED_VALUE"""),9.0)</f>
        <v>9</v>
      </c>
      <c r="L448" s="201" t="str">
        <f>IFERROR(__xludf.DUMMYFUNCTION("""COMPUTED_VALUE"""),"Shooter")</f>
        <v>Shooter</v>
      </c>
      <c r="M448" s="201"/>
    </row>
    <row r="449">
      <c r="A449" s="190" t="str">
        <f>IFERROR(__xludf.DUMMYFUNCTION("""COMPUTED_VALUE"""),"Immortals of Aveum")</f>
        <v>Immortals of Aveum</v>
      </c>
      <c r="B449" s="195" t="str">
        <f>IFERROR(__xludf.DUMMYFUNCTION("""COMPUTED_VALUE"""),"Xbox / PC")</f>
        <v>Xbox / PC</v>
      </c>
      <c r="C449" s="196" t="str">
        <f>IFERROR(__xludf.DUMMYFUNCTION("""COMPUTED_VALUE"""),"Yes")</f>
        <v>Yes</v>
      </c>
      <c r="D449" s="196" t="str">
        <f>IFERROR(__xludf.DUMMYFUNCTION("""COMPUTED_VALUE"""),"Active")</f>
        <v>Active</v>
      </c>
      <c r="E449" s="197">
        <f>IFERROR(__xludf.DUMMYFUNCTION("""COMPUTED_VALUE"""),45427.0)</f>
        <v>45427</v>
      </c>
      <c r="F449" s="198"/>
      <c r="G449" s="199">
        <f>IFERROR(__xludf.DUMMYFUNCTION("""COMPUTED_VALUE"""),17.0)</f>
        <v>17</v>
      </c>
      <c r="H449" s="197">
        <f>IFERROR(__xludf.DUMMYFUNCTION("""COMPUTED_VALUE"""),45160.0)</f>
        <v>45160</v>
      </c>
      <c r="I449" s="199">
        <f>IFERROR(__xludf.DUMMYFUNCTION("""COMPUTED_VALUE"""),0.7305555555555555)</f>
        <v>0.7305555556</v>
      </c>
      <c r="J449" s="200">
        <f>IFERROR(__xludf.DUMMYFUNCTION("""COMPUTED_VALUE"""),69.0)</f>
        <v>69</v>
      </c>
      <c r="K449" s="200">
        <f>IFERROR(__xludf.DUMMYFUNCTION("""COMPUTED_VALUE"""),15.0)</f>
        <v>15</v>
      </c>
      <c r="L449" s="201" t="str">
        <f>IFERROR(__xludf.DUMMYFUNCTION("""COMPUTED_VALUE"""),"Shooter")</f>
        <v>Shooter</v>
      </c>
      <c r="M449" s="201" t="str">
        <f>IFERROR(__xludf.DUMMYFUNCTION("""COMPUTED_VALUE"""),"Exclusive")</f>
        <v>Exclusive</v>
      </c>
    </row>
    <row r="450">
      <c r="A450" s="190" t="str">
        <f>IFERROR(__xludf.DUMMYFUNCTION("""COMPUTED_VALUE"""),"The Cave")</f>
        <v>The Cave</v>
      </c>
      <c r="B450" s="195" t="str">
        <f>IFERROR(__xludf.DUMMYFUNCTION("""COMPUTED_VALUE"""),"Xbox")</f>
        <v>Xbox</v>
      </c>
      <c r="C450" s="196" t="str">
        <f>IFERROR(__xludf.DUMMYFUNCTION("""COMPUTED_VALUE"""),"Yes")</f>
        <v>Yes</v>
      </c>
      <c r="D450" s="196" t="str">
        <f>IFERROR(__xludf.DUMMYFUNCTION("""COMPUTED_VALUE"""),"Active")</f>
        <v>Active</v>
      </c>
      <c r="E450" s="197">
        <f>IFERROR(__xludf.DUMMYFUNCTION("""COMPUTED_VALUE"""),45125.0)</f>
        <v>45125</v>
      </c>
      <c r="F450" s="198"/>
      <c r="G450" s="199">
        <f>IFERROR(__xludf.DUMMYFUNCTION("""COMPUTED_VALUE"""),26.9)</f>
        <v>26.9</v>
      </c>
      <c r="H450" s="197">
        <f>IFERROR(__xludf.DUMMYFUNCTION("""COMPUTED_VALUE"""),41600.0)</f>
        <v>41600</v>
      </c>
      <c r="I450" s="199">
        <f>IFERROR(__xludf.DUMMYFUNCTION("""COMPUTED_VALUE"""),9.655555555555555)</f>
        <v>9.655555556</v>
      </c>
      <c r="J450" s="200">
        <f>IFERROR(__xludf.DUMMYFUNCTION("""COMPUTED_VALUE"""),69.0)</f>
        <v>69</v>
      </c>
      <c r="K450" s="200">
        <f>IFERROR(__xludf.DUMMYFUNCTION("""COMPUTED_VALUE"""),5.0)</f>
        <v>5</v>
      </c>
      <c r="L450" s="201" t="str">
        <f>IFERROR(__xludf.DUMMYFUNCTION("""COMPUTED_VALUE"""),"Adventure / Platformer")</f>
        <v>Adventure / Platformer</v>
      </c>
      <c r="M450" s="201"/>
    </row>
    <row r="451">
      <c r="A451" s="190" t="str">
        <f>IFERROR(__xludf.DUMMYFUNCTION("""COMPUTED_VALUE"""),"Minecraft: Legends")</f>
        <v>Minecraft: Legends</v>
      </c>
      <c r="B451" s="195" t="str">
        <f>IFERROR(__xludf.DUMMYFUNCTION("""COMPUTED_VALUE"""),"Xbox / PC")</f>
        <v>Xbox / PC</v>
      </c>
      <c r="C451" s="196" t="str">
        <f>IFERROR(__xludf.DUMMYFUNCTION("""COMPUTED_VALUE"""),"Yes")</f>
        <v>Yes</v>
      </c>
      <c r="D451" s="196" t="str">
        <f>IFERROR(__xludf.DUMMYFUNCTION("""COMPUTED_VALUE"""),"Active")</f>
        <v>Active</v>
      </c>
      <c r="E451" s="197">
        <f>IFERROR(__xludf.DUMMYFUNCTION("""COMPUTED_VALUE"""),45034.0)</f>
        <v>45034</v>
      </c>
      <c r="F451" s="198"/>
      <c r="G451" s="199">
        <f>IFERROR(__xludf.DUMMYFUNCTION("""COMPUTED_VALUE"""),29.9)</f>
        <v>29.9</v>
      </c>
      <c r="H451" s="197">
        <f>IFERROR(__xludf.DUMMYFUNCTION("""COMPUTED_VALUE"""),45034.0)</f>
        <v>45034</v>
      </c>
      <c r="I451" s="199">
        <f>IFERROR(__xludf.DUMMYFUNCTION("""COMPUTED_VALUE"""),0.0)</f>
        <v>0</v>
      </c>
      <c r="J451" s="200">
        <f>IFERROR(__xludf.DUMMYFUNCTION("""COMPUTED_VALUE"""),69.0)</f>
        <v>69</v>
      </c>
      <c r="K451" s="200">
        <f>IFERROR(__xludf.DUMMYFUNCTION("""COMPUTED_VALUE"""),8.0)</f>
        <v>8</v>
      </c>
      <c r="L451" s="201" t="str">
        <f>IFERROR(__xludf.DUMMYFUNCTION("""COMPUTED_VALUE"""),"Action / Strategy")</f>
        <v>Action / Strategy</v>
      </c>
      <c r="M451" s="201" t="str">
        <f>IFERROR(__xludf.DUMMYFUNCTION("""COMPUTED_VALUE"""),"Exclusive")</f>
        <v>Exclusive</v>
      </c>
    </row>
    <row r="452">
      <c r="A452" s="190" t="str">
        <f>IFERROR(__xludf.DUMMYFUNCTION("""COMPUTED_VALUE"""),"Madden NFL 23")</f>
        <v>Madden NFL 23</v>
      </c>
      <c r="B452" s="195" t="str">
        <f>IFERROR(__xludf.DUMMYFUNCTION("""COMPUTED_VALUE"""),"Xbox / PC")</f>
        <v>Xbox / PC</v>
      </c>
      <c r="C452" s="196"/>
      <c r="D452" s="196" t="str">
        <f>IFERROR(__xludf.DUMMYFUNCTION("""COMPUTED_VALUE"""),"Active")</f>
        <v>Active</v>
      </c>
      <c r="E452" s="197">
        <f>IFERROR(__xludf.DUMMYFUNCTION("""COMPUTED_VALUE"""),44966.0)</f>
        <v>44966</v>
      </c>
      <c r="F452" s="198"/>
      <c r="G452" s="199">
        <f>IFERROR(__xludf.DUMMYFUNCTION("""COMPUTED_VALUE"""),32.199999999999996)</f>
        <v>32.2</v>
      </c>
      <c r="H452" s="197">
        <f>IFERROR(__xludf.DUMMYFUNCTION("""COMPUTED_VALUE"""),44791.0)</f>
        <v>44791</v>
      </c>
      <c r="I452" s="199">
        <f>IFERROR(__xludf.DUMMYFUNCTION("""COMPUTED_VALUE"""),0.475)</f>
        <v>0.475</v>
      </c>
      <c r="J452" s="200">
        <f>IFERROR(__xludf.DUMMYFUNCTION("""COMPUTED_VALUE"""),69.0)</f>
        <v>69</v>
      </c>
      <c r="K452" s="200">
        <f>IFERROR(__xludf.DUMMYFUNCTION("""COMPUTED_VALUE"""),28.0)</f>
        <v>28</v>
      </c>
      <c r="L452" s="201" t="str">
        <f>IFERROR(__xludf.DUMMYFUNCTION("""COMPUTED_VALUE"""),"Sports / Football")</f>
        <v>Sports / Football</v>
      </c>
      <c r="M452" s="201"/>
    </row>
    <row r="453">
      <c r="A453" s="190" t="str">
        <f>IFERROR(__xludf.DUMMYFUNCTION("""COMPUTED_VALUE"""),"Bejeweled 2")</f>
        <v>Bejeweled 2</v>
      </c>
      <c r="B453" s="195" t="str">
        <f>IFERROR(__xludf.DUMMYFUNCTION("""COMPUTED_VALUE"""),"Xbox")</f>
        <v>Xbox</v>
      </c>
      <c r="C453" s="196"/>
      <c r="D453" s="196" t="str">
        <f>IFERROR(__xludf.DUMMYFUNCTION("""COMPUTED_VALUE"""),"Active")</f>
        <v>Active</v>
      </c>
      <c r="E453" s="197">
        <f>IFERROR(__xludf.DUMMYFUNCTION("""COMPUTED_VALUE"""),44145.0)</f>
        <v>44145</v>
      </c>
      <c r="F453" s="198"/>
      <c r="G453" s="199">
        <f>IFERROR(__xludf.DUMMYFUNCTION("""COMPUTED_VALUE"""),59.166666666666664)</f>
        <v>59.16666667</v>
      </c>
      <c r="H453" s="197">
        <f>IFERROR(__xludf.DUMMYFUNCTION("""COMPUTED_VALUE"""),38296.0)</f>
        <v>38296</v>
      </c>
      <c r="I453" s="199">
        <f>IFERROR(__xludf.DUMMYFUNCTION("""COMPUTED_VALUE"""),16.01388888888889)</f>
        <v>16.01388889</v>
      </c>
      <c r="J453" s="200">
        <f>IFERROR(__xludf.DUMMYFUNCTION("""COMPUTED_VALUE"""),69.0)</f>
        <v>69</v>
      </c>
      <c r="K453" s="200">
        <f>IFERROR(__xludf.DUMMYFUNCTION("""COMPUTED_VALUE"""),1.5)</f>
        <v>1.5</v>
      </c>
      <c r="L453" s="201" t="str">
        <f>IFERROR(__xludf.DUMMYFUNCTION("""COMPUTED_VALUE"""),"Puzzle")</f>
        <v>Puzzle</v>
      </c>
      <c r="M453" s="201"/>
    </row>
    <row r="454">
      <c r="A454" s="190" t="str">
        <f>IFERROR(__xludf.DUMMYFUNCTION("""COMPUTED_VALUE"""),"No Man's Sky")</f>
        <v>No Man's Sky</v>
      </c>
      <c r="B454" s="195" t="str">
        <f>IFERROR(__xludf.DUMMYFUNCTION("""COMPUTED_VALUE"""),"Xbox / PC")</f>
        <v>Xbox / PC</v>
      </c>
      <c r="C454" s="196" t="str">
        <f>IFERROR(__xludf.DUMMYFUNCTION("""COMPUTED_VALUE"""),"Yes")</f>
        <v>Yes</v>
      </c>
      <c r="D454" s="196" t="str">
        <f>IFERROR(__xludf.DUMMYFUNCTION("""COMPUTED_VALUE"""),"Active")</f>
        <v>Active</v>
      </c>
      <c r="E454" s="197">
        <f>IFERROR(__xludf.DUMMYFUNCTION("""COMPUTED_VALUE"""),43993.0)</f>
        <v>43993</v>
      </c>
      <c r="F454" s="198"/>
      <c r="G454" s="199">
        <f>IFERROR(__xludf.DUMMYFUNCTION("""COMPUTED_VALUE"""),64.13333333333333)</f>
        <v>64.13333333</v>
      </c>
      <c r="H454" s="197">
        <f>IFERROR(__xludf.DUMMYFUNCTION("""COMPUTED_VALUE"""),42591.0)</f>
        <v>42591</v>
      </c>
      <c r="I454" s="199">
        <f>IFERROR(__xludf.DUMMYFUNCTION("""COMPUTED_VALUE"""),3.838888888888889)</f>
        <v>3.838888889</v>
      </c>
      <c r="J454" s="200">
        <f>IFERROR(__xludf.DUMMYFUNCTION("""COMPUTED_VALUE"""),69.0)</f>
        <v>69</v>
      </c>
      <c r="K454" s="200">
        <f>IFERROR(__xludf.DUMMYFUNCTION("""COMPUTED_VALUE"""),30.5)</f>
        <v>30.5</v>
      </c>
      <c r="L454" s="201" t="str">
        <f>IFERROR(__xludf.DUMMYFUNCTION("""COMPUTED_VALUE"""),"Simulation / Action-Adventure")</f>
        <v>Simulation / Action-Adventure</v>
      </c>
      <c r="M454" s="201" t="str">
        <f>IFERROR(__xludf.DUMMYFUNCTION("""COMPUTED_VALUE"""),"Optimized")</f>
        <v>Optimized</v>
      </c>
    </row>
    <row r="455">
      <c r="A455" s="190" t="str">
        <f>IFERROR(__xludf.DUMMYFUNCTION("""COMPUTED_VALUE"""),"ARK: Ultimate Survivor Edition ")</f>
        <v>ARK: Ultimate Survivor Edition </v>
      </c>
      <c r="B455" s="195" t="str">
        <f>IFERROR(__xludf.DUMMYFUNCTION("""COMPUTED_VALUE"""),"Xbox / PC")</f>
        <v>Xbox / PC</v>
      </c>
      <c r="C455" s="196" t="str">
        <f>IFERROR(__xludf.DUMMYFUNCTION("""COMPUTED_VALUE"""),"Yes")</f>
        <v>Yes</v>
      </c>
      <c r="D455" s="196" t="str">
        <f>IFERROR(__xludf.DUMMYFUNCTION("""COMPUTED_VALUE"""),"Active")</f>
        <v>Active</v>
      </c>
      <c r="E455" s="197">
        <f>IFERROR(__xludf.DUMMYFUNCTION("""COMPUTED_VALUE"""),43468.0)</f>
        <v>43468</v>
      </c>
      <c r="F455" s="198"/>
      <c r="G455" s="199">
        <f>IFERROR(__xludf.DUMMYFUNCTION("""COMPUTED_VALUE"""),81.4)</f>
        <v>81.4</v>
      </c>
      <c r="H455" s="197">
        <f>IFERROR(__xludf.DUMMYFUNCTION("""COMPUTED_VALUE"""),42710.0)</f>
        <v>42710</v>
      </c>
      <c r="I455" s="199">
        <f>IFERROR(__xludf.DUMMYFUNCTION("""COMPUTED_VALUE"""),2.075)</f>
        <v>2.075</v>
      </c>
      <c r="J455" s="200">
        <f>IFERROR(__xludf.DUMMYFUNCTION("""COMPUTED_VALUE"""),69.0)</f>
        <v>69</v>
      </c>
      <c r="K455" s="200">
        <f>IFERROR(__xludf.DUMMYFUNCTION("""COMPUTED_VALUE"""),123.0)</f>
        <v>123</v>
      </c>
      <c r="L455" s="201" t="str">
        <f>IFERROR(__xludf.DUMMYFUNCTION("""COMPUTED_VALUE"""),"Action-Adventure")</f>
        <v>Action-Adventure</v>
      </c>
      <c r="M455" s="201" t="str">
        <f>IFERROR(__xludf.DUMMYFUNCTION("""COMPUTED_VALUE"""),"Optimized")</f>
        <v>Optimized</v>
      </c>
    </row>
    <row r="456">
      <c r="A456" s="190" t="str">
        <f>IFERROR(__xludf.DUMMYFUNCTION("""COMPUTED_VALUE"""),"Sea of Thieves")</f>
        <v>Sea of Thieves</v>
      </c>
      <c r="B456" s="195" t="str">
        <f>IFERROR(__xludf.DUMMYFUNCTION("""COMPUTED_VALUE"""),"Xbox / PC")</f>
        <v>Xbox / PC</v>
      </c>
      <c r="C456" s="196" t="str">
        <f>IFERROR(__xludf.DUMMYFUNCTION("""COMPUTED_VALUE"""),"Touch Controls, M+KB")</f>
        <v>Touch Controls, M+KB</v>
      </c>
      <c r="D456" s="196" t="str">
        <f>IFERROR(__xludf.DUMMYFUNCTION("""COMPUTED_VALUE"""),"Active")</f>
        <v>Active</v>
      </c>
      <c r="E456" s="197">
        <f>IFERROR(__xludf.DUMMYFUNCTION("""COMPUTED_VALUE"""),43179.0)</f>
        <v>43179</v>
      </c>
      <c r="F456" s="198"/>
      <c r="G456" s="199">
        <f>IFERROR(__xludf.DUMMYFUNCTION("""COMPUTED_VALUE"""),90.83333333333334)</f>
        <v>90.83333333</v>
      </c>
      <c r="H456" s="197">
        <f>IFERROR(__xludf.DUMMYFUNCTION("""COMPUTED_VALUE"""),43179.0)</f>
        <v>43179</v>
      </c>
      <c r="I456" s="199">
        <f>IFERROR(__xludf.DUMMYFUNCTION("""COMPUTED_VALUE"""),0.0)</f>
        <v>0</v>
      </c>
      <c r="J456" s="200">
        <f>IFERROR(__xludf.DUMMYFUNCTION("""COMPUTED_VALUE"""),69.0)</f>
        <v>69</v>
      </c>
      <c r="K456" s="200">
        <f>IFERROR(__xludf.DUMMYFUNCTION("""COMPUTED_VALUE"""),33.5)</f>
        <v>33.5</v>
      </c>
      <c r="L456" s="201" t="str">
        <f>IFERROR(__xludf.DUMMYFUNCTION("""COMPUTED_VALUE"""),"Action-Adventure")</f>
        <v>Action-Adventure</v>
      </c>
      <c r="M456" s="201" t="str">
        <f>IFERROR(__xludf.DUMMYFUNCTION("""COMPUTED_VALUE"""),"Optimized")</f>
        <v>Optimized</v>
      </c>
    </row>
    <row r="457">
      <c r="A457" s="190" t="str">
        <f>IFERROR(__xludf.DUMMYFUNCTION("""COMPUTED_VALUE"""),"The Grinch: Christmas Adventures")</f>
        <v>The Grinch: Christmas Adventures</v>
      </c>
      <c r="B457" s="195" t="str">
        <f>IFERROR(__xludf.DUMMYFUNCTION("""COMPUTED_VALUE"""),"Xbox / PC")</f>
        <v>Xbox / PC</v>
      </c>
      <c r="C457" s="196" t="str">
        <f>IFERROR(__xludf.DUMMYFUNCTION("""COMPUTED_VALUE"""),"Yes")</f>
        <v>Yes</v>
      </c>
      <c r="D457" s="196" t="str">
        <f>IFERROR(__xludf.DUMMYFUNCTION("""COMPUTED_VALUE"""),"Active")</f>
        <v>Active</v>
      </c>
      <c r="E457" s="197">
        <f>IFERROR(__xludf.DUMMYFUNCTION("""COMPUTED_VALUE"""),45945.0)</f>
        <v>45945</v>
      </c>
      <c r="F457" s="198"/>
      <c r="G457" s="199">
        <f>IFERROR(__xludf.DUMMYFUNCTION("""COMPUTED_VALUE"""),0.0)</f>
        <v>0</v>
      </c>
      <c r="H457" s="197">
        <f>IFERROR(__xludf.DUMMYFUNCTION("""COMPUTED_VALUE"""),45212.0)</f>
        <v>45212</v>
      </c>
      <c r="I457" s="199">
        <f>IFERROR(__xludf.DUMMYFUNCTION("""COMPUTED_VALUE"""),2.0055555555555555)</f>
        <v>2.005555556</v>
      </c>
      <c r="J457" s="200">
        <f>IFERROR(__xludf.DUMMYFUNCTION("""COMPUTED_VALUE"""),68.33333333333333)</f>
        <v>68.33333333</v>
      </c>
      <c r="K457" s="200">
        <f>IFERROR(__xludf.DUMMYFUNCTION("""COMPUTED_VALUE"""),3.0)</f>
        <v>3</v>
      </c>
      <c r="L457" s="201" t="str">
        <f>IFERROR(__xludf.DUMMYFUNCTION("""COMPUTED_VALUE"""),"Platformer")</f>
        <v>Platformer</v>
      </c>
      <c r="M457" s="201"/>
    </row>
    <row r="458">
      <c r="A458" s="190" t="str">
        <f>IFERROR(__xludf.DUMMYFUNCTION("""COMPUTED_VALUE"""),"The Gunk")</f>
        <v>The Gunk</v>
      </c>
      <c r="B458" s="195" t="str">
        <f>IFERROR(__xludf.DUMMYFUNCTION("""COMPUTED_VALUE"""),"Xbox / PC")</f>
        <v>Xbox / PC</v>
      </c>
      <c r="C458" s="196" t="str">
        <f>IFERROR(__xludf.DUMMYFUNCTION("""COMPUTED_VALUE"""),"Touch Controls")</f>
        <v>Touch Controls</v>
      </c>
      <c r="D458" s="196" t="str">
        <f>IFERROR(__xludf.DUMMYFUNCTION("""COMPUTED_VALUE"""),"Active")</f>
        <v>Active</v>
      </c>
      <c r="E458" s="197">
        <f>IFERROR(__xludf.DUMMYFUNCTION("""COMPUTED_VALUE"""),44546.0)</f>
        <v>44546</v>
      </c>
      <c r="F458" s="198"/>
      <c r="G458" s="199">
        <f>IFERROR(__xludf.DUMMYFUNCTION("""COMPUTED_VALUE"""),45.96666666666667)</f>
        <v>45.96666667</v>
      </c>
      <c r="H458" s="197">
        <f>IFERROR(__xludf.DUMMYFUNCTION("""COMPUTED_VALUE"""),44546.0)</f>
        <v>44546</v>
      </c>
      <c r="I458" s="199">
        <f>IFERROR(__xludf.DUMMYFUNCTION("""COMPUTED_VALUE"""),0.0)</f>
        <v>0</v>
      </c>
      <c r="J458" s="200">
        <f>IFERROR(__xludf.DUMMYFUNCTION("""COMPUTED_VALUE"""),68.33333333333333)</f>
        <v>68.33333333</v>
      </c>
      <c r="K458" s="200">
        <f>IFERROR(__xludf.DUMMYFUNCTION("""COMPUTED_VALUE"""),4.5)</f>
        <v>4.5</v>
      </c>
      <c r="L458" s="201" t="str">
        <f>IFERROR(__xludf.DUMMYFUNCTION("""COMPUTED_VALUE"""),"Puzzle / Action-Adventure")</f>
        <v>Puzzle / Action-Adventure</v>
      </c>
      <c r="M458" s="201"/>
    </row>
    <row r="459">
      <c r="A459" s="190" t="str">
        <f>IFERROR(__xludf.DUMMYFUNCTION("""COMPUTED_VALUE"""),"The Casting of Frank Stone")</f>
        <v>The Casting of Frank Stone</v>
      </c>
      <c r="B459" s="195" t="str">
        <f>IFERROR(__xludf.DUMMYFUNCTION("""COMPUTED_VALUE"""),"Xbox / PC")</f>
        <v>Xbox / PC</v>
      </c>
      <c r="C459" s="196" t="str">
        <f>IFERROR(__xludf.DUMMYFUNCTION("""COMPUTED_VALUE"""),"Yes")</f>
        <v>Yes</v>
      </c>
      <c r="D459" s="196" t="str">
        <f>IFERROR(__xludf.DUMMYFUNCTION("""COMPUTED_VALUE"""),"Active")</f>
        <v>Active</v>
      </c>
      <c r="E459" s="197">
        <f>IFERROR(__xludf.DUMMYFUNCTION("""COMPUTED_VALUE"""),45944.0)</f>
        <v>45944</v>
      </c>
      <c r="F459" s="198"/>
      <c r="G459" s="199">
        <f>IFERROR(__xludf.DUMMYFUNCTION("""COMPUTED_VALUE"""),0.03333333333333333)</f>
        <v>0.03333333333</v>
      </c>
      <c r="H459" s="197">
        <f>IFERROR(__xludf.DUMMYFUNCTION("""COMPUTED_VALUE"""),45538.0)</f>
        <v>45538</v>
      </c>
      <c r="I459" s="199">
        <f>IFERROR(__xludf.DUMMYFUNCTION("""COMPUTED_VALUE"""),1.113888888888889)</f>
        <v>1.113888889</v>
      </c>
      <c r="J459" s="200">
        <f>IFERROR(__xludf.DUMMYFUNCTION("""COMPUTED_VALUE"""),68.0)</f>
        <v>68</v>
      </c>
      <c r="K459" s="200">
        <f>IFERROR(__xludf.DUMMYFUNCTION("""COMPUTED_VALUE"""),6.0)</f>
        <v>6</v>
      </c>
      <c r="L459" s="201" t="str">
        <f>IFERROR(__xludf.DUMMYFUNCTION("""COMPUTED_VALUE"""),"Action-Adventure")</f>
        <v>Action-Adventure</v>
      </c>
      <c r="M459" s="201" t="str">
        <f>IFERROR(__xludf.DUMMYFUNCTION("""COMPUTED_VALUE"""),"Exclusive")</f>
        <v>Exclusive</v>
      </c>
    </row>
    <row r="460">
      <c r="A460" s="190" t="str">
        <f>IFERROR(__xludf.DUMMYFUNCTION("""COMPUTED_VALUE"""),"Eternal Strands")</f>
        <v>Eternal Strands</v>
      </c>
      <c r="B460" s="195" t="str">
        <f>IFERROR(__xludf.DUMMYFUNCTION("""COMPUTED_VALUE"""),"Xbox / PC")</f>
        <v>Xbox / PC</v>
      </c>
      <c r="C460" s="196" t="str">
        <f>IFERROR(__xludf.DUMMYFUNCTION("""COMPUTED_VALUE"""),"Yes")</f>
        <v>Yes</v>
      </c>
      <c r="D460" s="196" t="str">
        <f>IFERROR(__xludf.DUMMYFUNCTION("""COMPUTED_VALUE"""),"Active")</f>
        <v>Active</v>
      </c>
      <c r="E460" s="197">
        <f>IFERROR(__xludf.DUMMYFUNCTION("""COMPUTED_VALUE"""),45685.0)</f>
        <v>45685</v>
      </c>
      <c r="F460" s="198"/>
      <c r="G460" s="199">
        <f>IFERROR(__xludf.DUMMYFUNCTION("""COMPUTED_VALUE"""),8.566666666666666)</f>
        <v>8.566666667</v>
      </c>
      <c r="H460" s="197">
        <f>IFERROR(__xludf.DUMMYFUNCTION("""COMPUTED_VALUE"""),45685.0)</f>
        <v>45685</v>
      </c>
      <c r="I460" s="199">
        <f>IFERROR(__xludf.DUMMYFUNCTION("""COMPUTED_VALUE"""),0.0)</f>
        <v>0</v>
      </c>
      <c r="J460" s="200">
        <f>IFERROR(__xludf.DUMMYFUNCTION("""COMPUTED_VALUE"""),68.0)</f>
        <v>68</v>
      </c>
      <c r="K460" s="200">
        <f>IFERROR(__xludf.DUMMYFUNCTION("""COMPUTED_VALUE"""),18.0)</f>
        <v>18</v>
      </c>
      <c r="L460" s="201" t="str">
        <f>IFERROR(__xludf.DUMMYFUNCTION("""COMPUTED_VALUE"""),"Action-Adventure")</f>
        <v>Action-Adventure</v>
      </c>
      <c r="M460" s="201"/>
    </row>
    <row r="461">
      <c r="A461" s="190" t="str">
        <f>IFERROR(__xludf.DUMMYFUNCTION("""COMPUTED_VALUE"""),"Go Mecha Ball")</f>
        <v>Go Mecha Ball</v>
      </c>
      <c r="B461" s="195" t="str">
        <f>IFERROR(__xludf.DUMMYFUNCTION("""COMPUTED_VALUE"""),"Xbox / PC")</f>
        <v>Xbox / PC</v>
      </c>
      <c r="C461" s="196" t="str">
        <f>IFERROR(__xludf.DUMMYFUNCTION("""COMPUTED_VALUE"""),"Yes")</f>
        <v>Yes</v>
      </c>
      <c r="D461" s="196" t="str">
        <f>IFERROR(__xludf.DUMMYFUNCTION("""COMPUTED_VALUE"""),"Active")</f>
        <v>Active</v>
      </c>
      <c r="E461" s="197">
        <f>IFERROR(__xludf.DUMMYFUNCTION("""COMPUTED_VALUE"""),45316.0)</f>
        <v>45316</v>
      </c>
      <c r="F461" s="198"/>
      <c r="G461" s="199">
        <f>IFERROR(__xludf.DUMMYFUNCTION("""COMPUTED_VALUE"""),20.666666666666668)</f>
        <v>20.66666667</v>
      </c>
      <c r="H461" s="197">
        <f>IFERROR(__xludf.DUMMYFUNCTION("""COMPUTED_VALUE"""),45316.0)</f>
        <v>45316</v>
      </c>
      <c r="I461" s="199">
        <f>IFERROR(__xludf.DUMMYFUNCTION("""COMPUTED_VALUE"""),0.0)</f>
        <v>0</v>
      </c>
      <c r="J461" s="200">
        <f>IFERROR(__xludf.DUMMYFUNCTION("""COMPUTED_VALUE"""),68.0)</f>
        <v>68</v>
      </c>
      <c r="K461" s="200">
        <f>IFERROR(__xludf.DUMMYFUNCTION("""COMPUTED_VALUE"""),3.0)</f>
        <v>3</v>
      </c>
      <c r="L461" s="201" t="str">
        <f>IFERROR(__xludf.DUMMYFUNCTION("""COMPUTED_VALUE"""),"Action")</f>
        <v>Action</v>
      </c>
      <c r="M461" s="201"/>
    </row>
    <row r="462">
      <c r="A462" s="202" t="str">
        <f>IFERROR(__xludf.DUMMYFUNCTION("""COMPUTED_VALUE"""),"Goat Simulator 3")</f>
        <v>Goat Simulator 3</v>
      </c>
      <c r="B462" s="195" t="str">
        <f>IFERROR(__xludf.DUMMYFUNCTION("""COMPUTED_VALUE"""),"Xbox / PC")</f>
        <v>Xbox / PC</v>
      </c>
      <c r="C462" s="196" t="str">
        <f>IFERROR(__xludf.DUMMYFUNCTION("""COMPUTED_VALUE"""),"Yes")</f>
        <v>Yes</v>
      </c>
      <c r="D462" s="196" t="str">
        <f>IFERROR(__xludf.DUMMYFUNCTION("""COMPUTED_VALUE"""),"Active")</f>
        <v>Active</v>
      </c>
      <c r="E462" s="197">
        <f>IFERROR(__xludf.DUMMYFUNCTION("""COMPUTED_VALUE"""),45267.0)</f>
        <v>45267</v>
      </c>
      <c r="F462" s="198"/>
      <c r="G462" s="199">
        <f>IFERROR(__xludf.DUMMYFUNCTION("""COMPUTED_VALUE"""),22.266666666666666)</f>
        <v>22.26666667</v>
      </c>
      <c r="H462" s="197">
        <f>IFERROR(__xludf.DUMMYFUNCTION("""COMPUTED_VALUE"""),44882.0)</f>
        <v>44882</v>
      </c>
      <c r="I462" s="199">
        <f>IFERROR(__xludf.DUMMYFUNCTION("""COMPUTED_VALUE"""),1.0555555555555556)</f>
        <v>1.055555556</v>
      </c>
      <c r="J462" s="200">
        <f>IFERROR(__xludf.DUMMYFUNCTION("""COMPUTED_VALUE"""),68.0)</f>
        <v>68</v>
      </c>
      <c r="K462" s="200">
        <f>IFERROR(__xludf.DUMMYFUNCTION("""COMPUTED_VALUE"""),8.0)</f>
        <v>8</v>
      </c>
      <c r="L462" s="201" t="str">
        <f>IFERROR(__xludf.DUMMYFUNCTION("""COMPUTED_VALUE"""),"Simulation")</f>
        <v>Simulation</v>
      </c>
      <c r="M462" s="201" t="str">
        <f>IFERROR(__xludf.DUMMYFUNCTION("""COMPUTED_VALUE"""),"Exclusive")</f>
        <v>Exclusive</v>
      </c>
    </row>
    <row r="463">
      <c r="A463" s="190" t="str">
        <f>IFERROR(__xludf.DUMMYFUNCTION("""COMPUTED_VALUE"""),"House Flipper")</f>
        <v>House Flipper</v>
      </c>
      <c r="B463" s="195" t="str">
        <f>IFERROR(__xludf.DUMMYFUNCTION("""COMPUTED_VALUE"""),"Xbox / PC")</f>
        <v>Xbox / PC</v>
      </c>
      <c r="C463" s="196" t="str">
        <f>IFERROR(__xludf.DUMMYFUNCTION("""COMPUTED_VALUE"""),"M+KB")</f>
        <v>M+KB</v>
      </c>
      <c r="D463" s="196" t="str">
        <f>IFERROR(__xludf.DUMMYFUNCTION("""COMPUTED_VALUE"""),"Active")</f>
        <v>Active</v>
      </c>
      <c r="E463" s="197">
        <f>IFERROR(__xludf.DUMMYFUNCTION("""COMPUTED_VALUE"""),44742.0)</f>
        <v>44742</v>
      </c>
      <c r="F463" s="198"/>
      <c r="G463" s="199">
        <f>IFERROR(__xludf.DUMMYFUNCTION("""COMPUTED_VALUE"""),39.5)</f>
        <v>39.5</v>
      </c>
      <c r="H463" s="197">
        <f>IFERROR(__xludf.DUMMYFUNCTION("""COMPUTED_VALUE"""),43237.0)</f>
        <v>43237</v>
      </c>
      <c r="I463" s="199">
        <f>IFERROR(__xludf.DUMMYFUNCTION("""COMPUTED_VALUE"""),4.1194444444444445)</f>
        <v>4.119444444</v>
      </c>
      <c r="J463" s="200">
        <f>IFERROR(__xludf.DUMMYFUNCTION("""COMPUTED_VALUE"""),68.0)</f>
        <v>68</v>
      </c>
      <c r="K463" s="200">
        <f>IFERROR(__xludf.DUMMYFUNCTION("""COMPUTED_VALUE"""),12.0)</f>
        <v>12</v>
      </c>
      <c r="L463" s="201" t="str">
        <f>IFERROR(__xludf.DUMMYFUNCTION("""COMPUTED_VALUE"""),"Simulation")</f>
        <v>Simulation</v>
      </c>
      <c r="M463" s="201"/>
    </row>
    <row r="464">
      <c r="A464" s="190" t="str">
        <f>IFERROR(__xludf.DUMMYFUNCTION("""COMPUTED_VALUE"""),"Fallout 76")</f>
        <v>Fallout 76</v>
      </c>
      <c r="B464" s="195" t="str">
        <f>IFERROR(__xludf.DUMMYFUNCTION("""COMPUTED_VALUE"""),"Xbox / PC")</f>
        <v>Xbox / PC</v>
      </c>
      <c r="C464" s="196" t="str">
        <f>IFERROR(__xludf.DUMMYFUNCTION("""COMPUTED_VALUE"""),"Yes")</f>
        <v>Yes</v>
      </c>
      <c r="D464" s="196" t="str">
        <f>IFERROR(__xludf.DUMMYFUNCTION("""COMPUTED_VALUE"""),"Active")</f>
        <v>Active</v>
      </c>
      <c r="E464" s="197">
        <f>IFERROR(__xludf.DUMMYFUNCTION("""COMPUTED_VALUE"""),44021.0)</f>
        <v>44021</v>
      </c>
      <c r="F464" s="198"/>
      <c r="G464" s="199">
        <f>IFERROR(__xludf.DUMMYFUNCTION("""COMPUTED_VALUE"""),63.2)</f>
        <v>63.2</v>
      </c>
      <c r="H464" s="197">
        <f>IFERROR(__xludf.DUMMYFUNCTION("""COMPUTED_VALUE"""),43418.0)</f>
        <v>43418</v>
      </c>
      <c r="I464" s="199">
        <f>IFERROR(__xludf.DUMMYFUNCTION("""COMPUTED_VALUE"""),1.6527777777777777)</f>
        <v>1.652777778</v>
      </c>
      <c r="J464" s="200">
        <f>IFERROR(__xludf.DUMMYFUNCTION("""COMPUTED_VALUE"""),68.0)</f>
        <v>68</v>
      </c>
      <c r="K464" s="200">
        <f>IFERROR(__xludf.DUMMYFUNCTION("""COMPUTED_VALUE"""),29.5)</f>
        <v>29.5</v>
      </c>
      <c r="L464" s="201" t="str">
        <f>IFERROR(__xludf.DUMMYFUNCTION("""COMPUTED_VALUE"""),"Sci-Fi / Alternate Historical / Post-Apocalyptic")</f>
        <v>Sci-Fi / Alternate Historical / Post-Apocalyptic</v>
      </c>
      <c r="M464" s="201" t="str">
        <f>IFERROR(__xludf.DUMMYFUNCTION("""COMPUTED_VALUE"""),"FPS Boost")</f>
        <v>FPS Boost</v>
      </c>
    </row>
    <row r="465">
      <c r="A465" s="190" t="str">
        <f>IFERROR(__xludf.DUMMYFUNCTION("""COMPUTED_VALUE"""),"Golf With Your Friends")</f>
        <v>Golf With Your Friends</v>
      </c>
      <c r="B465" s="195" t="str">
        <f>IFERROR(__xludf.DUMMYFUNCTION("""COMPUTED_VALUE"""),"Xbox / PC")</f>
        <v>Xbox / PC</v>
      </c>
      <c r="C465" s="196" t="str">
        <f>IFERROR(__xludf.DUMMYFUNCTION("""COMPUTED_VALUE"""),"Touch Controls")</f>
        <v>Touch Controls</v>
      </c>
      <c r="D465" s="196" t="str">
        <f>IFERROR(__xludf.DUMMYFUNCTION("""COMPUTED_VALUE"""),"Active")</f>
        <v>Active</v>
      </c>
      <c r="E465" s="197">
        <f>IFERROR(__xludf.DUMMYFUNCTION("""COMPUTED_VALUE"""),43970.0)</f>
        <v>43970</v>
      </c>
      <c r="F465" s="198"/>
      <c r="G465" s="199">
        <f>IFERROR(__xludf.DUMMYFUNCTION("""COMPUTED_VALUE"""),64.86666666666667)</f>
        <v>64.86666667</v>
      </c>
      <c r="H465" s="197">
        <f>IFERROR(__xludf.DUMMYFUNCTION("""COMPUTED_VALUE"""),43970.0)</f>
        <v>43970</v>
      </c>
      <c r="I465" s="199">
        <f>IFERROR(__xludf.DUMMYFUNCTION("""COMPUTED_VALUE"""),0.0)</f>
        <v>0</v>
      </c>
      <c r="J465" s="200">
        <f>IFERROR(__xludf.DUMMYFUNCTION("""COMPUTED_VALUE"""),68.0)</f>
        <v>68</v>
      </c>
      <c r="K465" s="200">
        <f>IFERROR(__xludf.DUMMYFUNCTION("""COMPUTED_VALUE"""),23.5)</f>
        <v>23.5</v>
      </c>
      <c r="L465" s="201" t="str">
        <f>IFERROR(__xludf.DUMMYFUNCTION("""COMPUTED_VALUE"""),"Sports / Golf")</f>
        <v>Sports / Golf</v>
      </c>
      <c r="M465" s="201" t="str">
        <f>IFERROR(__xludf.DUMMYFUNCTION("""COMPUTED_VALUE"""),"FPS Boost")</f>
        <v>FPS Boost</v>
      </c>
    </row>
    <row r="466">
      <c r="A466" s="190" t="str">
        <f>IFERROR(__xludf.DUMMYFUNCTION("""COMPUTED_VALUE"""),"Wolfenstein: Youngblood")</f>
        <v>Wolfenstein: Youngblood</v>
      </c>
      <c r="B466" s="195" t="str">
        <f>IFERROR(__xludf.DUMMYFUNCTION("""COMPUTED_VALUE"""),"Xbox / PC")</f>
        <v>Xbox / PC</v>
      </c>
      <c r="C466" s="196" t="str">
        <f>IFERROR(__xludf.DUMMYFUNCTION("""COMPUTED_VALUE"""),"Yes")</f>
        <v>Yes</v>
      </c>
      <c r="D466" s="196" t="str">
        <f>IFERROR(__xludf.DUMMYFUNCTION("""COMPUTED_VALUE"""),"Active")</f>
        <v>Active</v>
      </c>
      <c r="E466" s="197">
        <f>IFERROR(__xludf.DUMMYFUNCTION("""COMPUTED_VALUE"""),43867.0)</f>
        <v>43867</v>
      </c>
      <c r="F466" s="198"/>
      <c r="G466" s="199">
        <f>IFERROR(__xludf.DUMMYFUNCTION("""COMPUTED_VALUE"""),68.3)</f>
        <v>68.3</v>
      </c>
      <c r="H466" s="197">
        <f>IFERROR(__xludf.DUMMYFUNCTION("""COMPUTED_VALUE"""),43671.0)</f>
        <v>43671</v>
      </c>
      <c r="I466" s="199">
        <f>IFERROR(__xludf.DUMMYFUNCTION("""COMPUTED_VALUE"""),0.5305555555555556)</f>
        <v>0.5305555556</v>
      </c>
      <c r="J466" s="200">
        <f>IFERROR(__xludf.DUMMYFUNCTION("""COMPUTED_VALUE"""),68.0)</f>
        <v>68</v>
      </c>
      <c r="K466" s="200">
        <f>IFERROR(__xludf.DUMMYFUNCTION("""COMPUTED_VALUE"""),9.0)</f>
        <v>9</v>
      </c>
      <c r="L466" s="201" t="str">
        <f>IFERROR(__xludf.DUMMYFUNCTION("""COMPUTED_VALUE"""),"First-Person Shooter")</f>
        <v>First-Person Shooter</v>
      </c>
      <c r="M466" s="201"/>
    </row>
    <row r="467">
      <c r="A467" s="190" t="str">
        <f>IFERROR(__xludf.DUMMYFUNCTION("""COMPUTED_VALUE"""),"Rush: A Disney Pixar Adventure")</f>
        <v>Rush: A Disney Pixar Adventure</v>
      </c>
      <c r="B467" s="195" t="str">
        <f>IFERROR(__xludf.DUMMYFUNCTION("""COMPUTED_VALUE"""),"Xbox / PC")</f>
        <v>Xbox / PC</v>
      </c>
      <c r="C467" s="196" t="str">
        <f>IFERROR(__xludf.DUMMYFUNCTION("""COMPUTED_VALUE"""),"Yes")</f>
        <v>Yes</v>
      </c>
      <c r="D467" s="196" t="str">
        <f>IFERROR(__xludf.DUMMYFUNCTION("""COMPUTED_VALUE"""),"Active")</f>
        <v>Active</v>
      </c>
      <c r="E467" s="197">
        <f>IFERROR(__xludf.DUMMYFUNCTION("""COMPUTED_VALUE"""),43313.0)</f>
        <v>43313</v>
      </c>
      <c r="F467" s="198"/>
      <c r="G467" s="199">
        <f>IFERROR(__xludf.DUMMYFUNCTION("""COMPUTED_VALUE"""),86.46666666666667)</f>
        <v>86.46666667</v>
      </c>
      <c r="H467" s="197">
        <f>IFERROR(__xludf.DUMMYFUNCTION("""COMPUTED_VALUE"""),40988.0)</f>
        <v>40988</v>
      </c>
      <c r="I467" s="199">
        <f>IFERROR(__xludf.DUMMYFUNCTION("""COMPUTED_VALUE"""),6.363888888888889)</f>
        <v>6.363888889</v>
      </c>
      <c r="J467" s="200">
        <f>IFERROR(__xludf.DUMMYFUNCTION("""COMPUTED_VALUE"""),68.0)</f>
        <v>68</v>
      </c>
      <c r="K467" s="200">
        <f>IFERROR(__xludf.DUMMYFUNCTION("""COMPUTED_VALUE"""),3.0)</f>
        <v>3</v>
      </c>
      <c r="L467" s="201" t="str">
        <f>IFERROR(__xludf.DUMMYFUNCTION("""COMPUTED_VALUE"""),"Minigame Collection / Platformer")</f>
        <v>Minigame Collection / Platformer</v>
      </c>
      <c r="M467" s="201"/>
    </row>
    <row r="468">
      <c r="A468" s="190" t="str">
        <f>IFERROR(__xludf.DUMMYFUNCTION("""COMPUTED_VALUE"""),"Fable Anniversary")</f>
        <v>Fable Anniversary</v>
      </c>
      <c r="B468" s="195" t="str">
        <f>IFERROR(__xludf.DUMMYFUNCTION("""COMPUTED_VALUE"""),"Xbox")</f>
        <v>Xbox</v>
      </c>
      <c r="C468" s="196" t="str">
        <f>IFERROR(__xludf.DUMMYFUNCTION("""COMPUTED_VALUE"""),"Touch Controls")</f>
        <v>Touch Controls</v>
      </c>
      <c r="D468" s="196" t="str">
        <f>IFERROR(__xludf.DUMMYFUNCTION("""COMPUTED_VALUE"""),"Active")</f>
        <v>Active</v>
      </c>
      <c r="E468" s="197">
        <f>IFERROR(__xludf.DUMMYFUNCTION("""COMPUTED_VALUE"""),43132.0)</f>
        <v>43132</v>
      </c>
      <c r="F468" s="198"/>
      <c r="G468" s="199">
        <f>IFERROR(__xludf.DUMMYFUNCTION("""COMPUTED_VALUE"""),92.46666666666667)</f>
        <v>92.46666667</v>
      </c>
      <c r="H468" s="197">
        <f>IFERROR(__xludf.DUMMYFUNCTION("""COMPUTED_VALUE"""),41674.0)</f>
        <v>41674</v>
      </c>
      <c r="I468" s="199">
        <f>IFERROR(__xludf.DUMMYFUNCTION("""COMPUTED_VALUE"""),3.9916666666666667)</f>
        <v>3.991666667</v>
      </c>
      <c r="J468" s="200">
        <f>IFERROR(__xludf.DUMMYFUNCTION("""COMPUTED_VALUE"""),68.0)</f>
        <v>68</v>
      </c>
      <c r="K468" s="200">
        <f>IFERROR(__xludf.DUMMYFUNCTION("""COMPUTED_VALUE"""),14.0)</f>
        <v>14</v>
      </c>
      <c r="L468" s="201" t="str">
        <f>IFERROR(__xludf.DUMMYFUNCTION("""COMPUTED_VALUE"""),"RPG / Action-Adventure")</f>
        <v>RPG / Action-Adventure</v>
      </c>
      <c r="M468" s="201"/>
    </row>
    <row r="469">
      <c r="A469" s="190" t="str">
        <f>IFERROR(__xludf.DUMMYFUNCTION("""COMPUTED_VALUE"""),"Zoo Tycoon: Ultimate Animal Collection")</f>
        <v>Zoo Tycoon: Ultimate Animal Collection</v>
      </c>
      <c r="B469" s="195" t="str">
        <f>IFERROR(__xludf.DUMMYFUNCTION("""COMPUTED_VALUE"""),"Xbox / PC")</f>
        <v>Xbox / PC</v>
      </c>
      <c r="C469" s="196"/>
      <c r="D469" s="196" t="str">
        <f>IFERROR(__xludf.DUMMYFUNCTION("""COMPUTED_VALUE"""),"Active")</f>
        <v>Active</v>
      </c>
      <c r="E469" s="197">
        <f>IFERROR(__xludf.DUMMYFUNCTION("""COMPUTED_VALUE"""),43101.0)</f>
        <v>43101</v>
      </c>
      <c r="F469" s="198"/>
      <c r="G469" s="199">
        <f>IFERROR(__xludf.DUMMYFUNCTION("""COMPUTED_VALUE"""),93.46666666666667)</f>
        <v>93.46666667</v>
      </c>
      <c r="H469" s="197">
        <f>IFERROR(__xludf.DUMMYFUNCTION("""COMPUTED_VALUE"""),43039.0)</f>
        <v>43039</v>
      </c>
      <c r="I469" s="199">
        <f>IFERROR(__xludf.DUMMYFUNCTION("""COMPUTED_VALUE"""),0.16944444444444445)</f>
        <v>0.1694444444</v>
      </c>
      <c r="J469" s="200">
        <f>IFERROR(__xludf.DUMMYFUNCTION("""COMPUTED_VALUE"""),68.0)</f>
        <v>68</v>
      </c>
      <c r="K469" s="200">
        <f>IFERROR(__xludf.DUMMYFUNCTION("""COMPUTED_VALUE"""),14.0)</f>
        <v>14</v>
      </c>
      <c r="L469" s="201" t="str">
        <f>IFERROR(__xludf.DUMMYFUNCTION("""COMPUTED_VALUE"""),"Simulation")</f>
        <v>Simulation</v>
      </c>
      <c r="M469" s="201"/>
    </row>
    <row r="470">
      <c r="A470" s="190" t="str">
        <f>IFERROR(__xludf.DUMMYFUNCTION("""COMPUTED_VALUE"""),"High on Life")</f>
        <v>High on Life</v>
      </c>
      <c r="B470" s="195" t="str">
        <f>IFERROR(__xludf.DUMMYFUNCTION("""COMPUTED_VALUE"""),"Xbox / PC")</f>
        <v>Xbox / PC</v>
      </c>
      <c r="C470" s="196" t="str">
        <f>IFERROR(__xludf.DUMMYFUNCTION("""COMPUTED_VALUE"""),"M+KB")</f>
        <v>M+KB</v>
      </c>
      <c r="D470" s="196" t="str">
        <f>IFERROR(__xludf.DUMMYFUNCTION("""COMPUTED_VALUE"""),"Active")</f>
        <v>Active</v>
      </c>
      <c r="E470" s="197">
        <f>IFERROR(__xludf.DUMMYFUNCTION("""COMPUTED_VALUE"""),45853.0)</f>
        <v>45853</v>
      </c>
      <c r="F470" s="198"/>
      <c r="G470" s="199">
        <f>IFERROR(__xludf.DUMMYFUNCTION("""COMPUTED_VALUE"""),3.0)</f>
        <v>3</v>
      </c>
      <c r="H470" s="197">
        <f>IFERROR(__xludf.DUMMYFUNCTION("""COMPUTED_VALUE"""),44908.0)</f>
        <v>44908</v>
      </c>
      <c r="I470" s="199">
        <f>IFERROR(__xludf.DUMMYFUNCTION("""COMPUTED_VALUE"""),2.588888888888889)</f>
        <v>2.588888889</v>
      </c>
      <c r="J470" s="200">
        <f>IFERROR(__xludf.DUMMYFUNCTION("""COMPUTED_VALUE"""),67.0)</f>
        <v>67</v>
      </c>
      <c r="K470" s="200">
        <f>IFERROR(__xludf.DUMMYFUNCTION("""COMPUTED_VALUE"""),9.0)</f>
        <v>9</v>
      </c>
      <c r="L470" s="201" t="str">
        <f>IFERROR(__xludf.DUMMYFUNCTION("""COMPUTED_VALUE"""),"First-Person Shooter")</f>
        <v>First-Person Shooter</v>
      </c>
      <c r="M470" s="201"/>
    </row>
    <row r="471">
      <c r="A471" s="190" t="str">
        <f>IFERROR(__xludf.DUMMYFUNCTION("""COMPUTED_VALUE"""),"SpongeBob SquarePants: The Patrick Star Game")</f>
        <v>SpongeBob SquarePants: The Patrick Star Game</v>
      </c>
      <c r="B471" s="195" t="str">
        <f>IFERROR(__xludf.DUMMYFUNCTION("""COMPUTED_VALUE"""),"Xbox / PC")</f>
        <v>Xbox / PC</v>
      </c>
      <c r="C471" s="196" t="str">
        <f>IFERROR(__xludf.DUMMYFUNCTION("""COMPUTED_VALUE"""),"Yes")</f>
        <v>Yes</v>
      </c>
      <c r="D471" s="196" t="str">
        <f>IFERROR(__xludf.DUMMYFUNCTION("""COMPUTED_VALUE"""),"Active")</f>
        <v>Active</v>
      </c>
      <c r="E471" s="197">
        <f>IFERROR(__xludf.DUMMYFUNCTION("""COMPUTED_VALUE"""),45763.0)</f>
        <v>45763</v>
      </c>
      <c r="F471" s="198"/>
      <c r="G471" s="199">
        <f>IFERROR(__xludf.DUMMYFUNCTION("""COMPUTED_VALUE"""),5.966666666666667)</f>
        <v>5.966666667</v>
      </c>
      <c r="H471" s="197">
        <f>IFERROR(__xludf.DUMMYFUNCTION("""COMPUTED_VALUE"""),45569.0)</f>
        <v>45569</v>
      </c>
      <c r="I471" s="199">
        <f>IFERROR(__xludf.DUMMYFUNCTION("""COMPUTED_VALUE"""),0.5333333333333333)</f>
        <v>0.5333333333</v>
      </c>
      <c r="J471" s="200">
        <f>IFERROR(__xludf.DUMMYFUNCTION("""COMPUTED_VALUE"""),67.0)</f>
        <v>67</v>
      </c>
      <c r="K471" s="200">
        <f>IFERROR(__xludf.DUMMYFUNCTION("""COMPUTED_VALUE"""),4.0)</f>
        <v>4</v>
      </c>
      <c r="L471" s="201" t="str">
        <f>IFERROR(__xludf.DUMMYFUNCTION("""COMPUTED_VALUE"""),"Platformer")</f>
        <v>Platformer</v>
      </c>
      <c r="M471" s="201"/>
    </row>
    <row r="472">
      <c r="A472" s="190" t="str">
        <f>IFERROR(__xludf.DUMMYFUNCTION("""COMPUTED_VALUE"""),"Gang Beasts")</f>
        <v>Gang Beasts</v>
      </c>
      <c r="B472" s="195" t="str">
        <f>IFERROR(__xludf.DUMMYFUNCTION("""COMPUTED_VALUE"""),"Xbox / PC")</f>
        <v>Xbox / PC</v>
      </c>
      <c r="C472" s="196" t="str">
        <f>IFERROR(__xludf.DUMMYFUNCTION("""COMPUTED_VALUE"""),"Yes")</f>
        <v>Yes</v>
      </c>
      <c r="D472" s="196" t="str">
        <f>IFERROR(__xludf.DUMMYFUNCTION("""COMPUTED_VALUE"""),"Active")</f>
        <v>Active</v>
      </c>
      <c r="E472" s="197">
        <f>IFERROR(__xludf.DUMMYFUNCTION("""COMPUTED_VALUE"""),44378.0)</f>
        <v>44378</v>
      </c>
      <c r="F472" s="198"/>
      <c r="G472" s="199">
        <f>IFERROR(__xludf.DUMMYFUNCTION("""COMPUTED_VALUE"""),51.46666666666667)</f>
        <v>51.46666667</v>
      </c>
      <c r="H472" s="197">
        <f>IFERROR(__xludf.DUMMYFUNCTION("""COMPUTED_VALUE"""),41880.0)</f>
        <v>41880</v>
      </c>
      <c r="I472" s="199">
        <f>IFERROR(__xludf.DUMMYFUNCTION("""COMPUTED_VALUE"""),6.838888888888889)</f>
        <v>6.838888889</v>
      </c>
      <c r="J472" s="200">
        <f>IFERROR(__xludf.DUMMYFUNCTION("""COMPUTED_VALUE"""),67.0)</f>
        <v>67</v>
      </c>
      <c r="K472" s="200">
        <f>IFERROR(__xludf.DUMMYFUNCTION("""COMPUTED_VALUE"""),3.5)</f>
        <v>3.5</v>
      </c>
      <c r="L472" s="201" t="str">
        <f>IFERROR(__xludf.DUMMYFUNCTION("""COMPUTED_VALUE"""),"Brawler")</f>
        <v>Brawler</v>
      </c>
      <c r="M472" s="201"/>
    </row>
    <row r="473">
      <c r="A473" s="190" t="str">
        <f>IFERROR(__xludf.DUMMYFUNCTION("""COMPUTED_VALUE"""),"Disneyland Adventures")</f>
        <v>Disneyland Adventures</v>
      </c>
      <c r="B473" s="195" t="str">
        <f>IFERROR(__xludf.DUMMYFUNCTION("""COMPUTED_VALUE"""),"Xbox / PC")</f>
        <v>Xbox / PC</v>
      </c>
      <c r="C473" s="196" t="str">
        <f>IFERROR(__xludf.DUMMYFUNCTION("""COMPUTED_VALUE"""),"Yes")</f>
        <v>Yes</v>
      </c>
      <c r="D473" s="196" t="str">
        <f>IFERROR(__xludf.DUMMYFUNCTION("""COMPUTED_VALUE"""),"Active")</f>
        <v>Active</v>
      </c>
      <c r="E473" s="197">
        <f>IFERROR(__xludf.DUMMYFUNCTION("""COMPUTED_VALUE"""),43252.0)</f>
        <v>43252</v>
      </c>
      <c r="F473" s="198"/>
      <c r="G473" s="199">
        <f>IFERROR(__xludf.DUMMYFUNCTION("""COMPUTED_VALUE"""),88.46666666666667)</f>
        <v>88.46666667</v>
      </c>
      <c r="H473" s="197">
        <f>IFERROR(__xludf.DUMMYFUNCTION("""COMPUTED_VALUE"""),40862.0)</f>
        <v>40862</v>
      </c>
      <c r="I473" s="199">
        <f>IFERROR(__xludf.DUMMYFUNCTION("""COMPUTED_VALUE"""),6.544444444444444)</f>
        <v>6.544444444</v>
      </c>
      <c r="J473" s="200">
        <f>IFERROR(__xludf.DUMMYFUNCTION("""COMPUTED_VALUE"""),67.0)</f>
        <v>67</v>
      </c>
      <c r="K473" s="200">
        <f>IFERROR(__xludf.DUMMYFUNCTION("""COMPUTED_VALUE"""),16.0)</f>
        <v>16</v>
      </c>
      <c r="L473" s="201" t="str">
        <f>IFERROR(__xludf.DUMMYFUNCTION("""COMPUTED_VALUE"""),"Adventure / Minigame Collection")</f>
        <v>Adventure / Minigame Collection</v>
      </c>
      <c r="M473" s="201"/>
    </row>
    <row r="474">
      <c r="A474" s="190" t="str">
        <f>IFERROR(__xludf.DUMMYFUNCTION("""COMPUTED_VALUE"""),"Joy Ride Turbo")</f>
        <v>Joy Ride Turbo</v>
      </c>
      <c r="B474" s="195" t="str">
        <f>IFERROR(__xludf.DUMMYFUNCTION("""COMPUTED_VALUE"""),"Xbox")</f>
        <v>Xbox</v>
      </c>
      <c r="C474" s="196" t="str">
        <f>IFERROR(__xludf.DUMMYFUNCTION("""COMPUTED_VALUE"""),"Touch Controls")</f>
        <v>Touch Controls</v>
      </c>
      <c r="D474" s="196" t="str">
        <f>IFERROR(__xludf.DUMMYFUNCTION("""COMPUTED_VALUE"""),"Active")</f>
        <v>Active</v>
      </c>
      <c r="E474" s="197">
        <f>IFERROR(__xludf.DUMMYFUNCTION("""COMPUTED_VALUE"""),42887.0)</f>
        <v>42887</v>
      </c>
      <c r="F474" s="198"/>
      <c r="G474" s="199">
        <f>IFERROR(__xludf.DUMMYFUNCTION("""COMPUTED_VALUE"""),100.46666666666667)</f>
        <v>100.4666667</v>
      </c>
      <c r="H474" s="197">
        <f>IFERROR(__xludf.DUMMYFUNCTION("""COMPUTED_VALUE"""),41052.0)</f>
        <v>41052</v>
      </c>
      <c r="I474" s="199">
        <f>IFERROR(__xludf.DUMMYFUNCTION("""COMPUTED_VALUE"""),5.022222222222222)</f>
        <v>5.022222222</v>
      </c>
      <c r="J474" s="200">
        <f>IFERROR(__xludf.DUMMYFUNCTION("""COMPUTED_VALUE"""),67.0)</f>
        <v>67</v>
      </c>
      <c r="K474" s="200">
        <f>IFERROR(__xludf.DUMMYFUNCTION("""COMPUTED_VALUE"""),2.0)</f>
        <v>2</v>
      </c>
      <c r="L474" s="201" t="str">
        <f>IFERROR(__xludf.DUMMYFUNCTION("""COMPUTED_VALUE"""),"Driving/Racing")</f>
        <v>Driving/Racing</v>
      </c>
      <c r="M474" s="201"/>
    </row>
    <row r="475">
      <c r="A475" s="190" t="str">
        <f>IFERROR(__xludf.DUMMYFUNCTION("""COMPUTED_VALUE"""),"Ark: Survival Ascended")</f>
        <v>Ark: Survival Ascended</v>
      </c>
      <c r="B475" s="195" t="str">
        <f>IFERROR(__xludf.DUMMYFUNCTION("""COMPUTED_VALUE"""),"Xbox / PC")</f>
        <v>Xbox / PC</v>
      </c>
      <c r="C475" s="196" t="str">
        <f>IFERROR(__xludf.DUMMYFUNCTION("""COMPUTED_VALUE"""),"M+KB")</f>
        <v>M+KB</v>
      </c>
      <c r="D475" s="196" t="str">
        <f>IFERROR(__xludf.DUMMYFUNCTION("""COMPUTED_VALUE"""),"Active")</f>
        <v>Active</v>
      </c>
      <c r="E475" s="197">
        <f>IFERROR(__xludf.DUMMYFUNCTION("""COMPUTED_VALUE"""),45383.0)</f>
        <v>45383</v>
      </c>
      <c r="F475" s="198"/>
      <c r="G475" s="199">
        <f>IFERROR(__xludf.DUMMYFUNCTION("""COMPUTED_VALUE"""),18.46666666666667)</f>
        <v>18.46666667</v>
      </c>
      <c r="H475" s="197">
        <f>IFERROR(__xludf.DUMMYFUNCTION("""COMPUTED_VALUE"""),45260.0)</f>
        <v>45260</v>
      </c>
      <c r="I475" s="199">
        <f>IFERROR(__xludf.DUMMYFUNCTION("""COMPUTED_VALUE"""),0.33611111111111114)</f>
        <v>0.3361111111</v>
      </c>
      <c r="J475" s="200">
        <f>IFERROR(__xludf.DUMMYFUNCTION("""COMPUTED_VALUE"""),66.66666666666667)</f>
        <v>66.66666667</v>
      </c>
      <c r="K475" s="200">
        <f>IFERROR(__xludf.DUMMYFUNCTION("""COMPUTED_VALUE"""),380.0)</f>
        <v>380</v>
      </c>
      <c r="L475" s="201" t="str">
        <f>IFERROR(__xludf.DUMMYFUNCTION("""COMPUTED_VALUE"""),"Sandbox")</f>
        <v>Sandbox</v>
      </c>
      <c r="M475" s="201" t="str">
        <f>IFERROR(__xludf.DUMMYFUNCTION("""COMPUTED_VALUE"""),"Exclusive")</f>
        <v>Exclusive</v>
      </c>
    </row>
    <row r="476">
      <c r="A476" s="190" t="str">
        <f>IFERROR(__xludf.DUMMYFUNCTION("""COMPUTED_VALUE"""),"NHL 25")</f>
        <v>NHL 25</v>
      </c>
      <c r="B476" s="195" t="str">
        <f>IFERROR(__xludf.DUMMYFUNCTION("""COMPUTED_VALUE"""),"Xbox")</f>
        <v>Xbox</v>
      </c>
      <c r="C476" s="196"/>
      <c r="D476" s="196" t="str">
        <f>IFERROR(__xludf.DUMMYFUNCTION("""COMPUTED_VALUE"""),"Active")</f>
        <v>Active</v>
      </c>
      <c r="E476" s="197">
        <f>IFERROR(__xludf.DUMMYFUNCTION("""COMPUTED_VALUE"""),45762.0)</f>
        <v>45762</v>
      </c>
      <c r="F476" s="198"/>
      <c r="G476" s="199">
        <f>IFERROR(__xludf.DUMMYFUNCTION("""COMPUTED_VALUE"""),6.0)</f>
        <v>6</v>
      </c>
      <c r="H476" s="197">
        <f>IFERROR(__xludf.DUMMYFUNCTION("""COMPUTED_VALUE"""),45757.0)</f>
        <v>45757</v>
      </c>
      <c r="I476" s="199">
        <f>IFERROR(__xludf.DUMMYFUNCTION("""COMPUTED_VALUE"""),0.013888888888888888)</f>
        <v>0.01388888889</v>
      </c>
      <c r="J476" s="200">
        <f>IFERROR(__xludf.DUMMYFUNCTION("""COMPUTED_VALUE"""),66.0)</f>
        <v>66</v>
      </c>
      <c r="K476" s="200">
        <f>IFERROR(__xludf.DUMMYFUNCTION("""COMPUTED_VALUE"""),15.0)</f>
        <v>15</v>
      </c>
      <c r="L476" s="201" t="str">
        <f>IFERROR(__xludf.DUMMYFUNCTION("""COMPUTED_VALUE"""),"Sports")</f>
        <v>Sports</v>
      </c>
      <c r="M476" s="201"/>
    </row>
    <row r="477">
      <c r="A477" s="190" t="str">
        <f>IFERROR(__xludf.DUMMYFUNCTION("""COMPUTED_VALUE"""),"The Last Case of Benedict Fox")</f>
        <v>The Last Case of Benedict Fox</v>
      </c>
      <c r="B477" s="195" t="str">
        <f>IFERROR(__xludf.DUMMYFUNCTION("""COMPUTED_VALUE"""),"Xbox / PC")</f>
        <v>Xbox / PC</v>
      </c>
      <c r="C477" s="196"/>
      <c r="D477" s="196" t="str">
        <f>IFERROR(__xludf.DUMMYFUNCTION("""COMPUTED_VALUE"""),"Active")</f>
        <v>Active</v>
      </c>
      <c r="E477" s="197">
        <f>IFERROR(__xludf.DUMMYFUNCTION("""COMPUTED_VALUE"""),45043.0)</f>
        <v>45043</v>
      </c>
      <c r="F477" s="198"/>
      <c r="G477" s="199">
        <f>IFERROR(__xludf.DUMMYFUNCTION("""COMPUTED_VALUE"""),29.6)</f>
        <v>29.6</v>
      </c>
      <c r="H477" s="197">
        <f>IFERROR(__xludf.DUMMYFUNCTION("""COMPUTED_VALUE"""),45043.0)</f>
        <v>45043</v>
      </c>
      <c r="I477" s="199">
        <f>IFERROR(__xludf.DUMMYFUNCTION("""COMPUTED_VALUE"""),0.0)</f>
        <v>0</v>
      </c>
      <c r="J477" s="200">
        <f>IFERROR(__xludf.DUMMYFUNCTION("""COMPUTED_VALUE"""),66.0)</f>
        <v>66</v>
      </c>
      <c r="K477" s="200">
        <f>IFERROR(__xludf.DUMMYFUNCTION("""COMPUTED_VALUE"""),11.0)</f>
        <v>11</v>
      </c>
      <c r="L477" s="201" t="str">
        <f>IFERROR(__xludf.DUMMYFUNCTION("""COMPUTED_VALUE"""),"Horror")</f>
        <v>Horror</v>
      </c>
      <c r="M477" s="201"/>
    </row>
    <row r="478">
      <c r="A478" s="190" t="str">
        <f>IFERROR(__xludf.DUMMYFUNCTION("""COMPUTED_VALUE"""),"Battlefield 2042")</f>
        <v>Battlefield 2042</v>
      </c>
      <c r="B478" s="195" t="str">
        <f>IFERROR(__xludf.DUMMYFUNCTION("""COMPUTED_VALUE"""),"Xbox / PC")</f>
        <v>Xbox / PC</v>
      </c>
      <c r="C478" s="196" t="str">
        <f>IFERROR(__xludf.DUMMYFUNCTION("""COMPUTED_VALUE"""),"Yes")</f>
        <v>Yes</v>
      </c>
      <c r="D478" s="196" t="str">
        <f>IFERROR(__xludf.DUMMYFUNCTION("""COMPUTED_VALUE"""),"Active")</f>
        <v>Active</v>
      </c>
      <c r="E478" s="197">
        <f>IFERROR(__xludf.DUMMYFUNCTION("""COMPUTED_VALUE"""),44887.0)</f>
        <v>44887</v>
      </c>
      <c r="F478" s="198"/>
      <c r="G478" s="199">
        <f>IFERROR(__xludf.DUMMYFUNCTION("""COMPUTED_VALUE"""),34.766666666666666)</f>
        <v>34.76666667</v>
      </c>
      <c r="H478" s="197">
        <f>IFERROR(__xludf.DUMMYFUNCTION("""COMPUTED_VALUE"""),44512.0)</f>
        <v>44512</v>
      </c>
      <c r="I478" s="199">
        <f>IFERROR(__xludf.DUMMYFUNCTION("""COMPUTED_VALUE"""),1.0277777777777777)</f>
        <v>1.027777778</v>
      </c>
      <c r="J478" s="200">
        <f>IFERROR(__xludf.DUMMYFUNCTION("""COMPUTED_VALUE"""),66.0)</f>
        <v>66</v>
      </c>
      <c r="K478" s="200">
        <f>IFERROR(__xludf.DUMMYFUNCTION("""COMPUTED_VALUE"""),58.0)</f>
        <v>58</v>
      </c>
      <c r="L478" s="201" t="str">
        <f>IFERROR(__xludf.DUMMYFUNCTION("""COMPUTED_VALUE"""),"First-Person Shooter")</f>
        <v>First-Person Shooter</v>
      </c>
      <c r="M478" s="201"/>
    </row>
    <row r="479">
      <c r="A479" s="190" t="str">
        <f>IFERROR(__xludf.DUMMYFUNCTION("""COMPUTED_VALUE"""),"Star Wars Battlefront II: Celebration Edition")</f>
        <v>Star Wars Battlefront II: Celebration Edition</v>
      </c>
      <c r="B479" s="195" t="str">
        <f>IFERROR(__xludf.DUMMYFUNCTION("""COMPUTED_VALUE"""),"Xbox / PC")</f>
        <v>Xbox / PC</v>
      </c>
      <c r="C479" s="196" t="str">
        <f>IFERROR(__xludf.DUMMYFUNCTION("""COMPUTED_VALUE"""),"Yes")</f>
        <v>Yes</v>
      </c>
      <c r="D479" s="196" t="str">
        <f>IFERROR(__xludf.DUMMYFUNCTION("""COMPUTED_VALUE"""),"Active")</f>
        <v>Active</v>
      </c>
      <c r="E479" s="197">
        <f>IFERROR(__xludf.DUMMYFUNCTION("""COMPUTED_VALUE"""),44145.0)</f>
        <v>44145</v>
      </c>
      <c r="F479" s="198"/>
      <c r="G479" s="199">
        <f>IFERROR(__xludf.DUMMYFUNCTION("""COMPUTED_VALUE"""),59.166666666666664)</f>
        <v>59.16666667</v>
      </c>
      <c r="H479" s="197">
        <f>IFERROR(__xludf.DUMMYFUNCTION("""COMPUTED_VALUE"""),43056.0)</f>
        <v>43056</v>
      </c>
      <c r="I479" s="199">
        <f>IFERROR(__xludf.DUMMYFUNCTION("""COMPUTED_VALUE"""),2.9805555555555556)</f>
        <v>2.980555556</v>
      </c>
      <c r="J479" s="200">
        <f>IFERROR(__xludf.DUMMYFUNCTION("""COMPUTED_VALUE"""),66.0)</f>
        <v>66</v>
      </c>
      <c r="K479" s="200">
        <f>IFERROR(__xludf.DUMMYFUNCTION("""COMPUTED_VALUE"""),6.0)</f>
        <v>6</v>
      </c>
      <c r="L479" s="201" t="str">
        <f>IFERROR(__xludf.DUMMYFUNCTION("""COMPUTED_VALUE"""),"Action / First-Person Shooter")</f>
        <v>Action / First-Person Shooter</v>
      </c>
      <c r="M479" s="201" t="str">
        <f>IFERROR(__xludf.DUMMYFUNCTION("""COMPUTED_VALUE"""),"FPS Boost X Only")</f>
        <v>FPS Boost X Only</v>
      </c>
    </row>
    <row r="480">
      <c r="A480" s="190" t="str">
        <f>IFERROR(__xludf.DUMMYFUNCTION("""COMPUTED_VALUE"""),"The Sims 4: Deluxe Party Edition")</f>
        <v>The Sims 4: Deluxe Party Edition</v>
      </c>
      <c r="B480" s="195" t="str">
        <f>IFERROR(__xludf.DUMMYFUNCTION("""COMPUTED_VALUE"""),"Xbox / PC")</f>
        <v>Xbox / PC</v>
      </c>
      <c r="C480" s="196" t="str">
        <f>IFERROR(__xludf.DUMMYFUNCTION("""COMPUTED_VALUE"""),"M+KB")</f>
        <v>M+KB</v>
      </c>
      <c r="D480" s="196" t="str">
        <f>IFERROR(__xludf.DUMMYFUNCTION("""COMPUTED_VALUE"""),"Active")</f>
        <v>Active</v>
      </c>
      <c r="E480" s="197">
        <f>IFERROR(__xludf.DUMMYFUNCTION("""COMPUTED_VALUE"""),44145.0)</f>
        <v>44145</v>
      </c>
      <c r="F480" s="198"/>
      <c r="G480" s="199">
        <f>IFERROR(__xludf.DUMMYFUNCTION("""COMPUTED_VALUE"""),59.166666666666664)</f>
        <v>59.16666667</v>
      </c>
      <c r="H480" s="197">
        <f>IFERROR(__xludf.DUMMYFUNCTION("""COMPUTED_VALUE"""),41884.0)</f>
        <v>41884</v>
      </c>
      <c r="I480" s="199">
        <f>IFERROR(__xludf.DUMMYFUNCTION("""COMPUTED_VALUE"""),6.188888888888889)</f>
        <v>6.188888889</v>
      </c>
      <c r="J480" s="200">
        <f>IFERROR(__xludf.DUMMYFUNCTION("""COMPUTED_VALUE"""),66.0)</f>
        <v>66</v>
      </c>
      <c r="K480" s="200">
        <f>IFERROR(__xludf.DUMMYFUNCTION("""COMPUTED_VALUE"""),40.0)</f>
        <v>40</v>
      </c>
      <c r="L480" s="201" t="str">
        <f>IFERROR(__xludf.DUMMYFUNCTION("""COMPUTED_VALUE"""),"Simulation")</f>
        <v>Simulation</v>
      </c>
      <c r="M480" s="201"/>
    </row>
    <row r="481">
      <c r="A481" s="190" t="str">
        <f>IFERROR(__xludf.DUMMYFUNCTION("""COMPUTED_VALUE"""),"Zombi")</f>
        <v>Zombi</v>
      </c>
      <c r="B481" s="195" t="str">
        <f>IFERROR(__xludf.DUMMYFUNCTION("""COMPUTED_VALUE"""),"Xbox / PC")</f>
        <v>Xbox / PC</v>
      </c>
      <c r="C481" s="196" t="str">
        <f>IFERROR(__xludf.DUMMYFUNCTION("""COMPUTED_VALUE"""),"Yes")</f>
        <v>Yes</v>
      </c>
      <c r="D481" s="196" t="str">
        <f>IFERROR(__xludf.DUMMYFUNCTION("""COMPUTED_VALUE"""),"Active")</f>
        <v>Active</v>
      </c>
      <c r="E481" s="197">
        <f>IFERROR(__xludf.DUMMYFUNCTION("""COMPUTED_VALUE"""),45931.0)</f>
        <v>45931</v>
      </c>
      <c r="F481" s="198"/>
      <c r="G481" s="199">
        <f>IFERROR(__xludf.DUMMYFUNCTION("""COMPUTED_VALUE"""),0.4666666666666667)</f>
        <v>0.4666666667</v>
      </c>
      <c r="H481" s="197">
        <f>IFERROR(__xludf.DUMMYFUNCTION("""COMPUTED_VALUE"""),42234.0)</f>
        <v>42234</v>
      </c>
      <c r="I481" s="199">
        <f>IFERROR(__xludf.DUMMYFUNCTION("""COMPUTED_VALUE"""),10.119444444444444)</f>
        <v>10.11944444</v>
      </c>
      <c r="J481" s="200">
        <f>IFERROR(__xludf.DUMMYFUNCTION("""COMPUTED_VALUE"""),65.0)</f>
        <v>65</v>
      </c>
      <c r="K481" s="200">
        <f>IFERROR(__xludf.DUMMYFUNCTION("""COMPUTED_VALUE"""),12.0)</f>
        <v>12</v>
      </c>
      <c r="L481" s="201" t="str">
        <f>IFERROR(__xludf.DUMMYFUNCTION("""COMPUTED_VALUE"""),"Survival")</f>
        <v>Survival</v>
      </c>
      <c r="M481" s="201"/>
    </row>
    <row r="482">
      <c r="A482" s="190" t="str">
        <f>IFERROR(__xludf.DUMMYFUNCTION("""COMPUTED_VALUE"""),"Goat Simulator: Remastered")</f>
        <v>Goat Simulator: Remastered</v>
      </c>
      <c r="B482" s="195" t="str">
        <f>IFERROR(__xludf.DUMMYFUNCTION("""COMPUTED_VALUE"""),"Xbox / PC")</f>
        <v>Xbox / PC</v>
      </c>
      <c r="C482" s="196" t="str">
        <f>IFERROR(__xludf.DUMMYFUNCTION("""COMPUTED_VALUE"""),"Yes")</f>
        <v>Yes</v>
      </c>
      <c r="D482" s="196" t="str">
        <f>IFERROR(__xludf.DUMMYFUNCTION("""COMPUTED_VALUE"""),"Active")</f>
        <v>Active</v>
      </c>
      <c r="E482" s="197">
        <f>IFERROR(__xludf.DUMMYFUNCTION("""COMPUTED_VALUE"""),45603.0)</f>
        <v>45603</v>
      </c>
      <c r="F482" s="198"/>
      <c r="G482" s="199">
        <f>IFERROR(__xludf.DUMMYFUNCTION("""COMPUTED_VALUE"""),11.266666666666666)</f>
        <v>11.26666667</v>
      </c>
      <c r="H482" s="197">
        <f>IFERROR(__xludf.DUMMYFUNCTION("""COMPUTED_VALUE"""),45603.0)</f>
        <v>45603</v>
      </c>
      <c r="I482" s="199">
        <f>IFERROR(__xludf.DUMMYFUNCTION("""COMPUTED_VALUE"""),0.0)</f>
        <v>0</v>
      </c>
      <c r="J482" s="200">
        <f>IFERROR(__xludf.DUMMYFUNCTION("""COMPUTED_VALUE"""),65.0)</f>
        <v>65</v>
      </c>
      <c r="K482" s="200">
        <f>IFERROR(__xludf.DUMMYFUNCTION("""COMPUTED_VALUE"""),3.0)</f>
        <v>3</v>
      </c>
      <c r="L482" s="201" t="str">
        <f>IFERROR(__xludf.DUMMYFUNCTION("""COMPUTED_VALUE"""),"Action-Adventure")</f>
        <v>Action-Adventure</v>
      </c>
      <c r="M482" s="201" t="str">
        <f>IFERROR(__xludf.DUMMYFUNCTION("""COMPUTED_VALUE"""),"Exclusive")</f>
        <v>Exclusive</v>
      </c>
    </row>
    <row r="483">
      <c r="A483" s="190" t="str">
        <f>IFERROR(__xludf.DUMMYFUNCTION("""COMPUTED_VALUE"""),"Madden NFL 24")</f>
        <v>Madden NFL 24</v>
      </c>
      <c r="B483" s="195" t="str">
        <f>IFERROR(__xludf.DUMMYFUNCTION("""COMPUTED_VALUE"""),"Xbox / PC")</f>
        <v>Xbox / PC</v>
      </c>
      <c r="C483" s="196" t="str">
        <f>IFERROR(__xludf.DUMMYFUNCTION("""COMPUTED_VALUE"""),"Yes")</f>
        <v>Yes</v>
      </c>
      <c r="D483" s="196" t="str">
        <f>IFERROR(__xludf.DUMMYFUNCTION("""COMPUTED_VALUE"""),"Active")</f>
        <v>Active</v>
      </c>
      <c r="E483" s="197">
        <f>IFERROR(__xludf.DUMMYFUNCTION("""COMPUTED_VALUE"""),45330.0)</f>
        <v>45330</v>
      </c>
      <c r="F483" s="198"/>
      <c r="G483" s="199">
        <f>IFERROR(__xludf.DUMMYFUNCTION("""COMPUTED_VALUE"""),20.233333333333334)</f>
        <v>20.23333333</v>
      </c>
      <c r="H483" s="197">
        <f>IFERROR(__xludf.DUMMYFUNCTION("""COMPUTED_VALUE"""),45156.0)</f>
        <v>45156</v>
      </c>
      <c r="I483" s="199">
        <f>IFERROR(__xludf.DUMMYFUNCTION("""COMPUTED_VALUE"""),0.4722222222222222)</f>
        <v>0.4722222222</v>
      </c>
      <c r="J483" s="200">
        <f>IFERROR(__xludf.DUMMYFUNCTION("""COMPUTED_VALUE"""),65.0)</f>
        <v>65</v>
      </c>
      <c r="K483" s="200">
        <f>IFERROR(__xludf.DUMMYFUNCTION("""COMPUTED_VALUE"""),14.0)</f>
        <v>14</v>
      </c>
      <c r="L483" s="201" t="str">
        <f>IFERROR(__xludf.DUMMYFUNCTION("""COMPUTED_VALUE"""),"Sports / Football")</f>
        <v>Sports / Football</v>
      </c>
      <c r="M483" s="201"/>
    </row>
    <row r="484">
      <c r="A484" s="190" t="str">
        <f>IFERROR(__xludf.DUMMYFUNCTION("""COMPUTED_VALUE"""),"Feeding Frenzy")</f>
        <v>Feeding Frenzy</v>
      </c>
      <c r="B484" s="195" t="str">
        <f>IFERROR(__xludf.DUMMYFUNCTION("""COMPUTED_VALUE"""),"Xbox")</f>
        <v>Xbox</v>
      </c>
      <c r="C484" s="196"/>
      <c r="D484" s="196" t="str">
        <f>IFERROR(__xludf.DUMMYFUNCTION("""COMPUTED_VALUE"""),"Active")</f>
        <v>Active</v>
      </c>
      <c r="E484" s="197">
        <f>IFERROR(__xludf.DUMMYFUNCTION("""COMPUTED_VALUE"""),44145.0)</f>
        <v>44145</v>
      </c>
      <c r="F484" s="198"/>
      <c r="G484" s="199">
        <f>IFERROR(__xludf.DUMMYFUNCTION("""COMPUTED_VALUE"""),59.166666666666664)</f>
        <v>59.16666667</v>
      </c>
      <c r="H484" s="197">
        <f>IFERROR(__xludf.DUMMYFUNCTION("""COMPUTED_VALUE"""),38791.0)</f>
        <v>38791</v>
      </c>
      <c r="I484" s="199">
        <f>IFERROR(__xludf.DUMMYFUNCTION("""COMPUTED_VALUE"""),14.652777777777779)</f>
        <v>14.65277778</v>
      </c>
      <c r="J484" s="200">
        <f>IFERROR(__xludf.DUMMYFUNCTION("""COMPUTED_VALUE"""),65.0)</f>
        <v>65</v>
      </c>
      <c r="K484" s="200">
        <f>IFERROR(__xludf.DUMMYFUNCTION("""COMPUTED_VALUE"""),2.0)</f>
        <v>2</v>
      </c>
      <c r="L484" s="201" t="str">
        <f>IFERROR(__xludf.DUMMYFUNCTION("""COMPUTED_VALUE"""),"Action")</f>
        <v>Action</v>
      </c>
      <c r="M484" s="201"/>
    </row>
    <row r="485">
      <c r="A485" s="190" t="str">
        <f>IFERROR(__xludf.DUMMYFUNCTION("""COMPUTED_VALUE"""),"Feeding Frenzy 2: Shipwreck Showdown")</f>
        <v>Feeding Frenzy 2: Shipwreck Showdown</v>
      </c>
      <c r="B485" s="195" t="str">
        <f>IFERROR(__xludf.DUMMYFUNCTION("""COMPUTED_VALUE"""),"Xbox")</f>
        <v>Xbox</v>
      </c>
      <c r="C485" s="196"/>
      <c r="D485" s="196" t="str">
        <f>IFERROR(__xludf.DUMMYFUNCTION("""COMPUTED_VALUE"""),"Active")</f>
        <v>Active</v>
      </c>
      <c r="E485" s="197">
        <f>IFERROR(__xludf.DUMMYFUNCTION("""COMPUTED_VALUE"""),44145.0)</f>
        <v>44145</v>
      </c>
      <c r="F485" s="198"/>
      <c r="G485" s="199">
        <f>IFERROR(__xludf.DUMMYFUNCTION("""COMPUTED_VALUE"""),59.166666666666664)</f>
        <v>59.16666667</v>
      </c>
      <c r="H485" s="197">
        <f>IFERROR(__xludf.DUMMYFUNCTION("""COMPUTED_VALUE"""),38754.0)</f>
        <v>38754</v>
      </c>
      <c r="I485" s="199">
        <f>IFERROR(__xludf.DUMMYFUNCTION("""COMPUTED_VALUE"""),14.761111111111111)</f>
        <v>14.76111111</v>
      </c>
      <c r="J485" s="200">
        <f>IFERROR(__xludf.DUMMYFUNCTION("""COMPUTED_VALUE"""),65.0)</f>
        <v>65</v>
      </c>
      <c r="K485" s="200">
        <f>IFERROR(__xludf.DUMMYFUNCTION("""COMPUTED_VALUE"""),2.5)</f>
        <v>2.5</v>
      </c>
      <c r="L485" s="201" t="str">
        <f>IFERROR(__xludf.DUMMYFUNCTION("""COMPUTED_VALUE"""),"Action")</f>
        <v>Action</v>
      </c>
      <c r="M485" s="201"/>
    </row>
    <row r="486">
      <c r="A486" s="190" t="str">
        <f>IFERROR(__xludf.DUMMYFUNCTION("""COMPUTED_VALUE"""),"Need for Speed: Deluxe Edition")</f>
        <v>Need for Speed: Deluxe Edition</v>
      </c>
      <c r="B486" s="195" t="str">
        <f>IFERROR(__xludf.DUMMYFUNCTION("""COMPUTED_VALUE"""),"Xbox / PC")</f>
        <v>Xbox / PC</v>
      </c>
      <c r="C486" s="196"/>
      <c r="D486" s="196" t="str">
        <f>IFERROR(__xludf.DUMMYFUNCTION("""COMPUTED_VALUE"""),"Active")</f>
        <v>Active</v>
      </c>
      <c r="E486" s="197">
        <f>IFERROR(__xludf.DUMMYFUNCTION("""COMPUTED_VALUE"""),44145.0)</f>
        <v>44145</v>
      </c>
      <c r="F486" s="198"/>
      <c r="G486" s="199">
        <f>IFERROR(__xludf.DUMMYFUNCTION("""COMPUTED_VALUE"""),59.166666666666664)</f>
        <v>59.16666667</v>
      </c>
      <c r="H486" s="197">
        <f>IFERROR(__xludf.DUMMYFUNCTION("""COMPUTED_VALUE"""),42311.0)</f>
        <v>42311</v>
      </c>
      <c r="I486" s="199">
        <f>IFERROR(__xludf.DUMMYFUNCTION("""COMPUTED_VALUE"""),5.019444444444445)</f>
        <v>5.019444444</v>
      </c>
      <c r="J486" s="200">
        <f>IFERROR(__xludf.DUMMYFUNCTION("""COMPUTED_VALUE"""),65.0)</f>
        <v>65</v>
      </c>
      <c r="K486" s="200">
        <f>IFERROR(__xludf.DUMMYFUNCTION("""COMPUTED_VALUE"""),15.5)</f>
        <v>15.5</v>
      </c>
      <c r="L486" s="201" t="str">
        <f>IFERROR(__xludf.DUMMYFUNCTION("""COMPUTED_VALUE"""),"Driving/Racing")</f>
        <v>Driving/Racing</v>
      </c>
      <c r="M486" s="201"/>
    </row>
    <row r="487">
      <c r="A487" s="190" t="str">
        <f>IFERROR(__xludf.DUMMYFUNCTION("""COMPUTED_VALUE"""),"Grounded")</f>
        <v>Grounded</v>
      </c>
      <c r="B487" s="195" t="str">
        <f>IFERROR(__xludf.DUMMYFUNCTION("""COMPUTED_VALUE"""),"Xbox / PC")</f>
        <v>Xbox / PC</v>
      </c>
      <c r="C487" s="196" t="str">
        <f>IFERROR(__xludf.DUMMYFUNCTION("""COMPUTED_VALUE"""),"M+KB")</f>
        <v>M+KB</v>
      </c>
      <c r="D487" s="196" t="str">
        <f>IFERROR(__xludf.DUMMYFUNCTION("""COMPUTED_VALUE"""),"Active")</f>
        <v>Active</v>
      </c>
      <c r="E487" s="197">
        <f>IFERROR(__xludf.DUMMYFUNCTION("""COMPUTED_VALUE"""),44040.0)</f>
        <v>44040</v>
      </c>
      <c r="F487" s="198"/>
      <c r="G487" s="199">
        <f>IFERROR(__xludf.DUMMYFUNCTION("""COMPUTED_VALUE"""),62.56666666666666)</f>
        <v>62.56666667</v>
      </c>
      <c r="H487" s="197">
        <f>IFERROR(__xludf.DUMMYFUNCTION("""COMPUTED_VALUE"""),44040.0)</f>
        <v>44040</v>
      </c>
      <c r="I487" s="199">
        <f>IFERROR(__xludf.DUMMYFUNCTION("""COMPUTED_VALUE"""),0.0)</f>
        <v>0</v>
      </c>
      <c r="J487" s="200">
        <f>IFERROR(__xludf.DUMMYFUNCTION("""COMPUTED_VALUE"""),65.0)</f>
        <v>65</v>
      </c>
      <c r="K487" s="200">
        <f>IFERROR(__xludf.DUMMYFUNCTION("""COMPUTED_VALUE"""),6.5)</f>
        <v>6.5</v>
      </c>
      <c r="L487" s="201" t="str">
        <f>IFERROR(__xludf.DUMMYFUNCTION("""COMPUTED_VALUE"""),"Action-Adventure")</f>
        <v>Action-Adventure</v>
      </c>
      <c r="M487" s="201" t="str">
        <f>IFERROR(__xludf.DUMMYFUNCTION("""COMPUTED_VALUE"""),"Optimized")</f>
        <v>Optimized</v>
      </c>
    </row>
    <row r="488">
      <c r="A488" s="203" t="str">
        <f>IFERROR(__xludf.DUMMYFUNCTION("""COMPUTED_VALUE"""),"Costume Quest 2")</f>
        <v>Costume Quest 2</v>
      </c>
      <c r="B488" s="204" t="str">
        <f>IFERROR(__xludf.DUMMYFUNCTION("""COMPUTED_VALUE"""),"Xbox")</f>
        <v>Xbox</v>
      </c>
      <c r="C488" s="205"/>
      <c r="D488" s="205" t="str">
        <f>IFERROR(__xludf.DUMMYFUNCTION("""COMPUTED_VALUE"""),"Active")</f>
        <v>Active</v>
      </c>
      <c r="E488" s="166">
        <f>IFERROR(__xludf.DUMMYFUNCTION("""COMPUTED_VALUE"""),43009.0)</f>
        <v>43009</v>
      </c>
      <c r="F488" s="206"/>
      <c r="G488" s="167">
        <f>IFERROR(__xludf.DUMMYFUNCTION("""COMPUTED_VALUE"""),96.46666666666667)</f>
        <v>96.46666667</v>
      </c>
      <c r="H488" s="166">
        <f>IFERROR(__xludf.DUMMYFUNCTION("""COMPUTED_VALUE"""),41919.0)</f>
        <v>41919</v>
      </c>
      <c r="I488" s="167">
        <f>IFERROR(__xludf.DUMMYFUNCTION("""COMPUTED_VALUE"""),2.9833333333333334)</f>
        <v>2.983333333</v>
      </c>
      <c r="J488" s="168">
        <f>IFERROR(__xludf.DUMMYFUNCTION("""COMPUTED_VALUE"""),65.0)</f>
        <v>65</v>
      </c>
      <c r="K488" s="168">
        <f>IFERROR(__xludf.DUMMYFUNCTION("""COMPUTED_VALUE"""),6.5)</f>
        <v>6.5</v>
      </c>
      <c r="L488" s="207" t="str">
        <f>IFERROR(__xludf.DUMMYFUNCTION("""COMPUTED_VALUE"""),"RPG")</f>
        <v>RPG</v>
      </c>
      <c r="M488" s="207"/>
    </row>
    <row r="489">
      <c r="A489" s="203" t="str">
        <f>IFERROR(__xludf.DUMMYFUNCTION("""COMPUTED_VALUE"""),"Payday 2: Crimewave Edition")</f>
        <v>Payday 2: Crimewave Edition</v>
      </c>
      <c r="B489" s="204" t="str">
        <f>IFERROR(__xludf.DUMMYFUNCTION("""COMPUTED_VALUE"""),"Xbox")</f>
        <v>Xbox</v>
      </c>
      <c r="C489" s="205"/>
      <c r="D489" s="205" t="str">
        <f>IFERROR(__xludf.DUMMYFUNCTION("""COMPUTED_VALUE"""),"Active")</f>
        <v>Active</v>
      </c>
      <c r="E489" s="166">
        <f>IFERROR(__xludf.DUMMYFUNCTION("""COMPUTED_VALUE"""),42887.0)</f>
        <v>42887</v>
      </c>
      <c r="F489" s="206"/>
      <c r="G489" s="167">
        <f>IFERROR(__xludf.DUMMYFUNCTION("""COMPUTED_VALUE"""),100.46666666666667)</f>
        <v>100.4666667</v>
      </c>
      <c r="H489" s="166">
        <f>IFERROR(__xludf.DUMMYFUNCTION("""COMPUTED_VALUE"""),41499.0)</f>
        <v>41499</v>
      </c>
      <c r="I489" s="167">
        <f>IFERROR(__xludf.DUMMYFUNCTION("""COMPUTED_VALUE"""),3.8)</f>
        <v>3.8</v>
      </c>
      <c r="J489" s="168">
        <f>IFERROR(__xludf.DUMMYFUNCTION("""COMPUTED_VALUE"""),65.0)</f>
        <v>65</v>
      </c>
      <c r="K489" s="168">
        <f>IFERROR(__xludf.DUMMYFUNCTION("""COMPUTED_VALUE"""),24.5)</f>
        <v>24.5</v>
      </c>
      <c r="L489" s="207" t="str">
        <f>IFERROR(__xludf.DUMMYFUNCTION("""COMPUTED_VALUE"""),"First-Person Shooter")</f>
        <v>First-Person Shooter</v>
      </c>
      <c r="M489" s="207"/>
    </row>
    <row r="490">
      <c r="A490" s="203" t="str">
        <f>IFERROR(__xludf.DUMMYFUNCTION("""COMPUTED_VALUE"""),"The Crew 2")</f>
        <v>The Crew 2</v>
      </c>
      <c r="B490" s="204" t="str">
        <f>IFERROR(__xludf.DUMMYFUNCTION("""COMPUTED_VALUE"""),"Xbox / PC")</f>
        <v>Xbox / PC</v>
      </c>
      <c r="C490" s="205" t="str">
        <f>IFERROR(__xludf.DUMMYFUNCTION("""COMPUTED_VALUE"""),"Yes")</f>
        <v>Yes</v>
      </c>
      <c r="D490" s="205" t="str">
        <f>IFERROR(__xludf.DUMMYFUNCTION("""COMPUTED_VALUE"""),"Active")</f>
        <v>Active</v>
      </c>
      <c r="E490" s="166">
        <f>IFERROR(__xludf.DUMMYFUNCTION("""COMPUTED_VALUE"""),45931.0)</f>
        <v>45931</v>
      </c>
      <c r="F490" s="206"/>
      <c r="G490" s="167">
        <f>IFERROR(__xludf.DUMMYFUNCTION("""COMPUTED_VALUE"""),0.4666666666666667)</f>
        <v>0.4666666667</v>
      </c>
      <c r="H490" s="166">
        <f>IFERROR(__xludf.DUMMYFUNCTION("""COMPUTED_VALUE"""),43277.0)</f>
        <v>43277</v>
      </c>
      <c r="I490" s="167">
        <f>IFERROR(__xludf.DUMMYFUNCTION("""COMPUTED_VALUE"""),7.263888888888889)</f>
        <v>7.263888889</v>
      </c>
      <c r="J490" s="168">
        <f>IFERROR(__xludf.DUMMYFUNCTION("""COMPUTED_VALUE"""),64.0)</f>
        <v>64</v>
      </c>
      <c r="K490" s="168">
        <f>IFERROR(__xludf.DUMMYFUNCTION("""COMPUTED_VALUE"""),21.0)</f>
        <v>21</v>
      </c>
      <c r="L490" s="207" t="str">
        <f>IFERROR(__xludf.DUMMYFUNCTION("""COMPUTED_VALUE"""),"Racing")</f>
        <v>Racing</v>
      </c>
      <c r="M490" s="207"/>
    </row>
    <row r="491">
      <c r="A491" s="203" t="str">
        <f>IFERROR(__xludf.DUMMYFUNCTION("""COMPUTED_VALUE"""),"FBC: Firebreak")</f>
        <v>FBC: Firebreak</v>
      </c>
      <c r="B491" s="204" t="str">
        <f>IFERROR(__xludf.DUMMYFUNCTION("""COMPUTED_VALUE"""),"Xbox / PC")</f>
        <v>Xbox / PC</v>
      </c>
      <c r="C491" s="205" t="str">
        <f>IFERROR(__xludf.DUMMYFUNCTION("""COMPUTED_VALUE"""),"Yes")</f>
        <v>Yes</v>
      </c>
      <c r="D491" s="205" t="str">
        <f>IFERROR(__xludf.DUMMYFUNCTION("""COMPUTED_VALUE"""),"Active")</f>
        <v>Active</v>
      </c>
      <c r="E491" s="166">
        <f>IFERROR(__xludf.DUMMYFUNCTION("""COMPUTED_VALUE"""),45825.0)</f>
        <v>45825</v>
      </c>
      <c r="F491" s="206"/>
      <c r="G491" s="167">
        <f>IFERROR(__xludf.DUMMYFUNCTION("""COMPUTED_VALUE"""),3.9333333333333336)</f>
        <v>3.933333333</v>
      </c>
      <c r="H491" s="166">
        <f>IFERROR(__xludf.DUMMYFUNCTION("""COMPUTED_VALUE"""),45825.0)</f>
        <v>45825</v>
      </c>
      <c r="I491" s="167">
        <f>IFERROR(__xludf.DUMMYFUNCTION("""COMPUTED_VALUE"""),0.0)</f>
        <v>0</v>
      </c>
      <c r="J491" s="168">
        <f>IFERROR(__xludf.DUMMYFUNCTION("""COMPUTED_VALUE"""),64.0)</f>
        <v>64</v>
      </c>
      <c r="K491" s="168">
        <f>IFERROR(__xludf.DUMMYFUNCTION("""COMPUTED_VALUE"""),7.0)</f>
        <v>7</v>
      </c>
      <c r="L491" s="207" t="str">
        <f>IFERROR(__xludf.DUMMYFUNCTION("""COMPUTED_VALUE"""),"Shooter")</f>
        <v>Shooter</v>
      </c>
      <c r="M491" s="207" t="str">
        <f>IFERROR(__xludf.DUMMYFUNCTION("""COMPUTED_VALUE"""),"Exclusive")</f>
        <v>Exclusive</v>
      </c>
    </row>
    <row r="492">
      <c r="A492" s="203" t="str">
        <f>IFERROR(__xludf.DUMMYFUNCTION("""COMPUTED_VALUE"""),"Atlas Fallen: Reign of Sand")</f>
        <v>Atlas Fallen: Reign of Sand</v>
      </c>
      <c r="B492" s="204" t="str">
        <f>IFERROR(__xludf.DUMMYFUNCTION("""COMPUTED_VALUE"""),"Xbox / PC")</f>
        <v>Xbox / PC</v>
      </c>
      <c r="C492" s="205" t="str">
        <f>IFERROR(__xludf.DUMMYFUNCTION("""COMPUTED_VALUE"""),"Yes")</f>
        <v>Yes</v>
      </c>
      <c r="D492" s="205" t="str">
        <f>IFERROR(__xludf.DUMMYFUNCTION("""COMPUTED_VALUE"""),"Active")</f>
        <v>Active</v>
      </c>
      <c r="E492" s="166">
        <f>IFERROR(__xludf.DUMMYFUNCTION("""COMPUTED_VALUE"""),45526.0)</f>
        <v>45526</v>
      </c>
      <c r="F492" s="206"/>
      <c r="G492" s="167">
        <f>IFERROR(__xludf.DUMMYFUNCTION("""COMPUTED_VALUE"""),13.766666666666666)</f>
        <v>13.76666667</v>
      </c>
      <c r="H492" s="166">
        <f>IFERROR(__xludf.DUMMYFUNCTION("""COMPUTED_VALUE"""),45148.0)</f>
        <v>45148</v>
      </c>
      <c r="I492" s="167">
        <f>IFERROR(__xludf.DUMMYFUNCTION("""COMPUTED_VALUE"""),1.0333333333333334)</f>
        <v>1.033333333</v>
      </c>
      <c r="J492" s="168">
        <f>IFERROR(__xludf.DUMMYFUNCTION("""COMPUTED_VALUE"""),64.0)</f>
        <v>64</v>
      </c>
      <c r="K492" s="168">
        <f>IFERROR(__xludf.DUMMYFUNCTION("""COMPUTED_VALUE"""),11.0)</f>
        <v>11</v>
      </c>
      <c r="L492" s="207" t="str">
        <f>IFERROR(__xludf.DUMMYFUNCTION("""COMPUTED_VALUE"""),"RPG")</f>
        <v>RPG</v>
      </c>
      <c r="M492" s="207" t="str">
        <f>IFERROR(__xludf.DUMMYFUNCTION("""COMPUTED_VALUE"""),"Exclusive")</f>
        <v>Exclusive</v>
      </c>
    </row>
    <row r="493">
      <c r="A493" s="203" t="str">
        <f>IFERROR(__xludf.DUMMYFUNCTION("""COMPUTED_VALUE"""),"We Happy Few")</f>
        <v>We Happy Few</v>
      </c>
      <c r="B493" s="204" t="str">
        <f>IFERROR(__xludf.DUMMYFUNCTION("""COMPUTED_VALUE"""),"Xbox / PC")</f>
        <v>Xbox / PC</v>
      </c>
      <c r="C493" s="205" t="str">
        <f>IFERROR(__xludf.DUMMYFUNCTION("""COMPUTED_VALUE"""),"Yes")</f>
        <v>Yes</v>
      </c>
      <c r="D493" s="205" t="str">
        <f>IFERROR(__xludf.DUMMYFUNCTION("""COMPUTED_VALUE"""),"Active")</f>
        <v>Active</v>
      </c>
      <c r="E493" s="166">
        <f>IFERROR(__xludf.DUMMYFUNCTION("""COMPUTED_VALUE"""),45302.0)</f>
        <v>45302</v>
      </c>
      <c r="F493" s="206"/>
      <c r="G493" s="167">
        <f>IFERROR(__xludf.DUMMYFUNCTION("""COMPUTED_VALUE"""),21.133333333333333)</f>
        <v>21.13333333</v>
      </c>
      <c r="H493" s="166">
        <f>IFERROR(__xludf.DUMMYFUNCTION("""COMPUTED_VALUE"""),43322.0)</f>
        <v>43322</v>
      </c>
      <c r="I493" s="167">
        <f>IFERROR(__xludf.DUMMYFUNCTION("""COMPUTED_VALUE"""),5.419444444444444)</f>
        <v>5.419444444</v>
      </c>
      <c r="J493" s="168">
        <f>IFERROR(__xludf.DUMMYFUNCTION("""COMPUTED_VALUE"""),64.0)</f>
        <v>64</v>
      </c>
      <c r="K493" s="168">
        <f>IFERROR(__xludf.DUMMYFUNCTION("""COMPUTED_VALUE"""),21.0)</f>
        <v>21</v>
      </c>
      <c r="L493" s="207" t="str">
        <f>IFERROR(__xludf.DUMMYFUNCTION("""COMPUTED_VALUE"""),"Adventure / First-Person Shooter")</f>
        <v>Adventure / First-Person Shooter</v>
      </c>
      <c r="M493" s="207" t="str">
        <f>IFERROR(__xludf.DUMMYFUNCTION("""COMPUTED_VALUE"""),"Optimized")</f>
        <v>Optimized</v>
      </c>
    </row>
    <row r="494">
      <c r="A494" s="203" t="str">
        <f>IFERROR(__xludf.DUMMYFUNCTION("""COMPUTED_VALUE"""),"Cooking Simulator")</f>
        <v>Cooking Simulator</v>
      </c>
      <c r="B494" s="204" t="str">
        <f>IFERROR(__xludf.DUMMYFUNCTION("""COMPUTED_VALUE"""),"Xbox / PC")</f>
        <v>Xbox / PC</v>
      </c>
      <c r="C494" s="205" t="str">
        <f>IFERROR(__xludf.DUMMYFUNCTION("""COMPUTED_VALUE"""),"Yes")</f>
        <v>Yes</v>
      </c>
      <c r="D494" s="205" t="str">
        <f>IFERROR(__xludf.DUMMYFUNCTION("""COMPUTED_VALUE"""),"Active")</f>
        <v>Active</v>
      </c>
      <c r="E494" s="166">
        <f>IFERROR(__xludf.DUMMYFUNCTION("""COMPUTED_VALUE"""),44784.0)</f>
        <v>44784</v>
      </c>
      <c r="F494" s="206"/>
      <c r="G494" s="167">
        <f>IFERROR(__xludf.DUMMYFUNCTION("""COMPUTED_VALUE"""),38.13333333333333)</f>
        <v>38.13333333</v>
      </c>
      <c r="H494" s="166">
        <f>IFERROR(__xludf.DUMMYFUNCTION("""COMPUTED_VALUE"""),43622.0)</f>
        <v>43622</v>
      </c>
      <c r="I494" s="167">
        <f>IFERROR(__xludf.DUMMYFUNCTION("""COMPUTED_VALUE"""),3.1805555555555554)</f>
        <v>3.180555556</v>
      </c>
      <c r="J494" s="168">
        <f>IFERROR(__xludf.DUMMYFUNCTION("""COMPUTED_VALUE"""),64.0)</f>
        <v>64</v>
      </c>
      <c r="K494" s="168">
        <f>IFERROR(__xludf.DUMMYFUNCTION("""COMPUTED_VALUE"""),8.5)</f>
        <v>8.5</v>
      </c>
      <c r="L494" s="207" t="str">
        <f>IFERROR(__xludf.DUMMYFUNCTION("""COMPUTED_VALUE"""),"Simulation")</f>
        <v>Simulation</v>
      </c>
      <c r="M494" s="207"/>
    </row>
    <row r="495">
      <c r="A495" s="203" t="str">
        <f>IFERROR(__xludf.DUMMYFUNCTION("""COMPUTED_VALUE"""),"The Walking Dead: Michonne")</f>
        <v>The Walking Dead: Michonne</v>
      </c>
      <c r="B495" s="204" t="str">
        <f>IFERROR(__xludf.DUMMYFUNCTION("""COMPUTED_VALUE"""),"Xbox / PC")</f>
        <v>Xbox / PC</v>
      </c>
      <c r="C495" s="205" t="str">
        <f>IFERROR(__xludf.DUMMYFUNCTION("""COMPUTED_VALUE"""),"Touch Controls")</f>
        <v>Touch Controls</v>
      </c>
      <c r="D495" s="205" t="str">
        <f>IFERROR(__xludf.DUMMYFUNCTION("""COMPUTED_VALUE"""),"Active")</f>
        <v>Active</v>
      </c>
      <c r="E495" s="166">
        <f>IFERROR(__xludf.DUMMYFUNCTION("""COMPUTED_VALUE"""),43552.0)</f>
        <v>43552</v>
      </c>
      <c r="F495" s="206"/>
      <c r="G495" s="167">
        <f>IFERROR(__xludf.DUMMYFUNCTION("""COMPUTED_VALUE"""),78.56666666666666)</f>
        <v>78.56666667</v>
      </c>
      <c r="H495" s="166">
        <f>IFERROR(__xludf.DUMMYFUNCTION("""COMPUTED_VALUE"""),42423.0)</f>
        <v>42423</v>
      </c>
      <c r="I495" s="167">
        <f>IFERROR(__xludf.DUMMYFUNCTION("""COMPUTED_VALUE"""),3.0972222222222223)</f>
        <v>3.097222222</v>
      </c>
      <c r="J495" s="168">
        <f>IFERROR(__xludf.DUMMYFUNCTION("""COMPUTED_VALUE"""),64.0)</f>
        <v>64</v>
      </c>
      <c r="K495" s="168">
        <f>IFERROR(__xludf.DUMMYFUNCTION("""COMPUTED_VALUE"""),4.0)</f>
        <v>4</v>
      </c>
      <c r="L495" s="207" t="str">
        <f>IFERROR(__xludf.DUMMYFUNCTION("""COMPUTED_VALUE"""),"Adventure")</f>
        <v>Adventure</v>
      </c>
      <c r="M495" s="207"/>
    </row>
    <row r="496">
      <c r="A496" s="203" t="str">
        <f>IFERROR(__xludf.DUMMYFUNCTION("""COMPUTED_VALUE"""),"Super Lucky's Tale")</f>
        <v>Super Lucky's Tale</v>
      </c>
      <c r="B496" s="204" t="str">
        <f>IFERROR(__xludf.DUMMYFUNCTION("""COMPUTED_VALUE"""),"Xbox / PC")</f>
        <v>Xbox / PC</v>
      </c>
      <c r="C496" s="205"/>
      <c r="D496" s="205" t="str">
        <f>IFERROR(__xludf.DUMMYFUNCTION("""COMPUTED_VALUE"""),"Active")</f>
        <v>Active</v>
      </c>
      <c r="E496" s="166">
        <f>IFERROR(__xludf.DUMMYFUNCTION("""COMPUTED_VALUE"""),43160.0)</f>
        <v>43160</v>
      </c>
      <c r="F496" s="206"/>
      <c r="G496" s="167">
        <f>IFERROR(__xludf.DUMMYFUNCTION("""COMPUTED_VALUE"""),91.46666666666667)</f>
        <v>91.46666667</v>
      </c>
      <c r="H496" s="166">
        <f>IFERROR(__xludf.DUMMYFUNCTION("""COMPUTED_VALUE"""),43046.0)</f>
        <v>43046</v>
      </c>
      <c r="I496" s="167">
        <f>IFERROR(__xludf.DUMMYFUNCTION("""COMPUTED_VALUE"""),0.31666666666666665)</f>
        <v>0.3166666667</v>
      </c>
      <c r="J496" s="168">
        <f>IFERROR(__xludf.DUMMYFUNCTION("""COMPUTED_VALUE"""),64.0)</f>
        <v>64</v>
      </c>
      <c r="K496" s="168">
        <f>IFERROR(__xludf.DUMMYFUNCTION("""COMPUTED_VALUE"""),6.0)</f>
        <v>6</v>
      </c>
      <c r="L496" s="207" t="str">
        <f>IFERROR(__xludf.DUMMYFUNCTION("""COMPUTED_VALUE"""),"Platformer")</f>
        <v>Platformer</v>
      </c>
      <c r="M496" s="207" t="str">
        <f>IFERROR(__xludf.DUMMYFUNCTION("""COMPUTED_VALUE"""),"FPS Boost")</f>
        <v>FPS Boost</v>
      </c>
    </row>
    <row r="497">
      <c r="A497" s="203" t="str">
        <f>IFERROR(__xludf.DUMMYFUNCTION("""COMPUTED_VALUE"""),"Contrast")</f>
        <v>Contrast</v>
      </c>
      <c r="B497" s="204" t="str">
        <f>IFERROR(__xludf.DUMMYFUNCTION("""COMPUTED_VALUE"""),"Xbox")</f>
        <v>Xbox</v>
      </c>
      <c r="C497" s="205" t="str">
        <f>IFERROR(__xludf.DUMMYFUNCTION("""COMPUTED_VALUE"""),"Touch Controls")</f>
        <v>Touch Controls</v>
      </c>
      <c r="D497" s="205" t="str">
        <f>IFERROR(__xludf.DUMMYFUNCTION("""COMPUTED_VALUE"""),"Active")</f>
        <v>Active</v>
      </c>
      <c r="E497" s="166">
        <f>IFERROR(__xludf.DUMMYFUNCTION("""COMPUTED_VALUE"""),44595.0)</f>
        <v>44595</v>
      </c>
      <c r="F497" s="206"/>
      <c r="G497" s="167">
        <f>IFERROR(__xludf.DUMMYFUNCTION("""COMPUTED_VALUE"""),44.400000000000006)</f>
        <v>44.4</v>
      </c>
      <c r="H497" s="166">
        <f>IFERROR(__xludf.DUMMYFUNCTION("""COMPUTED_VALUE"""),41593.0)</f>
        <v>41593</v>
      </c>
      <c r="I497" s="167">
        <f>IFERROR(__xludf.DUMMYFUNCTION("""COMPUTED_VALUE"""),8.216666666666667)</f>
        <v>8.216666667</v>
      </c>
      <c r="J497" s="168">
        <f>IFERROR(__xludf.DUMMYFUNCTION("""COMPUTED_VALUE"""),63.5)</f>
        <v>63.5</v>
      </c>
      <c r="K497" s="168">
        <f>IFERROR(__xludf.DUMMYFUNCTION("""COMPUTED_VALUE"""),3.5)</f>
        <v>3.5</v>
      </c>
      <c r="L497" s="207" t="str">
        <f>IFERROR(__xludf.DUMMYFUNCTION("""COMPUTED_VALUE"""),"Puzzle / Platformer / Action-Adventure")</f>
        <v>Puzzle / Platformer / Action-Adventure</v>
      </c>
      <c r="M497" s="207"/>
    </row>
    <row r="498">
      <c r="A498" s="203" t="str">
        <f>IFERROR(__xludf.DUMMYFUNCTION("""COMPUTED_VALUE"""),"Assassin's Creed Chronicles: India")</f>
        <v>Assassin's Creed Chronicles: India</v>
      </c>
      <c r="B498" s="204" t="str">
        <f>IFERROR(__xludf.DUMMYFUNCTION("""COMPUTED_VALUE"""),"Xbox / PC")</f>
        <v>Xbox / PC</v>
      </c>
      <c r="C498" s="205" t="str">
        <f>IFERROR(__xludf.DUMMYFUNCTION("""COMPUTED_VALUE"""),"Yes")</f>
        <v>Yes</v>
      </c>
      <c r="D498" s="205" t="str">
        <f>IFERROR(__xludf.DUMMYFUNCTION("""COMPUTED_VALUE"""),"Active")</f>
        <v>Active</v>
      </c>
      <c r="E498" s="166">
        <f>IFERROR(__xludf.DUMMYFUNCTION("""COMPUTED_VALUE"""),45931.0)</f>
        <v>45931</v>
      </c>
      <c r="F498" s="206"/>
      <c r="G498" s="167">
        <f>IFERROR(__xludf.DUMMYFUNCTION("""COMPUTED_VALUE"""),0.4666666666666667)</f>
        <v>0.4666666667</v>
      </c>
      <c r="H498" s="166">
        <f>IFERROR(__xludf.DUMMYFUNCTION("""COMPUTED_VALUE"""),42382.0)</f>
        <v>42382</v>
      </c>
      <c r="I498" s="167">
        <f>IFERROR(__xludf.DUMMYFUNCTION("""COMPUTED_VALUE"""),9.716666666666667)</f>
        <v>9.716666667</v>
      </c>
      <c r="J498" s="168">
        <f>IFERROR(__xludf.DUMMYFUNCTION("""COMPUTED_VALUE"""),63.0)</f>
        <v>63</v>
      </c>
      <c r="K498" s="168">
        <f>IFERROR(__xludf.DUMMYFUNCTION("""COMPUTED_VALUE"""),6.0)</f>
        <v>6</v>
      </c>
      <c r="L498" s="207" t="str">
        <f>IFERROR(__xludf.DUMMYFUNCTION("""COMPUTED_VALUE"""),"Action-Adventure")</f>
        <v>Action-Adventure</v>
      </c>
      <c r="M498" s="207"/>
    </row>
    <row r="499">
      <c r="A499" s="203" t="str">
        <f>IFERROR(__xludf.DUMMYFUNCTION("""COMPUTED_VALUE"""),"Call of the Wild: The Angler")</f>
        <v>Call of the Wild: The Angler</v>
      </c>
      <c r="B499" s="204" t="str">
        <f>IFERROR(__xludf.DUMMYFUNCTION("""COMPUTED_VALUE"""),"Xbox / PC")</f>
        <v>Xbox / PC</v>
      </c>
      <c r="C499" s="205"/>
      <c r="D499" s="205" t="str">
        <f>IFERROR(__xludf.DUMMYFUNCTION("""COMPUTED_VALUE"""),"Active")</f>
        <v>Active</v>
      </c>
      <c r="E499" s="166">
        <f>IFERROR(__xludf.DUMMYFUNCTION("""COMPUTED_VALUE"""),45167.0)</f>
        <v>45167</v>
      </c>
      <c r="F499" s="206"/>
      <c r="G499" s="167">
        <f>IFERROR(__xludf.DUMMYFUNCTION("""COMPUTED_VALUE"""),25.53333333333333)</f>
        <v>25.53333333</v>
      </c>
      <c r="H499" s="166">
        <f>IFERROR(__xludf.DUMMYFUNCTION("""COMPUTED_VALUE"""),44804.0)</f>
        <v>44804</v>
      </c>
      <c r="I499" s="167">
        <f>IFERROR(__xludf.DUMMYFUNCTION("""COMPUTED_VALUE"""),0.9972222222222222)</f>
        <v>0.9972222222</v>
      </c>
      <c r="J499" s="168">
        <f>IFERROR(__xludf.DUMMYFUNCTION("""COMPUTED_VALUE"""),63.0)</f>
        <v>63</v>
      </c>
      <c r="K499" s="168"/>
      <c r="L499" s="207" t="str">
        <f>IFERROR(__xludf.DUMMYFUNCTION("""COMPUTED_VALUE"""),"Sports / Fishing")</f>
        <v>Sports / Fishing</v>
      </c>
      <c r="M499" s="207"/>
    </row>
    <row r="500">
      <c r="A500" s="203" t="str">
        <f>IFERROR(__xludf.DUMMYFUNCTION("""COMPUTED_VALUE"""),"Assassin's Creed Chronicles: Russia")</f>
        <v>Assassin's Creed Chronicles: Russia</v>
      </c>
      <c r="B500" s="204" t="str">
        <f>IFERROR(__xludf.DUMMYFUNCTION("""COMPUTED_VALUE"""),"Xbox / PC")</f>
        <v>Xbox / PC</v>
      </c>
      <c r="C500" s="205" t="str">
        <f>IFERROR(__xludf.DUMMYFUNCTION("""COMPUTED_VALUE"""),"Yes")</f>
        <v>Yes</v>
      </c>
      <c r="D500" s="205" t="str">
        <f>IFERROR(__xludf.DUMMYFUNCTION("""COMPUTED_VALUE"""),"Active")</f>
        <v>Active</v>
      </c>
      <c r="E500" s="166">
        <f>IFERROR(__xludf.DUMMYFUNCTION("""COMPUTED_VALUE"""),45931.0)</f>
        <v>45931</v>
      </c>
      <c r="F500" s="206"/>
      <c r="G500" s="167">
        <f>IFERROR(__xludf.DUMMYFUNCTION("""COMPUTED_VALUE"""),0.4666666666666667)</f>
        <v>0.4666666667</v>
      </c>
      <c r="H500" s="166">
        <f>IFERROR(__xludf.DUMMYFUNCTION("""COMPUTED_VALUE"""),42409.0)</f>
        <v>42409</v>
      </c>
      <c r="I500" s="167">
        <f>IFERROR(__xludf.DUMMYFUNCTION("""COMPUTED_VALUE"""),9.644444444444444)</f>
        <v>9.644444444</v>
      </c>
      <c r="J500" s="168">
        <f>IFERROR(__xludf.DUMMYFUNCTION("""COMPUTED_VALUE"""),62.0)</f>
        <v>62</v>
      </c>
      <c r="K500" s="168">
        <f>IFERROR(__xludf.DUMMYFUNCTION("""COMPUTED_VALUE"""),7.0)</f>
        <v>7</v>
      </c>
      <c r="L500" s="207" t="str">
        <f>IFERROR(__xludf.DUMMYFUNCTION("""COMPUTED_VALUE"""),"Action-Adventure")</f>
        <v>Action-Adventure</v>
      </c>
      <c r="M500" s="207"/>
    </row>
    <row r="501">
      <c r="A501" s="203" t="str">
        <f>IFERROR(__xludf.DUMMYFUNCTION("""COMPUTED_VALUE"""),"Mythwrecked: Ambrosia Island")</f>
        <v>Mythwrecked: Ambrosia Island</v>
      </c>
      <c r="B501" s="204" t="str">
        <f>IFERROR(__xludf.DUMMYFUNCTION("""COMPUTED_VALUE"""),"Xbox / PC")</f>
        <v>Xbox / PC</v>
      </c>
      <c r="C501" s="205" t="str">
        <f>IFERROR(__xludf.DUMMYFUNCTION("""COMPUTED_VALUE"""),"Yes")</f>
        <v>Yes</v>
      </c>
      <c r="D501" s="205" t="str">
        <f>IFERROR(__xludf.DUMMYFUNCTION("""COMPUTED_VALUE"""),"Active")</f>
        <v>Active</v>
      </c>
      <c r="E501" s="166">
        <f>IFERROR(__xludf.DUMMYFUNCTION("""COMPUTED_VALUE"""),45736.0)</f>
        <v>45736</v>
      </c>
      <c r="F501" s="206"/>
      <c r="G501" s="167">
        <f>IFERROR(__xludf.DUMMYFUNCTION("""COMPUTED_VALUE"""),6.833333333333333)</f>
        <v>6.833333333</v>
      </c>
      <c r="H501" s="166">
        <f>IFERROR(__xludf.DUMMYFUNCTION("""COMPUTED_VALUE"""),45631.0)</f>
        <v>45631</v>
      </c>
      <c r="I501" s="167">
        <f>IFERROR(__xludf.DUMMYFUNCTION("""COMPUTED_VALUE"""),0.2916666666666667)</f>
        <v>0.2916666667</v>
      </c>
      <c r="J501" s="168">
        <f>IFERROR(__xludf.DUMMYFUNCTION("""COMPUTED_VALUE"""),62.0)</f>
        <v>62</v>
      </c>
      <c r="K501" s="168">
        <f>IFERROR(__xludf.DUMMYFUNCTION("""COMPUTED_VALUE"""),9.0)</f>
        <v>9</v>
      </c>
      <c r="L501" s="207" t="str">
        <f>IFERROR(__xludf.DUMMYFUNCTION("""COMPUTED_VALUE"""),"Action-Adventure")</f>
        <v>Action-Adventure</v>
      </c>
      <c r="M501" s="207"/>
    </row>
    <row r="502">
      <c r="A502" s="203" t="str">
        <f>IFERROR(__xludf.DUMMYFUNCTION("""COMPUTED_VALUE"""),"Risk: Urban Assault")</f>
        <v>Risk: Urban Assault</v>
      </c>
      <c r="B502" s="204" t="str">
        <f>IFERROR(__xludf.DUMMYFUNCTION("""COMPUTED_VALUE"""),"Xbox")</f>
        <v>Xbox</v>
      </c>
      <c r="C502" s="205" t="str">
        <f>IFERROR(__xludf.DUMMYFUNCTION("""COMPUTED_VALUE"""),"Yes")</f>
        <v>Yes</v>
      </c>
      <c r="D502" s="205" t="str">
        <f>IFERROR(__xludf.DUMMYFUNCTION("""COMPUTED_VALUE"""),"Active")</f>
        <v>Active</v>
      </c>
      <c r="E502" s="166">
        <f>IFERROR(__xludf.DUMMYFUNCTION("""COMPUTED_VALUE"""),45931.0)</f>
        <v>45931</v>
      </c>
      <c r="F502" s="206"/>
      <c r="G502" s="167">
        <f>IFERROR(__xludf.DUMMYFUNCTION("""COMPUTED_VALUE"""),0.4666666666666667)</f>
        <v>0.4666666667</v>
      </c>
      <c r="H502" s="166">
        <f>IFERROR(__xludf.DUMMYFUNCTION("""COMPUTED_VALUE"""),42584.0)</f>
        <v>42584</v>
      </c>
      <c r="I502" s="167">
        <f>IFERROR(__xludf.DUMMYFUNCTION("""COMPUTED_VALUE"""),9.16388888888889)</f>
        <v>9.163888889</v>
      </c>
      <c r="J502" s="168">
        <f>IFERROR(__xludf.DUMMYFUNCTION("""COMPUTED_VALUE"""),61.0)</f>
        <v>61</v>
      </c>
      <c r="K502" s="168">
        <f>IFERROR(__xludf.DUMMYFUNCTION("""COMPUTED_VALUE"""),4.0)</f>
        <v>4</v>
      </c>
      <c r="L502" s="207" t="str">
        <f>IFERROR(__xludf.DUMMYFUNCTION("""COMPUTED_VALUE"""),"Board")</f>
        <v>Board</v>
      </c>
      <c r="M502" s="207"/>
    </row>
    <row r="503">
      <c r="A503" s="203" t="str">
        <f>IFERROR(__xludf.DUMMYFUNCTION("""COMPUTED_VALUE"""),"Need for Speed: Payback - Deluxe Edition")</f>
        <v>Need for Speed: Payback - Deluxe Edition</v>
      </c>
      <c r="B503" s="204" t="str">
        <f>IFERROR(__xludf.DUMMYFUNCTION("""COMPUTED_VALUE"""),"Xbox / PC")</f>
        <v>Xbox / PC</v>
      </c>
      <c r="C503" s="205"/>
      <c r="D503" s="205" t="str">
        <f>IFERROR(__xludf.DUMMYFUNCTION("""COMPUTED_VALUE"""),"Active")</f>
        <v>Active</v>
      </c>
      <c r="E503" s="166">
        <f>IFERROR(__xludf.DUMMYFUNCTION("""COMPUTED_VALUE"""),44145.0)</f>
        <v>44145</v>
      </c>
      <c r="F503" s="206"/>
      <c r="G503" s="167">
        <f>IFERROR(__xludf.DUMMYFUNCTION("""COMPUTED_VALUE"""),59.166666666666664)</f>
        <v>59.16666667</v>
      </c>
      <c r="H503" s="166">
        <f>IFERROR(__xludf.DUMMYFUNCTION("""COMPUTED_VALUE"""),43049.0)</f>
        <v>43049</v>
      </c>
      <c r="I503" s="167">
        <f>IFERROR(__xludf.DUMMYFUNCTION("""COMPUTED_VALUE"""),3.0)</f>
        <v>3</v>
      </c>
      <c r="J503" s="168">
        <f>IFERROR(__xludf.DUMMYFUNCTION("""COMPUTED_VALUE"""),61.0)</f>
        <v>61</v>
      </c>
      <c r="K503" s="168">
        <f>IFERROR(__xludf.DUMMYFUNCTION("""COMPUTED_VALUE"""),18.5)</f>
        <v>18.5</v>
      </c>
      <c r="L503" s="207" t="str">
        <f>IFERROR(__xludf.DUMMYFUNCTION("""COMPUTED_VALUE"""),"Driving/Racing")</f>
        <v>Driving/Racing</v>
      </c>
      <c r="M503" s="207"/>
    </row>
    <row r="504">
      <c r="A504" s="203" t="str">
        <f>IFERROR(__xludf.DUMMYFUNCTION("""COMPUTED_VALUE"""),"ReCore: Definitive Edition")</f>
        <v>ReCore: Definitive Edition</v>
      </c>
      <c r="B504" s="204" t="str">
        <f>IFERROR(__xludf.DUMMYFUNCTION("""COMPUTED_VALUE"""),"Xbox / PC")</f>
        <v>Xbox / PC</v>
      </c>
      <c r="C504" s="205" t="str">
        <f>IFERROR(__xludf.DUMMYFUNCTION("""COMPUTED_VALUE"""),"Yes")</f>
        <v>Yes</v>
      </c>
      <c r="D504" s="205" t="str">
        <f>IFERROR(__xludf.DUMMYFUNCTION("""COMPUTED_VALUE"""),"Active")</f>
        <v>Active</v>
      </c>
      <c r="E504" s="166">
        <f>IFERROR(__xludf.DUMMYFUNCTION("""COMPUTED_VALUE"""),42976.0)</f>
        <v>42976</v>
      </c>
      <c r="F504" s="206"/>
      <c r="G504" s="167">
        <f>IFERROR(__xludf.DUMMYFUNCTION("""COMPUTED_VALUE"""),97.53333333333333)</f>
        <v>97.53333333</v>
      </c>
      <c r="H504" s="166">
        <f>IFERROR(__xludf.DUMMYFUNCTION("""COMPUTED_VALUE"""),42626.0)</f>
        <v>42626</v>
      </c>
      <c r="I504" s="167">
        <f>IFERROR(__xludf.DUMMYFUNCTION("""COMPUTED_VALUE"""),0.9611111111111111)</f>
        <v>0.9611111111</v>
      </c>
      <c r="J504" s="168">
        <f>IFERROR(__xludf.DUMMYFUNCTION("""COMPUTED_VALUE"""),61.0)</f>
        <v>61</v>
      </c>
      <c r="K504" s="168">
        <f>IFERROR(__xludf.DUMMYFUNCTION("""COMPUTED_VALUE"""),12.0)</f>
        <v>12</v>
      </c>
      <c r="L504" s="207" t="str">
        <f>IFERROR(__xludf.DUMMYFUNCTION("""COMPUTED_VALUE"""),"Adventure")</f>
        <v>Adventure</v>
      </c>
      <c r="M504" s="207" t="str">
        <f>IFERROR(__xludf.DUMMYFUNCTION("""COMPUTED_VALUE"""),"FPS Boost")</f>
        <v>FPS Boost</v>
      </c>
    </row>
    <row r="505">
      <c r="A505" s="203" t="str">
        <f>IFERROR(__xludf.DUMMYFUNCTION("""COMPUTED_VALUE"""),"Firefighting Simulator: The Squad")</f>
        <v>Firefighting Simulator: The Squad</v>
      </c>
      <c r="B505" s="204" t="str">
        <f>IFERROR(__xludf.DUMMYFUNCTION("""COMPUTED_VALUE"""),"Xbox / PC")</f>
        <v>Xbox / PC</v>
      </c>
      <c r="C505" s="205" t="str">
        <f>IFERROR(__xludf.DUMMYFUNCTION("""COMPUTED_VALUE"""),"Yes")</f>
        <v>Yes</v>
      </c>
      <c r="D505" s="205" t="str">
        <f>IFERROR(__xludf.DUMMYFUNCTION("""COMPUTED_VALUE"""),"Active")</f>
        <v>Active</v>
      </c>
      <c r="E505" s="166">
        <f>IFERROR(__xludf.DUMMYFUNCTION("""COMPUTED_VALUE"""),45797.0)</f>
        <v>45797</v>
      </c>
      <c r="F505" s="206"/>
      <c r="G505" s="167">
        <f>IFERROR(__xludf.DUMMYFUNCTION("""COMPUTED_VALUE"""),4.833333333333334)</f>
        <v>4.833333333</v>
      </c>
      <c r="H505" s="166">
        <f>IFERROR(__xludf.DUMMYFUNCTION("""COMPUTED_VALUE"""),44901.0)</f>
        <v>44901</v>
      </c>
      <c r="I505" s="167">
        <f>IFERROR(__xludf.DUMMYFUNCTION("""COMPUTED_VALUE"""),2.4555555555555557)</f>
        <v>2.455555556</v>
      </c>
      <c r="J505" s="168">
        <f>IFERROR(__xludf.DUMMYFUNCTION("""COMPUTED_VALUE"""),60.0)</f>
        <v>60</v>
      </c>
      <c r="K505" s="168">
        <f>IFERROR(__xludf.DUMMYFUNCTION("""COMPUTED_VALUE"""),10.0)</f>
        <v>10</v>
      </c>
      <c r="L505" s="207" t="str">
        <f>IFERROR(__xludf.DUMMYFUNCTION("""COMPUTED_VALUE"""),"Simulation")</f>
        <v>Simulation</v>
      </c>
      <c r="M505" s="207"/>
    </row>
    <row r="506">
      <c r="A506" s="203" t="str">
        <f>IFERROR(__xludf.DUMMYFUNCTION("""COMPUTED_VALUE"""),"One Lonely Outpost")</f>
        <v>One Lonely Outpost</v>
      </c>
      <c r="B506" s="204" t="str">
        <f>IFERROR(__xludf.DUMMYFUNCTION("""COMPUTED_VALUE"""),"Xbox / PC")</f>
        <v>Xbox / PC</v>
      </c>
      <c r="C506" s="205" t="str">
        <f>IFERROR(__xludf.DUMMYFUNCTION("""COMPUTED_VALUE"""),"Yes")</f>
        <v>Yes</v>
      </c>
      <c r="D506" s="205" t="str">
        <f>IFERROR(__xludf.DUMMYFUNCTION("""COMPUTED_VALUE"""),"Active")</f>
        <v>Active</v>
      </c>
      <c r="E506" s="166">
        <f>IFERROR(__xludf.DUMMYFUNCTION("""COMPUTED_VALUE"""),45722.0)</f>
        <v>45722</v>
      </c>
      <c r="F506" s="206"/>
      <c r="G506" s="167">
        <f>IFERROR(__xludf.DUMMYFUNCTION("""COMPUTED_VALUE"""),7.299999999999999)</f>
        <v>7.3</v>
      </c>
      <c r="H506" s="166">
        <f>IFERROR(__xludf.DUMMYFUNCTION("""COMPUTED_VALUE"""),45103.0)</f>
        <v>45103</v>
      </c>
      <c r="I506" s="167">
        <f>IFERROR(__xludf.DUMMYFUNCTION("""COMPUTED_VALUE"""),1.6944444444444444)</f>
        <v>1.694444444</v>
      </c>
      <c r="J506" s="168">
        <f>IFERROR(__xludf.DUMMYFUNCTION("""COMPUTED_VALUE"""),60.0)</f>
        <v>60</v>
      </c>
      <c r="K506" s="168"/>
      <c r="L506" s="207" t="str">
        <f>IFERROR(__xludf.DUMMYFUNCTION("""COMPUTED_VALUE"""),"Virtual Life")</f>
        <v>Virtual Life</v>
      </c>
      <c r="M506" s="207"/>
    </row>
    <row r="507">
      <c r="A507" s="203" t="str">
        <f>IFERROR(__xludf.DUMMYFUNCTION("""COMPUTED_VALUE"""),"Totally Reliable Delivery Service")</f>
        <v>Totally Reliable Delivery Service</v>
      </c>
      <c r="B507" s="204" t="str">
        <f>IFERROR(__xludf.DUMMYFUNCTION("""COMPUTED_VALUE"""),"Xbox / PC")</f>
        <v>Xbox / PC</v>
      </c>
      <c r="C507" s="205" t="str">
        <f>IFERROR(__xludf.DUMMYFUNCTION("""COMPUTED_VALUE"""),"Yes")</f>
        <v>Yes</v>
      </c>
      <c r="D507" s="205" t="str">
        <f>IFERROR(__xludf.DUMMYFUNCTION("""COMPUTED_VALUE"""),"Active")</f>
        <v>Active</v>
      </c>
      <c r="E507" s="166">
        <f>IFERROR(__xludf.DUMMYFUNCTION("""COMPUTED_VALUE"""),43922.0)</f>
        <v>43922</v>
      </c>
      <c r="F507" s="206"/>
      <c r="G507" s="167">
        <f>IFERROR(__xludf.DUMMYFUNCTION("""COMPUTED_VALUE"""),66.46666666666667)</f>
        <v>66.46666667</v>
      </c>
      <c r="H507" s="166">
        <f>IFERROR(__xludf.DUMMYFUNCTION("""COMPUTED_VALUE"""),43922.0)</f>
        <v>43922</v>
      </c>
      <c r="I507" s="167">
        <f>IFERROR(__xludf.DUMMYFUNCTION("""COMPUTED_VALUE"""),0.0)</f>
        <v>0</v>
      </c>
      <c r="J507" s="168">
        <f>IFERROR(__xludf.DUMMYFUNCTION("""COMPUTED_VALUE"""),60.0)</f>
        <v>60</v>
      </c>
      <c r="K507" s="168">
        <f>IFERROR(__xludf.DUMMYFUNCTION("""COMPUTED_VALUE"""),1.0)</f>
        <v>1</v>
      </c>
      <c r="L507" s="207" t="str">
        <f>IFERROR(__xludf.DUMMYFUNCTION("""COMPUTED_VALUE"""),"Action / Simulation")</f>
        <v>Action / Simulation</v>
      </c>
      <c r="M507" s="207" t="str">
        <f>IFERROR(__xludf.DUMMYFUNCTION("""COMPUTED_VALUE"""),"FPS Boost")</f>
        <v>FPS Boost</v>
      </c>
    </row>
    <row r="508">
      <c r="A508" s="203" t="str">
        <f>IFERROR(__xludf.DUMMYFUNCTION("""COMPUTED_VALUE"""),"Wasteland Remastered")</f>
        <v>Wasteland Remastered</v>
      </c>
      <c r="B508" s="204" t="str">
        <f>IFERROR(__xludf.DUMMYFUNCTION("""COMPUTED_VALUE"""),"Xbox / PC")</f>
        <v>Xbox / PC</v>
      </c>
      <c r="C508" s="205" t="str">
        <f>IFERROR(__xludf.DUMMYFUNCTION("""COMPUTED_VALUE"""),"Touch Controls")</f>
        <v>Touch Controls</v>
      </c>
      <c r="D508" s="205" t="str">
        <f>IFERROR(__xludf.DUMMYFUNCTION("""COMPUTED_VALUE"""),"Active")</f>
        <v>Active</v>
      </c>
      <c r="E508" s="166">
        <f>IFERROR(__xludf.DUMMYFUNCTION("""COMPUTED_VALUE"""),43886.0)</f>
        <v>43886</v>
      </c>
      <c r="F508" s="206"/>
      <c r="G508" s="167">
        <f>IFERROR(__xludf.DUMMYFUNCTION("""COMPUTED_VALUE"""),67.66666666666667)</f>
        <v>67.66666667</v>
      </c>
      <c r="H508" s="166">
        <f>IFERROR(__xludf.DUMMYFUNCTION("""COMPUTED_VALUE"""),43886.0)</f>
        <v>43886</v>
      </c>
      <c r="I508" s="167">
        <f>IFERROR(__xludf.DUMMYFUNCTION("""COMPUTED_VALUE"""),0.0)</f>
        <v>0</v>
      </c>
      <c r="J508" s="168">
        <f>IFERROR(__xludf.DUMMYFUNCTION("""COMPUTED_VALUE"""),60.0)</f>
        <v>60</v>
      </c>
      <c r="K508" s="168">
        <f>IFERROR(__xludf.DUMMYFUNCTION("""COMPUTED_VALUE"""),18.5)</f>
        <v>18.5</v>
      </c>
      <c r="L508" s="207" t="str">
        <f>IFERROR(__xludf.DUMMYFUNCTION("""COMPUTED_VALUE"""),"Strategy / RPG")</f>
        <v>Strategy / RPG</v>
      </c>
      <c r="M508" s="207"/>
    </row>
    <row r="509">
      <c r="A509" s="203" t="str">
        <f>IFERROR(__xludf.DUMMYFUNCTION("""COMPUTED_VALUE"""),"Crackdown 3")</f>
        <v>Crackdown 3</v>
      </c>
      <c r="B509" s="204" t="str">
        <f>IFERROR(__xludf.DUMMYFUNCTION("""COMPUTED_VALUE"""),"Xbox / PC")</f>
        <v>Xbox / PC</v>
      </c>
      <c r="C509" s="205" t="str">
        <f>IFERROR(__xludf.DUMMYFUNCTION("""COMPUTED_VALUE"""),"Yes")</f>
        <v>Yes</v>
      </c>
      <c r="D509" s="205" t="str">
        <f>IFERROR(__xludf.DUMMYFUNCTION("""COMPUTED_VALUE"""),"Active")</f>
        <v>Active</v>
      </c>
      <c r="E509" s="166">
        <f>IFERROR(__xludf.DUMMYFUNCTION("""COMPUTED_VALUE"""),43511.0)</f>
        <v>43511</v>
      </c>
      <c r="F509" s="206"/>
      <c r="G509" s="167">
        <f>IFERROR(__xludf.DUMMYFUNCTION("""COMPUTED_VALUE"""),80.0)</f>
        <v>80</v>
      </c>
      <c r="H509" s="166">
        <f>IFERROR(__xludf.DUMMYFUNCTION("""COMPUTED_VALUE"""),43511.0)</f>
        <v>43511</v>
      </c>
      <c r="I509" s="167">
        <f>IFERROR(__xludf.DUMMYFUNCTION("""COMPUTED_VALUE"""),0.0)</f>
        <v>0</v>
      </c>
      <c r="J509" s="168">
        <f>IFERROR(__xludf.DUMMYFUNCTION("""COMPUTED_VALUE"""),60.0)</f>
        <v>60</v>
      </c>
      <c r="K509" s="168">
        <f>IFERROR(__xludf.DUMMYFUNCTION("""COMPUTED_VALUE"""),6.5)</f>
        <v>6.5</v>
      </c>
      <c r="L509" s="207" t="str">
        <f>IFERROR(__xludf.DUMMYFUNCTION("""COMPUTED_VALUE"""),"Action-Adventure")</f>
        <v>Action-Adventure</v>
      </c>
      <c r="M509" s="207"/>
    </row>
    <row r="510">
      <c r="A510" s="203" t="str">
        <f>IFERROR(__xludf.DUMMYFUNCTION("""COMPUTED_VALUE"""),"Ryse: Son of Rome")</f>
        <v>Ryse: Son of Rome</v>
      </c>
      <c r="B510" s="204" t="str">
        <f>IFERROR(__xludf.DUMMYFUNCTION("""COMPUTED_VALUE"""),"Xbox")</f>
        <v>Xbox</v>
      </c>
      <c r="C510" s="205" t="str">
        <f>IFERROR(__xludf.DUMMYFUNCTION("""COMPUTED_VALUE"""),"Yes")</f>
        <v>Yes</v>
      </c>
      <c r="D510" s="205" t="str">
        <f>IFERROR(__xludf.DUMMYFUNCTION("""COMPUTED_VALUE"""),"Active")</f>
        <v>Active</v>
      </c>
      <c r="E510" s="166">
        <f>IFERROR(__xludf.DUMMYFUNCTION("""COMPUTED_VALUE"""),43313.0)</f>
        <v>43313</v>
      </c>
      <c r="F510" s="206"/>
      <c r="G510" s="167">
        <f>IFERROR(__xludf.DUMMYFUNCTION("""COMPUTED_VALUE"""),86.46666666666667)</f>
        <v>86.46666667</v>
      </c>
      <c r="H510" s="166">
        <f>IFERROR(__xludf.DUMMYFUNCTION("""COMPUTED_VALUE"""),41600.0)</f>
        <v>41600</v>
      </c>
      <c r="I510" s="167">
        <f>IFERROR(__xludf.DUMMYFUNCTION("""COMPUTED_VALUE"""),4.691666666666666)</f>
        <v>4.691666667</v>
      </c>
      <c r="J510" s="168">
        <f>IFERROR(__xludf.DUMMYFUNCTION("""COMPUTED_VALUE"""),60.0)</f>
        <v>60</v>
      </c>
      <c r="K510" s="168">
        <f>IFERROR(__xludf.DUMMYFUNCTION("""COMPUTED_VALUE"""),6.5)</f>
        <v>6.5</v>
      </c>
      <c r="L510" s="207" t="str">
        <f>IFERROR(__xludf.DUMMYFUNCTION("""COMPUTED_VALUE"""),"Action / Brawler")</f>
        <v>Action / Brawler</v>
      </c>
      <c r="M510" s="207"/>
    </row>
    <row r="511">
      <c r="A511" s="203" t="str">
        <f>IFERROR(__xludf.DUMMYFUNCTION("""COMPUTED_VALUE"""),"Skull and Bones")</f>
        <v>Skull and Bones</v>
      </c>
      <c r="B511" s="204" t="str">
        <f>IFERROR(__xludf.DUMMYFUNCTION("""COMPUTED_VALUE"""),"Xbox / PC")</f>
        <v>Xbox / PC</v>
      </c>
      <c r="C511" s="205" t="str">
        <f>IFERROR(__xludf.DUMMYFUNCTION("""COMPUTED_VALUE"""),"Yes")</f>
        <v>Yes</v>
      </c>
      <c r="D511" s="205" t="str">
        <f>IFERROR(__xludf.DUMMYFUNCTION("""COMPUTED_VALUE"""),"Active")</f>
        <v>Active</v>
      </c>
      <c r="E511" s="166">
        <f>IFERROR(__xludf.DUMMYFUNCTION("""COMPUTED_VALUE"""),45931.0)</f>
        <v>45931</v>
      </c>
      <c r="F511" s="206"/>
      <c r="G511" s="167">
        <f>IFERROR(__xludf.DUMMYFUNCTION("""COMPUTED_VALUE"""),0.4666666666666667)</f>
        <v>0.4666666667</v>
      </c>
      <c r="H511" s="166">
        <f>IFERROR(__xludf.DUMMYFUNCTION("""COMPUTED_VALUE"""),45338.0)</f>
        <v>45338</v>
      </c>
      <c r="I511" s="167">
        <f>IFERROR(__xludf.DUMMYFUNCTION("""COMPUTED_VALUE"""),1.625)</f>
        <v>1.625</v>
      </c>
      <c r="J511" s="168">
        <f>IFERROR(__xludf.DUMMYFUNCTION("""COMPUTED_VALUE"""),59.0)</f>
        <v>59</v>
      </c>
      <c r="K511" s="168">
        <f>IFERROR(__xludf.DUMMYFUNCTION("""COMPUTED_VALUE"""),32.0)</f>
        <v>32</v>
      </c>
      <c r="L511" s="207" t="str">
        <f>IFERROR(__xludf.DUMMYFUNCTION("""COMPUTED_VALUE"""),"Action-Adventure")</f>
        <v>Action-Adventure</v>
      </c>
      <c r="M511" s="207"/>
    </row>
    <row r="512">
      <c r="A512" s="203" t="str">
        <f>IFERROR(__xludf.DUMMYFUNCTION("""COMPUTED_VALUE"""),"Rain World")</f>
        <v>Rain World</v>
      </c>
      <c r="B512" s="204" t="str">
        <f>IFERROR(__xludf.DUMMYFUNCTION("""COMPUTED_VALUE"""),"Xbox / PC")</f>
        <v>Xbox / PC</v>
      </c>
      <c r="C512" s="205" t="str">
        <f>IFERROR(__xludf.DUMMYFUNCTION("""COMPUTED_VALUE"""),"Yes")</f>
        <v>Yes</v>
      </c>
      <c r="D512" s="205" t="str">
        <f>IFERROR(__xludf.DUMMYFUNCTION("""COMPUTED_VALUE"""),"Active")</f>
        <v>Active</v>
      </c>
      <c r="E512" s="166">
        <f>IFERROR(__xludf.DUMMYFUNCTION("""COMPUTED_VALUE"""),45874.0)</f>
        <v>45874</v>
      </c>
      <c r="F512" s="206"/>
      <c r="G512" s="167">
        <f>IFERROR(__xludf.DUMMYFUNCTION("""COMPUTED_VALUE"""),2.3333333333333335)</f>
        <v>2.333333333</v>
      </c>
      <c r="H512" s="166">
        <f>IFERROR(__xludf.DUMMYFUNCTION("""COMPUTED_VALUE"""),42822.0)</f>
        <v>42822</v>
      </c>
      <c r="I512" s="167">
        <f>IFERROR(__xludf.DUMMYFUNCTION("""COMPUTED_VALUE"""),8.352777777777778)</f>
        <v>8.352777778</v>
      </c>
      <c r="J512" s="168">
        <f>IFERROR(__xludf.DUMMYFUNCTION("""COMPUTED_VALUE"""),59.0)</f>
        <v>59</v>
      </c>
      <c r="K512" s="168">
        <f>IFERROR(__xludf.DUMMYFUNCTION("""COMPUTED_VALUE"""),21.0)</f>
        <v>21</v>
      </c>
      <c r="L512" s="207" t="str">
        <f>IFERROR(__xludf.DUMMYFUNCTION("""COMPUTED_VALUE"""),"Platformer")</f>
        <v>Platformer</v>
      </c>
      <c r="M512" s="207"/>
    </row>
    <row r="513">
      <c r="A513" s="203" t="str">
        <f>IFERROR(__xludf.DUMMYFUNCTION("""COMPUTED_VALUE"""),"Killer Instinct 2 Classic")</f>
        <v>Killer Instinct 2 Classic</v>
      </c>
      <c r="B513" s="204" t="str">
        <f>IFERROR(__xludf.DUMMYFUNCTION("""COMPUTED_VALUE"""),"Xbox")</f>
        <v>Xbox</v>
      </c>
      <c r="C513" s="205"/>
      <c r="D513" s="205" t="str">
        <f>IFERROR(__xludf.DUMMYFUNCTION("""COMPUTED_VALUE"""),"Active")</f>
        <v>Active</v>
      </c>
      <c r="E513" s="166">
        <f>IFERROR(__xludf.DUMMYFUNCTION("""COMPUTED_VALUE"""),43671.0)</f>
        <v>43671</v>
      </c>
      <c r="F513" s="206"/>
      <c r="G513" s="167">
        <f>IFERROR(__xludf.DUMMYFUNCTION("""COMPUTED_VALUE"""),74.66666666666667)</f>
        <v>74.66666667</v>
      </c>
      <c r="H513" s="166">
        <f>IFERROR(__xludf.DUMMYFUNCTION("""COMPUTED_VALUE"""),41600.0)</f>
        <v>41600</v>
      </c>
      <c r="I513" s="167">
        <f>IFERROR(__xludf.DUMMYFUNCTION("""COMPUTED_VALUE"""),5.675)</f>
        <v>5.675</v>
      </c>
      <c r="J513" s="168">
        <f>IFERROR(__xludf.DUMMYFUNCTION("""COMPUTED_VALUE"""),59.0)</f>
        <v>59</v>
      </c>
      <c r="K513" s="168">
        <f>IFERROR(__xludf.DUMMYFUNCTION("""COMPUTED_VALUE"""),1.0)</f>
        <v>1</v>
      </c>
      <c r="L513" s="207" t="str">
        <f>IFERROR(__xludf.DUMMYFUNCTION("""COMPUTED_VALUE"""),"Fighting")</f>
        <v>Fighting</v>
      </c>
      <c r="M513" s="207"/>
    </row>
    <row r="514">
      <c r="A514" s="203" t="str">
        <f>IFERROR(__xludf.DUMMYFUNCTION("""COMPUTED_VALUE"""),"Hungry Shark World")</f>
        <v>Hungry Shark World</v>
      </c>
      <c r="B514" s="204" t="str">
        <f>IFERROR(__xludf.DUMMYFUNCTION("""COMPUTED_VALUE"""),"Xbox / PC")</f>
        <v>Xbox / PC</v>
      </c>
      <c r="C514" s="205" t="str">
        <f>IFERROR(__xludf.DUMMYFUNCTION("""COMPUTED_VALUE"""),"Yes")</f>
        <v>Yes</v>
      </c>
      <c r="D514" s="205" t="str">
        <f>IFERROR(__xludf.DUMMYFUNCTION("""COMPUTED_VALUE"""),"Active")</f>
        <v>Active</v>
      </c>
      <c r="E514" s="166">
        <f>IFERROR(__xludf.DUMMYFUNCTION("""COMPUTED_VALUE"""),45931.0)</f>
        <v>45931</v>
      </c>
      <c r="F514" s="206"/>
      <c r="G514" s="167">
        <f>IFERROR(__xludf.DUMMYFUNCTION("""COMPUTED_VALUE"""),0.4666666666666667)</f>
        <v>0.4666666667</v>
      </c>
      <c r="H514" s="166">
        <f>IFERROR(__xludf.DUMMYFUNCTION("""COMPUTED_VALUE"""),43298.0)</f>
        <v>43298</v>
      </c>
      <c r="I514" s="167">
        <f>IFERROR(__xludf.DUMMYFUNCTION("""COMPUTED_VALUE"""),7.205555555555556)</f>
        <v>7.205555556</v>
      </c>
      <c r="J514" s="168">
        <f>IFERROR(__xludf.DUMMYFUNCTION("""COMPUTED_VALUE"""),58.0)</f>
        <v>58</v>
      </c>
      <c r="K514" s="168">
        <f>IFERROR(__xludf.DUMMYFUNCTION("""COMPUTED_VALUE"""),8.0)</f>
        <v>8</v>
      </c>
      <c r="L514" s="207" t="str">
        <f>IFERROR(__xludf.DUMMYFUNCTION("""COMPUTED_VALUE"""),"Action-Adventure")</f>
        <v>Action-Adventure</v>
      </c>
      <c r="M514" s="207"/>
    </row>
    <row r="515">
      <c r="A515" s="203" t="str">
        <f>IFERROR(__xludf.DUMMYFUNCTION("""COMPUTED_VALUE"""),"Police Simulator: Patrol Officers")</f>
        <v>Police Simulator: Patrol Officers</v>
      </c>
      <c r="B515" s="204" t="str">
        <f>IFERROR(__xludf.DUMMYFUNCTION("""COMPUTED_VALUE"""),"Xbox / PC")</f>
        <v>Xbox / PC</v>
      </c>
      <c r="C515" s="205" t="str">
        <f>IFERROR(__xludf.DUMMYFUNCTION("""COMPUTED_VALUE"""),"Yes")</f>
        <v>Yes</v>
      </c>
      <c r="D515" s="205" t="str">
        <f>IFERROR(__xludf.DUMMYFUNCTION("""COMPUTED_VALUE"""),"Active")</f>
        <v>Active</v>
      </c>
      <c r="E515" s="166">
        <f>IFERROR(__xludf.DUMMYFUNCTION("""COMPUTED_VALUE"""),45797.0)</f>
        <v>45797</v>
      </c>
      <c r="F515" s="206"/>
      <c r="G515" s="167">
        <f>IFERROR(__xludf.DUMMYFUNCTION("""COMPUTED_VALUE"""),4.833333333333334)</f>
        <v>4.833333333</v>
      </c>
      <c r="H515" s="166">
        <f>IFERROR(__xludf.DUMMYFUNCTION("""COMPUTED_VALUE"""),44875.0)</f>
        <v>44875</v>
      </c>
      <c r="I515" s="167">
        <f>IFERROR(__xludf.DUMMYFUNCTION("""COMPUTED_VALUE"""),2.5277777777777777)</f>
        <v>2.527777778</v>
      </c>
      <c r="J515" s="168">
        <f>IFERROR(__xludf.DUMMYFUNCTION("""COMPUTED_VALUE"""),58.0)</f>
        <v>58</v>
      </c>
      <c r="K515" s="168">
        <f>IFERROR(__xludf.DUMMYFUNCTION("""COMPUTED_VALUE"""),16.0)</f>
        <v>16</v>
      </c>
      <c r="L515" s="207" t="str">
        <f>IFERROR(__xludf.DUMMYFUNCTION("""COMPUTED_VALUE"""),"Simulation")</f>
        <v>Simulation</v>
      </c>
      <c r="M515" s="207"/>
    </row>
    <row r="516">
      <c r="A516" s="203" t="str">
        <f>IFERROR(__xludf.DUMMYFUNCTION("""COMPUTED_VALUE"""),"Dead by Daylight: Special Edition")</f>
        <v>Dead by Daylight: Special Edition</v>
      </c>
      <c r="B516" s="204" t="str">
        <f>IFERROR(__xludf.DUMMYFUNCTION("""COMPUTED_VALUE"""),"Xbox / PC")</f>
        <v>Xbox / PC</v>
      </c>
      <c r="C516" s="205" t="str">
        <f>IFERROR(__xludf.DUMMYFUNCTION("""COMPUTED_VALUE"""),"Yes")</f>
        <v>Yes</v>
      </c>
      <c r="D516" s="205" t="str">
        <f>IFERROR(__xludf.DUMMYFUNCTION("""COMPUTED_VALUE"""),"Active")</f>
        <v>Active</v>
      </c>
      <c r="E516" s="166">
        <f>IFERROR(__xludf.DUMMYFUNCTION("""COMPUTED_VALUE"""),43615.0)</f>
        <v>43615</v>
      </c>
      <c r="F516" s="206"/>
      <c r="G516" s="167">
        <f>IFERROR(__xludf.DUMMYFUNCTION("""COMPUTED_VALUE"""),76.5)</f>
        <v>76.5</v>
      </c>
      <c r="H516" s="166">
        <f>IFERROR(__xludf.DUMMYFUNCTION("""COMPUTED_VALUE"""),42535.0)</f>
        <v>42535</v>
      </c>
      <c r="I516" s="167">
        <f>IFERROR(__xludf.DUMMYFUNCTION("""COMPUTED_VALUE"""),2.9611111111111112)</f>
        <v>2.961111111</v>
      </c>
      <c r="J516" s="168">
        <f>IFERROR(__xludf.DUMMYFUNCTION("""COMPUTED_VALUE"""),58.0)</f>
        <v>58</v>
      </c>
      <c r="K516" s="168">
        <f>IFERROR(__xludf.DUMMYFUNCTION("""COMPUTED_VALUE"""),608.0)</f>
        <v>608</v>
      </c>
      <c r="L516" s="207" t="str">
        <f>IFERROR(__xludf.DUMMYFUNCTION("""COMPUTED_VALUE"""),"Action")</f>
        <v>Action</v>
      </c>
      <c r="M516" s="207" t="str">
        <f>IFERROR(__xludf.DUMMYFUNCTION("""COMPUTED_VALUE"""),"Optimized")</f>
        <v>Optimized</v>
      </c>
    </row>
    <row r="517">
      <c r="A517" s="203" t="str">
        <f>IFERROR(__xludf.DUMMYFUNCTION("""COMPUTED_VALUE"""),"Cricket 24")</f>
        <v>Cricket 24</v>
      </c>
      <c r="B517" s="204" t="str">
        <f>IFERROR(__xludf.DUMMYFUNCTION("""COMPUTED_VALUE"""),"Xbox / PC")</f>
        <v>Xbox / PC</v>
      </c>
      <c r="C517" s="205" t="str">
        <f>IFERROR(__xludf.DUMMYFUNCTION("""COMPUTED_VALUE"""),"Yes")</f>
        <v>Yes</v>
      </c>
      <c r="D517" s="205" t="str">
        <f>IFERROR(__xludf.DUMMYFUNCTION("""COMPUTED_VALUE"""),"Active")</f>
        <v>Active</v>
      </c>
      <c r="E517" s="166">
        <f>IFERROR(__xludf.DUMMYFUNCTION("""COMPUTED_VALUE"""),45482.0)</f>
        <v>45482</v>
      </c>
      <c r="F517" s="206"/>
      <c r="G517" s="167">
        <f>IFERROR(__xludf.DUMMYFUNCTION("""COMPUTED_VALUE"""),15.2)</f>
        <v>15.2</v>
      </c>
      <c r="H517" s="166">
        <f>IFERROR(__xludf.DUMMYFUNCTION("""COMPUTED_VALUE"""),45204.0)</f>
        <v>45204</v>
      </c>
      <c r="I517" s="167">
        <f>IFERROR(__xludf.DUMMYFUNCTION("""COMPUTED_VALUE"""),0.7611111111111111)</f>
        <v>0.7611111111</v>
      </c>
      <c r="J517" s="168">
        <f>IFERROR(__xludf.DUMMYFUNCTION("""COMPUTED_VALUE"""),57.0)</f>
        <v>57</v>
      </c>
      <c r="K517" s="168">
        <f>IFERROR(__xludf.DUMMYFUNCTION("""COMPUTED_VALUE"""),15.0)</f>
        <v>15</v>
      </c>
      <c r="L517" s="207" t="str">
        <f>IFERROR(__xludf.DUMMYFUNCTION("""COMPUTED_VALUE"""),"Sports")</f>
        <v>Sports</v>
      </c>
      <c r="M517" s="207"/>
    </row>
    <row r="518">
      <c r="A518" s="203" t="str">
        <f>IFERROR(__xludf.DUMMYFUNCTION("""COMPUTED_VALUE"""),"Tom Clancy's Ghost Recon Breakpoint")</f>
        <v>Tom Clancy's Ghost Recon Breakpoint</v>
      </c>
      <c r="B518" s="204" t="str">
        <f>IFERROR(__xludf.DUMMYFUNCTION("""COMPUTED_VALUE"""),"Xbox / PC")</f>
        <v>Xbox / PC</v>
      </c>
      <c r="C518" s="205" t="str">
        <f>IFERROR(__xludf.DUMMYFUNCTION("""COMPUTED_VALUE"""),"Yes")</f>
        <v>Yes</v>
      </c>
      <c r="D518" s="205" t="str">
        <f>IFERROR(__xludf.DUMMYFUNCTION("""COMPUTED_VALUE"""),"Active")</f>
        <v>Active</v>
      </c>
      <c r="E518" s="166">
        <f>IFERROR(__xludf.DUMMYFUNCTION("""COMPUTED_VALUE"""),45931.0)</f>
        <v>45931</v>
      </c>
      <c r="F518" s="206"/>
      <c r="G518" s="167">
        <f>IFERROR(__xludf.DUMMYFUNCTION("""COMPUTED_VALUE"""),0.4666666666666667)</f>
        <v>0.4666666667</v>
      </c>
      <c r="H518" s="166">
        <f>IFERROR(__xludf.DUMMYFUNCTION("""COMPUTED_VALUE"""),43739.0)</f>
        <v>43739</v>
      </c>
      <c r="I518" s="167">
        <f>IFERROR(__xludf.DUMMYFUNCTION("""COMPUTED_VALUE"""),6.0)</f>
        <v>6</v>
      </c>
      <c r="J518" s="168">
        <f>IFERROR(__xludf.DUMMYFUNCTION("""COMPUTED_VALUE"""),56.0)</f>
        <v>56</v>
      </c>
      <c r="K518" s="168">
        <f>IFERROR(__xludf.DUMMYFUNCTION("""COMPUTED_VALUE"""),23.0)</f>
        <v>23</v>
      </c>
      <c r="L518" s="207" t="str">
        <f>IFERROR(__xludf.DUMMYFUNCTION("""COMPUTED_VALUE"""),"Shooter")</f>
        <v>Shooter</v>
      </c>
      <c r="M518" s="207"/>
    </row>
    <row r="519">
      <c r="A519" s="203" t="str">
        <f>IFERROR(__xludf.DUMMYFUNCTION("""COMPUTED_VALUE"""),"Call of Duty: Modern Warfare III")</f>
        <v>Call of Duty: Modern Warfare III</v>
      </c>
      <c r="B519" s="204" t="str">
        <f>IFERROR(__xludf.DUMMYFUNCTION("""COMPUTED_VALUE"""),"Xbox / PC")</f>
        <v>Xbox / PC</v>
      </c>
      <c r="C519" s="205" t="str">
        <f>IFERROR(__xludf.DUMMYFUNCTION("""COMPUTED_VALUE"""),"Yes")</f>
        <v>Yes</v>
      </c>
      <c r="D519" s="205" t="str">
        <f>IFERROR(__xludf.DUMMYFUNCTION("""COMPUTED_VALUE"""),"Active")</f>
        <v>Active</v>
      </c>
      <c r="E519" s="166">
        <f>IFERROR(__xludf.DUMMYFUNCTION("""COMPUTED_VALUE"""),45497.0)</f>
        <v>45497</v>
      </c>
      <c r="F519" s="206"/>
      <c r="G519" s="167">
        <f>IFERROR(__xludf.DUMMYFUNCTION("""COMPUTED_VALUE"""),14.700000000000001)</f>
        <v>14.7</v>
      </c>
      <c r="H519" s="166">
        <f>IFERROR(__xludf.DUMMYFUNCTION("""COMPUTED_VALUE"""),45211.0)</f>
        <v>45211</v>
      </c>
      <c r="I519" s="167">
        <f>IFERROR(__xludf.DUMMYFUNCTION("""COMPUTED_VALUE"""),0.7833333333333333)</f>
        <v>0.7833333333</v>
      </c>
      <c r="J519" s="168">
        <f>IFERROR(__xludf.DUMMYFUNCTION("""COMPUTED_VALUE"""),56.0)</f>
        <v>56</v>
      </c>
      <c r="K519" s="168">
        <f>IFERROR(__xludf.DUMMYFUNCTION("""COMPUTED_VALUE"""),5.0)</f>
        <v>5</v>
      </c>
      <c r="L519" s="207" t="str">
        <f>IFERROR(__xludf.DUMMYFUNCTION("""COMPUTED_VALUE"""),"Shooter")</f>
        <v>Shooter</v>
      </c>
      <c r="M519" s="207"/>
    </row>
    <row r="520">
      <c r="A520" s="203" t="str">
        <f>IFERROR(__xludf.DUMMYFUNCTION("""COMPUTED_VALUE"""),"Bluey: The Videogame")</f>
        <v>Bluey: The Videogame</v>
      </c>
      <c r="B520" s="204" t="str">
        <f>IFERROR(__xludf.DUMMYFUNCTION("""COMPUTED_VALUE"""),"Xbox / PC")</f>
        <v>Xbox / PC</v>
      </c>
      <c r="C520" s="205" t="str">
        <f>IFERROR(__xludf.DUMMYFUNCTION("""COMPUTED_VALUE"""),"Yes")</f>
        <v>Yes</v>
      </c>
      <c r="D520" s="205" t="str">
        <f>IFERROR(__xludf.DUMMYFUNCTION("""COMPUTED_VALUE"""),"Active")</f>
        <v>Active</v>
      </c>
      <c r="E520" s="166">
        <f>IFERROR(__xludf.DUMMYFUNCTION("""COMPUTED_VALUE"""),45344.0)</f>
        <v>45344</v>
      </c>
      <c r="F520" s="206"/>
      <c r="G520" s="167">
        <f>IFERROR(__xludf.DUMMYFUNCTION("""COMPUTED_VALUE"""),19.766666666666666)</f>
        <v>19.76666667</v>
      </c>
      <c r="H520" s="166">
        <f>IFERROR(__xludf.DUMMYFUNCTION("""COMPUTED_VALUE"""),45247.0)</f>
        <v>45247</v>
      </c>
      <c r="I520" s="167">
        <f>IFERROR(__xludf.DUMMYFUNCTION("""COMPUTED_VALUE"""),0.2638888888888889)</f>
        <v>0.2638888889</v>
      </c>
      <c r="J520" s="168">
        <f>IFERROR(__xludf.DUMMYFUNCTION("""COMPUTED_VALUE"""),56.0)</f>
        <v>56</v>
      </c>
      <c r="K520" s="168">
        <f>IFERROR(__xludf.DUMMYFUNCTION("""COMPUTED_VALUE"""),1.0)</f>
        <v>1</v>
      </c>
      <c r="L520" s="207" t="str">
        <f>IFERROR(__xludf.DUMMYFUNCTION("""COMPUTED_VALUE"""),"Adventure")</f>
        <v>Adventure</v>
      </c>
      <c r="M520" s="207"/>
    </row>
    <row r="521">
      <c r="A521" s="203" t="str">
        <f>IFERROR(__xludf.DUMMYFUNCTION("""COMPUTED_VALUE"""),"DayZ")</f>
        <v>DayZ</v>
      </c>
      <c r="B521" s="204" t="str">
        <f>IFERROR(__xludf.DUMMYFUNCTION("""COMPUTED_VALUE"""),"Xbox")</f>
        <v>Xbox</v>
      </c>
      <c r="C521" s="205" t="str">
        <f>IFERROR(__xludf.DUMMYFUNCTION("""COMPUTED_VALUE"""),"Yes")</f>
        <v>Yes</v>
      </c>
      <c r="D521" s="205" t="str">
        <f>IFERROR(__xludf.DUMMYFUNCTION("""COMPUTED_VALUE"""),"Active")</f>
        <v>Active</v>
      </c>
      <c r="E521" s="166">
        <f>IFERROR(__xludf.DUMMYFUNCTION("""COMPUTED_VALUE"""),43958.0)</f>
        <v>43958</v>
      </c>
      <c r="F521" s="206"/>
      <c r="G521" s="167">
        <f>IFERROR(__xludf.DUMMYFUNCTION("""COMPUTED_VALUE"""),65.26666666666667)</f>
        <v>65.26666667</v>
      </c>
      <c r="H521" s="166">
        <f>IFERROR(__xludf.DUMMYFUNCTION("""COMPUTED_VALUE"""),41621.0)</f>
        <v>41621</v>
      </c>
      <c r="I521" s="167">
        <f>IFERROR(__xludf.DUMMYFUNCTION("""COMPUTED_VALUE"""),6.4)</f>
        <v>6.4</v>
      </c>
      <c r="J521" s="168">
        <f>IFERROR(__xludf.DUMMYFUNCTION("""COMPUTED_VALUE"""),56.0)</f>
        <v>56</v>
      </c>
      <c r="K521" s="168">
        <f>IFERROR(__xludf.DUMMYFUNCTION("""COMPUTED_VALUE"""),65.5)</f>
        <v>65.5</v>
      </c>
      <c r="L521" s="207" t="str">
        <f>IFERROR(__xludf.DUMMYFUNCTION("""COMPUTED_VALUE"""),"RPG / Simulation / First-Person Shooter")</f>
        <v>RPG / Simulation / First-Person Shooter</v>
      </c>
      <c r="M521" s="207"/>
    </row>
    <row r="522">
      <c r="A522" s="203" t="str">
        <f>IFERROR(__xludf.DUMMYFUNCTION("""COMPUTED_VALUE"""),"Trials of the Blood Dragon")</f>
        <v>Trials of the Blood Dragon</v>
      </c>
      <c r="B522" s="204" t="str">
        <f>IFERROR(__xludf.DUMMYFUNCTION("""COMPUTED_VALUE"""),"Xbox / PC")</f>
        <v>Xbox / PC</v>
      </c>
      <c r="C522" s="205" t="str">
        <f>IFERROR(__xludf.DUMMYFUNCTION("""COMPUTED_VALUE"""),"Yes")</f>
        <v>Yes</v>
      </c>
      <c r="D522" s="205" t="str">
        <f>IFERROR(__xludf.DUMMYFUNCTION("""COMPUTED_VALUE"""),"Active")</f>
        <v>Active</v>
      </c>
      <c r="E522" s="166">
        <f>IFERROR(__xludf.DUMMYFUNCTION("""COMPUTED_VALUE"""),45931.0)</f>
        <v>45931</v>
      </c>
      <c r="F522" s="206"/>
      <c r="G522" s="167">
        <f>IFERROR(__xludf.DUMMYFUNCTION("""COMPUTED_VALUE"""),0.4666666666666667)</f>
        <v>0.4666666667</v>
      </c>
      <c r="H522" s="166">
        <f>IFERROR(__xludf.DUMMYFUNCTION("""COMPUTED_VALUE"""),42534.0)</f>
        <v>42534</v>
      </c>
      <c r="I522" s="167">
        <f>IFERROR(__xludf.DUMMYFUNCTION("""COMPUTED_VALUE"""),9.3)</f>
        <v>9.3</v>
      </c>
      <c r="J522" s="168">
        <f>IFERROR(__xludf.DUMMYFUNCTION("""COMPUTED_VALUE"""),55.0)</f>
        <v>55</v>
      </c>
      <c r="K522" s="168">
        <f>IFERROR(__xludf.DUMMYFUNCTION("""COMPUTED_VALUE"""),3.0)</f>
        <v>3</v>
      </c>
      <c r="L522" s="207" t="str">
        <f>IFERROR(__xludf.DUMMYFUNCTION("""COMPUTED_VALUE"""),"Racing")</f>
        <v>Racing</v>
      </c>
      <c r="M522" s="207"/>
    </row>
    <row r="523">
      <c r="A523" s="203" t="str">
        <f>IFERROR(__xludf.DUMMYFUNCTION("""COMPUTED_VALUE"""),"Mad Streets")</f>
        <v>Mad Streets</v>
      </c>
      <c r="B523" s="204" t="str">
        <f>IFERROR(__xludf.DUMMYFUNCTION("""COMPUTED_VALUE"""),"Xbox / PC")</f>
        <v>Xbox / PC</v>
      </c>
      <c r="C523" s="205" t="str">
        <f>IFERROR(__xludf.DUMMYFUNCTION("""COMPUTED_VALUE"""),"Yes")</f>
        <v>Yes</v>
      </c>
      <c r="D523" s="205" t="str">
        <f>IFERROR(__xludf.DUMMYFUNCTION("""COMPUTED_VALUE"""),"Active")</f>
        <v>Active</v>
      </c>
      <c r="E523" s="166">
        <f>IFERROR(__xludf.DUMMYFUNCTION("""COMPUTED_VALUE"""),45572.0)</f>
        <v>45572</v>
      </c>
      <c r="F523" s="206"/>
      <c r="G523" s="167">
        <f>IFERROR(__xludf.DUMMYFUNCTION("""COMPUTED_VALUE"""),12.266666666666666)</f>
        <v>12.26666667</v>
      </c>
      <c r="H523" s="166">
        <f>IFERROR(__xludf.DUMMYFUNCTION("""COMPUTED_VALUE"""),44435.0)</f>
        <v>44435</v>
      </c>
      <c r="I523" s="167">
        <f>IFERROR(__xludf.DUMMYFUNCTION("""COMPUTED_VALUE"""),3.111111111111111)</f>
        <v>3.111111111</v>
      </c>
      <c r="J523" s="168">
        <f>IFERROR(__xludf.DUMMYFUNCTION("""COMPUTED_VALUE"""),55.0)</f>
        <v>55</v>
      </c>
      <c r="K523" s="168">
        <f>IFERROR(__xludf.DUMMYFUNCTION("""COMPUTED_VALUE"""),2.0)</f>
        <v>2</v>
      </c>
      <c r="L523" s="207" t="str">
        <f>IFERROR(__xludf.DUMMYFUNCTION("""COMPUTED_VALUE"""),"Beat-'Em-Up ")</f>
        <v>Beat-'Em-Up </v>
      </c>
      <c r="M523" s="207"/>
    </row>
    <row r="524">
      <c r="A524" s="203" t="str">
        <f>IFERROR(__xludf.DUMMYFUNCTION("""COMPUTED_VALUE"""),"Redfall")</f>
        <v>Redfall</v>
      </c>
      <c r="B524" s="204" t="str">
        <f>IFERROR(__xludf.DUMMYFUNCTION("""COMPUTED_VALUE"""),"Xbox / PC")</f>
        <v>Xbox / PC</v>
      </c>
      <c r="C524" s="205" t="str">
        <f>IFERROR(__xludf.DUMMYFUNCTION("""COMPUTED_VALUE"""),"Yes")</f>
        <v>Yes</v>
      </c>
      <c r="D524" s="205" t="str">
        <f>IFERROR(__xludf.DUMMYFUNCTION("""COMPUTED_VALUE"""),"Active")</f>
        <v>Active</v>
      </c>
      <c r="E524" s="166">
        <f>IFERROR(__xludf.DUMMYFUNCTION("""COMPUTED_VALUE"""),45048.0)</f>
        <v>45048</v>
      </c>
      <c r="F524" s="206"/>
      <c r="G524" s="167">
        <f>IFERROR(__xludf.DUMMYFUNCTION("""COMPUTED_VALUE"""),29.433333333333337)</f>
        <v>29.43333333</v>
      </c>
      <c r="H524" s="166">
        <f>IFERROR(__xludf.DUMMYFUNCTION("""COMPUTED_VALUE"""),45048.0)</f>
        <v>45048</v>
      </c>
      <c r="I524" s="167">
        <f>IFERROR(__xludf.DUMMYFUNCTION("""COMPUTED_VALUE"""),0.0)</f>
        <v>0</v>
      </c>
      <c r="J524" s="168">
        <f>IFERROR(__xludf.DUMMYFUNCTION("""COMPUTED_VALUE"""),55.0)</f>
        <v>55</v>
      </c>
      <c r="K524" s="168">
        <f>IFERROR(__xludf.DUMMYFUNCTION("""COMPUTED_VALUE"""),11.0)</f>
        <v>11</v>
      </c>
      <c r="L524" s="207" t="str">
        <f>IFERROR(__xludf.DUMMYFUNCTION("""COMPUTED_VALUE"""),"First-Person Shooter")</f>
        <v>First-Person Shooter</v>
      </c>
      <c r="M524" s="207" t="str">
        <f>IFERROR(__xludf.DUMMYFUNCTION("""COMPUTED_VALUE"""),"Exclusive")</f>
        <v>Exclusive</v>
      </c>
    </row>
    <row r="525">
      <c r="A525" s="203" t="str">
        <f>IFERROR(__xludf.DUMMYFUNCTION("""COMPUTED_VALUE"""),"The Settlers: New Allies")</f>
        <v>The Settlers: New Allies</v>
      </c>
      <c r="B525" s="204" t="str">
        <f>IFERROR(__xludf.DUMMYFUNCTION("""COMPUTED_VALUE"""),"Xbox / PC")</f>
        <v>Xbox / PC</v>
      </c>
      <c r="C525" s="205" t="str">
        <f>IFERROR(__xludf.DUMMYFUNCTION("""COMPUTED_VALUE"""),"Yes")</f>
        <v>Yes</v>
      </c>
      <c r="D525" s="205" t="str">
        <f>IFERROR(__xludf.DUMMYFUNCTION("""COMPUTED_VALUE"""),"Active")</f>
        <v>Active</v>
      </c>
      <c r="E525" s="166">
        <f>IFERROR(__xludf.DUMMYFUNCTION("""COMPUTED_VALUE"""),45931.0)</f>
        <v>45931</v>
      </c>
      <c r="F525" s="206"/>
      <c r="G525" s="167">
        <f>IFERROR(__xludf.DUMMYFUNCTION("""COMPUTED_VALUE"""),0.4666666666666667)</f>
        <v>0.4666666667</v>
      </c>
      <c r="H525" s="166">
        <f>IFERROR(__xludf.DUMMYFUNCTION("""COMPUTED_VALUE"""),44974.0)</f>
        <v>44974</v>
      </c>
      <c r="I525" s="167">
        <f>IFERROR(__xludf.DUMMYFUNCTION("""COMPUTED_VALUE"""),2.6222222222222222)</f>
        <v>2.622222222</v>
      </c>
      <c r="J525" s="168">
        <f>IFERROR(__xludf.DUMMYFUNCTION("""COMPUTED_VALUE"""),54.0)</f>
        <v>54</v>
      </c>
      <c r="K525" s="168">
        <f>IFERROR(__xludf.DUMMYFUNCTION("""COMPUTED_VALUE"""),35.0)</f>
        <v>35</v>
      </c>
      <c r="L525" s="207" t="str">
        <f>IFERROR(__xludf.DUMMYFUNCTION("""COMPUTED_VALUE"""),"Management")</f>
        <v>Management</v>
      </c>
      <c r="M525" s="207"/>
    </row>
    <row r="526">
      <c r="A526" s="203" t="str">
        <f>IFERROR(__xludf.DUMMYFUNCTION("""COMPUTED_VALUE"""),"Rabbids Invasion: The Interactive TV Show")</f>
        <v>Rabbids Invasion: The Interactive TV Show</v>
      </c>
      <c r="B526" s="204" t="str">
        <f>IFERROR(__xludf.DUMMYFUNCTION("""COMPUTED_VALUE"""),"Xbox")</f>
        <v>Xbox</v>
      </c>
      <c r="C526" s="205" t="str">
        <f>IFERROR(__xludf.DUMMYFUNCTION("""COMPUTED_VALUE"""),"Yes")</f>
        <v>Yes</v>
      </c>
      <c r="D526" s="205" t="str">
        <f>IFERROR(__xludf.DUMMYFUNCTION("""COMPUTED_VALUE"""),"Active")</f>
        <v>Active</v>
      </c>
      <c r="E526" s="166">
        <f>IFERROR(__xludf.DUMMYFUNCTION("""COMPUTED_VALUE"""),45931.0)</f>
        <v>45931</v>
      </c>
      <c r="F526" s="206"/>
      <c r="G526" s="167">
        <f>IFERROR(__xludf.DUMMYFUNCTION("""COMPUTED_VALUE"""),0.4666666666666667)</f>
        <v>0.4666666667</v>
      </c>
      <c r="H526" s="166">
        <f>IFERROR(__xludf.DUMMYFUNCTION("""COMPUTED_VALUE"""),41951.0)</f>
        <v>41951</v>
      </c>
      <c r="I526" s="167">
        <f>IFERROR(__xludf.DUMMYFUNCTION("""COMPUTED_VALUE"""),10.897222222222222)</f>
        <v>10.89722222</v>
      </c>
      <c r="J526" s="168">
        <f>IFERROR(__xludf.DUMMYFUNCTION("""COMPUTED_VALUE"""),53.0)</f>
        <v>53</v>
      </c>
      <c r="K526" s="168">
        <f>IFERROR(__xludf.DUMMYFUNCTION("""COMPUTED_VALUE"""),10.0)</f>
        <v>10</v>
      </c>
      <c r="L526" s="207" t="str">
        <f>IFERROR(__xludf.DUMMYFUNCTION("""COMPUTED_VALUE"""),"Party")</f>
        <v>Party</v>
      </c>
      <c r="M526" s="207"/>
    </row>
    <row r="527">
      <c r="A527" s="203" t="str">
        <f>IFERROR(__xludf.DUMMYFUNCTION("""COMPUTED_VALUE"""),"Halo: Spartan Assault")</f>
        <v>Halo: Spartan Assault</v>
      </c>
      <c r="B527" s="204" t="str">
        <f>IFERROR(__xludf.DUMMYFUNCTION("""COMPUTED_VALUE"""),"Xbox / PC")</f>
        <v>Xbox / PC</v>
      </c>
      <c r="C527" s="205" t="str">
        <f>IFERROR(__xludf.DUMMYFUNCTION("""COMPUTED_VALUE"""),"Touch Controls")</f>
        <v>Touch Controls</v>
      </c>
      <c r="D527" s="205" t="str">
        <f>IFERROR(__xludf.DUMMYFUNCTION("""COMPUTED_VALUE"""),"Active")</f>
        <v>Active</v>
      </c>
      <c r="E527" s="166">
        <f>IFERROR(__xludf.DUMMYFUNCTION("""COMPUTED_VALUE"""),42887.0)</f>
        <v>42887</v>
      </c>
      <c r="F527" s="206"/>
      <c r="G527" s="167">
        <f>IFERROR(__xludf.DUMMYFUNCTION("""COMPUTED_VALUE"""),100.46666666666667)</f>
        <v>100.4666667</v>
      </c>
      <c r="H527" s="166">
        <f>IFERROR(__xludf.DUMMYFUNCTION("""COMPUTED_VALUE"""),41473.0)</f>
        <v>41473</v>
      </c>
      <c r="I527" s="167">
        <f>IFERROR(__xludf.DUMMYFUNCTION("""COMPUTED_VALUE"""),3.8694444444444445)</f>
        <v>3.869444444</v>
      </c>
      <c r="J527" s="168">
        <f>IFERROR(__xludf.DUMMYFUNCTION("""COMPUTED_VALUE"""),53.0)</f>
        <v>53</v>
      </c>
      <c r="K527" s="168">
        <f>IFERROR(__xludf.DUMMYFUNCTION("""COMPUTED_VALUE"""),4.0)</f>
        <v>4</v>
      </c>
      <c r="L527" s="207" t="str">
        <f>IFERROR(__xludf.DUMMYFUNCTION("""COMPUTED_VALUE"""),"Dual-Joystick Shooter")</f>
        <v>Dual-Joystick Shooter</v>
      </c>
      <c r="M527" s="207" t="str">
        <f>IFERROR(__xludf.DUMMYFUNCTION("""COMPUTED_VALUE"""),"FPS Boost")</f>
        <v>FPS Boost</v>
      </c>
    </row>
    <row r="528">
      <c r="A528" s="203" t="str">
        <f>IFERROR(__xludf.DUMMYFUNCTION("""COMPUTED_VALUE"""),"Generation Zero")</f>
        <v>Generation Zero</v>
      </c>
      <c r="B528" s="204" t="str">
        <f>IFERROR(__xludf.DUMMYFUNCTION("""COMPUTED_VALUE"""),"Xbox / PC")</f>
        <v>Xbox / PC</v>
      </c>
      <c r="C528" s="205" t="str">
        <f>IFERROR(__xludf.DUMMYFUNCTION("""COMPUTED_VALUE"""),"Yes")</f>
        <v>Yes</v>
      </c>
      <c r="D528" s="205" t="str">
        <f>IFERROR(__xludf.DUMMYFUNCTION("""COMPUTED_VALUE"""),"Active")</f>
        <v>Active</v>
      </c>
      <c r="E528" s="166">
        <f>IFERROR(__xludf.DUMMYFUNCTION("""COMPUTED_VALUE"""),44531.0)</f>
        <v>44531</v>
      </c>
      <c r="F528" s="206"/>
      <c r="G528" s="167">
        <f>IFERROR(__xludf.DUMMYFUNCTION("""COMPUTED_VALUE"""),46.46666666666667)</f>
        <v>46.46666667</v>
      </c>
      <c r="H528" s="166">
        <f>IFERROR(__xludf.DUMMYFUNCTION("""COMPUTED_VALUE"""),43550.0)</f>
        <v>43550</v>
      </c>
      <c r="I528" s="167">
        <f>IFERROR(__xludf.DUMMYFUNCTION("""COMPUTED_VALUE"""),2.6805555555555554)</f>
        <v>2.680555556</v>
      </c>
      <c r="J528" s="168">
        <f>IFERROR(__xludf.DUMMYFUNCTION("""COMPUTED_VALUE"""),50.5)</f>
        <v>50.5</v>
      </c>
      <c r="K528" s="168">
        <f>IFERROR(__xludf.DUMMYFUNCTION("""COMPUTED_VALUE"""),21.5)</f>
        <v>21.5</v>
      </c>
      <c r="L528" s="207" t="str">
        <f>IFERROR(__xludf.DUMMYFUNCTION("""COMPUTED_VALUE"""),"First-Person Shooter")</f>
        <v>First-Person Shooter</v>
      </c>
      <c r="M528" s="207"/>
    </row>
    <row r="529">
      <c r="A529" s="203" t="str">
        <f>IFERROR(__xludf.DUMMYFUNCTION("""COMPUTED_VALUE"""),"Dead Space: Ignition")</f>
        <v>Dead Space: Ignition</v>
      </c>
      <c r="B529" s="204" t="str">
        <f>IFERROR(__xludf.DUMMYFUNCTION("""COMPUTED_VALUE"""),"Xbox")</f>
        <v>Xbox</v>
      </c>
      <c r="C529" s="205"/>
      <c r="D529" s="205" t="str">
        <f>IFERROR(__xludf.DUMMYFUNCTION("""COMPUTED_VALUE"""),"Active")</f>
        <v>Active</v>
      </c>
      <c r="E529" s="166">
        <f>IFERROR(__xludf.DUMMYFUNCTION("""COMPUTED_VALUE"""),44145.0)</f>
        <v>44145</v>
      </c>
      <c r="F529" s="206"/>
      <c r="G529" s="167">
        <f>IFERROR(__xludf.DUMMYFUNCTION("""COMPUTED_VALUE"""),59.166666666666664)</f>
        <v>59.16666667</v>
      </c>
      <c r="H529" s="166">
        <f>IFERROR(__xludf.DUMMYFUNCTION("""COMPUTED_VALUE"""),40463.0)</f>
        <v>40463</v>
      </c>
      <c r="I529" s="167">
        <f>IFERROR(__xludf.DUMMYFUNCTION("""COMPUTED_VALUE"""),10.077777777777778)</f>
        <v>10.07777778</v>
      </c>
      <c r="J529" s="168">
        <f>IFERROR(__xludf.DUMMYFUNCTION("""COMPUTED_VALUE"""),35.0)</f>
        <v>35</v>
      </c>
      <c r="K529" s="168">
        <f>IFERROR(__xludf.DUMMYFUNCTION("""COMPUTED_VALUE"""),1.5)</f>
        <v>1.5</v>
      </c>
      <c r="L529" s="207" t="str">
        <f>IFERROR(__xludf.DUMMYFUNCTION("""COMPUTED_VALUE"""),"Puzzle")</f>
        <v>Puzzle</v>
      </c>
      <c r="M529" s="207"/>
    </row>
    <row r="530">
      <c r="A530" s="203" t="str">
        <f>IFERROR(__xludf.DUMMYFUNCTION("""COMPUTED_VALUE"""),"The Outer Worlds 2")</f>
        <v>The Outer Worlds 2</v>
      </c>
      <c r="B530" s="204" t="str">
        <f>IFERROR(__xludf.DUMMYFUNCTION("""COMPUTED_VALUE"""),"Xbox / PC")</f>
        <v>Xbox / PC</v>
      </c>
      <c r="C530" s="205" t="str">
        <f>IFERROR(__xludf.DUMMYFUNCTION("""COMPUTED_VALUE"""),"Yes")</f>
        <v>Yes</v>
      </c>
      <c r="D530" s="205" t="str">
        <f>IFERROR(__xludf.DUMMYFUNCTION("""COMPUTED_VALUE"""),"Coming Soon")</f>
        <v>Coming Soon</v>
      </c>
      <c r="E530" s="166">
        <f>IFERROR(__xludf.DUMMYFUNCTION("""COMPUTED_VALUE"""),45959.0)</f>
        <v>45959</v>
      </c>
      <c r="F530" s="206"/>
      <c r="G530" s="167">
        <f>IFERROR(__xludf.DUMMYFUNCTION("""COMPUTED_VALUE"""),-0.4666666666666667)</f>
        <v>-0.4666666667</v>
      </c>
      <c r="H530" s="166">
        <f>IFERROR(__xludf.DUMMYFUNCTION("""COMPUTED_VALUE"""),45959.0)</f>
        <v>45959</v>
      </c>
      <c r="I530" s="167">
        <f>IFERROR(__xludf.DUMMYFUNCTION("""COMPUTED_VALUE"""),0.0)</f>
        <v>0</v>
      </c>
      <c r="J530" s="168"/>
      <c r="K530" s="168"/>
      <c r="L530" s="207" t="str">
        <f>IFERROR(__xludf.DUMMYFUNCTION("""COMPUTED_VALUE"""),"RPG")</f>
        <v>RPG</v>
      </c>
      <c r="M530" s="207" t="str">
        <f>IFERROR(__xludf.DUMMYFUNCTION("""COMPUTED_VALUE"""),"Exclusive")</f>
        <v>Exclusive</v>
      </c>
    </row>
    <row r="531">
      <c r="A531" s="203" t="str">
        <f>IFERROR(__xludf.DUMMYFUNCTION("""COMPUTED_VALUE"""),"Ninja Gaiden 4")</f>
        <v>Ninja Gaiden 4</v>
      </c>
      <c r="B531" s="204" t="str">
        <f>IFERROR(__xludf.DUMMYFUNCTION("""COMPUTED_VALUE"""),"Xbox / PC")</f>
        <v>Xbox / PC</v>
      </c>
      <c r="C531" s="205" t="str">
        <f>IFERROR(__xludf.DUMMYFUNCTION("""COMPUTED_VALUE"""),"Yes")</f>
        <v>Yes</v>
      </c>
      <c r="D531" s="205" t="str">
        <f>IFERROR(__xludf.DUMMYFUNCTION("""COMPUTED_VALUE"""),"Coming Soon")</f>
        <v>Coming Soon</v>
      </c>
      <c r="E531" s="166">
        <f>IFERROR(__xludf.DUMMYFUNCTION("""COMPUTED_VALUE"""),45951.0)</f>
        <v>45951</v>
      </c>
      <c r="F531" s="206"/>
      <c r="G531" s="167">
        <f>IFERROR(__xludf.DUMMYFUNCTION("""COMPUTED_VALUE"""),-0.2)</f>
        <v>-0.2</v>
      </c>
      <c r="H531" s="166">
        <f>IFERROR(__xludf.DUMMYFUNCTION("""COMPUTED_VALUE"""),45951.0)</f>
        <v>45951</v>
      </c>
      <c r="I531" s="167">
        <f>IFERROR(__xludf.DUMMYFUNCTION("""COMPUTED_VALUE"""),0.0)</f>
        <v>0</v>
      </c>
      <c r="J531" s="168"/>
      <c r="K531" s="168"/>
      <c r="L531" s="207" t="str">
        <f>IFERROR(__xludf.DUMMYFUNCTION("""COMPUTED_VALUE"""),"Action-Adventure")</f>
        <v>Action-Adventure</v>
      </c>
      <c r="M531" s="207" t="str">
        <f>IFERROR(__xludf.DUMMYFUNCTION("""COMPUTED_VALUE"""),"Exclusive")</f>
        <v>Exclusive</v>
      </c>
    </row>
    <row r="532">
      <c r="A532" s="203" t="str">
        <f>IFERROR(__xludf.DUMMYFUNCTION("""COMPUTED_VALUE"""),"Keeper")</f>
        <v>Keeper</v>
      </c>
      <c r="B532" s="204" t="str">
        <f>IFERROR(__xludf.DUMMYFUNCTION("""COMPUTED_VALUE"""),"Xbox / PC")</f>
        <v>Xbox / PC</v>
      </c>
      <c r="C532" s="205" t="str">
        <f>IFERROR(__xludf.DUMMYFUNCTION("""COMPUTED_VALUE"""),"Yes")</f>
        <v>Yes</v>
      </c>
      <c r="D532" s="205" t="str">
        <f>IFERROR(__xludf.DUMMYFUNCTION("""COMPUTED_VALUE"""),"Coming Soon")</f>
        <v>Coming Soon</v>
      </c>
      <c r="E532" s="166">
        <f>IFERROR(__xludf.DUMMYFUNCTION("""COMPUTED_VALUE"""),45947.0)</f>
        <v>45947</v>
      </c>
      <c r="F532" s="206"/>
      <c r="G532" s="167">
        <f>IFERROR(__xludf.DUMMYFUNCTION("""COMPUTED_VALUE"""),-0.06666666666666667)</f>
        <v>-0.06666666667</v>
      </c>
      <c r="H532" s="166">
        <f>IFERROR(__xludf.DUMMYFUNCTION("""COMPUTED_VALUE"""),45947.0)</f>
        <v>45947</v>
      </c>
      <c r="I532" s="167">
        <f>IFERROR(__xludf.DUMMYFUNCTION("""COMPUTED_VALUE"""),0.0)</f>
        <v>0</v>
      </c>
      <c r="J532" s="168"/>
      <c r="K532" s="168"/>
      <c r="L532" s="207" t="str">
        <f>IFERROR(__xludf.DUMMYFUNCTION("""COMPUTED_VALUE"""),"Action-Adventure")</f>
        <v>Action-Adventure</v>
      </c>
      <c r="M532" s="207" t="str">
        <f>IFERROR(__xludf.DUMMYFUNCTION("""COMPUTED_VALUE"""),"Exclusive")</f>
        <v>Exclusive</v>
      </c>
    </row>
    <row r="533">
      <c r="A533" s="203" t="str">
        <f>IFERROR(__xludf.DUMMYFUNCTION("""COMPUTED_VALUE"""),"Ball x Pit")</f>
        <v>Ball x Pit</v>
      </c>
      <c r="B533" s="204" t="str">
        <f>IFERROR(__xludf.DUMMYFUNCTION("""COMPUTED_VALUE"""),"Xbox / PC")</f>
        <v>Xbox / PC</v>
      </c>
      <c r="C533" s="205" t="str">
        <f>IFERROR(__xludf.DUMMYFUNCTION("""COMPUTED_VALUE"""),"Yes")</f>
        <v>Yes</v>
      </c>
      <c r="D533" s="205" t="str">
        <f>IFERROR(__xludf.DUMMYFUNCTION("""COMPUTED_VALUE"""),"Active")</f>
        <v>Active</v>
      </c>
      <c r="E533" s="166">
        <f>IFERROR(__xludf.DUMMYFUNCTION("""COMPUTED_VALUE"""),45945.0)</f>
        <v>45945</v>
      </c>
      <c r="F533" s="206"/>
      <c r="G533" s="167">
        <f>IFERROR(__xludf.DUMMYFUNCTION("""COMPUTED_VALUE"""),0.0)</f>
        <v>0</v>
      </c>
      <c r="H533" s="166">
        <f>IFERROR(__xludf.DUMMYFUNCTION("""COMPUTED_VALUE"""),45945.0)</f>
        <v>45945</v>
      </c>
      <c r="I533" s="167">
        <f>IFERROR(__xludf.DUMMYFUNCTION("""COMPUTED_VALUE"""),0.0)</f>
        <v>0</v>
      </c>
      <c r="J533" s="168"/>
      <c r="K533" s="168"/>
      <c r="L533" s="207" t="str">
        <f>IFERROR(__xludf.DUMMYFUNCTION("""COMPUTED_VALUE"""),"Shoot-'Em-Up")</f>
        <v>Shoot-'Em-Up</v>
      </c>
      <c r="M533" s="207"/>
    </row>
    <row r="534">
      <c r="A534" s="203" t="str">
        <f>IFERROR(__xludf.DUMMYFUNCTION("""COMPUTED_VALUE"""),"Supermarket Simulator")</f>
        <v>Supermarket Simulator</v>
      </c>
      <c r="B534" s="204" t="str">
        <f>IFERROR(__xludf.DUMMYFUNCTION("""COMPUTED_VALUE"""),"Xbox / PC")</f>
        <v>Xbox / PC</v>
      </c>
      <c r="C534" s="205" t="str">
        <f>IFERROR(__xludf.DUMMYFUNCTION("""COMPUTED_VALUE"""),"Yes")</f>
        <v>Yes</v>
      </c>
      <c r="D534" s="205" t="str">
        <f>IFERROR(__xludf.DUMMYFUNCTION("""COMPUTED_VALUE"""),"Active")</f>
        <v>Active</v>
      </c>
      <c r="E534" s="166">
        <f>IFERROR(__xludf.DUMMYFUNCTION("""COMPUTED_VALUE"""),45938.0)</f>
        <v>45938</v>
      </c>
      <c r="F534" s="206"/>
      <c r="G534" s="167">
        <f>IFERROR(__xludf.DUMMYFUNCTION("""COMPUTED_VALUE"""),0.23333333333333334)</f>
        <v>0.2333333333</v>
      </c>
      <c r="H534" s="166">
        <f>IFERROR(__xludf.DUMMYFUNCTION("""COMPUTED_VALUE"""),45827.0)</f>
        <v>45827</v>
      </c>
      <c r="I534" s="167">
        <f>IFERROR(__xludf.DUMMYFUNCTION("""COMPUTED_VALUE"""),0.30277777777777776)</f>
        <v>0.3027777778</v>
      </c>
      <c r="J534" s="168"/>
      <c r="K534" s="168"/>
      <c r="L534" s="207" t="str">
        <f>IFERROR(__xludf.DUMMYFUNCTION("""COMPUTED_VALUE"""),"Simulation")</f>
        <v>Simulation</v>
      </c>
      <c r="M534" s="207"/>
    </row>
    <row r="535">
      <c r="A535" s="203" t="str">
        <f>IFERROR(__xludf.DUMMYFUNCTION("""COMPUTED_VALUE"""),"Monopoly Madness")</f>
        <v>Monopoly Madness</v>
      </c>
      <c r="B535" s="204" t="str">
        <f>IFERROR(__xludf.DUMMYFUNCTION("""COMPUTED_VALUE"""),"Xbox / PC")</f>
        <v>Xbox / PC</v>
      </c>
      <c r="C535" s="205" t="str">
        <f>IFERROR(__xludf.DUMMYFUNCTION("""COMPUTED_VALUE"""),"Yes")</f>
        <v>Yes</v>
      </c>
      <c r="D535" s="205" t="str">
        <f>IFERROR(__xludf.DUMMYFUNCTION("""COMPUTED_VALUE"""),"Active")</f>
        <v>Active</v>
      </c>
      <c r="E535" s="166">
        <f>IFERROR(__xludf.DUMMYFUNCTION("""COMPUTED_VALUE"""),45931.0)</f>
        <v>45931</v>
      </c>
      <c r="F535" s="206"/>
      <c r="G535" s="167">
        <f>IFERROR(__xludf.DUMMYFUNCTION("""COMPUTED_VALUE"""),0.4666666666666667)</f>
        <v>0.4666666667</v>
      </c>
      <c r="H535" s="166">
        <f>IFERROR(__xludf.DUMMYFUNCTION("""COMPUTED_VALUE"""),44914.0)</f>
        <v>44914</v>
      </c>
      <c r="I535" s="167">
        <f>IFERROR(__xludf.DUMMYFUNCTION("""COMPUTED_VALUE"""),2.783333333333333)</f>
        <v>2.783333333</v>
      </c>
      <c r="J535" s="168"/>
      <c r="K535" s="168">
        <f>IFERROR(__xludf.DUMMYFUNCTION("""COMPUTED_VALUE"""),6.0)</f>
        <v>6</v>
      </c>
      <c r="L535" s="207" t="str">
        <f>IFERROR(__xludf.DUMMYFUNCTION("""COMPUTED_VALUE"""),"Party")</f>
        <v>Party</v>
      </c>
      <c r="M535" s="207"/>
    </row>
    <row r="536">
      <c r="A536" s="203" t="str">
        <f>IFERROR(__xludf.DUMMYFUNCTION("""COMPUTED_VALUE"""),"SWORN")</f>
        <v>SWORN</v>
      </c>
      <c r="B536" s="204" t="str">
        <f>IFERROR(__xludf.DUMMYFUNCTION("""COMPUTED_VALUE"""),"Xbox / PC")</f>
        <v>Xbox / PC</v>
      </c>
      <c r="C536" s="205" t="str">
        <f>IFERROR(__xludf.DUMMYFUNCTION("""COMPUTED_VALUE"""),"Yes")</f>
        <v>Yes</v>
      </c>
      <c r="D536" s="205" t="str">
        <f>IFERROR(__xludf.DUMMYFUNCTION("""COMPUTED_VALUE"""),"Active")</f>
        <v>Active</v>
      </c>
      <c r="E536" s="166">
        <f>IFERROR(__xludf.DUMMYFUNCTION("""COMPUTED_VALUE"""),45923.0)</f>
        <v>45923</v>
      </c>
      <c r="F536" s="206"/>
      <c r="G536" s="167">
        <f>IFERROR(__xludf.DUMMYFUNCTION("""COMPUTED_VALUE"""),0.7333333333333333)</f>
        <v>0.7333333333</v>
      </c>
      <c r="H536" s="166">
        <f>IFERROR(__xludf.DUMMYFUNCTION("""COMPUTED_VALUE"""),45923.0)</f>
        <v>45923</v>
      </c>
      <c r="I536" s="167">
        <f>IFERROR(__xludf.DUMMYFUNCTION("""COMPUTED_VALUE"""),0.0)</f>
        <v>0</v>
      </c>
      <c r="J536" s="168"/>
      <c r="K536" s="168"/>
      <c r="L536" s="207" t="str">
        <f>IFERROR(__xludf.DUMMYFUNCTION("""COMPUTED_VALUE"""),"RPG")</f>
        <v>RPG</v>
      </c>
      <c r="M536" s="207" t="str">
        <f>IFERROR(__xludf.DUMMYFUNCTION("""COMPUTED_VALUE"""),"Exclusive")</f>
        <v>Exclusive</v>
      </c>
    </row>
    <row r="537">
      <c r="A537" s="203" t="str">
        <f>IFERROR(__xludf.DUMMYFUNCTION("""COMPUTED_VALUE"""),"Deep Rock Galactic: Survivor")</f>
        <v>Deep Rock Galactic: Survivor</v>
      </c>
      <c r="B537" s="204" t="str">
        <f>IFERROR(__xludf.DUMMYFUNCTION("""COMPUTED_VALUE"""),"Xbox / PC")</f>
        <v>Xbox / PC</v>
      </c>
      <c r="C537" s="205" t="str">
        <f>IFERROR(__xludf.DUMMYFUNCTION("""COMPUTED_VALUE"""),"Yes")</f>
        <v>Yes</v>
      </c>
      <c r="D537" s="205" t="str">
        <f>IFERROR(__xludf.DUMMYFUNCTION("""COMPUTED_VALUE"""),"Active")</f>
        <v>Active</v>
      </c>
      <c r="E537" s="166">
        <f>IFERROR(__xludf.DUMMYFUNCTION("""COMPUTED_VALUE"""),45917.0)</f>
        <v>45917</v>
      </c>
      <c r="F537" s="206"/>
      <c r="G537" s="167">
        <f>IFERROR(__xludf.DUMMYFUNCTION("""COMPUTED_VALUE"""),0.9333333333333333)</f>
        <v>0.9333333333</v>
      </c>
      <c r="H537" s="166">
        <f>IFERROR(__xludf.DUMMYFUNCTION("""COMPUTED_VALUE"""),45917.0)</f>
        <v>45917</v>
      </c>
      <c r="I537" s="167">
        <f>IFERROR(__xludf.DUMMYFUNCTION("""COMPUTED_VALUE"""),0.0)</f>
        <v>0</v>
      </c>
      <c r="J537" s="168"/>
      <c r="K537" s="168">
        <f>IFERROR(__xludf.DUMMYFUNCTION("""COMPUTED_VALUE"""),15.0)</f>
        <v>15</v>
      </c>
      <c r="L537" s="207" t="str">
        <f>IFERROR(__xludf.DUMMYFUNCTION("""COMPUTED_VALUE"""),"Shooter")</f>
        <v>Shooter</v>
      </c>
      <c r="M537" s="207" t="str">
        <f>IFERROR(__xludf.DUMMYFUNCTION("""COMPUTED_VALUE"""),"Exclusive")</f>
        <v>Exclusive</v>
      </c>
    </row>
    <row r="538">
      <c r="A538" s="203" t="str">
        <f>IFERROR(__xludf.DUMMYFUNCTION("""COMPUTED_VALUE"""),"Hollow Knight: Silksong")</f>
        <v>Hollow Knight: Silksong</v>
      </c>
      <c r="B538" s="204" t="str">
        <f>IFERROR(__xludf.DUMMYFUNCTION("""COMPUTED_VALUE"""),"Xbox / PC")</f>
        <v>Xbox / PC</v>
      </c>
      <c r="C538" s="205" t="str">
        <f>IFERROR(__xludf.DUMMYFUNCTION("""COMPUTED_VALUE"""),"Yes")</f>
        <v>Yes</v>
      </c>
      <c r="D538" s="205" t="str">
        <f>IFERROR(__xludf.DUMMYFUNCTION("""COMPUTED_VALUE"""),"Active")</f>
        <v>Active</v>
      </c>
      <c r="E538" s="166">
        <f>IFERROR(__xludf.DUMMYFUNCTION("""COMPUTED_VALUE"""),45904.0)</f>
        <v>45904</v>
      </c>
      <c r="F538" s="206"/>
      <c r="G538" s="167">
        <f>IFERROR(__xludf.DUMMYFUNCTION("""COMPUTED_VALUE"""),1.3666666666666667)</f>
        <v>1.366666667</v>
      </c>
      <c r="H538" s="166">
        <f>IFERROR(__xludf.DUMMYFUNCTION("""COMPUTED_VALUE"""),45904.0)</f>
        <v>45904</v>
      </c>
      <c r="I538" s="167">
        <f>IFERROR(__xludf.DUMMYFUNCTION("""COMPUTED_VALUE"""),0.0)</f>
        <v>0</v>
      </c>
      <c r="J538" s="168"/>
      <c r="K538" s="168"/>
      <c r="L538" s="207" t="str">
        <f>IFERROR(__xludf.DUMMYFUNCTION("""COMPUTED_VALUE"""),"Metroidvania")</f>
        <v>Metroidvania</v>
      </c>
      <c r="M538" s="207"/>
    </row>
    <row r="539">
      <c r="A539" s="203" t="str">
        <f>IFERROR(__xludf.DUMMYFUNCTION("""COMPUTED_VALUE"""),"Caesar III")</f>
        <v>Caesar III</v>
      </c>
      <c r="B539" s="204" t="str">
        <f>IFERROR(__xludf.DUMMYFUNCTION("""COMPUTED_VALUE"""),"Xbox / PC")</f>
        <v>Xbox / PC</v>
      </c>
      <c r="C539" s="205" t="str">
        <f>IFERROR(__xludf.DUMMYFUNCTION("""COMPUTED_VALUE"""),"Yes")</f>
        <v>Yes</v>
      </c>
      <c r="D539" s="205" t="str">
        <f>IFERROR(__xludf.DUMMYFUNCTION("""COMPUTED_VALUE"""),"Active")</f>
        <v>Active</v>
      </c>
      <c r="E539" s="166">
        <f>IFERROR(__xludf.DUMMYFUNCTION("""COMPUTED_VALUE"""),45883.0)</f>
        <v>45883</v>
      </c>
      <c r="F539" s="206"/>
      <c r="G539" s="167">
        <f>IFERROR(__xludf.DUMMYFUNCTION("""COMPUTED_VALUE"""),2.033333333333333)</f>
        <v>2.033333333</v>
      </c>
      <c r="H539" s="166">
        <f>IFERROR(__xludf.DUMMYFUNCTION("""COMPUTED_VALUE"""),36068.0)</f>
        <v>36068</v>
      </c>
      <c r="I539" s="167">
        <f>IFERROR(__xludf.DUMMYFUNCTION("""COMPUTED_VALUE"""),26.872222222222224)</f>
        <v>26.87222222</v>
      </c>
      <c r="J539" s="168"/>
      <c r="K539" s="168"/>
      <c r="L539" s="207"/>
      <c r="M539" s="207"/>
    </row>
    <row r="540">
      <c r="A540" s="203" t="str">
        <f>IFERROR(__xludf.DUMMYFUNCTION("""COMPUTED_VALUE"""),"Climber 5")</f>
        <v>Climber 5</v>
      </c>
      <c r="B540" s="204" t="str">
        <f>IFERROR(__xludf.DUMMYFUNCTION("""COMPUTED_VALUE"""),"Xbox / PC")</f>
        <v>Xbox / PC</v>
      </c>
      <c r="C540" s="205" t="str">
        <f>IFERROR(__xludf.DUMMYFUNCTION("""COMPUTED_VALUE"""),"Yes")</f>
        <v>Yes</v>
      </c>
      <c r="D540" s="205" t="str">
        <f>IFERROR(__xludf.DUMMYFUNCTION("""COMPUTED_VALUE"""),"Active")</f>
        <v>Active</v>
      </c>
      <c r="E540" s="166">
        <f>IFERROR(__xludf.DUMMYFUNCTION("""COMPUTED_VALUE"""),45883.0)</f>
        <v>45883</v>
      </c>
      <c r="F540" s="206"/>
      <c r="G540" s="167">
        <f>IFERROR(__xludf.DUMMYFUNCTION("""COMPUTED_VALUE"""),2.033333333333333)</f>
        <v>2.033333333</v>
      </c>
      <c r="H540" s="166">
        <f>IFERROR(__xludf.DUMMYFUNCTION("""COMPUTED_VALUE"""),31778.0)</f>
        <v>31778</v>
      </c>
      <c r="I540" s="167">
        <f>IFERROR(__xludf.DUMMYFUNCTION("""COMPUTED_VALUE"""),38.61944444444445)</f>
        <v>38.61944444</v>
      </c>
      <c r="J540" s="168"/>
      <c r="K540" s="168"/>
      <c r="L540" s="207"/>
      <c r="M540" s="207"/>
    </row>
    <row r="541">
      <c r="A541" s="203" t="str">
        <f>IFERROR(__xludf.DUMMYFUNCTION("""COMPUTED_VALUE"""),"The Colonel's Bequest")</f>
        <v>The Colonel's Bequest</v>
      </c>
      <c r="B541" s="204" t="str">
        <f>IFERROR(__xludf.DUMMYFUNCTION("""COMPUTED_VALUE"""),"Xbox / PC")</f>
        <v>Xbox / PC</v>
      </c>
      <c r="C541" s="205" t="str">
        <f>IFERROR(__xludf.DUMMYFUNCTION("""COMPUTED_VALUE"""),"Yes")</f>
        <v>Yes</v>
      </c>
      <c r="D541" s="205" t="str">
        <f>IFERROR(__xludf.DUMMYFUNCTION("""COMPUTED_VALUE"""),"Active")</f>
        <v>Active</v>
      </c>
      <c r="E541" s="166">
        <f>IFERROR(__xludf.DUMMYFUNCTION("""COMPUTED_VALUE"""),45883.0)</f>
        <v>45883</v>
      </c>
      <c r="F541" s="206"/>
      <c r="G541" s="167">
        <f>IFERROR(__xludf.DUMMYFUNCTION("""COMPUTED_VALUE"""),2.033333333333333)</f>
        <v>2.033333333</v>
      </c>
      <c r="H541" s="166">
        <f>IFERROR(__xludf.DUMMYFUNCTION("""COMPUTED_VALUE"""),32782.0)</f>
        <v>32782</v>
      </c>
      <c r="I541" s="167">
        <f>IFERROR(__xludf.DUMMYFUNCTION("""COMPUTED_VALUE"""),35.86944444444445)</f>
        <v>35.86944444</v>
      </c>
      <c r="J541" s="168"/>
      <c r="K541" s="168"/>
      <c r="L541" s="207"/>
      <c r="M541" s="207"/>
    </row>
    <row r="542">
      <c r="A542" s="203" t="str">
        <f>IFERROR(__xludf.DUMMYFUNCTION("""COMPUTED_VALUE"""),"Private Eye")</f>
        <v>Private Eye</v>
      </c>
      <c r="B542" s="204" t="str">
        <f>IFERROR(__xludf.DUMMYFUNCTION("""COMPUTED_VALUE"""),"Xbox / PC")</f>
        <v>Xbox / PC</v>
      </c>
      <c r="C542" s="205" t="str">
        <f>IFERROR(__xludf.DUMMYFUNCTION("""COMPUTED_VALUE"""),"Yes")</f>
        <v>Yes</v>
      </c>
      <c r="D542" s="205" t="str">
        <f>IFERROR(__xludf.DUMMYFUNCTION("""COMPUTED_VALUE"""),"Active")</f>
        <v>Active</v>
      </c>
      <c r="E542" s="166">
        <f>IFERROR(__xludf.DUMMYFUNCTION("""COMPUTED_VALUE"""),45883.0)</f>
        <v>45883</v>
      </c>
      <c r="F542" s="206"/>
      <c r="G542" s="167">
        <f>IFERROR(__xludf.DUMMYFUNCTION("""COMPUTED_VALUE"""),2.033333333333333)</f>
        <v>2.033333333</v>
      </c>
      <c r="H542" s="166">
        <f>IFERROR(__xludf.DUMMYFUNCTION("""COMPUTED_VALUE"""),30713.0)</f>
        <v>30713</v>
      </c>
      <c r="I542" s="167">
        <f>IFERROR(__xludf.DUMMYFUNCTION("""COMPUTED_VALUE"""),41.53611111111111)</f>
        <v>41.53611111</v>
      </c>
      <c r="J542" s="168"/>
      <c r="K542" s="168"/>
      <c r="L542" s="207"/>
      <c r="M542" s="207"/>
    </row>
    <row r="543">
      <c r="A543" s="203" t="str">
        <f>IFERROR(__xludf.DUMMYFUNCTION("""COMPUTED_VALUE"""),"Oystron")</f>
        <v>Oystron</v>
      </c>
      <c r="B543" s="204" t="str">
        <f>IFERROR(__xludf.DUMMYFUNCTION("""COMPUTED_VALUE"""),"Xbox / PC")</f>
        <v>Xbox / PC</v>
      </c>
      <c r="C543" s="205" t="str">
        <f>IFERROR(__xludf.DUMMYFUNCTION("""COMPUTED_VALUE"""),"Yes")</f>
        <v>Yes</v>
      </c>
      <c r="D543" s="205" t="str">
        <f>IFERROR(__xludf.DUMMYFUNCTION("""COMPUTED_VALUE"""),"Active")</f>
        <v>Active</v>
      </c>
      <c r="E543" s="166">
        <f>IFERROR(__xludf.DUMMYFUNCTION("""COMPUTED_VALUE"""),45883.0)</f>
        <v>45883</v>
      </c>
      <c r="F543" s="206"/>
      <c r="G543" s="167">
        <f>IFERROR(__xludf.DUMMYFUNCTION("""COMPUTED_VALUE"""),2.033333333333333)</f>
        <v>2.033333333</v>
      </c>
      <c r="H543" s="166">
        <f>IFERROR(__xludf.DUMMYFUNCTION("""COMPUTED_VALUE"""),35431.0)</f>
        <v>35431</v>
      </c>
      <c r="I543" s="167">
        <f>IFERROR(__xludf.DUMMYFUNCTION("""COMPUTED_VALUE"""),28.619444444444444)</f>
        <v>28.61944444</v>
      </c>
      <c r="J543" s="168"/>
      <c r="K543" s="168"/>
      <c r="L543" s="207"/>
      <c r="M543" s="207"/>
    </row>
    <row r="544">
      <c r="A544" s="203" t="str">
        <f>IFERROR(__xludf.DUMMYFUNCTION("""COMPUTED_VALUE"""),"Shootin' Gallery")</f>
        <v>Shootin' Gallery</v>
      </c>
      <c r="B544" s="204" t="str">
        <f>IFERROR(__xludf.DUMMYFUNCTION("""COMPUTED_VALUE"""),"Xbox / PC")</f>
        <v>Xbox / PC</v>
      </c>
      <c r="C544" s="205" t="str">
        <f>IFERROR(__xludf.DUMMYFUNCTION("""COMPUTED_VALUE"""),"Yes")</f>
        <v>Yes</v>
      </c>
      <c r="D544" s="205" t="str">
        <f>IFERROR(__xludf.DUMMYFUNCTION("""COMPUTED_VALUE"""),"Active")</f>
        <v>Active</v>
      </c>
      <c r="E544" s="166">
        <f>IFERROR(__xludf.DUMMYFUNCTION("""COMPUTED_VALUE"""),45883.0)</f>
        <v>45883</v>
      </c>
      <c r="F544" s="206"/>
      <c r="G544" s="167">
        <f>IFERROR(__xludf.DUMMYFUNCTION("""COMPUTED_VALUE"""),2.033333333333333)</f>
        <v>2.033333333</v>
      </c>
      <c r="H544" s="166">
        <f>IFERROR(__xludf.DUMMYFUNCTION("""COMPUTED_VALUE"""),29952.0)</f>
        <v>29952</v>
      </c>
      <c r="I544" s="167">
        <f>IFERROR(__xludf.DUMMYFUNCTION("""COMPUTED_VALUE"""),43.61944444444445)</f>
        <v>43.61944444</v>
      </c>
      <c r="J544" s="168"/>
      <c r="K544" s="168"/>
      <c r="L544" s="207"/>
      <c r="M544" s="207"/>
    </row>
    <row r="545">
      <c r="A545" s="203" t="str">
        <f>IFERROR(__xludf.DUMMYFUNCTION("""COMPUTED_VALUE"""),"Wing War")</f>
        <v>Wing War</v>
      </c>
      <c r="B545" s="204" t="str">
        <f>IFERROR(__xludf.DUMMYFUNCTION("""COMPUTED_VALUE"""),"Xbox / PC")</f>
        <v>Xbox / PC</v>
      </c>
      <c r="C545" s="205" t="str">
        <f>IFERROR(__xludf.DUMMYFUNCTION("""COMPUTED_VALUE"""),"Yes")</f>
        <v>Yes</v>
      </c>
      <c r="D545" s="205" t="str">
        <f>IFERROR(__xludf.DUMMYFUNCTION("""COMPUTED_VALUE"""),"Active")</f>
        <v>Active</v>
      </c>
      <c r="E545" s="166">
        <f>IFERROR(__xludf.DUMMYFUNCTION("""COMPUTED_VALUE"""),45883.0)</f>
        <v>45883</v>
      </c>
      <c r="F545" s="206"/>
      <c r="G545" s="167">
        <f>IFERROR(__xludf.DUMMYFUNCTION("""COMPUTED_VALUE"""),2.033333333333333)</f>
        <v>2.033333333</v>
      </c>
      <c r="H545" s="166">
        <f>IFERROR(__xludf.DUMMYFUNCTION("""COMPUTED_VALUE"""),30681.0)</f>
        <v>30681</v>
      </c>
      <c r="I545" s="167">
        <f>IFERROR(__xludf.DUMMYFUNCTION("""COMPUTED_VALUE"""),41.62222222222222)</f>
        <v>41.62222222</v>
      </c>
      <c r="J545" s="168"/>
      <c r="K545" s="168"/>
      <c r="L545" s="207"/>
      <c r="M545" s="207"/>
    </row>
    <row r="546">
      <c r="A546" s="203" t="str">
        <f>IFERROR(__xludf.DUMMYFUNCTION("""COMPUTED_VALUE"""),"Grounded 2 (Game Preview)")</f>
        <v>Grounded 2 (Game Preview)</v>
      </c>
      <c r="B546" s="204" t="str">
        <f>IFERROR(__xludf.DUMMYFUNCTION("""COMPUTED_VALUE"""),"Xbox / PC")</f>
        <v>Xbox / PC</v>
      </c>
      <c r="C546" s="205" t="str">
        <f>IFERROR(__xludf.DUMMYFUNCTION("""COMPUTED_VALUE"""),"Yes")</f>
        <v>Yes</v>
      </c>
      <c r="D546" s="205" t="str">
        <f>IFERROR(__xludf.DUMMYFUNCTION("""COMPUTED_VALUE"""),"Active")</f>
        <v>Active</v>
      </c>
      <c r="E546" s="166">
        <f>IFERROR(__xludf.DUMMYFUNCTION("""COMPUTED_VALUE"""),45867.0)</f>
        <v>45867</v>
      </c>
      <c r="F546" s="206"/>
      <c r="G546" s="167">
        <f>IFERROR(__xludf.DUMMYFUNCTION("""COMPUTED_VALUE"""),2.533333333333333)</f>
        <v>2.533333333</v>
      </c>
      <c r="H546" s="166">
        <f>IFERROR(__xludf.DUMMYFUNCTION("""COMPUTED_VALUE"""),45867.0)</f>
        <v>45867</v>
      </c>
      <c r="I546" s="167">
        <f>IFERROR(__xludf.DUMMYFUNCTION("""COMPUTED_VALUE"""),0.0)</f>
        <v>0</v>
      </c>
      <c r="J546" s="168"/>
      <c r="K546" s="168"/>
      <c r="L546" s="207" t="str">
        <f>IFERROR(__xludf.DUMMYFUNCTION("""COMPUTED_VALUE"""),"Sandbox")</f>
        <v>Sandbox</v>
      </c>
      <c r="M546" s="207" t="str">
        <f>IFERROR(__xludf.DUMMYFUNCTION("""COMPUTED_VALUE"""),"Exclusive")</f>
        <v>Exclusive</v>
      </c>
    </row>
    <row r="547">
      <c r="A547" s="203" t="str">
        <f>IFERROR(__xludf.DUMMYFUNCTION("""COMPUTED_VALUE"""),"Descenders Next (Game Preview)")</f>
        <v>Descenders Next (Game Preview)</v>
      </c>
      <c r="B547" s="204" t="str">
        <f>IFERROR(__xludf.DUMMYFUNCTION("""COMPUTED_VALUE"""),"Xbox / PC")</f>
        <v>Xbox / PC</v>
      </c>
      <c r="C547" s="205" t="str">
        <f>IFERROR(__xludf.DUMMYFUNCTION("""COMPUTED_VALUE"""),"Yes")</f>
        <v>Yes</v>
      </c>
      <c r="D547" s="205" t="str">
        <f>IFERROR(__xludf.DUMMYFUNCTION("""COMPUTED_VALUE"""),"Active")</f>
        <v>Active</v>
      </c>
      <c r="E547" s="166">
        <f>IFERROR(__xludf.DUMMYFUNCTION("""COMPUTED_VALUE"""),45859.0)</f>
        <v>45859</v>
      </c>
      <c r="F547" s="206"/>
      <c r="G547" s="167">
        <f>IFERROR(__xludf.DUMMYFUNCTION("""COMPUTED_VALUE"""),2.8)</f>
        <v>2.8</v>
      </c>
      <c r="H547" s="166">
        <f>IFERROR(__xludf.DUMMYFUNCTION("""COMPUTED_VALUE"""),45859.0)</f>
        <v>45859</v>
      </c>
      <c r="I547" s="167">
        <f>IFERROR(__xludf.DUMMYFUNCTION("""COMPUTED_VALUE"""),0.0)</f>
        <v>0</v>
      </c>
      <c r="J547" s="168"/>
      <c r="K547" s="168"/>
      <c r="L547" s="207" t="str">
        <f>IFERROR(__xludf.DUMMYFUNCTION("""COMPUTED_VALUE"""),"Sports")</f>
        <v>Sports</v>
      </c>
      <c r="M547" s="207"/>
    </row>
    <row r="548">
      <c r="A548" s="203" t="str">
        <f>IFERROR(__xludf.DUMMYFUNCTION("""COMPUTED_VALUE"""),"Caesar")</f>
        <v>Caesar</v>
      </c>
      <c r="B548" s="204" t="str">
        <f>IFERROR(__xludf.DUMMYFUNCTION("""COMPUTED_VALUE"""),"Xbox / PC")</f>
        <v>Xbox / PC</v>
      </c>
      <c r="C548" s="205" t="str">
        <f>IFERROR(__xludf.DUMMYFUNCTION("""COMPUTED_VALUE"""),"Yes")</f>
        <v>Yes</v>
      </c>
      <c r="D548" s="205" t="str">
        <f>IFERROR(__xludf.DUMMYFUNCTION("""COMPUTED_VALUE"""),"Active")</f>
        <v>Active</v>
      </c>
      <c r="E548" s="166">
        <f>IFERROR(__xludf.DUMMYFUNCTION("""COMPUTED_VALUE"""),45859.0)</f>
        <v>45859</v>
      </c>
      <c r="F548" s="206"/>
      <c r="G548" s="167">
        <f>IFERROR(__xludf.DUMMYFUNCTION("""COMPUTED_VALUE"""),2.8)</f>
        <v>2.8</v>
      </c>
      <c r="H548" s="166">
        <f>IFERROR(__xludf.DUMMYFUNCTION("""COMPUTED_VALUE"""),33604.0)</f>
        <v>33604</v>
      </c>
      <c r="I548" s="167">
        <f>IFERROR(__xludf.DUMMYFUNCTION("""COMPUTED_VALUE"""),33.55555555555556)</f>
        <v>33.55555556</v>
      </c>
      <c r="J548" s="168"/>
      <c r="K548" s="168"/>
      <c r="L548" s="207"/>
      <c r="M548" s="207"/>
    </row>
    <row r="549">
      <c r="A549" s="203" t="str">
        <f>IFERROR(__xludf.DUMMYFUNCTION("""COMPUTED_VALUE"""),"Conquests of Camelot: The Search for the Grail")</f>
        <v>Conquests of Camelot: The Search for the Grail</v>
      </c>
      <c r="B549" s="204" t="str">
        <f>IFERROR(__xludf.DUMMYFUNCTION("""COMPUTED_VALUE"""),"Xbox / PC")</f>
        <v>Xbox / PC</v>
      </c>
      <c r="C549" s="205" t="str">
        <f>IFERROR(__xludf.DUMMYFUNCTION("""COMPUTED_VALUE"""),"Yes")</f>
        <v>Yes</v>
      </c>
      <c r="D549" s="205" t="str">
        <f>IFERROR(__xludf.DUMMYFUNCTION("""COMPUTED_VALUE"""),"Active")</f>
        <v>Active</v>
      </c>
      <c r="E549" s="166">
        <f>IFERROR(__xludf.DUMMYFUNCTION("""COMPUTED_VALUE"""),45859.0)</f>
        <v>45859</v>
      </c>
      <c r="F549" s="206"/>
      <c r="G549" s="167">
        <f>IFERROR(__xludf.DUMMYFUNCTION("""COMPUTED_VALUE"""),2.8)</f>
        <v>2.8</v>
      </c>
      <c r="H549" s="166">
        <f>IFERROR(__xludf.DUMMYFUNCTION("""COMPUTED_VALUE"""),32874.0)</f>
        <v>32874</v>
      </c>
      <c r="I549" s="167">
        <f>IFERROR(__xludf.DUMMYFUNCTION("""COMPUTED_VALUE"""),35.55555555555556)</f>
        <v>35.55555556</v>
      </c>
      <c r="J549" s="168"/>
      <c r="K549" s="168"/>
      <c r="L549" s="207"/>
      <c r="M549" s="207"/>
    </row>
    <row r="550">
      <c r="A550" s="203" t="str">
        <f>IFERROR(__xludf.DUMMYFUNCTION("""COMPUTED_VALUE"""),"Gabriel Knight: Sins of the Fathers")</f>
        <v>Gabriel Knight: Sins of the Fathers</v>
      </c>
      <c r="B550" s="204" t="str">
        <f>IFERROR(__xludf.DUMMYFUNCTION("""COMPUTED_VALUE"""),"Xbox / PC")</f>
        <v>Xbox / PC</v>
      </c>
      <c r="C550" s="205" t="str">
        <f>IFERROR(__xludf.DUMMYFUNCTION("""COMPUTED_VALUE"""),"Yes")</f>
        <v>Yes</v>
      </c>
      <c r="D550" s="205" t="str">
        <f>IFERROR(__xludf.DUMMYFUNCTION("""COMPUTED_VALUE"""),"Active")</f>
        <v>Active</v>
      </c>
      <c r="E550" s="166">
        <f>IFERROR(__xludf.DUMMYFUNCTION("""COMPUTED_VALUE"""),45859.0)</f>
        <v>45859</v>
      </c>
      <c r="F550" s="206"/>
      <c r="G550" s="167">
        <f>IFERROR(__xludf.DUMMYFUNCTION("""COMPUTED_VALUE"""),2.8)</f>
        <v>2.8</v>
      </c>
      <c r="H550" s="166">
        <f>IFERROR(__xludf.DUMMYFUNCTION("""COMPUTED_VALUE"""),33970.0)</f>
        <v>33970</v>
      </c>
      <c r="I550" s="167">
        <f>IFERROR(__xludf.DUMMYFUNCTION("""COMPUTED_VALUE"""),32.55555555555556)</f>
        <v>32.55555556</v>
      </c>
      <c r="J550" s="168"/>
      <c r="K550" s="168"/>
      <c r="L550" s="207"/>
      <c r="M550" s="207"/>
    </row>
    <row r="551">
      <c r="A551" s="203" t="str">
        <f>IFERROR(__xludf.DUMMYFUNCTION("""COMPUTED_VALUE"""),"Hard Head")</f>
        <v>Hard Head</v>
      </c>
      <c r="B551" s="204" t="str">
        <f>IFERROR(__xludf.DUMMYFUNCTION("""COMPUTED_VALUE"""),"Xbox / PC")</f>
        <v>Xbox / PC</v>
      </c>
      <c r="C551" s="205" t="str">
        <f>IFERROR(__xludf.DUMMYFUNCTION("""COMPUTED_VALUE"""),"Yes")</f>
        <v>Yes</v>
      </c>
      <c r="D551" s="205" t="str">
        <f>IFERROR(__xludf.DUMMYFUNCTION("""COMPUTED_VALUE"""),"Active")</f>
        <v>Active</v>
      </c>
      <c r="E551" s="166">
        <f>IFERROR(__xludf.DUMMYFUNCTION("""COMPUTED_VALUE"""),45859.0)</f>
        <v>45859</v>
      </c>
      <c r="F551" s="206"/>
      <c r="G551" s="167">
        <f>IFERROR(__xludf.DUMMYFUNCTION("""COMPUTED_VALUE"""),2.8)</f>
        <v>2.8</v>
      </c>
      <c r="H551" s="166">
        <f>IFERROR(__xludf.DUMMYFUNCTION("""COMPUTED_VALUE"""),30317.0)</f>
        <v>30317</v>
      </c>
      <c r="I551" s="167">
        <f>IFERROR(__xludf.DUMMYFUNCTION("""COMPUTED_VALUE"""),42.55555555555556)</f>
        <v>42.55555556</v>
      </c>
      <c r="J551" s="168"/>
      <c r="K551" s="168"/>
      <c r="L551" s="207"/>
      <c r="M551" s="207"/>
    </row>
    <row r="552">
      <c r="A552" s="203" t="str">
        <f>IFERROR(__xludf.DUMMYFUNCTION("""COMPUTED_VALUE"""),"Okie Dokie")</f>
        <v>Okie Dokie</v>
      </c>
      <c r="B552" s="204" t="str">
        <f>IFERROR(__xludf.DUMMYFUNCTION("""COMPUTED_VALUE"""),"Xbox / PC")</f>
        <v>Xbox / PC</v>
      </c>
      <c r="C552" s="205" t="str">
        <f>IFERROR(__xludf.DUMMYFUNCTION("""COMPUTED_VALUE"""),"Yes")</f>
        <v>Yes</v>
      </c>
      <c r="D552" s="205" t="str">
        <f>IFERROR(__xludf.DUMMYFUNCTION("""COMPUTED_VALUE"""),"Active")</f>
        <v>Active</v>
      </c>
      <c r="E552" s="166">
        <f>IFERROR(__xludf.DUMMYFUNCTION("""COMPUTED_VALUE"""),45859.0)</f>
        <v>45859</v>
      </c>
      <c r="F552" s="206"/>
      <c r="G552" s="167">
        <f>IFERROR(__xludf.DUMMYFUNCTION("""COMPUTED_VALUE"""),2.8)</f>
        <v>2.8</v>
      </c>
      <c r="H552" s="166">
        <f>IFERROR(__xludf.DUMMYFUNCTION("""COMPUTED_VALUE"""),35065.0)</f>
        <v>35065</v>
      </c>
      <c r="I552" s="167">
        <f>IFERROR(__xludf.DUMMYFUNCTION("""COMPUTED_VALUE"""),29.555555555555557)</f>
        <v>29.55555556</v>
      </c>
      <c r="J552" s="168"/>
      <c r="K552" s="168"/>
      <c r="L552" s="207"/>
      <c r="M552" s="207"/>
    </row>
    <row r="553">
      <c r="A553" s="203" t="str">
        <f>IFERROR(__xludf.DUMMYFUNCTION("""COMPUTED_VALUE"""),"Skate Boardin'")</f>
        <v>Skate Boardin'</v>
      </c>
      <c r="B553" s="204" t="str">
        <f>IFERROR(__xludf.DUMMYFUNCTION("""COMPUTED_VALUE"""),"Xbox / PC")</f>
        <v>Xbox / PC</v>
      </c>
      <c r="C553" s="205" t="str">
        <f>IFERROR(__xludf.DUMMYFUNCTION("""COMPUTED_VALUE"""),"Yes")</f>
        <v>Yes</v>
      </c>
      <c r="D553" s="205" t="str">
        <f>IFERROR(__xludf.DUMMYFUNCTION("""COMPUTED_VALUE"""),"Active")</f>
        <v>Active</v>
      </c>
      <c r="E553" s="166">
        <f>IFERROR(__xludf.DUMMYFUNCTION("""COMPUTED_VALUE"""),45859.0)</f>
        <v>45859</v>
      </c>
      <c r="F553" s="206"/>
      <c r="G553" s="167">
        <f>IFERROR(__xludf.DUMMYFUNCTION("""COMPUTED_VALUE"""),2.8)</f>
        <v>2.8</v>
      </c>
      <c r="H553" s="166">
        <f>IFERROR(__xludf.DUMMYFUNCTION("""COMPUTED_VALUE"""),31972.0)</f>
        <v>31972</v>
      </c>
      <c r="I553" s="167">
        <f>IFERROR(__xludf.DUMMYFUNCTION("""COMPUTED_VALUE"""),38.019444444444446)</f>
        <v>38.01944444</v>
      </c>
      <c r="J553" s="168"/>
      <c r="K553" s="168"/>
      <c r="L553" s="207"/>
      <c r="M553" s="207"/>
    </row>
    <row r="554">
      <c r="A554" s="203" t="str">
        <f>IFERROR(__xludf.DUMMYFUNCTION("""COMPUTED_VALUE"""),"Skeleton+")</f>
        <v>Skeleton+</v>
      </c>
      <c r="B554" s="204" t="str">
        <f>IFERROR(__xludf.DUMMYFUNCTION("""COMPUTED_VALUE"""),"Xbox / PC")</f>
        <v>Xbox / PC</v>
      </c>
      <c r="C554" s="205" t="str">
        <f>IFERROR(__xludf.DUMMYFUNCTION("""COMPUTED_VALUE"""),"Yes")</f>
        <v>Yes</v>
      </c>
      <c r="D554" s="205" t="str">
        <f>IFERROR(__xludf.DUMMYFUNCTION("""COMPUTED_VALUE"""),"Active")</f>
        <v>Active</v>
      </c>
      <c r="E554" s="166">
        <f>IFERROR(__xludf.DUMMYFUNCTION("""COMPUTED_VALUE"""),45859.0)</f>
        <v>45859</v>
      </c>
      <c r="F554" s="206"/>
      <c r="G554" s="167">
        <f>IFERROR(__xludf.DUMMYFUNCTION("""COMPUTED_VALUE"""),2.8)</f>
        <v>2.8</v>
      </c>
      <c r="H554" s="166">
        <f>IFERROR(__xludf.DUMMYFUNCTION("""COMPUTED_VALUE"""),37622.0)</f>
        <v>37622</v>
      </c>
      <c r="I554" s="167">
        <f>IFERROR(__xludf.DUMMYFUNCTION("""COMPUTED_VALUE"""),22.555555555555557)</f>
        <v>22.55555556</v>
      </c>
      <c r="J554" s="168"/>
      <c r="K554" s="168"/>
      <c r="L554" s="207"/>
      <c r="M554" s="207"/>
    </row>
    <row r="555">
      <c r="A555" s="203" t="str">
        <f>IFERROR(__xludf.DUMMYFUNCTION("""COMPUTED_VALUE"""),"Cosmic Commuter")</f>
        <v>Cosmic Commuter</v>
      </c>
      <c r="B555" s="204" t="str">
        <f>IFERROR(__xludf.DUMMYFUNCTION("""COMPUTED_VALUE"""),"Xbox / PC")</f>
        <v>Xbox / PC</v>
      </c>
      <c r="C555" s="205" t="str">
        <f>IFERROR(__xludf.DUMMYFUNCTION("""COMPUTED_VALUE"""),"Yes")</f>
        <v>Yes</v>
      </c>
      <c r="D555" s="205" t="str">
        <f>IFERROR(__xludf.DUMMYFUNCTION("""COMPUTED_VALUE"""),"Active")</f>
        <v>Active</v>
      </c>
      <c r="E555" s="166">
        <f>IFERROR(__xludf.DUMMYFUNCTION("""COMPUTED_VALUE"""),45839.0)</f>
        <v>45839</v>
      </c>
      <c r="F555" s="206"/>
      <c r="G555" s="167">
        <f>IFERROR(__xludf.DUMMYFUNCTION("""COMPUTED_VALUE"""),3.4666666666666663)</f>
        <v>3.466666667</v>
      </c>
      <c r="H555" s="166">
        <f>IFERROR(__xludf.DUMMYFUNCTION("""COMPUTED_VALUE"""),31048.0)</f>
        <v>31048</v>
      </c>
      <c r="I555" s="167">
        <f>IFERROR(__xludf.DUMMYFUNCTION("""COMPUTED_VALUE"""),40.5)</f>
        <v>40.5</v>
      </c>
      <c r="J555" s="168"/>
      <c r="K555" s="168"/>
      <c r="L555" s="207"/>
      <c r="M555" s="207"/>
    </row>
    <row r="556">
      <c r="A556" s="203" t="str">
        <f>IFERROR(__xludf.DUMMYFUNCTION("""COMPUTED_VALUE"""),"Heart of China")</f>
        <v>Heart of China</v>
      </c>
      <c r="B556" s="204" t="str">
        <f>IFERROR(__xludf.DUMMYFUNCTION("""COMPUTED_VALUE"""),"Xbox / PC")</f>
        <v>Xbox / PC</v>
      </c>
      <c r="C556" s="205" t="str">
        <f>IFERROR(__xludf.DUMMYFUNCTION("""COMPUTED_VALUE"""),"Yes")</f>
        <v>Yes</v>
      </c>
      <c r="D556" s="205" t="str">
        <f>IFERROR(__xludf.DUMMYFUNCTION("""COMPUTED_VALUE"""),"Active")</f>
        <v>Active</v>
      </c>
      <c r="E556" s="166">
        <f>IFERROR(__xludf.DUMMYFUNCTION("""COMPUTED_VALUE"""),45839.0)</f>
        <v>45839</v>
      </c>
      <c r="F556" s="206"/>
      <c r="G556" s="167">
        <f>IFERROR(__xludf.DUMMYFUNCTION("""COMPUTED_VALUE"""),3.4666666666666663)</f>
        <v>3.466666667</v>
      </c>
      <c r="H556" s="166">
        <f>IFERROR(__xludf.DUMMYFUNCTION("""COMPUTED_VALUE"""),33239.0)</f>
        <v>33239</v>
      </c>
      <c r="I556" s="167">
        <f>IFERROR(__xludf.DUMMYFUNCTION("""COMPUTED_VALUE"""),34.5)</f>
        <v>34.5</v>
      </c>
      <c r="J556" s="168"/>
      <c r="K556" s="168">
        <f>IFERROR(__xludf.DUMMYFUNCTION("""COMPUTED_VALUE"""),4.0)</f>
        <v>4</v>
      </c>
      <c r="L556" s="207"/>
      <c r="M556" s="207"/>
    </row>
    <row r="557">
      <c r="A557" s="203" t="str">
        <f>IFERROR(__xludf.DUMMYFUNCTION("""COMPUTED_VALUE"""),"Skiing")</f>
        <v>Skiing</v>
      </c>
      <c r="B557" s="204" t="str">
        <f>IFERROR(__xludf.DUMMYFUNCTION("""COMPUTED_VALUE"""),"Xbox / PC")</f>
        <v>Xbox / PC</v>
      </c>
      <c r="C557" s="205" t="str">
        <f>IFERROR(__xludf.DUMMYFUNCTION("""COMPUTED_VALUE"""),"Yes")</f>
        <v>Yes</v>
      </c>
      <c r="D557" s="205" t="str">
        <f>IFERROR(__xludf.DUMMYFUNCTION("""COMPUTED_VALUE"""),"Active")</f>
        <v>Active</v>
      </c>
      <c r="E557" s="166">
        <f>IFERROR(__xludf.DUMMYFUNCTION("""COMPUTED_VALUE"""),45839.0)</f>
        <v>45839</v>
      </c>
      <c r="F557" s="206"/>
      <c r="G557" s="167">
        <f>IFERROR(__xludf.DUMMYFUNCTION("""COMPUTED_VALUE"""),3.4666666666666663)</f>
        <v>3.466666667</v>
      </c>
      <c r="H557" s="166">
        <f>IFERROR(__xludf.DUMMYFUNCTION("""COMPUTED_VALUE"""),29221.0)</f>
        <v>29221</v>
      </c>
      <c r="I557" s="167">
        <f>IFERROR(__xludf.DUMMYFUNCTION("""COMPUTED_VALUE"""),45.5)</f>
        <v>45.5</v>
      </c>
      <c r="J557" s="168"/>
      <c r="K557" s="168">
        <f>IFERROR(__xludf.DUMMYFUNCTION("""COMPUTED_VALUE"""),1.0)</f>
        <v>1</v>
      </c>
      <c r="L557" s="207"/>
      <c r="M557" s="207"/>
    </row>
    <row r="558">
      <c r="A558" s="203" t="str">
        <f>IFERROR(__xludf.DUMMYFUNCTION("""COMPUTED_VALUE"""),"Solar Storm")</f>
        <v>Solar Storm</v>
      </c>
      <c r="B558" s="204" t="str">
        <f>IFERROR(__xludf.DUMMYFUNCTION("""COMPUTED_VALUE"""),"Xbox / PC")</f>
        <v>Xbox / PC</v>
      </c>
      <c r="C558" s="205" t="str">
        <f>IFERROR(__xludf.DUMMYFUNCTION("""COMPUTED_VALUE"""),"Yes")</f>
        <v>Yes</v>
      </c>
      <c r="D558" s="205" t="str">
        <f>IFERROR(__xludf.DUMMYFUNCTION("""COMPUTED_VALUE"""),"Active")</f>
        <v>Active</v>
      </c>
      <c r="E558" s="166">
        <f>IFERROR(__xludf.DUMMYFUNCTION("""COMPUTED_VALUE"""),45839.0)</f>
        <v>45839</v>
      </c>
      <c r="F558" s="206"/>
      <c r="G558" s="167">
        <f>IFERROR(__xludf.DUMMYFUNCTION("""COMPUTED_VALUE"""),3.4666666666666663)</f>
        <v>3.466666667</v>
      </c>
      <c r="H558" s="166">
        <f>IFERROR(__xludf.DUMMYFUNCTION("""COMPUTED_VALUE"""),30317.0)</f>
        <v>30317</v>
      </c>
      <c r="I558" s="167">
        <f>IFERROR(__xludf.DUMMYFUNCTION("""COMPUTED_VALUE"""),42.5)</f>
        <v>42.5</v>
      </c>
      <c r="J558" s="168"/>
      <c r="K558" s="168"/>
      <c r="L558" s="207"/>
      <c r="M558" s="207"/>
    </row>
    <row r="559">
      <c r="A559" s="203" t="str">
        <f>IFERROR(__xludf.DUMMYFUNCTION("""COMPUTED_VALUE"""),"Subterranea")</f>
        <v>Subterranea</v>
      </c>
      <c r="B559" s="204" t="str">
        <f>IFERROR(__xludf.DUMMYFUNCTION("""COMPUTED_VALUE"""),"Xbox / PC")</f>
        <v>Xbox / PC</v>
      </c>
      <c r="C559" s="205" t="str">
        <f>IFERROR(__xludf.DUMMYFUNCTION("""COMPUTED_VALUE"""),"Yes")</f>
        <v>Yes</v>
      </c>
      <c r="D559" s="205" t="str">
        <f>IFERROR(__xludf.DUMMYFUNCTION("""COMPUTED_VALUE"""),"Active")</f>
        <v>Active</v>
      </c>
      <c r="E559" s="166">
        <f>IFERROR(__xludf.DUMMYFUNCTION("""COMPUTED_VALUE"""),45839.0)</f>
        <v>45839</v>
      </c>
      <c r="F559" s="206"/>
      <c r="G559" s="167">
        <f>IFERROR(__xludf.DUMMYFUNCTION("""COMPUTED_VALUE"""),3.4666666666666663)</f>
        <v>3.466666667</v>
      </c>
      <c r="H559" s="166">
        <f>IFERROR(__xludf.DUMMYFUNCTION("""COMPUTED_VALUE"""),30317.0)</f>
        <v>30317</v>
      </c>
      <c r="I559" s="167">
        <f>IFERROR(__xludf.DUMMYFUNCTION("""COMPUTED_VALUE"""),42.5)</f>
        <v>42.5</v>
      </c>
      <c r="J559" s="168"/>
      <c r="K559" s="168"/>
      <c r="L559" s="207"/>
      <c r="M559" s="207"/>
    </row>
    <row r="560">
      <c r="A560" s="203" t="str">
        <f>IFERROR(__xludf.DUMMYFUNCTION("""COMPUTED_VALUE"""),"Activision Prototype #1")</f>
        <v>Activision Prototype #1</v>
      </c>
      <c r="B560" s="204" t="str">
        <f>IFERROR(__xludf.DUMMYFUNCTION("""COMPUTED_VALUE"""),"Xbox / PC")</f>
        <v>Xbox / PC</v>
      </c>
      <c r="C560" s="205" t="str">
        <f>IFERROR(__xludf.DUMMYFUNCTION("""COMPUTED_VALUE"""),"Yes")</f>
        <v>Yes</v>
      </c>
      <c r="D560" s="205" t="str">
        <f>IFERROR(__xludf.DUMMYFUNCTION("""COMPUTED_VALUE"""),"Active")</f>
        <v>Active</v>
      </c>
      <c r="E560" s="166">
        <f>IFERROR(__xludf.DUMMYFUNCTION("""COMPUTED_VALUE"""),45798.0)</f>
        <v>45798</v>
      </c>
      <c r="F560" s="206"/>
      <c r="G560" s="167">
        <f>IFERROR(__xludf.DUMMYFUNCTION("""COMPUTED_VALUE"""),4.800000000000001)</f>
        <v>4.8</v>
      </c>
      <c r="H560" s="166">
        <f>IFERROR(__xludf.DUMMYFUNCTION("""COMPUTED_VALUE"""),30317.0)</f>
        <v>30317</v>
      </c>
      <c r="I560" s="167">
        <f>IFERROR(__xludf.DUMMYFUNCTION("""COMPUTED_VALUE"""),42.388888888888886)</f>
        <v>42.38888889</v>
      </c>
      <c r="J560" s="168"/>
      <c r="K560" s="168"/>
      <c r="L560" s="207"/>
      <c r="M560" s="207"/>
    </row>
    <row r="561">
      <c r="A561" s="203" t="str">
        <f>IFERROR(__xludf.DUMMYFUNCTION("""COMPUTED_VALUE"""),"Atlantis")</f>
        <v>Atlantis</v>
      </c>
      <c r="B561" s="204" t="str">
        <f>IFERROR(__xludf.DUMMYFUNCTION("""COMPUTED_VALUE"""),"Xbox / PC")</f>
        <v>Xbox / PC</v>
      </c>
      <c r="C561" s="205" t="str">
        <f>IFERROR(__xludf.DUMMYFUNCTION("""COMPUTED_VALUE"""),"Yes")</f>
        <v>Yes</v>
      </c>
      <c r="D561" s="205" t="str">
        <f>IFERROR(__xludf.DUMMYFUNCTION("""COMPUTED_VALUE"""),"Active")</f>
        <v>Active</v>
      </c>
      <c r="E561" s="166">
        <f>IFERROR(__xludf.DUMMYFUNCTION("""COMPUTED_VALUE"""),45798.0)</f>
        <v>45798</v>
      </c>
      <c r="F561" s="206"/>
      <c r="G561" s="167">
        <f>IFERROR(__xludf.DUMMYFUNCTION("""COMPUTED_VALUE"""),4.800000000000001)</f>
        <v>4.8</v>
      </c>
      <c r="H561" s="166">
        <f>IFERROR(__xludf.DUMMYFUNCTION("""COMPUTED_VALUE"""),32255.0)</f>
        <v>32255</v>
      </c>
      <c r="I561" s="167">
        <f>IFERROR(__xludf.DUMMYFUNCTION("""COMPUTED_VALUE"""),37.080555555555556)</f>
        <v>37.08055556</v>
      </c>
      <c r="J561" s="168"/>
      <c r="K561" s="168"/>
      <c r="L561" s="207"/>
      <c r="M561" s="207"/>
    </row>
    <row r="562">
      <c r="A562" s="203" t="str">
        <f>IFERROR(__xludf.DUMMYFUNCTION("""COMPUTED_VALUE"""),"Atlantis II")</f>
        <v>Atlantis II</v>
      </c>
      <c r="B562" s="204" t="str">
        <f>IFERROR(__xludf.DUMMYFUNCTION("""COMPUTED_VALUE"""),"Xbox / PC")</f>
        <v>Xbox / PC</v>
      </c>
      <c r="C562" s="205" t="str">
        <f>IFERROR(__xludf.DUMMYFUNCTION("""COMPUTED_VALUE"""),"Yes")</f>
        <v>Yes</v>
      </c>
      <c r="D562" s="205" t="str">
        <f>IFERROR(__xludf.DUMMYFUNCTION("""COMPUTED_VALUE"""),"Active")</f>
        <v>Active</v>
      </c>
      <c r="E562" s="166">
        <f>IFERROR(__xludf.DUMMYFUNCTION("""COMPUTED_VALUE"""),45798.0)</f>
        <v>45798</v>
      </c>
      <c r="F562" s="206"/>
      <c r="G562" s="167">
        <f>IFERROR(__xludf.DUMMYFUNCTION("""COMPUTED_VALUE"""),4.800000000000001)</f>
        <v>4.8</v>
      </c>
      <c r="H562" s="166">
        <f>IFERROR(__xludf.DUMMYFUNCTION("""COMPUTED_VALUE"""),32255.0)</f>
        <v>32255</v>
      </c>
      <c r="I562" s="167">
        <f>IFERROR(__xludf.DUMMYFUNCTION("""COMPUTED_VALUE"""),37.080555555555556)</f>
        <v>37.08055556</v>
      </c>
      <c r="J562" s="168"/>
      <c r="K562" s="168">
        <f>IFERROR(__xludf.DUMMYFUNCTION("""COMPUTED_VALUE"""),7.0)</f>
        <v>7</v>
      </c>
      <c r="L562" s="207"/>
      <c r="M562" s="207"/>
    </row>
    <row r="563">
      <c r="A563" s="203" t="str">
        <f>IFERROR(__xludf.DUMMYFUNCTION("""COMPUTED_VALUE"""),"Barnstorming")</f>
        <v>Barnstorming</v>
      </c>
      <c r="B563" s="204" t="str">
        <f>IFERROR(__xludf.DUMMYFUNCTION("""COMPUTED_VALUE"""),"Xbox / PC")</f>
        <v>Xbox / PC</v>
      </c>
      <c r="C563" s="205" t="str">
        <f>IFERROR(__xludf.DUMMYFUNCTION("""COMPUTED_VALUE"""),"Yes")</f>
        <v>Yes</v>
      </c>
      <c r="D563" s="205" t="str">
        <f>IFERROR(__xludf.DUMMYFUNCTION("""COMPUTED_VALUE"""),"Active")</f>
        <v>Active</v>
      </c>
      <c r="E563" s="166">
        <f>IFERROR(__xludf.DUMMYFUNCTION("""COMPUTED_VALUE"""),45798.0)</f>
        <v>45798</v>
      </c>
      <c r="F563" s="206"/>
      <c r="G563" s="167">
        <f>IFERROR(__xludf.DUMMYFUNCTION("""COMPUTED_VALUE"""),4.800000000000001)</f>
        <v>4.8</v>
      </c>
      <c r="H563" s="166">
        <f>IFERROR(__xludf.DUMMYFUNCTION("""COMPUTED_VALUE"""),30011.0)</f>
        <v>30011</v>
      </c>
      <c r="I563" s="167">
        <f>IFERROR(__xludf.DUMMYFUNCTION("""COMPUTED_VALUE"""),43.22222222222222)</f>
        <v>43.22222222</v>
      </c>
      <c r="J563" s="168"/>
      <c r="K563" s="168"/>
      <c r="L563" s="207"/>
      <c r="M563" s="207"/>
    </row>
    <row r="564">
      <c r="A564" s="203" t="str">
        <f>IFERROR(__xludf.DUMMYFUNCTION("""COMPUTED_VALUE"""),"Baseball")</f>
        <v>Baseball</v>
      </c>
      <c r="B564" s="204" t="str">
        <f>IFERROR(__xludf.DUMMYFUNCTION("""COMPUTED_VALUE"""),"Xbox / PC")</f>
        <v>Xbox / PC</v>
      </c>
      <c r="C564" s="205" t="str">
        <f>IFERROR(__xludf.DUMMYFUNCTION("""COMPUTED_VALUE"""),"Yes")</f>
        <v>Yes</v>
      </c>
      <c r="D564" s="205" t="str">
        <f>IFERROR(__xludf.DUMMYFUNCTION("""COMPUTED_VALUE"""),"Active")</f>
        <v>Active</v>
      </c>
      <c r="E564" s="166">
        <f>IFERROR(__xludf.DUMMYFUNCTION("""COMPUTED_VALUE"""),45798.0)</f>
        <v>45798</v>
      </c>
      <c r="F564" s="206"/>
      <c r="G564" s="167">
        <f>IFERROR(__xludf.DUMMYFUNCTION("""COMPUTED_VALUE"""),4.800000000000001)</f>
        <v>4.8</v>
      </c>
      <c r="H564" s="166">
        <f>IFERROR(__xludf.DUMMYFUNCTION("""COMPUTED_VALUE"""),32214.0)</f>
        <v>32214</v>
      </c>
      <c r="I564" s="167">
        <f>IFERROR(__xludf.DUMMYFUNCTION("""COMPUTED_VALUE"""),37.19166666666667)</f>
        <v>37.19166667</v>
      </c>
      <c r="J564" s="168"/>
      <c r="K564" s="168"/>
      <c r="L564" s="207"/>
      <c r="M564" s="207"/>
    </row>
    <row r="565">
      <c r="A565" s="203" t="str">
        <f>IFERROR(__xludf.DUMMYFUNCTION("""COMPUTED_VALUE"""),"Beamrider")</f>
        <v>Beamrider</v>
      </c>
      <c r="B565" s="204" t="str">
        <f>IFERROR(__xludf.DUMMYFUNCTION("""COMPUTED_VALUE"""),"Xbox / PC")</f>
        <v>Xbox / PC</v>
      </c>
      <c r="C565" s="205" t="str">
        <f>IFERROR(__xludf.DUMMYFUNCTION("""COMPUTED_VALUE"""),"Yes")</f>
        <v>Yes</v>
      </c>
      <c r="D565" s="205" t="str">
        <f>IFERROR(__xludf.DUMMYFUNCTION("""COMPUTED_VALUE"""),"Active")</f>
        <v>Active</v>
      </c>
      <c r="E565" s="166">
        <f>IFERROR(__xludf.DUMMYFUNCTION("""COMPUTED_VALUE"""),45798.0)</f>
        <v>45798</v>
      </c>
      <c r="F565" s="206"/>
      <c r="G565" s="167">
        <f>IFERROR(__xludf.DUMMYFUNCTION("""COMPUTED_VALUE"""),4.800000000000001)</f>
        <v>4.8</v>
      </c>
      <c r="H565" s="166">
        <f>IFERROR(__xludf.DUMMYFUNCTION("""COMPUTED_VALUE"""),30705.0)</f>
        <v>30705</v>
      </c>
      <c r="I565" s="167">
        <f>IFERROR(__xludf.DUMMYFUNCTION("""COMPUTED_VALUE"""),41.325)</f>
        <v>41.325</v>
      </c>
      <c r="J565" s="168"/>
      <c r="K565" s="168"/>
      <c r="L565" s="207"/>
      <c r="M565" s="207"/>
    </row>
    <row r="566">
      <c r="A566" s="203" t="str">
        <f>IFERROR(__xludf.DUMMYFUNCTION("""COMPUTED_VALUE"""),"Bloody Human Freeway")</f>
        <v>Bloody Human Freeway</v>
      </c>
      <c r="B566" s="204" t="str">
        <f>IFERROR(__xludf.DUMMYFUNCTION("""COMPUTED_VALUE"""),"Xbox / PC")</f>
        <v>Xbox / PC</v>
      </c>
      <c r="C566" s="205" t="str">
        <f>IFERROR(__xludf.DUMMYFUNCTION("""COMPUTED_VALUE"""),"Yes")</f>
        <v>Yes</v>
      </c>
      <c r="D566" s="205" t="str">
        <f>IFERROR(__xludf.DUMMYFUNCTION("""COMPUTED_VALUE"""),"Active")</f>
        <v>Active</v>
      </c>
      <c r="E566" s="166">
        <f>IFERROR(__xludf.DUMMYFUNCTION("""COMPUTED_VALUE"""),45798.0)</f>
        <v>45798</v>
      </c>
      <c r="F566" s="206"/>
      <c r="G566" s="167">
        <f>IFERROR(__xludf.DUMMYFUNCTION("""COMPUTED_VALUE"""),4.800000000000001)</f>
        <v>4.8</v>
      </c>
      <c r="H566" s="166">
        <f>IFERROR(__xludf.DUMMYFUNCTION("""COMPUTED_VALUE"""),29768.0)</f>
        <v>29768</v>
      </c>
      <c r="I566" s="167">
        <f>IFERROR(__xludf.DUMMYFUNCTION("""COMPUTED_VALUE"""),43.888888888888886)</f>
        <v>43.88888889</v>
      </c>
      <c r="J566" s="168"/>
      <c r="K566" s="168"/>
      <c r="L566" s="207"/>
      <c r="M566" s="207"/>
    </row>
    <row r="567">
      <c r="A567" s="203" t="str">
        <f>IFERROR(__xludf.DUMMYFUNCTION("""COMPUTED_VALUE"""),"Boxing")</f>
        <v>Boxing</v>
      </c>
      <c r="B567" s="204" t="str">
        <f>IFERROR(__xludf.DUMMYFUNCTION("""COMPUTED_VALUE"""),"Xbox / PC")</f>
        <v>Xbox / PC</v>
      </c>
      <c r="C567" s="205" t="str">
        <f>IFERROR(__xludf.DUMMYFUNCTION("""COMPUTED_VALUE"""),"Yes")</f>
        <v>Yes</v>
      </c>
      <c r="D567" s="205" t="str">
        <f>IFERROR(__xludf.DUMMYFUNCTION("""COMPUTED_VALUE"""),"Active")</f>
        <v>Active</v>
      </c>
      <c r="E567" s="166">
        <f>IFERROR(__xludf.DUMMYFUNCTION("""COMPUTED_VALUE"""),45798.0)</f>
        <v>45798</v>
      </c>
      <c r="F567" s="206"/>
      <c r="G567" s="167">
        <f>IFERROR(__xludf.DUMMYFUNCTION("""COMPUTED_VALUE"""),4.800000000000001)</f>
        <v>4.8</v>
      </c>
      <c r="H567" s="166">
        <f>IFERROR(__xludf.DUMMYFUNCTION("""COMPUTED_VALUE"""),29403.0)</f>
        <v>29403</v>
      </c>
      <c r="I567" s="167">
        <f>IFERROR(__xludf.DUMMYFUNCTION("""COMPUTED_VALUE"""),44.888888888888886)</f>
        <v>44.88888889</v>
      </c>
      <c r="J567" s="168"/>
      <c r="K567" s="168"/>
      <c r="L567" s="207"/>
      <c r="M567" s="207"/>
    </row>
    <row r="568">
      <c r="A568" s="203" t="str">
        <f>IFERROR(__xludf.DUMMYFUNCTION("""COMPUTED_VALUE"""),"Bridge")</f>
        <v>Bridge</v>
      </c>
      <c r="B568" s="204" t="str">
        <f>IFERROR(__xludf.DUMMYFUNCTION("""COMPUTED_VALUE"""),"Xbox / PC")</f>
        <v>Xbox / PC</v>
      </c>
      <c r="C568" s="205" t="str">
        <f>IFERROR(__xludf.DUMMYFUNCTION("""COMPUTED_VALUE"""),"Yes")</f>
        <v>Yes</v>
      </c>
      <c r="D568" s="205" t="str">
        <f>IFERROR(__xludf.DUMMYFUNCTION("""COMPUTED_VALUE"""),"Active")</f>
        <v>Active</v>
      </c>
      <c r="E568" s="166">
        <f>IFERROR(__xludf.DUMMYFUNCTION("""COMPUTED_VALUE"""),45798.0)</f>
        <v>45798</v>
      </c>
      <c r="F568" s="206"/>
      <c r="G568" s="167">
        <f>IFERROR(__xludf.DUMMYFUNCTION("""COMPUTED_VALUE"""),4.800000000000001)</f>
        <v>4.8</v>
      </c>
      <c r="H568" s="166">
        <f>IFERROR(__xludf.DUMMYFUNCTION("""COMPUTED_VALUE"""),29556.0)</f>
        <v>29556</v>
      </c>
      <c r="I568" s="167">
        <f>IFERROR(__xludf.DUMMYFUNCTION("""COMPUTED_VALUE"""),44.47222222222222)</f>
        <v>44.47222222</v>
      </c>
      <c r="J568" s="168"/>
      <c r="K568" s="168"/>
      <c r="L568" s="207"/>
      <c r="M568" s="207"/>
    </row>
    <row r="569">
      <c r="A569" s="203" t="str">
        <f>IFERROR(__xludf.DUMMYFUNCTION("""COMPUTED_VALUE"""),"Caesar II")</f>
        <v>Caesar II</v>
      </c>
      <c r="B569" s="204" t="str">
        <f>IFERROR(__xludf.DUMMYFUNCTION("""COMPUTED_VALUE"""),"Xbox / PC")</f>
        <v>Xbox / PC</v>
      </c>
      <c r="C569" s="205" t="str">
        <f>IFERROR(__xludf.DUMMYFUNCTION("""COMPUTED_VALUE"""),"Yes")</f>
        <v>Yes</v>
      </c>
      <c r="D569" s="205" t="str">
        <f>IFERROR(__xludf.DUMMYFUNCTION("""COMPUTED_VALUE"""),"Active")</f>
        <v>Active</v>
      </c>
      <c r="E569" s="166">
        <f>IFERROR(__xludf.DUMMYFUNCTION("""COMPUTED_VALUE"""),45798.0)</f>
        <v>45798</v>
      </c>
      <c r="F569" s="206"/>
      <c r="G569" s="167">
        <f>IFERROR(__xludf.DUMMYFUNCTION("""COMPUTED_VALUE"""),4.800000000000001)</f>
        <v>4.8</v>
      </c>
      <c r="H569" s="166">
        <f>IFERROR(__xludf.DUMMYFUNCTION("""COMPUTED_VALUE"""),34700.0)</f>
        <v>34700</v>
      </c>
      <c r="I569" s="167">
        <f>IFERROR(__xludf.DUMMYFUNCTION("""COMPUTED_VALUE"""),30.38888888888889)</f>
        <v>30.38888889</v>
      </c>
      <c r="J569" s="168"/>
      <c r="K569" s="168">
        <f>IFERROR(__xludf.DUMMYFUNCTION("""COMPUTED_VALUE"""),7.0)</f>
        <v>7</v>
      </c>
      <c r="L569" s="207"/>
      <c r="M569" s="207"/>
    </row>
    <row r="570">
      <c r="A570" s="203" t="str">
        <f>IFERROR(__xludf.DUMMYFUNCTION("""COMPUTED_VALUE"""),"Checkers")</f>
        <v>Checkers</v>
      </c>
      <c r="B570" s="204" t="str">
        <f>IFERROR(__xludf.DUMMYFUNCTION("""COMPUTED_VALUE"""),"Xbox / PC")</f>
        <v>Xbox / PC</v>
      </c>
      <c r="C570" s="205" t="str">
        <f>IFERROR(__xludf.DUMMYFUNCTION("""COMPUTED_VALUE"""),"Yes")</f>
        <v>Yes</v>
      </c>
      <c r="D570" s="205" t="str">
        <f>IFERROR(__xludf.DUMMYFUNCTION("""COMPUTED_VALUE"""),"Active")</f>
        <v>Active</v>
      </c>
      <c r="E570" s="166">
        <f>IFERROR(__xludf.DUMMYFUNCTION("""COMPUTED_VALUE"""),45798.0)</f>
        <v>45798</v>
      </c>
      <c r="F570" s="206"/>
      <c r="G570" s="167">
        <f>IFERROR(__xludf.DUMMYFUNCTION("""COMPUTED_VALUE"""),4.800000000000001)</f>
        <v>4.8</v>
      </c>
      <c r="H570" s="166">
        <f>IFERROR(__xludf.DUMMYFUNCTION("""COMPUTED_VALUE"""),29403.0)</f>
        <v>29403</v>
      </c>
      <c r="I570" s="167">
        <f>IFERROR(__xludf.DUMMYFUNCTION("""COMPUTED_VALUE"""),44.888888888888886)</f>
        <v>44.88888889</v>
      </c>
      <c r="J570" s="168"/>
      <c r="K570" s="168"/>
      <c r="L570" s="207"/>
      <c r="M570" s="207"/>
    </row>
    <row r="571">
      <c r="A571" s="203" t="str">
        <f>IFERROR(__xludf.DUMMYFUNCTION("""COMPUTED_VALUE"""),"Chopper Command")</f>
        <v>Chopper Command</v>
      </c>
      <c r="B571" s="204" t="str">
        <f>IFERROR(__xludf.DUMMYFUNCTION("""COMPUTED_VALUE"""),"Xbox / PC")</f>
        <v>Xbox / PC</v>
      </c>
      <c r="C571" s="205" t="str">
        <f>IFERROR(__xludf.DUMMYFUNCTION("""COMPUTED_VALUE"""),"Yes")</f>
        <v>Yes</v>
      </c>
      <c r="D571" s="205" t="str">
        <f>IFERROR(__xludf.DUMMYFUNCTION("""COMPUTED_VALUE"""),"Active")</f>
        <v>Active</v>
      </c>
      <c r="E571" s="166">
        <f>IFERROR(__xludf.DUMMYFUNCTION("""COMPUTED_VALUE"""),45798.0)</f>
        <v>45798</v>
      </c>
      <c r="F571" s="206"/>
      <c r="G571" s="167">
        <f>IFERROR(__xludf.DUMMYFUNCTION("""COMPUTED_VALUE"""),4.800000000000001)</f>
        <v>4.8</v>
      </c>
      <c r="H571" s="166">
        <f>IFERROR(__xludf.DUMMYFUNCTION("""COMPUTED_VALUE"""),30072.0)</f>
        <v>30072</v>
      </c>
      <c r="I571" s="167">
        <f>IFERROR(__xludf.DUMMYFUNCTION("""COMPUTED_VALUE"""),43.05555555555556)</f>
        <v>43.05555556</v>
      </c>
      <c r="J571" s="168"/>
      <c r="K571" s="168"/>
      <c r="L571" s="207"/>
      <c r="M571" s="207"/>
    </row>
    <row r="572">
      <c r="A572" s="203" t="str">
        <f>IFERROR(__xludf.DUMMYFUNCTION("""COMPUTED_VALUE"""),"Commando")</f>
        <v>Commando</v>
      </c>
      <c r="B572" s="204" t="str">
        <f>IFERROR(__xludf.DUMMYFUNCTION("""COMPUTED_VALUE"""),"Xbox / PC")</f>
        <v>Xbox / PC</v>
      </c>
      <c r="C572" s="205" t="str">
        <f>IFERROR(__xludf.DUMMYFUNCTION("""COMPUTED_VALUE"""),"Yes")</f>
        <v>Yes</v>
      </c>
      <c r="D572" s="205" t="str">
        <f>IFERROR(__xludf.DUMMYFUNCTION("""COMPUTED_VALUE"""),"Active")</f>
        <v>Active</v>
      </c>
      <c r="E572" s="166">
        <f>IFERROR(__xludf.DUMMYFUNCTION("""COMPUTED_VALUE"""),45798.0)</f>
        <v>45798</v>
      </c>
      <c r="F572" s="206"/>
      <c r="G572" s="167">
        <f>IFERROR(__xludf.DUMMYFUNCTION("""COMPUTED_VALUE"""),4.800000000000001)</f>
        <v>4.8</v>
      </c>
      <c r="H572" s="166">
        <f>IFERROR(__xludf.DUMMYFUNCTION("""COMPUTED_VALUE"""),30393.0)</f>
        <v>30393</v>
      </c>
      <c r="I572" s="167">
        <f>IFERROR(__xludf.DUMMYFUNCTION("""COMPUTED_VALUE"""),42.175)</f>
        <v>42.175</v>
      </c>
      <c r="J572" s="168"/>
      <c r="K572" s="168"/>
      <c r="L572" s="207"/>
      <c r="M572" s="207"/>
    </row>
    <row r="573">
      <c r="A573" s="203" t="str">
        <f>IFERROR(__xludf.DUMMYFUNCTION("""COMPUTED_VALUE"""),"Conquests of the Longbow: The Legend of Robin Hood")</f>
        <v>Conquests of the Longbow: The Legend of Robin Hood</v>
      </c>
      <c r="B573" s="204" t="str">
        <f>IFERROR(__xludf.DUMMYFUNCTION("""COMPUTED_VALUE"""),"Xbox / PC")</f>
        <v>Xbox / PC</v>
      </c>
      <c r="C573" s="205" t="str">
        <f>IFERROR(__xludf.DUMMYFUNCTION("""COMPUTED_VALUE"""),"Yes")</f>
        <v>Yes</v>
      </c>
      <c r="D573" s="205" t="str">
        <f>IFERROR(__xludf.DUMMYFUNCTION("""COMPUTED_VALUE"""),"Active")</f>
        <v>Active</v>
      </c>
      <c r="E573" s="166">
        <f>IFERROR(__xludf.DUMMYFUNCTION("""COMPUTED_VALUE"""),45798.0)</f>
        <v>45798</v>
      </c>
      <c r="F573" s="206"/>
      <c r="G573" s="167">
        <f>IFERROR(__xludf.DUMMYFUNCTION("""COMPUTED_VALUE"""),4.800000000000001)</f>
        <v>4.8</v>
      </c>
      <c r="H573" s="166">
        <f>IFERROR(__xludf.DUMMYFUNCTION("""COMPUTED_VALUE"""),33239.0)</f>
        <v>33239</v>
      </c>
      <c r="I573" s="167">
        <f>IFERROR(__xludf.DUMMYFUNCTION("""COMPUTED_VALUE"""),34.388888888888886)</f>
        <v>34.38888889</v>
      </c>
      <c r="J573" s="168"/>
      <c r="K573" s="168">
        <f>IFERROR(__xludf.DUMMYFUNCTION("""COMPUTED_VALUE"""),6.0)</f>
        <v>6</v>
      </c>
      <c r="L573" s="207"/>
      <c r="M573" s="207"/>
    </row>
    <row r="574">
      <c r="A574" s="203" t="str">
        <f>IFERROR(__xludf.DUMMYFUNCTION("""COMPUTED_VALUE"""),"Cosmic Ark")</f>
        <v>Cosmic Ark</v>
      </c>
      <c r="B574" s="204" t="str">
        <f>IFERROR(__xludf.DUMMYFUNCTION("""COMPUTED_VALUE"""),"Xbox / PC")</f>
        <v>Xbox / PC</v>
      </c>
      <c r="C574" s="205" t="str">
        <f>IFERROR(__xludf.DUMMYFUNCTION("""COMPUTED_VALUE"""),"Yes")</f>
        <v>Yes</v>
      </c>
      <c r="D574" s="205" t="str">
        <f>IFERROR(__xludf.DUMMYFUNCTION("""COMPUTED_VALUE"""),"Active")</f>
        <v>Active</v>
      </c>
      <c r="E574" s="166">
        <f>IFERROR(__xludf.DUMMYFUNCTION("""COMPUTED_VALUE"""),45798.0)</f>
        <v>45798</v>
      </c>
      <c r="F574" s="206"/>
      <c r="G574" s="167">
        <f>IFERROR(__xludf.DUMMYFUNCTION("""COMPUTED_VALUE"""),4.800000000000001)</f>
        <v>4.8</v>
      </c>
      <c r="H574" s="166">
        <f>IFERROR(__xludf.DUMMYFUNCTION("""COMPUTED_VALUE"""),30164.0)</f>
        <v>30164</v>
      </c>
      <c r="I574" s="167">
        <f>IFERROR(__xludf.DUMMYFUNCTION("""COMPUTED_VALUE"""),42.80555555555556)</f>
        <v>42.80555556</v>
      </c>
      <c r="J574" s="168"/>
      <c r="K574" s="168"/>
      <c r="L574" s="207"/>
      <c r="M574" s="207"/>
    </row>
    <row r="575">
      <c r="A575" s="203" t="str">
        <f>IFERROR(__xludf.DUMMYFUNCTION("""COMPUTED_VALUE"""),"Crackpots")</f>
        <v>Crackpots</v>
      </c>
      <c r="B575" s="204" t="str">
        <f>IFERROR(__xludf.DUMMYFUNCTION("""COMPUTED_VALUE"""),"Xbox / PC")</f>
        <v>Xbox / PC</v>
      </c>
      <c r="C575" s="205" t="str">
        <f>IFERROR(__xludf.DUMMYFUNCTION("""COMPUTED_VALUE"""),"Yes")</f>
        <v>Yes</v>
      </c>
      <c r="D575" s="205" t="str">
        <f>IFERROR(__xludf.DUMMYFUNCTION("""COMPUTED_VALUE"""),"Active")</f>
        <v>Active</v>
      </c>
      <c r="E575" s="166">
        <f>IFERROR(__xludf.DUMMYFUNCTION("""COMPUTED_VALUE"""),45798.0)</f>
        <v>45798</v>
      </c>
      <c r="F575" s="206"/>
      <c r="G575" s="167">
        <f>IFERROR(__xludf.DUMMYFUNCTION("""COMPUTED_VALUE"""),4.800000000000001)</f>
        <v>4.8</v>
      </c>
      <c r="H575" s="166">
        <f>IFERROR(__xludf.DUMMYFUNCTION("""COMPUTED_VALUE"""),30452.0)</f>
        <v>30452</v>
      </c>
      <c r="I575" s="167">
        <f>IFERROR(__xludf.DUMMYFUNCTION("""COMPUTED_VALUE"""),42.013888888888886)</f>
        <v>42.01388889</v>
      </c>
      <c r="J575" s="168"/>
      <c r="K575" s="168"/>
      <c r="L575" s="207"/>
      <c r="M575" s="207"/>
    </row>
    <row r="576">
      <c r="A576" s="203" t="str">
        <f>IFERROR(__xludf.DUMMYFUNCTION("""COMPUTED_VALUE"""),"Decathlon")</f>
        <v>Decathlon</v>
      </c>
      <c r="B576" s="204" t="str">
        <f>IFERROR(__xludf.DUMMYFUNCTION("""COMPUTED_VALUE"""),"Xbox / PC")</f>
        <v>Xbox / PC</v>
      </c>
      <c r="C576" s="205" t="str">
        <f>IFERROR(__xludf.DUMMYFUNCTION("""COMPUTED_VALUE"""),"Yes")</f>
        <v>Yes</v>
      </c>
      <c r="D576" s="205" t="str">
        <f>IFERROR(__xludf.DUMMYFUNCTION("""COMPUTED_VALUE"""),"Active")</f>
        <v>Active</v>
      </c>
      <c r="E576" s="166">
        <f>IFERROR(__xludf.DUMMYFUNCTION("""COMPUTED_VALUE"""),45798.0)</f>
        <v>45798</v>
      </c>
      <c r="F576" s="206"/>
      <c r="G576" s="167">
        <f>IFERROR(__xludf.DUMMYFUNCTION("""COMPUTED_VALUE"""),4.800000000000001)</f>
        <v>4.8</v>
      </c>
      <c r="H576" s="166">
        <f>IFERROR(__xludf.DUMMYFUNCTION("""COMPUTED_VALUE"""),30393.0)</f>
        <v>30393</v>
      </c>
      <c r="I576" s="167">
        <f>IFERROR(__xludf.DUMMYFUNCTION("""COMPUTED_VALUE"""),42.175)</f>
        <v>42.175</v>
      </c>
      <c r="J576" s="168"/>
      <c r="K576" s="168"/>
      <c r="L576" s="207"/>
      <c r="M576" s="207"/>
    </row>
    <row r="577">
      <c r="A577" s="203" t="str">
        <f>IFERROR(__xludf.DUMMYFUNCTION("""COMPUTED_VALUE"""),"Demon Attack")</f>
        <v>Demon Attack</v>
      </c>
      <c r="B577" s="204" t="str">
        <f>IFERROR(__xludf.DUMMYFUNCTION("""COMPUTED_VALUE"""),"Xbox / PC")</f>
        <v>Xbox / PC</v>
      </c>
      <c r="C577" s="205" t="str">
        <f>IFERROR(__xludf.DUMMYFUNCTION("""COMPUTED_VALUE"""),"Yes")</f>
        <v>Yes</v>
      </c>
      <c r="D577" s="205" t="str">
        <f>IFERROR(__xludf.DUMMYFUNCTION("""COMPUTED_VALUE"""),"Active")</f>
        <v>Active</v>
      </c>
      <c r="E577" s="166">
        <f>IFERROR(__xludf.DUMMYFUNCTION("""COMPUTED_VALUE"""),45798.0)</f>
        <v>45798</v>
      </c>
      <c r="F577" s="206"/>
      <c r="G577" s="167">
        <f>IFERROR(__xludf.DUMMYFUNCTION("""COMPUTED_VALUE"""),4.800000000000001)</f>
        <v>4.8</v>
      </c>
      <c r="H577" s="166">
        <f>IFERROR(__xludf.DUMMYFUNCTION("""COMPUTED_VALUE"""),32255.0)</f>
        <v>32255</v>
      </c>
      <c r="I577" s="167">
        <f>IFERROR(__xludf.DUMMYFUNCTION("""COMPUTED_VALUE"""),37.080555555555556)</f>
        <v>37.08055556</v>
      </c>
      <c r="J577" s="168"/>
      <c r="K577" s="168"/>
      <c r="L577" s="207"/>
      <c r="M577" s="207"/>
    </row>
    <row r="578">
      <c r="A578" s="203" t="str">
        <f>IFERROR(__xludf.DUMMYFUNCTION("""COMPUTED_VALUE"""),"Dolphin")</f>
        <v>Dolphin</v>
      </c>
      <c r="B578" s="204" t="str">
        <f>IFERROR(__xludf.DUMMYFUNCTION("""COMPUTED_VALUE"""),"Xbox / PC")</f>
        <v>Xbox / PC</v>
      </c>
      <c r="C578" s="205" t="str">
        <f>IFERROR(__xludf.DUMMYFUNCTION("""COMPUTED_VALUE"""),"Yes")</f>
        <v>Yes</v>
      </c>
      <c r="D578" s="205" t="str">
        <f>IFERROR(__xludf.DUMMYFUNCTION("""COMPUTED_VALUE"""),"Active")</f>
        <v>Active</v>
      </c>
      <c r="E578" s="166">
        <f>IFERROR(__xludf.DUMMYFUNCTION("""COMPUTED_VALUE"""),45798.0)</f>
        <v>45798</v>
      </c>
      <c r="F578" s="206"/>
      <c r="G578" s="167">
        <f>IFERROR(__xludf.DUMMYFUNCTION("""COMPUTED_VALUE"""),4.800000000000001)</f>
        <v>4.8</v>
      </c>
      <c r="H578" s="166">
        <f>IFERROR(__xludf.DUMMYFUNCTION("""COMPUTED_VALUE"""),30677.0)</f>
        <v>30677</v>
      </c>
      <c r="I578" s="167">
        <f>IFERROR(__xludf.DUMMYFUNCTION("""COMPUTED_VALUE"""),41.4)</f>
        <v>41.4</v>
      </c>
      <c r="J578" s="168"/>
      <c r="K578" s="168"/>
      <c r="L578" s="207"/>
      <c r="M578" s="207"/>
    </row>
    <row r="579">
      <c r="A579" s="203" t="str">
        <f>IFERROR(__xludf.DUMMYFUNCTION("""COMPUTED_VALUE"""),"Dragster")</f>
        <v>Dragster</v>
      </c>
      <c r="B579" s="204" t="str">
        <f>IFERROR(__xludf.DUMMYFUNCTION("""COMPUTED_VALUE"""),"Xbox / PC")</f>
        <v>Xbox / PC</v>
      </c>
      <c r="C579" s="205" t="str">
        <f>IFERROR(__xludf.DUMMYFUNCTION("""COMPUTED_VALUE"""),"Yes")</f>
        <v>Yes</v>
      </c>
      <c r="D579" s="205" t="str">
        <f>IFERROR(__xludf.DUMMYFUNCTION("""COMPUTED_VALUE"""),"Active")</f>
        <v>Active</v>
      </c>
      <c r="E579" s="166">
        <f>IFERROR(__xludf.DUMMYFUNCTION("""COMPUTED_VALUE"""),45798.0)</f>
        <v>45798</v>
      </c>
      <c r="F579" s="206"/>
      <c r="G579" s="167">
        <f>IFERROR(__xludf.DUMMYFUNCTION("""COMPUTED_VALUE"""),4.800000000000001)</f>
        <v>4.8</v>
      </c>
      <c r="H579" s="166">
        <f>IFERROR(__xludf.DUMMYFUNCTION("""COMPUTED_VALUE"""),29403.0)</f>
        <v>29403</v>
      </c>
      <c r="I579" s="167">
        <f>IFERROR(__xludf.DUMMYFUNCTION("""COMPUTED_VALUE"""),44.888888888888886)</f>
        <v>44.88888889</v>
      </c>
      <c r="J579" s="168"/>
      <c r="K579" s="168"/>
      <c r="L579" s="207"/>
      <c r="M579" s="207"/>
    </row>
    <row r="580">
      <c r="A580" s="203" t="str">
        <f>IFERROR(__xludf.DUMMYFUNCTION("""COMPUTED_VALUE"""),"Enduro")</f>
        <v>Enduro</v>
      </c>
      <c r="B580" s="204" t="str">
        <f>IFERROR(__xludf.DUMMYFUNCTION("""COMPUTED_VALUE"""),"Xbox / PC")</f>
        <v>Xbox / PC</v>
      </c>
      <c r="C580" s="205" t="str">
        <f>IFERROR(__xludf.DUMMYFUNCTION("""COMPUTED_VALUE"""),"Yes")</f>
        <v>Yes</v>
      </c>
      <c r="D580" s="205" t="str">
        <f>IFERROR(__xludf.DUMMYFUNCTION("""COMPUTED_VALUE"""),"Active")</f>
        <v>Active</v>
      </c>
      <c r="E580" s="166">
        <f>IFERROR(__xludf.DUMMYFUNCTION("""COMPUTED_VALUE"""),45798.0)</f>
        <v>45798</v>
      </c>
      <c r="F580" s="206"/>
      <c r="G580" s="167">
        <f>IFERROR(__xludf.DUMMYFUNCTION("""COMPUTED_VALUE"""),4.800000000000001)</f>
        <v>4.8</v>
      </c>
      <c r="H580" s="166">
        <f>IFERROR(__xludf.DUMMYFUNCTION("""COMPUTED_VALUE"""),30348.0)</f>
        <v>30348</v>
      </c>
      <c r="I580" s="167">
        <f>IFERROR(__xludf.DUMMYFUNCTION("""COMPUTED_VALUE"""),42.30555555555556)</f>
        <v>42.30555556</v>
      </c>
      <c r="J580" s="168"/>
      <c r="K580" s="168"/>
      <c r="L580" s="207"/>
      <c r="M580" s="207"/>
    </row>
    <row r="581">
      <c r="A581" s="203" t="str">
        <f>IFERROR(__xludf.DUMMYFUNCTION("""COMPUTED_VALUE"""),"Fathom")</f>
        <v>Fathom</v>
      </c>
      <c r="B581" s="204" t="str">
        <f>IFERROR(__xludf.DUMMYFUNCTION("""COMPUTED_VALUE"""),"Xbox / PC")</f>
        <v>Xbox / PC</v>
      </c>
      <c r="C581" s="205" t="str">
        <f>IFERROR(__xludf.DUMMYFUNCTION("""COMPUTED_VALUE"""),"Yes")</f>
        <v>Yes</v>
      </c>
      <c r="D581" s="205" t="str">
        <f>IFERROR(__xludf.DUMMYFUNCTION("""COMPUTED_VALUE"""),"Active")</f>
        <v>Active</v>
      </c>
      <c r="E581" s="166">
        <f>IFERROR(__xludf.DUMMYFUNCTION("""COMPUTED_VALUE"""),45798.0)</f>
        <v>45798</v>
      </c>
      <c r="F581" s="206"/>
      <c r="G581" s="167">
        <f>IFERROR(__xludf.DUMMYFUNCTION("""COMPUTED_VALUE"""),4.800000000000001)</f>
        <v>4.8</v>
      </c>
      <c r="H581" s="166">
        <f>IFERROR(__xludf.DUMMYFUNCTION("""COMPUTED_VALUE"""),30529.0)</f>
        <v>30529</v>
      </c>
      <c r="I581" s="167">
        <f>IFERROR(__xludf.DUMMYFUNCTION("""COMPUTED_VALUE"""),41.80555555555556)</f>
        <v>41.80555556</v>
      </c>
      <c r="J581" s="168"/>
      <c r="K581" s="168"/>
      <c r="L581" s="207"/>
      <c r="M581" s="207"/>
    </row>
    <row r="582">
      <c r="A582" s="203" t="str">
        <f>IFERROR(__xludf.DUMMYFUNCTION("""COMPUTED_VALUE"""),"Fire Fighter")</f>
        <v>Fire Fighter</v>
      </c>
      <c r="B582" s="204" t="str">
        <f>IFERROR(__xludf.DUMMYFUNCTION("""COMPUTED_VALUE"""),"Xbox / PC")</f>
        <v>Xbox / PC</v>
      </c>
      <c r="C582" s="205" t="str">
        <f>IFERROR(__xludf.DUMMYFUNCTION("""COMPUTED_VALUE"""),"Yes")</f>
        <v>Yes</v>
      </c>
      <c r="D582" s="205" t="str">
        <f>IFERROR(__xludf.DUMMYFUNCTION("""COMPUTED_VALUE"""),"Active")</f>
        <v>Active</v>
      </c>
      <c r="E582" s="166">
        <f>IFERROR(__xludf.DUMMYFUNCTION("""COMPUTED_VALUE"""),45798.0)</f>
        <v>45798</v>
      </c>
      <c r="F582" s="206"/>
      <c r="G582" s="167">
        <f>IFERROR(__xludf.DUMMYFUNCTION("""COMPUTED_VALUE"""),4.800000000000001)</f>
        <v>4.8</v>
      </c>
      <c r="H582" s="166">
        <f>IFERROR(__xludf.DUMMYFUNCTION("""COMPUTED_VALUE"""),30195.0)</f>
        <v>30195</v>
      </c>
      <c r="I582" s="167">
        <f>IFERROR(__xludf.DUMMYFUNCTION("""COMPUTED_VALUE"""),42.72222222222222)</f>
        <v>42.72222222</v>
      </c>
      <c r="J582" s="168"/>
      <c r="K582" s="168"/>
      <c r="L582" s="207"/>
      <c r="M582" s="207"/>
    </row>
    <row r="583">
      <c r="A583" s="203" t="str">
        <f>IFERROR(__xludf.DUMMYFUNCTION("""COMPUTED_VALUE"""),"Fishing Derby")</f>
        <v>Fishing Derby</v>
      </c>
      <c r="B583" s="204" t="str">
        <f>IFERROR(__xludf.DUMMYFUNCTION("""COMPUTED_VALUE"""),"Xbox / PC")</f>
        <v>Xbox / PC</v>
      </c>
      <c r="C583" s="205" t="str">
        <f>IFERROR(__xludf.DUMMYFUNCTION("""COMPUTED_VALUE"""),"Yes")</f>
        <v>Yes</v>
      </c>
      <c r="D583" s="205" t="str">
        <f>IFERROR(__xludf.DUMMYFUNCTION("""COMPUTED_VALUE"""),"Active")</f>
        <v>Active</v>
      </c>
      <c r="E583" s="166">
        <f>IFERROR(__xludf.DUMMYFUNCTION("""COMPUTED_VALUE"""),45798.0)</f>
        <v>45798</v>
      </c>
      <c r="F583" s="206"/>
      <c r="G583" s="167">
        <f>IFERROR(__xludf.DUMMYFUNCTION("""COMPUTED_VALUE"""),4.800000000000001)</f>
        <v>4.8</v>
      </c>
      <c r="H583" s="166">
        <f>IFERROR(__xludf.DUMMYFUNCTION("""COMPUTED_VALUE"""),29403.0)</f>
        <v>29403</v>
      </c>
      <c r="I583" s="167">
        <f>IFERROR(__xludf.DUMMYFUNCTION("""COMPUTED_VALUE"""),44.888888888888886)</f>
        <v>44.88888889</v>
      </c>
      <c r="J583" s="168"/>
      <c r="K583" s="168"/>
      <c r="L583" s="207"/>
      <c r="M583" s="207"/>
    </row>
    <row r="584">
      <c r="A584" s="203" t="str">
        <f>IFERROR(__xludf.DUMMYFUNCTION("""COMPUTED_VALUE"""),"Freddy Pharkas: Frontier Pharmacist")</f>
        <v>Freddy Pharkas: Frontier Pharmacist</v>
      </c>
      <c r="B584" s="204" t="str">
        <f>IFERROR(__xludf.DUMMYFUNCTION("""COMPUTED_VALUE"""),"Xbox / PC")</f>
        <v>Xbox / PC</v>
      </c>
      <c r="C584" s="205" t="str">
        <f>IFERROR(__xludf.DUMMYFUNCTION("""COMPUTED_VALUE"""),"Yes")</f>
        <v>Yes</v>
      </c>
      <c r="D584" s="205" t="str">
        <f>IFERROR(__xludf.DUMMYFUNCTION("""COMPUTED_VALUE"""),"Active")</f>
        <v>Active</v>
      </c>
      <c r="E584" s="166">
        <f>IFERROR(__xludf.DUMMYFUNCTION("""COMPUTED_VALUE"""),45798.0)</f>
        <v>45798</v>
      </c>
      <c r="F584" s="206"/>
      <c r="G584" s="167">
        <f>IFERROR(__xludf.DUMMYFUNCTION("""COMPUTED_VALUE"""),4.800000000000001)</f>
        <v>4.8</v>
      </c>
      <c r="H584" s="166">
        <f>IFERROR(__xludf.DUMMYFUNCTION("""COMPUTED_VALUE"""),33970.0)</f>
        <v>33970</v>
      </c>
      <c r="I584" s="167">
        <f>IFERROR(__xludf.DUMMYFUNCTION("""COMPUTED_VALUE"""),32.388888888888886)</f>
        <v>32.38888889</v>
      </c>
      <c r="J584" s="168"/>
      <c r="K584" s="168"/>
      <c r="L584" s="207"/>
      <c r="M584" s="207"/>
    </row>
    <row r="585">
      <c r="A585" s="203" t="str">
        <f>IFERROR(__xludf.DUMMYFUNCTION("""COMPUTED_VALUE"""),"Freeway")</f>
        <v>Freeway</v>
      </c>
      <c r="B585" s="204" t="str">
        <f>IFERROR(__xludf.DUMMYFUNCTION("""COMPUTED_VALUE"""),"Xbox / PC")</f>
        <v>Xbox / PC</v>
      </c>
      <c r="C585" s="205" t="str">
        <f>IFERROR(__xludf.DUMMYFUNCTION("""COMPUTED_VALUE"""),"Yes")</f>
        <v>Yes</v>
      </c>
      <c r="D585" s="205" t="str">
        <f>IFERROR(__xludf.DUMMYFUNCTION("""COMPUTED_VALUE"""),"Active")</f>
        <v>Active</v>
      </c>
      <c r="E585" s="166">
        <f>IFERROR(__xludf.DUMMYFUNCTION("""COMPUTED_VALUE"""),45798.0)</f>
        <v>45798</v>
      </c>
      <c r="F585" s="206"/>
      <c r="G585" s="167">
        <f>IFERROR(__xludf.DUMMYFUNCTION("""COMPUTED_VALUE"""),4.800000000000001)</f>
        <v>4.8</v>
      </c>
      <c r="H585" s="166">
        <f>IFERROR(__xludf.DUMMYFUNCTION("""COMPUTED_VALUE"""),29768.0)</f>
        <v>29768</v>
      </c>
      <c r="I585" s="167">
        <f>IFERROR(__xludf.DUMMYFUNCTION("""COMPUTED_VALUE"""),43.888888888888886)</f>
        <v>43.88888889</v>
      </c>
      <c r="J585" s="168"/>
      <c r="K585" s="168"/>
      <c r="L585" s="207"/>
      <c r="M585" s="207"/>
    </row>
    <row r="586">
      <c r="A586" s="203" t="str">
        <f>IFERROR(__xludf.DUMMYFUNCTION("""COMPUTED_VALUE"""),"Frostbite")</f>
        <v>Frostbite</v>
      </c>
      <c r="B586" s="204" t="str">
        <f>IFERROR(__xludf.DUMMYFUNCTION("""COMPUTED_VALUE"""),"Xbox / PC")</f>
        <v>Xbox / PC</v>
      </c>
      <c r="C586" s="205" t="str">
        <f>IFERROR(__xludf.DUMMYFUNCTION("""COMPUTED_VALUE"""),"Yes")</f>
        <v>Yes</v>
      </c>
      <c r="D586" s="205" t="str">
        <f>IFERROR(__xludf.DUMMYFUNCTION("""COMPUTED_VALUE"""),"Active")</f>
        <v>Active</v>
      </c>
      <c r="E586" s="166">
        <f>IFERROR(__xludf.DUMMYFUNCTION("""COMPUTED_VALUE"""),45798.0)</f>
        <v>45798</v>
      </c>
      <c r="F586" s="206"/>
      <c r="G586" s="167">
        <f>IFERROR(__xludf.DUMMYFUNCTION("""COMPUTED_VALUE"""),4.800000000000001)</f>
        <v>4.8</v>
      </c>
      <c r="H586" s="166">
        <f>IFERROR(__xludf.DUMMYFUNCTION("""COMPUTED_VALUE"""),30542.0)</f>
        <v>30542</v>
      </c>
      <c r="I586" s="167">
        <f>IFERROR(__xludf.DUMMYFUNCTION("""COMPUTED_VALUE"""),41.769444444444446)</f>
        <v>41.76944444</v>
      </c>
      <c r="J586" s="168"/>
      <c r="K586" s="168"/>
      <c r="L586" s="207"/>
      <c r="M586" s="207"/>
    </row>
    <row r="587">
      <c r="A587" s="203" t="str">
        <f>IFERROR(__xludf.DUMMYFUNCTION("""COMPUTED_VALUE"""),"Grand Prix")</f>
        <v>Grand Prix</v>
      </c>
      <c r="B587" s="204" t="str">
        <f>IFERROR(__xludf.DUMMYFUNCTION("""COMPUTED_VALUE"""),"Xbox / PC")</f>
        <v>Xbox / PC</v>
      </c>
      <c r="C587" s="205" t="str">
        <f>IFERROR(__xludf.DUMMYFUNCTION("""COMPUTED_VALUE"""),"Yes")</f>
        <v>Yes</v>
      </c>
      <c r="D587" s="205" t="str">
        <f>IFERROR(__xludf.DUMMYFUNCTION("""COMPUTED_VALUE"""),"Active")</f>
        <v>Active</v>
      </c>
      <c r="E587" s="166">
        <f>IFERROR(__xludf.DUMMYFUNCTION("""COMPUTED_VALUE"""),45798.0)</f>
        <v>45798</v>
      </c>
      <c r="F587" s="206"/>
      <c r="G587" s="167">
        <f>IFERROR(__xludf.DUMMYFUNCTION("""COMPUTED_VALUE"""),4.800000000000001)</f>
        <v>4.8</v>
      </c>
      <c r="H587" s="166">
        <f>IFERROR(__xludf.DUMMYFUNCTION("""COMPUTED_VALUE"""),30011.0)</f>
        <v>30011</v>
      </c>
      <c r="I587" s="167">
        <f>IFERROR(__xludf.DUMMYFUNCTION("""COMPUTED_VALUE"""),43.22222222222222)</f>
        <v>43.22222222</v>
      </c>
      <c r="J587" s="168"/>
      <c r="K587" s="168"/>
      <c r="L587" s="207"/>
      <c r="M587" s="207"/>
    </row>
    <row r="588">
      <c r="A588" s="203" t="str">
        <f>IFERROR(__xludf.DUMMYFUNCTION("""COMPUTED_VALUE"""),"H.E.R.O.")</f>
        <v>H.E.R.O.</v>
      </c>
      <c r="B588" s="204" t="str">
        <f>IFERROR(__xludf.DUMMYFUNCTION("""COMPUTED_VALUE"""),"Xbox / PC")</f>
        <v>Xbox / PC</v>
      </c>
      <c r="C588" s="205" t="str">
        <f>IFERROR(__xludf.DUMMYFUNCTION("""COMPUTED_VALUE"""),"Yes")</f>
        <v>Yes</v>
      </c>
      <c r="D588" s="205" t="str">
        <f>IFERROR(__xludf.DUMMYFUNCTION("""COMPUTED_VALUE"""),"Active")</f>
        <v>Active</v>
      </c>
      <c r="E588" s="166">
        <f>IFERROR(__xludf.DUMMYFUNCTION("""COMPUTED_VALUE"""),45798.0)</f>
        <v>45798</v>
      </c>
      <c r="F588" s="206"/>
      <c r="G588" s="167">
        <f>IFERROR(__xludf.DUMMYFUNCTION("""COMPUTED_VALUE"""),4.800000000000001)</f>
        <v>4.8</v>
      </c>
      <c r="H588" s="166">
        <f>IFERROR(__xludf.DUMMYFUNCTION("""COMPUTED_VALUE"""),30764.0)</f>
        <v>30764</v>
      </c>
      <c r="I588" s="167">
        <f>IFERROR(__xludf.DUMMYFUNCTION("""COMPUTED_VALUE"""),41.16111111111111)</f>
        <v>41.16111111</v>
      </c>
      <c r="J588" s="168"/>
      <c r="K588" s="168"/>
      <c r="L588" s="207"/>
      <c r="M588" s="207"/>
    </row>
    <row r="589">
      <c r="A589" s="203" t="str">
        <f>IFERROR(__xludf.DUMMYFUNCTION("""COMPUTED_VALUE"""),"Kaboom!")</f>
        <v>Kaboom!</v>
      </c>
      <c r="B589" s="204" t="str">
        <f>IFERROR(__xludf.DUMMYFUNCTION("""COMPUTED_VALUE"""),"Xbox / PC")</f>
        <v>Xbox / PC</v>
      </c>
      <c r="C589" s="205" t="str">
        <f>IFERROR(__xludf.DUMMYFUNCTION("""COMPUTED_VALUE"""),"Yes")</f>
        <v>Yes</v>
      </c>
      <c r="D589" s="205" t="str">
        <f>IFERROR(__xludf.DUMMYFUNCTION("""COMPUTED_VALUE"""),"Active")</f>
        <v>Active</v>
      </c>
      <c r="E589" s="166">
        <f>IFERROR(__xludf.DUMMYFUNCTION("""COMPUTED_VALUE"""),45798.0)</f>
        <v>45798</v>
      </c>
      <c r="F589" s="206"/>
      <c r="G589" s="167">
        <f>IFERROR(__xludf.DUMMYFUNCTION("""COMPUTED_VALUE"""),4.800000000000001)</f>
        <v>4.8</v>
      </c>
      <c r="H589" s="166">
        <f>IFERROR(__xludf.DUMMYFUNCTION("""COMPUTED_VALUE"""),30682.0)</f>
        <v>30682</v>
      </c>
      <c r="I589" s="167">
        <f>IFERROR(__xludf.DUMMYFUNCTION("""COMPUTED_VALUE"""),41.388888888888886)</f>
        <v>41.38888889</v>
      </c>
      <c r="J589" s="168"/>
      <c r="K589" s="168"/>
      <c r="L589" s="207"/>
      <c r="M589" s="207"/>
    </row>
    <row r="590">
      <c r="A590" s="203" t="str">
        <f>IFERROR(__xludf.DUMMYFUNCTION("""COMPUTED_VALUE"""),"Laser Blast")</f>
        <v>Laser Blast</v>
      </c>
      <c r="B590" s="204" t="str">
        <f>IFERROR(__xludf.DUMMYFUNCTION("""COMPUTED_VALUE"""),"Xbox / PC")</f>
        <v>Xbox / PC</v>
      </c>
      <c r="C590" s="205" t="str">
        <f>IFERROR(__xludf.DUMMYFUNCTION("""COMPUTED_VALUE"""),"Yes")</f>
        <v>Yes</v>
      </c>
      <c r="D590" s="205" t="str">
        <f>IFERROR(__xludf.DUMMYFUNCTION("""COMPUTED_VALUE"""),"Active")</f>
        <v>Active</v>
      </c>
      <c r="E590" s="166">
        <f>IFERROR(__xludf.DUMMYFUNCTION("""COMPUTED_VALUE"""),45798.0)</f>
        <v>45798</v>
      </c>
      <c r="F590" s="206"/>
      <c r="G590" s="167">
        <f>IFERROR(__xludf.DUMMYFUNCTION("""COMPUTED_VALUE"""),4.800000000000001)</f>
        <v>4.8</v>
      </c>
      <c r="H590" s="166">
        <f>IFERROR(__xludf.DUMMYFUNCTION("""COMPUTED_VALUE"""),29646.0)</f>
        <v>29646</v>
      </c>
      <c r="I590" s="167">
        <f>IFERROR(__xludf.DUMMYFUNCTION("""COMPUTED_VALUE"""),44.22222222222222)</f>
        <v>44.22222222</v>
      </c>
      <c r="J590" s="168"/>
      <c r="K590" s="168"/>
      <c r="L590" s="207"/>
      <c r="M590" s="207"/>
    </row>
    <row r="591">
      <c r="A591" s="203" t="str">
        <f>IFERROR(__xludf.DUMMYFUNCTION("""COMPUTED_VALUE"""),"MechWarrior")</f>
        <v>MechWarrior</v>
      </c>
      <c r="B591" s="204" t="str">
        <f>IFERROR(__xludf.DUMMYFUNCTION("""COMPUTED_VALUE"""),"Xbox / PC")</f>
        <v>Xbox / PC</v>
      </c>
      <c r="C591" s="205" t="str">
        <f>IFERROR(__xludf.DUMMYFUNCTION("""COMPUTED_VALUE"""),"Yes")</f>
        <v>Yes</v>
      </c>
      <c r="D591" s="205" t="str">
        <f>IFERROR(__xludf.DUMMYFUNCTION("""COMPUTED_VALUE"""),"Active")</f>
        <v>Active</v>
      </c>
      <c r="E591" s="166">
        <f>IFERROR(__xludf.DUMMYFUNCTION("""COMPUTED_VALUE"""),45798.0)</f>
        <v>45798</v>
      </c>
      <c r="F591" s="206"/>
      <c r="G591" s="167">
        <f>IFERROR(__xludf.DUMMYFUNCTION("""COMPUTED_VALUE"""),4.800000000000001)</f>
        <v>4.8</v>
      </c>
      <c r="H591" s="166">
        <f>IFERROR(__xludf.DUMMYFUNCTION("""COMPUTED_VALUE"""),32843.0)</f>
        <v>32843</v>
      </c>
      <c r="I591" s="167">
        <f>IFERROR(__xludf.DUMMYFUNCTION("""COMPUTED_VALUE"""),35.47222222222222)</f>
        <v>35.47222222</v>
      </c>
      <c r="J591" s="168"/>
      <c r="K591" s="168"/>
      <c r="L591" s="207"/>
      <c r="M591" s="207"/>
    </row>
    <row r="592">
      <c r="A592" s="203" t="str">
        <f>IFERROR(__xludf.DUMMYFUNCTION("""COMPUTED_VALUE"""),"MechWarrior 2: 31st Century Combat")</f>
        <v>MechWarrior 2: 31st Century Combat</v>
      </c>
      <c r="B592" s="204" t="str">
        <f>IFERROR(__xludf.DUMMYFUNCTION("""COMPUTED_VALUE"""),"Xbox / PC")</f>
        <v>Xbox / PC</v>
      </c>
      <c r="C592" s="205" t="str">
        <f>IFERROR(__xludf.DUMMYFUNCTION("""COMPUTED_VALUE"""),"Yes")</f>
        <v>Yes</v>
      </c>
      <c r="D592" s="205" t="str">
        <f>IFERROR(__xludf.DUMMYFUNCTION("""COMPUTED_VALUE"""),"Active")</f>
        <v>Active</v>
      </c>
      <c r="E592" s="166">
        <f>IFERROR(__xludf.DUMMYFUNCTION("""COMPUTED_VALUE"""),45798.0)</f>
        <v>45798</v>
      </c>
      <c r="F592" s="206"/>
      <c r="G592" s="167">
        <f>IFERROR(__xludf.DUMMYFUNCTION("""COMPUTED_VALUE"""),4.800000000000001)</f>
        <v>4.8</v>
      </c>
      <c r="H592" s="166">
        <f>IFERROR(__xludf.DUMMYFUNCTION("""COMPUTED_VALUE"""),34904.0)</f>
        <v>34904</v>
      </c>
      <c r="I592" s="167">
        <f>IFERROR(__xludf.DUMMYFUNCTION("""COMPUTED_VALUE"""),29.825)</f>
        <v>29.825</v>
      </c>
      <c r="J592" s="168"/>
      <c r="K592" s="168"/>
      <c r="L592" s="207"/>
      <c r="M592" s="207"/>
    </row>
    <row r="593">
      <c r="A593" s="203" t="str">
        <f>IFERROR(__xludf.DUMMYFUNCTION("""COMPUTED_VALUE"""),"Megamania")</f>
        <v>Megamania</v>
      </c>
      <c r="B593" s="204" t="str">
        <f>IFERROR(__xludf.DUMMYFUNCTION("""COMPUTED_VALUE"""),"Xbox / PC")</f>
        <v>Xbox / PC</v>
      </c>
      <c r="C593" s="205" t="str">
        <f>IFERROR(__xludf.DUMMYFUNCTION("""COMPUTED_VALUE"""),"Yes")</f>
        <v>Yes</v>
      </c>
      <c r="D593" s="205" t="str">
        <f>IFERROR(__xludf.DUMMYFUNCTION("""COMPUTED_VALUE"""),"Active")</f>
        <v>Active</v>
      </c>
      <c r="E593" s="166">
        <f>IFERROR(__xludf.DUMMYFUNCTION("""COMPUTED_VALUE"""),45798.0)</f>
        <v>45798</v>
      </c>
      <c r="F593" s="206"/>
      <c r="G593" s="167">
        <f>IFERROR(__xludf.DUMMYFUNCTION("""COMPUTED_VALUE"""),4.800000000000001)</f>
        <v>4.8</v>
      </c>
      <c r="H593" s="166">
        <f>IFERROR(__xludf.DUMMYFUNCTION("""COMPUTED_VALUE"""),30050.0)</f>
        <v>30050</v>
      </c>
      <c r="I593" s="167">
        <f>IFERROR(__xludf.DUMMYFUNCTION("""COMPUTED_VALUE"""),43.11666666666667)</f>
        <v>43.11666667</v>
      </c>
      <c r="J593" s="168"/>
      <c r="K593" s="168"/>
      <c r="L593" s="207"/>
      <c r="M593" s="207"/>
    </row>
    <row r="594">
      <c r="A594" s="203" t="str">
        <f>IFERROR(__xludf.DUMMYFUNCTION("""COMPUTED_VALUE"""),"Pitfall II: Lost Caverns")</f>
        <v>Pitfall II: Lost Caverns</v>
      </c>
      <c r="B594" s="204" t="str">
        <f>IFERROR(__xludf.DUMMYFUNCTION("""COMPUTED_VALUE"""),"Xbox / PC")</f>
        <v>Xbox / PC</v>
      </c>
      <c r="C594" s="205" t="str">
        <f>IFERROR(__xludf.DUMMYFUNCTION("""COMPUTED_VALUE"""),"Yes")</f>
        <v>Yes</v>
      </c>
      <c r="D594" s="205" t="str">
        <f>IFERROR(__xludf.DUMMYFUNCTION("""COMPUTED_VALUE"""),"Active")</f>
        <v>Active</v>
      </c>
      <c r="E594" s="166">
        <f>IFERROR(__xludf.DUMMYFUNCTION("""COMPUTED_VALUE"""),45798.0)</f>
        <v>45798</v>
      </c>
      <c r="F594" s="206"/>
      <c r="G594" s="167">
        <f>IFERROR(__xludf.DUMMYFUNCTION("""COMPUTED_VALUE"""),4.800000000000001)</f>
        <v>4.8</v>
      </c>
      <c r="H594" s="166">
        <f>IFERROR(__xludf.DUMMYFUNCTION("""COMPUTED_VALUE"""),30575.0)</f>
        <v>30575</v>
      </c>
      <c r="I594" s="167">
        <f>IFERROR(__xludf.DUMMYFUNCTION("""COMPUTED_VALUE"""),41.68055555555556)</f>
        <v>41.68055556</v>
      </c>
      <c r="J594" s="168"/>
      <c r="K594" s="168"/>
      <c r="L594" s="207"/>
      <c r="M594" s="207"/>
    </row>
    <row r="595">
      <c r="A595" s="203" t="str">
        <f>IFERROR(__xludf.DUMMYFUNCTION("""COMPUTED_VALUE"""),"Pitfall!")</f>
        <v>Pitfall!</v>
      </c>
      <c r="B595" s="204" t="str">
        <f>IFERROR(__xludf.DUMMYFUNCTION("""COMPUTED_VALUE"""),"Xbox / PC")</f>
        <v>Xbox / PC</v>
      </c>
      <c r="C595" s="205" t="str">
        <f>IFERROR(__xludf.DUMMYFUNCTION("""COMPUTED_VALUE"""),"Yes")</f>
        <v>Yes</v>
      </c>
      <c r="D595" s="205" t="str">
        <f>IFERROR(__xludf.DUMMYFUNCTION("""COMPUTED_VALUE"""),"Active")</f>
        <v>Active</v>
      </c>
      <c r="E595" s="166">
        <f>IFERROR(__xludf.DUMMYFUNCTION("""COMPUTED_VALUE"""),45798.0)</f>
        <v>45798</v>
      </c>
      <c r="F595" s="206"/>
      <c r="G595" s="167">
        <f>IFERROR(__xludf.DUMMYFUNCTION("""COMPUTED_VALUE"""),4.800000000000001)</f>
        <v>4.8</v>
      </c>
      <c r="H595" s="166">
        <f>IFERROR(__xludf.DUMMYFUNCTION("""COMPUTED_VALUE"""),30061.0)</f>
        <v>30061</v>
      </c>
      <c r="I595" s="167">
        <f>IFERROR(__xludf.DUMMYFUNCTION("""COMPUTED_VALUE"""),43.08611111111111)</f>
        <v>43.08611111</v>
      </c>
      <c r="J595" s="168"/>
      <c r="K595" s="168"/>
      <c r="L595" s="207"/>
      <c r="M595" s="207"/>
    </row>
    <row r="596">
      <c r="A596" s="203" t="str">
        <f>IFERROR(__xludf.DUMMYFUNCTION("""COMPUTED_VALUE"""),"Police Quest")</f>
        <v>Police Quest</v>
      </c>
      <c r="B596" s="204" t="str">
        <f>IFERROR(__xludf.DUMMYFUNCTION("""COMPUTED_VALUE"""),"Xbox / PC")</f>
        <v>Xbox / PC</v>
      </c>
      <c r="C596" s="205" t="str">
        <f>IFERROR(__xludf.DUMMYFUNCTION("""COMPUTED_VALUE"""),"Yes")</f>
        <v>Yes</v>
      </c>
      <c r="D596" s="205" t="str">
        <f>IFERROR(__xludf.DUMMYFUNCTION("""COMPUTED_VALUE"""),"Active")</f>
        <v>Active</v>
      </c>
      <c r="E596" s="166">
        <f>IFERROR(__xludf.DUMMYFUNCTION("""COMPUTED_VALUE"""),45798.0)</f>
        <v>45798</v>
      </c>
      <c r="F596" s="206"/>
      <c r="G596" s="167">
        <f>IFERROR(__xludf.DUMMYFUNCTION("""COMPUTED_VALUE"""),4.800000000000001)</f>
        <v>4.8</v>
      </c>
      <c r="H596" s="166">
        <f>IFERROR(__xludf.DUMMYFUNCTION("""COMPUTED_VALUE"""),31778.0)</f>
        <v>31778</v>
      </c>
      <c r="I596" s="167">
        <f>IFERROR(__xludf.DUMMYFUNCTION("""COMPUTED_VALUE"""),38.388888888888886)</f>
        <v>38.38888889</v>
      </c>
      <c r="J596" s="168"/>
      <c r="K596" s="168"/>
      <c r="L596" s="207"/>
      <c r="M596" s="207"/>
    </row>
    <row r="597">
      <c r="A597" s="203" t="str">
        <f>IFERROR(__xludf.DUMMYFUNCTION("""COMPUTED_VALUE"""),"Pressure Cooker")</f>
        <v>Pressure Cooker</v>
      </c>
      <c r="B597" s="204" t="str">
        <f>IFERROR(__xludf.DUMMYFUNCTION("""COMPUTED_VALUE"""),"Xbox / PC")</f>
        <v>Xbox / PC</v>
      </c>
      <c r="C597" s="205" t="str">
        <f>IFERROR(__xludf.DUMMYFUNCTION("""COMPUTED_VALUE"""),"Yes")</f>
        <v>Yes</v>
      </c>
      <c r="D597" s="205" t="str">
        <f>IFERROR(__xludf.DUMMYFUNCTION("""COMPUTED_VALUE"""),"Active")</f>
        <v>Active</v>
      </c>
      <c r="E597" s="166">
        <f>IFERROR(__xludf.DUMMYFUNCTION("""COMPUTED_VALUE"""),45798.0)</f>
        <v>45798</v>
      </c>
      <c r="F597" s="206"/>
      <c r="G597" s="167">
        <f>IFERROR(__xludf.DUMMYFUNCTION("""COMPUTED_VALUE"""),4.800000000000001)</f>
        <v>4.8</v>
      </c>
      <c r="H597" s="166">
        <f>IFERROR(__xludf.DUMMYFUNCTION("""COMPUTED_VALUE"""),30369.0)</f>
        <v>30369</v>
      </c>
      <c r="I597" s="167">
        <f>IFERROR(__xludf.DUMMYFUNCTION("""COMPUTED_VALUE"""),42.24722222222222)</f>
        <v>42.24722222</v>
      </c>
      <c r="J597" s="168"/>
      <c r="K597" s="168"/>
      <c r="L597" s="207"/>
      <c r="M597" s="207"/>
    </row>
    <row r="598">
      <c r="A598" s="203" t="str">
        <f>IFERROR(__xludf.DUMMYFUNCTION("""COMPUTED_VALUE"""),"Quest for Glory: So You Want to Be a Hero")</f>
        <v>Quest for Glory: So You Want to Be a Hero</v>
      </c>
      <c r="B598" s="204" t="str">
        <f>IFERROR(__xludf.DUMMYFUNCTION("""COMPUTED_VALUE"""),"Xbox / PC")</f>
        <v>Xbox / PC</v>
      </c>
      <c r="C598" s="205" t="str">
        <f>IFERROR(__xludf.DUMMYFUNCTION("""COMPUTED_VALUE"""),"Yes")</f>
        <v>Yes</v>
      </c>
      <c r="D598" s="205" t="str">
        <f>IFERROR(__xludf.DUMMYFUNCTION("""COMPUTED_VALUE"""),"Active")</f>
        <v>Active</v>
      </c>
      <c r="E598" s="166">
        <f>IFERROR(__xludf.DUMMYFUNCTION("""COMPUTED_VALUE"""),45798.0)</f>
        <v>45798</v>
      </c>
      <c r="F598" s="206"/>
      <c r="G598" s="167">
        <f>IFERROR(__xludf.DUMMYFUNCTION("""COMPUTED_VALUE"""),4.800000000000001)</f>
        <v>4.8</v>
      </c>
      <c r="H598" s="166">
        <f>IFERROR(__xludf.DUMMYFUNCTION("""COMPUTED_VALUE"""),32782.0)</f>
        <v>32782</v>
      </c>
      <c r="I598" s="167">
        <f>IFERROR(__xludf.DUMMYFUNCTION("""COMPUTED_VALUE"""),35.638888888888886)</f>
        <v>35.63888889</v>
      </c>
      <c r="J598" s="168"/>
      <c r="K598" s="168"/>
      <c r="L598" s="207"/>
      <c r="M598" s="207"/>
    </row>
    <row r="599">
      <c r="A599" s="203" t="str">
        <f>IFERROR(__xludf.DUMMYFUNCTION("""COMPUTED_VALUE"""),"Riddle of the Sphinx")</f>
        <v>Riddle of the Sphinx</v>
      </c>
      <c r="B599" s="204" t="str">
        <f>IFERROR(__xludf.DUMMYFUNCTION("""COMPUTED_VALUE"""),"Xbox / PC")</f>
        <v>Xbox / PC</v>
      </c>
      <c r="C599" s="205" t="str">
        <f>IFERROR(__xludf.DUMMYFUNCTION("""COMPUTED_VALUE"""),"Yes")</f>
        <v>Yes</v>
      </c>
      <c r="D599" s="205" t="str">
        <f>IFERROR(__xludf.DUMMYFUNCTION("""COMPUTED_VALUE"""),"Active")</f>
        <v>Active</v>
      </c>
      <c r="E599" s="166">
        <f>IFERROR(__xludf.DUMMYFUNCTION("""COMPUTED_VALUE"""),45798.0)</f>
        <v>45798</v>
      </c>
      <c r="F599" s="206"/>
      <c r="G599" s="167">
        <f>IFERROR(__xludf.DUMMYFUNCTION("""COMPUTED_VALUE"""),4.800000000000001)</f>
        <v>4.8</v>
      </c>
      <c r="H599" s="166">
        <f>IFERROR(__xludf.DUMMYFUNCTION("""COMPUTED_VALUE"""),29952.0)</f>
        <v>29952</v>
      </c>
      <c r="I599" s="167">
        <f>IFERROR(__xludf.DUMMYFUNCTION("""COMPUTED_VALUE"""),43.388888888888886)</f>
        <v>43.38888889</v>
      </c>
      <c r="J599" s="168"/>
      <c r="K599" s="168"/>
      <c r="L599" s="207"/>
      <c r="M599" s="207"/>
    </row>
    <row r="600">
      <c r="A600" s="203" t="str">
        <f>IFERROR(__xludf.DUMMYFUNCTION("""COMPUTED_VALUE"""),"River Raid")</f>
        <v>River Raid</v>
      </c>
      <c r="B600" s="204" t="str">
        <f>IFERROR(__xludf.DUMMYFUNCTION("""COMPUTED_VALUE"""),"Xbox / PC")</f>
        <v>Xbox / PC</v>
      </c>
      <c r="C600" s="205" t="str">
        <f>IFERROR(__xludf.DUMMYFUNCTION("""COMPUTED_VALUE"""),"Yes")</f>
        <v>Yes</v>
      </c>
      <c r="D600" s="205" t="str">
        <f>IFERROR(__xludf.DUMMYFUNCTION("""COMPUTED_VALUE"""),"Active")</f>
        <v>Active</v>
      </c>
      <c r="E600" s="166">
        <f>IFERROR(__xludf.DUMMYFUNCTION("""COMPUTED_VALUE"""),45798.0)</f>
        <v>45798</v>
      </c>
      <c r="F600" s="206"/>
      <c r="G600" s="167">
        <f>IFERROR(__xludf.DUMMYFUNCTION("""COMPUTED_VALUE"""),4.800000000000001)</f>
        <v>4.8</v>
      </c>
      <c r="H600" s="166">
        <f>IFERROR(__xludf.DUMMYFUNCTION("""COMPUTED_VALUE"""),30164.0)</f>
        <v>30164</v>
      </c>
      <c r="I600" s="167">
        <f>IFERROR(__xludf.DUMMYFUNCTION("""COMPUTED_VALUE"""),42.80555555555556)</f>
        <v>42.80555556</v>
      </c>
      <c r="J600" s="168"/>
      <c r="K600" s="168"/>
      <c r="L600" s="207"/>
      <c r="M600" s="207"/>
    </row>
    <row r="601">
      <c r="A601" s="203" t="str">
        <f>IFERROR(__xludf.DUMMYFUNCTION("""COMPUTED_VALUE"""),"River Raid II")</f>
        <v>River Raid II</v>
      </c>
      <c r="B601" s="204" t="str">
        <f>IFERROR(__xludf.DUMMYFUNCTION("""COMPUTED_VALUE"""),"Xbox / PC")</f>
        <v>Xbox / PC</v>
      </c>
      <c r="C601" s="205" t="str">
        <f>IFERROR(__xludf.DUMMYFUNCTION("""COMPUTED_VALUE"""),"Yes")</f>
        <v>Yes</v>
      </c>
      <c r="D601" s="205" t="str">
        <f>IFERROR(__xludf.DUMMYFUNCTION("""COMPUTED_VALUE"""),"Active")</f>
        <v>Active</v>
      </c>
      <c r="E601" s="166">
        <f>IFERROR(__xludf.DUMMYFUNCTION("""COMPUTED_VALUE"""),45798.0)</f>
        <v>45798</v>
      </c>
      <c r="F601" s="206"/>
      <c r="G601" s="167">
        <f>IFERROR(__xludf.DUMMYFUNCTION("""COMPUTED_VALUE"""),4.800000000000001)</f>
        <v>4.8</v>
      </c>
      <c r="H601" s="166">
        <f>IFERROR(__xludf.DUMMYFUNCTION("""COMPUTED_VALUE"""),32352.0)</f>
        <v>32352</v>
      </c>
      <c r="I601" s="167">
        <f>IFERROR(__xludf.DUMMYFUNCTION("""COMPUTED_VALUE"""),36.81388888888889)</f>
        <v>36.81388889</v>
      </c>
      <c r="J601" s="168"/>
      <c r="K601" s="168"/>
      <c r="L601" s="207"/>
      <c r="M601" s="207"/>
    </row>
    <row r="602">
      <c r="A602" s="203" t="str">
        <f>IFERROR(__xludf.DUMMYFUNCTION("""COMPUTED_VALUE"""),"Robot Tank")</f>
        <v>Robot Tank</v>
      </c>
      <c r="B602" s="204" t="str">
        <f>IFERROR(__xludf.DUMMYFUNCTION("""COMPUTED_VALUE"""),"Xbox / PC")</f>
        <v>Xbox / PC</v>
      </c>
      <c r="C602" s="205" t="str">
        <f>IFERROR(__xludf.DUMMYFUNCTION("""COMPUTED_VALUE"""),"Yes")</f>
        <v>Yes</v>
      </c>
      <c r="D602" s="205" t="str">
        <f>IFERROR(__xludf.DUMMYFUNCTION("""COMPUTED_VALUE"""),"Active")</f>
        <v>Active</v>
      </c>
      <c r="E602" s="166">
        <f>IFERROR(__xludf.DUMMYFUNCTION("""COMPUTED_VALUE"""),45798.0)</f>
        <v>45798</v>
      </c>
      <c r="F602" s="206"/>
      <c r="G602" s="167">
        <f>IFERROR(__xludf.DUMMYFUNCTION("""COMPUTED_VALUE"""),4.800000000000001)</f>
        <v>4.8</v>
      </c>
      <c r="H602" s="166">
        <f>IFERROR(__xludf.DUMMYFUNCTION("""COMPUTED_VALUE"""),30399.0)</f>
        <v>30399</v>
      </c>
      <c r="I602" s="167">
        <f>IFERROR(__xludf.DUMMYFUNCTION("""COMPUTED_VALUE"""),42.15833333333333)</f>
        <v>42.15833333</v>
      </c>
      <c r="J602" s="168"/>
      <c r="K602" s="168"/>
      <c r="L602" s="207"/>
      <c r="M602" s="207"/>
    </row>
    <row r="603">
      <c r="A603" s="203" t="str">
        <f>IFERROR(__xludf.DUMMYFUNCTION("""COMPUTED_VALUE"""),"Sky Jinks")</f>
        <v>Sky Jinks</v>
      </c>
      <c r="B603" s="204" t="str">
        <f>IFERROR(__xludf.DUMMYFUNCTION("""COMPUTED_VALUE"""),"Xbox / PC")</f>
        <v>Xbox / PC</v>
      </c>
      <c r="C603" s="205" t="str">
        <f>IFERROR(__xludf.DUMMYFUNCTION("""COMPUTED_VALUE"""),"Yes")</f>
        <v>Yes</v>
      </c>
      <c r="D603" s="205" t="str">
        <f>IFERROR(__xludf.DUMMYFUNCTION("""COMPUTED_VALUE"""),"Active")</f>
        <v>Active</v>
      </c>
      <c r="E603" s="166">
        <f>IFERROR(__xludf.DUMMYFUNCTION("""COMPUTED_VALUE"""),45798.0)</f>
        <v>45798</v>
      </c>
      <c r="F603" s="206"/>
      <c r="G603" s="167">
        <f>IFERROR(__xludf.DUMMYFUNCTION("""COMPUTED_VALUE"""),4.800000000000001)</f>
        <v>4.8</v>
      </c>
      <c r="H603" s="166">
        <f>IFERROR(__xludf.DUMMYFUNCTION("""COMPUTED_VALUE"""),30256.0)</f>
        <v>30256</v>
      </c>
      <c r="I603" s="167">
        <f>IFERROR(__xludf.DUMMYFUNCTION("""COMPUTED_VALUE"""),42.55555555555556)</f>
        <v>42.55555556</v>
      </c>
      <c r="J603" s="168"/>
      <c r="K603" s="168"/>
      <c r="L603" s="207"/>
      <c r="M603" s="207"/>
    </row>
    <row r="604">
      <c r="A604" s="203" t="str">
        <f>IFERROR(__xludf.DUMMYFUNCTION("""COMPUTED_VALUE"""),"Space Quest 2")</f>
        <v>Space Quest 2</v>
      </c>
      <c r="B604" s="204" t="str">
        <f>IFERROR(__xludf.DUMMYFUNCTION("""COMPUTED_VALUE"""),"Xbox / PC")</f>
        <v>Xbox / PC</v>
      </c>
      <c r="C604" s="205" t="str">
        <f>IFERROR(__xludf.DUMMYFUNCTION("""COMPUTED_VALUE"""),"Yes")</f>
        <v>Yes</v>
      </c>
      <c r="D604" s="205" t="str">
        <f>IFERROR(__xludf.DUMMYFUNCTION("""COMPUTED_VALUE"""),"Active")</f>
        <v>Active</v>
      </c>
      <c r="E604" s="166">
        <f>IFERROR(__xludf.DUMMYFUNCTION("""COMPUTED_VALUE"""),45798.0)</f>
        <v>45798</v>
      </c>
      <c r="F604" s="206"/>
      <c r="G604" s="167">
        <f>IFERROR(__xludf.DUMMYFUNCTION("""COMPUTED_VALUE"""),4.800000000000001)</f>
        <v>4.8</v>
      </c>
      <c r="H604" s="166">
        <f>IFERROR(__xludf.DUMMYFUNCTION("""COMPUTED_VALUE"""),31778.0)</f>
        <v>31778</v>
      </c>
      <c r="I604" s="167">
        <f>IFERROR(__xludf.DUMMYFUNCTION("""COMPUTED_VALUE"""),38.388888888888886)</f>
        <v>38.38888889</v>
      </c>
      <c r="J604" s="168"/>
      <c r="K604" s="168"/>
      <c r="L604" s="207"/>
      <c r="M604" s="207"/>
    </row>
    <row r="605">
      <c r="A605" s="203" t="str">
        <f>IFERROR(__xludf.DUMMYFUNCTION("""COMPUTED_VALUE"""),"Space Quest 6")</f>
        <v>Space Quest 6</v>
      </c>
      <c r="B605" s="204" t="str">
        <f>IFERROR(__xludf.DUMMYFUNCTION("""COMPUTED_VALUE"""),"Xbox / PC")</f>
        <v>Xbox / PC</v>
      </c>
      <c r="C605" s="205" t="str">
        <f>IFERROR(__xludf.DUMMYFUNCTION("""COMPUTED_VALUE"""),"Yes")</f>
        <v>Yes</v>
      </c>
      <c r="D605" s="205" t="str">
        <f>IFERROR(__xludf.DUMMYFUNCTION("""COMPUTED_VALUE"""),"Active")</f>
        <v>Active</v>
      </c>
      <c r="E605" s="166">
        <f>IFERROR(__xludf.DUMMYFUNCTION("""COMPUTED_VALUE"""),45798.0)</f>
        <v>45798</v>
      </c>
      <c r="F605" s="206"/>
      <c r="G605" s="167">
        <f>IFERROR(__xludf.DUMMYFUNCTION("""COMPUTED_VALUE"""),4.800000000000001)</f>
        <v>4.8</v>
      </c>
      <c r="H605" s="166">
        <f>IFERROR(__xludf.DUMMYFUNCTION("""COMPUTED_VALUE"""),34700.0)</f>
        <v>34700</v>
      </c>
      <c r="I605" s="167">
        <f>IFERROR(__xludf.DUMMYFUNCTION("""COMPUTED_VALUE"""),30.38888888888889)</f>
        <v>30.38888889</v>
      </c>
      <c r="J605" s="168"/>
      <c r="K605" s="168"/>
      <c r="L605" s="207"/>
      <c r="M605" s="207"/>
    </row>
    <row r="606">
      <c r="A606" s="203" t="str">
        <f>IFERROR(__xludf.DUMMYFUNCTION("""COMPUTED_VALUE"""),"Space Treat Deluxe")</f>
        <v>Space Treat Deluxe</v>
      </c>
      <c r="B606" s="204" t="str">
        <f>IFERROR(__xludf.DUMMYFUNCTION("""COMPUTED_VALUE"""),"Xbox / PC")</f>
        <v>Xbox / PC</v>
      </c>
      <c r="C606" s="205" t="str">
        <f>IFERROR(__xludf.DUMMYFUNCTION("""COMPUTED_VALUE"""),"Yes")</f>
        <v>Yes</v>
      </c>
      <c r="D606" s="205" t="str">
        <f>IFERROR(__xludf.DUMMYFUNCTION("""COMPUTED_VALUE"""),"Active")</f>
        <v>Active</v>
      </c>
      <c r="E606" s="166">
        <f>IFERROR(__xludf.DUMMYFUNCTION("""COMPUTED_VALUE"""),45798.0)</f>
        <v>45798</v>
      </c>
      <c r="F606" s="206"/>
      <c r="G606" s="167">
        <f>IFERROR(__xludf.DUMMYFUNCTION("""COMPUTED_VALUE"""),4.800000000000001)</f>
        <v>4.8</v>
      </c>
      <c r="H606" s="166">
        <f>IFERROR(__xludf.DUMMYFUNCTION("""COMPUTED_VALUE"""),37714.0)</f>
        <v>37714</v>
      </c>
      <c r="I606" s="167">
        <f>IFERROR(__xludf.DUMMYFUNCTION("""COMPUTED_VALUE"""),22.133333333333333)</f>
        <v>22.13333333</v>
      </c>
      <c r="J606" s="168"/>
      <c r="K606" s="168"/>
      <c r="L606" s="207"/>
      <c r="M606" s="207"/>
    </row>
    <row r="607">
      <c r="A607" s="203" t="str">
        <f>IFERROR(__xludf.DUMMYFUNCTION("""COMPUTED_VALUE"""),"Spider Fighter")</f>
        <v>Spider Fighter</v>
      </c>
      <c r="B607" s="204" t="str">
        <f>IFERROR(__xludf.DUMMYFUNCTION("""COMPUTED_VALUE"""),"Xbox / PC")</f>
        <v>Xbox / PC</v>
      </c>
      <c r="C607" s="205" t="str">
        <f>IFERROR(__xludf.DUMMYFUNCTION("""COMPUTED_VALUE"""),"Yes")</f>
        <v>Yes</v>
      </c>
      <c r="D607" s="205" t="str">
        <f>IFERROR(__xludf.DUMMYFUNCTION("""COMPUTED_VALUE"""),"Active")</f>
        <v>Active</v>
      </c>
      <c r="E607" s="166">
        <f>IFERROR(__xludf.DUMMYFUNCTION("""COMPUTED_VALUE"""),45798.0)</f>
        <v>45798</v>
      </c>
      <c r="F607" s="206"/>
      <c r="G607" s="167">
        <f>IFERROR(__xludf.DUMMYFUNCTION("""COMPUTED_VALUE"""),4.800000000000001)</f>
        <v>4.8</v>
      </c>
      <c r="H607" s="166">
        <f>IFERROR(__xludf.DUMMYFUNCTION("""COMPUTED_VALUE"""),30317.0)</f>
        <v>30317</v>
      </c>
      <c r="I607" s="167">
        <f>IFERROR(__xludf.DUMMYFUNCTION("""COMPUTED_VALUE"""),42.388888888888886)</f>
        <v>42.38888889</v>
      </c>
      <c r="J607" s="168"/>
      <c r="K607" s="168"/>
      <c r="L607" s="207"/>
      <c r="M607" s="207"/>
    </row>
    <row r="608">
      <c r="A608" s="203" t="str">
        <f>IFERROR(__xludf.DUMMYFUNCTION("""COMPUTED_VALUE"""),"Star Voyager")</f>
        <v>Star Voyager</v>
      </c>
      <c r="B608" s="204" t="str">
        <f>IFERROR(__xludf.DUMMYFUNCTION("""COMPUTED_VALUE"""),"Xbox / PC")</f>
        <v>Xbox / PC</v>
      </c>
      <c r="C608" s="205" t="str">
        <f>IFERROR(__xludf.DUMMYFUNCTION("""COMPUTED_VALUE"""),"Yes")</f>
        <v>Yes</v>
      </c>
      <c r="D608" s="205" t="str">
        <f>IFERROR(__xludf.DUMMYFUNCTION("""COMPUTED_VALUE"""),"Active")</f>
        <v>Active</v>
      </c>
      <c r="E608" s="166">
        <f>IFERROR(__xludf.DUMMYFUNCTION("""COMPUTED_VALUE"""),45798.0)</f>
        <v>45798</v>
      </c>
      <c r="F608" s="206"/>
      <c r="G608" s="167">
        <f>IFERROR(__xludf.DUMMYFUNCTION("""COMPUTED_VALUE"""),4.800000000000001)</f>
        <v>4.8</v>
      </c>
      <c r="H608" s="166">
        <f>IFERROR(__xludf.DUMMYFUNCTION("""COMPUTED_VALUE"""),30042.0)</f>
        <v>30042</v>
      </c>
      <c r="I608" s="167">
        <f>IFERROR(__xludf.DUMMYFUNCTION("""COMPUTED_VALUE"""),43.138888888888886)</f>
        <v>43.13888889</v>
      </c>
      <c r="J608" s="168"/>
      <c r="K608" s="168"/>
      <c r="L608" s="207"/>
      <c r="M608" s="207"/>
    </row>
    <row r="609">
      <c r="A609" s="203" t="str">
        <f>IFERROR(__xludf.DUMMYFUNCTION("""COMPUTED_VALUE"""),"Tennis")</f>
        <v>Tennis</v>
      </c>
      <c r="B609" s="204" t="str">
        <f>IFERROR(__xludf.DUMMYFUNCTION("""COMPUTED_VALUE"""),"Xbox / PC")</f>
        <v>Xbox / PC</v>
      </c>
      <c r="C609" s="205" t="str">
        <f>IFERROR(__xludf.DUMMYFUNCTION("""COMPUTED_VALUE"""),"Yes")</f>
        <v>Yes</v>
      </c>
      <c r="D609" s="205" t="str">
        <f>IFERROR(__xludf.DUMMYFUNCTION("""COMPUTED_VALUE"""),"Active")</f>
        <v>Active</v>
      </c>
      <c r="E609" s="166">
        <f>IFERROR(__xludf.DUMMYFUNCTION("""COMPUTED_VALUE"""),45798.0)</f>
        <v>45798</v>
      </c>
      <c r="F609" s="206"/>
      <c r="G609" s="167">
        <f>IFERROR(__xludf.DUMMYFUNCTION("""COMPUTED_VALUE"""),4.800000000000001)</f>
        <v>4.8</v>
      </c>
      <c r="H609" s="166">
        <f>IFERROR(__xludf.DUMMYFUNCTION("""COMPUTED_VALUE"""),29646.0)</f>
        <v>29646</v>
      </c>
      <c r="I609" s="167">
        <f>IFERROR(__xludf.DUMMYFUNCTION("""COMPUTED_VALUE"""),44.22222222222222)</f>
        <v>44.22222222</v>
      </c>
      <c r="J609" s="168"/>
      <c r="K609" s="168"/>
      <c r="L609" s="207"/>
      <c r="M609" s="207"/>
    </row>
    <row r="610">
      <c r="A610" s="203" t="str">
        <f>IFERROR(__xludf.DUMMYFUNCTION("""COMPUTED_VALUE"""),"The Adventures of Willy Beamish")</f>
        <v>The Adventures of Willy Beamish</v>
      </c>
      <c r="B610" s="204" t="str">
        <f>IFERROR(__xludf.DUMMYFUNCTION("""COMPUTED_VALUE"""),"Xbox / PC")</f>
        <v>Xbox / PC</v>
      </c>
      <c r="C610" s="205" t="str">
        <f>IFERROR(__xludf.DUMMYFUNCTION("""COMPUTED_VALUE"""),"Yes")</f>
        <v>Yes</v>
      </c>
      <c r="D610" s="205" t="str">
        <f>IFERROR(__xludf.DUMMYFUNCTION("""COMPUTED_VALUE"""),"Active")</f>
        <v>Active</v>
      </c>
      <c r="E610" s="166">
        <f>IFERROR(__xludf.DUMMYFUNCTION("""COMPUTED_VALUE"""),45798.0)</f>
        <v>45798</v>
      </c>
      <c r="F610" s="206"/>
      <c r="G610" s="167">
        <f>IFERROR(__xludf.DUMMYFUNCTION("""COMPUTED_VALUE"""),4.800000000000001)</f>
        <v>4.8</v>
      </c>
      <c r="H610" s="166">
        <f>IFERROR(__xludf.DUMMYFUNCTION("""COMPUTED_VALUE"""),33239.0)</f>
        <v>33239</v>
      </c>
      <c r="I610" s="167">
        <f>IFERROR(__xludf.DUMMYFUNCTION("""COMPUTED_VALUE"""),34.388888888888886)</f>
        <v>34.38888889</v>
      </c>
      <c r="J610" s="168"/>
      <c r="K610" s="168"/>
      <c r="L610" s="207"/>
      <c r="M610" s="207"/>
    </row>
    <row r="611">
      <c r="A611" s="203" t="str">
        <f>IFERROR(__xludf.DUMMYFUNCTION("""COMPUTED_VALUE"""),"The Dagger of Amon Ra")</f>
        <v>The Dagger of Amon Ra</v>
      </c>
      <c r="B611" s="204" t="str">
        <f>IFERROR(__xludf.DUMMYFUNCTION("""COMPUTED_VALUE"""),"Xbox / PC")</f>
        <v>Xbox / PC</v>
      </c>
      <c r="C611" s="205" t="str">
        <f>IFERROR(__xludf.DUMMYFUNCTION("""COMPUTED_VALUE"""),"Yes")</f>
        <v>Yes</v>
      </c>
      <c r="D611" s="205" t="str">
        <f>IFERROR(__xludf.DUMMYFUNCTION("""COMPUTED_VALUE"""),"Active")</f>
        <v>Active</v>
      </c>
      <c r="E611" s="166">
        <f>IFERROR(__xludf.DUMMYFUNCTION("""COMPUTED_VALUE"""),45798.0)</f>
        <v>45798</v>
      </c>
      <c r="F611" s="206"/>
      <c r="G611" s="167">
        <f>IFERROR(__xludf.DUMMYFUNCTION("""COMPUTED_VALUE"""),4.800000000000001)</f>
        <v>4.8</v>
      </c>
      <c r="H611" s="166">
        <f>IFERROR(__xludf.DUMMYFUNCTION("""COMPUTED_VALUE"""),33604.0)</f>
        <v>33604</v>
      </c>
      <c r="I611" s="167">
        <f>IFERROR(__xludf.DUMMYFUNCTION("""COMPUTED_VALUE"""),33.388888888888886)</f>
        <v>33.38888889</v>
      </c>
      <c r="J611" s="168"/>
      <c r="K611" s="168"/>
      <c r="L611" s="207"/>
      <c r="M611" s="207"/>
    </row>
    <row r="612">
      <c r="A612" s="203" t="str">
        <f>IFERROR(__xludf.DUMMYFUNCTION("""COMPUTED_VALUE"""),"Thwocker")</f>
        <v>Thwocker</v>
      </c>
      <c r="B612" s="204" t="str">
        <f>IFERROR(__xludf.DUMMYFUNCTION("""COMPUTED_VALUE"""),"Xbox / PC")</f>
        <v>Xbox / PC</v>
      </c>
      <c r="C612" s="205" t="str">
        <f>IFERROR(__xludf.DUMMYFUNCTION("""COMPUTED_VALUE"""),"Yes")</f>
        <v>Yes</v>
      </c>
      <c r="D612" s="205" t="str">
        <f>IFERROR(__xludf.DUMMYFUNCTION("""COMPUTED_VALUE"""),"Active")</f>
        <v>Active</v>
      </c>
      <c r="E612" s="166">
        <f>IFERROR(__xludf.DUMMYFUNCTION("""COMPUTED_VALUE"""),45798.0)</f>
        <v>45798</v>
      </c>
      <c r="F612" s="206"/>
      <c r="G612" s="167">
        <f>IFERROR(__xludf.DUMMYFUNCTION("""COMPUTED_VALUE"""),4.800000000000001)</f>
        <v>4.8</v>
      </c>
      <c r="H612" s="166">
        <f>IFERROR(__xludf.DUMMYFUNCTION("""COMPUTED_VALUE"""),30682.0)</f>
        <v>30682</v>
      </c>
      <c r="I612" s="167">
        <f>IFERROR(__xludf.DUMMYFUNCTION("""COMPUTED_VALUE"""),41.388888888888886)</f>
        <v>41.38888889</v>
      </c>
      <c r="J612" s="168"/>
      <c r="K612" s="168"/>
      <c r="L612" s="207"/>
      <c r="M612" s="207"/>
    </row>
    <row r="613">
      <c r="A613" s="203" t="str">
        <f>IFERROR(__xludf.DUMMYFUNCTION("""COMPUTED_VALUE"""),"Title Match Pro Wrestling")</f>
        <v>Title Match Pro Wrestling</v>
      </c>
      <c r="B613" s="204" t="str">
        <f>IFERROR(__xludf.DUMMYFUNCTION("""COMPUTED_VALUE"""),"Xbox / PC")</f>
        <v>Xbox / PC</v>
      </c>
      <c r="C613" s="205" t="str">
        <f>IFERROR(__xludf.DUMMYFUNCTION("""COMPUTED_VALUE"""),"Yes")</f>
        <v>Yes</v>
      </c>
      <c r="D613" s="205" t="str">
        <f>IFERROR(__xludf.DUMMYFUNCTION("""COMPUTED_VALUE"""),"Active")</f>
        <v>Active</v>
      </c>
      <c r="E613" s="166">
        <f>IFERROR(__xludf.DUMMYFUNCTION("""COMPUTED_VALUE"""),45798.0)</f>
        <v>45798</v>
      </c>
      <c r="F613" s="206"/>
      <c r="G613" s="167">
        <f>IFERROR(__xludf.DUMMYFUNCTION("""COMPUTED_VALUE"""),4.800000000000001)</f>
        <v>4.8</v>
      </c>
      <c r="H613" s="166">
        <f>IFERROR(__xludf.DUMMYFUNCTION("""COMPUTED_VALUE"""),31972.0)</f>
        <v>31972</v>
      </c>
      <c r="I613" s="167">
        <f>IFERROR(__xludf.DUMMYFUNCTION("""COMPUTED_VALUE"""),37.852777777777774)</f>
        <v>37.85277778</v>
      </c>
      <c r="J613" s="168"/>
      <c r="K613" s="168"/>
      <c r="L613" s="207"/>
      <c r="M613" s="207"/>
    </row>
    <row r="614">
      <c r="A614" s="203" t="str">
        <f>IFERROR(__xludf.DUMMYFUNCTION("""COMPUTED_VALUE"""),"Torin's Passage")</f>
        <v>Torin's Passage</v>
      </c>
      <c r="B614" s="204" t="str">
        <f>IFERROR(__xludf.DUMMYFUNCTION("""COMPUTED_VALUE"""),"Xbox / PC")</f>
        <v>Xbox / PC</v>
      </c>
      <c r="C614" s="205" t="str">
        <f>IFERROR(__xludf.DUMMYFUNCTION("""COMPUTED_VALUE"""),"Yes")</f>
        <v>Yes</v>
      </c>
      <c r="D614" s="205" t="str">
        <f>IFERROR(__xludf.DUMMYFUNCTION("""COMPUTED_VALUE"""),"Active")</f>
        <v>Active</v>
      </c>
      <c r="E614" s="166">
        <f>IFERROR(__xludf.DUMMYFUNCTION("""COMPUTED_VALUE"""),45798.0)</f>
        <v>45798</v>
      </c>
      <c r="F614" s="206"/>
      <c r="G614" s="167">
        <f>IFERROR(__xludf.DUMMYFUNCTION("""COMPUTED_VALUE"""),4.800000000000001)</f>
        <v>4.8</v>
      </c>
      <c r="H614" s="166">
        <f>IFERROR(__xludf.DUMMYFUNCTION("""COMPUTED_VALUE"""),35003.0)</f>
        <v>35003</v>
      </c>
      <c r="I614" s="167">
        <f>IFERROR(__xludf.DUMMYFUNCTION("""COMPUTED_VALUE"""),29.558333333333334)</f>
        <v>29.55833333</v>
      </c>
      <c r="J614" s="168"/>
      <c r="K614" s="168"/>
      <c r="L614" s="207"/>
      <c r="M614" s="207"/>
    </row>
    <row r="615">
      <c r="A615" s="203" t="str">
        <f>IFERROR(__xludf.DUMMYFUNCTION("""COMPUTED_VALUE"""),"Trick Shot")</f>
        <v>Trick Shot</v>
      </c>
      <c r="B615" s="204" t="str">
        <f>IFERROR(__xludf.DUMMYFUNCTION("""COMPUTED_VALUE"""),"Xbox / PC")</f>
        <v>Xbox / PC</v>
      </c>
      <c r="C615" s="205" t="str">
        <f>IFERROR(__xludf.DUMMYFUNCTION("""COMPUTED_VALUE"""),"Yes")</f>
        <v>Yes</v>
      </c>
      <c r="D615" s="205" t="str">
        <f>IFERROR(__xludf.DUMMYFUNCTION("""COMPUTED_VALUE"""),"Active")</f>
        <v>Active</v>
      </c>
      <c r="E615" s="166">
        <f>IFERROR(__xludf.DUMMYFUNCTION("""COMPUTED_VALUE"""),45798.0)</f>
        <v>45798</v>
      </c>
      <c r="F615" s="206"/>
      <c r="G615" s="167">
        <f>IFERROR(__xludf.DUMMYFUNCTION("""COMPUTED_VALUE"""),4.800000000000001)</f>
        <v>4.8</v>
      </c>
      <c r="H615" s="166">
        <f>IFERROR(__xludf.DUMMYFUNCTION("""COMPUTED_VALUE"""),29952.0)</f>
        <v>29952</v>
      </c>
      <c r="I615" s="167">
        <f>IFERROR(__xludf.DUMMYFUNCTION("""COMPUTED_VALUE"""),43.388888888888886)</f>
        <v>43.38888889</v>
      </c>
      <c r="J615" s="168"/>
      <c r="K615" s="168"/>
      <c r="L615" s="207"/>
      <c r="M615" s="207"/>
    </row>
    <row r="616">
      <c r="A616" s="203" t="str">
        <f>IFERROR(__xludf.DUMMYFUNCTION("""COMPUTED_VALUE"""),"Vault Assault")</f>
        <v>Vault Assault</v>
      </c>
      <c r="B616" s="204" t="str">
        <f>IFERROR(__xludf.DUMMYFUNCTION("""COMPUTED_VALUE"""),"Xbox / PC")</f>
        <v>Xbox / PC</v>
      </c>
      <c r="C616" s="205" t="str">
        <f>IFERROR(__xludf.DUMMYFUNCTION("""COMPUTED_VALUE"""),"Yes")</f>
        <v>Yes</v>
      </c>
      <c r="D616" s="205" t="str">
        <f>IFERROR(__xludf.DUMMYFUNCTION("""COMPUTED_VALUE"""),"Active")</f>
        <v>Active</v>
      </c>
      <c r="E616" s="166">
        <f>IFERROR(__xludf.DUMMYFUNCTION("""COMPUTED_VALUE"""),45798.0)</f>
        <v>45798</v>
      </c>
      <c r="F616" s="206"/>
      <c r="G616" s="167">
        <f>IFERROR(__xludf.DUMMYFUNCTION("""COMPUTED_VALUE"""),4.800000000000001)</f>
        <v>4.8</v>
      </c>
      <c r="H616" s="166">
        <f>IFERROR(__xludf.DUMMYFUNCTION("""COMPUTED_VALUE"""),37114.0)</f>
        <v>37114</v>
      </c>
      <c r="I616" s="167">
        <f>IFERROR(__xludf.DUMMYFUNCTION("""COMPUTED_VALUE"""),23.77777777777778)</f>
        <v>23.77777778</v>
      </c>
      <c r="J616" s="168"/>
      <c r="K616" s="168"/>
      <c r="L616" s="207"/>
      <c r="M616" s="207"/>
    </row>
    <row r="617">
      <c r="A617" s="203" t="str">
        <f>IFERROR(__xludf.DUMMYFUNCTION("""COMPUTED_VALUE"""),"Venetian Blinds")</f>
        <v>Venetian Blinds</v>
      </c>
      <c r="B617" s="204" t="str">
        <f>IFERROR(__xludf.DUMMYFUNCTION("""COMPUTED_VALUE"""),"Xbox / PC")</f>
        <v>Xbox / PC</v>
      </c>
      <c r="C617" s="205" t="str">
        <f>IFERROR(__xludf.DUMMYFUNCTION("""COMPUTED_VALUE"""),"Yes")</f>
        <v>Yes</v>
      </c>
      <c r="D617" s="205" t="str">
        <f>IFERROR(__xludf.DUMMYFUNCTION("""COMPUTED_VALUE"""),"Active")</f>
        <v>Active</v>
      </c>
      <c r="E617" s="166">
        <f>IFERROR(__xludf.DUMMYFUNCTION("""COMPUTED_VALUE"""),45798.0)</f>
        <v>45798</v>
      </c>
      <c r="F617" s="206"/>
      <c r="G617" s="167">
        <f>IFERROR(__xludf.DUMMYFUNCTION("""COMPUTED_VALUE"""),4.800000000000001)</f>
        <v>4.8</v>
      </c>
      <c r="H617" s="166">
        <f>IFERROR(__xludf.DUMMYFUNCTION("""COMPUTED_VALUE"""),29587.0)</f>
        <v>29587</v>
      </c>
      <c r="I617" s="167">
        <f>IFERROR(__xludf.DUMMYFUNCTION("""COMPUTED_VALUE"""),44.388888888888886)</f>
        <v>44.38888889</v>
      </c>
      <c r="J617" s="168"/>
      <c r="K617" s="168"/>
      <c r="L617" s="207"/>
      <c r="M617" s="207"/>
    </row>
    <row r="618">
      <c r="A618" s="203" t="str">
        <f>IFERROR(__xludf.DUMMYFUNCTION("""COMPUTED_VALUE"""),"Zork I: The Great Underground ")</f>
        <v>Zork I: The Great Underground </v>
      </c>
      <c r="B618" s="204" t="str">
        <f>IFERROR(__xludf.DUMMYFUNCTION("""COMPUTED_VALUE"""),"Xbox / PC")</f>
        <v>Xbox / PC</v>
      </c>
      <c r="C618" s="205" t="str">
        <f>IFERROR(__xludf.DUMMYFUNCTION("""COMPUTED_VALUE"""),"Yes")</f>
        <v>Yes</v>
      </c>
      <c r="D618" s="205" t="str">
        <f>IFERROR(__xludf.DUMMYFUNCTION("""COMPUTED_VALUE"""),"Active")</f>
        <v>Active</v>
      </c>
      <c r="E618" s="166">
        <f>IFERROR(__xludf.DUMMYFUNCTION("""COMPUTED_VALUE"""),45798.0)</f>
        <v>45798</v>
      </c>
      <c r="F618" s="206"/>
      <c r="G618" s="167">
        <f>IFERROR(__xludf.DUMMYFUNCTION("""COMPUTED_VALUE"""),4.800000000000001)</f>
        <v>4.8</v>
      </c>
      <c r="H618" s="166">
        <f>IFERROR(__xludf.DUMMYFUNCTION("""COMPUTED_VALUE"""),29221.0)</f>
        <v>29221</v>
      </c>
      <c r="I618" s="167">
        <f>IFERROR(__xludf.DUMMYFUNCTION("""COMPUTED_VALUE"""),45.388888888888886)</f>
        <v>45.38888889</v>
      </c>
      <c r="J618" s="168"/>
      <c r="K618" s="168"/>
      <c r="L618" s="207" t="str">
        <f>IFERROR(__xludf.DUMMYFUNCTION("""COMPUTED_VALUE"""),"Text Adventure")</f>
        <v>Text Adventure</v>
      </c>
      <c r="M618" s="207"/>
    </row>
    <row r="619">
      <c r="A619" s="203" t="str">
        <f>IFERROR(__xludf.DUMMYFUNCTION("""COMPUTED_VALUE"""),"Zork Zero: The Revenge of Megaboz")</f>
        <v>Zork Zero: The Revenge of Megaboz</v>
      </c>
      <c r="B619" s="204" t="str">
        <f>IFERROR(__xludf.DUMMYFUNCTION("""COMPUTED_VALUE"""),"Xbox / PC")</f>
        <v>Xbox / PC</v>
      </c>
      <c r="C619" s="205" t="str">
        <f>IFERROR(__xludf.DUMMYFUNCTION("""COMPUTED_VALUE"""),"Yes")</f>
        <v>Yes</v>
      </c>
      <c r="D619" s="205" t="str">
        <f>IFERROR(__xludf.DUMMYFUNCTION("""COMPUTED_VALUE"""),"Active")</f>
        <v>Active</v>
      </c>
      <c r="E619" s="166">
        <f>IFERROR(__xludf.DUMMYFUNCTION("""COMPUTED_VALUE"""),45798.0)</f>
        <v>45798</v>
      </c>
      <c r="F619" s="206"/>
      <c r="G619" s="167">
        <f>IFERROR(__xludf.DUMMYFUNCTION("""COMPUTED_VALUE"""),4.800000000000001)</f>
        <v>4.8</v>
      </c>
      <c r="H619" s="166">
        <f>IFERROR(__xludf.DUMMYFUNCTION("""COMPUTED_VALUE"""),32435.0)</f>
        <v>32435</v>
      </c>
      <c r="I619" s="167">
        <f>IFERROR(__xludf.DUMMYFUNCTION("""COMPUTED_VALUE"""),36.58888888888889)</f>
        <v>36.58888889</v>
      </c>
      <c r="J619" s="168"/>
      <c r="K619" s="168"/>
      <c r="L619" s="207" t="str">
        <f>IFERROR(__xludf.DUMMYFUNCTION("""COMPUTED_VALUE"""),"Text Adventure")</f>
        <v>Text Adventure</v>
      </c>
      <c r="M619" s="207"/>
    </row>
    <row r="620">
      <c r="A620" s="203" t="str">
        <f>IFERROR(__xludf.DUMMYFUNCTION("""COMPUTED_VALUE"""),"Towerborne (Game Preview)")</f>
        <v>Towerborne (Game Preview)</v>
      </c>
      <c r="B620" s="204" t="str">
        <f>IFERROR(__xludf.DUMMYFUNCTION("""COMPUTED_VALUE"""),"Xbox / PC")</f>
        <v>Xbox / PC</v>
      </c>
      <c r="C620" s="205" t="str">
        <f>IFERROR(__xludf.DUMMYFUNCTION("""COMPUTED_VALUE"""),"Yes")</f>
        <v>Yes</v>
      </c>
      <c r="D620" s="205" t="str">
        <f>IFERROR(__xludf.DUMMYFUNCTION("""COMPUTED_VALUE"""),"Active")</f>
        <v>Active</v>
      </c>
      <c r="E620" s="166">
        <f>IFERROR(__xludf.DUMMYFUNCTION("""COMPUTED_VALUE"""),45776.0)</f>
        <v>45776</v>
      </c>
      <c r="F620" s="206"/>
      <c r="G620" s="167">
        <f>IFERROR(__xludf.DUMMYFUNCTION("""COMPUTED_VALUE"""),5.533333333333333)</f>
        <v>5.533333333</v>
      </c>
      <c r="H620" s="166">
        <f>IFERROR(__xludf.DUMMYFUNCTION("""COMPUTED_VALUE"""),45776.0)</f>
        <v>45776</v>
      </c>
      <c r="I620" s="167">
        <f>IFERROR(__xludf.DUMMYFUNCTION("""COMPUTED_VALUE"""),0.0)</f>
        <v>0</v>
      </c>
      <c r="J620" s="168"/>
      <c r="K620" s="168"/>
      <c r="L620" s="207" t="str">
        <f>IFERROR(__xludf.DUMMYFUNCTION("""COMPUTED_VALUE"""),"Beat-'Em-Up ")</f>
        <v>Beat-'Em-Up </v>
      </c>
      <c r="M620" s="207" t="str">
        <f>IFERROR(__xludf.DUMMYFUNCTION("""COMPUTED_VALUE"""),"Exclusive")</f>
        <v>Exclusive</v>
      </c>
    </row>
    <row r="621">
      <c r="A621" s="203" t="str">
        <f>IFERROR(__xludf.DUMMYFUNCTION("""COMPUTED_VALUE"""),"33 Immortals (Game Preview)")</f>
        <v>33 Immortals (Game Preview)</v>
      </c>
      <c r="B621" s="204" t="str">
        <f>IFERROR(__xludf.DUMMYFUNCTION("""COMPUTED_VALUE"""),"Xbox / PC")</f>
        <v>Xbox / PC</v>
      </c>
      <c r="C621" s="205" t="str">
        <f>IFERROR(__xludf.DUMMYFUNCTION("""COMPUTED_VALUE"""),"Yes")</f>
        <v>Yes</v>
      </c>
      <c r="D621" s="205" t="str">
        <f>IFERROR(__xludf.DUMMYFUNCTION("""COMPUTED_VALUE"""),"Active")</f>
        <v>Active</v>
      </c>
      <c r="E621" s="166">
        <f>IFERROR(__xludf.DUMMYFUNCTION("""COMPUTED_VALUE"""),45734.0)</f>
        <v>45734</v>
      </c>
      <c r="F621" s="206"/>
      <c r="G621" s="167">
        <f>IFERROR(__xludf.DUMMYFUNCTION("""COMPUTED_VALUE"""),6.8999999999999995)</f>
        <v>6.9</v>
      </c>
      <c r="H621" s="166">
        <f>IFERROR(__xludf.DUMMYFUNCTION("""COMPUTED_VALUE"""),45734.0)</f>
        <v>45734</v>
      </c>
      <c r="I621" s="167">
        <f>IFERROR(__xludf.DUMMYFUNCTION("""COMPUTED_VALUE"""),0.0)</f>
        <v>0</v>
      </c>
      <c r="J621" s="168"/>
      <c r="K621" s="168">
        <f>IFERROR(__xludf.DUMMYFUNCTION("""COMPUTED_VALUE"""),5.0)</f>
        <v>5</v>
      </c>
      <c r="L621" s="207" t="str">
        <f>IFERROR(__xludf.DUMMYFUNCTION("""COMPUTED_VALUE"""),"RPG")</f>
        <v>RPG</v>
      </c>
      <c r="M621" s="207" t="str">
        <f>IFERROR(__xludf.DUMMYFUNCTION("""COMPUTED_VALUE"""),"Exclusive")</f>
        <v>Exclusive</v>
      </c>
    </row>
    <row r="622">
      <c r="A622" s="203" t="str">
        <f>IFERROR(__xludf.DUMMYFUNCTION("""COMPUTED_VALUE"""),"Overthrown (Game Preview)")</f>
        <v>Overthrown (Game Preview)</v>
      </c>
      <c r="B622" s="204" t="str">
        <f>IFERROR(__xludf.DUMMYFUNCTION("""COMPUTED_VALUE"""),"Xbox / PC")</f>
        <v>Xbox / PC</v>
      </c>
      <c r="C622" s="205" t="str">
        <f>IFERROR(__xludf.DUMMYFUNCTION("""COMPUTED_VALUE"""),"Yes")</f>
        <v>Yes</v>
      </c>
      <c r="D622" s="205" t="str">
        <f>IFERROR(__xludf.DUMMYFUNCTION("""COMPUTED_VALUE"""),"Active")</f>
        <v>Active</v>
      </c>
      <c r="E622" s="166">
        <f>IFERROR(__xludf.DUMMYFUNCTION("""COMPUTED_VALUE"""),45631.0)</f>
        <v>45631</v>
      </c>
      <c r="F622" s="206"/>
      <c r="G622" s="167">
        <f>IFERROR(__xludf.DUMMYFUNCTION("""COMPUTED_VALUE"""),10.333333333333334)</f>
        <v>10.33333333</v>
      </c>
      <c r="H622" s="166">
        <f>IFERROR(__xludf.DUMMYFUNCTION("""COMPUTED_VALUE"""),45631.0)</f>
        <v>45631</v>
      </c>
      <c r="I622" s="167">
        <f>IFERROR(__xludf.DUMMYFUNCTION("""COMPUTED_VALUE"""),0.0)</f>
        <v>0</v>
      </c>
      <c r="J622" s="168"/>
      <c r="K622" s="168"/>
      <c r="L622" s="207" t="str">
        <f>IFERROR(__xludf.DUMMYFUNCTION("""COMPUTED_VALUE"""),"Sandbox")</f>
        <v>Sandbox</v>
      </c>
      <c r="M622" s="207" t="str">
        <f>IFERROR(__xludf.DUMMYFUNCTION("""COMPUTED_VALUE"""),"Exclusive")</f>
        <v>Exclusive</v>
      </c>
    </row>
    <row r="623">
      <c r="A623" s="203" t="str">
        <f>IFERROR(__xludf.DUMMYFUNCTION("""COMPUTED_VALUE"""),"Lightyear Frontier (Game Preview)")</f>
        <v>Lightyear Frontier (Game Preview)</v>
      </c>
      <c r="B623" s="204" t="str">
        <f>IFERROR(__xludf.DUMMYFUNCTION("""COMPUTED_VALUE"""),"Xbox / PC")</f>
        <v>Xbox / PC</v>
      </c>
      <c r="C623" s="205" t="str">
        <f>IFERROR(__xludf.DUMMYFUNCTION("""COMPUTED_VALUE"""),"Yes")</f>
        <v>Yes</v>
      </c>
      <c r="D623" s="205" t="str">
        <f>IFERROR(__xludf.DUMMYFUNCTION("""COMPUTED_VALUE"""),"Active")</f>
        <v>Active</v>
      </c>
      <c r="E623" s="166">
        <f>IFERROR(__xludf.DUMMYFUNCTION("""COMPUTED_VALUE"""),45370.0)</f>
        <v>45370</v>
      </c>
      <c r="F623" s="206"/>
      <c r="G623" s="167">
        <f>IFERROR(__xludf.DUMMYFUNCTION("""COMPUTED_VALUE"""),18.866666666666667)</f>
        <v>18.86666667</v>
      </c>
      <c r="H623" s="166">
        <f>IFERROR(__xludf.DUMMYFUNCTION("""COMPUTED_VALUE"""),45370.0)</f>
        <v>45370</v>
      </c>
      <c r="I623" s="167">
        <f>IFERROR(__xludf.DUMMYFUNCTION("""COMPUTED_VALUE"""),0.0)</f>
        <v>0</v>
      </c>
      <c r="J623" s="168"/>
      <c r="K623" s="168"/>
      <c r="L623" s="207" t="str">
        <f>IFERROR(__xludf.DUMMYFUNCTION("""COMPUTED_VALUE"""),"Sandbox")</f>
        <v>Sandbox</v>
      </c>
      <c r="M623" s="207" t="str">
        <f>IFERROR(__xludf.DUMMYFUNCTION("""COMPUTED_VALUE"""),"Exclusive")</f>
        <v>Exclusive</v>
      </c>
    </row>
    <row r="624">
      <c r="A624" s="203" t="str">
        <f>IFERROR(__xludf.DUMMYFUNCTION("""COMPUTED_VALUE"""),"Palworld (Game Preview)")</f>
        <v>Palworld (Game Preview)</v>
      </c>
      <c r="B624" s="204" t="str">
        <f>IFERROR(__xludf.DUMMYFUNCTION("""COMPUTED_VALUE"""),"Xbox / PC")</f>
        <v>Xbox / PC</v>
      </c>
      <c r="C624" s="205" t="str">
        <f>IFERROR(__xludf.DUMMYFUNCTION("""COMPUTED_VALUE"""),"Yes")</f>
        <v>Yes</v>
      </c>
      <c r="D624" s="205" t="str">
        <f>IFERROR(__xludf.DUMMYFUNCTION("""COMPUTED_VALUE"""),"Active")</f>
        <v>Active</v>
      </c>
      <c r="E624" s="166">
        <f>IFERROR(__xludf.DUMMYFUNCTION("""COMPUTED_VALUE"""),45310.0)</f>
        <v>45310</v>
      </c>
      <c r="F624" s="206"/>
      <c r="G624" s="167">
        <f>IFERROR(__xludf.DUMMYFUNCTION("""COMPUTED_VALUE"""),20.866666666666667)</f>
        <v>20.86666667</v>
      </c>
      <c r="H624" s="166">
        <f>IFERROR(__xludf.DUMMYFUNCTION("""COMPUTED_VALUE"""),45310.0)</f>
        <v>45310</v>
      </c>
      <c r="I624" s="167">
        <f>IFERROR(__xludf.DUMMYFUNCTION("""COMPUTED_VALUE"""),0.0)</f>
        <v>0</v>
      </c>
      <c r="J624" s="168"/>
      <c r="K624" s="168">
        <f>IFERROR(__xludf.DUMMYFUNCTION("""COMPUTED_VALUE"""),31.0)</f>
        <v>31</v>
      </c>
      <c r="L624" s="207" t="str">
        <f>IFERROR(__xludf.DUMMYFUNCTION("""COMPUTED_VALUE"""),"Action")</f>
        <v>Action</v>
      </c>
      <c r="M624" s="207"/>
    </row>
    <row r="625">
      <c r="A625" s="203" t="str">
        <f>IFERROR(__xludf.DUMMYFUNCTION("""COMPUTED_VALUE"""),"Techtonica (Game Preview)")</f>
        <v>Techtonica (Game Preview)</v>
      </c>
      <c r="B625" s="204" t="str">
        <f>IFERROR(__xludf.DUMMYFUNCTION("""COMPUTED_VALUE"""),"Xbox / PC")</f>
        <v>Xbox / PC</v>
      </c>
      <c r="C625" s="205" t="str">
        <f>IFERROR(__xludf.DUMMYFUNCTION("""COMPUTED_VALUE"""),"Yes")</f>
        <v>Yes</v>
      </c>
      <c r="D625" s="205" t="str">
        <f>IFERROR(__xludf.DUMMYFUNCTION("""COMPUTED_VALUE"""),"Active")</f>
        <v>Active</v>
      </c>
      <c r="E625" s="166">
        <f>IFERROR(__xludf.DUMMYFUNCTION("""COMPUTED_VALUE"""),45125.0)</f>
        <v>45125</v>
      </c>
      <c r="F625" s="206"/>
      <c r="G625" s="167">
        <f>IFERROR(__xludf.DUMMYFUNCTION("""COMPUTED_VALUE"""),26.9)</f>
        <v>26.9</v>
      </c>
      <c r="H625" s="166">
        <f>IFERROR(__xludf.DUMMYFUNCTION("""COMPUTED_VALUE"""),45125.0)</f>
        <v>45125</v>
      </c>
      <c r="I625" s="167">
        <f>IFERROR(__xludf.DUMMYFUNCTION("""COMPUTED_VALUE"""),0.0)</f>
        <v>0</v>
      </c>
      <c r="J625" s="168"/>
      <c r="K625" s="168"/>
      <c r="L625" s="207" t="str">
        <f>IFERROR(__xludf.DUMMYFUNCTION("""COMPUTED_VALUE"""),"Strategy / Simulation")</f>
        <v>Strategy / Simulation</v>
      </c>
      <c r="M625" s="207"/>
    </row>
    <row r="626">
      <c r="A626" s="203" t="str">
        <f>IFERROR(__xludf.DUMMYFUNCTION("""COMPUTED_VALUE"""),"Roboquest (2020)")</f>
        <v>Roboquest (2020)</v>
      </c>
      <c r="B626" s="204" t="str">
        <f>IFERROR(__xludf.DUMMYFUNCTION("""COMPUTED_VALUE"""),"Xbox / PC")</f>
        <v>Xbox / PC</v>
      </c>
      <c r="C626" s="205"/>
      <c r="D626" s="205" t="str">
        <f>IFERROR(__xludf.DUMMYFUNCTION("""COMPUTED_VALUE"""),"Active")</f>
        <v>Active</v>
      </c>
      <c r="E626" s="166">
        <f>IFERROR(__xludf.DUMMYFUNCTION("""COMPUTED_VALUE"""),44614.0)</f>
        <v>44614</v>
      </c>
      <c r="F626" s="206"/>
      <c r="G626" s="167">
        <f>IFERROR(__xludf.DUMMYFUNCTION("""COMPUTED_VALUE"""),43.766666666666666)</f>
        <v>43.76666667</v>
      </c>
      <c r="H626" s="166">
        <f>IFERROR(__xludf.DUMMYFUNCTION("""COMPUTED_VALUE"""),44063.0)</f>
        <v>44063</v>
      </c>
      <c r="I626" s="167">
        <f>IFERROR(__xludf.DUMMYFUNCTION("""COMPUTED_VALUE"""),1.5055555555555555)</f>
        <v>1.505555556</v>
      </c>
      <c r="J626" s="168"/>
      <c r="K626" s="168">
        <f>IFERROR(__xludf.DUMMYFUNCTION("""COMPUTED_VALUE"""),6.0)</f>
        <v>6</v>
      </c>
      <c r="L626" s="207" t="str">
        <f>IFERROR(__xludf.DUMMYFUNCTION("""COMPUTED_VALUE"""),"Action / First-Person Shooter")</f>
        <v>Action / First-Person Shooter</v>
      </c>
      <c r="M626" s="207"/>
    </row>
    <row r="627">
      <c r="A627" s="203" t="str">
        <f>IFERROR(__xludf.DUMMYFUNCTION("""COMPUTED_VALUE"""),"Portal 2")</f>
        <v>Portal 2</v>
      </c>
      <c r="B627" s="204" t="str">
        <f>IFERROR(__xludf.DUMMYFUNCTION("""COMPUTED_VALUE"""),"XB360/OG Xbox")</f>
        <v>XB360/OG Xbox</v>
      </c>
      <c r="C627" s="205"/>
      <c r="D627" s="205" t="str">
        <f>IFERROR(__xludf.DUMMYFUNCTION("""COMPUTED_VALUE"""),"GwG Permanent")</f>
        <v>GwG Permanent</v>
      </c>
      <c r="E627" s="166">
        <f>IFERROR(__xludf.DUMMYFUNCTION("""COMPUTED_VALUE"""),44819.0)</f>
        <v>44819</v>
      </c>
      <c r="F627" s="206">
        <f>IFERROR(__xludf.DUMMYFUNCTION("""COMPUTED_VALUE"""),44834.0)</f>
        <v>44834</v>
      </c>
      <c r="G627" s="167">
        <f>IFERROR(__xludf.DUMMYFUNCTION("""COMPUTED_VALUE"""),0.5)</f>
        <v>0.5</v>
      </c>
      <c r="H627" s="166"/>
      <c r="I627" s="167">
        <f>IFERROR(__xludf.DUMMYFUNCTION("""COMPUTED_VALUE"""),-3.0833333333333335)</f>
        <v>-3.083333333</v>
      </c>
      <c r="J627" s="168"/>
      <c r="K627" s="168"/>
      <c r="L627" s="207"/>
      <c r="M627" s="207"/>
    </row>
    <row r="628">
      <c r="A628" s="203" t="str">
        <f>IFERROR(__xludf.DUMMYFUNCTION("""COMPUTED_VALUE"""),"Thrillville")</f>
        <v>Thrillville</v>
      </c>
      <c r="B628" s="204" t="str">
        <f>IFERROR(__xludf.DUMMYFUNCTION("""COMPUTED_VALUE"""),"XB360/OG Xbox")</f>
        <v>XB360/OG Xbox</v>
      </c>
      <c r="C628" s="205"/>
      <c r="D628" s="205" t="str">
        <f>IFERROR(__xludf.DUMMYFUNCTION("""COMPUTED_VALUE"""),"GwG Permanent")</f>
        <v>GwG Permanent</v>
      </c>
      <c r="E628" s="166">
        <f>IFERROR(__xludf.DUMMYFUNCTION("""COMPUTED_VALUE"""),44805.0)</f>
        <v>44805</v>
      </c>
      <c r="F628" s="206">
        <f>IFERROR(__xludf.DUMMYFUNCTION("""COMPUTED_VALUE"""),44819.0)</f>
        <v>44819</v>
      </c>
      <c r="G628" s="167">
        <f>IFERROR(__xludf.DUMMYFUNCTION("""COMPUTED_VALUE"""),0.4666666666666667)</f>
        <v>0.4666666667</v>
      </c>
      <c r="H628" s="166"/>
      <c r="I628" s="167">
        <f>IFERROR(__xludf.DUMMYFUNCTION("""COMPUTED_VALUE"""),-3.1222222222222222)</f>
        <v>-3.122222222</v>
      </c>
      <c r="J628" s="168"/>
      <c r="K628" s="168"/>
      <c r="L628" s="207"/>
      <c r="M628" s="207"/>
    </row>
    <row r="629">
      <c r="A629" s="203" t="str">
        <f>IFERROR(__xludf.DUMMYFUNCTION("""COMPUTED_VALUE"""),"Monaco: What's Yours is Mine")</f>
        <v>Monaco: What's Yours is Mine</v>
      </c>
      <c r="B629" s="204" t="str">
        <f>IFERROR(__xludf.DUMMYFUNCTION("""COMPUTED_VALUE"""),"XB360/OG Xbox")</f>
        <v>XB360/OG Xbox</v>
      </c>
      <c r="C629" s="205"/>
      <c r="D629" s="205" t="str">
        <f>IFERROR(__xludf.DUMMYFUNCTION("""COMPUTED_VALUE"""),"GwG Permanent")</f>
        <v>GwG Permanent</v>
      </c>
      <c r="E629" s="166">
        <f>IFERROR(__xludf.DUMMYFUNCTION("""COMPUTED_VALUE"""),44788.0)</f>
        <v>44788</v>
      </c>
      <c r="F629" s="206">
        <f>IFERROR(__xludf.DUMMYFUNCTION("""COMPUTED_VALUE"""),44804.0)</f>
        <v>44804</v>
      </c>
      <c r="G629" s="167">
        <f>IFERROR(__xludf.DUMMYFUNCTION("""COMPUTED_VALUE"""),0.5)</f>
        <v>0.5</v>
      </c>
      <c r="H629" s="166"/>
      <c r="I629" s="167">
        <f>IFERROR(__xludf.DUMMYFUNCTION("""COMPUTED_VALUE"""),-3.1666666666666665)</f>
        <v>-3.166666667</v>
      </c>
      <c r="J629" s="168"/>
      <c r="K629" s="168"/>
      <c r="L629" s="207"/>
      <c r="M629" s="207"/>
    </row>
    <row r="630">
      <c r="A630" s="203" t="str">
        <f>IFERROR(__xludf.DUMMYFUNCTION("""COMPUTED_VALUE"""),"Saints Row 2")</f>
        <v>Saints Row 2</v>
      </c>
      <c r="B630" s="204" t="str">
        <f>IFERROR(__xludf.DUMMYFUNCTION("""COMPUTED_VALUE"""),"XB360/OG Xbox")</f>
        <v>XB360/OG Xbox</v>
      </c>
      <c r="C630" s="205"/>
      <c r="D630" s="205" t="str">
        <f>IFERROR(__xludf.DUMMYFUNCTION("""COMPUTED_VALUE"""),"GwG Permanent")</f>
        <v>GwG Permanent</v>
      </c>
      <c r="E630" s="166">
        <f>IFERROR(__xludf.DUMMYFUNCTION("""COMPUTED_VALUE"""),44774.0)</f>
        <v>44774</v>
      </c>
      <c r="F630" s="206">
        <f>IFERROR(__xludf.DUMMYFUNCTION("""COMPUTED_VALUE"""),44788.0)</f>
        <v>44788</v>
      </c>
      <c r="G630" s="167">
        <f>IFERROR(__xludf.DUMMYFUNCTION("""COMPUTED_VALUE"""),0.4666666666666667)</f>
        <v>0.4666666667</v>
      </c>
      <c r="H630" s="166"/>
      <c r="I630" s="167">
        <f>IFERROR(__xludf.DUMMYFUNCTION("""COMPUTED_VALUE"""),-3.2055555555555557)</f>
        <v>-3.205555556</v>
      </c>
      <c r="J630" s="168"/>
      <c r="K630" s="168"/>
      <c r="L630" s="207"/>
      <c r="M630" s="207"/>
    </row>
    <row r="631">
      <c r="A631" s="203" t="str">
        <f>IFERROR(__xludf.DUMMYFUNCTION("""COMPUTED_VALUE"""),"Torchlight")</f>
        <v>Torchlight</v>
      </c>
      <c r="B631" s="204" t="str">
        <f>IFERROR(__xludf.DUMMYFUNCTION("""COMPUTED_VALUE"""),"XB360/OG Xbox")</f>
        <v>XB360/OG Xbox</v>
      </c>
      <c r="C631" s="205"/>
      <c r="D631" s="205" t="str">
        <f>IFERROR(__xludf.DUMMYFUNCTION("""COMPUTED_VALUE"""),"GwG Permanent")</f>
        <v>GwG Permanent</v>
      </c>
      <c r="E631" s="166">
        <f>IFERROR(__xludf.DUMMYFUNCTION("""COMPUTED_VALUE"""),44758.0)</f>
        <v>44758</v>
      </c>
      <c r="F631" s="206">
        <f>IFERROR(__xludf.DUMMYFUNCTION("""COMPUTED_VALUE"""),44773.0)</f>
        <v>44773</v>
      </c>
      <c r="G631" s="167">
        <f>IFERROR(__xludf.DUMMYFUNCTION("""COMPUTED_VALUE"""),0.4666666666666667)</f>
        <v>0.4666666667</v>
      </c>
      <c r="H631" s="166"/>
      <c r="I631" s="167">
        <f>IFERROR(__xludf.DUMMYFUNCTION("""COMPUTED_VALUE"""),-3.2472222222222222)</f>
        <v>-3.247222222</v>
      </c>
      <c r="J631" s="168"/>
      <c r="K631" s="168"/>
      <c r="L631" s="207"/>
      <c r="M631" s="207"/>
    </row>
    <row r="632">
      <c r="A632" s="203" t="str">
        <f>IFERROR(__xludf.DUMMYFUNCTION("""COMPUTED_VALUE"""),"Thrillville: Off the Rails")</f>
        <v>Thrillville: Off the Rails</v>
      </c>
      <c r="B632" s="204" t="str">
        <f>IFERROR(__xludf.DUMMYFUNCTION("""COMPUTED_VALUE"""),"XB360/OG Xbox")</f>
        <v>XB360/OG Xbox</v>
      </c>
      <c r="C632" s="205"/>
      <c r="D632" s="205" t="str">
        <f>IFERROR(__xludf.DUMMYFUNCTION("""COMPUTED_VALUE"""),"GwG Permanent")</f>
        <v>GwG Permanent</v>
      </c>
      <c r="E632" s="166">
        <f>IFERROR(__xludf.DUMMYFUNCTION("""COMPUTED_VALUE"""),44743.0)</f>
        <v>44743</v>
      </c>
      <c r="F632" s="206">
        <f>IFERROR(__xludf.DUMMYFUNCTION("""COMPUTED_VALUE"""),44757.0)</f>
        <v>44757</v>
      </c>
      <c r="G632" s="167">
        <f>IFERROR(__xludf.DUMMYFUNCTION("""COMPUTED_VALUE"""),0.4666666666666667)</f>
        <v>0.4666666667</v>
      </c>
      <c r="H632" s="166"/>
      <c r="I632" s="167">
        <f>IFERROR(__xludf.DUMMYFUNCTION("""COMPUTED_VALUE"""),-3.2888888888888888)</f>
        <v>-3.288888889</v>
      </c>
      <c r="J632" s="168"/>
      <c r="K632" s="168"/>
      <c r="L632" s="207"/>
      <c r="M632" s="207"/>
    </row>
    <row r="633">
      <c r="A633" s="203" t="str">
        <f>IFERROR(__xludf.DUMMYFUNCTION("""COMPUTED_VALUE"""),"Raskulls")</f>
        <v>Raskulls</v>
      </c>
      <c r="B633" s="204" t="str">
        <f>IFERROR(__xludf.DUMMYFUNCTION("""COMPUTED_VALUE"""),"XB360/OG Xbox")</f>
        <v>XB360/OG Xbox</v>
      </c>
      <c r="C633" s="205"/>
      <c r="D633" s="205" t="str">
        <f>IFERROR(__xludf.DUMMYFUNCTION("""COMPUTED_VALUE"""),"GwG Permanent")</f>
        <v>GwG Permanent</v>
      </c>
      <c r="E633" s="166">
        <f>IFERROR(__xludf.DUMMYFUNCTION("""COMPUTED_VALUE"""),44728.0)</f>
        <v>44728</v>
      </c>
      <c r="F633" s="206">
        <f>IFERROR(__xludf.DUMMYFUNCTION("""COMPUTED_VALUE"""),44742.0)</f>
        <v>44742</v>
      </c>
      <c r="G633" s="167">
        <f>IFERROR(__xludf.DUMMYFUNCTION("""COMPUTED_VALUE"""),0.4666666666666667)</f>
        <v>0.4666666667</v>
      </c>
      <c r="H633" s="166"/>
      <c r="I633" s="167">
        <f>IFERROR(__xludf.DUMMYFUNCTION("""COMPUTED_VALUE"""),-3.3305555555555557)</f>
        <v>-3.330555556</v>
      </c>
      <c r="J633" s="168"/>
      <c r="K633" s="168"/>
      <c r="L633" s="207"/>
      <c r="M633" s="207"/>
    </row>
    <row r="634">
      <c r="A634" s="203" t="str">
        <f>IFERROR(__xludf.DUMMYFUNCTION("""COMPUTED_VALUE"""),"Super Meat Boy")</f>
        <v>Super Meat Boy</v>
      </c>
      <c r="B634" s="204" t="str">
        <f>IFERROR(__xludf.DUMMYFUNCTION("""COMPUTED_VALUE"""),"XB360/OG Xbox")</f>
        <v>XB360/OG Xbox</v>
      </c>
      <c r="C634" s="205"/>
      <c r="D634" s="205" t="str">
        <f>IFERROR(__xludf.DUMMYFUNCTION("""COMPUTED_VALUE"""),"GwG Permanent")</f>
        <v>GwG Permanent</v>
      </c>
      <c r="E634" s="166">
        <f>IFERROR(__xludf.DUMMYFUNCTION("""COMPUTED_VALUE"""),44713.0)</f>
        <v>44713</v>
      </c>
      <c r="F634" s="206">
        <f>IFERROR(__xludf.DUMMYFUNCTION("""COMPUTED_VALUE"""),44727.0)</f>
        <v>44727</v>
      </c>
      <c r="G634" s="167">
        <f>IFERROR(__xludf.DUMMYFUNCTION("""COMPUTED_VALUE"""),0.4666666666666667)</f>
        <v>0.4666666667</v>
      </c>
      <c r="H634" s="166"/>
      <c r="I634" s="167">
        <f>IFERROR(__xludf.DUMMYFUNCTION("""COMPUTED_VALUE"""),-3.3722222222222222)</f>
        <v>-3.372222222</v>
      </c>
      <c r="J634" s="168"/>
      <c r="K634" s="168"/>
      <c r="L634" s="207"/>
      <c r="M634" s="207"/>
    </row>
    <row r="635">
      <c r="A635" s="203" t="str">
        <f>IFERROR(__xludf.DUMMYFUNCTION("""COMPUTED_VALUE"""),"Viva Piñata: Party Animals")</f>
        <v>Viva Piñata: Party Animals</v>
      </c>
      <c r="B635" s="204" t="str">
        <f>IFERROR(__xludf.DUMMYFUNCTION("""COMPUTED_VALUE"""),"XB360/OG Xbox")</f>
        <v>XB360/OG Xbox</v>
      </c>
      <c r="C635" s="205"/>
      <c r="D635" s="205" t="str">
        <f>IFERROR(__xludf.DUMMYFUNCTION("""COMPUTED_VALUE"""),"GwG Permanent")</f>
        <v>GwG Permanent</v>
      </c>
      <c r="E635" s="166">
        <f>IFERROR(__xludf.DUMMYFUNCTION("""COMPUTED_VALUE"""),44697.0)</f>
        <v>44697</v>
      </c>
      <c r="F635" s="206">
        <f>IFERROR(__xludf.DUMMYFUNCTION("""COMPUTED_VALUE"""),44712.0)</f>
        <v>44712</v>
      </c>
      <c r="G635" s="167">
        <f>IFERROR(__xludf.DUMMYFUNCTION("""COMPUTED_VALUE"""),0.4666666666666667)</f>
        <v>0.4666666667</v>
      </c>
      <c r="H635" s="166"/>
      <c r="I635" s="167">
        <f>IFERROR(__xludf.DUMMYFUNCTION("""COMPUTED_VALUE"""),-3.4138888888888888)</f>
        <v>-3.413888889</v>
      </c>
      <c r="J635" s="168"/>
      <c r="K635" s="168"/>
      <c r="L635" s="207"/>
      <c r="M635" s="207"/>
    </row>
    <row r="636">
      <c r="A636" s="203" t="str">
        <f>IFERROR(__xludf.DUMMYFUNCTION("""COMPUTED_VALUE"""),"Hydro Thunder: Hurricane")</f>
        <v>Hydro Thunder: Hurricane</v>
      </c>
      <c r="B636" s="204" t="str">
        <f>IFERROR(__xludf.DUMMYFUNCTION("""COMPUTED_VALUE"""),"XB360/OG Xbox")</f>
        <v>XB360/OG Xbox</v>
      </c>
      <c r="C636" s="205"/>
      <c r="D636" s="205" t="str">
        <f>IFERROR(__xludf.DUMMYFUNCTION("""COMPUTED_VALUE"""),"GwG Permanent")</f>
        <v>GwG Permanent</v>
      </c>
      <c r="E636" s="166">
        <f>IFERROR(__xludf.DUMMYFUNCTION("""COMPUTED_VALUE"""),44682.0)</f>
        <v>44682</v>
      </c>
      <c r="F636" s="206">
        <f>IFERROR(__xludf.DUMMYFUNCTION("""COMPUTED_VALUE"""),44696.0)</f>
        <v>44696</v>
      </c>
      <c r="G636" s="167">
        <f>IFERROR(__xludf.DUMMYFUNCTION("""COMPUTED_VALUE"""),0.4666666666666667)</f>
        <v>0.4666666667</v>
      </c>
      <c r="H636" s="166"/>
      <c r="I636" s="167">
        <f>IFERROR(__xludf.DUMMYFUNCTION("""COMPUTED_VALUE"""),-3.4555555555555557)</f>
        <v>-3.455555556</v>
      </c>
      <c r="J636" s="168"/>
      <c r="K636" s="168"/>
      <c r="L636" s="207"/>
      <c r="M636" s="207"/>
    </row>
    <row r="637">
      <c r="A637" s="203" t="str">
        <f>IFERROR(__xludf.DUMMYFUNCTION("""COMPUTED_VALUE"""),"MX vs. ATV: Alive")</f>
        <v>MX vs. ATV: Alive</v>
      </c>
      <c r="B637" s="204" t="str">
        <f>IFERROR(__xludf.DUMMYFUNCTION("""COMPUTED_VALUE"""),"XB360/OG Xbox")</f>
        <v>XB360/OG Xbox</v>
      </c>
      <c r="C637" s="205"/>
      <c r="D637" s="205" t="str">
        <f>IFERROR(__xludf.DUMMYFUNCTION("""COMPUTED_VALUE"""),"GwG Permanent")</f>
        <v>GwG Permanent</v>
      </c>
      <c r="E637" s="166">
        <f>IFERROR(__xludf.DUMMYFUNCTION("""COMPUTED_VALUE"""),44667.0)</f>
        <v>44667</v>
      </c>
      <c r="F637" s="206">
        <f>IFERROR(__xludf.DUMMYFUNCTION("""COMPUTED_VALUE"""),44681.0)</f>
        <v>44681</v>
      </c>
      <c r="G637" s="167">
        <f>IFERROR(__xludf.DUMMYFUNCTION("""COMPUTED_VALUE"""),0.4666666666666667)</f>
        <v>0.4666666667</v>
      </c>
      <c r="H637" s="166"/>
      <c r="I637" s="167">
        <f>IFERROR(__xludf.DUMMYFUNCTION("""COMPUTED_VALUE"""),-3.4972222222222222)</f>
        <v>-3.497222222</v>
      </c>
      <c r="J637" s="168"/>
      <c r="K637" s="168"/>
      <c r="L637" s="207"/>
      <c r="M637" s="207"/>
    </row>
    <row r="638">
      <c r="A638" s="203" t="str">
        <f>IFERROR(__xludf.DUMMYFUNCTION("""COMPUTED_VALUE"""),"Outpost Kaloki X")</f>
        <v>Outpost Kaloki X</v>
      </c>
      <c r="B638" s="204" t="str">
        <f>IFERROR(__xludf.DUMMYFUNCTION("""COMPUTED_VALUE"""),"XB360/OG Xbox")</f>
        <v>XB360/OG Xbox</v>
      </c>
      <c r="C638" s="205"/>
      <c r="D638" s="205" t="str">
        <f>IFERROR(__xludf.DUMMYFUNCTION("""COMPUTED_VALUE"""),"GwG Permanent")</f>
        <v>GwG Permanent</v>
      </c>
      <c r="E638" s="166">
        <f>IFERROR(__xludf.DUMMYFUNCTION("""COMPUTED_VALUE"""),44652.0)</f>
        <v>44652</v>
      </c>
      <c r="F638" s="206">
        <f>IFERROR(__xludf.DUMMYFUNCTION("""COMPUTED_VALUE"""),44666.0)</f>
        <v>44666</v>
      </c>
      <c r="G638" s="167">
        <f>IFERROR(__xludf.DUMMYFUNCTION("""COMPUTED_VALUE"""),0.4666666666666667)</f>
        <v>0.4666666667</v>
      </c>
      <c r="H638" s="166"/>
      <c r="I638" s="167">
        <f>IFERROR(__xludf.DUMMYFUNCTION("""COMPUTED_VALUE"""),-3.5388888888888888)</f>
        <v>-3.538888889</v>
      </c>
      <c r="J638" s="168"/>
      <c r="K638" s="168"/>
      <c r="L638" s="207"/>
      <c r="M638" s="207"/>
    </row>
    <row r="639">
      <c r="A639" s="203" t="str">
        <f>IFERROR(__xludf.DUMMYFUNCTION("""COMPUTED_VALUE"""),"Spongebob's Truth or Square")</f>
        <v>Spongebob's Truth or Square</v>
      </c>
      <c r="B639" s="204" t="str">
        <f>IFERROR(__xludf.DUMMYFUNCTION("""COMPUTED_VALUE"""),"XB360/OG Xbox")</f>
        <v>XB360/OG Xbox</v>
      </c>
      <c r="C639" s="205"/>
      <c r="D639" s="205" t="str">
        <f>IFERROR(__xludf.DUMMYFUNCTION("""COMPUTED_VALUE"""),"GwG Permanent")</f>
        <v>GwG Permanent</v>
      </c>
      <c r="E639" s="166">
        <f>IFERROR(__xludf.DUMMYFUNCTION("""COMPUTED_VALUE"""),44636.0)</f>
        <v>44636</v>
      </c>
      <c r="F639" s="206">
        <f>IFERROR(__xludf.DUMMYFUNCTION("""COMPUTED_VALUE"""),44651.0)</f>
        <v>44651</v>
      </c>
      <c r="G639" s="167">
        <f>IFERROR(__xludf.DUMMYFUNCTION("""COMPUTED_VALUE"""),0.4666666666666667)</f>
        <v>0.4666666667</v>
      </c>
      <c r="H639" s="166"/>
      <c r="I639" s="167">
        <f>IFERROR(__xludf.DUMMYFUNCTION("""COMPUTED_VALUE"""),-3.5805555555555557)</f>
        <v>-3.580555556</v>
      </c>
      <c r="J639" s="168"/>
      <c r="K639" s="168"/>
      <c r="L639" s="207"/>
      <c r="M639" s="207"/>
    </row>
    <row r="640">
      <c r="A640" s="203" t="str">
        <f>IFERROR(__xludf.DUMMYFUNCTION("""COMPUTED_VALUE"""),"Sacred 2: Fallen Angel")</f>
        <v>Sacred 2: Fallen Angel</v>
      </c>
      <c r="B640" s="204" t="str">
        <f>IFERROR(__xludf.DUMMYFUNCTION("""COMPUTED_VALUE"""),"XB360/OG Xbox")</f>
        <v>XB360/OG Xbox</v>
      </c>
      <c r="C640" s="205"/>
      <c r="D640" s="205" t="str">
        <f>IFERROR(__xludf.DUMMYFUNCTION("""COMPUTED_VALUE"""),"GwG Permanent")</f>
        <v>GwG Permanent</v>
      </c>
      <c r="E640" s="166">
        <f>IFERROR(__xludf.DUMMYFUNCTION("""COMPUTED_VALUE"""),44621.0)</f>
        <v>44621</v>
      </c>
      <c r="F640" s="206">
        <f>IFERROR(__xludf.DUMMYFUNCTION("""COMPUTED_VALUE"""),44635.0)</f>
        <v>44635</v>
      </c>
      <c r="G640" s="167">
        <f>IFERROR(__xludf.DUMMYFUNCTION("""COMPUTED_VALUE"""),0.4666666666666667)</f>
        <v>0.4666666667</v>
      </c>
      <c r="H640" s="166"/>
      <c r="I640" s="167">
        <f>IFERROR(__xludf.DUMMYFUNCTION("""COMPUTED_VALUE"""),-3.6222222222222222)</f>
        <v>-3.622222222</v>
      </c>
      <c r="J640" s="168"/>
      <c r="K640" s="168"/>
      <c r="L640" s="207"/>
      <c r="M640" s="207"/>
    </row>
    <row r="641">
      <c r="A641" s="203" t="str">
        <f>IFERROR(__xludf.DUMMYFUNCTION("""COMPUTED_VALUE"""),"Band of Bugs")</f>
        <v>Band of Bugs</v>
      </c>
      <c r="B641" s="204" t="str">
        <f>IFERROR(__xludf.DUMMYFUNCTION("""COMPUTED_VALUE"""),"XB360/OG Xbox")</f>
        <v>XB360/OG Xbox</v>
      </c>
      <c r="C641" s="205"/>
      <c r="D641" s="205" t="str">
        <f>IFERROR(__xludf.DUMMYFUNCTION("""COMPUTED_VALUE"""),"GwG Permanent")</f>
        <v>GwG Permanent</v>
      </c>
      <c r="E641" s="166">
        <f>IFERROR(__xludf.DUMMYFUNCTION("""COMPUTED_VALUE"""),44608.0)</f>
        <v>44608</v>
      </c>
      <c r="F641" s="206">
        <f>IFERROR(__xludf.DUMMYFUNCTION("""COMPUTED_VALUE"""),44620.0)</f>
        <v>44620</v>
      </c>
      <c r="G641" s="167">
        <f>IFERROR(__xludf.DUMMYFUNCTION("""COMPUTED_VALUE"""),0.4)</f>
        <v>0.4</v>
      </c>
      <c r="H641" s="166"/>
      <c r="I641" s="167">
        <f>IFERROR(__xludf.DUMMYFUNCTION("""COMPUTED_VALUE"""),-3.6638888888888888)</f>
        <v>-3.663888889</v>
      </c>
      <c r="J641" s="168"/>
      <c r="K641" s="168"/>
      <c r="L641" s="207"/>
      <c r="M641" s="207"/>
    </row>
    <row r="642">
      <c r="A642" s="203" t="str">
        <f>IFERROR(__xludf.DUMMYFUNCTION("""COMPUTED_VALUE"""),"Hydrophobia")</f>
        <v>Hydrophobia</v>
      </c>
      <c r="B642" s="204" t="str">
        <f>IFERROR(__xludf.DUMMYFUNCTION("""COMPUTED_VALUE"""),"XB360/OG Xbox")</f>
        <v>XB360/OG Xbox</v>
      </c>
      <c r="C642" s="205"/>
      <c r="D642" s="205" t="str">
        <f>IFERROR(__xludf.DUMMYFUNCTION("""COMPUTED_VALUE"""),"GwG Permanent")</f>
        <v>GwG Permanent</v>
      </c>
      <c r="E642" s="166">
        <f>IFERROR(__xludf.DUMMYFUNCTION("""COMPUTED_VALUE"""),44593.0)</f>
        <v>44593</v>
      </c>
      <c r="F642" s="206">
        <f>IFERROR(__xludf.DUMMYFUNCTION("""COMPUTED_VALUE"""),44607.0)</f>
        <v>44607</v>
      </c>
      <c r="G642" s="167">
        <f>IFERROR(__xludf.DUMMYFUNCTION("""COMPUTED_VALUE"""),0.4666666666666667)</f>
        <v>0.4666666667</v>
      </c>
      <c r="H642" s="166"/>
      <c r="I642" s="167">
        <f>IFERROR(__xludf.DUMMYFUNCTION("""COMPUTED_VALUE"""),-3.7055555555555557)</f>
        <v>-3.705555556</v>
      </c>
      <c r="J642" s="168"/>
      <c r="K642" s="168"/>
      <c r="L642" s="207"/>
      <c r="M642" s="207"/>
    </row>
    <row r="643">
      <c r="A643" s="203" t="str">
        <f>IFERROR(__xludf.DUMMYFUNCTION("""COMPUTED_VALUE"""),"Space Invaders: Infinity Gene")</f>
        <v>Space Invaders: Infinity Gene</v>
      </c>
      <c r="B643" s="204" t="str">
        <f>IFERROR(__xludf.DUMMYFUNCTION("""COMPUTED_VALUE"""),"XB360/OG Xbox")</f>
        <v>XB360/OG Xbox</v>
      </c>
      <c r="C643" s="205"/>
      <c r="D643" s="205" t="str">
        <f>IFERROR(__xludf.DUMMYFUNCTION("""COMPUTED_VALUE"""),"GwG Permanent")</f>
        <v>GwG Permanent</v>
      </c>
      <c r="E643" s="166">
        <f>IFERROR(__xludf.DUMMYFUNCTION("""COMPUTED_VALUE"""),44577.0)</f>
        <v>44577</v>
      </c>
      <c r="F643" s="206">
        <f>IFERROR(__xludf.DUMMYFUNCTION("""COMPUTED_VALUE"""),44592.0)</f>
        <v>44592</v>
      </c>
      <c r="G643" s="167">
        <f>IFERROR(__xludf.DUMMYFUNCTION("""COMPUTED_VALUE"""),0.4666666666666667)</f>
        <v>0.4666666667</v>
      </c>
      <c r="H643" s="166"/>
      <c r="I643" s="167">
        <f>IFERROR(__xludf.DUMMYFUNCTION("""COMPUTED_VALUE"""),-3.7472222222222222)</f>
        <v>-3.747222222</v>
      </c>
      <c r="J643" s="168"/>
      <c r="K643" s="168"/>
      <c r="L643" s="207"/>
      <c r="M643" s="207"/>
    </row>
    <row r="644">
      <c r="A644" s="203" t="str">
        <f>IFERROR(__xludf.DUMMYFUNCTION("""COMPUTED_VALUE"""),"Radiant Silvergun")</f>
        <v>Radiant Silvergun</v>
      </c>
      <c r="B644" s="204" t="str">
        <f>IFERROR(__xludf.DUMMYFUNCTION("""COMPUTED_VALUE"""),"XB360/OG Xbox")</f>
        <v>XB360/OG Xbox</v>
      </c>
      <c r="C644" s="205"/>
      <c r="D644" s="205" t="str">
        <f>IFERROR(__xludf.DUMMYFUNCTION("""COMPUTED_VALUE"""),"GwG Permanent")</f>
        <v>GwG Permanent</v>
      </c>
      <c r="E644" s="166">
        <f>IFERROR(__xludf.DUMMYFUNCTION("""COMPUTED_VALUE"""),44562.0)</f>
        <v>44562</v>
      </c>
      <c r="F644" s="206">
        <f>IFERROR(__xludf.DUMMYFUNCTION("""COMPUTED_VALUE"""),44576.0)</f>
        <v>44576</v>
      </c>
      <c r="G644" s="167">
        <f>IFERROR(__xludf.DUMMYFUNCTION("""COMPUTED_VALUE"""),0.4666666666666667)</f>
        <v>0.4666666667</v>
      </c>
      <c r="H644" s="166"/>
      <c r="I644" s="167">
        <f>IFERROR(__xludf.DUMMYFUNCTION("""COMPUTED_VALUE"""),-3.7888888888888888)</f>
        <v>-3.788888889</v>
      </c>
      <c r="J644" s="168"/>
      <c r="K644" s="168"/>
      <c r="L644" s="207"/>
      <c r="M644" s="207"/>
    </row>
    <row r="645">
      <c r="A645" s="203" t="str">
        <f>IFERROR(__xludf.DUMMYFUNCTION("""COMPUTED_VALUE"""),"Insanely Twisted Shadow Planet")</f>
        <v>Insanely Twisted Shadow Planet</v>
      </c>
      <c r="B645" s="204" t="str">
        <f>IFERROR(__xludf.DUMMYFUNCTION("""COMPUTED_VALUE"""),"XB360/OG Xbox")</f>
        <v>XB360/OG Xbox</v>
      </c>
      <c r="C645" s="205"/>
      <c r="D645" s="205" t="str">
        <f>IFERROR(__xludf.DUMMYFUNCTION("""COMPUTED_VALUE"""),"GwG Permanent")</f>
        <v>GwG Permanent</v>
      </c>
      <c r="E645" s="166">
        <f>IFERROR(__xludf.DUMMYFUNCTION("""COMPUTED_VALUE"""),44546.0)</f>
        <v>44546</v>
      </c>
      <c r="F645" s="206">
        <f>IFERROR(__xludf.DUMMYFUNCTION("""COMPUTED_VALUE"""),44561.0)</f>
        <v>44561</v>
      </c>
      <c r="G645" s="167">
        <f>IFERROR(__xludf.DUMMYFUNCTION("""COMPUTED_VALUE"""),0.4666666666666667)</f>
        <v>0.4666666667</v>
      </c>
      <c r="H645" s="166"/>
      <c r="I645" s="167">
        <f>IFERROR(__xludf.DUMMYFUNCTION("""COMPUTED_VALUE"""),-3.8305555555555557)</f>
        <v>-3.830555556</v>
      </c>
      <c r="J645" s="168"/>
      <c r="K645" s="168"/>
      <c r="L645" s="207"/>
      <c r="M645" s="207"/>
    </row>
    <row r="646">
      <c r="A646" s="203" t="str">
        <f>IFERROR(__xludf.DUMMYFUNCTION("""COMPUTED_VALUE"""),"Orcs Must Die!")</f>
        <v>Orcs Must Die!</v>
      </c>
      <c r="B646" s="204" t="str">
        <f>IFERROR(__xludf.DUMMYFUNCTION("""COMPUTED_VALUE"""),"XB360/OG Xbox")</f>
        <v>XB360/OG Xbox</v>
      </c>
      <c r="C646" s="205"/>
      <c r="D646" s="205" t="str">
        <f>IFERROR(__xludf.DUMMYFUNCTION("""COMPUTED_VALUE"""),"GwG Permanent")</f>
        <v>GwG Permanent</v>
      </c>
      <c r="E646" s="166">
        <f>IFERROR(__xludf.DUMMYFUNCTION("""COMPUTED_VALUE"""),44531.0)</f>
        <v>44531</v>
      </c>
      <c r="F646" s="206">
        <f>IFERROR(__xludf.DUMMYFUNCTION("""COMPUTED_VALUE"""),44545.0)</f>
        <v>44545</v>
      </c>
      <c r="G646" s="167">
        <f>IFERROR(__xludf.DUMMYFUNCTION("""COMPUTED_VALUE"""),0.4666666666666667)</f>
        <v>0.4666666667</v>
      </c>
      <c r="H646" s="166"/>
      <c r="I646" s="167">
        <f>IFERROR(__xludf.DUMMYFUNCTION("""COMPUTED_VALUE"""),-3.8722222222222222)</f>
        <v>-3.872222222</v>
      </c>
      <c r="J646" s="168"/>
      <c r="K646" s="168"/>
      <c r="L646" s="207"/>
      <c r="M646" s="207"/>
    </row>
    <row r="647">
      <c r="A647" s="203" t="str">
        <f>IFERROR(__xludf.DUMMYFUNCTION("""COMPUTED_VALUE"""),"Lego Batman 2 DC Super Heroes")</f>
        <v>Lego Batman 2 DC Super Heroes</v>
      </c>
      <c r="B647" s="204" t="str">
        <f>IFERROR(__xludf.DUMMYFUNCTION("""COMPUTED_VALUE"""),"XB360/OG Xbox")</f>
        <v>XB360/OG Xbox</v>
      </c>
      <c r="C647" s="205"/>
      <c r="D647" s="205" t="str">
        <f>IFERROR(__xludf.DUMMYFUNCTION("""COMPUTED_VALUE"""),"GwG Permanent")</f>
        <v>GwG Permanent</v>
      </c>
      <c r="E647" s="166">
        <f>IFERROR(__xludf.DUMMYFUNCTION("""COMPUTED_VALUE"""),44516.0)</f>
        <v>44516</v>
      </c>
      <c r="F647" s="206">
        <f>IFERROR(__xludf.DUMMYFUNCTION("""COMPUTED_VALUE"""),44530.0)</f>
        <v>44530</v>
      </c>
      <c r="G647" s="167">
        <f>IFERROR(__xludf.DUMMYFUNCTION("""COMPUTED_VALUE"""),0.4666666666666667)</f>
        <v>0.4666666667</v>
      </c>
      <c r="H647" s="166"/>
      <c r="I647" s="167">
        <f>IFERROR(__xludf.DUMMYFUNCTION("""COMPUTED_VALUE"""),-3.9138888888888888)</f>
        <v>-3.913888889</v>
      </c>
      <c r="J647" s="168"/>
      <c r="K647" s="168"/>
      <c r="L647" s="207"/>
      <c r="M647" s="207"/>
    </row>
    <row r="648">
      <c r="A648" s="203" t="str">
        <f>IFERROR(__xludf.DUMMYFUNCTION("""COMPUTED_VALUE"""),"Rocket Knight")</f>
        <v>Rocket Knight</v>
      </c>
      <c r="B648" s="204" t="str">
        <f>IFERROR(__xludf.DUMMYFUNCTION("""COMPUTED_VALUE"""),"XB360/OG Xbox")</f>
        <v>XB360/OG Xbox</v>
      </c>
      <c r="C648" s="205"/>
      <c r="D648" s="205" t="str">
        <f>IFERROR(__xludf.DUMMYFUNCTION("""COMPUTED_VALUE"""),"GwG Permanent")</f>
        <v>GwG Permanent</v>
      </c>
      <c r="E648" s="166">
        <f>IFERROR(__xludf.DUMMYFUNCTION("""COMPUTED_VALUE"""),44501.0)</f>
        <v>44501</v>
      </c>
      <c r="F648" s="206">
        <f>IFERROR(__xludf.DUMMYFUNCTION("""COMPUTED_VALUE"""),44515.0)</f>
        <v>44515</v>
      </c>
      <c r="G648" s="167">
        <f>IFERROR(__xludf.DUMMYFUNCTION("""COMPUTED_VALUE"""),0.4666666666666667)</f>
        <v>0.4666666667</v>
      </c>
      <c r="H648" s="166"/>
      <c r="I648" s="167">
        <f>IFERROR(__xludf.DUMMYFUNCTION("""COMPUTED_VALUE"""),-3.9555555555555557)</f>
        <v>-3.955555556</v>
      </c>
      <c r="J648" s="168"/>
      <c r="K648" s="168"/>
      <c r="L648" s="207"/>
      <c r="M648" s="207"/>
    </row>
    <row r="649">
      <c r="A649" s="203" t="str">
        <f>IFERROR(__xludf.DUMMYFUNCTION("""COMPUTED_VALUE"""),"Resident Evil Code: Veronica X")</f>
        <v>Resident Evil Code: Veronica X</v>
      </c>
      <c r="B649" s="204" t="str">
        <f>IFERROR(__xludf.DUMMYFUNCTION("""COMPUTED_VALUE"""),"XB360/OG Xbox")</f>
        <v>XB360/OG Xbox</v>
      </c>
      <c r="C649" s="205"/>
      <c r="D649" s="205" t="str">
        <f>IFERROR(__xludf.DUMMYFUNCTION("""COMPUTED_VALUE"""),"GwG Permanent")</f>
        <v>GwG Permanent</v>
      </c>
      <c r="E649" s="166">
        <f>IFERROR(__xludf.DUMMYFUNCTION("""COMPUTED_VALUE"""),44485.0)</f>
        <v>44485</v>
      </c>
      <c r="F649" s="206">
        <f>IFERROR(__xludf.DUMMYFUNCTION("""COMPUTED_VALUE"""),44500.0)</f>
        <v>44500</v>
      </c>
      <c r="G649" s="167">
        <f>IFERROR(__xludf.DUMMYFUNCTION("""COMPUTED_VALUE"""),0.4666666666666667)</f>
        <v>0.4666666667</v>
      </c>
      <c r="H649" s="166"/>
      <c r="I649" s="167">
        <f>IFERROR(__xludf.DUMMYFUNCTION("""COMPUTED_VALUE"""),-3.9972222222222222)</f>
        <v>-3.997222222</v>
      </c>
      <c r="J649" s="168"/>
      <c r="K649" s="168"/>
      <c r="L649" s="207"/>
      <c r="M649" s="207"/>
    </row>
    <row r="650">
      <c r="A650" s="203" t="str">
        <f>IFERROR(__xludf.DUMMYFUNCTION("""COMPUTED_VALUE"""),"Castlevania: Harmony of Despair")</f>
        <v>Castlevania: Harmony of Despair</v>
      </c>
      <c r="B650" s="204" t="str">
        <f>IFERROR(__xludf.DUMMYFUNCTION("""COMPUTED_VALUE"""),"XB360/OG Xbox")</f>
        <v>XB360/OG Xbox</v>
      </c>
      <c r="C650" s="205"/>
      <c r="D650" s="205" t="str">
        <f>IFERROR(__xludf.DUMMYFUNCTION("""COMPUTED_VALUE"""),"GwG Permanent")</f>
        <v>GwG Permanent</v>
      </c>
      <c r="E650" s="166">
        <f>IFERROR(__xludf.DUMMYFUNCTION("""COMPUTED_VALUE"""),44470.0)</f>
        <v>44470</v>
      </c>
      <c r="F650" s="206">
        <f>IFERROR(__xludf.DUMMYFUNCTION("""COMPUTED_VALUE"""),44484.0)</f>
        <v>44484</v>
      </c>
      <c r="G650" s="167">
        <f>IFERROR(__xludf.DUMMYFUNCTION("""COMPUTED_VALUE"""),0.4666666666666667)</f>
        <v>0.4666666667</v>
      </c>
      <c r="H650" s="166"/>
      <c r="I650" s="167">
        <f>IFERROR(__xludf.DUMMYFUNCTION("""COMPUTED_VALUE"""),-4.038888888888889)</f>
        <v>-4.038888889</v>
      </c>
      <c r="J650" s="168"/>
      <c r="K650" s="168"/>
      <c r="L650" s="207"/>
      <c r="M650" s="207"/>
    </row>
    <row r="651">
      <c r="A651" s="203" t="str">
        <f>IFERROR(__xludf.DUMMYFUNCTION("""COMPUTED_VALUE"""),"Samurai Shodown II")</f>
        <v>Samurai Shodown II</v>
      </c>
      <c r="B651" s="204" t="str">
        <f>IFERROR(__xludf.DUMMYFUNCTION("""COMPUTED_VALUE"""),"XB360/OG Xbox")</f>
        <v>XB360/OG Xbox</v>
      </c>
      <c r="C651" s="205"/>
      <c r="D651" s="205" t="str">
        <f>IFERROR(__xludf.DUMMYFUNCTION("""COMPUTED_VALUE"""),"GwG Permanent")</f>
        <v>GwG Permanent</v>
      </c>
      <c r="E651" s="166">
        <f>IFERROR(__xludf.DUMMYFUNCTION("""COMPUTED_VALUE"""),44455.0)</f>
        <v>44455</v>
      </c>
      <c r="F651" s="206">
        <f>IFERROR(__xludf.DUMMYFUNCTION("""COMPUTED_VALUE"""),44469.0)</f>
        <v>44469</v>
      </c>
      <c r="G651" s="167">
        <f>IFERROR(__xludf.DUMMYFUNCTION("""COMPUTED_VALUE"""),0.4666666666666667)</f>
        <v>0.4666666667</v>
      </c>
      <c r="H651" s="166"/>
      <c r="I651" s="167">
        <f>IFERROR(__xludf.DUMMYFUNCTION("""COMPUTED_VALUE"""),-4.080555555555556)</f>
        <v>-4.080555556</v>
      </c>
      <c r="J651" s="168"/>
      <c r="K651" s="168"/>
      <c r="L651" s="207"/>
      <c r="M651" s="207"/>
    </row>
    <row r="652">
      <c r="A652" s="203" t="str">
        <f>IFERROR(__xludf.DUMMYFUNCTION("""COMPUTED_VALUE"""),"Zone of the Enders HD Collection")</f>
        <v>Zone of the Enders HD Collection</v>
      </c>
      <c r="B652" s="204" t="str">
        <f>IFERROR(__xludf.DUMMYFUNCTION("""COMPUTED_VALUE"""),"XB360/OG Xbox")</f>
        <v>XB360/OG Xbox</v>
      </c>
      <c r="C652" s="205"/>
      <c r="D652" s="205" t="str">
        <f>IFERROR(__xludf.DUMMYFUNCTION("""COMPUTED_VALUE"""),"GwG Permanent")</f>
        <v>GwG Permanent</v>
      </c>
      <c r="E652" s="166">
        <f>IFERROR(__xludf.DUMMYFUNCTION("""COMPUTED_VALUE"""),44440.0)</f>
        <v>44440</v>
      </c>
      <c r="F652" s="206">
        <f>IFERROR(__xludf.DUMMYFUNCTION("""COMPUTED_VALUE"""),44454.0)</f>
        <v>44454</v>
      </c>
      <c r="G652" s="167">
        <f>IFERROR(__xludf.DUMMYFUNCTION("""COMPUTED_VALUE"""),0.4666666666666667)</f>
        <v>0.4666666667</v>
      </c>
      <c r="H652" s="166"/>
      <c r="I652" s="167">
        <f>IFERROR(__xludf.DUMMYFUNCTION("""COMPUTED_VALUE"""),-4.122222222222222)</f>
        <v>-4.122222222</v>
      </c>
      <c r="J652" s="168"/>
      <c r="K652" s="168"/>
      <c r="L652" s="207"/>
      <c r="M652" s="207"/>
    </row>
    <row r="653">
      <c r="A653" s="203" t="str">
        <f>IFERROR(__xludf.DUMMYFUNCTION("""COMPUTED_VALUE"""),"Garou: Mark of the Wolves")</f>
        <v>Garou: Mark of the Wolves</v>
      </c>
      <c r="B653" s="204" t="str">
        <f>IFERROR(__xludf.DUMMYFUNCTION("""COMPUTED_VALUE"""),"XB360/OG Xbox")</f>
        <v>XB360/OG Xbox</v>
      </c>
      <c r="C653" s="205"/>
      <c r="D653" s="205" t="str">
        <f>IFERROR(__xludf.DUMMYFUNCTION("""COMPUTED_VALUE"""),"GwG Permanent")</f>
        <v>GwG Permanent</v>
      </c>
      <c r="E653" s="166">
        <f>IFERROR(__xludf.DUMMYFUNCTION("""COMPUTED_VALUE"""),44424.0)</f>
        <v>44424</v>
      </c>
      <c r="F653" s="206">
        <f>IFERROR(__xludf.DUMMYFUNCTION("""COMPUTED_VALUE"""),44439.0)</f>
        <v>44439</v>
      </c>
      <c r="G653" s="167">
        <f>IFERROR(__xludf.DUMMYFUNCTION("""COMPUTED_VALUE"""),0.4666666666666667)</f>
        <v>0.4666666667</v>
      </c>
      <c r="H653" s="166"/>
      <c r="I653" s="167">
        <f>IFERROR(__xludf.DUMMYFUNCTION("""COMPUTED_VALUE"""),-4.163888888888889)</f>
        <v>-4.163888889</v>
      </c>
      <c r="J653" s="168"/>
      <c r="K653" s="168"/>
      <c r="L653" s="207"/>
      <c r="M653" s="207"/>
    </row>
    <row r="654">
      <c r="A654" s="203" t="str">
        <f>IFERROR(__xludf.DUMMYFUNCTION("""COMPUTED_VALUE"""),"Lost Planet 3")</f>
        <v>Lost Planet 3</v>
      </c>
      <c r="B654" s="204" t="str">
        <f>IFERROR(__xludf.DUMMYFUNCTION("""COMPUTED_VALUE"""),"XB360/OG Xbox")</f>
        <v>XB360/OG Xbox</v>
      </c>
      <c r="C654" s="205"/>
      <c r="D654" s="205" t="str">
        <f>IFERROR(__xludf.DUMMYFUNCTION("""COMPUTED_VALUE"""),"GwG Permanent")</f>
        <v>GwG Permanent</v>
      </c>
      <c r="E654" s="166">
        <f>IFERROR(__xludf.DUMMYFUNCTION("""COMPUTED_VALUE"""),44409.0)</f>
        <v>44409</v>
      </c>
      <c r="F654" s="206">
        <f>IFERROR(__xludf.DUMMYFUNCTION("""COMPUTED_VALUE"""),44423.0)</f>
        <v>44423</v>
      </c>
      <c r="G654" s="167">
        <f>IFERROR(__xludf.DUMMYFUNCTION("""COMPUTED_VALUE"""),0.4666666666666667)</f>
        <v>0.4666666667</v>
      </c>
      <c r="H654" s="166"/>
      <c r="I654" s="167">
        <f>IFERROR(__xludf.DUMMYFUNCTION("""COMPUTED_VALUE"""),-4.205555555555556)</f>
        <v>-4.205555556</v>
      </c>
      <c r="J654" s="168"/>
      <c r="K654" s="168"/>
      <c r="L654" s="207"/>
      <c r="M654" s="207"/>
    </row>
    <row r="655">
      <c r="A655" s="203" t="str">
        <f>IFERROR(__xludf.DUMMYFUNCTION("""COMPUTED_VALUE"""),"Midway Arcade Origins")</f>
        <v>Midway Arcade Origins</v>
      </c>
      <c r="B655" s="204" t="str">
        <f>IFERROR(__xludf.DUMMYFUNCTION("""COMPUTED_VALUE"""),"XB360/OG Xbox")</f>
        <v>XB360/OG Xbox</v>
      </c>
      <c r="C655" s="205"/>
      <c r="D655" s="205" t="str">
        <f>IFERROR(__xludf.DUMMYFUNCTION("""COMPUTED_VALUE"""),"GwG Permanent")</f>
        <v>GwG Permanent</v>
      </c>
      <c r="E655" s="166">
        <f>IFERROR(__xludf.DUMMYFUNCTION("""COMPUTED_VALUE"""),44393.0)</f>
        <v>44393</v>
      </c>
      <c r="F655" s="206">
        <f>IFERROR(__xludf.DUMMYFUNCTION("""COMPUTED_VALUE"""),44408.0)</f>
        <v>44408</v>
      </c>
      <c r="G655" s="167">
        <f>IFERROR(__xludf.DUMMYFUNCTION("""COMPUTED_VALUE"""),0.4666666666666667)</f>
        <v>0.4666666667</v>
      </c>
      <c r="H655" s="166"/>
      <c r="I655" s="167">
        <f>IFERROR(__xludf.DUMMYFUNCTION("""COMPUTED_VALUE"""),-4.247222222222222)</f>
        <v>-4.247222222</v>
      </c>
      <c r="J655" s="168"/>
      <c r="K655" s="168"/>
      <c r="L655" s="207"/>
      <c r="M655" s="207"/>
    </row>
    <row r="656">
      <c r="A656" s="203" t="str">
        <f>IFERROR(__xludf.DUMMYFUNCTION("""COMPUTED_VALUE"""),"Conker: Live &amp; Reloaded")</f>
        <v>Conker: Live &amp; Reloaded</v>
      </c>
      <c r="B656" s="204" t="str">
        <f>IFERROR(__xludf.DUMMYFUNCTION("""COMPUTED_VALUE"""),"XB360/OG Xbox")</f>
        <v>XB360/OG Xbox</v>
      </c>
      <c r="C656" s="205"/>
      <c r="D656" s="205" t="str">
        <f>IFERROR(__xludf.DUMMYFUNCTION("""COMPUTED_VALUE"""),"GwG Permanent")</f>
        <v>GwG Permanent</v>
      </c>
      <c r="E656" s="166">
        <f>IFERROR(__xludf.DUMMYFUNCTION("""COMPUTED_VALUE"""),44378.0)</f>
        <v>44378</v>
      </c>
      <c r="F656" s="206">
        <f>IFERROR(__xludf.DUMMYFUNCTION("""COMPUTED_VALUE"""),44392.0)</f>
        <v>44392</v>
      </c>
      <c r="G656" s="167">
        <f>IFERROR(__xludf.DUMMYFUNCTION("""COMPUTED_VALUE"""),0.4666666666666667)</f>
        <v>0.4666666667</v>
      </c>
      <c r="H656" s="166"/>
      <c r="I656" s="167">
        <f>IFERROR(__xludf.DUMMYFUNCTION("""COMPUTED_VALUE"""),-4.288888888888889)</f>
        <v>-4.288888889</v>
      </c>
      <c r="J656" s="168"/>
      <c r="K656" s="168"/>
      <c r="L656" s="207"/>
      <c r="M656" s="207" t="str">
        <f>IFERROR(__xludf.DUMMYFUNCTION("""COMPUTED_VALUE"""),"Enhanced")</f>
        <v>Enhanced</v>
      </c>
    </row>
    <row r="657">
      <c r="A657" s="203" t="str">
        <f>IFERROR(__xludf.DUMMYFUNCTION("""COMPUTED_VALUE"""),"Injustice: Gods Among Us")</f>
        <v>Injustice: Gods Among Us</v>
      </c>
      <c r="B657" s="204" t="str">
        <f>IFERROR(__xludf.DUMMYFUNCTION("""COMPUTED_VALUE"""),"XB360/OG Xbox")</f>
        <v>XB360/OG Xbox</v>
      </c>
      <c r="C657" s="205"/>
      <c r="D657" s="205" t="str">
        <f>IFERROR(__xludf.DUMMYFUNCTION("""COMPUTED_VALUE"""),"GwG Permanent")</f>
        <v>GwG Permanent</v>
      </c>
      <c r="E657" s="166">
        <f>IFERROR(__xludf.DUMMYFUNCTION("""COMPUTED_VALUE"""),44363.0)</f>
        <v>44363</v>
      </c>
      <c r="F657" s="206">
        <f>IFERROR(__xludf.DUMMYFUNCTION("""COMPUTED_VALUE"""),44377.0)</f>
        <v>44377</v>
      </c>
      <c r="G657" s="167">
        <f>IFERROR(__xludf.DUMMYFUNCTION("""COMPUTED_VALUE"""),0.4666666666666667)</f>
        <v>0.4666666667</v>
      </c>
      <c r="H657" s="166"/>
      <c r="I657" s="167">
        <f>IFERROR(__xludf.DUMMYFUNCTION("""COMPUTED_VALUE"""),-4.330555555555556)</f>
        <v>-4.330555556</v>
      </c>
      <c r="J657" s="168"/>
      <c r="K657" s="168"/>
      <c r="L657" s="207"/>
      <c r="M657" s="207"/>
    </row>
    <row r="658">
      <c r="A658" s="203" t="str">
        <f>IFERROR(__xludf.DUMMYFUNCTION("""COMPUTED_VALUE"""),"NeoGeo Battle Coliseum")</f>
        <v>NeoGeo Battle Coliseum</v>
      </c>
      <c r="B658" s="204" t="str">
        <f>IFERROR(__xludf.DUMMYFUNCTION("""COMPUTED_VALUE"""),"XB360/OG Xbox")</f>
        <v>XB360/OG Xbox</v>
      </c>
      <c r="C658" s="205"/>
      <c r="D658" s="205" t="str">
        <f>IFERROR(__xludf.DUMMYFUNCTION("""COMPUTED_VALUE"""),"GwG Permanent")</f>
        <v>GwG Permanent</v>
      </c>
      <c r="E658" s="166">
        <f>IFERROR(__xludf.DUMMYFUNCTION("""COMPUTED_VALUE"""),44348.0)</f>
        <v>44348</v>
      </c>
      <c r="F658" s="206">
        <f>IFERROR(__xludf.DUMMYFUNCTION("""COMPUTED_VALUE"""),44362.0)</f>
        <v>44362</v>
      </c>
      <c r="G658" s="167">
        <f>IFERROR(__xludf.DUMMYFUNCTION("""COMPUTED_VALUE"""),0.4666666666666667)</f>
        <v>0.4666666667</v>
      </c>
      <c r="H658" s="166"/>
      <c r="I658" s="167">
        <f>IFERROR(__xludf.DUMMYFUNCTION("""COMPUTED_VALUE"""),-4.372222222222222)</f>
        <v>-4.372222222</v>
      </c>
      <c r="J658" s="168"/>
      <c r="K658" s="168"/>
      <c r="L658" s="207"/>
      <c r="M658" s="207"/>
    </row>
    <row r="659">
      <c r="A659" s="203" t="str">
        <f>IFERROR(__xludf.DUMMYFUNCTION("""COMPUTED_VALUE"""),"Tropico 4")</f>
        <v>Tropico 4</v>
      </c>
      <c r="B659" s="204" t="str">
        <f>IFERROR(__xludf.DUMMYFUNCTION("""COMPUTED_VALUE"""),"XB360/OG Xbox")</f>
        <v>XB360/OG Xbox</v>
      </c>
      <c r="C659" s="205"/>
      <c r="D659" s="205" t="str">
        <f>IFERROR(__xludf.DUMMYFUNCTION("""COMPUTED_VALUE"""),"GwG Permanent")</f>
        <v>GwG Permanent</v>
      </c>
      <c r="E659" s="166">
        <f>IFERROR(__xludf.DUMMYFUNCTION("""COMPUTED_VALUE"""),44332.0)</f>
        <v>44332</v>
      </c>
      <c r="F659" s="206">
        <f>IFERROR(__xludf.DUMMYFUNCTION("""COMPUTED_VALUE"""),44347.0)</f>
        <v>44347</v>
      </c>
      <c r="G659" s="167">
        <f>IFERROR(__xludf.DUMMYFUNCTION("""COMPUTED_VALUE"""),0.4666666666666667)</f>
        <v>0.4666666667</v>
      </c>
      <c r="H659" s="166"/>
      <c r="I659" s="167">
        <f>IFERROR(__xludf.DUMMYFUNCTION("""COMPUTED_VALUE"""),-4.413888888888889)</f>
        <v>-4.413888889</v>
      </c>
      <c r="J659" s="168"/>
      <c r="K659" s="168"/>
      <c r="L659" s="207"/>
      <c r="M659" s="207"/>
    </row>
    <row r="660">
      <c r="A660" s="203" t="str">
        <f>IFERROR(__xludf.DUMMYFUNCTION("""COMPUTED_VALUE"""),"Lego Batman")</f>
        <v>Lego Batman</v>
      </c>
      <c r="B660" s="204" t="str">
        <f>IFERROR(__xludf.DUMMYFUNCTION("""COMPUTED_VALUE"""),"XB360/OG Xbox")</f>
        <v>XB360/OG Xbox</v>
      </c>
      <c r="C660" s="205"/>
      <c r="D660" s="205" t="str">
        <f>IFERROR(__xludf.DUMMYFUNCTION("""COMPUTED_VALUE"""),"GwG Permanent")</f>
        <v>GwG Permanent</v>
      </c>
      <c r="E660" s="166">
        <f>IFERROR(__xludf.DUMMYFUNCTION("""COMPUTED_VALUE"""),44317.0)</f>
        <v>44317</v>
      </c>
      <c r="F660" s="206">
        <f>IFERROR(__xludf.DUMMYFUNCTION("""COMPUTED_VALUE"""),44331.0)</f>
        <v>44331</v>
      </c>
      <c r="G660" s="167">
        <f>IFERROR(__xludf.DUMMYFUNCTION("""COMPUTED_VALUE"""),0.4666666666666667)</f>
        <v>0.4666666667</v>
      </c>
      <c r="H660" s="166"/>
      <c r="I660" s="167">
        <f>IFERROR(__xludf.DUMMYFUNCTION("""COMPUTED_VALUE"""),-4.455555555555556)</f>
        <v>-4.455555556</v>
      </c>
      <c r="J660" s="168"/>
      <c r="K660" s="168"/>
      <c r="L660" s="207"/>
      <c r="M660" s="207"/>
    </row>
    <row r="661">
      <c r="A661" s="203" t="str">
        <f>IFERROR(__xludf.DUMMYFUNCTION("""COMPUTED_VALUE"""),"Hard Corps: Uprising")</f>
        <v>Hard Corps: Uprising</v>
      </c>
      <c r="B661" s="204" t="str">
        <f>IFERROR(__xludf.DUMMYFUNCTION("""COMPUTED_VALUE"""),"XB360/OG Xbox")</f>
        <v>XB360/OG Xbox</v>
      </c>
      <c r="C661" s="205"/>
      <c r="D661" s="205" t="str">
        <f>IFERROR(__xludf.DUMMYFUNCTION("""COMPUTED_VALUE"""),"GwG Permanent")</f>
        <v>GwG Permanent</v>
      </c>
      <c r="E661" s="166">
        <f>IFERROR(__xludf.DUMMYFUNCTION("""COMPUTED_VALUE"""),44302.0)</f>
        <v>44302</v>
      </c>
      <c r="F661" s="206">
        <f>IFERROR(__xludf.DUMMYFUNCTION("""COMPUTED_VALUE"""),44316.0)</f>
        <v>44316</v>
      </c>
      <c r="G661" s="167">
        <f>IFERROR(__xludf.DUMMYFUNCTION("""COMPUTED_VALUE"""),0.4666666666666667)</f>
        <v>0.4666666667</v>
      </c>
      <c r="H661" s="166"/>
      <c r="I661" s="167">
        <f>IFERROR(__xludf.DUMMYFUNCTION("""COMPUTED_VALUE"""),-4.497222222222222)</f>
        <v>-4.497222222</v>
      </c>
      <c r="J661" s="168"/>
      <c r="K661" s="168"/>
      <c r="L661" s="207"/>
      <c r="M661" s="207"/>
    </row>
    <row r="662">
      <c r="A662" s="203" t="str">
        <f>IFERROR(__xludf.DUMMYFUNCTION("""COMPUTED_VALUE"""),"Dark Void")</f>
        <v>Dark Void</v>
      </c>
      <c r="B662" s="204" t="str">
        <f>IFERROR(__xludf.DUMMYFUNCTION("""COMPUTED_VALUE"""),"XB360/OG Xbox")</f>
        <v>XB360/OG Xbox</v>
      </c>
      <c r="C662" s="205"/>
      <c r="D662" s="205" t="str">
        <f>IFERROR(__xludf.DUMMYFUNCTION("""COMPUTED_VALUE"""),"GwG Permanent")</f>
        <v>GwG Permanent</v>
      </c>
      <c r="E662" s="166">
        <f>IFERROR(__xludf.DUMMYFUNCTION("""COMPUTED_VALUE"""),44287.0)</f>
        <v>44287</v>
      </c>
      <c r="F662" s="206">
        <f>IFERROR(__xludf.DUMMYFUNCTION("""COMPUTED_VALUE"""),44301.0)</f>
        <v>44301</v>
      </c>
      <c r="G662" s="167">
        <f>IFERROR(__xludf.DUMMYFUNCTION("""COMPUTED_VALUE"""),0.4666666666666667)</f>
        <v>0.4666666667</v>
      </c>
      <c r="H662" s="166"/>
      <c r="I662" s="167">
        <f>IFERROR(__xludf.DUMMYFUNCTION("""COMPUTED_VALUE"""),-4.538888888888889)</f>
        <v>-4.538888889</v>
      </c>
      <c r="J662" s="168"/>
      <c r="K662" s="168"/>
      <c r="L662" s="207"/>
      <c r="M662" s="207"/>
    </row>
    <row r="663">
      <c r="A663" s="203" t="str">
        <f>IFERROR(__xludf.DUMMYFUNCTION("""COMPUTED_VALUE"""),"Port Royale 3")</f>
        <v>Port Royale 3</v>
      </c>
      <c r="B663" s="204" t="str">
        <f>IFERROR(__xludf.DUMMYFUNCTION("""COMPUTED_VALUE"""),"XB360/OG Xbox")</f>
        <v>XB360/OG Xbox</v>
      </c>
      <c r="C663" s="205"/>
      <c r="D663" s="205" t="str">
        <f>IFERROR(__xludf.DUMMYFUNCTION("""COMPUTED_VALUE"""),"GwG Permanent")</f>
        <v>GwG Permanent</v>
      </c>
      <c r="E663" s="166">
        <f>IFERROR(__xludf.DUMMYFUNCTION("""COMPUTED_VALUE"""),44271.0)</f>
        <v>44271</v>
      </c>
      <c r="F663" s="206">
        <f>IFERROR(__xludf.DUMMYFUNCTION("""COMPUTED_VALUE"""),44286.0)</f>
        <v>44286</v>
      </c>
      <c r="G663" s="167">
        <f>IFERROR(__xludf.DUMMYFUNCTION("""COMPUTED_VALUE"""),0.4666666666666667)</f>
        <v>0.4666666667</v>
      </c>
      <c r="H663" s="166"/>
      <c r="I663" s="167">
        <f>IFERROR(__xludf.DUMMYFUNCTION("""COMPUTED_VALUE"""),-4.580555555555556)</f>
        <v>-4.580555556</v>
      </c>
      <c r="J663" s="168"/>
      <c r="K663" s="168"/>
      <c r="L663" s="207"/>
      <c r="M663" s="207"/>
    </row>
    <row r="664">
      <c r="A664" s="203" t="str">
        <f>IFERROR(__xludf.DUMMYFUNCTION("""COMPUTED_VALUE"""),"Metal Slug 3")</f>
        <v>Metal Slug 3</v>
      </c>
      <c r="B664" s="204" t="str">
        <f>IFERROR(__xludf.DUMMYFUNCTION("""COMPUTED_VALUE"""),"XB360/OG Xbox")</f>
        <v>XB360/OG Xbox</v>
      </c>
      <c r="C664" s="205"/>
      <c r="D664" s="205" t="str">
        <f>IFERROR(__xludf.DUMMYFUNCTION("""COMPUTED_VALUE"""),"GwG Permanent")</f>
        <v>GwG Permanent</v>
      </c>
      <c r="E664" s="166">
        <f>IFERROR(__xludf.DUMMYFUNCTION("""COMPUTED_VALUE"""),44256.0)</f>
        <v>44256</v>
      </c>
      <c r="F664" s="206">
        <f>IFERROR(__xludf.DUMMYFUNCTION("""COMPUTED_VALUE"""),44270.0)</f>
        <v>44270</v>
      </c>
      <c r="G664" s="167">
        <f>IFERROR(__xludf.DUMMYFUNCTION("""COMPUTED_VALUE"""),0.4666666666666667)</f>
        <v>0.4666666667</v>
      </c>
      <c r="H664" s="166"/>
      <c r="I664" s="167">
        <f>IFERROR(__xludf.DUMMYFUNCTION("""COMPUTED_VALUE"""),-4.622222222222222)</f>
        <v>-4.622222222</v>
      </c>
      <c r="J664" s="168"/>
      <c r="K664" s="168"/>
      <c r="L664" s="207"/>
      <c r="M664" s="207"/>
    </row>
    <row r="665">
      <c r="A665" s="203" t="str">
        <f>IFERROR(__xludf.DUMMYFUNCTION("""COMPUTED_VALUE"""),"Lost Planet 2")</f>
        <v>Lost Planet 2</v>
      </c>
      <c r="B665" s="204" t="str">
        <f>IFERROR(__xludf.DUMMYFUNCTION("""COMPUTED_VALUE"""),"XB360/OG Xbox")</f>
        <v>XB360/OG Xbox</v>
      </c>
      <c r="C665" s="205"/>
      <c r="D665" s="205" t="str">
        <f>IFERROR(__xludf.DUMMYFUNCTION("""COMPUTED_VALUE"""),"GwG Permanent")</f>
        <v>GwG Permanent</v>
      </c>
      <c r="E665" s="166">
        <f>IFERROR(__xludf.DUMMYFUNCTION("""COMPUTED_VALUE"""),44243.0)</f>
        <v>44243</v>
      </c>
      <c r="F665" s="206">
        <f>IFERROR(__xludf.DUMMYFUNCTION("""COMPUTED_VALUE"""),44255.0)</f>
        <v>44255</v>
      </c>
      <c r="G665" s="167">
        <f>IFERROR(__xludf.DUMMYFUNCTION("""COMPUTED_VALUE"""),0.4)</f>
        <v>0.4</v>
      </c>
      <c r="H665" s="166"/>
      <c r="I665" s="167">
        <f>IFERROR(__xludf.DUMMYFUNCTION("""COMPUTED_VALUE"""),-4.663888888888889)</f>
        <v>-4.663888889</v>
      </c>
      <c r="J665" s="168"/>
      <c r="K665" s="168"/>
      <c r="L665" s="207"/>
      <c r="M665" s="207"/>
    </row>
    <row r="666">
      <c r="A666" s="203" t="str">
        <f>IFERROR(__xludf.DUMMYFUNCTION("""COMPUTED_VALUE"""),"Indiana Jones and the Emperor's Tomb")</f>
        <v>Indiana Jones and the Emperor's Tomb</v>
      </c>
      <c r="B666" s="204" t="str">
        <f>IFERROR(__xludf.DUMMYFUNCTION("""COMPUTED_VALUE"""),"XB360/OG Xbox")</f>
        <v>XB360/OG Xbox</v>
      </c>
      <c r="C666" s="205"/>
      <c r="D666" s="205" t="str">
        <f>IFERROR(__xludf.DUMMYFUNCTION("""COMPUTED_VALUE"""),"GwG Permanent")</f>
        <v>GwG Permanent</v>
      </c>
      <c r="E666" s="166">
        <f>IFERROR(__xludf.DUMMYFUNCTION("""COMPUTED_VALUE"""),44228.0)</f>
        <v>44228</v>
      </c>
      <c r="F666" s="206">
        <f>IFERROR(__xludf.DUMMYFUNCTION("""COMPUTED_VALUE"""),44243.0)</f>
        <v>44243</v>
      </c>
      <c r="G666" s="167">
        <f>IFERROR(__xludf.DUMMYFUNCTION("""COMPUTED_VALUE"""),0.5)</f>
        <v>0.5</v>
      </c>
      <c r="H666" s="166"/>
      <c r="I666" s="167">
        <f>IFERROR(__xludf.DUMMYFUNCTION("""COMPUTED_VALUE"""),-4.705555555555556)</f>
        <v>-4.705555556</v>
      </c>
      <c r="J666" s="168"/>
      <c r="K666" s="168"/>
      <c r="L666" s="207"/>
      <c r="M666" s="207" t="str">
        <f>IFERROR(__xludf.DUMMYFUNCTION("""COMPUTED_VALUE"""),"Enhanced")</f>
        <v>Enhanced</v>
      </c>
    </row>
    <row r="667">
      <c r="A667" s="203" t="str">
        <f>IFERROR(__xludf.DUMMYFUNCTION("""COMPUTED_VALUE"""),"Breakdown")</f>
        <v>Breakdown</v>
      </c>
      <c r="B667" s="204" t="str">
        <f>IFERROR(__xludf.DUMMYFUNCTION("""COMPUTED_VALUE"""),"XB360/OG Xbox")</f>
        <v>XB360/OG Xbox</v>
      </c>
      <c r="C667" s="205"/>
      <c r="D667" s="205" t="str">
        <f>IFERROR(__xludf.DUMMYFUNCTION("""COMPUTED_VALUE"""),"GwG Permanent")</f>
        <v>GwG Permanent</v>
      </c>
      <c r="E667" s="166">
        <f>IFERROR(__xludf.DUMMYFUNCTION("""COMPUTED_VALUE"""),44212.0)</f>
        <v>44212</v>
      </c>
      <c r="F667" s="206">
        <f>IFERROR(__xludf.DUMMYFUNCTION("""COMPUTED_VALUE"""),44227.0)</f>
        <v>44227</v>
      </c>
      <c r="G667" s="167">
        <f>IFERROR(__xludf.DUMMYFUNCTION("""COMPUTED_VALUE"""),0.4666666666666667)</f>
        <v>0.4666666667</v>
      </c>
      <c r="H667" s="166"/>
      <c r="I667" s="167">
        <f>IFERROR(__xludf.DUMMYFUNCTION("""COMPUTED_VALUE"""),-4.747222222222222)</f>
        <v>-4.747222222</v>
      </c>
      <c r="J667" s="168"/>
      <c r="K667" s="168"/>
      <c r="L667" s="207"/>
      <c r="M667" s="207" t="str">
        <f>IFERROR(__xludf.DUMMYFUNCTION("""COMPUTED_VALUE"""),"Enhanced")</f>
        <v>Enhanced</v>
      </c>
    </row>
    <row r="668">
      <c r="A668" s="203" t="str">
        <f>IFERROR(__xludf.DUMMYFUNCTION("""COMPUTED_VALUE"""),"The King of Fighters XIII")</f>
        <v>The King of Fighters XIII</v>
      </c>
      <c r="B668" s="204" t="str">
        <f>IFERROR(__xludf.DUMMYFUNCTION("""COMPUTED_VALUE"""),"XB360/OG Xbox")</f>
        <v>XB360/OG Xbox</v>
      </c>
      <c r="C668" s="205"/>
      <c r="D668" s="205" t="str">
        <f>IFERROR(__xludf.DUMMYFUNCTION("""COMPUTED_VALUE"""),"GwG Permanent")</f>
        <v>GwG Permanent</v>
      </c>
      <c r="E668" s="166">
        <f>IFERROR(__xludf.DUMMYFUNCTION("""COMPUTED_VALUE"""),44197.0)</f>
        <v>44197</v>
      </c>
      <c r="F668" s="206">
        <f>IFERROR(__xludf.DUMMYFUNCTION("""COMPUTED_VALUE"""),44211.0)</f>
        <v>44211</v>
      </c>
      <c r="G668" s="167">
        <f>IFERROR(__xludf.DUMMYFUNCTION("""COMPUTED_VALUE"""),0.4666666666666667)</f>
        <v>0.4666666667</v>
      </c>
      <c r="H668" s="166"/>
      <c r="I668" s="167">
        <f>IFERROR(__xludf.DUMMYFUNCTION("""COMPUTED_VALUE"""),-4.788888888888889)</f>
        <v>-4.788888889</v>
      </c>
      <c r="J668" s="168"/>
      <c r="K668" s="168"/>
      <c r="L668" s="207"/>
      <c r="M668" s="207"/>
    </row>
    <row r="669">
      <c r="A669" s="203" t="str">
        <f>IFERROR(__xludf.DUMMYFUNCTION("""COMPUTED_VALUE"""),"Stacking")</f>
        <v>Stacking</v>
      </c>
      <c r="B669" s="204" t="str">
        <f>IFERROR(__xludf.DUMMYFUNCTION("""COMPUTED_VALUE"""),"XB360/OG Xbox")</f>
        <v>XB360/OG Xbox</v>
      </c>
      <c r="C669" s="205"/>
      <c r="D669" s="205" t="str">
        <f>IFERROR(__xludf.DUMMYFUNCTION("""COMPUTED_VALUE"""),"GwG Permanent")</f>
        <v>GwG Permanent</v>
      </c>
      <c r="E669" s="166">
        <f>IFERROR(__xludf.DUMMYFUNCTION("""COMPUTED_VALUE"""),44181.0)</f>
        <v>44181</v>
      </c>
      <c r="F669" s="206">
        <f>IFERROR(__xludf.DUMMYFUNCTION("""COMPUTED_VALUE"""),44196.0)</f>
        <v>44196</v>
      </c>
      <c r="G669" s="167">
        <f>IFERROR(__xludf.DUMMYFUNCTION("""COMPUTED_VALUE"""),0.4666666666666667)</f>
        <v>0.4666666667</v>
      </c>
      <c r="H669" s="166"/>
      <c r="I669" s="167">
        <f>IFERROR(__xludf.DUMMYFUNCTION("""COMPUTED_VALUE"""),-4.830555555555556)</f>
        <v>-4.830555556</v>
      </c>
      <c r="J669" s="168"/>
      <c r="K669" s="168"/>
      <c r="L669" s="207"/>
      <c r="M669" s="207"/>
    </row>
    <row r="670">
      <c r="A670" s="203" t="str">
        <f>IFERROR(__xludf.DUMMYFUNCTION("""COMPUTED_VALUE"""),"Saints Row: Gat Out of Hell")</f>
        <v>Saints Row: Gat Out of Hell</v>
      </c>
      <c r="B670" s="204" t="str">
        <f>IFERROR(__xludf.DUMMYFUNCTION("""COMPUTED_VALUE"""),"XB360/OG Xbox")</f>
        <v>XB360/OG Xbox</v>
      </c>
      <c r="C670" s="205"/>
      <c r="D670" s="205" t="str">
        <f>IFERROR(__xludf.DUMMYFUNCTION("""COMPUTED_VALUE"""),"GwG Permanent")</f>
        <v>GwG Permanent</v>
      </c>
      <c r="E670" s="166">
        <f>IFERROR(__xludf.DUMMYFUNCTION("""COMPUTED_VALUE"""),44166.0)</f>
        <v>44166</v>
      </c>
      <c r="F670" s="206">
        <f>IFERROR(__xludf.DUMMYFUNCTION("""COMPUTED_VALUE"""),44180.0)</f>
        <v>44180</v>
      </c>
      <c r="G670" s="167">
        <f>IFERROR(__xludf.DUMMYFUNCTION("""COMPUTED_VALUE"""),0.4666666666666667)</f>
        <v>0.4666666667</v>
      </c>
      <c r="H670" s="166"/>
      <c r="I670" s="167">
        <f>IFERROR(__xludf.DUMMYFUNCTION("""COMPUTED_VALUE"""),-4.872222222222222)</f>
        <v>-4.872222222</v>
      </c>
      <c r="J670" s="168"/>
      <c r="K670" s="168"/>
      <c r="L670" s="207"/>
      <c r="M670" s="207"/>
    </row>
    <row r="671">
      <c r="A671" s="203" t="str">
        <f>IFERROR(__xludf.DUMMYFUNCTION("""COMPUTED_VALUE"""),"Lego Indiana Jones")</f>
        <v>Lego Indiana Jones</v>
      </c>
      <c r="B671" s="204" t="str">
        <f>IFERROR(__xludf.DUMMYFUNCTION("""COMPUTED_VALUE"""),"XB360/OG Xbox")</f>
        <v>XB360/OG Xbox</v>
      </c>
      <c r="C671" s="205"/>
      <c r="D671" s="205" t="str">
        <f>IFERROR(__xludf.DUMMYFUNCTION("""COMPUTED_VALUE"""),"GwG Permanent")</f>
        <v>GwG Permanent</v>
      </c>
      <c r="E671" s="166">
        <f>IFERROR(__xludf.DUMMYFUNCTION("""COMPUTED_VALUE"""),44151.0)</f>
        <v>44151</v>
      </c>
      <c r="F671" s="206">
        <f>IFERROR(__xludf.DUMMYFUNCTION("""COMPUTED_VALUE"""),44165.0)</f>
        <v>44165</v>
      </c>
      <c r="G671" s="167">
        <f>IFERROR(__xludf.DUMMYFUNCTION("""COMPUTED_VALUE"""),0.4666666666666667)</f>
        <v>0.4666666667</v>
      </c>
      <c r="H671" s="166"/>
      <c r="I671" s="167">
        <f>IFERROR(__xludf.DUMMYFUNCTION("""COMPUTED_VALUE"""),-4.913888888888889)</f>
        <v>-4.913888889</v>
      </c>
      <c r="J671" s="168"/>
      <c r="K671" s="168"/>
      <c r="L671" s="207"/>
      <c r="M671" s="207"/>
    </row>
    <row r="672">
      <c r="A672" s="203" t="str">
        <f>IFERROR(__xludf.DUMMYFUNCTION("""COMPUTED_VALUE"""),"Full Spectrum Warrior")</f>
        <v>Full Spectrum Warrior</v>
      </c>
      <c r="B672" s="204" t="str">
        <f>IFERROR(__xludf.DUMMYFUNCTION("""COMPUTED_VALUE"""),"XB360/OG Xbox")</f>
        <v>XB360/OG Xbox</v>
      </c>
      <c r="C672" s="205"/>
      <c r="D672" s="205" t="str">
        <f>IFERROR(__xludf.DUMMYFUNCTION("""COMPUTED_VALUE"""),"GwG Permanent")</f>
        <v>GwG Permanent</v>
      </c>
      <c r="E672" s="166">
        <f>IFERROR(__xludf.DUMMYFUNCTION("""COMPUTED_VALUE"""),44136.0)</f>
        <v>44136</v>
      </c>
      <c r="F672" s="206">
        <f>IFERROR(__xludf.DUMMYFUNCTION("""COMPUTED_VALUE"""),44150.0)</f>
        <v>44150</v>
      </c>
      <c r="G672" s="167">
        <f>IFERROR(__xludf.DUMMYFUNCTION("""COMPUTED_VALUE"""),0.4666666666666667)</f>
        <v>0.4666666667</v>
      </c>
      <c r="H672" s="166"/>
      <c r="I672" s="167">
        <f>IFERROR(__xludf.DUMMYFUNCTION("""COMPUTED_VALUE"""),-4.955555555555556)</f>
        <v>-4.955555556</v>
      </c>
      <c r="J672" s="168"/>
      <c r="K672" s="168"/>
      <c r="L672" s="207"/>
      <c r="M672" s="207" t="str">
        <f>IFERROR(__xludf.DUMMYFUNCTION("""COMPUTED_VALUE"""),"Enhanced")</f>
        <v>Enhanced</v>
      </c>
    </row>
    <row r="673">
      <c r="A673" s="203" t="str">
        <f>IFERROR(__xludf.DUMMYFUNCTION("""COMPUTED_VALUE"""),"Costume Quest")</f>
        <v>Costume Quest</v>
      </c>
      <c r="B673" s="204" t="str">
        <f>IFERROR(__xludf.DUMMYFUNCTION("""COMPUTED_VALUE"""),"XB360/OG Xbox")</f>
        <v>XB360/OG Xbox</v>
      </c>
      <c r="C673" s="205"/>
      <c r="D673" s="205" t="str">
        <f>IFERROR(__xludf.DUMMYFUNCTION("""COMPUTED_VALUE"""),"GwG Permanent")</f>
        <v>GwG Permanent</v>
      </c>
      <c r="E673" s="166">
        <f>IFERROR(__xludf.DUMMYFUNCTION("""COMPUTED_VALUE"""),44120.0)</f>
        <v>44120</v>
      </c>
      <c r="F673" s="206">
        <f>IFERROR(__xludf.DUMMYFUNCTION("""COMPUTED_VALUE"""),44135.0)</f>
        <v>44135</v>
      </c>
      <c r="G673" s="167">
        <f>IFERROR(__xludf.DUMMYFUNCTION("""COMPUTED_VALUE"""),0.4666666666666667)</f>
        <v>0.4666666667</v>
      </c>
      <c r="H673" s="166"/>
      <c r="I673" s="167">
        <f>IFERROR(__xludf.DUMMYFUNCTION("""COMPUTED_VALUE"""),-4.997222222222222)</f>
        <v>-4.997222222</v>
      </c>
      <c r="J673" s="168"/>
      <c r="K673" s="168"/>
      <c r="L673" s="207"/>
      <c r="M673" s="207"/>
    </row>
    <row r="674">
      <c r="A674" s="203" t="str">
        <f>IFERROR(__xludf.DUMMYFUNCTION("""COMPUTED_VALUE"""),"Sphinx and the Cursed Mummy")</f>
        <v>Sphinx and the Cursed Mummy</v>
      </c>
      <c r="B674" s="204" t="str">
        <f>IFERROR(__xludf.DUMMYFUNCTION("""COMPUTED_VALUE"""),"XB360/OG Xbox")</f>
        <v>XB360/OG Xbox</v>
      </c>
      <c r="C674" s="205"/>
      <c r="D674" s="205" t="str">
        <f>IFERROR(__xludf.DUMMYFUNCTION("""COMPUTED_VALUE"""),"GwG Permanent")</f>
        <v>GwG Permanent</v>
      </c>
      <c r="E674" s="166">
        <f>IFERROR(__xludf.DUMMYFUNCTION("""COMPUTED_VALUE"""),44105.0)</f>
        <v>44105</v>
      </c>
      <c r="F674" s="206">
        <f>IFERROR(__xludf.DUMMYFUNCTION("""COMPUTED_VALUE"""),44119.0)</f>
        <v>44119</v>
      </c>
      <c r="G674" s="167">
        <f>IFERROR(__xludf.DUMMYFUNCTION("""COMPUTED_VALUE"""),0.4666666666666667)</f>
        <v>0.4666666667</v>
      </c>
      <c r="H674" s="166"/>
      <c r="I674" s="167">
        <f>IFERROR(__xludf.DUMMYFUNCTION("""COMPUTED_VALUE"""),-5.038888888888889)</f>
        <v>-5.038888889</v>
      </c>
      <c r="J674" s="168"/>
      <c r="K674" s="168"/>
      <c r="L674" s="207"/>
      <c r="M674" s="207" t="str">
        <f>IFERROR(__xludf.DUMMYFUNCTION("""COMPUTED_VALUE"""),"Enhanced")</f>
        <v>Enhanced</v>
      </c>
    </row>
    <row r="675">
      <c r="A675" s="203" t="str">
        <f>IFERROR(__xludf.DUMMYFUNCTION("""COMPUTED_VALUE"""),"Armed and Dangerous")</f>
        <v>Armed and Dangerous</v>
      </c>
      <c r="B675" s="204" t="str">
        <f>IFERROR(__xludf.DUMMYFUNCTION("""COMPUTED_VALUE"""),"XB360/OG Xbox")</f>
        <v>XB360/OG Xbox</v>
      </c>
      <c r="C675" s="205"/>
      <c r="D675" s="205" t="str">
        <f>IFERROR(__xludf.DUMMYFUNCTION("""COMPUTED_VALUE"""),"GwG Permanent")</f>
        <v>GwG Permanent</v>
      </c>
      <c r="E675" s="166">
        <f>IFERROR(__xludf.DUMMYFUNCTION("""COMPUTED_VALUE"""),44090.0)</f>
        <v>44090</v>
      </c>
      <c r="F675" s="206">
        <f>IFERROR(__xludf.DUMMYFUNCTION("""COMPUTED_VALUE"""),44104.0)</f>
        <v>44104</v>
      </c>
      <c r="G675" s="167">
        <f>IFERROR(__xludf.DUMMYFUNCTION("""COMPUTED_VALUE"""),0.4666666666666667)</f>
        <v>0.4666666667</v>
      </c>
      <c r="H675" s="166"/>
      <c r="I675" s="167">
        <f>IFERROR(__xludf.DUMMYFUNCTION("""COMPUTED_VALUE"""),-5.080555555555556)</f>
        <v>-5.080555556</v>
      </c>
      <c r="J675" s="168"/>
      <c r="K675" s="168"/>
      <c r="L675" s="207"/>
      <c r="M675" s="207" t="str">
        <f>IFERROR(__xludf.DUMMYFUNCTION("""COMPUTED_VALUE"""),"Enhanced")</f>
        <v>Enhanced</v>
      </c>
    </row>
    <row r="676">
      <c r="A676" s="203" t="str">
        <f>IFERROR(__xludf.DUMMYFUNCTION("""COMPUTED_VALUE"""),"de Blob 2")</f>
        <v>de Blob 2</v>
      </c>
      <c r="B676" s="204" t="str">
        <f>IFERROR(__xludf.DUMMYFUNCTION("""COMPUTED_VALUE"""),"XB360/OG Xbox")</f>
        <v>XB360/OG Xbox</v>
      </c>
      <c r="C676" s="205"/>
      <c r="D676" s="205" t="str">
        <f>IFERROR(__xludf.DUMMYFUNCTION("""COMPUTED_VALUE"""),"GwG Permanent")</f>
        <v>GwG Permanent</v>
      </c>
      <c r="E676" s="166">
        <f>IFERROR(__xludf.DUMMYFUNCTION("""COMPUTED_VALUE"""),44075.0)</f>
        <v>44075</v>
      </c>
      <c r="F676" s="206">
        <f>IFERROR(__xludf.DUMMYFUNCTION("""COMPUTED_VALUE"""),44089.0)</f>
        <v>44089</v>
      </c>
      <c r="G676" s="167">
        <f>IFERROR(__xludf.DUMMYFUNCTION("""COMPUTED_VALUE"""),0.4666666666666667)</f>
        <v>0.4666666667</v>
      </c>
      <c r="H676" s="166"/>
      <c r="I676" s="167">
        <f>IFERROR(__xludf.DUMMYFUNCTION("""COMPUTED_VALUE"""),-5.122222222222222)</f>
        <v>-5.122222222</v>
      </c>
      <c r="J676" s="168"/>
      <c r="K676" s="168"/>
      <c r="L676" s="207"/>
      <c r="M676" s="207"/>
    </row>
    <row r="677">
      <c r="A677" s="203" t="str">
        <f>IFERROR(__xludf.DUMMYFUNCTION("""COMPUTED_VALUE"""),"Red Faction II")</f>
        <v>Red Faction II</v>
      </c>
      <c r="B677" s="204" t="str">
        <f>IFERROR(__xludf.DUMMYFUNCTION("""COMPUTED_VALUE"""),"XB360/OG Xbox")</f>
        <v>XB360/OG Xbox</v>
      </c>
      <c r="C677" s="205"/>
      <c r="D677" s="205" t="str">
        <f>IFERROR(__xludf.DUMMYFUNCTION("""COMPUTED_VALUE"""),"GwG Permanent")</f>
        <v>GwG Permanent</v>
      </c>
      <c r="E677" s="166">
        <f>IFERROR(__xludf.DUMMYFUNCTION("""COMPUTED_VALUE"""),44059.0)</f>
        <v>44059</v>
      </c>
      <c r="F677" s="206">
        <f>IFERROR(__xludf.DUMMYFUNCTION("""COMPUTED_VALUE"""),44074.0)</f>
        <v>44074</v>
      </c>
      <c r="G677" s="167">
        <f>IFERROR(__xludf.DUMMYFUNCTION("""COMPUTED_VALUE"""),0.4666666666666667)</f>
        <v>0.4666666667</v>
      </c>
      <c r="H677" s="166"/>
      <c r="I677" s="167">
        <f>IFERROR(__xludf.DUMMYFUNCTION("""COMPUTED_VALUE"""),-5.163888888888889)</f>
        <v>-5.163888889</v>
      </c>
      <c r="J677" s="168"/>
      <c r="K677" s="168"/>
      <c r="L677" s="207"/>
      <c r="M677" s="207" t="str">
        <f>IFERROR(__xludf.DUMMYFUNCTION("""COMPUTED_VALUE"""),"Enhanced")</f>
        <v>Enhanced</v>
      </c>
    </row>
    <row r="678">
      <c r="A678" s="203" t="str">
        <f>IFERROR(__xludf.DUMMYFUNCTION("""COMPUTED_VALUE"""),"MX Unleashed")</f>
        <v>MX Unleashed</v>
      </c>
      <c r="B678" s="204" t="str">
        <f>IFERROR(__xludf.DUMMYFUNCTION("""COMPUTED_VALUE"""),"XB360/OG Xbox")</f>
        <v>XB360/OG Xbox</v>
      </c>
      <c r="C678" s="205"/>
      <c r="D678" s="205" t="str">
        <f>IFERROR(__xludf.DUMMYFUNCTION("""COMPUTED_VALUE"""),"GwG Permanent")</f>
        <v>GwG Permanent</v>
      </c>
      <c r="E678" s="166">
        <f>IFERROR(__xludf.DUMMYFUNCTION("""COMPUTED_VALUE"""),44044.0)</f>
        <v>44044</v>
      </c>
      <c r="F678" s="206">
        <f>IFERROR(__xludf.DUMMYFUNCTION("""COMPUTED_VALUE"""),44058.0)</f>
        <v>44058</v>
      </c>
      <c r="G678" s="167">
        <f>IFERROR(__xludf.DUMMYFUNCTION("""COMPUTED_VALUE"""),0.4666666666666667)</f>
        <v>0.4666666667</v>
      </c>
      <c r="H678" s="166"/>
      <c r="I678" s="167">
        <f>IFERROR(__xludf.DUMMYFUNCTION("""COMPUTED_VALUE"""),-5.205555555555556)</f>
        <v>-5.205555556</v>
      </c>
      <c r="J678" s="168"/>
      <c r="K678" s="168"/>
      <c r="L678" s="207"/>
      <c r="M678" s="207" t="str">
        <f>IFERROR(__xludf.DUMMYFUNCTION("""COMPUTED_VALUE"""),"Enhanced")</f>
        <v>Enhanced</v>
      </c>
    </row>
    <row r="679">
      <c r="A679" s="203" t="str">
        <f>IFERROR(__xludf.DUMMYFUNCTION("""COMPUTED_VALUE"""),"JUJU")</f>
        <v>JUJU</v>
      </c>
      <c r="B679" s="204" t="str">
        <f>IFERROR(__xludf.DUMMYFUNCTION("""COMPUTED_VALUE"""),"XB360/OG Xbox")</f>
        <v>XB360/OG Xbox</v>
      </c>
      <c r="C679" s="205"/>
      <c r="D679" s="205" t="str">
        <f>IFERROR(__xludf.DUMMYFUNCTION("""COMPUTED_VALUE"""),"GwG Permanent")</f>
        <v>GwG Permanent</v>
      </c>
      <c r="E679" s="166">
        <f>IFERROR(__xludf.DUMMYFUNCTION("""COMPUTED_VALUE"""),44028.0)</f>
        <v>44028</v>
      </c>
      <c r="F679" s="206">
        <f>IFERROR(__xludf.DUMMYFUNCTION("""COMPUTED_VALUE"""),44043.0)</f>
        <v>44043</v>
      </c>
      <c r="G679" s="167">
        <f>IFERROR(__xludf.DUMMYFUNCTION("""COMPUTED_VALUE"""),0.4666666666666667)</f>
        <v>0.4666666667</v>
      </c>
      <c r="H679" s="166"/>
      <c r="I679" s="167">
        <f>IFERROR(__xludf.DUMMYFUNCTION("""COMPUTED_VALUE"""),-5.247222222222222)</f>
        <v>-5.247222222</v>
      </c>
      <c r="J679" s="168"/>
      <c r="K679" s="168"/>
      <c r="L679" s="207"/>
      <c r="M679" s="207"/>
    </row>
    <row r="680">
      <c r="A680" s="203" t="str">
        <f>IFERROR(__xludf.DUMMYFUNCTION("""COMPUTED_VALUE"""),"Saints Row 2")</f>
        <v>Saints Row 2</v>
      </c>
      <c r="B680" s="204" t="str">
        <f>IFERROR(__xludf.DUMMYFUNCTION("""COMPUTED_VALUE"""),"XB360/OG Xbox")</f>
        <v>XB360/OG Xbox</v>
      </c>
      <c r="C680" s="205"/>
      <c r="D680" s="205" t="str">
        <f>IFERROR(__xludf.DUMMYFUNCTION("""COMPUTED_VALUE"""),"GwG Permanent")</f>
        <v>GwG Permanent</v>
      </c>
      <c r="E680" s="166">
        <f>IFERROR(__xludf.DUMMYFUNCTION("""COMPUTED_VALUE"""),44013.0)</f>
        <v>44013</v>
      </c>
      <c r="F680" s="206">
        <f>IFERROR(__xludf.DUMMYFUNCTION("""COMPUTED_VALUE"""),44027.0)</f>
        <v>44027</v>
      </c>
      <c r="G680" s="167">
        <f>IFERROR(__xludf.DUMMYFUNCTION("""COMPUTED_VALUE"""),0.4666666666666667)</f>
        <v>0.4666666667</v>
      </c>
      <c r="H680" s="166"/>
      <c r="I680" s="167">
        <f>IFERROR(__xludf.DUMMYFUNCTION("""COMPUTED_VALUE"""),-5.288888888888889)</f>
        <v>-5.288888889</v>
      </c>
      <c r="J680" s="168"/>
      <c r="K680" s="168"/>
      <c r="L680" s="207"/>
      <c r="M680" s="207"/>
    </row>
    <row r="681">
      <c r="A681" s="203" t="str">
        <f>IFERROR(__xludf.DUMMYFUNCTION("""COMPUTED_VALUE"""),"Sine Mora")</f>
        <v>Sine Mora</v>
      </c>
      <c r="B681" s="204" t="str">
        <f>IFERROR(__xludf.DUMMYFUNCTION("""COMPUTED_VALUE"""),"XB360/OG Xbox")</f>
        <v>XB360/OG Xbox</v>
      </c>
      <c r="C681" s="205"/>
      <c r="D681" s="205" t="str">
        <f>IFERROR(__xludf.DUMMYFUNCTION("""COMPUTED_VALUE"""),"GwG Permanent")</f>
        <v>GwG Permanent</v>
      </c>
      <c r="E681" s="166">
        <f>IFERROR(__xludf.DUMMYFUNCTION("""COMPUTED_VALUE"""),43998.0)</f>
        <v>43998</v>
      </c>
      <c r="F681" s="206">
        <f>IFERROR(__xludf.DUMMYFUNCTION("""COMPUTED_VALUE"""),44012.0)</f>
        <v>44012</v>
      </c>
      <c r="G681" s="167">
        <f>IFERROR(__xludf.DUMMYFUNCTION("""COMPUTED_VALUE"""),0.4666666666666667)</f>
        <v>0.4666666667</v>
      </c>
      <c r="H681" s="166"/>
      <c r="I681" s="167">
        <f>IFERROR(__xludf.DUMMYFUNCTION("""COMPUTED_VALUE"""),-5.330555555555556)</f>
        <v>-5.330555556</v>
      </c>
      <c r="J681" s="168"/>
      <c r="K681" s="168"/>
      <c r="L681" s="207"/>
      <c r="M681" s="207"/>
    </row>
    <row r="682">
      <c r="A682" s="203" t="str">
        <f>IFERROR(__xludf.DUMMYFUNCTION("""COMPUTED_VALUE"""),"Destroy All Humans!")</f>
        <v>Destroy All Humans!</v>
      </c>
      <c r="B682" s="204" t="str">
        <f>IFERROR(__xludf.DUMMYFUNCTION("""COMPUTED_VALUE"""),"XB360/OG Xbox")</f>
        <v>XB360/OG Xbox</v>
      </c>
      <c r="C682" s="205"/>
      <c r="D682" s="205" t="str">
        <f>IFERROR(__xludf.DUMMYFUNCTION("""COMPUTED_VALUE"""),"GwG Permanent")</f>
        <v>GwG Permanent</v>
      </c>
      <c r="E682" s="166">
        <f>IFERROR(__xludf.DUMMYFUNCTION("""COMPUTED_VALUE"""),43983.0)</f>
        <v>43983</v>
      </c>
      <c r="F682" s="206">
        <f>IFERROR(__xludf.DUMMYFUNCTION("""COMPUTED_VALUE"""),43997.0)</f>
        <v>43997</v>
      </c>
      <c r="G682" s="167">
        <f>IFERROR(__xludf.DUMMYFUNCTION("""COMPUTED_VALUE"""),0.4666666666666667)</f>
        <v>0.4666666667</v>
      </c>
      <c r="H682" s="166"/>
      <c r="I682" s="167">
        <f>IFERROR(__xludf.DUMMYFUNCTION("""COMPUTED_VALUE"""),-5.372222222222222)</f>
        <v>-5.372222222</v>
      </c>
      <c r="J682" s="168"/>
      <c r="K682" s="168"/>
      <c r="L682" s="207"/>
      <c r="M682" s="207" t="str">
        <f>IFERROR(__xludf.DUMMYFUNCTION("""COMPUTED_VALUE"""),"Enhanced")</f>
        <v>Enhanced</v>
      </c>
    </row>
    <row r="683">
      <c r="A683" s="203" t="str">
        <f>IFERROR(__xludf.DUMMYFUNCTION("""COMPUTED_VALUE"""),"Overlord II")</f>
        <v>Overlord II</v>
      </c>
      <c r="B683" s="204" t="str">
        <f>IFERROR(__xludf.DUMMYFUNCTION("""COMPUTED_VALUE"""),"XB360/OG Xbox")</f>
        <v>XB360/OG Xbox</v>
      </c>
      <c r="C683" s="205"/>
      <c r="D683" s="205" t="str">
        <f>IFERROR(__xludf.DUMMYFUNCTION("""COMPUTED_VALUE"""),"GwG Permanent")</f>
        <v>GwG Permanent</v>
      </c>
      <c r="E683" s="166">
        <f>IFERROR(__xludf.DUMMYFUNCTION("""COMPUTED_VALUE"""),43967.0)</f>
        <v>43967</v>
      </c>
      <c r="F683" s="206">
        <f>IFERROR(__xludf.DUMMYFUNCTION("""COMPUTED_VALUE"""),43982.0)</f>
        <v>43982</v>
      </c>
      <c r="G683" s="167">
        <f>IFERROR(__xludf.DUMMYFUNCTION("""COMPUTED_VALUE"""),0.4666666666666667)</f>
        <v>0.4666666667</v>
      </c>
      <c r="H683" s="166"/>
      <c r="I683" s="167">
        <f>IFERROR(__xludf.DUMMYFUNCTION("""COMPUTED_VALUE"""),-5.413888888888889)</f>
        <v>-5.413888889</v>
      </c>
      <c r="J683" s="168"/>
      <c r="K683" s="168"/>
      <c r="L683" s="207"/>
      <c r="M683" s="207"/>
    </row>
    <row r="684">
      <c r="A684" s="203" t="str">
        <f>IFERROR(__xludf.DUMMYFUNCTION("""COMPUTED_VALUE"""),"Sensible World of Soccer")</f>
        <v>Sensible World of Soccer</v>
      </c>
      <c r="B684" s="204" t="str">
        <f>IFERROR(__xludf.DUMMYFUNCTION("""COMPUTED_VALUE"""),"XB360/OG Xbox")</f>
        <v>XB360/OG Xbox</v>
      </c>
      <c r="C684" s="205"/>
      <c r="D684" s="205" t="str">
        <f>IFERROR(__xludf.DUMMYFUNCTION("""COMPUTED_VALUE"""),"GwG Permanent")</f>
        <v>GwG Permanent</v>
      </c>
      <c r="E684" s="166">
        <f>IFERROR(__xludf.DUMMYFUNCTION("""COMPUTED_VALUE"""),43952.0)</f>
        <v>43952</v>
      </c>
      <c r="F684" s="206">
        <f>IFERROR(__xludf.DUMMYFUNCTION("""COMPUTED_VALUE"""),43966.0)</f>
        <v>43966</v>
      </c>
      <c r="G684" s="167">
        <f>IFERROR(__xludf.DUMMYFUNCTION("""COMPUTED_VALUE"""),0.4666666666666667)</f>
        <v>0.4666666667</v>
      </c>
      <c r="H684" s="166"/>
      <c r="I684" s="167">
        <f>IFERROR(__xludf.DUMMYFUNCTION("""COMPUTED_VALUE"""),-5.455555555555556)</f>
        <v>-5.455555556</v>
      </c>
      <c r="J684" s="168"/>
      <c r="K684" s="168"/>
      <c r="L684" s="207"/>
      <c r="M684" s="207"/>
    </row>
    <row r="685">
      <c r="A685" s="203" t="str">
        <f>IFERROR(__xludf.DUMMYFUNCTION("""COMPUTED_VALUE"""),"Toybox Turbos")</f>
        <v>Toybox Turbos</v>
      </c>
      <c r="B685" s="204" t="str">
        <f>IFERROR(__xludf.DUMMYFUNCTION("""COMPUTED_VALUE"""),"XB360/OG Xbox")</f>
        <v>XB360/OG Xbox</v>
      </c>
      <c r="C685" s="205"/>
      <c r="D685" s="205" t="str">
        <f>IFERROR(__xludf.DUMMYFUNCTION("""COMPUTED_VALUE"""),"GwG Permanent")</f>
        <v>GwG Permanent</v>
      </c>
      <c r="E685" s="166">
        <f>IFERROR(__xludf.DUMMYFUNCTION("""COMPUTED_VALUE"""),43937.0)</f>
        <v>43937</v>
      </c>
      <c r="F685" s="206">
        <f>IFERROR(__xludf.DUMMYFUNCTION("""COMPUTED_VALUE"""),43951.0)</f>
        <v>43951</v>
      </c>
      <c r="G685" s="167">
        <f>IFERROR(__xludf.DUMMYFUNCTION("""COMPUTED_VALUE"""),0.4666666666666667)</f>
        <v>0.4666666667</v>
      </c>
      <c r="H685" s="166"/>
      <c r="I685" s="167">
        <f>IFERROR(__xludf.DUMMYFUNCTION("""COMPUTED_VALUE"""),-5.497222222222222)</f>
        <v>-5.497222222</v>
      </c>
      <c r="J685" s="168"/>
      <c r="K685" s="168"/>
      <c r="L685" s="207"/>
      <c r="M685" s="207"/>
    </row>
    <row r="686">
      <c r="A686" s="203" t="str">
        <f>IFERROR(__xludf.DUMMYFUNCTION("""COMPUTED_VALUE"""),"Fable Anniversary")</f>
        <v>Fable Anniversary</v>
      </c>
      <c r="B686" s="204" t="str">
        <f>IFERROR(__xludf.DUMMYFUNCTION("""COMPUTED_VALUE"""),"XB360/OG Xbox")</f>
        <v>XB360/OG Xbox</v>
      </c>
      <c r="C686" s="205"/>
      <c r="D686" s="205" t="str">
        <f>IFERROR(__xludf.DUMMYFUNCTION("""COMPUTED_VALUE"""),"GwG Permanent")</f>
        <v>GwG Permanent</v>
      </c>
      <c r="E686" s="166">
        <f>IFERROR(__xludf.DUMMYFUNCTION("""COMPUTED_VALUE"""),43922.0)</f>
        <v>43922</v>
      </c>
      <c r="F686" s="206">
        <f>IFERROR(__xludf.DUMMYFUNCTION("""COMPUTED_VALUE"""),43936.0)</f>
        <v>43936</v>
      </c>
      <c r="G686" s="167">
        <f>IFERROR(__xludf.DUMMYFUNCTION("""COMPUTED_VALUE"""),0.4666666666666667)</f>
        <v>0.4666666667</v>
      </c>
      <c r="H686" s="166"/>
      <c r="I686" s="167">
        <f>IFERROR(__xludf.DUMMYFUNCTION("""COMPUTED_VALUE"""),-5.538888888888889)</f>
        <v>-5.538888889</v>
      </c>
      <c r="J686" s="168"/>
      <c r="K686" s="168"/>
      <c r="L686" s="207"/>
      <c r="M686" s="207" t="str">
        <f>IFERROR(__xludf.DUMMYFUNCTION("""COMPUTED_VALUE"""),"Enhanced")</f>
        <v>Enhanced</v>
      </c>
    </row>
    <row r="687">
      <c r="A687" s="203" t="str">
        <f>IFERROR(__xludf.DUMMYFUNCTION("""COMPUTED_VALUE"""),"Sonic Generations")</f>
        <v>Sonic Generations</v>
      </c>
      <c r="B687" s="204" t="str">
        <f>IFERROR(__xludf.DUMMYFUNCTION("""COMPUTED_VALUE"""),"XB360/OG Xbox")</f>
        <v>XB360/OG Xbox</v>
      </c>
      <c r="C687" s="205"/>
      <c r="D687" s="205" t="str">
        <f>IFERROR(__xludf.DUMMYFUNCTION("""COMPUTED_VALUE"""),"GwG Permanent")</f>
        <v>GwG Permanent</v>
      </c>
      <c r="E687" s="166">
        <f>IFERROR(__xludf.DUMMYFUNCTION("""COMPUTED_VALUE"""),43906.0)</f>
        <v>43906</v>
      </c>
      <c r="F687" s="206">
        <f>IFERROR(__xludf.DUMMYFUNCTION("""COMPUTED_VALUE"""),43921.0)</f>
        <v>43921</v>
      </c>
      <c r="G687" s="167">
        <f>IFERROR(__xludf.DUMMYFUNCTION("""COMPUTED_VALUE"""),0.4666666666666667)</f>
        <v>0.4666666667</v>
      </c>
      <c r="H687" s="166"/>
      <c r="I687" s="167">
        <f>IFERROR(__xludf.DUMMYFUNCTION("""COMPUTED_VALUE"""),-5.580555555555556)</f>
        <v>-5.580555556</v>
      </c>
      <c r="J687" s="168"/>
      <c r="K687" s="168"/>
      <c r="L687" s="207"/>
      <c r="M687" s="207" t="str">
        <f>IFERROR(__xludf.DUMMYFUNCTION("""COMPUTED_VALUE"""),"Enhanced")</f>
        <v>Enhanced</v>
      </c>
    </row>
    <row r="688">
      <c r="A688" s="203" t="str">
        <f>IFERROR(__xludf.DUMMYFUNCTION("""COMPUTED_VALUE"""),"Castlevania: Lords of Shadow 2")</f>
        <v>Castlevania: Lords of Shadow 2</v>
      </c>
      <c r="B688" s="204" t="str">
        <f>IFERROR(__xludf.DUMMYFUNCTION("""COMPUTED_VALUE"""),"XB360/OG Xbox")</f>
        <v>XB360/OG Xbox</v>
      </c>
      <c r="C688" s="205"/>
      <c r="D688" s="205" t="str">
        <f>IFERROR(__xludf.DUMMYFUNCTION("""COMPUTED_VALUE"""),"GwG Permanent")</f>
        <v>GwG Permanent</v>
      </c>
      <c r="E688" s="166">
        <f>IFERROR(__xludf.DUMMYFUNCTION("""COMPUTED_VALUE"""),43891.0)</f>
        <v>43891</v>
      </c>
      <c r="F688" s="206">
        <f>IFERROR(__xludf.DUMMYFUNCTION("""COMPUTED_VALUE"""),43905.0)</f>
        <v>43905</v>
      </c>
      <c r="G688" s="167">
        <f>IFERROR(__xludf.DUMMYFUNCTION("""COMPUTED_VALUE"""),0.4666666666666667)</f>
        <v>0.4666666667</v>
      </c>
      <c r="H688" s="166"/>
      <c r="I688" s="167">
        <f>IFERROR(__xludf.DUMMYFUNCTION("""COMPUTED_VALUE"""),-5.622222222222222)</f>
        <v>-5.622222222</v>
      </c>
      <c r="J688" s="168"/>
      <c r="K688" s="168"/>
      <c r="L688" s="207"/>
      <c r="M688" s="207"/>
    </row>
    <row r="689">
      <c r="A689" s="203" t="str">
        <f>IFERROR(__xludf.DUMMYFUNCTION("""COMPUTED_VALUE"""),"Star Wars Battlefront")</f>
        <v>Star Wars Battlefront</v>
      </c>
      <c r="B689" s="204" t="str">
        <f>IFERROR(__xludf.DUMMYFUNCTION("""COMPUTED_VALUE"""),"XB360/OG Xbox")</f>
        <v>XB360/OG Xbox</v>
      </c>
      <c r="C689" s="205"/>
      <c r="D689" s="205" t="str">
        <f>IFERROR(__xludf.DUMMYFUNCTION("""COMPUTED_VALUE"""),"GwG Permanent")</f>
        <v>GwG Permanent</v>
      </c>
      <c r="E689" s="166">
        <f>IFERROR(__xludf.DUMMYFUNCTION("""COMPUTED_VALUE"""),43877.0)</f>
        <v>43877</v>
      </c>
      <c r="F689" s="206">
        <f>IFERROR(__xludf.DUMMYFUNCTION("""COMPUTED_VALUE"""),43890.0)</f>
        <v>43890</v>
      </c>
      <c r="G689" s="167">
        <f>IFERROR(__xludf.DUMMYFUNCTION("""COMPUTED_VALUE"""),0.4333333333333333)</f>
        <v>0.4333333333</v>
      </c>
      <c r="H689" s="166"/>
      <c r="I689" s="167">
        <f>IFERROR(__xludf.DUMMYFUNCTION("""COMPUTED_VALUE"""),-5.663888888888889)</f>
        <v>-5.663888889</v>
      </c>
      <c r="J689" s="168"/>
      <c r="K689" s="168"/>
      <c r="L689" s="207"/>
      <c r="M689" s="207" t="str">
        <f>IFERROR(__xludf.DUMMYFUNCTION("""COMPUTED_VALUE"""),"Enhanced")</f>
        <v>Enhanced</v>
      </c>
    </row>
    <row r="690">
      <c r="A690" s="203" t="str">
        <f>IFERROR(__xludf.DUMMYFUNCTION("""COMPUTED_VALUE"""),"Fable Heroes")</f>
        <v>Fable Heroes</v>
      </c>
      <c r="B690" s="204" t="str">
        <f>IFERROR(__xludf.DUMMYFUNCTION("""COMPUTED_VALUE"""),"XB360/OG Xbox")</f>
        <v>XB360/OG Xbox</v>
      </c>
      <c r="C690" s="205"/>
      <c r="D690" s="205" t="str">
        <f>IFERROR(__xludf.DUMMYFUNCTION("""COMPUTED_VALUE"""),"GwG Permanent")</f>
        <v>GwG Permanent</v>
      </c>
      <c r="E690" s="166">
        <f>IFERROR(__xludf.DUMMYFUNCTION("""COMPUTED_VALUE"""),43862.0)</f>
        <v>43862</v>
      </c>
      <c r="F690" s="206">
        <f>IFERROR(__xludf.DUMMYFUNCTION("""COMPUTED_VALUE"""),43876.0)</f>
        <v>43876</v>
      </c>
      <c r="G690" s="167">
        <f>IFERROR(__xludf.DUMMYFUNCTION("""COMPUTED_VALUE"""),0.4666666666666667)</f>
        <v>0.4666666667</v>
      </c>
      <c r="H690" s="166"/>
      <c r="I690" s="167">
        <f>IFERROR(__xludf.DUMMYFUNCTION("""COMPUTED_VALUE"""),-5.705555555555556)</f>
        <v>-5.705555556</v>
      </c>
      <c r="J690" s="168"/>
      <c r="K690" s="168"/>
      <c r="L690" s="207"/>
      <c r="M690" s="207"/>
    </row>
    <row r="691">
      <c r="A691" s="203" t="str">
        <f>IFERROR(__xludf.DUMMYFUNCTION("""COMPUTED_VALUE"""),"LEGO Star Wars II: The Original Trilogy")</f>
        <v>LEGO Star Wars II: The Original Trilogy</v>
      </c>
      <c r="B691" s="204" t="str">
        <f>IFERROR(__xludf.DUMMYFUNCTION("""COMPUTED_VALUE"""),"XB360/OG Xbox")</f>
        <v>XB360/OG Xbox</v>
      </c>
      <c r="C691" s="205"/>
      <c r="D691" s="205" t="str">
        <f>IFERROR(__xludf.DUMMYFUNCTION("""COMPUTED_VALUE"""),"GwG Permanent")</f>
        <v>GwG Permanent</v>
      </c>
      <c r="E691" s="166">
        <f>IFERROR(__xludf.DUMMYFUNCTION("""COMPUTED_VALUE"""),43846.0)</f>
        <v>43846</v>
      </c>
      <c r="F691" s="206">
        <f>IFERROR(__xludf.DUMMYFUNCTION("""COMPUTED_VALUE"""),43861.0)</f>
        <v>43861</v>
      </c>
      <c r="G691" s="167">
        <f>IFERROR(__xludf.DUMMYFUNCTION("""COMPUTED_VALUE"""),0.4666666666666667)</f>
        <v>0.4666666667</v>
      </c>
      <c r="H691" s="166"/>
      <c r="I691" s="167">
        <f>IFERROR(__xludf.DUMMYFUNCTION("""COMPUTED_VALUE"""),-5.747222222222222)</f>
        <v>-5.747222222</v>
      </c>
      <c r="J691" s="168"/>
      <c r="K691" s="168"/>
      <c r="L691" s="207"/>
      <c r="M691" s="207"/>
    </row>
    <row r="692">
      <c r="A692" s="203" t="str">
        <f>IFERROR(__xludf.DUMMYFUNCTION("""COMPUTED_VALUE"""),"Tekken 6")</f>
        <v>Tekken 6</v>
      </c>
      <c r="B692" s="204" t="str">
        <f>IFERROR(__xludf.DUMMYFUNCTION("""COMPUTED_VALUE"""),"XB360/OG Xbox")</f>
        <v>XB360/OG Xbox</v>
      </c>
      <c r="C692" s="205"/>
      <c r="D692" s="205" t="str">
        <f>IFERROR(__xludf.DUMMYFUNCTION("""COMPUTED_VALUE"""),"GwG Permanent")</f>
        <v>GwG Permanent</v>
      </c>
      <c r="E692" s="166">
        <f>IFERROR(__xludf.DUMMYFUNCTION("""COMPUTED_VALUE"""),43831.0)</f>
        <v>43831</v>
      </c>
      <c r="F692" s="206">
        <f>IFERROR(__xludf.DUMMYFUNCTION("""COMPUTED_VALUE"""),43845.0)</f>
        <v>43845</v>
      </c>
      <c r="G692" s="167">
        <f>IFERROR(__xludf.DUMMYFUNCTION("""COMPUTED_VALUE"""),0.4666666666666667)</f>
        <v>0.4666666667</v>
      </c>
      <c r="H692" s="166"/>
      <c r="I692" s="167">
        <f>IFERROR(__xludf.DUMMYFUNCTION("""COMPUTED_VALUE"""),-5.788888888888889)</f>
        <v>-5.788888889</v>
      </c>
      <c r="J692" s="168"/>
      <c r="K692" s="168"/>
      <c r="L692" s="207"/>
      <c r="M692" s="207"/>
    </row>
    <row r="693">
      <c r="A693" s="203" t="str">
        <f>IFERROR(__xludf.DUMMYFUNCTION("""COMPUTED_VALUE"""),"Castlevania: Lords of Shadow - Mirror of Fate HD")</f>
        <v>Castlevania: Lords of Shadow - Mirror of Fate HD</v>
      </c>
      <c r="B693" s="204" t="str">
        <f>IFERROR(__xludf.DUMMYFUNCTION("""COMPUTED_VALUE"""),"XB360/OG Xbox")</f>
        <v>XB360/OG Xbox</v>
      </c>
      <c r="C693" s="205"/>
      <c r="D693" s="205" t="str">
        <f>IFERROR(__xludf.DUMMYFUNCTION("""COMPUTED_VALUE"""),"GwG Permanent")</f>
        <v>GwG Permanent</v>
      </c>
      <c r="E693" s="166">
        <f>IFERROR(__xludf.DUMMYFUNCTION("""COMPUTED_VALUE"""),43815.0)</f>
        <v>43815</v>
      </c>
      <c r="F693" s="206">
        <f>IFERROR(__xludf.DUMMYFUNCTION("""COMPUTED_VALUE"""),43830.0)</f>
        <v>43830</v>
      </c>
      <c r="G693" s="167">
        <f>IFERROR(__xludf.DUMMYFUNCTION("""COMPUTED_VALUE"""),0.4666666666666667)</f>
        <v>0.4666666667</v>
      </c>
      <c r="H693" s="166"/>
      <c r="I693" s="167">
        <f>IFERROR(__xludf.DUMMYFUNCTION("""COMPUTED_VALUE"""),-5.830555555555556)</f>
        <v>-5.830555556</v>
      </c>
      <c r="J693" s="168"/>
      <c r="K693" s="168"/>
      <c r="L693" s="207"/>
      <c r="M693" s="207"/>
    </row>
    <row r="694">
      <c r="A694" s="203" t="str">
        <f>IFERROR(__xludf.DUMMYFUNCTION("""COMPUTED_VALUE"""),"Toy Story 3")</f>
        <v>Toy Story 3</v>
      </c>
      <c r="B694" s="204" t="str">
        <f>IFERROR(__xludf.DUMMYFUNCTION("""COMPUTED_VALUE"""),"XB360/OG Xbox")</f>
        <v>XB360/OG Xbox</v>
      </c>
      <c r="C694" s="205"/>
      <c r="D694" s="205" t="str">
        <f>IFERROR(__xludf.DUMMYFUNCTION("""COMPUTED_VALUE"""),"GwG Permanent")</f>
        <v>GwG Permanent</v>
      </c>
      <c r="E694" s="166">
        <f>IFERROR(__xludf.DUMMYFUNCTION("""COMPUTED_VALUE"""),43800.0)</f>
        <v>43800</v>
      </c>
      <c r="F694" s="206">
        <f>IFERROR(__xludf.DUMMYFUNCTION("""COMPUTED_VALUE"""),43814.0)</f>
        <v>43814</v>
      </c>
      <c r="G694" s="167">
        <f>IFERROR(__xludf.DUMMYFUNCTION("""COMPUTED_VALUE"""),0.4666666666666667)</f>
        <v>0.4666666667</v>
      </c>
      <c r="H694" s="166"/>
      <c r="I694" s="167">
        <f>IFERROR(__xludf.DUMMYFUNCTION("""COMPUTED_VALUE"""),-5.872222222222222)</f>
        <v>-5.872222222</v>
      </c>
      <c r="J694" s="168"/>
      <c r="K694" s="168"/>
      <c r="L694" s="207"/>
      <c r="M694" s="207"/>
    </row>
    <row r="695">
      <c r="A695" s="203" t="str">
        <f>IFERROR(__xludf.DUMMYFUNCTION("""COMPUTED_VALUE"""),"Joy Ride Turbo")</f>
        <v>Joy Ride Turbo</v>
      </c>
      <c r="B695" s="204" t="str">
        <f>IFERROR(__xludf.DUMMYFUNCTION("""COMPUTED_VALUE"""),"XB360/OG Xbox")</f>
        <v>XB360/OG Xbox</v>
      </c>
      <c r="C695" s="205"/>
      <c r="D695" s="205" t="str">
        <f>IFERROR(__xludf.DUMMYFUNCTION("""COMPUTED_VALUE"""),"GwG Permanent")</f>
        <v>GwG Permanent</v>
      </c>
      <c r="E695" s="166">
        <f>IFERROR(__xludf.DUMMYFUNCTION("""COMPUTED_VALUE"""),43785.0)</f>
        <v>43785</v>
      </c>
      <c r="F695" s="206">
        <f>IFERROR(__xludf.DUMMYFUNCTION("""COMPUTED_VALUE"""),43799.0)</f>
        <v>43799</v>
      </c>
      <c r="G695" s="167">
        <f>IFERROR(__xludf.DUMMYFUNCTION("""COMPUTED_VALUE"""),0.4666666666666667)</f>
        <v>0.4666666667</v>
      </c>
      <c r="H695" s="166"/>
      <c r="I695" s="167">
        <f>IFERROR(__xludf.DUMMYFUNCTION("""COMPUTED_VALUE"""),-5.913888888888889)</f>
        <v>-5.913888889</v>
      </c>
      <c r="J695" s="168"/>
      <c r="K695" s="168"/>
      <c r="L695" s="207"/>
      <c r="M695" s="207"/>
    </row>
    <row r="696">
      <c r="A696" s="203" t="str">
        <f>IFERROR(__xludf.DUMMYFUNCTION("""COMPUTED_VALUE"""),"Star Wars: Jedi Starfighter")</f>
        <v>Star Wars: Jedi Starfighter</v>
      </c>
      <c r="B696" s="204" t="str">
        <f>IFERROR(__xludf.DUMMYFUNCTION("""COMPUTED_VALUE"""),"XB360/OG Xbox")</f>
        <v>XB360/OG Xbox</v>
      </c>
      <c r="C696" s="205"/>
      <c r="D696" s="205" t="str">
        <f>IFERROR(__xludf.DUMMYFUNCTION("""COMPUTED_VALUE"""),"GwG Permanent")</f>
        <v>GwG Permanent</v>
      </c>
      <c r="E696" s="166">
        <f>IFERROR(__xludf.DUMMYFUNCTION("""COMPUTED_VALUE"""),43770.0)</f>
        <v>43770</v>
      </c>
      <c r="F696" s="206">
        <f>IFERROR(__xludf.DUMMYFUNCTION("""COMPUTED_VALUE"""),43784.0)</f>
        <v>43784</v>
      </c>
      <c r="G696" s="167">
        <f>IFERROR(__xludf.DUMMYFUNCTION("""COMPUTED_VALUE"""),0.4666666666666667)</f>
        <v>0.4666666667</v>
      </c>
      <c r="H696" s="166"/>
      <c r="I696" s="167">
        <f>IFERROR(__xludf.DUMMYFUNCTION("""COMPUTED_VALUE"""),-5.955555555555556)</f>
        <v>-5.955555556</v>
      </c>
      <c r="J696" s="168"/>
      <c r="K696" s="168"/>
      <c r="L696" s="207"/>
      <c r="M696" s="207"/>
    </row>
    <row r="697">
      <c r="A697" s="203" t="str">
        <f>IFERROR(__xludf.DUMMYFUNCTION("""COMPUTED_VALUE"""),"Ninja Gaiden 3: Razor's Edge")</f>
        <v>Ninja Gaiden 3: Razor's Edge</v>
      </c>
      <c r="B697" s="204" t="str">
        <f>IFERROR(__xludf.DUMMYFUNCTION("""COMPUTED_VALUE"""),"XB360/OG Xbox")</f>
        <v>XB360/OG Xbox</v>
      </c>
      <c r="C697" s="205"/>
      <c r="D697" s="205" t="str">
        <f>IFERROR(__xludf.DUMMYFUNCTION("""COMPUTED_VALUE"""),"GwG Permanent")</f>
        <v>GwG Permanent</v>
      </c>
      <c r="E697" s="166">
        <f>IFERROR(__xludf.DUMMYFUNCTION("""COMPUTED_VALUE"""),43754.0)</f>
        <v>43754</v>
      </c>
      <c r="F697" s="206">
        <f>IFERROR(__xludf.DUMMYFUNCTION("""COMPUTED_VALUE"""),43769.0)</f>
        <v>43769</v>
      </c>
      <c r="G697" s="167">
        <f>IFERROR(__xludf.DUMMYFUNCTION("""COMPUTED_VALUE"""),0.4666666666666667)</f>
        <v>0.4666666667</v>
      </c>
      <c r="H697" s="166"/>
      <c r="I697" s="167">
        <f>IFERROR(__xludf.DUMMYFUNCTION("""COMPUTED_VALUE"""),-5.997222222222222)</f>
        <v>-5.997222222</v>
      </c>
      <c r="J697" s="168"/>
      <c r="K697" s="168"/>
      <c r="L697" s="207"/>
      <c r="M697" s="207"/>
    </row>
    <row r="698">
      <c r="A698" s="203" t="str">
        <f>IFERROR(__xludf.DUMMYFUNCTION("""COMPUTED_VALUE"""),"Bolt")</f>
        <v>Bolt</v>
      </c>
      <c r="B698" s="204" t="str">
        <f>IFERROR(__xludf.DUMMYFUNCTION("""COMPUTED_VALUE"""),"XB360/OG Xbox")</f>
        <v>XB360/OG Xbox</v>
      </c>
      <c r="C698" s="205"/>
      <c r="D698" s="205" t="str">
        <f>IFERROR(__xludf.DUMMYFUNCTION("""COMPUTED_VALUE"""),"GwG Permanent")</f>
        <v>GwG Permanent</v>
      </c>
      <c r="E698" s="166">
        <f>IFERROR(__xludf.DUMMYFUNCTION("""COMPUTED_VALUE"""),43739.0)</f>
        <v>43739</v>
      </c>
      <c r="F698" s="206">
        <f>IFERROR(__xludf.DUMMYFUNCTION("""COMPUTED_VALUE"""),43753.0)</f>
        <v>43753</v>
      </c>
      <c r="G698" s="167">
        <f>IFERROR(__xludf.DUMMYFUNCTION("""COMPUTED_VALUE"""),0.4666666666666667)</f>
        <v>0.4666666667</v>
      </c>
      <c r="H698" s="166"/>
      <c r="I698" s="167">
        <f>IFERROR(__xludf.DUMMYFUNCTION("""COMPUTED_VALUE"""),-6.038888888888889)</f>
        <v>-6.038888889</v>
      </c>
      <c r="J698" s="168"/>
      <c r="K698" s="168"/>
      <c r="L698" s="207"/>
      <c r="M698" s="207"/>
    </row>
    <row r="699">
      <c r="A699" s="203" t="str">
        <f>IFERROR(__xludf.DUMMYFUNCTION("""COMPUTED_VALUE"""),"Tekken Tag Tournament 2")</f>
        <v>Tekken Tag Tournament 2</v>
      </c>
      <c r="B699" s="204" t="str">
        <f>IFERROR(__xludf.DUMMYFUNCTION("""COMPUTED_VALUE"""),"XB360/OG Xbox")</f>
        <v>XB360/OG Xbox</v>
      </c>
      <c r="C699" s="205"/>
      <c r="D699" s="205" t="str">
        <f>IFERROR(__xludf.DUMMYFUNCTION("""COMPUTED_VALUE"""),"GwG Permanent")</f>
        <v>GwG Permanent</v>
      </c>
      <c r="E699" s="166">
        <f>IFERROR(__xludf.DUMMYFUNCTION("""COMPUTED_VALUE"""),43724.0)</f>
        <v>43724</v>
      </c>
      <c r="F699" s="206">
        <f>IFERROR(__xludf.DUMMYFUNCTION("""COMPUTED_VALUE"""),43738.0)</f>
        <v>43738</v>
      </c>
      <c r="G699" s="167">
        <f>IFERROR(__xludf.DUMMYFUNCTION("""COMPUTED_VALUE"""),0.4666666666666667)</f>
        <v>0.4666666667</v>
      </c>
      <c r="H699" s="166"/>
      <c r="I699" s="167">
        <f>IFERROR(__xludf.DUMMYFUNCTION("""COMPUTED_VALUE"""),-6.080555555555556)</f>
        <v>-6.080555556</v>
      </c>
      <c r="J699" s="168"/>
      <c r="K699" s="168"/>
      <c r="L699" s="207"/>
      <c r="M699" s="207"/>
    </row>
    <row r="700">
      <c r="A700" s="203" t="str">
        <f>IFERROR(__xludf.DUMMYFUNCTION("""COMPUTED_VALUE"""),"Earth Defense Force 2025")</f>
        <v>Earth Defense Force 2025</v>
      </c>
      <c r="B700" s="204" t="str">
        <f>IFERROR(__xludf.DUMMYFUNCTION("""COMPUTED_VALUE"""),"XB360/OG Xbox")</f>
        <v>XB360/OG Xbox</v>
      </c>
      <c r="C700" s="205"/>
      <c r="D700" s="205" t="str">
        <f>IFERROR(__xludf.DUMMYFUNCTION("""COMPUTED_VALUE"""),"GwG Permanent")</f>
        <v>GwG Permanent</v>
      </c>
      <c r="E700" s="166">
        <f>IFERROR(__xludf.DUMMYFUNCTION("""COMPUTED_VALUE"""),43709.0)</f>
        <v>43709</v>
      </c>
      <c r="F700" s="206">
        <f>IFERROR(__xludf.DUMMYFUNCTION("""COMPUTED_VALUE"""),43723.0)</f>
        <v>43723</v>
      </c>
      <c r="G700" s="167">
        <f>IFERROR(__xludf.DUMMYFUNCTION("""COMPUTED_VALUE"""),0.4666666666666667)</f>
        <v>0.4666666667</v>
      </c>
      <c r="H700" s="166"/>
      <c r="I700" s="167">
        <f>IFERROR(__xludf.DUMMYFUNCTION("""COMPUTED_VALUE"""),-6.122222222222222)</f>
        <v>-6.122222222</v>
      </c>
      <c r="J700" s="168"/>
      <c r="K700" s="168"/>
      <c r="L700" s="207"/>
      <c r="M700" s="207"/>
    </row>
    <row r="701">
      <c r="A701" s="203" t="str">
        <f>IFERROR(__xludf.DUMMYFUNCTION("""COMPUTED_VALUE"""),"Castlevania: Lords of Shadow")</f>
        <v>Castlevania: Lords of Shadow</v>
      </c>
      <c r="B701" s="204" t="str">
        <f>IFERROR(__xludf.DUMMYFUNCTION("""COMPUTED_VALUE"""),"XB360/OG Xbox")</f>
        <v>XB360/OG Xbox</v>
      </c>
      <c r="C701" s="205"/>
      <c r="D701" s="205" t="str">
        <f>IFERROR(__xludf.DUMMYFUNCTION("""COMPUTED_VALUE"""),"GwG Permanent")</f>
        <v>GwG Permanent</v>
      </c>
      <c r="E701" s="166">
        <f>IFERROR(__xludf.DUMMYFUNCTION("""COMPUTED_VALUE"""),43693.0)</f>
        <v>43693</v>
      </c>
      <c r="F701" s="206">
        <f>IFERROR(__xludf.DUMMYFUNCTION("""COMPUTED_VALUE"""),43708.0)</f>
        <v>43708</v>
      </c>
      <c r="G701" s="167">
        <f>IFERROR(__xludf.DUMMYFUNCTION("""COMPUTED_VALUE"""),0.4666666666666667)</f>
        <v>0.4666666667</v>
      </c>
      <c r="H701" s="166"/>
      <c r="I701" s="167">
        <f>IFERROR(__xludf.DUMMYFUNCTION("""COMPUTED_VALUE"""),-6.163888888888889)</f>
        <v>-6.163888889</v>
      </c>
      <c r="J701" s="168"/>
      <c r="K701" s="168"/>
      <c r="L701" s="207"/>
      <c r="M701" s="207"/>
    </row>
    <row r="702">
      <c r="A702" s="203" t="str">
        <f>IFERROR(__xludf.DUMMYFUNCTION("""COMPUTED_VALUE"""),"Torchlight")</f>
        <v>Torchlight</v>
      </c>
      <c r="B702" s="204" t="str">
        <f>IFERROR(__xludf.DUMMYFUNCTION("""COMPUTED_VALUE"""),"XB360/OG Xbox")</f>
        <v>XB360/OG Xbox</v>
      </c>
      <c r="C702" s="205"/>
      <c r="D702" s="205" t="str">
        <f>IFERROR(__xludf.DUMMYFUNCTION("""COMPUTED_VALUE"""),"GwG Permanent")</f>
        <v>GwG Permanent</v>
      </c>
      <c r="E702" s="166">
        <f>IFERROR(__xludf.DUMMYFUNCTION("""COMPUTED_VALUE"""),43678.0)</f>
        <v>43678</v>
      </c>
      <c r="F702" s="206">
        <f>IFERROR(__xludf.DUMMYFUNCTION("""COMPUTED_VALUE"""),43692.0)</f>
        <v>43692</v>
      </c>
      <c r="G702" s="167">
        <f>IFERROR(__xludf.DUMMYFUNCTION("""COMPUTED_VALUE"""),0.4666666666666667)</f>
        <v>0.4666666667</v>
      </c>
      <c r="H702" s="166"/>
      <c r="I702" s="167">
        <f>IFERROR(__xludf.DUMMYFUNCTION("""COMPUTED_VALUE"""),-6.205555555555556)</f>
        <v>-6.205555556</v>
      </c>
      <c r="J702" s="168"/>
      <c r="K702" s="168"/>
      <c r="L702" s="207"/>
      <c r="M702" s="207"/>
    </row>
    <row r="703">
      <c r="A703" s="203" t="str">
        <f>IFERROR(__xludf.DUMMYFUNCTION("""COMPUTED_VALUE"""),"Meet the Robinsons")</f>
        <v>Meet the Robinsons</v>
      </c>
      <c r="B703" s="204" t="str">
        <f>IFERROR(__xludf.DUMMYFUNCTION("""COMPUTED_VALUE"""),"XB360/OG Xbox")</f>
        <v>XB360/OG Xbox</v>
      </c>
      <c r="C703" s="205"/>
      <c r="D703" s="205" t="str">
        <f>IFERROR(__xludf.DUMMYFUNCTION("""COMPUTED_VALUE"""),"GwG Permanent")</f>
        <v>GwG Permanent</v>
      </c>
      <c r="E703" s="166">
        <f>IFERROR(__xludf.DUMMYFUNCTION("""COMPUTED_VALUE"""),43662.0)</f>
        <v>43662</v>
      </c>
      <c r="F703" s="206">
        <f>IFERROR(__xludf.DUMMYFUNCTION("""COMPUTED_VALUE"""),43677.0)</f>
        <v>43677</v>
      </c>
      <c r="G703" s="167">
        <f>IFERROR(__xludf.DUMMYFUNCTION("""COMPUTED_VALUE"""),0.4666666666666667)</f>
        <v>0.4666666667</v>
      </c>
      <c r="H703" s="166"/>
      <c r="I703" s="167">
        <f>IFERROR(__xludf.DUMMYFUNCTION("""COMPUTED_VALUE"""),-6.247222222222222)</f>
        <v>-6.247222222</v>
      </c>
      <c r="J703" s="168"/>
      <c r="K703" s="168"/>
      <c r="L703" s="207"/>
      <c r="M703" s="207"/>
    </row>
    <row r="704">
      <c r="A704" s="203" t="str">
        <f>IFERROR(__xludf.DUMMYFUNCTION("""COMPUTED_VALUE"""),"Castlevania: Symphony of the Night")</f>
        <v>Castlevania: Symphony of the Night</v>
      </c>
      <c r="B704" s="204" t="str">
        <f>IFERROR(__xludf.DUMMYFUNCTION("""COMPUTED_VALUE"""),"XB360/OG Xbox")</f>
        <v>XB360/OG Xbox</v>
      </c>
      <c r="C704" s="205"/>
      <c r="D704" s="205" t="str">
        <f>IFERROR(__xludf.DUMMYFUNCTION("""COMPUTED_VALUE"""),"GwG Permanent")</f>
        <v>GwG Permanent</v>
      </c>
      <c r="E704" s="166">
        <f>IFERROR(__xludf.DUMMYFUNCTION("""COMPUTED_VALUE"""),43647.0)</f>
        <v>43647</v>
      </c>
      <c r="F704" s="206">
        <f>IFERROR(__xludf.DUMMYFUNCTION("""COMPUTED_VALUE"""),43661.0)</f>
        <v>43661</v>
      </c>
      <c r="G704" s="167">
        <f>IFERROR(__xludf.DUMMYFUNCTION("""COMPUTED_VALUE"""),0.4666666666666667)</f>
        <v>0.4666666667</v>
      </c>
      <c r="H704" s="166"/>
      <c r="I704" s="167">
        <f>IFERROR(__xludf.DUMMYFUNCTION("""COMPUTED_VALUE"""),-6.288888888888889)</f>
        <v>-6.288888889</v>
      </c>
      <c r="J704" s="168"/>
      <c r="K704" s="168"/>
      <c r="L704" s="207"/>
      <c r="M704" s="207"/>
    </row>
    <row r="705">
      <c r="A705" s="203" t="str">
        <f>IFERROR(__xludf.DUMMYFUNCTION("""COMPUTED_VALUE"""),"Earth Defense Force 2017")</f>
        <v>Earth Defense Force 2017</v>
      </c>
      <c r="B705" s="204" t="str">
        <f>IFERROR(__xludf.DUMMYFUNCTION("""COMPUTED_VALUE"""),"XB360/OG Xbox")</f>
        <v>XB360/OG Xbox</v>
      </c>
      <c r="C705" s="205"/>
      <c r="D705" s="205" t="str">
        <f>IFERROR(__xludf.DUMMYFUNCTION("""COMPUTED_VALUE"""),"GwG Permanent")</f>
        <v>GwG Permanent</v>
      </c>
      <c r="E705" s="166">
        <f>IFERROR(__xludf.DUMMYFUNCTION("""COMPUTED_VALUE"""),43632.0)</f>
        <v>43632</v>
      </c>
      <c r="F705" s="206">
        <f>IFERROR(__xludf.DUMMYFUNCTION("""COMPUTED_VALUE"""),43646.0)</f>
        <v>43646</v>
      </c>
      <c r="G705" s="167">
        <f>IFERROR(__xludf.DUMMYFUNCTION("""COMPUTED_VALUE"""),0.4666666666666667)</f>
        <v>0.4666666667</v>
      </c>
      <c r="H705" s="166"/>
      <c r="I705" s="167">
        <f>IFERROR(__xludf.DUMMYFUNCTION("""COMPUTED_VALUE"""),-6.330555555555556)</f>
        <v>-6.330555556</v>
      </c>
      <c r="J705" s="168"/>
      <c r="K705" s="168"/>
      <c r="L705" s="207"/>
      <c r="M705" s="207"/>
    </row>
    <row r="706">
      <c r="A706" s="203" t="str">
        <f>IFERROR(__xludf.DUMMYFUNCTION("""COMPUTED_VALUE"""),"Portal: Still Alive")</f>
        <v>Portal: Still Alive</v>
      </c>
      <c r="B706" s="204" t="str">
        <f>IFERROR(__xludf.DUMMYFUNCTION("""COMPUTED_VALUE"""),"XB360/OG Xbox")</f>
        <v>XB360/OG Xbox</v>
      </c>
      <c r="C706" s="205"/>
      <c r="D706" s="205" t="str">
        <f>IFERROR(__xludf.DUMMYFUNCTION("""COMPUTED_VALUE"""),"GwG Permanent")</f>
        <v>GwG Permanent</v>
      </c>
      <c r="E706" s="166">
        <f>IFERROR(__xludf.DUMMYFUNCTION("""COMPUTED_VALUE"""),43617.0)</f>
        <v>43617</v>
      </c>
      <c r="F706" s="206">
        <f>IFERROR(__xludf.DUMMYFUNCTION("""COMPUTED_VALUE"""),43631.0)</f>
        <v>43631</v>
      </c>
      <c r="G706" s="167">
        <f>IFERROR(__xludf.DUMMYFUNCTION("""COMPUTED_VALUE"""),0.4666666666666667)</f>
        <v>0.4666666667</v>
      </c>
      <c r="H706" s="166"/>
      <c r="I706" s="167">
        <f>IFERROR(__xludf.DUMMYFUNCTION("""COMPUTED_VALUE"""),-6.372222222222222)</f>
        <v>-6.372222222</v>
      </c>
      <c r="J706" s="168"/>
      <c r="K706" s="168"/>
      <c r="L706" s="207"/>
      <c r="M706" s="207" t="str">
        <f>IFERROR(__xludf.DUMMYFUNCTION("""COMPUTED_VALUE"""),"Enhanced")</f>
        <v>Enhanced</v>
      </c>
    </row>
    <row r="707">
      <c r="A707" s="203" t="str">
        <f>IFERROR(__xludf.DUMMYFUNCTION("""COMPUTED_VALUE"""),"Comic Jumper")</f>
        <v>Comic Jumper</v>
      </c>
      <c r="B707" s="204" t="str">
        <f>IFERROR(__xludf.DUMMYFUNCTION("""COMPUTED_VALUE"""),"XB360/OG Xbox")</f>
        <v>XB360/OG Xbox</v>
      </c>
      <c r="C707" s="205"/>
      <c r="D707" s="205" t="str">
        <f>IFERROR(__xludf.DUMMYFUNCTION("""COMPUTED_VALUE"""),"GwG Permanent")</f>
        <v>GwG Permanent</v>
      </c>
      <c r="E707" s="166">
        <f>IFERROR(__xludf.DUMMYFUNCTION("""COMPUTED_VALUE"""),43601.0)</f>
        <v>43601</v>
      </c>
      <c r="F707" s="206">
        <f>IFERROR(__xludf.DUMMYFUNCTION("""COMPUTED_VALUE"""),43616.0)</f>
        <v>43616</v>
      </c>
      <c r="G707" s="167">
        <f>IFERROR(__xludf.DUMMYFUNCTION("""COMPUTED_VALUE"""),0.4666666666666667)</f>
        <v>0.4666666667</v>
      </c>
      <c r="H707" s="166"/>
      <c r="I707" s="167">
        <f>IFERROR(__xludf.DUMMYFUNCTION("""COMPUTED_VALUE"""),-6.413888888888889)</f>
        <v>-6.413888889</v>
      </c>
      <c r="J707" s="168"/>
      <c r="K707" s="168"/>
      <c r="L707" s="207"/>
      <c r="M707" s="207"/>
    </row>
    <row r="708">
      <c r="A708" s="203" t="str">
        <f>IFERROR(__xludf.DUMMYFUNCTION("""COMPUTED_VALUE"""),"Earth Defense Force: Insect Armageddon")</f>
        <v>Earth Defense Force: Insect Armageddon</v>
      </c>
      <c r="B708" s="204" t="str">
        <f>IFERROR(__xludf.DUMMYFUNCTION("""COMPUTED_VALUE"""),"XB360/OG Xbox")</f>
        <v>XB360/OG Xbox</v>
      </c>
      <c r="C708" s="205"/>
      <c r="D708" s="205" t="str">
        <f>IFERROR(__xludf.DUMMYFUNCTION("""COMPUTED_VALUE"""),"GwG Permanent")</f>
        <v>GwG Permanent</v>
      </c>
      <c r="E708" s="166">
        <f>IFERROR(__xludf.DUMMYFUNCTION("""COMPUTED_VALUE"""),43586.0)</f>
        <v>43586</v>
      </c>
      <c r="F708" s="206">
        <f>IFERROR(__xludf.DUMMYFUNCTION("""COMPUTED_VALUE"""),43600.0)</f>
        <v>43600</v>
      </c>
      <c r="G708" s="167">
        <f>IFERROR(__xludf.DUMMYFUNCTION("""COMPUTED_VALUE"""),0.4666666666666667)</f>
        <v>0.4666666667</v>
      </c>
      <c r="H708" s="166"/>
      <c r="I708" s="167">
        <f>IFERROR(__xludf.DUMMYFUNCTION("""COMPUTED_VALUE"""),-6.455555555555556)</f>
        <v>-6.455555556</v>
      </c>
      <c r="J708" s="168"/>
      <c r="K708" s="168"/>
      <c r="L708" s="207"/>
      <c r="M708" s="207"/>
    </row>
    <row r="709">
      <c r="A709" s="203" t="str">
        <f>IFERROR(__xludf.DUMMYFUNCTION("""COMPUTED_VALUE"""),"Tom Clancy's Ghost Recon Advanced Warfighter 2")</f>
        <v>Tom Clancy's Ghost Recon Advanced Warfighter 2</v>
      </c>
      <c r="B709" s="204" t="str">
        <f>IFERROR(__xludf.DUMMYFUNCTION("""COMPUTED_VALUE"""),"XB360/OG Xbox")</f>
        <v>XB360/OG Xbox</v>
      </c>
      <c r="C709" s="205"/>
      <c r="D709" s="205" t="str">
        <f>IFERROR(__xludf.DUMMYFUNCTION("""COMPUTED_VALUE"""),"GwG Permanent")</f>
        <v>GwG Permanent</v>
      </c>
      <c r="E709" s="166">
        <f>IFERROR(__xludf.DUMMYFUNCTION("""COMPUTED_VALUE"""),43571.0)</f>
        <v>43571</v>
      </c>
      <c r="F709" s="206">
        <f>IFERROR(__xludf.DUMMYFUNCTION("""COMPUTED_VALUE"""),43585.0)</f>
        <v>43585</v>
      </c>
      <c r="G709" s="167">
        <f>IFERROR(__xludf.DUMMYFUNCTION("""COMPUTED_VALUE"""),0.4666666666666667)</f>
        <v>0.4666666667</v>
      </c>
      <c r="H709" s="166"/>
      <c r="I709" s="167">
        <f>IFERROR(__xludf.DUMMYFUNCTION("""COMPUTED_VALUE"""),-6.497222222222222)</f>
        <v>-6.497222222</v>
      </c>
      <c r="J709" s="168"/>
      <c r="K709" s="168"/>
      <c r="L709" s="207"/>
      <c r="M709" s="207"/>
    </row>
    <row r="710">
      <c r="A710" s="203" t="str">
        <f>IFERROR(__xludf.DUMMYFUNCTION("""COMPUTED_VALUE"""),"Star Wars: Battlefront II")</f>
        <v>Star Wars: Battlefront II</v>
      </c>
      <c r="B710" s="204" t="str">
        <f>IFERROR(__xludf.DUMMYFUNCTION("""COMPUTED_VALUE"""),"XB360/OG Xbox")</f>
        <v>XB360/OG Xbox</v>
      </c>
      <c r="C710" s="205"/>
      <c r="D710" s="205" t="str">
        <f>IFERROR(__xludf.DUMMYFUNCTION("""COMPUTED_VALUE"""),"GwG Permanent")</f>
        <v>GwG Permanent</v>
      </c>
      <c r="E710" s="166">
        <f>IFERROR(__xludf.DUMMYFUNCTION("""COMPUTED_VALUE"""),43556.0)</f>
        <v>43556</v>
      </c>
      <c r="F710" s="206">
        <f>IFERROR(__xludf.DUMMYFUNCTION("""COMPUTED_VALUE"""),43570.0)</f>
        <v>43570</v>
      </c>
      <c r="G710" s="167">
        <f>IFERROR(__xludf.DUMMYFUNCTION("""COMPUTED_VALUE"""),0.4666666666666667)</f>
        <v>0.4666666667</v>
      </c>
      <c r="H710" s="166"/>
      <c r="I710" s="167">
        <f>IFERROR(__xludf.DUMMYFUNCTION("""COMPUTED_VALUE"""),-6.538888888888889)</f>
        <v>-6.538888889</v>
      </c>
      <c r="J710" s="168"/>
      <c r="K710" s="168"/>
      <c r="L710" s="207"/>
      <c r="M710" s="207" t="str">
        <f>IFERROR(__xludf.DUMMYFUNCTION("""COMPUTED_VALUE"""),"Enhanced")</f>
        <v>Enhanced</v>
      </c>
    </row>
    <row r="711">
      <c r="A711" s="203" t="str">
        <f>IFERROR(__xludf.DUMMYFUNCTION("""COMPUTED_VALUE"""),"Metal Gear Rising: Revengeance")</f>
        <v>Metal Gear Rising: Revengeance</v>
      </c>
      <c r="B711" s="204" t="str">
        <f>IFERROR(__xludf.DUMMYFUNCTION("""COMPUTED_VALUE"""),"XB360/OG Xbox")</f>
        <v>XB360/OG Xbox</v>
      </c>
      <c r="C711" s="205"/>
      <c r="D711" s="205" t="str">
        <f>IFERROR(__xludf.DUMMYFUNCTION("""COMPUTED_VALUE"""),"GwG Permanent")</f>
        <v>GwG Permanent</v>
      </c>
      <c r="E711" s="166">
        <f>IFERROR(__xludf.DUMMYFUNCTION("""COMPUTED_VALUE"""),43540.0)</f>
        <v>43540</v>
      </c>
      <c r="F711" s="206">
        <f>IFERROR(__xludf.DUMMYFUNCTION("""COMPUTED_VALUE"""),43555.0)</f>
        <v>43555</v>
      </c>
      <c r="G711" s="167">
        <f>IFERROR(__xludf.DUMMYFUNCTION("""COMPUTED_VALUE"""),0.4666666666666667)</f>
        <v>0.4666666667</v>
      </c>
      <c r="H711" s="166"/>
      <c r="I711" s="167">
        <f>IFERROR(__xludf.DUMMYFUNCTION("""COMPUTED_VALUE"""),-6.580555555555556)</f>
        <v>-6.580555556</v>
      </c>
      <c r="J711" s="168"/>
      <c r="K711" s="168"/>
      <c r="L711" s="207"/>
      <c r="M711" s="207"/>
    </row>
    <row r="712">
      <c r="A712" s="203" t="str">
        <f>IFERROR(__xludf.DUMMYFUNCTION("""COMPUTED_VALUE"""),"Star Wars Republic Commando")</f>
        <v>Star Wars Republic Commando</v>
      </c>
      <c r="B712" s="204" t="str">
        <f>IFERROR(__xludf.DUMMYFUNCTION("""COMPUTED_VALUE"""),"XB360/OG Xbox")</f>
        <v>XB360/OG Xbox</v>
      </c>
      <c r="C712" s="205"/>
      <c r="D712" s="205" t="str">
        <f>IFERROR(__xludf.DUMMYFUNCTION("""COMPUTED_VALUE"""),"GwG Permanent")</f>
        <v>GwG Permanent</v>
      </c>
      <c r="E712" s="166">
        <f>IFERROR(__xludf.DUMMYFUNCTION("""COMPUTED_VALUE"""),43525.0)</f>
        <v>43525</v>
      </c>
      <c r="F712" s="206">
        <f>IFERROR(__xludf.DUMMYFUNCTION("""COMPUTED_VALUE"""),43539.0)</f>
        <v>43539</v>
      </c>
      <c r="G712" s="167">
        <f>IFERROR(__xludf.DUMMYFUNCTION("""COMPUTED_VALUE"""),0.4666666666666667)</f>
        <v>0.4666666667</v>
      </c>
      <c r="H712" s="166"/>
      <c r="I712" s="167">
        <f>IFERROR(__xludf.DUMMYFUNCTION("""COMPUTED_VALUE"""),-6.622222222222222)</f>
        <v>-6.622222222</v>
      </c>
      <c r="J712" s="168"/>
      <c r="K712" s="168"/>
      <c r="L712" s="207"/>
      <c r="M712" s="207" t="str">
        <f>IFERROR(__xludf.DUMMYFUNCTION("""COMPUTED_VALUE"""),"Enhanced")</f>
        <v>Enhanced</v>
      </c>
    </row>
    <row r="713">
      <c r="A713" s="203" t="str">
        <f>IFERROR(__xludf.DUMMYFUNCTION("""COMPUTED_VALUE"""),"Star Wars Jedi Knight: Jedi Academy")</f>
        <v>Star Wars Jedi Knight: Jedi Academy</v>
      </c>
      <c r="B713" s="204" t="str">
        <f>IFERROR(__xludf.DUMMYFUNCTION("""COMPUTED_VALUE"""),"XB360/OG Xbox")</f>
        <v>XB360/OG Xbox</v>
      </c>
      <c r="C713" s="205"/>
      <c r="D713" s="205" t="str">
        <f>IFERROR(__xludf.DUMMYFUNCTION("""COMPUTED_VALUE"""),"GwG Permanent")</f>
        <v>GwG Permanent</v>
      </c>
      <c r="E713" s="166">
        <f>IFERROR(__xludf.DUMMYFUNCTION("""COMPUTED_VALUE"""),43512.0)</f>
        <v>43512</v>
      </c>
      <c r="F713" s="206">
        <f>IFERROR(__xludf.DUMMYFUNCTION("""COMPUTED_VALUE"""),43524.0)</f>
        <v>43524</v>
      </c>
      <c r="G713" s="167">
        <f>IFERROR(__xludf.DUMMYFUNCTION("""COMPUTED_VALUE"""),0.4)</f>
        <v>0.4</v>
      </c>
      <c r="H713" s="166"/>
      <c r="I713" s="167">
        <f>IFERROR(__xludf.DUMMYFUNCTION("""COMPUTED_VALUE"""),-6.663888888888889)</f>
        <v>-6.663888889</v>
      </c>
      <c r="J713" s="168"/>
      <c r="K713" s="168"/>
      <c r="L713" s="207"/>
      <c r="M713" s="207" t="str">
        <f>IFERROR(__xludf.DUMMYFUNCTION("""COMPUTED_VALUE"""),"Enhanced")</f>
        <v>Enhanced</v>
      </c>
    </row>
    <row r="714">
      <c r="A714" s="203" t="str">
        <f>IFERROR(__xludf.DUMMYFUNCTION("""COMPUTED_VALUE"""),"Assassin's Creed Rogue")</f>
        <v>Assassin's Creed Rogue</v>
      </c>
      <c r="B714" s="204" t="str">
        <f>IFERROR(__xludf.DUMMYFUNCTION("""COMPUTED_VALUE"""),"XB360/OG Xbox")</f>
        <v>XB360/OG Xbox</v>
      </c>
      <c r="C714" s="205"/>
      <c r="D714" s="205" t="str">
        <f>IFERROR(__xludf.DUMMYFUNCTION("""COMPUTED_VALUE"""),"GwG Permanent")</f>
        <v>GwG Permanent</v>
      </c>
      <c r="E714" s="166">
        <f>IFERROR(__xludf.DUMMYFUNCTION("""COMPUTED_VALUE"""),43497.0)</f>
        <v>43497</v>
      </c>
      <c r="F714" s="206">
        <f>IFERROR(__xludf.DUMMYFUNCTION("""COMPUTED_VALUE"""),43511.0)</f>
        <v>43511</v>
      </c>
      <c r="G714" s="167">
        <f>IFERROR(__xludf.DUMMYFUNCTION("""COMPUTED_VALUE"""),0.4666666666666667)</f>
        <v>0.4666666667</v>
      </c>
      <c r="H714" s="166"/>
      <c r="I714" s="167">
        <f>IFERROR(__xludf.DUMMYFUNCTION("""COMPUTED_VALUE"""),-6.705555555555556)</f>
        <v>-6.705555556</v>
      </c>
      <c r="J714" s="168"/>
      <c r="K714" s="168"/>
      <c r="L714" s="207"/>
      <c r="M714" s="207"/>
    </row>
    <row r="715">
      <c r="A715" s="203" t="str">
        <f>IFERROR(__xludf.DUMMYFUNCTION("""COMPUTED_VALUE"""),"Far Cry 2")</f>
        <v>Far Cry 2</v>
      </c>
      <c r="B715" s="204" t="str">
        <f>IFERROR(__xludf.DUMMYFUNCTION("""COMPUTED_VALUE"""),"XB360/OG Xbox")</f>
        <v>XB360/OG Xbox</v>
      </c>
      <c r="C715" s="205"/>
      <c r="D715" s="205" t="str">
        <f>IFERROR(__xludf.DUMMYFUNCTION("""COMPUTED_VALUE"""),"GwG Permanent")</f>
        <v>GwG Permanent</v>
      </c>
      <c r="E715" s="166">
        <f>IFERROR(__xludf.DUMMYFUNCTION("""COMPUTED_VALUE"""),43481.0)</f>
        <v>43481</v>
      </c>
      <c r="F715" s="206">
        <f>IFERROR(__xludf.DUMMYFUNCTION("""COMPUTED_VALUE"""),43496.0)</f>
        <v>43496</v>
      </c>
      <c r="G715" s="167">
        <f>IFERROR(__xludf.DUMMYFUNCTION("""COMPUTED_VALUE"""),0.4666666666666667)</f>
        <v>0.4666666667</v>
      </c>
      <c r="H715" s="166"/>
      <c r="I715" s="167">
        <f>IFERROR(__xludf.DUMMYFUNCTION("""COMPUTED_VALUE"""),-6.747222222222222)</f>
        <v>-6.747222222</v>
      </c>
      <c r="J715" s="168"/>
      <c r="K715" s="168"/>
      <c r="L715" s="207"/>
      <c r="M715" s="207"/>
    </row>
    <row r="716">
      <c r="A716" s="203" t="str">
        <f>IFERROR(__xludf.DUMMYFUNCTION("""COMPUTED_VALUE"""),"Lara Croft and the Guardian of Light")</f>
        <v>Lara Croft and the Guardian of Light</v>
      </c>
      <c r="B716" s="204" t="str">
        <f>IFERROR(__xludf.DUMMYFUNCTION("""COMPUTED_VALUE"""),"XB360/OG Xbox")</f>
        <v>XB360/OG Xbox</v>
      </c>
      <c r="C716" s="205"/>
      <c r="D716" s="205" t="str">
        <f>IFERROR(__xludf.DUMMYFUNCTION("""COMPUTED_VALUE"""),"GwG Permanent")</f>
        <v>GwG Permanent</v>
      </c>
      <c r="E716" s="166">
        <f>IFERROR(__xludf.DUMMYFUNCTION("""COMPUTED_VALUE"""),43466.0)</f>
        <v>43466</v>
      </c>
      <c r="F716" s="206">
        <f>IFERROR(__xludf.DUMMYFUNCTION("""COMPUTED_VALUE"""),43480.0)</f>
        <v>43480</v>
      </c>
      <c r="G716" s="167">
        <f>IFERROR(__xludf.DUMMYFUNCTION("""COMPUTED_VALUE"""),0.4666666666666667)</f>
        <v>0.4666666667</v>
      </c>
      <c r="H716" s="166"/>
      <c r="I716" s="167">
        <f>IFERROR(__xludf.DUMMYFUNCTION("""COMPUTED_VALUE"""),-6.788888888888889)</f>
        <v>-6.788888889</v>
      </c>
      <c r="J716" s="168"/>
      <c r="K716" s="168"/>
      <c r="L716" s="207"/>
      <c r="M716" s="207"/>
    </row>
    <row r="717">
      <c r="A717" s="203" t="str">
        <f>IFERROR(__xludf.DUMMYFUNCTION("""COMPUTED_VALUE"""),"Mercenaries: Playground of Destruction")</f>
        <v>Mercenaries: Playground of Destruction</v>
      </c>
      <c r="B717" s="204" t="str">
        <f>IFERROR(__xludf.DUMMYFUNCTION("""COMPUTED_VALUE"""),"XB360/OG Xbox")</f>
        <v>XB360/OG Xbox</v>
      </c>
      <c r="C717" s="205"/>
      <c r="D717" s="205" t="str">
        <f>IFERROR(__xludf.DUMMYFUNCTION("""COMPUTED_VALUE"""),"GwG Permanent")</f>
        <v>GwG Permanent</v>
      </c>
      <c r="E717" s="166">
        <f>IFERROR(__xludf.DUMMYFUNCTION("""COMPUTED_VALUE"""),43450.0)</f>
        <v>43450</v>
      </c>
      <c r="F717" s="206">
        <f>IFERROR(__xludf.DUMMYFUNCTION("""COMPUTED_VALUE"""),43465.0)</f>
        <v>43465</v>
      </c>
      <c r="G717" s="167">
        <f>IFERROR(__xludf.DUMMYFUNCTION("""COMPUTED_VALUE"""),0.4666666666666667)</f>
        <v>0.4666666667</v>
      </c>
      <c r="H717" s="166"/>
      <c r="I717" s="167">
        <f>IFERROR(__xludf.DUMMYFUNCTION("""COMPUTED_VALUE"""),-6.830555555555556)</f>
        <v>-6.830555556</v>
      </c>
      <c r="J717" s="168"/>
      <c r="K717" s="168"/>
      <c r="L717" s="207"/>
      <c r="M717" s="207" t="str">
        <f>IFERROR(__xludf.DUMMYFUNCTION("""COMPUTED_VALUE"""),"Enhanced")</f>
        <v>Enhanced</v>
      </c>
    </row>
    <row r="718">
      <c r="A718" s="203" t="str">
        <f>IFERROR(__xludf.DUMMYFUNCTION("""COMPUTED_VALUE"""),"Dragon Age II")</f>
        <v>Dragon Age II</v>
      </c>
      <c r="B718" s="204" t="str">
        <f>IFERROR(__xludf.DUMMYFUNCTION("""COMPUTED_VALUE"""),"XB360/OG Xbox")</f>
        <v>XB360/OG Xbox</v>
      </c>
      <c r="C718" s="205"/>
      <c r="D718" s="205" t="str">
        <f>IFERROR(__xludf.DUMMYFUNCTION("""COMPUTED_VALUE"""),"GwG Permanent")</f>
        <v>GwG Permanent</v>
      </c>
      <c r="E718" s="166">
        <f>IFERROR(__xludf.DUMMYFUNCTION("""COMPUTED_VALUE"""),43435.0)</f>
        <v>43435</v>
      </c>
      <c r="F718" s="206">
        <f>IFERROR(__xludf.DUMMYFUNCTION("""COMPUTED_VALUE"""),43449.0)</f>
        <v>43449</v>
      </c>
      <c r="G718" s="167">
        <f>IFERROR(__xludf.DUMMYFUNCTION("""COMPUTED_VALUE"""),0.4666666666666667)</f>
        <v>0.4666666667</v>
      </c>
      <c r="H718" s="166"/>
      <c r="I718" s="167">
        <f>IFERROR(__xludf.DUMMYFUNCTION("""COMPUTED_VALUE"""),-6.872222222222222)</f>
        <v>-6.872222222</v>
      </c>
      <c r="J718" s="168"/>
      <c r="K718" s="168"/>
      <c r="L718" s="207"/>
      <c r="M718" s="207"/>
    </row>
    <row r="719">
      <c r="A719" s="203" t="str">
        <f>IFERROR(__xludf.DUMMYFUNCTION("""COMPUTED_VALUE"""),"Dante's Inferno")</f>
        <v>Dante's Inferno</v>
      </c>
      <c r="B719" s="204" t="str">
        <f>IFERROR(__xludf.DUMMYFUNCTION("""COMPUTED_VALUE"""),"XB360/OG Xbox")</f>
        <v>XB360/OG Xbox</v>
      </c>
      <c r="C719" s="205"/>
      <c r="D719" s="205" t="str">
        <f>IFERROR(__xludf.DUMMYFUNCTION("""COMPUTED_VALUE"""),"GwG Permanent")</f>
        <v>GwG Permanent</v>
      </c>
      <c r="E719" s="166">
        <f>IFERROR(__xludf.DUMMYFUNCTION("""COMPUTED_VALUE"""),43420.0)</f>
        <v>43420</v>
      </c>
      <c r="F719" s="206">
        <f>IFERROR(__xludf.DUMMYFUNCTION("""COMPUTED_VALUE"""),43434.0)</f>
        <v>43434</v>
      </c>
      <c r="G719" s="167">
        <f>IFERROR(__xludf.DUMMYFUNCTION("""COMPUTED_VALUE"""),0.4666666666666667)</f>
        <v>0.4666666667</v>
      </c>
      <c r="H719" s="166"/>
      <c r="I719" s="167">
        <f>IFERROR(__xludf.DUMMYFUNCTION("""COMPUTED_VALUE"""),-6.913888888888889)</f>
        <v>-6.913888889</v>
      </c>
      <c r="J719" s="168"/>
      <c r="K719" s="168"/>
      <c r="L719" s="207"/>
      <c r="M719" s="207"/>
    </row>
    <row r="720">
      <c r="A720" s="203" t="str">
        <f>IFERROR(__xludf.DUMMYFUNCTION("""COMPUTED_VALUE"""),"Assassin's Creed")</f>
        <v>Assassin's Creed</v>
      </c>
      <c r="B720" s="204" t="str">
        <f>IFERROR(__xludf.DUMMYFUNCTION("""COMPUTED_VALUE"""),"XB360/OG Xbox")</f>
        <v>XB360/OG Xbox</v>
      </c>
      <c r="C720" s="205"/>
      <c r="D720" s="205" t="str">
        <f>IFERROR(__xludf.DUMMYFUNCTION("""COMPUTED_VALUE"""),"GwG Permanent")</f>
        <v>GwG Permanent</v>
      </c>
      <c r="E720" s="166">
        <f>IFERROR(__xludf.DUMMYFUNCTION("""COMPUTED_VALUE"""),43405.0)</f>
        <v>43405</v>
      </c>
      <c r="F720" s="206">
        <f>IFERROR(__xludf.DUMMYFUNCTION("""COMPUTED_VALUE"""),43419.0)</f>
        <v>43419</v>
      </c>
      <c r="G720" s="167">
        <f>IFERROR(__xludf.DUMMYFUNCTION("""COMPUTED_VALUE"""),0.4666666666666667)</f>
        <v>0.4666666667</v>
      </c>
      <c r="H720" s="166"/>
      <c r="I720" s="167">
        <f>IFERROR(__xludf.DUMMYFUNCTION("""COMPUTED_VALUE"""),-6.955555555555556)</f>
        <v>-6.955555556</v>
      </c>
      <c r="J720" s="168"/>
      <c r="K720" s="168"/>
      <c r="L720" s="207"/>
      <c r="M720" s="207" t="str">
        <f>IFERROR(__xludf.DUMMYFUNCTION("""COMPUTED_VALUE"""),"Enhanced")</f>
        <v>Enhanced</v>
      </c>
    </row>
    <row r="721">
      <c r="A721" s="203" t="str">
        <f>IFERROR(__xludf.DUMMYFUNCTION("""COMPUTED_VALUE"""),"Hitman: Blood Money")</f>
        <v>Hitman: Blood Money</v>
      </c>
      <c r="B721" s="204" t="str">
        <f>IFERROR(__xludf.DUMMYFUNCTION("""COMPUTED_VALUE"""),"XB360/OG Xbox")</f>
        <v>XB360/OG Xbox</v>
      </c>
      <c r="C721" s="205"/>
      <c r="D721" s="205" t="str">
        <f>IFERROR(__xludf.DUMMYFUNCTION("""COMPUTED_VALUE"""),"GwG Permanent")</f>
        <v>GwG Permanent</v>
      </c>
      <c r="E721" s="166">
        <f>IFERROR(__xludf.DUMMYFUNCTION("""COMPUTED_VALUE"""),43389.0)</f>
        <v>43389</v>
      </c>
      <c r="F721" s="206">
        <f>IFERROR(__xludf.DUMMYFUNCTION("""COMPUTED_VALUE"""),43404.0)</f>
        <v>43404</v>
      </c>
      <c r="G721" s="167">
        <f>IFERROR(__xludf.DUMMYFUNCTION("""COMPUTED_VALUE"""),0.4666666666666667)</f>
        <v>0.4666666667</v>
      </c>
      <c r="H721" s="166"/>
      <c r="I721" s="167">
        <f>IFERROR(__xludf.DUMMYFUNCTION("""COMPUTED_VALUE"""),-6.997222222222222)</f>
        <v>-6.997222222</v>
      </c>
      <c r="J721" s="168"/>
      <c r="K721" s="168"/>
      <c r="L721" s="207"/>
      <c r="M721" s="207"/>
    </row>
    <row r="722">
      <c r="A722" s="203" t="str">
        <f>IFERROR(__xludf.DUMMYFUNCTION("""COMPUTED_VALUE"""),"Stuntman: Ignition")</f>
        <v>Stuntman: Ignition</v>
      </c>
      <c r="B722" s="204" t="str">
        <f>IFERROR(__xludf.DUMMYFUNCTION("""COMPUTED_VALUE"""),"XB360/OG Xbox")</f>
        <v>XB360/OG Xbox</v>
      </c>
      <c r="C722" s="205"/>
      <c r="D722" s="205" t="str">
        <f>IFERROR(__xludf.DUMMYFUNCTION("""COMPUTED_VALUE"""),"GwG Permanent")</f>
        <v>GwG Permanent</v>
      </c>
      <c r="E722" s="166">
        <f>IFERROR(__xludf.DUMMYFUNCTION("""COMPUTED_VALUE"""),43374.0)</f>
        <v>43374</v>
      </c>
      <c r="F722" s="206">
        <f>IFERROR(__xludf.DUMMYFUNCTION("""COMPUTED_VALUE"""),43388.0)</f>
        <v>43388</v>
      </c>
      <c r="G722" s="167">
        <f>IFERROR(__xludf.DUMMYFUNCTION("""COMPUTED_VALUE"""),0.4666666666666667)</f>
        <v>0.4666666667</v>
      </c>
      <c r="H722" s="166"/>
      <c r="I722" s="167">
        <f>IFERROR(__xludf.DUMMYFUNCTION("""COMPUTED_VALUE"""),-7.038888888888889)</f>
        <v>-7.038888889</v>
      </c>
      <c r="J722" s="168"/>
      <c r="K722" s="168"/>
      <c r="L722" s="207"/>
      <c r="M722" s="207"/>
    </row>
    <row r="723">
      <c r="A723" s="203" t="str">
        <f>IFERROR(__xludf.DUMMYFUNCTION("""COMPUTED_VALUE"""),"Sega Vintage Collection: Monster World")</f>
        <v>Sega Vintage Collection: Monster World</v>
      </c>
      <c r="B723" s="204" t="str">
        <f>IFERROR(__xludf.DUMMYFUNCTION("""COMPUTED_VALUE"""),"XB360/OG Xbox")</f>
        <v>XB360/OG Xbox</v>
      </c>
      <c r="C723" s="205"/>
      <c r="D723" s="205" t="str">
        <f>IFERROR(__xludf.DUMMYFUNCTION("""COMPUTED_VALUE"""),"GwG Permanent")</f>
        <v>GwG Permanent</v>
      </c>
      <c r="E723" s="166">
        <f>IFERROR(__xludf.DUMMYFUNCTION("""COMPUTED_VALUE"""),43359.0)</f>
        <v>43359</v>
      </c>
      <c r="F723" s="206">
        <f>IFERROR(__xludf.DUMMYFUNCTION("""COMPUTED_VALUE"""),43373.0)</f>
        <v>43373</v>
      </c>
      <c r="G723" s="167">
        <f>IFERROR(__xludf.DUMMYFUNCTION("""COMPUTED_VALUE"""),0.4666666666666667)</f>
        <v>0.4666666667</v>
      </c>
      <c r="H723" s="166"/>
      <c r="I723" s="167">
        <f>IFERROR(__xludf.DUMMYFUNCTION("""COMPUTED_VALUE"""),-7.080555555555556)</f>
        <v>-7.080555556</v>
      </c>
      <c r="J723" s="168"/>
      <c r="K723" s="168"/>
      <c r="L723" s="207"/>
      <c r="M723" s="207"/>
    </row>
    <row r="724">
      <c r="A724" s="203" t="str">
        <f>IFERROR(__xludf.DUMMYFUNCTION("""COMPUTED_VALUE"""),"LEGO Star Wars III: The Clone Wars")</f>
        <v>LEGO Star Wars III: The Clone Wars</v>
      </c>
      <c r="B724" s="204" t="str">
        <f>IFERROR(__xludf.DUMMYFUNCTION("""COMPUTED_VALUE"""),"XB360/OG Xbox")</f>
        <v>XB360/OG Xbox</v>
      </c>
      <c r="C724" s="205"/>
      <c r="D724" s="205" t="str">
        <f>IFERROR(__xludf.DUMMYFUNCTION("""COMPUTED_VALUE"""),"GwG Permanent")</f>
        <v>GwG Permanent</v>
      </c>
      <c r="E724" s="166">
        <f>IFERROR(__xludf.DUMMYFUNCTION("""COMPUTED_VALUE"""),43344.0)</f>
        <v>43344</v>
      </c>
      <c r="F724" s="206">
        <f>IFERROR(__xludf.DUMMYFUNCTION("""COMPUTED_VALUE"""),43358.0)</f>
        <v>43358</v>
      </c>
      <c r="G724" s="167">
        <f>IFERROR(__xludf.DUMMYFUNCTION("""COMPUTED_VALUE"""),0.4666666666666667)</f>
        <v>0.4666666667</v>
      </c>
      <c r="H724" s="166"/>
      <c r="I724" s="167">
        <f>IFERROR(__xludf.DUMMYFUNCTION("""COMPUTED_VALUE"""),-7.122222222222222)</f>
        <v>-7.122222222</v>
      </c>
      <c r="J724" s="168"/>
      <c r="K724" s="168"/>
      <c r="L724" s="207"/>
      <c r="M724" s="207"/>
    </row>
    <row r="725">
      <c r="A725" s="203" t="str">
        <f>IFERROR(__xludf.DUMMYFUNCTION("""COMPUTED_VALUE"""),"Epic Mickey 2: The Power of Two")</f>
        <v>Epic Mickey 2: The Power of Two</v>
      </c>
      <c r="B725" s="204" t="str">
        <f>IFERROR(__xludf.DUMMYFUNCTION("""COMPUTED_VALUE"""),"XB360/OG Xbox")</f>
        <v>XB360/OG Xbox</v>
      </c>
      <c r="C725" s="205"/>
      <c r="D725" s="205" t="str">
        <f>IFERROR(__xludf.DUMMYFUNCTION("""COMPUTED_VALUE"""),"GwG Permanent")</f>
        <v>GwG Permanent</v>
      </c>
      <c r="E725" s="166">
        <f>IFERROR(__xludf.DUMMYFUNCTION("""COMPUTED_VALUE"""),43328.0)</f>
        <v>43328</v>
      </c>
      <c r="F725" s="206">
        <f>IFERROR(__xludf.DUMMYFUNCTION("""COMPUTED_VALUE"""),43343.0)</f>
        <v>43343</v>
      </c>
      <c r="G725" s="167">
        <f>IFERROR(__xludf.DUMMYFUNCTION("""COMPUTED_VALUE"""),0.4666666666666667)</f>
        <v>0.4666666667</v>
      </c>
      <c r="H725" s="166"/>
      <c r="I725" s="167">
        <f>IFERROR(__xludf.DUMMYFUNCTION("""COMPUTED_VALUE"""),-7.163888888888889)</f>
        <v>-7.163888889</v>
      </c>
      <c r="J725" s="168"/>
      <c r="K725" s="168"/>
      <c r="L725" s="207"/>
      <c r="M725" s="207"/>
    </row>
    <row r="726">
      <c r="A726" s="203" t="str">
        <f>IFERROR(__xludf.DUMMYFUNCTION("""COMPUTED_VALUE"""),"Dead Space 3")</f>
        <v>Dead Space 3</v>
      </c>
      <c r="B726" s="204" t="str">
        <f>IFERROR(__xludf.DUMMYFUNCTION("""COMPUTED_VALUE"""),"XB360/OG Xbox")</f>
        <v>XB360/OG Xbox</v>
      </c>
      <c r="C726" s="205"/>
      <c r="D726" s="205" t="str">
        <f>IFERROR(__xludf.DUMMYFUNCTION("""COMPUTED_VALUE"""),"GwG Permanent")</f>
        <v>GwG Permanent</v>
      </c>
      <c r="E726" s="166">
        <f>IFERROR(__xludf.DUMMYFUNCTION("""COMPUTED_VALUE"""),43313.0)</f>
        <v>43313</v>
      </c>
      <c r="F726" s="206">
        <f>IFERROR(__xludf.DUMMYFUNCTION("""COMPUTED_VALUE"""),43327.0)</f>
        <v>43327</v>
      </c>
      <c r="G726" s="167">
        <f>IFERROR(__xludf.DUMMYFUNCTION("""COMPUTED_VALUE"""),0.4666666666666667)</f>
        <v>0.4666666667</v>
      </c>
      <c r="H726" s="166"/>
      <c r="I726" s="167">
        <f>IFERROR(__xludf.DUMMYFUNCTION("""COMPUTED_VALUE"""),-7.205555555555556)</f>
        <v>-7.205555556</v>
      </c>
      <c r="J726" s="168"/>
      <c r="K726" s="168"/>
      <c r="L726" s="207"/>
      <c r="M726" s="207"/>
    </row>
    <row r="727">
      <c r="A727" s="203" t="str">
        <f>IFERROR(__xludf.DUMMYFUNCTION("""COMPUTED_VALUE"""),"Tom Clancy's Splinter Cell: Conviction")</f>
        <v>Tom Clancy's Splinter Cell: Conviction</v>
      </c>
      <c r="B727" s="204" t="str">
        <f>IFERROR(__xludf.DUMMYFUNCTION("""COMPUTED_VALUE"""),"XB360/OG Xbox")</f>
        <v>XB360/OG Xbox</v>
      </c>
      <c r="C727" s="205"/>
      <c r="D727" s="205" t="str">
        <f>IFERROR(__xludf.DUMMYFUNCTION("""COMPUTED_VALUE"""),"GwG Permanent")</f>
        <v>GwG Permanent</v>
      </c>
      <c r="E727" s="166">
        <f>IFERROR(__xludf.DUMMYFUNCTION("""COMPUTED_VALUE"""),43297.0)</f>
        <v>43297</v>
      </c>
      <c r="F727" s="206">
        <f>IFERROR(__xludf.DUMMYFUNCTION("""COMPUTED_VALUE"""),43312.0)</f>
        <v>43312</v>
      </c>
      <c r="G727" s="167">
        <f>IFERROR(__xludf.DUMMYFUNCTION("""COMPUTED_VALUE"""),0.4666666666666667)</f>
        <v>0.4666666667</v>
      </c>
      <c r="H727" s="166"/>
      <c r="I727" s="167">
        <f>IFERROR(__xludf.DUMMYFUNCTION("""COMPUTED_VALUE"""),-7.247222222222222)</f>
        <v>-7.247222222</v>
      </c>
      <c r="J727" s="168"/>
      <c r="K727" s="168"/>
      <c r="L727" s="207"/>
      <c r="M727" s="207"/>
    </row>
    <row r="728">
      <c r="A728" s="203" t="str">
        <f>IFERROR(__xludf.DUMMYFUNCTION("""COMPUTED_VALUE"""),"Virtua Fighter 5 Final Showdown")</f>
        <v>Virtua Fighter 5 Final Showdown</v>
      </c>
      <c r="B728" s="204" t="str">
        <f>IFERROR(__xludf.DUMMYFUNCTION("""COMPUTED_VALUE"""),"XB360/OG Xbox")</f>
        <v>XB360/OG Xbox</v>
      </c>
      <c r="C728" s="205"/>
      <c r="D728" s="205" t="str">
        <f>IFERROR(__xludf.DUMMYFUNCTION("""COMPUTED_VALUE"""),"GwG Permanent")</f>
        <v>GwG Permanent</v>
      </c>
      <c r="E728" s="166">
        <f>IFERROR(__xludf.DUMMYFUNCTION("""COMPUTED_VALUE"""),43282.0)</f>
        <v>43282</v>
      </c>
      <c r="F728" s="206">
        <f>IFERROR(__xludf.DUMMYFUNCTION("""COMPUTED_VALUE"""),43296.0)</f>
        <v>43296</v>
      </c>
      <c r="G728" s="167">
        <f>IFERROR(__xludf.DUMMYFUNCTION("""COMPUTED_VALUE"""),0.4666666666666667)</f>
        <v>0.4666666667</v>
      </c>
      <c r="H728" s="166"/>
      <c r="I728" s="167">
        <f>IFERROR(__xludf.DUMMYFUNCTION("""COMPUTED_VALUE"""),-7.288888888888889)</f>
        <v>-7.288888889</v>
      </c>
      <c r="J728" s="168"/>
      <c r="K728" s="168"/>
      <c r="L728" s="207"/>
      <c r="M728" s="207"/>
    </row>
    <row r="729">
      <c r="A729" s="203" t="str">
        <f>IFERROR(__xludf.DUMMYFUNCTION("""COMPUTED_VALUE"""),"LEGO Indiana Jones 2: The Adventure Continues")</f>
        <v>LEGO Indiana Jones 2: The Adventure Continues</v>
      </c>
      <c r="B729" s="204" t="str">
        <f>IFERROR(__xludf.DUMMYFUNCTION("""COMPUTED_VALUE"""),"XB360/OG Xbox")</f>
        <v>XB360/OG Xbox</v>
      </c>
      <c r="C729" s="205"/>
      <c r="D729" s="205" t="str">
        <f>IFERROR(__xludf.DUMMYFUNCTION("""COMPUTED_VALUE"""),"GwG Permanent")</f>
        <v>GwG Permanent</v>
      </c>
      <c r="E729" s="166">
        <f>IFERROR(__xludf.DUMMYFUNCTION("""COMPUTED_VALUE"""),43267.0)</f>
        <v>43267</v>
      </c>
      <c r="F729" s="206">
        <f>IFERROR(__xludf.DUMMYFUNCTION("""COMPUTED_VALUE"""),43281.0)</f>
        <v>43281</v>
      </c>
      <c r="G729" s="167">
        <f>IFERROR(__xludf.DUMMYFUNCTION("""COMPUTED_VALUE"""),0.4666666666666667)</f>
        <v>0.4666666667</v>
      </c>
      <c r="H729" s="166"/>
      <c r="I729" s="167">
        <f>IFERROR(__xludf.DUMMYFUNCTION("""COMPUTED_VALUE"""),-7.330555555555556)</f>
        <v>-7.330555556</v>
      </c>
      <c r="J729" s="168"/>
      <c r="K729" s="168"/>
      <c r="L729" s="207"/>
      <c r="M729" s="207"/>
    </row>
    <row r="730">
      <c r="A730" s="203" t="str">
        <f>IFERROR(__xludf.DUMMYFUNCTION("""COMPUTED_VALUE"""),"Sonic &amp; All-Stars Racing Transformed")</f>
        <v>Sonic &amp; All-Stars Racing Transformed</v>
      </c>
      <c r="B730" s="204" t="str">
        <f>IFERROR(__xludf.DUMMYFUNCTION("""COMPUTED_VALUE"""),"XB360/OG Xbox")</f>
        <v>XB360/OG Xbox</v>
      </c>
      <c r="C730" s="205"/>
      <c r="D730" s="205" t="str">
        <f>IFERROR(__xludf.DUMMYFUNCTION("""COMPUTED_VALUE"""),"GwG Permanent")</f>
        <v>GwG Permanent</v>
      </c>
      <c r="E730" s="166">
        <f>IFERROR(__xludf.DUMMYFUNCTION("""COMPUTED_VALUE"""),43252.0)</f>
        <v>43252</v>
      </c>
      <c r="F730" s="206">
        <f>IFERROR(__xludf.DUMMYFUNCTION("""COMPUTED_VALUE"""),43266.0)</f>
        <v>43266</v>
      </c>
      <c r="G730" s="167">
        <f>IFERROR(__xludf.DUMMYFUNCTION("""COMPUTED_VALUE"""),0.4666666666666667)</f>
        <v>0.4666666667</v>
      </c>
      <c r="H730" s="166"/>
      <c r="I730" s="167">
        <f>IFERROR(__xludf.DUMMYFUNCTION("""COMPUTED_VALUE"""),-7.372222222222222)</f>
        <v>-7.372222222</v>
      </c>
      <c r="J730" s="168"/>
      <c r="K730" s="168"/>
      <c r="L730" s="207"/>
      <c r="M730" s="207"/>
    </row>
    <row r="731">
      <c r="A731" s="203" t="str">
        <f>IFERROR(__xludf.DUMMYFUNCTION("""COMPUTED_VALUE"""),"Vanquish")</f>
        <v>Vanquish</v>
      </c>
      <c r="B731" s="204" t="str">
        <f>IFERROR(__xludf.DUMMYFUNCTION("""COMPUTED_VALUE"""),"XB360/OG Xbox")</f>
        <v>XB360/OG Xbox</v>
      </c>
      <c r="C731" s="205"/>
      <c r="D731" s="205" t="str">
        <f>IFERROR(__xludf.DUMMYFUNCTION("""COMPUTED_VALUE"""),"GwG Permanent")</f>
        <v>GwG Permanent</v>
      </c>
      <c r="E731" s="166">
        <f>IFERROR(__xludf.DUMMYFUNCTION("""COMPUTED_VALUE"""),43236.0)</f>
        <v>43236</v>
      </c>
      <c r="F731" s="206">
        <f>IFERROR(__xludf.DUMMYFUNCTION("""COMPUTED_VALUE"""),43251.0)</f>
        <v>43251</v>
      </c>
      <c r="G731" s="167">
        <f>IFERROR(__xludf.DUMMYFUNCTION("""COMPUTED_VALUE"""),0.4666666666666667)</f>
        <v>0.4666666667</v>
      </c>
      <c r="H731" s="166"/>
      <c r="I731" s="167">
        <f>IFERROR(__xludf.DUMMYFUNCTION("""COMPUTED_VALUE"""),-7.413888888888889)</f>
        <v>-7.413888889</v>
      </c>
      <c r="J731" s="168"/>
      <c r="K731" s="168"/>
      <c r="L731" s="207"/>
      <c r="M731" s="207"/>
    </row>
    <row r="732">
      <c r="A732" s="203" t="str">
        <f>IFERROR(__xludf.DUMMYFUNCTION("""COMPUTED_VALUE"""),"Sega Vintage Collection: Streets of Rage")</f>
        <v>Sega Vintage Collection: Streets of Rage</v>
      </c>
      <c r="B732" s="204" t="str">
        <f>IFERROR(__xludf.DUMMYFUNCTION("""COMPUTED_VALUE"""),"XB360/OG Xbox")</f>
        <v>XB360/OG Xbox</v>
      </c>
      <c r="C732" s="205"/>
      <c r="D732" s="205" t="str">
        <f>IFERROR(__xludf.DUMMYFUNCTION("""COMPUTED_VALUE"""),"GwG Permanent")</f>
        <v>GwG Permanent</v>
      </c>
      <c r="E732" s="166">
        <f>IFERROR(__xludf.DUMMYFUNCTION("""COMPUTED_VALUE"""),43221.0)</f>
        <v>43221</v>
      </c>
      <c r="F732" s="206">
        <f>IFERROR(__xludf.DUMMYFUNCTION("""COMPUTED_VALUE"""),43235.0)</f>
        <v>43235</v>
      </c>
      <c r="G732" s="167">
        <f>IFERROR(__xludf.DUMMYFUNCTION("""COMPUTED_VALUE"""),0.4666666666666667)</f>
        <v>0.4666666667</v>
      </c>
      <c r="H732" s="166"/>
      <c r="I732" s="167">
        <f>IFERROR(__xludf.DUMMYFUNCTION("""COMPUTED_VALUE"""),-7.455555555555556)</f>
        <v>-7.455555556</v>
      </c>
      <c r="J732" s="168"/>
      <c r="K732" s="168"/>
      <c r="L732" s="207"/>
      <c r="M732" s="207"/>
    </row>
    <row r="733">
      <c r="A733" s="203" t="str">
        <f>IFERROR(__xludf.DUMMYFUNCTION("""COMPUTED_VALUE"""),"Dead Space 2")</f>
        <v>Dead Space 2</v>
      </c>
      <c r="B733" s="204" t="str">
        <f>IFERROR(__xludf.DUMMYFUNCTION("""COMPUTED_VALUE"""),"XB360/OG Xbox")</f>
        <v>XB360/OG Xbox</v>
      </c>
      <c r="C733" s="205"/>
      <c r="D733" s="205" t="str">
        <f>IFERROR(__xludf.DUMMYFUNCTION("""COMPUTED_VALUE"""),"GwG Permanent")</f>
        <v>GwG Permanent</v>
      </c>
      <c r="E733" s="166">
        <f>IFERROR(__xludf.DUMMYFUNCTION("""COMPUTED_VALUE"""),43206.0)</f>
        <v>43206</v>
      </c>
      <c r="F733" s="206">
        <f>IFERROR(__xludf.DUMMYFUNCTION("""COMPUTED_VALUE"""),43220.0)</f>
        <v>43220</v>
      </c>
      <c r="G733" s="167">
        <f>IFERROR(__xludf.DUMMYFUNCTION("""COMPUTED_VALUE"""),0.4666666666666667)</f>
        <v>0.4666666667</v>
      </c>
      <c r="H733" s="166"/>
      <c r="I733" s="167">
        <f>IFERROR(__xludf.DUMMYFUNCTION("""COMPUTED_VALUE"""),-7.497222222222222)</f>
        <v>-7.497222222</v>
      </c>
      <c r="J733" s="168"/>
      <c r="K733" s="168"/>
      <c r="L733" s="207"/>
      <c r="M733" s="207"/>
    </row>
    <row r="734">
      <c r="A734" s="203" t="str">
        <f>IFERROR(__xludf.DUMMYFUNCTION("""COMPUTED_VALUE"""),"Cars 2: The Video Game")</f>
        <v>Cars 2: The Video Game</v>
      </c>
      <c r="B734" s="204" t="str">
        <f>IFERROR(__xludf.DUMMYFUNCTION("""COMPUTED_VALUE"""),"XB360/OG Xbox")</f>
        <v>XB360/OG Xbox</v>
      </c>
      <c r="C734" s="205"/>
      <c r="D734" s="205" t="str">
        <f>IFERROR(__xludf.DUMMYFUNCTION("""COMPUTED_VALUE"""),"GwG Permanent")</f>
        <v>GwG Permanent</v>
      </c>
      <c r="E734" s="166">
        <f>IFERROR(__xludf.DUMMYFUNCTION("""COMPUTED_VALUE"""),43191.0)</f>
        <v>43191</v>
      </c>
      <c r="F734" s="206">
        <f>IFERROR(__xludf.DUMMYFUNCTION("""COMPUTED_VALUE"""),43205.0)</f>
        <v>43205</v>
      </c>
      <c r="G734" s="167">
        <f>IFERROR(__xludf.DUMMYFUNCTION("""COMPUTED_VALUE"""),0.4666666666666667)</f>
        <v>0.4666666667</v>
      </c>
      <c r="H734" s="166"/>
      <c r="I734" s="167">
        <f>IFERROR(__xludf.DUMMYFUNCTION("""COMPUTED_VALUE"""),-7.538888888888889)</f>
        <v>-7.538888889</v>
      </c>
      <c r="J734" s="168"/>
      <c r="K734" s="168"/>
      <c r="L734" s="207"/>
      <c r="M734" s="207"/>
    </row>
    <row r="735">
      <c r="A735" s="203" t="str">
        <f>IFERROR(__xludf.DUMMYFUNCTION("""COMPUTED_VALUE"""),"Quantum Conundrum")</f>
        <v>Quantum Conundrum</v>
      </c>
      <c r="B735" s="204" t="str">
        <f>IFERROR(__xludf.DUMMYFUNCTION("""COMPUTED_VALUE"""),"XB360/OG Xbox")</f>
        <v>XB360/OG Xbox</v>
      </c>
      <c r="C735" s="205"/>
      <c r="D735" s="205" t="str">
        <f>IFERROR(__xludf.DUMMYFUNCTION("""COMPUTED_VALUE"""),"GwG Permanent")</f>
        <v>GwG Permanent</v>
      </c>
      <c r="E735" s="166">
        <f>IFERROR(__xludf.DUMMYFUNCTION("""COMPUTED_VALUE"""),43175.0)</f>
        <v>43175</v>
      </c>
      <c r="F735" s="206">
        <f>IFERROR(__xludf.DUMMYFUNCTION("""COMPUTED_VALUE"""),43190.0)</f>
        <v>43190</v>
      </c>
      <c r="G735" s="167">
        <f>IFERROR(__xludf.DUMMYFUNCTION("""COMPUTED_VALUE"""),0.4666666666666667)</f>
        <v>0.4666666667</v>
      </c>
      <c r="H735" s="166"/>
      <c r="I735" s="167">
        <f>IFERROR(__xludf.DUMMYFUNCTION("""COMPUTED_VALUE"""),-7.580555555555556)</f>
        <v>-7.580555556</v>
      </c>
      <c r="J735" s="168"/>
      <c r="K735" s="168"/>
      <c r="L735" s="207"/>
      <c r="M735" s="207"/>
    </row>
    <row r="736">
      <c r="A736" s="203" t="str">
        <f>IFERROR(__xludf.DUMMYFUNCTION("""COMPUTED_VALUE"""),"Brave: The Video Game")</f>
        <v>Brave: The Video Game</v>
      </c>
      <c r="B736" s="204" t="str">
        <f>IFERROR(__xludf.DUMMYFUNCTION("""COMPUTED_VALUE"""),"XB360/OG Xbox")</f>
        <v>XB360/OG Xbox</v>
      </c>
      <c r="C736" s="205"/>
      <c r="D736" s="205" t="str">
        <f>IFERROR(__xludf.DUMMYFUNCTION("""COMPUTED_VALUE"""),"GwG Permanent")</f>
        <v>GwG Permanent</v>
      </c>
      <c r="E736" s="166">
        <f>IFERROR(__xludf.DUMMYFUNCTION("""COMPUTED_VALUE"""),43160.0)</f>
        <v>43160</v>
      </c>
      <c r="F736" s="206">
        <f>IFERROR(__xludf.DUMMYFUNCTION("""COMPUTED_VALUE"""),43174.0)</f>
        <v>43174</v>
      </c>
      <c r="G736" s="167">
        <f>IFERROR(__xludf.DUMMYFUNCTION("""COMPUTED_VALUE"""),0.4666666666666667)</f>
        <v>0.4666666667</v>
      </c>
      <c r="H736" s="166"/>
      <c r="I736" s="167">
        <f>IFERROR(__xludf.DUMMYFUNCTION("""COMPUTED_VALUE"""),-7.622222222222222)</f>
        <v>-7.622222222</v>
      </c>
      <c r="J736" s="168"/>
      <c r="K736" s="168"/>
      <c r="L736" s="207"/>
      <c r="M736" s="207"/>
    </row>
    <row r="737">
      <c r="A737" s="203" t="str">
        <f>IFERROR(__xludf.DUMMYFUNCTION("""COMPUTED_VALUE"""),"Crazy Taxi")</f>
        <v>Crazy Taxi</v>
      </c>
      <c r="B737" s="204" t="str">
        <f>IFERROR(__xludf.DUMMYFUNCTION("""COMPUTED_VALUE"""),"XB360/OG Xbox")</f>
        <v>XB360/OG Xbox</v>
      </c>
      <c r="C737" s="205"/>
      <c r="D737" s="205" t="str">
        <f>IFERROR(__xludf.DUMMYFUNCTION("""COMPUTED_VALUE"""),"GwG Permanent")</f>
        <v>GwG Permanent</v>
      </c>
      <c r="E737" s="166">
        <f>IFERROR(__xludf.DUMMYFUNCTION("""COMPUTED_VALUE"""),43147.0)</f>
        <v>43147</v>
      </c>
      <c r="F737" s="206">
        <f>IFERROR(__xludf.DUMMYFUNCTION("""COMPUTED_VALUE"""),43159.0)</f>
        <v>43159</v>
      </c>
      <c r="G737" s="167">
        <f>IFERROR(__xludf.DUMMYFUNCTION("""COMPUTED_VALUE"""),0.4)</f>
        <v>0.4</v>
      </c>
      <c r="H737" s="166"/>
      <c r="I737" s="167">
        <f>IFERROR(__xludf.DUMMYFUNCTION("""COMPUTED_VALUE"""),-7.663888888888889)</f>
        <v>-7.663888889</v>
      </c>
      <c r="J737" s="168"/>
      <c r="K737" s="168"/>
      <c r="L737" s="207"/>
      <c r="M737" s="207"/>
    </row>
    <row r="738">
      <c r="A738" s="203" t="str">
        <f>IFERROR(__xludf.DUMMYFUNCTION("""COMPUTED_VALUE"""),"Split/Second")</f>
        <v>Split/Second</v>
      </c>
      <c r="B738" s="204" t="str">
        <f>IFERROR(__xludf.DUMMYFUNCTION("""COMPUTED_VALUE"""),"XB360/OG Xbox")</f>
        <v>XB360/OG Xbox</v>
      </c>
      <c r="C738" s="205"/>
      <c r="D738" s="205" t="str">
        <f>IFERROR(__xludf.DUMMYFUNCTION("""COMPUTED_VALUE"""),"GwG Permanent")</f>
        <v>GwG Permanent</v>
      </c>
      <c r="E738" s="166">
        <f>IFERROR(__xludf.DUMMYFUNCTION("""COMPUTED_VALUE"""),43132.0)</f>
        <v>43132</v>
      </c>
      <c r="F738" s="206">
        <f>IFERROR(__xludf.DUMMYFUNCTION("""COMPUTED_VALUE"""),43146.0)</f>
        <v>43146</v>
      </c>
      <c r="G738" s="167">
        <f>IFERROR(__xludf.DUMMYFUNCTION("""COMPUTED_VALUE"""),0.4666666666666667)</f>
        <v>0.4666666667</v>
      </c>
      <c r="H738" s="166"/>
      <c r="I738" s="167">
        <f>IFERROR(__xludf.DUMMYFUNCTION("""COMPUTED_VALUE"""),-7.705555555555556)</f>
        <v>-7.705555556</v>
      </c>
      <c r="J738" s="168"/>
      <c r="K738" s="168"/>
      <c r="L738" s="207"/>
      <c r="M738" s="207"/>
    </row>
    <row r="739">
      <c r="A739" s="203" t="str">
        <f>IFERROR(__xludf.DUMMYFUNCTION("""COMPUTED_VALUE"""),"Army of Two")</f>
        <v>Army of Two</v>
      </c>
      <c r="B739" s="204" t="str">
        <f>IFERROR(__xludf.DUMMYFUNCTION("""COMPUTED_VALUE"""),"XB360/OG Xbox")</f>
        <v>XB360/OG Xbox</v>
      </c>
      <c r="C739" s="205"/>
      <c r="D739" s="205" t="str">
        <f>IFERROR(__xludf.DUMMYFUNCTION("""COMPUTED_VALUE"""),"GwG Permanent")</f>
        <v>GwG Permanent</v>
      </c>
      <c r="E739" s="166">
        <f>IFERROR(__xludf.DUMMYFUNCTION("""COMPUTED_VALUE"""),43116.0)</f>
        <v>43116</v>
      </c>
      <c r="F739" s="206">
        <f>IFERROR(__xludf.DUMMYFUNCTION("""COMPUTED_VALUE"""),43131.0)</f>
        <v>43131</v>
      </c>
      <c r="G739" s="167">
        <f>IFERROR(__xludf.DUMMYFUNCTION("""COMPUTED_VALUE"""),0.4666666666666667)</f>
        <v>0.4666666667</v>
      </c>
      <c r="H739" s="166"/>
      <c r="I739" s="167">
        <f>IFERROR(__xludf.DUMMYFUNCTION("""COMPUTED_VALUE"""),-7.747222222222222)</f>
        <v>-7.747222222</v>
      </c>
      <c r="J739" s="168"/>
      <c r="K739" s="168"/>
      <c r="L739" s="207"/>
      <c r="M739" s="207"/>
    </row>
    <row r="740">
      <c r="A740" s="203" t="str">
        <f>IFERROR(__xludf.DUMMYFUNCTION("""COMPUTED_VALUE"""),"Tomb Raider: Underworld")</f>
        <v>Tomb Raider: Underworld</v>
      </c>
      <c r="B740" s="204" t="str">
        <f>IFERROR(__xludf.DUMMYFUNCTION("""COMPUTED_VALUE"""),"XB360/OG Xbox")</f>
        <v>XB360/OG Xbox</v>
      </c>
      <c r="C740" s="205"/>
      <c r="D740" s="205" t="str">
        <f>IFERROR(__xludf.DUMMYFUNCTION("""COMPUTED_VALUE"""),"GwG Permanent")</f>
        <v>GwG Permanent</v>
      </c>
      <c r="E740" s="166">
        <f>IFERROR(__xludf.DUMMYFUNCTION("""COMPUTED_VALUE"""),43101.0)</f>
        <v>43101</v>
      </c>
      <c r="F740" s="206">
        <f>IFERROR(__xludf.DUMMYFUNCTION("""COMPUTED_VALUE"""),43115.0)</f>
        <v>43115</v>
      </c>
      <c r="G740" s="167">
        <f>IFERROR(__xludf.DUMMYFUNCTION("""COMPUTED_VALUE"""),0.4666666666666667)</f>
        <v>0.4666666667</v>
      </c>
      <c r="H740" s="166"/>
      <c r="I740" s="167">
        <f>IFERROR(__xludf.DUMMYFUNCTION("""COMPUTED_VALUE"""),-7.788888888888889)</f>
        <v>-7.788888889</v>
      </c>
      <c r="J740" s="168"/>
      <c r="K740" s="168"/>
      <c r="L740" s="207"/>
      <c r="M740" s="207"/>
    </row>
    <row r="741">
      <c r="A741" s="203" t="str">
        <f>IFERROR(__xludf.DUMMYFUNCTION("""COMPUTED_VALUE"""),"Marlow Briggs and the Mask of Death")</f>
        <v>Marlow Briggs and the Mask of Death</v>
      </c>
      <c r="B741" s="204" t="str">
        <f>IFERROR(__xludf.DUMMYFUNCTION("""COMPUTED_VALUE"""),"XB360/OG Xbox")</f>
        <v>XB360/OG Xbox</v>
      </c>
      <c r="C741" s="205"/>
      <c r="D741" s="205" t="str">
        <f>IFERROR(__xludf.DUMMYFUNCTION("""COMPUTED_VALUE"""),"GwG Permanent")</f>
        <v>GwG Permanent</v>
      </c>
      <c r="E741" s="166">
        <f>IFERROR(__xludf.DUMMYFUNCTION("""COMPUTED_VALUE"""),43085.0)</f>
        <v>43085</v>
      </c>
      <c r="F741" s="206">
        <f>IFERROR(__xludf.DUMMYFUNCTION("""COMPUTED_VALUE"""),43100.0)</f>
        <v>43100</v>
      </c>
      <c r="G741" s="167">
        <f>IFERROR(__xludf.DUMMYFUNCTION("""COMPUTED_VALUE"""),0.4666666666666667)</f>
        <v>0.4666666667</v>
      </c>
      <c r="H741" s="166"/>
      <c r="I741" s="167">
        <f>IFERROR(__xludf.DUMMYFUNCTION("""COMPUTED_VALUE"""),-7.830555555555556)</f>
        <v>-7.830555556</v>
      </c>
      <c r="J741" s="168"/>
      <c r="K741" s="168"/>
      <c r="L741" s="207"/>
      <c r="M741" s="207"/>
    </row>
    <row r="742">
      <c r="A742" s="203" t="str">
        <f>IFERROR(__xludf.DUMMYFUNCTION("""COMPUTED_VALUE"""),"Child of Eden")</f>
        <v>Child of Eden</v>
      </c>
      <c r="B742" s="204" t="str">
        <f>IFERROR(__xludf.DUMMYFUNCTION("""COMPUTED_VALUE"""),"XB360/OG Xbox")</f>
        <v>XB360/OG Xbox</v>
      </c>
      <c r="C742" s="205"/>
      <c r="D742" s="205" t="str">
        <f>IFERROR(__xludf.DUMMYFUNCTION("""COMPUTED_VALUE"""),"GwG Permanent")</f>
        <v>GwG Permanent</v>
      </c>
      <c r="E742" s="166">
        <f>IFERROR(__xludf.DUMMYFUNCTION("""COMPUTED_VALUE"""),43070.0)</f>
        <v>43070</v>
      </c>
      <c r="F742" s="206">
        <f>IFERROR(__xludf.DUMMYFUNCTION("""COMPUTED_VALUE"""),43084.0)</f>
        <v>43084</v>
      </c>
      <c r="G742" s="167">
        <f>IFERROR(__xludf.DUMMYFUNCTION("""COMPUTED_VALUE"""),0.4666666666666667)</f>
        <v>0.4666666667</v>
      </c>
      <c r="H742" s="166"/>
      <c r="I742" s="167">
        <f>IFERROR(__xludf.DUMMYFUNCTION("""COMPUTED_VALUE"""),-7.872222222222222)</f>
        <v>-7.872222222</v>
      </c>
      <c r="J742" s="168"/>
      <c r="K742" s="168"/>
      <c r="L742" s="207"/>
      <c r="M742" s="207"/>
    </row>
    <row r="743">
      <c r="A743" s="203" t="str">
        <f>IFERROR(__xludf.DUMMYFUNCTION("""COMPUTED_VALUE"""),"Deadfall Adventures")</f>
        <v>Deadfall Adventures</v>
      </c>
      <c r="B743" s="204" t="str">
        <f>IFERROR(__xludf.DUMMYFUNCTION("""COMPUTED_VALUE"""),"XB360/OG Xbox")</f>
        <v>XB360/OG Xbox</v>
      </c>
      <c r="C743" s="205"/>
      <c r="D743" s="205" t="str">
        <f>IFERROR(__xludf.DUMMYFUNCTION("""COMPUTED_VALUE"""),"GwG Permanent")</f>
        <v>GwG Permanent</v>
      </c>
      <c r="E743" s="166">
        <f>IFERROR(__xludf.DUMMYFUNCTION("""COMPUTED_VALUE"""),43055.0)</f>
        <v>43055</v>
      </c>
      <c r="F743" s="206">
        <f>IFERROR(__xludf.DUMMYFUNCTION("""COMPUTED_VALUE"""),43069.0)</f>
        <v>43069</v>
      </c>
      <c r="G743" s="167">
        <f>IFERROR(__xludf.DUMMYFUNCTION("""COMPUTED_VALUE"""),0.4666666666666667)</f>
        <v>0.4666666667</v>
      </c>
      <c r="H743" s="166"/>
      <c r="I743" s="167">
        <f>IFERROR(__xludf.DUMMYFUNCTION("""COMPUTED_VALUE"""),-7.913888888888889)</f>
        <v>-7.913888889</v>
      </c>
      <c r="J743" s="168"/>
      <c r="K743" s="168"/>
      <c r="L743" s="207"/>
      <c r="M743" s="207"/>
    </row>
    <row r="744">
      <c r="A744" s="203" t="str">
        <f>IFERROR(__xludf.DUMMYFUNCTION("""COMPUTED_VALUE"""),"NiGHTS into Dreams")</f>
        <v>NiGHTS into Dreams</v>
      </c>
      <c r="B744" s="204" t="str">
        <f>IFERROR(__xludf.DUMMYFUNCTION("""COMPUTED_VALUE"""),"XB360/OG Xbox")</f>
        <v>XB360/OG Xbox</v>
      </c>
      <c r="C744" s="205"/>
      <c r="D744" s="205" t="str">
        <f>IFERROR(__xludf.DUMMYFUNCTION("""COMPUTED_VALUE"""),"GwG Permanent")</f>
        <v>GwG Permanent</v>
      </c>
      <c r="E744" s="166">
        <f>IFERROR(__xludf.DUMMYFUNCTION("""COMPUTED_VALUE"""),43040.0)</f>
        <v>43040</v>
      </c>
      <c r="F744" s="206">
        <f>IFERROR(__xludf.DUMMYFUNCTION("""COMPUTED_VALUE"""),43054.0)</f>
        <v>43054</v>
      </c>
      <c r="G744" s="167">
        <f>IFERROR(__xludf.DUMMYFUNCTION("""COMPUTED_VALUE"""),0.4666666666666667)</f>
        <v>0.4666666667</v>
      </c>
      <c r="H744" s="166"/>
      <c r="I744" s="167">
        <f>IFERROR(__xludf.DUMMYFUNCTION("""COMPUTED_VALUE"""),-7.955555555555556)</f>
        <v>-7.955555556</v>
      </c>
      <c r="J744" s="168"/>
      <c r="K744" s="168"/>
      <c r="L744" s="207"/>
      <c r="M744" s="207"/>
    </row>
    <row r="745">
      <c r="A745" s="203" t="str">
        <f>IFERROR(__xludf.DUMMYFUNCTION("""COMPUTED_VALUE"""),"Medal of Honor: Airborne")</f>
        <v>Medal of Honor: Airborne</v>
      </c>
      <c r="B745" s="204" t="str">
        <f>IFERROR(__xludf.DUMMYFUNCTION("""COMPUTED_VALUE"""),"XB360/OG Xbox")</f>
        <v>XB360/OG Xbox</v>
      </c>
      <c r="C745" s="205"/>
      <c r="D745" s="205" t="str">
        <f>IFERROR(__xludf.DUMMYFUNCTION("""COMPUTED_VALUE"""),"GwG Permanent")</f>
        <v>GwG Permanent</v>
      </c>
      <c r="E745" s="166">
        <f>IFERROR(__xludf.DUMMYFUNCTION("""COMPUTED_VALUE"""),43024.0)</f>
        <v>43024</v>
      </c>
      <c r="F745" s="206">
        <f>IFERROR(__xludf.DUMMYFUNCTION("""COMPUTED_VALUE"""),43039.0)</f>
        <v>43039</v>
      </c>
      <c r="G745" s="167">
        <f>IFERROR(__xludf.DUMMYFUNCTION("""COMPUTED_VALUE"""),0.4666666666666667)</f>
        <v>0.4666666667</v>
      </c>
      <c r="H745" s="166"/>
      <c r="I745" s="167">
        <f>IFERROR(__xludf.DUMMYFUNCTION("""COMPUTED_VALUE"""),-7.997222222222222)</f>
        <v>-7.997222222</v>
      </c>
      <c r="J745" s="168"/>
      <c r="K745" s="168"/>
      <c r="L745" s="207"/>
      <c r="M745" s="207"/>
    </row>
    <row r="746">
      <c r="A746" s="203" t="str">
        <f>IFERROR(__xludf.DUMMYFUNCTION("""COMPUTED_VALUE"""),"Rayman 3 HD")</f>
        <v>Rayman 3 HD</v>
      </c>
      <c r="B746" s="204" t="str">
        <f>IFERROR(__xludf.DUMMYFUNCTION("""COMPUTED_VALUE"""),"XB360/OG Xbox")</f>
        <v>XB360/OG Xbox</v>
      </c>
      <c r="C746" s="205"/>
      <c r="D746" s="205" t="str">
        <f>IFERROR(__xludf.DUMMYFUNCTION("""COMPUTED_VALUE"""),"GwG Permanent")</f>
        <v>GwG Permanent</v>
      </c>
      <c r="E746" s="166">
        <f>IFERROR(__xludf.DUMMYFUNCTION("""COMPUTED_VALUE"""),43009.0)</f>
        <v>43009</v>
      </c>
      <c r="F746" s="206">
        <f>IFERROR(__xludf.DUMMYFUNCTION("""COMPUTED_VALUE"""),43023.0)</f>
        <v>43023</v>
      </c>
      <c r="G746" s="167">
        <f>IFERROR(__xludf.DUMMYFUNCTION("""COMPUTED_VALUE"""),0.4666666666666667)</f>
        <v>0.4666666667</v>
      </c>
      <c r="H746" s="166"/>
      <c r="I746" s="167">
        <f>IFERROR(__xludf.DUMMYFUNCTION("""COMPUTED_VALUE"""),-8.03888888888889)</f>
        <v>-8.038888889</v>
      </c>
      <c r="J746" s="168"/>
      <c r="K746" s="168"/>
      <c r="L746" s="207"/>
      <c r="M746" s="207"/>
    </row>
    <row r="747">
      <c r="A747" s="203" t="str">
        <f>IFERROR(__xludf.DUMMYFUNCTION("""COMPUTED_VALUE"""),"Battlefield 3")</f>
        <v>Battlefield 3</v>
      </c>
      <c r="B747" s="204" t="str">
        <f>IFERROR(__xludf.DUMMYFUNCTION("""COMPUTED_VALUE"""),"XB360/OG Xbox")</f>
        <v>XB360/OG Xbox</v>
      </c>
      <c r="C747" s="205"/>
      <c r="D747" s="205" t="str">
        <f>IFERROR(__xludf.DUMMYFUNCTION("""COMPUTED_VALUE"""),"GwG Permanent")</f>
        <v>GwG Permanent</v>
      </c>
      <c r="E747" s="166">
        <f>IFERROR(__xludf.DUMMYFUNCTION("""COMPUTED_VALUE"""),42994.0)</f>
        <v>42994</v>
      </c>
      <c r="F747" s="206">
        <f>IFERROR(__xludf.DUMMYFUNCTION("""COMPUTED_VALUE"""),43008.0)</f>
        <v>43008</v>
      </c>
      <c r="G747" s="167">
        <f>IFERROR(__xludf.DUMMYFUNCTION("""COMPUTED_VALUE"""),0.4666666666666667)</f>
        <v>0.4666666667</v>
      </c>
      <c r="H747" s="166"/>
      <c r="I747" s="167">
        <f>IFERROR(__xludf.DUMMYFUNCTION("""COMPUTED_VALUE"""),-8.080555555555556)</f>
        <v>-8.080555556</v>
      </c>
      <c r="J747" s="168"/>
      <c r="K747" s="168"/>
      <c r="L747" s="207"/>
      <c r="M747" s="207"/>
    </row>
    <row r="748">
      <c r="A748" s="203" t="str">
        <f>IFERROR(__xludf.DUMMYFUNCTION("""COMPUTED_VALUE"""),"Hydro Thunder Hurricane")</f>
        <v>Hydro Thunder Hurricane</v>
      </c>
      <c r="B748" s="204" t="str">
        <f>IFERROR(__xludf.DUMMYFUNCTION("""COMPUTED_VALUE"""),"XB360/OG Xbox")</f>
        <v>XB360/OG Xbox</v>
      </c>
      <c r="C748" s="205"/>
      <c r="D748" s="205" t="str">
        <f>IFERROR(__xludf.DUMMYFUNCTION("""COMPUTED_VALUE"""),"GwG Permanent")</f>
        <v>GwG Permanent</v>
      </c>
      <c r="E748" s="166">
        <f>IFERROR(__xludf.DUMMYFUNCTION("""COMPUTED_VALUE"""),42979.0)</f>
        <v>42979</v>
      </c>
      <c r="F748" s="206">
        <f>IFERROR(__xludf.DUMMYFUNCTION("""COMPUTED_VALUE"""),42993.0)</f>
        <v>42993</v>
      </c>
      <c r="G748" s="167">
        <f>IFERROR(__xludf.DUMMYFUNCTION("""COMPUTED_VALUE"""),0.4666666666666667)</f>
        <v>0.4666666667</v>
      </c>
      <c r="H748" s="166"/>
      <c r="I748" s="167">
        <f>IFERROR(__xludf.DUMMYFUNCTION("""COMPUTED_VALUE"""),-8.122222222222222)</f>
        <v>-8.122222222</v>
      </c>
      <c r="J748" s="168"/>
      <c r="K748" s="168"/>
      <c r="L748" s="207"/>
      <c r="M748" s="207"/>
    </row>
    <row r="749">
      <c r="A749" s="203" t="str">
        <f>IFERROR(__xludf.DUMMYFUNCTION("""COMPUTED_VALUE"""),"Red Faction: Armageddon")</f>
        <v>Red Faction: Armageddon</v>
      </c>
      <c r="B749" s="204" t="str">
        <f>IFERROR(__xludf.DUMMYFUNCTION("""COMPUTED_VALUE"""),"XB360/OG Xbox")</f>
        <v>XB360/OG Xbox</v>
      </c>
      <c r="C749" s="205"/>
      <c r="D749" s="205" t="str">
        <f>IFERROR(__xludf.DUMMYFUNCTION("""COMPUTED_VALUE"""),"GwG Permanent")</f>
        <v>GwG Permanent</v>
      </c>
      <c r="E749" s="166">
        <f>IFERROR(__xludf.DUMMYFUNCTION("""COMPUTED_VALUE"""),42963.0)</f>
        <v>42963</v>
      </c>
      <c r="F749" s="206">
        <f>IFERROR(__xludf.DUMMYFUNCTION("""COMPUTED_VALUE"""),42978.0)</f>
        <v>42978</v>
      </c>
      <c r="G749" s="167">
        <f>IFERROR(__xludf.DUMMYFUNCTION("""COMPUTED_VALUE"""),0.4666666666666667)</f>
        <v>0.4666666667</v>
      </c>
      <c r="H749" s="166"/>
      <c r="I749" s="167">
        <f>IFERROR(__xludf.DUMMYFUNCTION("""COMPUTED_VALUE"""),-8.16388888888889)</f>
        <v>-8.163888889</v>
      </c>
      <c r="J749" s="168"/>
      <c r="K749" s="168"/>
      <c r="L749" s="207"/>
      <c r="M749" s="207"/>
    </row>
    <row r="750">
      <c r="A750" s="203" t="str">
        <f>IFERROR(__xludf.DUMMYFUNCTION("""COMPUTED_VALUE"""),"Bayonetta")</f>
        <v>Bayonetta</v>
      </c>
      <c r="B750" s="204" t="str">
        <f>IFERROR(__xludf.DUMMYFUNCTION("""COMPUTED_VALUE"""),"XB360/OG Xbox")</f>
        <v>XB360/OG Xbox</v>
      </c>
      <c r="C750" s="205"/>
      <c r="D750" s="205" t="str">
        <f>IFERROR(__xludf.DUMMYFUNCTION("""COMPUTED_VALUE"""),"GwG Permanent")</f>
        <v>GwG Permanent</v>
      </c>
      <c r="E750" s="166">
        <f>IFERROR(__xludf.DUMMYFUNCTION("""COMPUTED_VALUE"""),42948.0)</f>
        <v>42948</v>
      </c>
      <c r="F750" s="206">
        <f>IFERROR(__xludf.DUMMYFUNCTION("""COMPUTED_VALUE"""),42962.0)</f>
        <v>42962</v>
      </c>
      <c r="G750" s="167">
        <f>IFERROR(__xludf.DUMMYFUNCTION("""COMPUTED_VALUE"""),0.4666666666666667)</f>
        <v>0.4666666667</v>
      </c>
      <c r="H750" s="166"/>
      <c r="I750" s="167">
        <f>IFERROR(__xludf.DUMMYFUNCTION("""COMPUTED_VALUE"""),-8.205555555555556)</f>
        <v>-8.205555556</v>
      </c>
      <c r="J750" s="168"/>
      <c r="K750" s="168"/>
      <c r="L750" s="207"/>
      <c r="M750" s="207"/>
    </row>
    <row r="751">
      <c r="A751" s="203" t="str">
        <f>IFERROR(__xludf.DUMMYFUNCTION("""COMPUTED_VALUE"""),"LEGO Pirates of the Caribbean: The Video Game")</f>
        <v>LEGO Pirates of the Caribbean: The Video Game</v>
      </c>
      <c r="B751" s="204" t="str">
        <f>IFERROR(__xludf.DUMMYFUNCTION("""COMPUTED_VALUE"""),"XB360/OG Xbox")</f>
        <v>XB360/OG Xbox</v>
      </c>
      <c r="C751" s="205"/>
      <c r="D751" s="205" t="str">
        <f>IFERROR(__xludf.DUMMYFUNCTION("""COMPUTED_VALUE"""),"GwG Permanent")</f>
        <v>GwG Permanent</v>
      </c>
      <c r="E751" s="166">
        <f>IFERROR(__xludf.DUMMYFUNCTION("""COMPUTED_VALUE"""),42932.0)</f>
        <v>42932</v>
      </c>
      <c r="F751" s="206">
        <f>IFERROR(__xludf.DUMMYFUNCTION("""COMPUTED_VALUE"""),42947.0)</f>
        <v>42947</v>
      </c>
      <c r="G751" s="167">
        <f>IFERROR(__xludf.DUMMYFUNCTION("""COMPUTED_VALUE"""),0.4666666666666667)</f>
        <v>0.4666666667</v>
      </c>
      <c r="H751" s="166"/>
      <c r="I751" s="167">
        <f>IFERROR(__xludf.DUMMYFUNCTION("""COMPUTED_VALUE"""),-8.247222222222222)</f>
        <v>-8.247222222</v>
      </c>
      <c r="J751" s="168"/>
      <c r="K751" s="168"/>
      <c r="L751" s="207"/>
      <c r="M751" s="207"/>
    </row>
    <row r="752">
      <c r="A752" s="203" t="str">
        <f>IFERROR(__xludf.DUMMYFUNCTION("""COMPUTED_VALUE"""),"Kane &amp; Lynch 2: Dog Days")</f>
        <v>Kane &amp; Lynch 2: Dog Days</v>
      </c>
      <c r="B752" s="204" t="str">
        <f>IFERROR(__xludf.DUMMYFUNCTION("""COMPUTED_VALUE"""),"XB360/OG Xbox")</f>
        <v>XB360/OG Xbox</v>
      </c>
      <c r="C752" s="205"/>
      <c r="D752" s="205" t="str">
        <f>IFERROR(__xludf.DUMMYFUNCTION("""COMPUTED_VALUE"""),"GwG Permanent")</f>
        <v>GwG Permanent</v>
      </c>
      <c r="E752" s="166">
        <f>IFERROR(__xludf.DUMMYFUNCTION("""COMPUTED_VALUE"""),42917.0)</f>
        <v>42917</v>
      </c>
      <c r="F752" s="206">
        <f>IFERROR(__xludf.DUMMYFUNCTION("""COMPUTED_VALUE"""),42931.0)</f>
        <v>42931</v>
      </c>
      <c r="G752" s="167">
        <f>IFERROR(__xludf.DUMMYFUNCTION("""COMPUTED_VALUE"""),0.4666666666666667)</f>
        <v>0.4666666667</v>
      </c>
      <c r="H752" s="166"/>
      <c r="I752" s="167">
        <f>IFERROR(__xludf.DUMMYFUNCTION("""COMPUTED_VALUE"""),-8.28888888888889)</f>
        <v>-8.288888889</v>
      </c>
      <c r="J752" s="168"/>
      <c r="K752" s="168"/>
      <c r="L752" s="207"/>
      <c r="M752" s="207"/>
    </row>
    <row r="753">
      <c r="A753" s="203" t="str">
        <f>IFERROR(__xludf.DUMMYFUNCTION("""COMPUTED_VALUE"""),"Dragon Age: Origins")</f>
        <v>Dragon Age: Origins</v>
      </c>
      <c r="B753" s="204" t="str">
        <f>IFERROR(__xludf.DUMMYFUNCTION("""COMPUTED_VALUE"""),"XB360/OG Xbox")</f>
        <v>XB360/OG Xbox</v>
      </c>
      <c r="C753" s="205"/>
      <c r="D753" s="205" t="str">
        <f>IFERROR(__xludf.DUMMYFUNCTION("""COMPUTED_VALUE"""),"GwG Permanent")</f>
        <v>GwG Permanent</v>
      </c>
      <c r="E753" s="166">
        <f>IFERROR(__xludf.DUMMYFUNCTION("""COMPUTED_VALUE"""),42902.0)</f>
        <v>42902</v>
      </c>
      <c r="F753" s="206">
        <f>IFERROR(__xludf.DUMMYFUNCTION("""COMPUTED_VALUE"""),42916.0)</f>
        <v>42916</v>
      </c>
      <c r="G753" s="167">
        <f>IFERROR(__xludf.DUMMYFUNCTION("""COMPUTED_VALUE"""),0.4666666666666667)</f>
        <v>0.4666666667</v>
      </c>
      <c r="H753" s="166"/>
      <c r="I753" s="167">
        <f>IFERROR(__xludf.DUMMYFUNCTION("""COMPUTED_VALUE"""),-8.330555555555556)</f>
        <v>-8.330555556</v>
      </c>
      <c r="J753" s="168"/>
      <c r="K753" s="168"/>
      <c r="L753" s="207"/>
      <c r="M753" s="207"/>
    </row>
    <row r="754">
      <c r="A754" s="203" t="str">
        <f>IFERROR(__xludf.DUMMYFUNCTION("""COMPUTED_VALUE"""),"Assassin's Creed III")</f>
        <v>Assassin's Creed III</v>
      </c>
      <c r="B754" s="204" t="str">
        <f>IFERROR(__xludf.DUMMYFUNCTION("""COMPUTED_VALUE"""),"XB360/OG Xbox")</f>
        <v>XB360/OG Xbox</v>
      </c>
      <c r="C754" s="205"/>
      <c r="D754" s="205" t="str">
        <f>IFERROR(__xludf.DUMMYFUNCTION("""COMPUTED_VALUE"""),"GwG Permanent")</f>
        <v>GwG Permanent</v>
      </c>
      <c r="E754" s="166">
        <f>IFERROR(__xludf.DUMMYFUNCTION("""COMPUTED_VALUE"""),42887.0)</f>
        <v>42887</v>
      </c>
      <c r="F754" s="206">
        <f>IFERROR(__xludf.DUMMYFUNCTION("""COMPUTED_VALUE"""),42901.0)</f>
        <v>42901</v>
      </c>
      <c r="G754" s="167">
        <f>IFERROR(__xludf.DUMMYFUNCTION("""COMPUTED_VALUE"""),0.4666666666666667)</f>
        <v>0.4666666667</v>
      </c>
      <c r="H754" s="166"/>
      <c r="I754" s="167">
        <f>IFERROR(__xludf.DUMMYFUNCTION("""COMPUTED_VALUE"""),-8.372222222222222)</f>
        <v>-8.372222222</v>
      </c>
      <c r="J754" s="168"/>
      <c r="K754" s="168"/>
      <c r="L754" s="207"/>
      <c r="M754" s="207"/>
    </row>
    <row r="755">
      <c r="A755" s="203" t="str">
        <f>IFERROR(__xludf.DUMMYFUNCTION("""COMPUTED_VALUE"""),"Lego Star Wars: The Complete Saga")</f>
        <v>Lego Star Wars: The Complete Saga</v>
      </c>
      <c r="B755" s="204" t="str">
        <f>IFERROR(__xludf.DUMMYFUNCTION("""COMPUTED_VALUE"""),"XB360/OG Xbox")</f>
        <v>XB360/OG Xbox</v>
      </c>
      <c r="C755" s="205"/>
      <c r="D755" s="205" t="str">
        <f>IFERROR(__xludf.DUMMYFUNCTION("""COMPUTED_VALUE"""),"GwG Permanent")</f>
        <v>GwG Permanent</v>
      </c>
      <c r="E755" s="166">
        <f>IFERROR(__xludf.DUMMYFUNCTION("""COMPUTED_VALUE"""),42871.0)</f>
        <v>42871</v>
      </c>
      <c r="F755" s="206">
        <f>IFERROR(__xludf.DUMMYFUNCTION("""COMPUTED_VALUE"""),42886.0)</f>
        <v>42886</v>
      </c>
      <c r="G755" s="167">
        <f>IFERROR(__xludf.DUMMYFUNCTION("""COMPUTED_VALUE"""),0.4666666666666667)</f>
        <v>0.4666666667</v>
      </c>
      <c r="H755" s="166"/>
      <c r="I755" s="167">
        <f>IFERROR(__xludf.DUMMYFUNCTION("""COMPUTED_VALUE"""),-8.41388888888889)</f>
        <v>-8.413888889</v>
      </c>
      <c r="J755" s="168"/>
      <c r="K755" s="168"/>
      <c r="L755" s="207"/>
      <c r="M755" s="207"/>
    </row>
    <row r="756">
      <c r="A756" s="203" t="str">
        <f>IFERROR(__xludf.DUMMYFUNCTION("""COMPUTED_VALUE"""),"Star Wars: The Force Unleashed II")</f>
        <v>Star Wars: The Force Unleashed II</v>
      </c>
      <c r="B756" s="204" t="str">
        <f>IFERROR(__xludf.DUMMYFUNCTION("""COMPUTED_VALUE"""),"XB360/OG Xbox")</f>
        <v>XB360/OG Xbox</v>
      </c>
      <c r="C756" s="205"/>
      <c r="D756" s="205" t="str">
        <f>IFERROR(__xludf.DUMMYFUNCTION("""COMPUTED_VALUE"""),"GwG Permanent")</f>
        <v>GwG Permanent</v>
      </c>
      <c r="E756" s="166">
        <f>IFERROR(__xludf.DUMMYFUNCTION("""COMPUTED_VALUE"""),42856.0)</f>
        <v>42856</v>
      </c>
      <c r="F756" s="206">
        <f>IFERROR(__xludf.DUMMYFUNCTION("""COMPUTED_VALUE"""),42870.0)</f>
        <v>42870</v>
      </c>
      <c r="G756" s="167">
        <f>IFERROR(__xludf.DUMMYFUNCTION("""COMPUTED_VALUE"""),0.4666666666666667)</f>
        <v>0.4666666667</v>
      </c>
      <c r="H756" s="166"/>
      <c r="I756" s="167">
        <f>IFERROR(__xludf.DUMMYFUNCTION("""COMPUTED_VALUE"""),-8.455555555555556)</f>
        <v>-8.455555556</v>
      </c>
      <c r="J756" s="168"/>
      <c r="K756" s="168"/>
      <c r="L756" s="207"/>
      <c r="M756" s="207"/>
    </row>
    <row r="757">
      <c r="A757" s="203" t="str">
        <f>IFERROR(__xludf.DUMMYFUNCTION("""COMPUTED_VALUE"""),"Assassin's Creed Revelations")</f>
        <v>Assassin's Creed Revelations</v>
      </c>
      <c r="B757" s="204" t="str">
        <f>IFERROR(__xludf.DUMMYFUNCTION("""COMPUTED_VALUE"""),"XB360/OG Xbox")</f>
        <v>XB360/OG Xbox</v>
      </c>
      <c r="C757" s="205"/>
      <c r="D757" s="205" t="str">
        <f>IFERROR(__xludf.DUMMYFUNCTION("""COMPUTED_VALUE"""),"GwG Permanent")</f>
        <v>GwG Permanent</v>
      </c>
      <c r="E757" s="166">
        <f>IFERROR(__xludf.DUMMYFUNCTION("""COMPUTED_VALUE"""),42841.0)</f>
        <v>42841</v>
      </c>
      <c r="F757" s="206">
        <f>IFERROR(__xludf.DUMMYFUNCTION("""COMPUTED_VALUE"""),42855.0)</f>
        <v>42855</v>
      </c>
      <c r="G757" s="167">
        <f>IFERROR(__xludf.DUMMYFUNCTION("""COMPUTED_VALUE"""),0.4666666666666667)</f>
        <v>0.4666666667</v>
      </c>
      <c r="H757" s="166"/>
      <c r="I757" s="167">
        <f>IFERROR(__xludf.DUMMYFUNCTION("""COMPUTED_VALUE"""),-8.497222222222222)</f>
        <v>-8.497222222</v>
      </c>
      <c r="J757" s="168"/>
      <c r="K757" s="168"/>
      <c r="L757" s="207"/>
      <c r="M757" s="207"/>
    </row>
    <row r="758">
      <c r="A758" s="203" t="str">
        <f>IFERROR(__xludf.DUMMYFUNCTION("""COMPUTED_VALUE"""),"Darksiders")</f>
        <v>Darksiders</v>
      </c>
      <c r="B758" s="204" t="str">
        <f>IFERROR(__xludf.DUMMYFUNCTION("""COMPUTED_VALUE"""),"XB360/OG Xbox")</f>
        <v>XB360/OG Xbox</v>
      </c>
      <c r="C758" s="205"/>
      <c r="D758" s="205" t="str">
        <f>IFERROR(__xludf.DUMMYFUNCTION("""COMPUTED_VALUE"""),"GwG Permanent")</f>
        <v>GwG Permanent</v>
      </c>
      <c r="E758" s="166">
        <f>IFERROR(__xludf.DUMMYFUNCTION("""COMPUTED_VALUE"""),42826.0)</f>
        <v>42826</v>
      </c>
      <c r="F758" s="206">
        <f>IFERROR(__xludf.DUMMYFUNCTION("""COMPUTED_VALUE"""),42840.0)</f>
        <v>42840</v>
      </c>
      <c r="G758" s="167">
        <f>IFERROR(__xludf.DUMMYFUNCTION("""COMPUTED_VALUE"""),0.4666666666666667)</f>
        <v>0.4666666667</v>
      </c>
      <c r="H758" s="166"/>
      <c r="I758" s="167">
        <f>IFERROR(__xludf.DUMMYFUNCTION("""COMPUTED_VALUE"""),-8.53888888888889)</f>
        <v>-8.538888889</v>
      </c>
      <c r="J758" s="168"/>
      <c r="K758" s="168"/>
      <c r="L758" s="207"/>
      <c r="M758" s="207" t="str">
        <f>IFERROR(__xludf.DUMMYFUNCTION("""COMPUTED_VALUE"""),"Enhanced")</f>
        <v>Enhanced</v>
      </c>
    </row>
    <row r="759">
      <c r="A759" s="203" t="str">
        <f>IFERROR(__xludf.DUMMYFUNCTION("""COMPUTED_VALUE"""),"Heavy Weapon")</f>
        <v>Heavy Weapon</v>
      </c>
      <c r="B759" s="204" t="str">
        <f>IFERROR(__xludf.DUMMYFUNCTION("""COMPUTED_VALUE"""),"XB360/OG Xbox")</f>
        <v>XB360/OG Xbox</v>
      </c>
      <c r="C759" s="205"/>
      <c r="D759" s="205" t="str">
        <f>IFERROR(__xludf.DUMMYFUNCTION("""COMPUTED_VALUE"""),"GwG Permanent")</f>
        <v>GwG Permanent</v>
      </c>
      <c r="E759" s="166">
        <f>IFERROR(__xludf.DUMMYFUNCTION("""COMPUTED_VALUE"""),42810.0)</f>
        <v>42810</v>
      </c>
      <c r="F759" s="206">
        <f>IFERROR(__xludf.DUMMYFUNCTION("""COMPUTED_VALUE"""),42825.0)</f>
        <v>42825</v>
      </c>
      <c r="G759" s="167">
        <f>IFERROR(__xludf.DUMMYFUNCTION("""COMPUTED_VALUE"""),0.4666666666666667)</f>
        <v>0.4666666667</v>
      </c>
      <c r="H759" s="166"/>
      <c r="I759" s="167">
        <f>IFERROR(__xludf.DUMMYFUNCTION("""COMPUTED_VALUE"""),-8.580555555555556)</f>
        <v>-8.580555556</v>
      </c>
      <c r="J759" s="168"/>
      <c r="K759" s="168"/>
      <c r="L759" s="207"/>
      <c r="M759" s="207"/>
    </row>
    <row r="760">
      <c r="A760" s="203" t="str">
        <f>IFERROR(__xludf.DUMMYFUNCTION("""COMPUTED_VALUE"""),"Borderlands 2")</f>
        <v>Borderlands 2</v>
      </c>
      <c r="B760" s="204" t="str">
        <f>IFERROR(__xludf.DUMMYFUNCTION("""COMPUTED_VALUE"""),"XB360/OG Xbox")</f>
        <v>XB360/OG Xbox</v>
      </c>
      <c r="C760" s="205"/>
      <c r="D760" s="205" t="str">
        <f>IFERROR(__xludf.DUMMYFUNCTION("""COMPUTED_VALUE"""),"GwG Permanent")</f>
        <v>GwG Permanent</v>
      </c>
      <c r="E760" s="166">
        <f>IFERROR(__xludf.DUMMYFUNCTION("""COMPUTED_VALUE"""),42795.0)</f>
        <v>42795</v>
      </c>
      <c r="F760" s="206">
        <f>IFERROR(__xludf.DUMMYFUNCTION("""COMPUTED_VALUE"""),42809.0)</f>
        <v>42809</v>
      </c>
      <c r="G760" s="167">
        <f>IFERROR(__xludf.DUMMYFUNCTION("""COMPUTED_VALUE"""),0.4666666666666667)</f>
        <v>0.4666666667</v>
      </c>
      <c r="H760" s="166"/>
      <c r="I760" s="167">
        <f>IFERROR(__xludf.DUMMYFUNCTION("""COMPUTED_VALUE"""),-8.622222222222222)</f>
        <v>-8.622222222</v>
      </c>
      <c r="J760" s="168"/>
      <c r="K760" s="168"/>
      <c r="L760" s="207"/>
      <c r="M760" s="207"/>
    </row>
    <row r="761">
      <c r="A761" s="203" t="str">
        <f>IFERROR(__xludf.DUMMYFUNCTION("""COMPUTED_VALUE"""),"Star Wars: The Force Unleashed")</f>
        <v>Star Wars: The Force Unleashed</v>
      </c>
      <c r="B761" s="204" t="str">
        <f>IFERROR(__xludf.DUMMYFUNCTION("""COMPUTED_VALUE"""),"XB360/OG Xbox")</f>
        <v>XB360/OG Xbox</v>
      </c>
      <c r="C761" s="205"/>
      <c r="D761" s="205" t="str">
        <f>IFERROR(__xludf.DUMMYFUNCTION("""COMPUTED_VALUE"""),"GwG Permanent")</f>
        <v>GwG Permanent</v>
      </c>
      <c r="E761" s="166">
        <f>IFERROR(__xludf.DUMMYFUNCTION("""COMPUTED_VALUE"""),42782.0)</f>
        <v>42782</v>
      </c>
      <c r="F761" s="206">
        <f>IFERROR(__xludf.DUMMYFUNCTION("""COMPUTED_VALUE"""),42794.0)</f>
        <v>42794</v>
      </c>
      <c r="G761" s="167">
        <f>IFERROR(__xludf.DUMMYFUNCTION("""COMPUTED_VALUE"""),0.4)</f>
        <v>0.4</v>
      </c>
      <c r="H761" s="166"/>
      <c r="I761" s="167">
        <f>IFERROR(__xludf.DUMMYFUNCTION("""COMPUTED_VALUE"""),-8.66388888888889)</f>
        <v>-8.663888889</v>
      </c>
      <c r="J761" s="168"/>
      <c r="K761" s="168"/>
      <c r="L761" s="207"/>
      <c r="M761" s="207" t="str">
        <f>IFERROR(__xludf.DUMMYFUNCTION("""COMPUTED_VALUE"""),"Enhanced")</f>
        <v>Enhanced</v>
      </c>
    </row>
    <row r="762">
      <c r="A762" s="203" t="str">
        <f>IFERROR(__xludf.DUMMYFUNCTION("""COMPUTED_VALUE"""),"Monkey Island 2 Special Edition: LeChuck's Revenge")</f>
        <v>Monkey Island 2 Special Edition: LeChuck's Revenge</v>
      </c>
      <c r="B762" s="204" t="str">
        <f>IFERROR(__xludf.DUMMYFUNCTION("""COMPUTED_VALUE"""),"XB360/OG Xbox")</f>
        <v>XB360/OG Xbox</v>
      </c>
      <c r="C762" s="205"/>
      <c r="D762" s="205" t="str">
        <f>IFERROR(__xludf.DUMMYFUNCTION("""COMPUTED_VALUE"""),"GwG Permanent")</f>
        <v>GwG Permanent</v>
      </c>
      <c r="E762" s="166">
        <f>IFERROR(__xludf.DUMMYFUNCTION("""COMPUTED_VALUE"""),42767.0)</f>
        <v>42767</v>
      </c>
      <c r="F762" s="206">
        <f>IFERROR(__xludf.DUMMYFUNCTION("""COMPUTED_VALUE"""),42781.0)</f>
        <v>42781</v>
      </c>
      <c r="G762" s="167">
        <f>IFERROR(__xludf.DUMMYFUNCTION("""COMPUTED_VALUE"""),0.4666666666666667)</f>
        <v>0.4666666667</v>
      </c>
      <c r="H762" s="166"/>
      <c r="I762" s="167">
        <f>IFERROR(__xludf.DUMMYFUNCTION("""COMPUTED_VALUE"""),-8.705555555555556)</f>
        <v>-8.705555556</v>
      </c>
      <c r="J762" s="168"/>
      <c r="K762" s="168"/>
      <c r="L762" s="207"/>
      <c r="M762" s="207"/>
    </row>
    <row r="763">
      <c r="A763" s="203" t="str">
        <f>IFERROR(__xludf.DUMMYFUNCTION("""COMPUTED_VALUE"""),"Rayman Origins")</f>
        <v>Rayman Origins</v>
      </c>
      <c r="B763" s="204" t="str">
        <f>IFERROR(__xludf.DUMMYFUNCTION("""COMPUTED_VALUE"""),"XB360/OG Xbox")</f>
        <v>XB360/OG Xbox</v>
      </c>
      <c r="C763" s="205"/>
      <c r="D763" s="205" t="str">
        <f>IFERROR(__xludf.DUMMYFUNCTION("""COMPUTED_VALUE"""),"GwG Permanent")</f>
        <v>GwG Permanent</v>
      </c>
      <c r="E763" s="166">
        <f>IFERROR(__xludf.DUMMYFUNCTION("""COMPUTED_VALUE"""),42751.0)</f>
        <v>42751</v>
      </c>
      <c r="F763" s="206">
        <f>IFERROR(__xludf.DUMMYFUNCTION("""COMPUTED_VALUE"""),42766.0)</f>
        <v>42766</v>
      </c>
      <c r="G763" s="167">
        <f>IFERROR(__xludf.DUMMYFUNCTION("""COMPUTED_VALUE"""),0.4666666666666667)</f>
        <v>0.4666666667</v>
      </c>
      <c r="H763" s="166"/>
      <c r="I763" s="167">
        <f>IFERROR(__xludf.DUMMYFUNCTION("""COMPUTED_VALUE"""),-8.747222222222222)</f>
        <v>-8.747222222</v>
      </c>
      <c r="J763" s="168"/>
      <c r="K763" s="168"/>
      <c r="L763" s="207"/>
      <c r="M763" s="207"/>
    </row>
    <row r="764">
      <c r="A764" s="203" t="str">
        <f>IFERROR(__xludf.DUMMYFUNCTION("""COMPUTED_VALUE"""),"The Cave")</f>
        <v>The Cave</v>
      </c>
      <c r="B764" s="204" t="str">
        <f>IFERROR(__xludf.DUMMYFUNCTION("""COMPUTED_VALUE"""),"XB360/OG Xbox")</f>
        <v>XB360/OG Xbox</v>
      </c>
      <c r="C764" s="205"/>
      <c r="D764" s="205" t="str">
        <f>IFERROR(__xludf.DUMMYFUNCTION("""COMPUTED_VALUE"""),"GwG Permanent")</f>
        <v>GwG Permanent</v>
      </c>
      <c r="E764" s="166">
        <f>IFERROR(__xludf.DUMMYFUNCTION("""COMPUTED_VALUE"""),42736.0)</f>
        <v>42736</v>
      </c>
      <c r="F764" s="206">
        <f>IFERROR(__xludf.DUMMYFUNCTION("""COMPUTED_VALUE"""),42750.0)</f>
        <v>42750</v>
      </c>
      <c r="G764" s="167">
        <f>IFERROR(__xludf.DUMMYFUNCTION("""COMPUTED_VALUE"""),0.4666666666666667)</f>
        <v>0.4666666667</v>
      </c>
      <c r="H764" s="166"/>
      <c r="I764" s="167">
        <f>IFERROR(__xludf.DUMMYFUNCTION("""COMPUTED_VALUE"""),-8.78888888888889)</f>
        <v>-8.788888889</v>
      </c>
      <c r="J764" s="168"/>
      <c r="K764" s="168"/>
      <c r="L764" s="207"/>
      <c r="M764" s="207"/>
    </row>
    <row r="765">
      <c r="A765" s="203" t="str">
        <f>IFERROR(__xludf.DUMMYFUNCTION("""COMPUTED_VALUE"""),"Burnout Paradise")</f>
        <v>Burnout Paradise</v>
      </c>
      <c r="B765" s="204" t="str">
        <f>IFERROR(__xludf.DUMMYFUNCTION("""COMPUTED_VALUE"""),"XB360/OG Xbox")</f>
        <v>XB360/OG Xbox</v>
      </c>
      <c r="C765" s="205"/>
      <c r="D765" s="205" t="str">
        <f>IFERROR(__xludf.DUMMYFUNCTION("""COMPUTED_VALUE"""),"GwG Permanent")</f>
        <v>GwG Permanent</v>
      </c>
      <c r="E765" s="166">
        <f>IFERROR(__xludf.DUMMYFUNCTION("""COMPUTED_VALUE"""),42720.0)</f>
        <v>42720</v>
      </c>
      <c r="F765" s="206">
        <f>IFERROR(__xludf.DUMMYFUNCTION("""COMPUTED_VALUE"""),42735.0)</f>
        <v>42735</v>
      </c>
      <c r="G765" s="167">
        <f>IFERROR(__xludf.DUMMYFUNCTION("""COMPUTED_VALUE"""),0.4666666666666667)</f>
        <v>0.4666666667</v>
      </c>
      <c r="H765" s="166"/>
      <c r="I765" s="167">
        <f>IFERROR(__xludf.DUMMYFUNCTION("""COMPUTED_VALUE"""),-8.830555555555556)</f>
        <v>-8.830555556</v>
      </c>
      <c r="J765" s="168"/>
      <c r="K765" s="168"/>
      <c r="L765" s="207"/>
      <c r="M765" s="207"/>
    </row>
    <row r="766">
      <c r="A766" s="203" t="str">
        <f>IFERROR(__xludf.DUMMYFUNCTION("""COMPUTED_VALUE"""),"Outland")</f>
        <v>Outland</v>
      </c>
      <c r="B766" s="204" t="str">
        <f>IFERROR(__xludf.DUMMYFUNCTION("""COMPUTED_VALUE"""),"XB360/OG Xbox")</f>
        <v>XB360/OG Xbox</v>
      </c>
      <c r="C766" s="205"/>
      <c r="D766" s="205" t="str">
        <f>IFERROR(__xludf.DUMMYFUNCTION("""COMPUTED_VALUE"""),"GwG Permanent")</f>
        <v>GwG Permanent</v>
      </c>
      <c r="E766" s="166">
        <f>IFERROR(__xludf.DUMMYFUNCTION("""COMPUTED_VALUE"""),42705.0)</f>
        <v>42705</v>
      </c>
      <c r="F766" s="206">
        <f>IFERROR(__xludf.DUMMYFUNCTION("""COMPUTED_VALUE"""),42719.0)</f>
        <v>42719</v>
      </c>
      <c r="G766" s="167">
        <f>IFERROR(__xludf.DUMMYFUNCTION("""COMPUTED_VALUE"""),0.4666666666666667)</f>
        <v>0.4666666667</v>
      </c>
      <c r="H766" s="166"/>
      <c r="I766" s="167">
        <f>IFERROR(__xludf.DUMMYFUNCTION("""COMPUTED_VALUE"""),-8.872222222222222)</f>
        <v>-8.872222222</v>
      </c>
      <c r="J766" s="168"/>
      <c r="K766" s="168"/>
      <c r="L766" s="207"/>
      <c r="M766" s="207"/>
    </row>
    <row r="767">
      <c r="A767" s="203" t="str">
        <f>IFERROR(__xludf.DUMMYFUNCTION("""COMPUTED_VALUE"""),"Far Cry 3: Blood Dragon")</f>
        <v>Far Cry 3: Blood Dragon</v>
      </c>
      <c r="B767" s="204" t="str">
        <f>IFERROR(__xludf.DUMMYFUNCTION("""COMPUTED_VALUE"""),"XB360/OG Xbox")</f>
        <v>XB360/OG Xbox</v>
      </c>
      <c r="C767" s="205"/>
      <c r="D767" s="205" t="str">
        <f>IFERROR(__xludf.DUMMYFUNCTION("""COMPUTED_VALUE"""),"GwG Permanent")</f>
        <v>GwG Permanent</v>
      </c>
      <c r="E767" s="166">
        <f>IFERROR(__xludf.DUMMYFUNCTION("""COMPUTED_VALUE"""),42690.0)</f>
        <v>42690</v>
      </c>
      <c r="F767" s="206">
        <f>IFERROR(__xludf.DUMMYFUNCTION("""COMPUTED_VALUE"""),42704.0)</f>
        <v>42704</v>
      </c>
      <c r="G767" s="167">
        <f>IFERROR(__xludf.DUMMYFUNCTION("""COMPUTED_VALUE"""),0.4666666666666667)</f>
        <v>0.4666666667</v>
      </c>
      <c r="H767" s="166"/>
      <c r="I767" s="167">
        <f>IFERROR(__xludf.DUMMYFUNCTION("""COMPUTED_VALUE"""),-8.91388888888889)</f>
        <v>-8.913888889</v>
      </c>
      <c r="J767" s="168"/>
      <c r="K767" s="168"/>
      <c r="L767" s="207"/>
      <c r="M767" s="207"/>
    </row>
    <row r="768">
      <c r="A768" s="203" t="str">
        <f>IFERROR(__xludf.DUMMYFUNCTION("""COMPUTED_VALUE"""),"The Secret of Monkey Island: Special Edition")</f>
        <v>The Secret of Monkey Island: Special Edition</v>
      </c>
      <c r="B768" s="204" t="str">
        <f>IFERROR(__xludf.DUMMYFUNCTION("""COMPUTED_VALUE"""),"XB360/OG Xbox")</f>
        <v>XB360/OG Xbox</v>
      </c>
      <c r="C768" s="205"/>
      <c r="D768" s="205" t="str">
        <f>IFERROR(__xludf.DUMMYFUNCTION("""COMPUTED_VALUE"""),"GwG Permanent")</f>
        <v>GwG Permanent</v>
      </c>
      <c r="E768" s="166">
        <f>IFERROR(__xludf.DUMMYFUNCTION("""COMPUTED_VALUE"""),42675.0)</f>
        <v>42675</v>
      </c>
      <c r="F768" s="206">
        <f>IFERROR(__xludf.DUMMYFUNCTION("""COMPUTED_VALUE"""),42689.0)</f>
        <v>42689</v>
      </c>
      <c r="G768" s="167">
        <f>IFERROR(__xludf.DUMMYFUNCTION("""COMPUTED_VALUE"""),0.4666666666666667)</f>
        <v>0.4666666667</v>
      </c>
      <c r="H768" s="166"/>
      <c r="I768" s="167">
        <f>IFERROR(__xludf.DUMMYFUNCTION("""COMPUTED_VALUE"""),-8.955555555555556)</f>
        <v>-8.955555556</v>
      </c>
      <c r="J768" s="168"/>
      <c r="K768" s="168"/>
      <c r="L768" s="207"/>
      <c r="M768" s="207"/>
    </row>
    <row r="769">
      <c r="A769" s="203" t="str">
        <f>IFERROR(__xludf.DUMMYFUNCTION("""COMPUTED_VALUE"""),"I Am Alive")</f>
        <v>I Am Alive</v>
      </c>
      <c r="B769" s="204" t="str">
        <f>IFERROR(__xludf.DUMMYFUNCTION("""COMPUTED_VALUE"""),"XB360/OG Xbox")</f>
        <v>XB360/OG Xbox</v>
      </c>
      <c r="C769" s="205"/>
      <c r="D769" s="205" t="str">
        <f>IFERROR(__xludf.DUMMYFUNCTION("""COMPUTED_VALUE"""),"GwG Permanent")</f>
        <v>GwG Permanent</v>
      </c>
      <c r="E769" s="166">
        <f>IFERROR(__xludf.DUMMYFUNCTION("""COMPUTED_VALUE"""),42659.0)</f>
        <v>42659</v>
      </c>
      <c r="F769" s="206">
        <f>IFERROR(__xludf.DUMMYFUNCTION("""COMPUTED_VALUE"""),42674.0)</f>
        <v>42674</v>
      </c>
      <c r="G769" s="167">
        <f>IFERROR(__xludf.DUMMYFUNCTION("""COMPUTED_VALUE"""),0.4666666666666667)</f>
        <v>0.4666666667</v>
      </c>
      <c r="H769" s="166"/>
      <c r="I769" s="167">
        <f>IFERROR(__xludf.DUMMYFUNCTION("""COMPUTED_VALUE"""),-8.997222222222222)</f>
        <v>-8.997222222</v>
      </c>
      <c r="J769" s="168"/>
      <c r="K769" s="168"/>
      <c r="L769" s="207"/>
      <c r="M769" s="207"/>
    </row>
    <row r="770">
      <c r="A770" s="203" t="str">
        <f>IFERROR(__xludf.DUMMYFUNCTION("""COMPUTED_VALUE"""),"MX vs. ATV Reflex")</f>
        <v>MX vs. ATV Reflex</v>
      </c>
      <c r="B770" s="204" t="str">
        <f>IFERROR(__xludf.DUMMYFUNCTION("""COMPUTED_VALUE"""),"XB360/OG Xbox")</f>
        <v>XB360/OG Xbox</v>
      </c>
      <c r="C770" s="205"/>
      <c r="D770" s="205" t="str">
        <f>IFERROR(__xludf.DUMMYFUNCTION("""COMPUTED_VALUE"""),"GwG Permanent")</f>
        <v>GwG Permanent</v>
      </c>
      <c r="E770" s="166">
        <f>IFERROR(__xludf.DUMMYFUNCTION("""COMPUTED_VALUE"""),42644.0)</f>
        <v>42644</v>
      </c>
      <c r="F770" s="206">
        <f>IFERROR(__xludf.DUMMYFUNCTION("""COMPUTED_VALUE"""),42658.0)</f>
        <v>42658</v>
      </c>
      <c r="G770" s="167">
        <f>IFERROR(__xludf.DUMMYFUNCTION("""COMPUTED_VALUE"""),0.4666666666666667)</f>
        <v>0.4666666667</v>
      </c>
      <c r="H770" s="166"/>
      <c r="I770" s="167">
        <f>IFERROR(__xludf.DUMMYFUNCTION("""COMPUTED_VALUE"""),-9.03888888888889)</f>
        <v>-9.038888889</v>
      </c>
      <c r="J770" s="168"/>
      <c r="K770" s="168"/>
      <c r="L770" s="207"/>
      <c r="M770" s="207"/>
    </row>
    <row r="771">
      <c r="A771" s="203" t="str">
        <f>IFERROR(__xludf.DUMMYFUNCTION("""COMPUTED_VALUE"""),"Mirror's Edge")</f>
        <v>Mirror's Edge</v>
      </c>
      <c r="B771" s="204" t="str">
        <f>IFERROR(__xludf.DUMMYFUNCTION("""COMPUTED_VALUE"""),"XB360/OG Xbox")</f>
        <v>XB360/OG Xbox</v>
      </c>
      <c r="C771" s="205"/>
      <c r="D771" s="205" t="str">
        <f>IFERROR(__xludf.DUMMYFUNCTION("""COMPUTED_VALUE"""),"GwG Permanent")</f>
        <v>GwG Permanent</v>
      </c>
      <c r="E771" s="166">
        <f>IFERROR(__xludf.DUMMYFUNCTION("""COMPUTED_VALUE"""),42629.0)</f>
        <v>42629</v>
      </c>
      <c r="F771" s="206">
        <f>IFERROR(__xludf.DUMMYFUNCTION("""COMPUTED_VALUE"""),42643.0)</f>
        <v>42643</v>
      </c>
      <c r="G771" s="167">
        <f>IFERROR(__xludf.DUMMYFUNCTION("""COMPUTED_VALUE"""),0.4666666666666667)</f>
        <v>0.4666666667</v>
      </c>
      <c r="H771" s="166"/>
      <c r="I771" s="167">
        <f>IFERROR(__xludf.DUMMYFUNCTION("""COMPUTED_VALUE"""),-9.080555555555556)</f>
        <v>-9.080555556</v>
      </c>
      <c r="J771" s="168"/>
      <c r="K771" s="168"/>
      <c r="L771" s="207"/>
      <c r="M771" s="207" t="str">
        <f>IFERROR(__xludf.DUMMYFUNCTION("""COMPUTED_VALUE"""),"Enhanced")</f>
        <v>Enhanced</v>
      </c>
    </row>
    <row r="772">
      <c r="A772" s="203" t="str">
        <f>IFERROR(__xludf.DUMMYFUNCTION("""COMPUTED_VALUE"""),"Forza Horizon")</f>
        <v>Forza Horizon</v>
      </c>
      <c r="B772" s="204" t="str">
        <f>IFERROR(__xludf.DUMMYFUNCTION("""COMPUTED_VALUE"""),"XB360/OG Xbox")</f>
        <v>XB360/OG Xbox</v>
      </c>
      <c r="C772" s="205"/>
      <c r="D772" s="205" t="str">
        <f>IFERROR(__xludf.DUMMYFUNCTION("""COMPUTED_VALUE"""),"GwG Permanent")</f>
        <v>GwG Permanent</v>
      </c>
      <c r="E772" s="166">
        <f>IFERROR(__xludf.DUMMYFUNCTION("""COMPUTED_VALUE"""),42614.0)</f>
        <v>42614</v>
      </c>
      <c r="F772" s="206">
        <f>IFERROR(__xludf.DUMMYFUNCTION("""COMPUTED_VALUE"""),42628.0)</f>
        <v>42628</v>
      </c>
      <c r="G772" s="167">
        <f>IFERROR(__xludf.DUMMYFUNCTION("""COMPUTED_VALUE"""),0.4666666666666667)</f>
        <v>0.4666666667</v>
      </c>
      <c r="H772" s="166"/>
      <c r="I772" s="167">
        <f>IFERROR(__xludf.DUMMYFUNCTION("""COMPUTED_VALUE"""),-9.122222222222222)</f>
        <v>-9.122222222</v>
      </c>
      <c r="J772" s="168"/>
      <c r="K772" s="168"/>
      <c r="L772" s="207"/>
      <c r="M772" s="207" t="str">
        <f>IFERROR(__xludf.DUMMYFUNCTION("""COMPUTED_VALUE"""),"Enhanced")</f>
        <v>Enhanced</v>
      </c>
    </row>
    <row r="773">
      <c r="A773" s="203" t="str">
        <f>IFERROR(__xludf.DUMMYFUNCTION("""COMPUTED_VALUE"""),"Beyond Good &amp; Evil HD")</f>
        <v>Beyond Good &amp; Evil HD</v>
      </c>
      <c r="B773" s="204" t="str">
        <f>IFERROR(__xludf.DUMMYFUNCTION("""COMPUTED_VALUE"""),"XB360/OG Xbox")</f>
        <v>XB360/OG Xbox</v>
      </c>
      <c r="C773" s="205"/>
      <c r="D773" s="205" t="str">
        <f>IFERROR(__xludf.DUMMYFUNCTION("""COMPUTED_VALUE"""),"GwG Permanent")</f>
        <v>GwG Permanent</v>
      </c>
      <c r="E773" s="166">
        <f>IFERROR(__xludf.DUMMYFUNCTION("""COMPUTED_VALUE"""),42598.0)</f>
        <v>42598</v>
      </c>
      <c r="F773" s="206">
        <f>IFERROR(__xludf.DUMMYFUNCTION("""COMPUTED_VALUE"""),42613.0)</f>
        <v>42613</v>
      </c>
      <c r="G773" s="167">
        <f>IFERROR(__xludf.DUMMYFUNCTION("""COMPUTED_VALUE"""),0.4666666666666667)</f>
        <v>0.4666666667</v>
      </c>
      <c r="H773" s="166"/>
      <c r="I773" s="167">
        <f>IFERROR(__xludf.DUMMYFUNCTION("""COMPUTED_VALUE"""),-9.16388888888889)</f>
        <v>-9.163888889</v>
      </c>
      <c r="J773" s="168"/>
      <c r="K773" s="168"/>
      <c r="L773" s="207"/>
      <c r="M773" s="207"/>
    </row>
    <row r="774">
      <c r="A774" s="203" t="str">
        <f>IFERROR(__xludf.DUMMYFUNCTION("""COMPUTED_VALUE"""),"Spelunky")</f>
        <v>Spelunky</v>
      </c>
      <c r="B774" s="204" t="str">
        <f>IFERROR(__xludf.DUMMYFUNCTION("""COMPUTED_VALUE"""),"XB360/OG Xbox")</f>
        <v>XB360/OG Xbox</v>
      </c>
      <c r="C774" s="205"/>
      <c r="D774" s="205" t="str">
        <f>IFERROR(__xludf.DUMMYFUNCTION("""COMPUTED_VALUE"""),"GwG Permanent")</f>
        <v>GwG Permanent</v>
      </c>
      <c r="E774" s="166">
        <f>IFERROR(__xludf.DUMMYFUNCTION("""COMPUTED_VALUE"""),42583.0)</f>
        <v>42583</v>
      </c>
      <c r="F774" s="206">
        <f>IFERROR(__xludf.DUMMYFUNCTION("""COMPUTED_VALUE"""),42597.0)</f>
        <v>42597</v>
      </c>
      <c r="G774" s="167">
        <f>IFERROR(__xludf.DUMMYFUNCTION("""COMPUTED_VALUE"""),0.4666666666666667)</f>
        <v>0.4666666667</v>
      </c>
      <c r="H774" s="166"/>
      <c r="I774" s="167">
        <f>IFERROR(__xludf.DUMMYFUNCTION("""COMPUTED_VALUE"""),-9.205555555555556)</f>
        <v>-9.205555556</v>
      </c>
      <c r="J774" s="168"/>
      <c r="K774" s="168"/>
      <c r="L774" s="207"/>
      <c r="M774" s="207"/>
    </row>
    <row r="775">
      <c r="A775" s="203" t="str">
        <f>IFERROR(__xludf.DUMMYFUNCTION("""COMPUTED_VALUE"""),"Tron: Evolution")</f>
        <v>Tron: Evolution</v>
      </c>
      <c r="B775" s="204" t="str">
        <f>IFERROR(__xludf.DUMMYFUNCTION("""COMPUTED_VALUE"""),"XB360/OG Xbox")</f>
        <v>XB360/OG Xbox</v>
      </c>
      <c r="C775" s="205"/>
      <c r="D775" s="205" t="str">
        <f>IFERROR(__xludf.DUMMYFUNCTION("""COMPUTED_VALUE"""),"GwG Permanent")</f>
        <v>GwG Permanent</v>
      </c>
      <c r="E775" s="166">
        <f>IFERROR(__xludf.DUMMYFUNCTION("""COMPUTED_VALUE"""),42567.0)</f>
        <v>42567</v>
      </c>
      <c r="F775" s="206">
        <f>IFERROR(__xludf.DUMMYFUNCTION("""COMPUTED_VALUE"""),42582.0)</f>
        <v>42582</v>
      </c>
      <c r="G775" s="167">
        <f>IFERROR(__xludf.DUMMYFUNCTION("""COMPUTED_VALUE"""),0.4666666666666667)</f>
        <v>0.4666666667</v>
      </c>
      <c r="H775" s="166"/>
      <c r="I775" s="167">
        <f>IFERROR(__xludf.DUMMYFUNCTION("""COMPUTED_VALUE"""),-9.247222222222222)</f>
        <v>-9.247222222</v>
      </c>
      <c r="J775" s="168"/>
      <c r="K775" s="168"/>
      <c r="L775" s="207"/>
      <c r="M775" s="207"/>
    </row>
    <row r="776">
      <c r="A776" s="203" t="str">
        <f>IFERROR(__xludf.DUMMYFUNCTION("""COMPUTED_VALUE"""),"Tom Clancy's Rainbow Six: Vegas 2")</f>
        <v>Tom Clancy's Rainbow Six: Vegas 2</v>
      </c>
      <c r="B776" s="204" t="str">
        <f>IFERROR(__xludf.DUMMYFUNCTION("""COMPUTED_VALUE"""),"XB360/OG Xbox")</f>
        <v>XB360/OG Xbox</v>
      </c>
      <c r="C776" s="205"/>
      <c r="D776" s="205" t="str">
        <f>IFERROR(__xludf.DUMMYFUNCTION("""COMPUTED_VALUE"""),"GwG Permanent")</f>
        <v>GwG Permanent</v>
      </c>
      <c r="E776" s="166">
        <f>IFERROR(__xludf.DUMMYFUNCTION("""COMPUTED_VALUE"""),42552.0)</f>
        <v>42552</v>
      </c>
      <c r="F776" s="206">
        <f>IFERROR(__xludf.DUMMYFUNCTION("""COMPUTED_VALUE"""),42566.0)</f>
        <v>42566</v>
      </c>
      <c r="G776" s="167">
        <f>IFERROR(__xludf.DUMMYFUNCTION("""COMPUTED_VALUE"""),0.4666666666666667)</f>
        <v>0.4666666667</v>
      </c>
      <c r="H776" s="166"/>
      <c r="I776" s="167">
        <f>IFERROR(__xludf.DUMMYFUNCTION("""COMPUTED_VALUE"""),-9.28888888888889)</f>
        <v>-9.288888889</v>
      </c>
      <c r="J776" s="168"/>
      <c r="K776" s="168"/>
      <c r="L776" s="207"/>
      <c r="M776" s="207"/>
    </row>
    <row r="777">
      <c r="A777" s="203" t="str">
        <f>IFERROR(__xludf.DUMMYFUNCTION("""COMPUTED_VALUE"""),"XCOM: Enemy Unknown")</f>
        <v>XCOM: Enemy Unknown</v>
      </c>
      <c r="B777" s="204" t="str">
        <f>IFERROR(__xludf.DUMMYFUNCTION("""COMPUTED_VALUE"""),"XB360/OG Xbox")</f>
        <v>XB360/OG Xbox</v>
      </c>
      <c r="C777" s="205"/>
      <c r="D777" s="205" t="str">
        <f>IFERROR(__xludf.DUMMYFUNCTION("""COMPUTED_VALUE"""),"GwG Permanent")</f>
        <v>GwG Permanent</v>
      </c>
      <c r="E777" s="166">
        <f>IFERROR(__xludf.DUMMYFUNCTION("""COMPUTED_VALUE"""),42537.0)</f>
        <v>42537</v>
      </c>
      <c r="F777" s="206">
        <f>IFERROR(__xludf.DUMMYFUNCTION("""COMPUTED_VALUE"""),42551.0)</f>
        <v>42551</v>
      </c>
      <c r="G777" s="167">
        <f>IFERROR(__xludf.DUMMYFUNCTION("""COMPUTED_VALUE"""),0.4666666666666667)</f>
        <v>0.4666666667</v>
      </c>
      <c r="H777" s="166"/>
      <c r="I777" s="167">
        <f>IFERROR(__xludf.DUMMYFUNCTION("""COMPUTED_VALUE"""),-9.330555555555556)</f>
        <v>-9.330555556</v>
      </c>
      <c r="J777" s="168"/>
      <c r="K777" s="168"/>
      <c r="L777" s="207"/>
      <c r="M777" s="207"/>
    </row>
    <row r="778">
      <c r="A778" s="203" t="str">
        <f>IFERROR(__xludf.DUMMYFUNCTION("""COMPUTED_VALUE"""),"Super Meat Boy")</f>
        <v>Super Meat Boy</v>
      </c>
      <c r="B778" s="204" t="str">
        <f>IFERROR(__xludf.DUMMYFUNCTION("""COMPUTED_VALUE"""),"XB360/OG Xbox")</f>
        <v>XB360/OG Xbox</v>
      </c>
      <c r="C778" s="205"/>
      <c r="D778" s="205" t="str">
        <f>IFERROR(__xludf.DUMMYFUNCTION("""COMPUTED_VALUE"""),"GwG Permanent")</f>
        <v>GwG Permanent</v>
      </c>
      <c r="E778" s="166">
        <f>IFERROR(__xludf.DUMMYFUNCTION("""COMPUTED_VALUE"""),42522.0)</f>
        <v>42522</v>
      </c>
      <c r="F778" s="206">
        <f>IFERROR(__xludf.DUMMYFUNCTION("""COMPUTED_VALUE"""),42536.0)</f>
        <v>42536</v>
      </c>
      <c r="G778" s="167">
        <f>IFERROR(__xludf.DUMMYFUNCTION("""COMPUTED_VALUE"""),0.4666666666666667)</f>
        <v>0.4666666667</v>
      </c>
      <c r="H778" s="166"/>
      <c r="I778" s="167">
        <f>IFERROR(__xludf.DUMMYFUNCTION("""COMPUTED_VALUE"""),-9.372222222222222)</f>
        <v>-9.372222222</v>
      </c>
      <c r="J778" s="168"/>
      <c r="K778" s="168"/>
      <c r="L778" s="207"/>
      <c r="M778" s="207"/>
    </row>
    <row r="779">
      <c r="A779" s="203" t="str">
        <f>IFERROR(__xludf.DUMMYFUNCTION("""COMPUTED_VALUE"""),"Peggle")</f>
        <v>Peggle</v>
      </c>
      <c r="B779" s="204" t="str">
        <f>IFERROR(__xludf.DUMMYFUNCTION("""COMPUTED_VALUE"""),"XB360/OG Xbox")</f>
        <v>XB360/OG Xbox</v>
      </c>
      <c r="C779" s="205"/>
      <c r="D779" s="205" t="str">
        <f>IFERROR(__xludf.DUMMYFUNCTION("""COMPUTED_VALUE"""),"GwG Permanent")</f>
        <v>GwG Permanent</v>
      </c>
      <c r="E779" s="166">
        <f>IFERROR(__xludf.DUMMYFUNCTION("""COMPUTED_VALUE"""),42506.0)</f>
        <v>42506</v>
      </c>
      <c r="F779" s="206">
        <f>IFERROR(__xludf.DUMMYFUNCTION("""COMPUTED_VALUE"""),42521.0)</f>
        <v>42521</v>
      </c>
      <c r="G779" s="167">
        <f>IFERROR(__xludf.DUMMYFUNCTION("""COMPUTED_VALUE"""),0.4666666666666667)</f>
        <v>0.4666666667</v>
      </c>
      <c r="H779" s="166"/>
      <c r="I779" s="167">
        <f>IFERROR(__xludf.DUMMYFUNCTION("""COMPUTED_VALUE"""),-9.41388888888889)</f>
        <v>-9.413888889</v>
      </c>
      <c r="J779" s="168"/>
      <c r="K779" s="168"/>
      <c r="L779" s="207"/>
      <c r="M779" s="207"/>
    </row>
    <row r="780">
      <c r="A780" s="203" t="str">
        <f>IFERROR(__xludf.DUMMYFUNCTION("""COMPUTED_VALUE"""),"Grid 2")</f>
        <v>Grid 2</v>
      </c>
      <c r="B780" s="204" t="str">
        <f>IFERROR(__xludf.DUMMYFUNCTION("""COMPUTED_VALUE"""),"XB360/OG Xbox")</f>
        <v>XB360/OG Xbox</v>
      </c>
      <c r="C780" s="205"/>
      <c r="D780" s="205" t="str">
        <f>IFERROR(__xludf.DUMMYFUNCTION("""COMPUTED_VALUE"""),"GwG Permanent")</f>
        <v>GwG Permanent</v>
      </c>
      <c r="E780" s="166">
        <f>IFERROR(__xludf.DUMMYFUNCTION("""COMPUTED_VALUE"""),42491.0)</f>
        <v>42491</v>
      </c>
      <c r="F780" s="206">
        <f>IFERROR(__xludf.DUMMYFUNCTION("""COMPUTED_VALUE"""),42505.0)</f>
        <v>42505</v>
      </c>
      <c r="G780" s="167">
        <f>IFERROR(__xludf.DUMMYFUNCTION("""COMPUTED_VALUE"""),0.4666666666666667)</f>
        <v>0.4666666667</v>
      </c>
      <c r="H780" s="166"/>
      <c r="I780" s="167">
        <f>IFERROR(__xludf.DUMMYFUNCTION("""COMPUTED_VALUE"""),-9.455555555555556)</f>
        <v>-9.455555556</v>
      </c>
      <c r="J780" s="168"/>
      <c r="K780" s="168"/>
      <c r="L780" s="207"/>
      <c r="M780" s="207"/>
    </row>
    <row r="781">
      <c r="A781" s="203" t="str">
        <f>IFERROR(__xludf.DUMMYFUNCTION("""COMPUTED_VALUE"""),"Saints Row IV")</f>
        <v>Saints Row IV</v>
      </c>
      <c r="B781" s="204" t="str">
        <f>IFERROR(__xludf.DUMMYFUNCTION("""COMPUTED_VALUE"""),"XB360/OG Xbox")</f>
        <v>XB360/OG Xbox</v>
      </c>
      <c r="C781" s="205"/>
      <c r="D781" s="205" t="str">
        <f>IFERROR(__xludf.DUMMYFUNCTION("""COMPUTED_VALUE"""),"GwG Permanent")</f>
        <v>GwG Permanent</v>
      </c>
      <c r="E781" s="166">
        <f>IFERROR(__xludf.DUMMYFUNCTION("""COMPUTED_VALUE"""),42476.0)</f>
        <v>42476</v>
      </c>
      <c r="F781" s="206">
        <f>IFERROR(__xludf.DUMMYFUNCTION("""COMPUTED_VALUE"""),42490.0)</f>
        <v>42490</v>
      </c>
      <c r="G781" s="167">
        <f>IFERROR(__xludf.DUMMYFUNCTION("""COMPUTED_VALUE"""),0.4666666666666667)</f>
        <v>0.4666666667</v>
      </c>
      <c r="H781" s="166"/>
      <c r="I781" s="167">
        <f>IFERROR(__xludf.DUMMYFUNCTION("""COMPUTED_VALUE"""),-9.497222222222222)</f>
        <v>-9.497222222</v>
      </c>
      <c r="J781" s="168"/>
      <c r="K781" s="168"/>
      <c r="L781" s="207"/>
      <c r="M781" s="207"/>
    </row>
    <row r="782">
      <c r="A782" s="203" t="str">
        <f>IFERROR(__xludf.DUMMYFUNCTION("""COMPUTED_VALUE"""),"Dead Space")</f>
        <v>Dead Space</v>
      </c>
      <c r="B782" s="204" t="str">
        <f>IFERROR(__xludf.DUMMYFUNCTION("""COMPUTED_VALUE"""),"XB360/OG Xbox")</f>
        <v>XB360/OG Xbox</v>
      </c>
      <c r="C782" s="205"/>
      <c r="D782" s="205" t="str">
        <f>IFERROR(__xludf.DUMMYFUNCTION("""COMPUTED_VALUE"""),"GwG Permanent")</f>
        <v>GwG Permanent</v>
      </c>
      <c r="E782" s="166">
        <f>IFERROR(__xludf.DUMMYFUNCTION("""COMPUTED_VALUE"""),42461.0)</f>
        <v>42461</v>
      </c>
      <c r="F782" s="206">
        <f>IFERROR(__xludf.DUMMYFUNCTION("""COMPUTED_VALUE"""),42475.0)</f>
        <v>42475</v>
      </c>
      <c r="G782" s="167">
        <f>IFERROR(__xludf.DUMMYFUNCTION("""COMPUTED_VALUE"""),0.4666666666666667)</f>
        <v>0.4666666667</v>
      </c>
      <c r="H782" s="166"/>
      <c r="I782" s="167">
        <f>IFERROR(__xludf.DUMMYFUNCTION("""COMPUTED_VALUE"""),-9.53888888888889)</f>
        <v>-9.538888889</v>
      </c>
      <c r="J782" s="168"/>
      <c r="K782" s="168"/>
      <c r="L782" s="207"/>
      <c r="M782" s="207"/>
    </row>
    <row r="783">
      <c r="A783" s="203" t="str">
        <f>IFERROR(__xludf.DUMMYFUNCTION("""COMPUTED_VALUE"""),"Borderlands")</f>
        <v>Borderlands</v>
      </c>
      <c r="B783" s="204" t="str">
        <f>IFERROR(__xludf.DUMMYFUNCTION("""COMPUTED_VALUE"""),"XB360/OG Xbox")</f>
        <v>XB360/OG Xbox</v>
      </c>
      <c r="C783" s="205"/>
      <c r="D783" s="205" t="str">
        <f>IFERROR(__xludf.DUMMYFUNCTION("""COMPUTED_VALUE"""),"GwG Permanent")</f>
        <v>GwG Permanent</v>
      </c>
      <c r="E783" s="166">
        <f>IFERROR(__xludf.DUMMYFUNCTION("""COMPUTED_VALUE"""),42445.0)</f>
        <v>42445</v>
      </c>
      <c r="F783" s="206">
        <f>IFERROR(__xludf.DUMMYFUNCTION("""COMPUTED_VALUE"""),42460.0)</f>
        <v>42460</v>
      </c>
      <c r="G783" s="167">
        <f>IFERROR(__xludf.DUMMYFUNCTION("""COMPUTED_VALUE"""),0.4666666666666667)</f>
        <v>0.4666666667</v>
      </c>
      <c r="H783" s="166"/>
      <c r="I783" s="167">
        <f>IFERROR(__xludf.DUMMYFUNCTION("""COMPUTED_VALUE"""),-9.580555555555556)</f>
        <v>-9.580555556</v>
      </c>
      <c r="J783" s="168"/>
      <c r="K783" s="168"/>
      <c r="L783" s="207"/>
      <c r="M783" s="207"/>
    </row>
    <row r="784">
      <c r="A784" s="203" t="str">
        <f>IFERROR(__xludf.DUMMYFUNCTION("""COMPUTED_VALUE"""),"Supreme Commander 2")</f>
        <v>Supreme Commander 2</v>
      </c>
      <c r="B784" s="204" t="str">
        <f>IFERROR(__xludf.DUMMYFUNCTION("""COMPUTED_VALUE"""),"XB360/OG Xbox")</f>
        <v>XB360/OG Xbox</v>
      </c>
      <c r="C784" s="205"/>
      <c r="D784" s="205" t="str">
        <f>IFERROR(__xludf.DUMMYFUNCTION("""COMPUTED_VALUE"""),"GwG Permanent")</f>
        <v>GwG Permanent</v>
      </c>
      <c r="E784" s="166">
        <f>IFERROR(__xludf.DUMMYFUNCTION("""COMPUTED_VALUE"""),42430.0)</f>
        <v>42430</v>
      </c>
      <c r="F784" s="206">
        <f>IFERROR(__xludf.DUMMYFUNCTION("""COMPUTED_VALUE"""),42444.0)</f>
        <v>42444</v>
      </c>
      <c r="G784" s="167">
        <f>IFERROR(__xludf.DUMMYFUNCTION("""COMPUTED_VALUE"""),0.4666666666666667)</f>
        <v>0.4666666667</v>
      </c>
      <c r="H784" s="166"/>
      <c r="I784" s="167">
        <f>IFERROR(__xludf.DUMMYFUNCTION("""COMPUTED_VALUE"""),-9.622222222222222)</f>
        <v>-9.622222222</v>
      </c>
      <c r="J784" s="168"/>
      <c r="K784" s="168"/>
      <c r="L784" s="207"/>
      <c r="M784" s="207"/>
    </row>
    <row r="785">
      <c r="A785" s="203" t="str">
        <f>IFERROR(__xludf.DUMMYFUNCTION("""COMPUTED_VALUE"""),"Gears of War 2")</f>
        <v>Gears of War 2</v>
      </c>
      <c r="B785" s="204" t="str">
        <f>IFERROR(__xludf.DUMMYFUNCTION("""COMPUTED_VALUE"""),"XB360/OG Xbox")</f>
        <v>XB360/OG Xbox</v>
      </c>
      <c r="C785" s="205"/>
      <c r="D785" s="205" t="str">
        <f>IFERROR(__xludf.DUMMYFUNCTION("""COMPUTED_VALUE"""),"GwG Permanent")</f>
        <v>GwG Permanent</v>
      </c>
      <c r="E785" s="166">
        <f>IFERROR(__xludf.DUMMYFUNCTION("""COMPUTED_VALUE"""),42416.0)</f>
        <v>42416</v>
      </c>
      <c r="F785" s="206">
        <f>IFERROR(__xludf.DUMMYFUNCTION("""COMPUTED_VALUE"""),42429.0)</f>
        <v>42429</v>
      </c>
      <c r="G785" s="167">
        <f>IFERROR(__xludf.DUMMYFUNCTION("""COMPUTED_VALUE"""),0.4333333333333333)</f>
        <v>0.4333333333</v>
      </c>
      <c r="H785" s="166"/>
      <c r="I785" s="167">
        <f>IFERROR(__xludf.DUMMYFUNCTION("""COMPUTED_VALUE"""),-9.66388888888889)</f>
        <v>-9.663888889</v>
      </c>
      <c r="J785" s="168"/>
      <c r="K785" s="168"/>
      <c r="L785" s="207"/>
      <c r="M785" s="207" t="str">
        <f>IFERROR(__xludf.DUMMYFUNCTION("""COMPUTED_VALUE"""),"Enhanced")</f>
        <v>Enhanced</v>
      </c>
    </row>
    <row r="786">
      <c r="A786" s="203" t="str">
        <f>IFERROR(__xludf.DUMMYFUNCTION("""COMPUTED_VALUE"""),"Sacred Citadel")</f>
        <v>Sacred Citadel</v>
      </c>
      <c r="B786" s="204" t="str">
        <f>IFERROR(__xludf.DUMMYFUNCTION("""COMPUTED_VALUE"""),"XB360/OG Xbox")</f>
        <v>XB360/OG Xbox</v>
      </c>
      <c r="C786" s="205"/>
      <c r="D786" s="205" t="str">
        <f>IFERROR(__xludf.DUMMYFUNCTION("""COMPUTED_VALUE"""),"GwG Permanent")</f>
        <v>GwG Permanent</v>
      </c>
      <c r="E786" s="166">
        <f>IFERROR(__xludf.DUMMYFUNCTION("""COMPUTED_VALUE"""),42401.0)</f>
        <v>42401</v>
      </c>
      <c r="F786" s="206">
        <f>IFERROR(__xludf.DUMMYFUNCTION("""COMPUTED_VALUE"""),42415.0)</f>
        <v>42415</v>
      </c>
      <c r="G786" s="167">
        <f>IFERROR(__xludf.DUMMYFUNCTION("""COMPUTED_VALUE"""),0.4666666666666667)</f>
        <v>0.4666666667</v>
      </c>
      <c r="H786" s="166"/>
      <c r="I786" s="167">
        <f>IFERROR(__xludf.DUMMYFUNCTION("""COMPUTED_VALUE"""),-9.705555555555556)</f>
        <v>-9.705555556</v>
      </c>
      <c r="J786" s="168"/>
      <c r="K786" s="168"/>
      <c r="L786" s="207"/>
      <c r="M786" s="207"/>
    </row>
    <row r="787">
      <c r="A787" s="203" t="str">
        <f>IFERROR(__xludf.DUMMYFUNCTION("""COMPUTED_VALUE"""),"Deus Ex: Human Revolution")</f>
        <v>Deus Ex: Human Revolution</v>
      </c>
      <c r="B787" s="204" t="str">
        <f>IFERROR(__xludf.DUMMYFUNCTION("""COMPUTED_VALUE"""),"XB360/OG Xbox")</f>
        <v>XB360/OG Xbox</v>
      </c>
      <c r="C787" s="205"/>
      <c r="D787" s="205" t="str">
        <f>IFERROR(__xludf.DUMMYFUNCTION("""COMPUTED_VALUE"""),"GwG Permanent")</f>
        <v>GwG Permanent</v>
      </c>
      <c r="E787" s="166">
        <f>IFERROR(__xludf.DUMMYFUNCTION("""COMPUTED_VALUE"""),42385.0)</f>
        <v>42385</v>
      </c>
      <c r="F787" s="206">
        <f>IFERROR(__xludf.DUMMYFUNCTION("""COMPUTED_VALUE"""),42400.0)</f>
        <v>42400</v>
      </c>
      <c r="G787" s="167">
        <f>IFERROR(__xludf.DUMMYFUNCTION("""COMPUTED_VALUE"""),0.4666666666666667)</f>
        <v>0.4666666667</v>
      </c>
      <c r="H787" s="166"/>
      <c r="I787" s="167">
        <f>IFERROR(__xludf.DUMMYFUNCTION("""COMPUTED_VALUE"""),-9.747222222222222)</f>
        <v>-9.747222222</v>
      </c>
      <c r="J787" s="168"/>
      <c r="K787" s="168"/>
      <c r="L787" s="207"/>
      <c r="M787" s="207"/>
    </row>
    <row r="788">
      <c r="A788" s="203" t="str">
        <f>IFERROR(__xludf.DUMMYFUNCTION("""COMPUTED_VALUE"""),"DiRT Showdown")</f>
        <v>DiRT Showdown</v>
      </c>
      <c r="B788" s="204" t="str">
        <f>IFERROR(__xludf.DUMMYFUNCTION("""COMPUTED_VALUE"""),"XB360/OG Xbox")</f>
        <v>XB360/OG Xbox</v>
      </c>
      <c r="C788" s="205"/>
      <c r="D788" s="205" t="str">
        <f>IFERROR(__xludf.DUMMYFUNCTION("""COMPUTED_VALUE"""),"GwG Permanent")</f>
        <v>GwG Permanent</v>
      </c>
      <c r="E788" s="166">
        <f>IFERROR(__xludf.DUMMYFUNCTION("""COMPUTED_VALUE"""),42370.0)</f>
        <v>42370</v>
      </c>
      <c r="F788" s="206">
        <f>IFERROR(__xludf.DUMMYFUNCTION("""COMPUTED_VALUE"""),42384.0)</f>
        <v>42384</v>
      </c>
      <c r="G788" s="167">
        <f>IFERROR(__xludf.DUMMYFUNCTION("""COMPUTED_VALUE"""),0.4666666666666667)</f>
        <v>0.4666666667</v>
      </c>
      <c r="H788" s="166"/>
      <c r="I788" s="167">
        <f>IFERROR(__xludf.DUMMYFUNCTION("""COMPUTED_VALUE"""),-9.78888888888889)</f>
        <v>-9.788888889</v>
      </c>
      <c r="J788" s="168"/>
      <c r="K788" s="168"/>
      <c r="L788" s="207"/>
      <c r="M788" s="207"/>
    </row>
    <row r="789">
      <c r="A789" s="203" t="str">
        <f>IFERROR(__xludf.DUMMYFUNCTION("""COMPUTED_VALUE"""),"Sacred 3")</f>
        <v>Sacred 3</v>
      </c>
      <c r="B789" s="204" t="str">
        <f>IFERROR(__xludf.DUMMYFUNCTION("""COMPUTED_VALUE"""),"XB360/OG Xbox")</f>
        <v>XB360/OG Xbox</v>
      </c>
      <c r="C789" s="205"/>
      <c r="D789" s="205" t="str">
        <f>IFERROR(__xludf.DUMMYFUNCTION("""COMPUTED_VALUE"""),"GwG Permanent")</f>
        <v>GwG Permanent</v>
      </c>
      <c r="E789" s="166">
        <f>IFERROR(__xludf.DUMMYFUNCTION("""COMPUTED_VALUE"""),42354.0)</f>
        <v>42354</v>
      </c>
      <c r="F789" s="206">
        <f>IFERROR(__xludf.DUMMYFUNCTION("""COMPUTED_VALUE"""),42369.0)</f>
        <v>42369</v>
      </c>
      <c r="G789" s="167">
        <f>IFERROR(__xludf.DUMMYFUNCTION("""COMPUTED_VALUE"""),0.4666666666666667)</f>
        <v>0.4666666667</v>
      </c>
      <c r="H789" s="166"/>
      <c r="I789" s="167">
        <f>IFERROR(__xludf.DUMMYFUNCTION("""COMPUTED_VALUE"""),-9.830555555555556)</f>
        <v>-9.830555556</v>
      </c>
      <c r="J789" s="168"/>
      <c r="K789" s="168"/>
      <c r="L789" s="207"/>
      <c r="M789" s="207"/>
    </row>
    <row r="790">
      <c r="A790" s="203" t="str">
        <f>IFERROR(__xludf.DUMMYFUNCTION("""COMPUTED_VALUE"""),"Operation Flashpoint: Dragon Rising")</f>
        <v>Operation Flashpoint: Dragon Rising</v>
      </c>
      <c r="B790" s="204" t="str">
        <f>IFERROR(__xludf.DUMMYFUNCTION("""COMPUTED_VALUE"""),"XB360/OG Xbox")</f>
        <v>XB360/OG Xbox</v>
      </c>
      <c r="C790" s="205"/>
      <c r="D790" s="205" t="str">
        <f>IFERROR(__xludf.DUMMYFUNCTION("""COMPUTED_VALUE"""),"GwG Permanent")</f>
        <v>GwG Permanent</v>
      </c>
      <c r="E790" s="166">
        <f>IFERROR(__xludf.DUMMYFUNCTION("""COMPUTED_VALUE"""),42354.0)</f>
        <v>42354</v>
      </c>
      <c r="F790" s="206">
        <f>IFERROR(__xludf.DUMMYFUNCTION("""COMPUTED_VALUE"""),42369.0)</f>
        <v>42369</v>
      </c>
      <c r="G790" s="167">
        <f>IFERROR(__xludf.DUMMYFUNCTION("""COMPUTED_VALUE"""),0.4666666666666667)</f>
        <v>0.4666666667</v>
      </c>
      <c r="H790" s="166"/>
      <c r="I790" s="167">
        <f>IFERROR(__xludf.DUMMYFUNCTION("""COMPUTED_VALUE"""),-9.830555555555556)</f>
        <v>-9.830555556</v>
      </c>
      <c r="J790" s="168"/>
      <c r="K790" s="168"/>
      <c r="L790" s="207"/>
      <c r="M790" s="207"/>
    </row>
    <row r="791">
      <c r="A791" s="203" t="str">
        <f>IFERROR(__xludf.DUMMYFUNCTION("""COMPUTED_VALUE"""),"CastleStorm")</f>
        <v>CastleStorm</v>
      </c>
      <c r="B791" s="204" t="str">
        <f>IFERROR(__xludf.DUMMYFUNCTION("""COMPUTED_VALUE"""),"XB360/OG Xbox")</f>
        <v>XB360/OG Xbox</v>
      </c>
      <c r="C791" s="205"/>
      <c r="D791" s="205" t="str">
        <f>IFERROR(__xludf.DUMMYFUNCTION("""COMPUTED_VALUE"""),"GwG Permanent")</f>
        <v>GwG Permanent</v>
      </c>
      <c r="E791" s="166">
        <f>IFERROR(__xludf.DUMMYFUNCTION("""COMPUTED_VALUE"""),42339.0)</f>
        <v>42339</v>
      </c>
      <c r="F791" s="206">
        <f>IFERROR(__xludf.DUMMYFUNCTION("""COMPUTED_VALUE"""),42353.0)</f>
        <v>42353</v>
      </c>
      <c r="G791" s="167">
        <f>IFERROR(__xludf.DUMMYFUNCTION("""COMPUTED_VALUE"""),0.4666666666666667)</f>
        <v>0.4666666667</v>
      </c>
      <c r="H791" s="166"/>
      <c r="I791" s="167">
        <f>IFERROR(__xludf.DUMMYFUNCTION("""COMPUTED_VALUE"""),-9.872222222222222)</f>
        <v>-9.872222222</v>
      </c>
      <c r="J791" s="168"/>
      <c r="K791" s="168"/>
      <c r="L791" s="207"/>
      <c r="M791" s="207"/>
    </row>
    <row r="792">
      <c r="A792" s="203" t="str">
        <f>IFERROR(__xludf.DUMMYFUNCTION("""COMPUTED_VALUE"""),"Dungeon Siege III")</f>
        <v>Dungeon Siege III</v>
      </c>
      <c r="B792" s="204" t="str">
        <f>IFERROR(__xludf.DUMMYFUNCTION("""COMPUTED_VALUE"""),"XB360/OG Xbox")</f>
        <v>XB360/OG Xbox</v>
      </c>
      <c r="C792" s="205"/>
      <c r="D792" s="205" t="str">
        <f>IFERROR(__xludf.DUMMYFUNCTION("""COMPUTED_VALUE"""),"GwG Permanent")</f>
        <v>GwG Permanent</v>
      </c>
      <c r="E792" s="166">
        <f>IFERROR(__xludf.DUMMYFUNCTION("""COMPUTED_VALUE"""),42324.0)</f>
        <v>42324</v>
      </c>
      <c r="F792" s="206">
        <f>IFERROR(__xludf.DUMMYFUNCTION("""COMPUTED_VALUE"""),42338.0)</f>
        <v>42338</v>
      </c>
      <c r="G792" s="167">
        <f>IFERROR(__xludf.DUMMYFUNCTION("""COMPUTED_VALUE"""),0.4666666666666667)</f>
        <v>0.4666666667</v>
      </c>
      <c r="H792" s="166"/>
      <c r="I792" s="167">
        <f>IFERROR(__xludf.DUMMYFUNCTION("""COMPUTED_VALUE"""),-9.91388888888889)</f>
        <v>-9.913888889</v>
      </c>
      <c r="J792" s="168"/>
      <c r="K792" s="168"/>
      <c r="L792" s="207"/>
      <c r="M792" s="207"/>
    </row>
    <row r="793">
      <c r="A793" s="203" t="str">
        <f>IFERROR(__xludf.DUMMYFUNCTION("""COMPUTED_VALUE"""),"DiRT 3")</f>
        <v>DiRT 3</v>
      </c>
      <c r="B793" s="204" t="str">
        <f>IFERROR(__xludf.DUMMYFUNCTION("""COMPUTED_VALUE"""),"XB360/OG Xbox")</f>
        <v>XB360/OG Xbox</v>
      </c>
      <c r="C793" s="205"/>
      <c r="D793" s="205" t="str">
        <f>IFERROR(__xludf.DUMMYFUNCTION("""COMPUTED_VALUE"""),"GwG Permanent")</f>
        <v>GwG Permanent</v>
      </c>
      <c r="E793" s="166">
        <f>IFERROR(__xludf.DUMMYFUNCTION("""COMPUTED_VALUE"""),42309.0)</f>
        <v>42309</v>
      </c>
      <c r="F793" s="206">
        <f>IFERROR(__xludf.DUMMYFUNCTION("""COMPUTED_VALUE"""),42323.0)</f>
        <v>42323</v>
      </c>
      <c r="G793" s="167">
        <f>IFERROR(__xludf.DUMMYFUNCTION("""COMPUTED_VALUE"""),0.4666666666666667)</f>
        <v>0.4666666667</v>
      </c>
      <c r="H793" s="166"/>
      <c r="I793" s="167">
        <f>IFERROR(__xludf.DUMMYFUNCTION("""COMPUTED_VALUE"""),-9.955555555555556)</f>
        <v>-9.955555556</v>
      </c>
      <c r="J793" s="168"/>
      <c r="K793" s="168"/>
      <c r="L793" s="207"/>
      <c r="M793" s="207"/>
    </row>
    <row r="794">
      <c r="A794" s="203" t="str">
        <f>IFERROR(__xludf.DUMMYFUNCTION("""COMPUTED_VALUE"""),"The Walking Dead: The Complete First Season")</f>
        <v>The Walking Dead: The Complete First Season</v>
      </c>
      <c r="B794" s="204" t="str">
        <f>IFERROR(__xludf.DUMMYFUNCTION("""COMPUTED_VALUE"""),"XB360/OG Xbox")</f>
        <v>XB360/OG Xbox</v>
      </c>
      <c r="C794" s="205"/>
      <c r="D794" s="205" t="str">
        <f>IFERROR(__xludf.DUMMYFUNCTION("""COMPUTED_VALUE"""),"GwG Permanent")</f>
        <v>GwG Permanent</v>
      </c>
      <c r="E794" s="166">
        <f>IFERROR(__xludf.DUMMYFUNCTION("""COMPUTED_VALUE"""),42293.0)</f>
        <v>42293</v>
      </c>
      <c r="F794" s="206">
        <f>IFERROR(__xludf.DUMMYFUNCTION("""COMPUTED_VALUE"""),42308.0)</f>
        <v>42308</v>
      </c>
      <c r="G794" s="167">
        <f>IFERROR(__xludf.DUMMYFUNCTION("""COMPUTED_VALUE"""),0.4666666666666667)</f>
        <v>0.4666666667</v>
      </c>
      <c r="H794" s="166"/>
      <c r="I794" s="167">
        <f>IFERROR(__xludf.DUMMYFUNCTION("""COMPUTED_VALUE"""),-9.997222222222222)</f>
        <v>-9.997222222</v>
      </c>
      <c r="J794" s="168"/>
      <c r="K794" s="168"/>
      <c r="L794" s="207"/>
      <c r="M794" s="207"/>
    </row>
    <row r="795">
      <c r="A795" s="203" t="str">
        <f>IFERROR(__xludf.DUMMYFUNCTION("""COMPUTED_VALUE"""),"Metal Gear Solid V: Ground Zeroes")</f>
        <v>Metal Gear Solid V: Ground Zeroes</v>
      </c>
      <c r="B795" s="204" t="str">
        <f>IFERROR(__xludf.DUMMYFUNCTION("""COMPUTED_VALUE"""),"XB360/OG Xbox")</f>
        <v>XB360/OG Xbox</v>
      </c>
      <c r="C795" s="205"/>
      <c r="D795" s="205" t="str">
        <f>IFERROR(__xludf.DUMMYFUNCTION("""COMPUTED_VALUE"""),"GwG Permanent")</f>
        <v>GwG Permanent</v>
      </c>
      <c r="E795" s="166">
        <f>IFERROR(__xludf.DUMMYFUNCTION("""COMPUTED_VALUE"""),42278.0)</f>
        <v>42278</v>
      </c>
      <c r="F795" s="206">
        <f>IFERROR(__xludf.DUMMYFUNCTION("""COMPUTED_VALUE"""),42292.0)</f>
        <v>42292</v>
      </c>
      <c r="G795" s="167">
        <f>IFERROR(__xludf.DUMMYFUNCTION("""COMPUTED_VALUE"""),0.4666666666666667)</f>
        <v>0.4666666667</v>
      </c>
      <c r="H795" s="166"/>
      <c r="I795" s="167">
        <f>IFERROR(__xludf.DUMMYFUNCTION("""COMPUTED_VALUE"""),-10.03888888888889)</f>
        <v>-10.03888889</v>
      </c>
      <c r="J795" s="168"/>
      <c r="K795" s="168"/>
      <c r="L795" s="207"/>
      <c r="M795" s="207"/>
    </row>
    <row r="796">
      <c r="A796" s="203" t="str">
        <f>IFERROR(__xludf.DUMMYFUNCTION("""COMPUTED_VALUE"""),"Crysis 3")</f>
        <v>Crysis 3</v>
      </c>
      <c r="B796" s="204" t="str">
        <f>IFERROR(__xludf.DUMMYFUNCTION("""COMPUTED_VALUE"""),"XB360/OG Xbox")</f>
        <v>XB360/OG Xbox</v>
      </c>
      <c r="C796" s="205"/>
      <c r="D796" s="205" t="str">
        <f>IFERROR(__xludf.DUMMYFUNCTION("""COMPUTED_VALUE"""),"GwG Permanent")</f>
        <v>GwG Permanent</v>
      </c>
      <c r="E796" s="166">
        <f>IFERROR(__xludf.DUMMYFUNCTION("""COMPUTED_VALUE"""),42263.0)</f>
        <v>42263</v>
      </c>
      <c r="F796" s="206">
        <f>IFERROR(__xludf.DUMMYFUNCTION("""COMPUTED_VALUE"""),42277.0)</f>
        <v>42277</v>
      </c>
      <c r="G796" s="167">
        <f>IFERROR(__xludf.DUMMYFUNCTION("""COMPUTED_VALUE"""),0.4666666666666667)</f>
        <v>0.4666666667</v>
      </c>
      <c r="H796" s="166"/>
      <c r="I796" s="167">
        <f>IFERROR(__xludf.DUMMYFUNCTION("""COMPUTED_VALUE"""),-10.080555555555556)</f>
        <v>-10.08055556</v>
      </c>
      <c r="J796" s="168"/>
      <c r="K796" s="168"/>
      <c r="L796" s="207"/>
      <c r="M796" s="207"/>
    </row>
    <row r="797">
      <c r="A797" s="203" t="str">
        <f>IFERROR(__xludf.DUMMYFUNCTION("""COMPUTED_VALUE"""),"Battlestations: Pacific")</f>
        <v>Battlestations: Pacific</v>
      </c>
      <c r="B797" s="204" t="str">
        <f>IFERROR(__xludf.DUMMYFUNCTION("""COMPUTED_VALUE"""),"XB360/OG Xbox")</f>
        <v>XB360/OG Xbox</v>
      </c>
      <c r="C797" s="205"/>
      <c r="D797" s="205" t="str">
        <f>IFERROR(__xludf.DUMMYFUNCTION("""COMPUTED_VALUE"""),"GwG Permanent")</f>
        <v>GwG Permanent</v>
      </c>
      <c r="E797" s="166">
        <f>IFERROR(__xludf.DUMMYFUNCTION("""COMPUTED_VALUE"""),42248.0)</f>
        <v>42248</v>
      </c>
      <c r="F797" s="206">
        <f>IFERROR(__xludf.DUMMYFUNCTION("""COMPUTED_VALUE"""),42262.0)</f>
        <v>42262</v>
      </c>
      <c r="G797" s="167">
        <f>IFERROR(__xludf.DUMMYFUNCTION("""COMPUTED_VALUE"""),0.4666666666666667)</f>
        <v>0.4666666667</v>
      </c>
      <c r="H797" s="166"/>
      <c r="I797" s="167">
        <f>IFERROR(__xludf.DUMMYFUNCTION("""COMPUTED_VALUE"""),-10.122222222222222)</f>
        <v>-10.12222222</v>
      </c>
      <c r="J797" s="168"/>
      <c r="K797" s="168"/>
      <c r="L797" s="207"/>
      <c r="M797" s="207"/>
    </row>
    <row r="798">
      <c r="A798" s="203" t="str">
        <f>IFERROR(__xludf.DUMMYFUNCTION("""COMPUTED_VALUE"""),"Metro: Last Light")</f>
        <v>Metro: Last Light</v>
      </c>
      <c r="B798" s="204" t="str">
        <f>IFERROR(__xludf.DUMMYFUNCTION("""COMPUTED_VALUE"""),"XB360/OG Xbox")</f>
        <v>XB360/OG Xbox</v>
      </c>
      <c r="C798" s="205"/>
      <c r="D798" s="205" t="str">
        <f>IFERROR(__xludf.DUMMYFUNCTION("""COMPUTED_VALUE"""),"GwG Permanent")</f>
        <v>GwG Permanent</v>
      </c>
      <c r="E798" s="166">
        <f>IFERROR(__xludf.DUMMYFUNCTION("""COMPUTED_VALUE"""),42232.0)</f>
        <v>42232</v>
      </c>
      <c r="F798" s="206">
        <f>IFERROR(__xludf.DUMMYFUNCTION("""COMPUTED_VALUE"""),42247.0)</f>
        <v>42247</v>
      </c>
      <c r="G798" s="167">
        <f>IFERROR(__xludf.DUMMYFUNCTION("""COMPUTED_VALUE"""),0.4666666666666667)</f>
        <v>0.4666666667</v>
      </c>
      <c r="H798" s="166"/>
      <c r="I798" s="167">
        <f>IFERROR(__xludf.DUMMYFUNCTION("""COMPUTED_VALUE"""),-10.16388888888889)</f>
        <v>-10.16388889</v>
      </c>
      <c r="J798" s="168"/>
      <c r="K798" s="168"/>
      <c r="L798" s="207"/>
      <c r="M798" s="207"/>
    </row>
    <row r="799">
      <c r="A799" s="203" t="str">
        <f>IFERROR(__xludf.DUMMYFUNCTION("""COMPUTED_VALUE"""),"Metro 2033")</f>
        <v>Metro 2033</v>
      </c>
      <c r="B799" s="204" t="str">
        <f>IFERROR(__xludf.DUMMYFUNCTION("""COMPUTED_VALUE"""),"XB360/OG Xbox")</f>
        <v>XB360/OG Xbox</v>
      </c>
      <c r="C799" s="205"/>
      <c r="D799" s="205" t="str">
        <f>IFERROR(__xludf.DUMMYFUNCTION("""COMPUTED_VALUE"""),"GwG Permanent")</f>
        <v>GwG Permanent</v>
      </c>
      <c r="E799" s="166">
        <f>IFERROR(__xludf.DUMMYFUNCTION("""COMPUTED_VALUE"""),42217.0)</f>
        <v>42217</v>
      </c>
      <c r="F799" s="206">
        <f>IFERROR(__xludf.DUMMYFUNCTION("""COMPUTED_VALUE"""),42231.0)</f>
        <v>42231</v>
      </c>
      <c r="G799" s="167">
        <f>IFERROR(__xludf.DUMMYFUNCTION("""COMPUTED_VALUE"""),0.4666666666666667)</f>
        <v>0.4666666667</v>
      </c>
      <c r="H799" s="166"/>
      <c r="I799" s="167">
        <f>IFERROR(__xludf.DUMMYFUNCTION("""COMPUTED_VALUE"""),-10.205555555555556)</f>
        <v>-10.20555556</v>
      </c>
      <c r="J799" s="168"/>
      <c r="K799" s="168"/>
      <c r="L799" s="207"/>
      <c r="M799" s="207"/>
    </row>
    <row r="800">
      <c r="A800" s="203" t="str">
        <f>IFERROR(__xludf.DUMMYFUNCTION("""COMPUTED_VALUE"""),"Gears of War 3")</f>
        <v>Gears of War 3</v>
      </c>
      <c r="B800" s="204" t="str">
        <f>IFERROR(__xludf.DUMMYFUNCTION("""COMPUTED_VALUE"""),"XB360/OG Xbox")</f>
        <v>XB360/OG Xbox</v>
      </c>
      <c r="C800" s="205"/>
      <c r="D800" s="205" t="str">
        <f>IFERROR(__xludf.DUMMYFUNCTION("""COMPUTED_VALUE"""),"GwG Permanent")</f>
        <v>GwG Permanent</v>
      </c>
      <c r="E800" s="166">
        <f>IFERROR(__xludf.DUMMYFUNCTION("""COMPUTED_VALUE"""),42201.0)</f>
        <v>42201</v>
      </c>
      <c r="F800" s="206">
        <f>IFERROR(__xludf.DUMMYFUNCTION("""COMPUTED_VALUE"""),42216.0)</f>
        <v>42216</v>
      </c>
      <c r="G800" s="167">
        <f>IFERROR(__xludf.DUMMYFUNCTION("""COMPUTED_VALUE"""),0.4666666666666667)</f>
        <v>0.4666666667</v>
      </c>
      <c r="H800" s="166"/>
      <c r="I800" s="167">
        <f>IFERROR(__xludf.DUMMYFUNCTION("""COMPUTED_VALUE"""),-10.247222222222222)</f>
        <v>-10.24722222</v>
      </c>
      <c r="J800" s="168"/>
      <c r="K800" s="168"/>
      <c r="L800" s="207"/>
      <c r="M800" s="207" t="str">
        <f>IFERROR(__xludf.DUMMYFUNCTION("""COMPUTED_VALUE"""),"Enhanced")</f>
        <v>Enhanced</v>
      </c>
    </row>
    <row r="801">
      <c r="A801" s="203" t="str">
        <f>IFERROR(__xludf.DUMMYFUNCTION("""COMPUTED_VALUE"""),"Plants vs. Zombies")</f>
        <v>Plants vs. Zombies</v>
      </c>
      <c r="B801" s="204" t="str">
        <f>IFERROR(__xludf.DUMMYFUNCTION("""COMPUTED_VALUE"""),"XB360/OG Xbox")</f>
        <v>XB360/OG Xbox</v>
      </c>
      <c r="C801" s="205"/>
      <c r="D801" s="205" t="str">
        <f>IFERROR(__xludf.DUMMYFUNCTION("""COMPUTED_VALUE"""),"GwG Permanent")</f>
        <v>GwG Permanent</v>
      </c>
      <c r="E801" s="166">
        <f>IFERROR(__xludf.DUMMYFUNCTION("""COMPUTED_VALUE"""),42186.0)</f>
        <v>42186</v>
      </c>
      <c r="F801" s="206">
        <f>IFERROR(__xludf.DUMMYFUNCTION("""COMPUTED_VALUE"""),42200.0)</f>
        <v>42200</v>
      </c>
      <c r="G801" s="167">
        <f>IFERROR(__xludf.DUMMYFUNCTION("""COMPUTED_VALUE"""),0.4666666666666667)</f>
        <v>0.4666666667</v>
      </c>
      <c r="H801" s="166"/>
      <c r="I801" s="167">
        <f>IFERROR(__xludf.DUMMYFUNCTION("""COMPUTED_VALUE"""),-10.28888888888889)</f>
        <v>-10.28888889</v>
      </c>
      <c r="J801" s="168"/>
      <c r="K801" s="168"/>
      <c r="L801" s="207"/>
      <c r="M801" s="207"/>
    </row>
    <row r="802">
      <c r="A802" s="203" t="str">
        <f>IFERROR(__xludf.DUMMYFUNCTION("""COMPUTED_VALUE"""),"Thief")</f>
        <v>Thief</v>
      </c>
      <c r="B802" s="204" t="str">
        <f>IFERROR(__xludf.DUMMYFUNCTION("""COMPUTED_VALUE"""),"XB360/OG Xbox")</f>
        <v>XB360/OG Xbox</v>
      </c>
      <c r="C802" s="205"/>
      <c r="D802" s="205" t="str">
        <f>IFERROR(__xludf.DUMMYFUNCTION("""COMPUTED_VALUE"""),"GwG Permanent")</f>
        <v>GwG Permanent</v>
      </c>
      <c r="E802" s="166">
        <f>IFERROR(__xludf.DUMMYFUNCTION("""COMPUTED_VALUE"""),42171.0)</f>
        <v>42171</v>
      </c>
      <c r="F802" s="206">
        <f>IFERROR(__xludf.DUMMYFUNCTION("""COMPUTED_VALUE"""),42185.0)</f>
        <v>42185</v>
      </c>
      <c r="G802" s="167">
        <f>IFERROR(__xludf.DUMMYFUNCTION("""COMPUTED_VALUE"""),0.4666666666666667)</f>
        <v>0.4666666667</v>
      </c>
      <c r="H802" s="166"/>
      <c r="I802" s="167">
        <f>IFERROR(__xludf.DUMMYFUNCTION("""COMPUTED_VALUE"""),-10.330555555555556)</f>
        <v>-10.33055556</v>
      </c>
      <c r="J802" s="168"/>
      <c r="K802" s="168"/>
      <c r="L802" s="207"/>
      <c r="M802" s="207"/>
    </row>
    <row r="803">
      <c r="A803" s="203" t="str">
        <f>IFERROR(__xludf.DUMMYFUNCTION("""COMPUTED_VALUE"""),"Just Cause 2")</f>
        <v>Just Cause 2</v>
      </c>
      <c r="B803" s="204" t="str">
        <f>IFERROR(__xludf.DUMMYFUNCTION("""COMPUTED_VALUE"""),"XB360/OG Xbox")</f>
        <v>XB360/OG Xbox</v>
      </c>
      <c r="C803" s="205"/>
      <c r="D803" s="205" t="str">
        <f>IFERROR(__xludf.DUMMYFUNCTION("""COMPUTED_VALUE"""),"GwG Permanent")</f>
        <v>GwG Permanent</v>
      </c>
      <c r="E803" s="166">
        <f>IFERROR(__xludf.DUMMYFUNCTION("""COMPUTED_VALUE"""),42156.0)</f>
        <v>42156</v>
      </c>
      <c r="F803" s="206">
        <f>IFERROR(__xludf.DUMMYFUNCTION("""COMPUTED_VALUE"""),42170.0)</f>
        <v>42170</v>
      </c>
      <c r="G803" s="167">
        <f>IFERROR(__xludf.DUMMYFUNCTION("""COMPUTED_VALUE"""),0.4666666666666667)</f>
        <v>0.4666666667</v>
      </c>
      <c r="H803" s="166"/>
      <c r="I803" s="167">
        <f>IFERROR(__xludf.DUMMYFUNCTION("""COMPUTED_VALUE"""),-10.372222222222222)</f>
        <v>-10.37222222</v>
      </c>
      <c r="J803" s="168"/>
      <c r="K803" s="168"/>
      <c r="L803" s="207"/>
      <c r="M803" s="207"/>
    </row>
    <row r="804">
      <c r="A804" s="203" t="str">
        <f>IFERROR(__xludf.DUMMYFUNCTION("""COMPUTED_VALUE"""),"F1 2013")</f>
        <v>F1 2013</v>
      </c>
      <c r="B804" s="204" t="str">
        <f>IFERROR(__xludf.DUMMYFUNCTION("""COMPUTED_VALUE"""),"XB360/OG Xbox")</f>
        <v>XB360/OG Xbox</v>
      </c>
      <c r="C804" s="205"/>
      <c r="D804" s="205" t="str">
        <f>IFERROR(__xludf.DUMMYFUNCTION("""COMPUTED_VALUE"""),"GwG Permanent")</f>
        <v>GwG Permanent</v>
      </c>
      <c r="E804" s="166">
        <f>IFERROR(__xludf.DUMMYFUNCTION("""COMPUTED_VALUE"""),42140.0)</f>
        <v>42140</v>
      </c>
      <c r="F804" s="206">
        <f>IFERROR(__xludf.DUMMYFUNCTION("""COMPUTED_VALUE"""),42155.0)</f>
        <v>42155</v>
      </c>
      <c r="G804" s="167">
        <f>IFERROR(__xludf.DUMMYFUNCTION("""COMPUTED_VALUE"""),0.4666666666666667)</f>
        <v>0.4666666667</v>
      </c>
      <c r="H804" s="166"/>
      <c r="I804" s="167">
        <f>IFERROR(__xludf.DUMMYFUNCTION("""COMPUTED_VALUE"""),-10.41388888888889)</f>
        <v>-10.41388889</v>
      </c>
      <c r="J804" s="168"/>
      <c r="K804" s="168"/>
      <c r="L804" s="207"/>
      <c r="M804" s="207"/>
    </row>
    <row r="805">
      <c r="A805" s="203" t="str">
        <f>IFERROR(__xludf.DUMMYFUNCTION("""COMPUTED_VALUE"""),"Mafia II")</f>
        <v>Mafia II</v>
      </c>
      <c r="B805" s="204" t="str">
        <f>IFERROR(__xludf.DUMMYFUNCTION("""COMPUTED_VALUE"""),"XB360/OG Xbox")</f>
        <v>XB360/OG Xbox</v>
      </c>
      <c r="C805" s="205"/>
      <c r="D805" s="205" t="str">
        <f>IFERROR(__xludf.DUMMYFUNCTION("""COMPUTED_VALUE"""),"GwG Permanent")</f>
        <v>GwG Permanent</v>
      </c>
      <c r="E805" s="166">
        <f>IFERROR(__xludf.DUMMYFUNCTION("""COMPUTED_VALUE"""),42125.0)</f>
        <v>42125</v>
      </c>
      <c r="F805" s="206">
        <f>IFERROR(__xludf.DUMMYFUNCTION("""COMPUTED_VALUE"""),42139.0)</f>
        <v>42139</v>
      </c>
      <c r="G805" s="167">
        <f>IFERROR(__xludf.DUMMYFUNCTION("""COMPUTED_VALUE"""),0.4666666666666667)</f>
        <v>0.4666666667</v>
      </c>
      <c r="H805" s="166"/>
      <c r="I805" s="167">
        <f>IFERROR(__xludf.DUMMYFUNCTION("""COMPUTED_VALUE"""),-10.455555555555556)</f>
        <v>-10.45555556</v>
      </c>
      <c r="J805" s="168"/>
      <c r="K805" s="168"/>
      <c r="L805" s="207"/>
      <c r="M805" s="207"/>
    </row>
    <row r="806">
      <c r="A806" s="203" t="str">
        <f>IFERROR(__xludf.DUMMYFUNCTION("""COMPUTED_VALUE"""),"Assassin's Creed IV: Black Flag")</f>
        <v>Assassin's Creed IV: Black Flag</v>
      </c>
      <c r="B806" s="204" t="str">
        <f>IFERROR(__xludf.DUMMYFUNCTION("""COMPUTED_VALUE"""),"XB360/OG Xbox")</f>
        <v>XB360/OG Xbox</v>
      </c>
      <c r="C806" s="205"/>
      <c r="D806" s="205" t="str">
        <f>IFERROR(__xludf.DUMMYFUNCTION("""COMPUTED_VALUE"""),"GwG Permanent")</f>
        <v>GwG Permanent</v>
      </c>
      <c r="E806" s="166">
        <f>IFERROR(__xludf.DUMMYFUNCTION("""COMPUTED_VALUE"""),42110.0)</f>
        <v>42110</v>
      </c>
      <c r="F806" s="206">
        <f>IFERROR(__xludf.DUMMYFUNCTION("""COMPUTED_VALUE"""),42124.0)</f>
        <v>42124</v>
      </c>
      <c r="G806" s="167">
        <f>IFERROR(__xludf.DUMMYFUNCTION("""COMPUTED_VALUE"""),0.4666666666666667)</f>
        <v>0.4666666667</v>
      </c>
      <c r="H806" s="166"/>
      <c r="I806" s="167">
        <f>IFERROR(__xludf.DUMMYFUNCTION("""COMPUTED_VALUE"""),-10.497222222222222)</f>
        <v>-10.49722222</v>
      </c>
      <c r="J806" s="168"/>
      <c r="K806" s="168"/>
      <c r="L806" s="207"/>
      <c r="M806" s="207"/>
    </row>
    <row r="807">
      <c r="A807" s="203" t="str">
        <f>IFERROR(__xludf.DUMMYFUNCTION("""COMPUTED_VALUE"""),"Army of Two: The Devil's Cartel")</f>
        <v>Army of Two: The Devil's Cartel</v>
      </c>
      <c r="B807" s="204" t="str">
        <f>IFERROR(__xludf.DUMMYFUNCTION("""COMPUTED_VALUE"""),"XB360/OG Xbox")</f>
        <v>XB360/OG Xbox</v>
      </c>
      <c r="C807" s="205"/>
      <c r="D807" s="205" t="str">
        <f>IFERROR(__xludf.DUMMYFUNCTION("""COMPUTED_VALUE"""),"GwG Permanent")</f>
        <v>GwG Permanent</v>
      </c>
      <c r="E807" s="166">
        <f>IFERROR(__xludf.DUMMYFUNCTION("""COMPUTED_VALUE"""),42110.0)</f>
        <v>42110</v>
      </c>
      <c r="F807" s="206">
        <f>IFERROR(__xludf.DUMMYFUNCTION("""COMPUTED_VALUE"""),42124.0)</f>
        <v>42124</v>
      </c>
      <c r="G807" s="167">
        <f>IFERROR(__xludf.DUMMYFUNCTION("""COMPUTED_VALUE"""),0.4666666666666667)</f>
        <v>0.4666666667</v>
      </c>
      <c r="H807" s="166"/>
      <c r="I807" s="167">
        <f>IFERROR(__xludf.DUMMYFUNCTION("""COMPUTED_VALUE"""),-10.497222222222222)</f>
        <v>-10.49722222</v>
      </c>
      <c r="J807" s="168"/>
      <c r="K807" s="168"/>
      <c r="L807" s="207"/>
      <c r="M807" s="207"/>
    </row>
    <row r="808">
      <c r="A808" s="203" t="str">
        <f>IFERROR(__xludf.DUMMYFUNCTION("""COMPUTED_VALUE"""),"Gears of War: Judgment")</f>
        <v>Gears of War: Judgment</v>
      </c>
      <c r="B808" s="204" t="str">
        <f>IFERROR(__xludf.DUMMYFUNCTION("""COMPUTED_VALUE"""),"XB360/OG Xbox")</f>
        <v>XB360/OG Xbox</v>
      </c>
      <c r="C808" s="205"/>
      <c r="D808" s="205" t="str">
        <f>IFERROR(__xludf.DUMMYFUNCTION("""COMPUTED_VALUE"""),"GwG Permanent")</f>
        <v>GwG Permanent</v>
      </c>
      <c r="E808" s="166">
        <f>IFERROR(__xludf.DUMMYFUNCTION("""COMPUTED_VALUE"""),42095.0)</f>
        <v>42095</v>
      </c>
      <c r="F808" s="206">
        <f>IFERROR(__xludf.DUMMYFUNCTION("""COMPUTED_VALUE"""),42109.0)</f>
        <v>42109</v>
      </c>
      <c r="G808" s="167">
        <f>IFERROR(__xludf.DUMMYFUNCTION("""COMPUTED_VALUE"""),0.4666666666666667)</f>
        <v>0.4666666667</v>
      </c>
      <c r="H808" s="166"/>
      <c r="I808" s="167">
        <f>IFERROR(__xludf.DUMMYFUNCTION("""COMPUTED_VALUE"""),-10.53888888888889)</f>
        <v>-10.53888889</v>
      </c>
      <c r="J808" s="168"/>
      <c r="K808" s="168"/>
      <c r="L808" s="207"/>
      <c r="M808" s="207"/>
    </row>
    <row r="809">
      <c r="A809" s="203" t="str">
        <f>IFERROR(__xludf.DUMMYFUNCTION("""COMPUTED_VALUE"""),"Terraria")</f>
        <v>Terraria</v>
      </c>
      <c r="B809" s="204" t="str">
        <f>IFERROR(__xludf.DUMMYFUNCTION("""COMPUTED_VALUE"""),"XB360/OG Xbox")</f>
        <v>XB360/OG Xbox</v>
      </c>
      <c r="C809" s="205"/>
      <c r="D809" s="205" t="str">
        <f>IFERROR(__xludf.DUMMYFUNCTION("""COMPUTED_VALUE"""),"GwG Permanent")</f>
        <v>GwG Permanent</v>
      </c>
      <c r="E809" s="166">
        <f>IFERROR(__xludf.DUMMYFUNCTION("""COMPUTED_VALUE"""),42095.0)</f>
        <v>42095</v>
      </c>
      <c r="F809" s="206">
        <f>IFERROR(__xludf.DUMMYFUNCTION("""COMPUTED_VALUE"""),42109.0)</f>
        <v>42109</v>
      </c>
      <c r="G809" s="167">
        <f>IFERROR(__xludf.DUMMYFUNCTION("""COMPUTED_VALUE"""),0.4666666666666667)</f>
        <v>0.4666666667</v>
      </c>
      <c r="H809" s="166"/>
      <c r="I809" s="167">
        <f>IFERROR(__xludf.DUMMYFUNCTION("""COMPUTED_VALUE"""),-10.53888888888889)</f>
        <v>-10.53888889</v>
      </c>
      <c r="J809" s="168"/>
      <c r="K809" s="168"/>
      <c r="L809" s="207"/>
      <c r="M809" s="207"/>
    </row>
    <row r="810">
      <c r="A810" s="203" t="str">
        <f>IFERROR(__xludf.DUMMYFUNCTION("""COMPUTED_VALUE"""),"BioShock Infinite")</f>
        <v>BioShock Infinite</v>
      </c>
      <c r="B810" s="204" t="str">
        <f>IFERROR(__xludf.DUMMYFUNCTION("""COMPUTED_VALUE"""),"XB360/OG Xbox")</f>
        <v>XB360/OG Xbox</v>
      </c>
      <c r="C810" s="205"/>
      <c r="D810" s="205" t="str">
        <f>IFERROR(__xludf.DUMMYFUNCTION("""COMPUTED_VALUE"""),"GwG Permanent")</f>
        <v>GwG Permanent</v>
      </c>
      <c r="E810" s="166">
        <f>IFERROR(__xludf.DUMMYFUNCTION("""COMPUTED_VALUE"""),42079.0)</f>
        <v>42079</v>
      </c>
      <c r="F810" s="206">
        <f>IFERROR(__xludf.DUMMYFUNCTION("""COMPUTED_VALUE"""),42094.0)</f>
        <v>42094</v>
      </c>
      <c r="G810" s="167">
        <f>IFERROR(__xludf.DUMMYFUNCTION("""COMPUTED_VALUE"""),0.4666666666666667)</f>
        <v>0.4666666667</v>
      </c>
      <c r="H810" s="166"/>
      <c r="I810" s="167">
        <f>IFERROR(__xludf.DUMMYFUNCTION("""COMPUTED_VALUE"""),-10.580555555555556)</f>
        <v>-10.58055556</v>
      </c>
      <c r="J810" s="168"/>
      <c r="K810" s="168"/>
      <c r="L810" s="207"/>
      <c r="M810" s="207"/>
    </row>
    <row r="811">
      <c r="A811" s="203" t="str">
        <f>IFERROR(__xludf.DUMMYFUNCTION("""COMPUTED_VALUE"""),"Tomb Raider")</f>
        <v>Tomb Raider</v>
      </c>
      <c r="B811" s="204" t="str">
        <f>IFERROR(__xludf.DUMMYFUNCTION("""COMPUTED_VALUE"""),"XB360/OG Xbox")</f>
        <v>XB360/OG Xbox</v>
      </c>
      <c r="C811" s="205"/>
      <c r="D811" s="205" t="str">
        <f>IFERROR(__xludf.DUMMYFUNCTION("""COMPUTED_VALUE"""),"GwG Permanent")</f>
        <v>GwG Permanent</v>
      </c>
      <c r="E811" s="166">
        <f>IFERROR(__xludf.DUMMYFUNCTION("""COMPUTED_VALUE"""),42064.0)</f>
        <v>42064</v>
      </c>
      <c r="F811" s="206">
        <f>IFERROR(__xludf.DUMMYFUNCTION("""COMPUTED_VALUE"""),42078.0)</f>
        <v>42078</v>
      </c>
      <c r="G811" s="167">
        <f>IFERROR(__xludf.DUMMYFUNCTION("""COMPUTED_VALUE"""),0.4666666666666667)</f>
        <v>0.4666666667</v>
      </c>
      <c r="H811" s="166"/>
      <c r="I811" s="167">
        <f>IFERROR(__xludf.DUMMYFUNCTION("""COMPUTED_VALUE"""),-10.622222222222222)</f>
        <v>-10.62222222</v>
      </c>
      <c r="J811" s="168"/>
      <c r="K811" s="168"/>
      <c r="L811" s="207"/>
      <c r="M811" s="207"/>
    </row>
    <row r="812">
      <c r="A812" s="203" t="str">
        <f>IFERROR(__xludf.DUMMYFUNCTION("""COMPUTED_VALUE"""),"Sniper Elite V2")</f>
        <v>Sniper Elite V2</v>
      </c>
      <c r="B812" s="204" t="str">
        <f>IFERROR(__xludf.DUMMYFUNCTION("""COMPUTED_VALUE"""),"XB360/OG Xbox")</f>
        <v>XB360/OG Xbox</v>
      </c>
      <c r="C812" s="205"/>
      <c r="D812" s="205" t="str">
        <f>IFERROR(__xludf.DUMMYFUNCTION("""COMPUTED_VALUE"""),"GwG Permanent")</f>
        <v>GwG Permanent</v>
      </c>
      <c r="E812" s="166">
        <f>IFERROR(__xludf.DUMMYFUNCTION("""COMPUTED_VALUE"""),42051.0)</f>
        <v>42051</v>
      </c>
      <c r="F812" s="206">
        <f>IFERROR(__xludf.DUMMYFUNCTION("""COMPUTED_VALUE"""),42063.0)</f>
        <v>42063</v>
      </c>
      <c r="G812" s="167">
        <f>IFERROR(__xludf.DUMMYFUNCTION("""COMPUTED_VALUE"""),0.4)</f>
        <v>0.4</v>
      </c>
      <c r="H812" s="166"/>
      <c r="I812" s="167">
        <f>IFERROR(__xludf.DUMMYFUNCTION("""COMPUTED_VALUE"""),-10.66388888888889)</f>
        <v>-10.66388889</v>
      </c>
      <c r="J812" s="168"/>
      <c r="K812" s="168"/>
      <c r="L812" s="207"/>
      <c r="M812" s="207"/>
    </row>
    <row r="813">
      <c r="A813" s="203" t="str">
        <f>IFERROR(__xludf.DUMMYFUNCTION("""COMPUTED_VALUE"""),"Brothers: A Tale of Two Sons")</f>
        <v>Brothers: A Tale of Two Sons</v>
      </c>
      <c r="B813" s="204" t="str">
        <f>IFERROR(__xludf.DUMMYFUNCTION("""COMPUTED_VALUE"""),"XB360/OG Xbox")</f>
        <v>XB360/OG Xbox</v>
      </c>
      <c r="C813" s="205"/>
      <c r="D813" s="205" t="str">
        <f>IFERROR(__xludf.DUMMYFUNCTION("""COMPUTED_VALUE"""),"GwG Permanent")</f>
        <v>GwG Permanent</v>
      </c>
      <c r="E813" s="166">
        <f>IFERROR(__xludf.DUMMYFUNCTION("""COMPUTED_VALUE"""),42036.0)</f>
        <v>42036</v>
      </c>
      <c r="F813" s="206">
        <f>IFERROR(__xludf.DUMMYFUNCTION("""COMPUTED_VALUE"""),42050.0)</f>
        <v>42050</v>
      </c>
      <c r="G813" s="167">
        <f>IFERROR(__xludf.DUMMYFUNCTION("""COMPUTED_VALUE"""),0.4666666666666667)</f>
        <v>0.4666666667</v>
      </c>
      <c r="H813" s="166"/>
      <c r="I813" s="167">
        <f>IFERROR(__xludf.DUMMYFUNCTION("""COMPUTED_VALUE"""),-10.705555555555556)</f>
        <v>-10.70555556</v>
      </c>
      <c r="J813" s="168"/>
      <c r="K813" s="168"/>
      <c r="L813" s="207"/>
      <c r="M813" s="207"/>
    </row>
    <row r="814">
      <c r="A814" s="203" t="str">
        <f>IFERROR(__xludf.DUMMYFUNCTION("""COMPUTED_VALUE"""),"The Witcher 2: Assassins of Kings")</f>
        <v>The Witcher 2: Assassins of Kings</v>
      </c>
      <c r="B814" s="204" t="str">
        <f>IFERROR(__xludf.DUMMYFUNCTION("""COMPUTED_VALUE"""),"XB360/OG Xbox")</f>
        <v>XB360/OG Xbox</v>
      </c>
      <c r="C814" s="205"/>
      <c r="D814" s="205" t="str">
        <f>IFERROR(__xludf.DUMMYFUNCTION("""COMPUTED_VALUE"""),"GwG Permanent")</f>
        <v>GwG Permanent</v>
      </c>
      <c r="E814" s="166">
        <f>IFERROR(__xludf.DUMMYFUNCTION("""COMPUTED_VALUE"""),42020.0)</f>
        <v>42020</v>
      </c>
      <c r="F814" s="206">
        <f>IFERROR(__xludf.DUMMYFUNCTION("""COMPUTED_VALUE"""),42035.0)</f>
        <v>42035</v>
      </c>
      <c r="G814" s="167">
        <f>IFERROR(__xludf.DUMMYFUNCTION("""COMPUTED_VALUE"""),0.4666666666666667)</f>
        <v>0.4666666667</v>
      </c>
      <c r="H814" s="166"/>
      <c r="I814" s="167">
        <f>IFERROR(__xludf.DUMMYFUNCTION("""COMPUTED_VALUE"""),-10.747222222222222)</f>
        <v>-10.74722222</v>
      </c>
      <c r="J814" s="168"/>
      <c r="K814" s="168"/>
      <c r="L814" s="207"/>
      <c r="M814" s="207" t="str">
        <f>IFERROR(__xludf.DUMMYFUNCTION("""COMPUTED_VALUE"""),"Enhanced")</f>
        <v>Enhanced</v>
      </c>
    </row>
    <row r="815">
      <c r="A815" s="203" t="str">
        <f>IFERROR(__xludf.DUMMYFUNCTION("""COMPUTED_VALUE"""),"MX vs. ATV Alive")</f>
        <v>MX vs. ATV Alive</v>
      </c>
      <c r="B815" s="204" t="str">
        <f>IFERROR(__xludf.DUMMYFUNCTION("""COMPUTED_VALUE"""),"XB360/OG Xbox")</f>
        <v>XB360/OG Xbox</v>
      </c>
      <c r="C815" s="205"/>
      <c r="D815" s="205" t="str">
        <f>IFERROR(__xludf.DUMMYFUNCTION("""COMPUTED_VALUE"""),"GwG Permanent")</f>
        <v>GwG Permanent</v>
      </c>
      <c r="E815" s="166">
        <f>IFERROR(__xludf.DUMMYFUNCTION("""COMPUTED_VALUE"""),42005.0)</f>
        <v>42005</v>
      </c>
      <c r="F815" s="206">
        <f>IFERROR(__xludf.DUMMYFUNCTION("""COMPUTED_VALUE"""),42019.0)</f>
        <v>42019</v>
      </c>
      <c r="G815" s="167">
        <f>IFERROR(__xludf.DUMMYFUNCTION("""COMPUTED_VALUE"""),0.4666666666666667)</f>
        <v>0.4666666667</v>
      </c>
      <c r="H815" s="166"/>
      <c r="I815" s="167">
        <f>IFERROR(__xludf.DUMMYFUNCTION("""COMPUTED_VALUE"""),-10.78888888888889)</f>
        <v>-10.78888889</v>
      </c>
      <c r="J815" s="168"/>
      <c r="K815" s="168"/>
      <c r="L815" s="207"/>
      <c r="M815" s="207"/>
    </row>
    <row r="816">
      <c r="A816" s="203" t="str">
        <f>IFERROR(__xludf.DUMMYFUNCTION("""COMPUTED_VALUE"""),"SSX")</f>
        <v>SSX</v>
      </c>
      <c r="B816" s="204" t="str">
        <f>IFERROR(__xludf.DUMMYFUNCTION("""COMPUTED_VALUE"""),"XB360/OG Xbox")</f>
        <v>XB360/OG Xbox</v>
      </c>
      <c r="C816" s="205"/>
      <c r="D816" s="205" t="str">
        <f>IFERROR(__xludf.DUMMYFUNCTION("""COMPUTED_VALUE"""),"GwG Permanent")</f>
        <v>GwG Permanent</v>
      </c>
      <c r="E816" s="166">
        <f>IFERROR(__xludf.DUMMYFUNCTION("""COMPUTED_VALUE"""),41989.0)</f>
        <v>41989</v>
      </c>
      <c r="F816" s="206">
        <f>IFERROR(__xludf.DUMMYFUNCTION("""COMPUTED_VALUE"""),42004.0)</f>
        <v>42004</v>
      </c>
      <c r="G816" s="167">
        <f>IFERROR(__xludf.DUMMYFUNCTION("""COMPUTED_VALUE"""),0.4666666666666667)</f>
        <v>0.4666666667</v>
      </c>
      <c r="H816" s="166"/>
      <c r="I816" s="167">
        <f>IFERROR(__xludf.DUMMYFUNCTION("""COMPUTED_VALUE"""),-10.830555555555556)</f>
        <v>-10.83055556</v>
      </c>
      <c r="J816" s="168"/>
      <c r="K816" s="168"/>
      <c r="L816" s="207"/>
      <c r="M816" s="207"/>
    </row>
    <row r="817">
      <c r="A817" s="203" t="str">
        <f>IFERROR(__xludf.DUMMYFUNCTION("""COMPUTED_VALUE"""),"The Raven: Legacy of a Master Thief")</f>
        <v>The Raven: Legacy of a Master Thief</v>
      </c>
      <c r="B817" s="204" t="str">
        <f>IFERROR(__xludf.DUMMYFUNCTION("""COMPUTED_VALUE"""),"XB360/OG Xbox")</f>
        <v>XB360/OG Xbox</v>
      </c>
      <c r="C817" s="205"/>
      <c r="D817" s="205" t="str">
        <f>IFERROR(__xludf.DUMMYFUNCTION("""COMPUTED_VALUE"""),"GwG Permanent")</f>
        <v>GwG Permanent</v>
      </c>
      <c r="E817" s="166">
        <f>IFERROR(__xludf.DUMMYFUNCTION("""COMPUTED_VALUE"""),41974.0)</f>
        <v>41974</v>
      </c>
      <c r="F817" s="206">
        <f>IFERROR(__xludf.DUMMYFUNCTION("""COMPUTED_VALUE"""),41988.0)</f>
        <v>41988</v>
      </c>
      <c r="G817" s="167">
        <f>IFERROR(__xludf.DUMMYFUNCTION("""COMPUTED_VALUE"""),0.4666666666666667)</f>
        <v>0.4666666667</v>
      </c>
      <c r="H817" s="166"/>
      <c r="I817" s="167">
        <f>IFERROR(__xludf.DUMMYFUNCTION("""COMPUTED_VALUE"""),-10.872222222222222)</f>
        <v>-10.87222222</v>
      </c>
      <c r="J817" s="168"/>
      <c r="K817" s="168"/>
      <c r="L817" s="207"/>
      <c r="M817" s="207"/>
    </row>
    <row r="818">
      <c r="A818" s="203" t="str">
        <f>IFERROR(__xludf.DUMMYFUNCTION("""COMPUTED_VALUE"""),"Red Faction: Guerrilla")</f>
        <v>Red Faction: Guerrilla</v>
      </c>
      <c r="B818" s="204" t="str">
        <f>IFERROR(__xludf.DUMMYFUNCTION("""COMPUTED_VALUE"""),"XB360/OG Xbox")</f>
        <v>XB360/OG Xbox</v>
      </c>
      <c r="C818" s="205"/>
      <c r="D818" s="205" t="str">
        <f>IFERROR(__xludf.DUMMYFUNCTION("""COMPUTED_VALUE"""),"GwG Permanent")</f>
        <v>GwG Permanent</v>
      </c>
      <c r="E818" s="166">
        <f>IFERROR(__xludf.DUMMYFUNCTION("""COMPUTED_VALUE"""),41959.0)</f>
        <v>41959</v>
      </c>
      <c r="F818" s="206">
        <f>IFERROR(__xludf.DUMMYFUNCTION("""COMPUTED_VALUE"""),41973.0)</f>
        <v>41973</v>
      </c>
      <c r="G818" s="167">
        <f>IFERROR(__xludf.DUMMYFUNCTION("""COMPUTED_VALUE"""),0.4666666666666667)</f>
        <v>0.4666666667</v>
      </c>
      <c r="H818" s="166"/>
      <c r="I818" s="167">
        <f>IFERROR(__xludf.DUMMYFUNCTION("""COMPUTED_VALUE"""),-10.91388888888889)</f>
        <v>-10.91388889</v>
      </c>
      <c r="J818" s="168"/>
      <c r="K818" s="168"/>
      <c r="L818" s="207"/>
      <c r="M818" s="207"/>
    </row>
    <row r="819">
      <c r="A819" s="203" t="str">
        <f>IFERROR(__xludf.DUMMYFUNCTION("""COMPUTED_VALUE"""),"Viva Piñata: Trouble in Paradise")</f>
        <v>Viva Piñata: Trouble in Paradise</v>
      </c>
      <c r="B819" s="204" t="str">
        <f>IFERROR(__xludf.DUMMYFUNCTION("""COMPUTED_VALUE"""),"XB360/OG Xbox")</f>
        <v>XB360/OG Xbox</v>
      </c>
      <c r="C819" s="205"/>
      <c r="D819" s="205" t="str">
        <f>IFERROR(__xludf.DUMMYFUNCTION("""COMPUTED_VALUE"""),"GwG Permanent")</f>
        <v>GwG Permanent</v>
      </c>
      <c r="E819" s="166">
        <f>IFERROR(__xludf.DUMMYFUNCTION("""COMPUTED_VALUE"""),41944.0)</f>
        <v>41944</v>
      </c>
      <c r="F819" s="206">
        <f>IFERROR(__xludf.DUMMYFUNCTION("""COMPUTED_VALUE"""),41958.0)</f>
        <v>41958</v>
      </c>
      <c r="G819" s="167">
        <f>IFERROR(__xludf.DUMMYFUNCTION("""COMPUTED_VALUE"""),0.4666666666666667)</f>
        <v>0.4666666667</v>
      </c>
      <c r="H819" s="166"/>
      <c r="I819" s="167">
        <f>IFERROR(__xludf.DUMMYFUNCTION("""COMPUTED_VALUE"""),-10.955555555555556)</f>
        <v>-10.95555556</v>
      </c>
      <c r="J819" s="168"/>
      <c r="K819" s="168"/>
      <c r="L819" s="207"/>
      <c r="M819" s="207" t="str">
        <f>IFERROR(__xludf.DUMMYFUNCTION("""COMPUTED_VALUE"""),"Enhanced")</f>
        <v>Enhanced</v>
      </c>
    </row>
    <row r="820">
      <c r="A820" s="203" t="str">
        <f>IFERROR(__xludf.DUMMYFUNCTION("""COMPUTED_VALUE"""),"Darksiders II")</f>
        <v>Darksiders II</v>
      </c>
      <c r="B820" s="204" t="str">
        <f>IFERROR(__xludf.DUMMYFUNCTION("""COMPUTED_VALUE"""),"XB360/OG Xbox")</f>
        <v>XB360/OG Xbox</v>
      </c>
      <c r="C820" s="205"/>
      <c r="D820" s="205" t="str">
        <f>IFERROR(__xludf.DUMMYFUNCTION("""COMPUTED_VALUE"""),"GwG Permanent")</f>
        <v>GwG Permanent</v>
      </c>
      <c r="E820" s="166">
        <f>IFERROR(__xludf.DUMMYFUNCTION("""COMPUTED_VALUE"""),41928.0)</f>
        <v>41928</v>
      </c>
      <c r="F820" s="206">
        <f>IFERROR(__xludf.DUMMYFUNCTION("""COMPUTED_VALUE"""),41943.0)</f>
        <v>41943</v>
      </c>
      <c r="G820" s="167">
        <f>IFERROR(__xludf.DUMMYFUNCTION("""COMPUTED_VALUE"""),0.4666666666666667)</f>
        <v>0.4666666667</v>
      </c>
      <c r="H820" s="166"/>
      <c r="I820" s="167">
        <f>IFERROR(__xludf.DUMMYFUNCTION("""COMPUTED_VALUE"""),-10.997222222222222)</f>
        <v>-10.99722222</v>
      </c>
      <c r="J820" s="168"/>
      <c r="K820" s="168"/>
      <c r="L820" s="207"/>
      <c r="M820" s="207"/>
    </row>
    <row r="821">
      <c r="A821" s="203" t="str">
        <f>IFERROR(__xludf.DUMMYFUNCTION("""COMPUTED_VALUE"""),"Battlefield: Bad Company 2")</f>
        <v>Battlefield: Bad Company 2</v>
      </c>
      <c r="B821" s="204" t="str">
        <f>IFERROR(__xludf.DUMMYFUNCTION("""COMPUTED_VALUE"""),"XB360/OG Xbox")</f>
        <v>XB360/OG Xbox</v>
      </c>
      <c r="C821" s="205"/>
      <c r="D821" s="205" t="str">
        <f>IFERROR(__xludf.DUMMYFUNCTION("""COMPUTED_VALUE"""),"GwG Permanent")</f>
        <v>GwG Permanent</v>
      </c>
      <c r="E821" s="166">
        <f>IFERROR(__xludf.DUMMYFUNCTION("""COMPUTED_VALUE"""),41913.0)</f>
        <v>41913</v>
      </c>
      <c r="F821" s="206">
        <f>IFERROR(__xludf.DUMMYFUNCTION("""COMPUTED_VALUE"""),41927.0)</f>
        <v>41927</v>
      </c>
      <c r="G821" s="167">
        <f>IFERROR(__xludf.DUMMYFUNCTION("""COMPUTED_VALUE"""),0.4666666666666667)</f>
        <v>0.4666666667</v>
      </c>
      <c r="H821" s="166"/>
      <c r="I821" s="167">
        <f>IFERROR(__xludf.DUMMYFUNCTION("""COMPUTED_VALUE"""),-11.03888888888889)</f>
        <v>-11.03888889</v>
      </c>
      <c r="J821" s="168"/>
      <c r="K821" s="168"/>
      <c r="L821" s="207"/>
      <c r="M821" s="207"/>
    </row>
    <row r="822">
      <c r="A822" s="203" t="str">
        <f>IFERROR(__xludf.DUMMYFUNCTION("""COMPUTED_VALUE"""),"Halo: Reach")</f>
        <v>Halo: Reach</v>
      </c>
      <c r="B822" s="204" t="str">
        <f>IFERROR(__xludf.DUMMYFUNCTION("""COMPUTED_VALUE"""),"XB360/OG Xbox")</f>
        <v>XB360/OG Xbox</v>
      </c>
      <c r="C822" s="205"/>
      <c r="D822" s="205" t="str">
        <f>IFERROR(__xludf.DUMMYFUNCTION("""COMPUTED_VALUE"""),"GwG Permanent")</f>
        <v>GwG Permanent</v>
      </c>
      <c r="E822" s="166">
        <f>IFERROR(__xludf.DUMMYFUNCTION("""COMPUTED_VALUE"""),41898.0)</f>
        <v>41898</v>
      </c>
      <c r="F822" s="206">
        <f>IFERROR(__xludf.DUMMYFUNCTION("""COMPUTED_VALUE"""),41912.0)</f>
        <v>41912</v>
      </c>
      <c r="G822" s="167">
        <f>IFERROR(__xludf.DUMMYFUNCTION("""COMPUTED_VALUE"""),0.4666666666666667)</f>
        <v>0.4666666667</v>
      </c>
      <c r="H822" s="166"/>
      <c r="I822" s="167">
        <f>IFERROR(__xludf.DUMMYFUNCTION("""COMPUTED_VALUE"""),-11.080555555555556)</f>
        <v>-11.08055556</v>
      </c>
      <c r="J822" s="168"/>
      <c r="K822" s="168"/>
      <c r="L822" s="207"/>
      <c r="M822" s="207"/>
    </row>
    <row r="823">
      <c r="A823" s="203" t="str">
        <f>IFERROR(__xludf.DUMMYFUNCTION("""COMPUTED_VALUE"""),"Monaco: What's Yours Is Mine")</f>
        <v>Monaco: What's Yours Is Mine</v>
      </c>
      <c r="B823" s="204" t="str">
        <f>IFERROR(__xludf.DUMMYFUNCTION("""COMPUTED_VALUE"""),"XB360/OG Xbox")</f>
        <v>XB360/OG Xbox</v>
      </c>
      <c r="C823" s="205"/>
      <c r="D823" s="205" t="str">
        <f>IFERROR(__xludf.DUMMYFUNCTION("""COMPUTED_VALUE"""),"GwG Permanent")</f>
        <v>GwG Permanent</v>
      </c>
      <c r="E823" s="166">
        <f>IFERROR(__xludf.DUMMYFUNCTION("""COMPUTED_VALUE"""),41883.0)</f>
        <v>41883</v>
      </c>
      <c r="F823" s="206">
        <f>IFERROR(__xludf.DUMMYFUNCTION("""COMPUTED_VALUE"""),41897.0)</f>
        <v>41897</v>
      </c>
      <c r="G823" s="167">
        <f>IFERROR(__xludf.DUMMYFUNCTION("""COMPUTED_VALUE"""),0.4666666666666667)</f>
        <v>0.4666666667</v>
      </c>
      <c r="H823" s="166"/>
      <c r="I823" s="167">
        <f>IFERROR(__xludf.DUMMYFUNCTION("""COMPUTED_VALUE"""),-11.122222222222222)</f>
        <v>-11.12222222</v>
      </c>
      <c r="J823" s="168"/>
      <c r="K823" s="168"/>
      <c r="L823" s="207"/>
      <c r="M823" s="207"/>
    </row>
    <row r="824">
      <c r="A824" s="203" t="str">
        <f>IFERROR(__xludf.DUMMYFUNCTION("""COMPUTED_VALUE"""),"Dishonored")</f>
        <v>Dishonored</v>
      </c>
      <c r="B824" s="204" t="str">
        <f>IFERROR(__xludf.DUMMYFUNCTION("""COMPUTED_VALUE"""),"XB360/OG Xbox")</f>
        <v>XB360/OG Xbox</v>
      </c>
      <c r="C824" s="205"/>
      <c r="D824" s="205" t="str">
        <f>IFERROR(__xludf.DUMMYFUNCTION("""COMPUTED_VALUE"""),"GwG Permanent")</f>
        <v>GwG Permanent</v>
      </c>
      <c r="E824" s="166">
        <f>IFERROR(__xludf.DUMMYFUNCTION("""COMPUTED_VALUE"""),41867.0)</f>
        <v>41867</v>
      </c>
      <c r="F824" s="206">
        <f>IFERROR(__xludf.DUMMYFUNCTION("""COMPUTED_VALUE"""),41882.0)</f>
        <v>41882</v>
      </c>
      <c r="G824" s="167">
        <f>IFERROR(__xludf.DUMMYFUNCTION("""COMPUTED_VALUE"""),0.4666666666666667)</f>
        <v>0.4666666667</v>
      </c>
      <c r="H824" s="166"/>
      <c r="I824" s="167">
        <f>IFERROR(__xludf.DUMMYFUNCTION("""COMPUTED_VALUE"""),-11.16388888888889)</f>
        <v>-11.16388889</v>
      </c>
      <c r="J824" s="168"/>
      <c r="K824" s="168"/>
      <c r="L824" s="207"/>
      <c r="M824" s="207"/>
    </row>
    <row r="825">
      <c r="A825" s="203" t="str">
        <f>IFERROR(__xludf.DUMMYFUNCTION("""COMPUTED_VALUE"""),"Motocross Madness")</f>
        <v>Motocross Madness</v>
      </c>
      <c r="B825" s="204" t="str">
        <f>IFERROR(__xludf.DUMMYFUNCTION("""COMPUTED_VALUE"""),"XB360/OG Xbox")</f>
        <v>XB360/OG Xbox</v>
      </c>
      <c r="C825" s="205"/>
      <c r="D825" s="205" t="str">
        <f>IFERROR(__xludf.DUMMYFUNCTION("""COMPUTED_VALUE"""),"GwG Permanent")</f>
        <v>GwG Permanent</v>
      </c>
      <c r="E825" s="166">
        <f>IFERROR(__xludf.DUMMYFUNCTION("""COMPUTED_VALUE"""),41852.0)</f>
        <v>41852</v>
      </c>
      <c r="F825" s="206">
        <f>IFERROR(__xludf.DUMMYFUNCTION("""COMPUTED_VALUE"""),41866.0)</f>
        <v>41866</v>
      </c>
      <c r="G825" s="167">
        <f>IFERROR(__xludf.DUMMYFUNCTION("""COMPUTED_VALUE"""),0.4666666666666667)</f>
        <v>0.4666666667</v>
      </c>
      <c r="H825" s="166"/>
      <c r="I825" s="167">
        <f>IFERROR(__xludf.DUMMYFUNCTION("""COMPUTED_VALUE"""),-11.205555555555556)</f>
        <v>-11.20555556</v>
      </c>
      <c r="J825" s="168"/>
      <c r="K825" s="168"/>
      <c r="L825" s="207"/>
      <c r="M825" s="207"/>
    </row>
    <row r="826">
      <c r="A826" s="203" t="str">
        <f>IFERROR(__xludf.DUMMYFUNCTION("""COMPUTED_VALUE"""),"BattleBlock Theater")</f>
        <v>BattleBlock Theater</v>
      </c>
      <c r="B826" s="204" t="str">
        <f>IFERROR(__xludf.DUMMYFUNCTION("""COMPUTED_VALUE"""),"XB360/OG Xbox")</f>
        <v>XB360/OG Xbox</v>
      </c>
      <c r="C826" s="205"/>
      <c r="D826" s="205" t="str">
        <f>IFERROR(__xludf.DUMMYFUNCTION("""COMPUTED_VALUE"""),"GwG Permanent")</f>
        <v>GwG Permanent</v>
      </c>
      <c r="E826" s="166">
        <f>IFERROR(__xludf.DUMMYFUNCTION("""COMPUTED_VALUE"""),41836.0)</f>
        <v>41836</v>
      </c>
      <c r="F826" s="206">
        <f>IFERROR(__xludf.DUMMYFUNCTION("""COMPUTED_VALUE"""),41851.0)</f>
        <v>41851</v>
      </c>
      <c r="G826" s="167">
        <f>IFERROR(__xludf.DUMMYFUNCTION("""COMPUTED_VALUE"""),0.4666666666666667)</f>
        <v>0.4666666667</v>
      </c>
      <c r="H826" s="166"/>
      <c r="I826" s="167">
        <f>IFERROR(__xludf.DUMMYFUNCTION("""COMPUTED_VALUE"""),-11.247222222222222)</f>
        <v>-11.24722222</v>
      </c>
      <c r="J826" s="168"/>
      <c r="K826" s="168"/>
      <c r="L826" s="207"/>
      <c r="M826" s="207"/>
    </row>
    <row r="827">
      <c r="A827" s="203" t="str">
        <f>IFERROR(__xludf.DUMMYFUNCTION("""COMPUTED_VALUE"""),"Gotham City Impostors")</f>
        <v>Gotham City Impostors</v>
      </c>
      <c r="B827" s="204" t="str">
        <f>IFERROR(__xludf.DUMMYFUNCTION("""COMPUTED_VALUE"""),"XB360/OG Xbox")</f>
        <v>XB360/OG Xbox</v>
      </c>
      <c r="C827" s="205"/>
      <c r="D827" s="205" t="str">
        <f>IFERROR(__xludf.DUMMYFUNCTION("""COMPUTED_VALUE"""),"GwG Permanent")</f>
        <v>GwG Permanent</v>
      </c>
      <c r="E827" s="166">
        <f>IFERROR(__xludf.DUMMYFUNCTION("""COMPUTED_VALUE"""),41821.0)</f>
        <v>41821</v>
      </c>
      <c r="F827" s="206">
        <f>IFERROR(__xludf.DUMMYFUNCTION("""COMPUTED_VALUE"""),41835.0)</f>
        <v>41835</v>
      </c>
      <c r="G827" s="167">
        <f>IFERROR(__xludf.DUMMYFUNCTION("""COMPUTED_VALUE"""),0.4666666666666667)</f>
        <v>0.4666666667</v>
      </c>
      <c r="H827" s="166"/>
      <c r="I827" s="167">
        <f>IFERROR(__xludf.DUMMYFUNCTION("""COMPUTED_VALUE"""),-11.28888888888889)</f>
        <v>-11.28888889</v>
      </c>
      <c r="J827" s="168"/>
      <c r="K827" s="168"/>
      <c r="L827" s="207"/>
      <c r="M827" s="207"/>
    </row>
    <row r="828">
      <c r="A828" s="203" t="str">
        <f>IFERROR(__xludf.DUMMYFUNCTION("""COMPUTED_VALUE"""),"Charlie Murder")</f>
        <v>Charlie Murder</v>
      </c>
      <c r="B828" s="204" t="str">
        <f>IFERROR(__xludf.DUMMYFUNCTION("""COMPUTED_VALUE"""),"XB360/OG Xbox")</f>
        <v>XB360/OG Xbox</v>
      </c>
      <c r="C828" s="205"/>
      <c r="D828" s="205" t="str">
        <f>IFERROR(__xludf.DUMMYFUNCTION("""COMPUTED_VALUE"""),"GwG Permanent")</f>
        <v>GwG Permanent</v>
      </c>
      <c r="E828" s="166">
        <f>IFERROR(__xludf.DUMMYFUNCTION("""COMPUTED_VALUE"""),41806.0)</f>
        <v>41806</v>
      </c>
      <c r="F828" s="206">
        <f>IFERROR(__xludf.DUMMYFUNCTION("""COMPUTED_VALUE"""),41820.0)</f>
        <v>41820</v>
      </c>
      <c r="G828" s="167">
        <f>IFERROR(__xludf.DUMMYFUNCTION("""COMPUTED_VALUE"""),0.4666666666666667)</f>
        <v>0.4666666667</v>
      </c>
      <c r="H828" s="166"/>
      <c r="I828" s="167">
        <f>IFERROR(__xludf.DUMMYFUNCTION("""COMPUTED_VALUE"""),-11.330555555555556)</f>
        <v>-11.33055556</v>
      </c>
      <c r="J828" s="168"/>
      <c r="K828" s="168"/>
      <c r="L828" s="207"/>
      <c r="M828" s="207"/>
    </row>
    <row r="829">
      <c r="A829" s="203" t="str">
        <f>IFERROR(__xludf.DUMMYFUNCTION("""COMPUTED_VALUE"""),"Super Street Fighter IV: Arcade Edition")</f>
        <v>Super Street Fighter IV: Arcade Edition</v>
      </c>
      <c r="B829" s="204" t="str">
        <f>IFERROR(__xludf.DUMMYFUNCTION("""COMPUTED_VALUE"""),"XB360/OG Xbox")</f>
        <v>XB360/OG Xbox</v>
      </c>
      <c r="C829" s="205"/>
      <c r="D829" s="205" t="str">
        <f>IFERROR(__xludf.DUMMYFUNCTION("""COMPUTED_VALUE"""),"GwG Permanent")</f>
        <v>GwG Permanent</v>
      </c>
      <c r="E829" s="166">
        <f>IFERROR(__xludf.DUMMYFUNCTION("""COMPUTED_VALUE"""),41806.0)</f>
        <v>41806</v>
      </c>
      <c r="F829" s="206">
        <f>IFERROR(__xludf.DUMMYFUNCTION("""COMPUTED_VALUE"""),41820.0)</f>
        <v>41820</v>
      </c>
      <c r="G829" s="167">
        <f>IFERROR(__xludf.DUMMYFUNCTION("""COMPUTED_VALUE"""),0.4666666666666667)</f>
        <v>0.4666666667</v>
      </c>
      <c r="H829" s="166"/>
      <c r="I829" s="167">
        <f>IFERROR(__xludf.DUMMYFUNCTION("""COMPUTED_VALUE"""),-11.330555555555556)</f>
        <v>-11.33055556</v>
      </c>
      <c r="J829" s="168"/>
      <c r="K829" s="168"/>
      <c r="L829" s="207"/>
      <c r="M829" s="207"/>
    </row>
    <row r="830">
      <c r="A830" s="203" t="str">
        <f>IFERROR(__xludf.DUMMYFUNCTION("""COMPUTED_VALUE"""),"Dark Souls")</f>
        <v>Dark Souls</v>
      </c>
      <c r="B830" s="204" t="str">
        <f>IFERROR(__xludf.DUMMYFUNCTION("""COMPUTED_VALUE"""),"XB360/OG Xbox")</f>
        <v>XB360/OG Xbox</v>
      </c>
      <c r="C830" s="205"/>
      <c r="D830" s="205" t="str">
        <f>IFERROR(__xludf.DUMMYFUNCTION("""COMPUTED_VALUE"""),"GwG Permanent")</f>
        <v>GwG Permanent</v>
      </c>
      <c r="E830" s="166">
        <f>IFERROR(__xludf.DUMMYFUNCTION("""COMPUTED_VALUE"""),41791.0)</f>
        <v>41791</v>
      </c>
      <c r="F830" s="206">
        <f>IFERROR(__xludf.DUMMYFUNCTION("""COMPUTED_VALUE"""),41805.0)</f>
        <v>41805</v>
      </c>
      <c r="G830" s="167">
        <f>IFERROR(__xludf.DUMMYFUNCTION("""COMPUTED_VALUE"""),0.4666666666666667)</f>
        <v>0.4666666667</v>
      </c>
      <c r="H830" s="166"/>
      <c r="I830" s="167">
        <f>IFERROR(__xludf.DUMMYFUNCTION("""COMPUTED_VALUE"""),-11.372222222222222)</f>
        <v>-11.37222222</v>
      </c>
      <c r="J830" s="168"/>
      <c r="K830" s="168"/>
      <c r="L830" s="207"/>
      <c r="M830" s="207"/>
    </row>
    <row r="831">
      <c r="A831" s="203" t="str">
        <f>IFERROR(__xludf.DUMMYFUNCTION("""COMPUTED_VALUE"""),"Saints Row: The Third")</f>
        <v>Saints Row: The Third</v>
      </c>
      <c r="B831" s="204" t="str">
        <f>IFERROR(__xludf.DUMMYFUNCTION("""COMPUTED_VALUE"""),"XB360/OG Xbox")</f>
        <v>XB360/OG Xbox</v>
      </c>
      <c r="C831" s="205"/>
      <c r="D831" s="205" t="str">
        <f>IFERROR(__xludf.DUMMYFUNCTION("""COMPUTED_VALUE"""),"GwG Permanent")</f>
        <v>GwG Permanent</v>
      </c>
      <c r="E831" s="166">
        <f>IFERROR(__xludf.DUMMYFUNCTION("""COMPUTED_VALUE"""),41775.0)</f>
        <v>41775</v>
      </c>
      <c r="F831" s="206">
        <f>IFERROR(__xludf.DUMMYFUNCTION("""COMPUTED_VALUE"""),41790.0)</f>
        <v>41790</v>
      </c>
      <c r="G831" s="167">
        <f>IFERROR(__xludf.DUMMYFUNCTION("""COMPUTED_VALUE"""),0.4666666666666667)</f>
        <v>0.4666666667</v>
      </c>
      <c r="H831" s="166"/>
      <c r="I831" s="167">
        <f>IFERROR(__xludf.DUMMYFUNCTION("""COMPUTED_VALUE"""),-11.41388888888889)</f>
        <v>-11.41388889</v>
      </c>
      <c r="J831" s="168"/>
      <c r="K831" s="168"/>
      <c r="L831" s="207"/>
      <c r="M831" s="207"/>
    </row>
    <row r="832">
      <c r="A832" s="203" t="str">
        <f>IFERROR(__xludf.DUMMYFUNCTION("""COMPUTED_VALUE"""),"Dust: An Elysian Tail")</f>
        <v>Dust: An Elysian Tail</v>
      </c>
      <c r="B832" s="204" t="str">
        <f>IFERROR(__xludf.DUMMYFUNCTION("""COMPUTED_VALUE"""),"XB360/OG Xbox")</f>
        <v>XB360/OG Xbox</v>
      </c>
      <c r="C832" s="205"/>
      <c r="D832" s="205" t="str">
        <f>IFERROR(__xludf.DUMMYFUNCTION("""COMPUTED_VALUE"""),"GwG Permanent")</f>
        <v>GwG Permanent</v>
      </c>
      <c r="E832" s="166">
        <f>IFERROR(__xludf.DUMMYFUNCTION("""COMPUTED_VALUE"""),41760.0)</f>
        <v>41760</v>
      </c>
      <c r="F832" s="206">
        <f>IFERROR(__xludf.DUMMYFUNCTION("""COMPUTED_VALUE"""),41774.0)</f>
        <v>41774</v>
      </c>
      <c r="G832" s="167">
        <f>IFERROR(__xludf.DUMMYFUNCTION("""COMPUTED_VALUE"""),0.4666666666666667)</f>
        <v>0.4666666667</v>
      </c>
      <c r="H832" s="166"/>
      <c r="I832" s="167">
        <f>IFERROR(__xludf.DUMMYFUNCTION("""COMPUTED_VALUE"""),-11.455555555555556)</f>
        <v>-11.45555556</v>
      </c>
      <c r="J832" s="168"/>
      <c r="K832" s="168"/>
      <c r="L832" s="207"/>
      <c r="M832" s="207"/>
    </row>
    <row r="833">
      <c r="A833" s="203" t="str">
        <f>IFERROR(__xludf.DUMMYFUNCTION("""COMPUTED_VALUE"""),"Deadlight")</f>
        <v>Deadlight</v>
      </c>
      <c r="B833" s="204" t="str">
        <f>IFERROR(__xludf.DUMMYFUNCTION("""COMPUTED_VALUE"""),"XB360/OG Xbox")</f>
        <v>XB360/OG Xbox</v>
      </c>
      <c r="C833" s="205"/>
      <c r="D833" s="205" t="str">
        <f>IFERROR(__xludf.DUMMYFUNCTION("""COMPUTED_VALUE"""),"GwG Permanent")</f>
        <v>GwG Permanent</v>
      </c>
      <c r="E833" s="166">
        <f>IFERROR(__xludf.DUMMYFUNCTION("""COMPUTED_VALUE"""),41745.0)</f>
        <v>41745</v>
      </c>
      <c r="F833" s="206">
        <f>IFERROR(__xludf.DUMMYFUNCTION("""COMPUTED_VALUE"""),41759.0)</f>
        <v>41759</v>
      </c>
      <c r="G833" s="167">
        <f>IFERROR(__xludf.DUMMYFUNCTION("""COMPUTED_VALUE"""),0.4666666666666667)</f>
        <v>0.4666666667</v>
      </c>
      <c r="H833" s="166"/>
      <c r="I833" s="167">
        <f>IFERROR(__xludf.DUMMYFUNCTION("""COMPUTED_VALUE"""),-11.497222222222222)</f>
        <v>-11.49722222</v>
      </c>
      <c r="J833" s="168"/>
      <c r="K833" s="168"/>
      <c r="L833" s="207"/>
      <c r="M833" s="207"/>
    </row>
    <row r="834">
      <c r="A834" s="203" t="str">
        <f>IFERROR(__xludf.DUMMYFUNCTION("""COMPUTED_VALUE"""),"Hitman: Absolution")</f>
        <v>Hitman: Absolution</v>
      </c>
      <c r="B834" s="204" t="str">
        <f>IFERROR(__xludf.DUMMYFUNCTION("""COMPUTED_VALUE"""),"XB360/OG Xbox")</f>
        <v>XB360/OG Xbox</v>
      </c>
      <c r="C834" s="205"/>
      <c r="D834" s="205" t="str">
        <f>IFERROR(__xludf.DUMMYFUNCTION("""COMPUTED_VALUE"""),"GwG Permanent")</f>
        <v>GwG Permanent</v>
      </c>
      <c r="E834" s="166">
        <f>IFERROR(__xludf.DUMMYFUNCTION("""COMPUTED_VALUE"""),41730.0)</f>
        <v>41730</v>
      </c>
      <c r="F834" s="206">
        <f>IFERROR(__xludf.DUMMYFUNCTION("""COMPUTED_VALUE"""),41744.0)</f>
        <v>41744</v>
      </c>
      <c r="G834" s="167">
        <f>IFERROR(__xludf.DUMMYFUNCTION("""COMPUTED_VALUE"""),0.4666666666666667)</f>
        <v>0.4666666667</v>
      </c>
      <c r="H834" s="166"/>
      <c r="I834" s="167">
        <f>IFERROR(__xludf.DUMMYFUNCTION("""COMPUTED_VALUE"""),-11.53888888888889)</f>
        <v>-11.53888889</v>
      </c>
      <c r="J834" s="168"/>
      <c r="K834" s="168"/>
      <c r="L834" s="207"/>
      <c r="M834" s="207"/>
    </row>
    <row r="835">
      <c r="A835" s="203" t="str">
        <f>IFERROR(__xludf.DUMMYFUNCTION("""COMPUTED_VALUE"""),"Dungeon Defenders")</f>
        <v>Dungeon Defenders</v>
      </c>
      <c r="B835" s="204" t="str">
        <f>IFERROR(__xludf.DUMMYFUNCTION("""COMPUTED_VALUE"""),"XB360/OG Xbox")</f>
        <v>XB360/OG Xbox</v>
      </c>
      <c r="C835" s="205"/>
      <c r="D835" s="205" t="str">
        <f>IFERROR(__xludf.DUMMYFUNCTION("""COMPUTED_VALUE"""),"GwG Permanent")</f>
        <v>GwG Permanent</v>
      </c>
      <c r="E835" s="166">
        <f>IFERROR(__xludf.DUMMYFUNCTION("""COMPUTED_VALUE"""),41714.0)</f>
        <v>41714</v>
      </c>
      <c r="F835" s="206">
        <f>IFERROR(__xludf.DUMMYFUNCTION("""COMPUTED_VALUE"""),41729.0)</f>
        <v>41729</v>
      </c>
      <c r="G835" s="167">
        <f>IFERROR(__xludf.DUMMYFUNCTION("""COMPUTED_VALUE"""),0.4666666666666667)</f>
        <v>0.4666666667</v>
      </c>
      <c r="H835" s="166"/>
      <c r="I835" s="167">
        <f>IFERROR(__xludf.DUMMYFUNCTION("""COMPUTED_VALUE"""),-11.580555555555556)</f>
        <v>-11.58055556</v>
      </c>
      <c r="J835" s="168"/>
      <c r="K835" s="168"/>
      <c r="L835" s="207"/>
      <c r="M835" s="207"/>
    </row>
    <row r="836">
      <c r="A836" s="203" t="str">
        <f>IFERROR(__xludf.DUMMYFUNCTION("""COMPUTED_VALUE"""),"Sid Meier's Civilization Revolution")</f>
        <v>Sid Meier's Civilization Revolution</v>
      </c>
      <c r="B836" s="204" t="str">
        <f>IFERROR(__xludf.DUMMYFUNCTION("""COMPUTED_VALUE"""),"XB360/OG Xbox")</f>
        <v>XB360/OG Xbox</v>
      </c>
      <c r="C836" s="205"/>
      <c r="D836" s="205" t="str">
        <f>IFERROR(__xludf.DUMMYFUNCTION("""COMPUTED_VALUE"""),"GwG Permanent")</f>
        <v>GwG Permanent</v>
      </c>
      <c r="E836" s="166">
        <f>IFERROR(__xludf.DUMMYFUNCTION("""COMPUTED_VALUE"""),41699.0)</f>
        <v>41699</v>
      </c>
      <c r="F836" s="206">
        <f>IFERROR(__xludf.DUMMYFUNCTION("""COMPUTED_VALUE"""),41713.0)</f>
        <v>41713</v>
      </c>
      <c r="G836" s="167">
        <f>IFERROR(__xludf.DUMMYFUNCTION("""COMPUTED_VALUE"""),0.4666666666666667)</f>
        <v>0.4666666667</v>
      </c>
      <c r="H836" s="166"/>
      <c r="I836" s="167">
        <f>IFERROR(__xludf.DUMMYFUNCTION("""COMPUTED_VALUE"""),-11.622222222222222)</f>
        <v>-11.62222222</v>
      </c>
      <c r="J836" s="168"/>
      <c r="K836" s="168"/>
      <c r="L836" s="207"/>
      <c r="M836" s="207" t="str">
        <f>IFERROR(__xludf.DUMMYFUNCTION("""COMPUTED_VALUE"""),"Enhanced")</f>
        <v>Enhanced</v>
      </c>
    </row>
    <row r="837">
      <c r="A837" s="203" t="str">
        <f>IFERROR(__xludf.DUMMYFUNCTION("""COMPUTED_VALUE"""),"Toy Soldiers: Cold War")</f>
        <v>Toy Soldiers: Cold War</v>
      </c>
      <c r="B837" s="204" t="str">
        <f>IFERROR(__xludf.DUMMYFUNCTION("""COMPUTED_VALUE"""),"XB360/OG Xbox")</f>
        <v>XB360/OG Xbox</v>
      </c>
      <c r="C837" s="205"/>
      <c r="D837" s="205" t="str">
        <f>IFERROR(__xludf.DUMMYFUNCTION("""COMPUTED_VALUE"""),"GwG Permanent")</f>
        <v>GwG Permanent</v>
      </c>
      <c r="E837" s="166">
        <f>IFERROR(__xludf.DUMMYFUNCTION("""COMPUTED_VALUE"""),41686.0)</f>
        <v>41686</v>
      </c>
      <c r="F837" s="206">
        <f>IFERROR(__xludf.DUMMYFUNCTION("""COMPUTED_VALUE"""),41698.0)</f>
        <v>41698</v>
      </c>
      <c r="G837" s="167">
        <f>IFERROR(__xludf.DUMMYFUNCTION("""COMPUTED_VALUE"""),0.4)</f>
        <v>0.4</v>
      </c>
      <c r="H837" s="166"/>
      <c r="I837" s="167">
        <f>IFERROR(__xludf.DUMMYFUNCTION("""COMPUTED_VALUE"""),-11.66388888888889)</f>
        <v>-11.66388889</v>
      </c>
      <c r="J837" s="168"/>
      <c r="K837" s="168"/>
      <c r="L837" s="207"/>
      <c r="M837" s="207"/>
    </row>
    <row r="838">
      <c r="A838" s="203" t="str">
        <f>IFERROR(__xludf.DUMMYFUNCTION("""COMPUTED_VALUE"""),"Dead Island")</f>
        <v>Dead Island</v>
      </c>
      <c r="B838" s="204" t="str">
        <f>IFERROR(__xludf.DUMMYFUNCTION("""COMPUTED_VALUE"""),"XB360/OG Xbox")</f>
        <v>XB360/OG Xbox</v>
      </c>
      <c r="C838" s="205"/>
      <c r="D838" s="205" t="str">
        <f>IFERROR(__xludf.DUMMYFUNCTION("""COMPUTED_VALUE"""),"GwG Permanent")</f>
        <v>GwG Permanent</v>
      </c>
      <c r="E838" s="166">
        <f>IFERROR(__xludf.DUMMYFUNCTION("""COMPUTED_VALUE"""),41671.0)</f>
        <v>41671</v>
      </c>
      <c r="F838" s="206">
        <f>IFERROR(__xludf.DUMMYFUNCTION("""COMPUTED_VALUE"""),41685.0)</f>
        <v>41685</v>
      </c>
      <c r="G838" s="167">
        <f>IFERROR(__xludf.DUMMYFUNCTION("""COMPUTED_VALUE"""),0.4666666666666667)</f>
        <v>0.4666666667</v>
      </c>
      <c r="H838" s="166"/>
      <c r="I838" s="167">
        <f>IFERROR(__xludf.DUMMYFUNCTION("""COMPUTED_VALUE"""),-11.705555555555556)</f>
        <v>-11.70555556</v>
      </c>
      <c r="J838" s="168"/>
      <c r="K838" s="168"/>
      <c r="L838" s="207"/>
      <c r="M838" s="207"/>
    </row>
    <row r="839">
      <c r="A839" s="203" t="str">
        <f>IFERROR(__xludf.DUMMYFUNCTION("""COMPUTED_VALUE"""),"Lara Croft and the Guardian of Light")</f>
        <v>Lara Croft and the Guardian of Light</v>
      </c>
      <c r="B839" s="204" t="str">
        <f>IFERROR(__xludf.DUMMYFUNCTION("""COMPUTED_VALUE"""),"XB360/OG Xbox")</f>
        <v>XB360/OG Xbox</v>
      </c>
      <c r="C839" s="205"/>
      <c r="D839" s="205" t="str">
        <f>IFERROR(__xludf.DUMMYFUNCTION("""COMPUTED_VALUE"""),"GwG Permanent")</f>
        <v>GwG Permanent</v>
      </c>
      <c r="E839" s="166">
        <f>IFERROR(__xludf.DUMMYFUNCTION("""COMPUTED_VALUE"""),41655.0)</f>
        <v>41655</v>
      </c>
      <c r="F839" s="206">
        <f>IFERROR(__xludf.DUMMYFUNCTION("""COMPUTED_VALUE"""),41670.0)</f>
        <v>41670</v>
      </c>
      <c r="G839" s="167">
        <f>IFERROR(__xludf.DUMMYFUNCTION("""COMPUTED_VALUE"""),0.4666666666666667)</f>
        <v>0.4666666667</v>
      </c>
      <c r="H839" s="166"/>
      <c r="I839" s="167">
        <f>IFERROR(__xludf.DUMMYFUNCTION("""COMPUTED_VALUE"""),-11.747222222222222)</f>
        <v>-11.74722222</v>
      </c>
      <c r="J839" s="168"/>
      <c r="K839" s="168"/>
      <c r="L839" s="207"/>
      <c r="M839" s="207"/>
    </row>
    <row r="840">
      <c r="A840" s="203" t="str">
        <f>IFERROR(__xludf.DUMMYFUNCTION("""COMPUTED_VALUE"""),"Sleeping Dogs")</f>
        <v>Sleeping Dogs</v>
      </c>
      <c r="B840" s="204" t="str">
        <f>IFERROR(__xludf.DUMMYFUNCTION("""COMPUTED_VALUE"""),"XB360/OG Xbox")</f>
        <v>XB360/OG Xbox</v>
      </c>
      <c r="C840" s="205"/>
      <c r="D840" s="205" t="str">
        <f>IFERROR(__xludf.DUMMYFUNCTION("""COMPUTED_VALUE"""),"GwG Permanent")</f>
        <v>GwG Permanent</v>
      </c>
      <c r="E840" s="166">
        <f>IFERROR(__xludf.DUMMYFUNCTION("""COMPUTED_VALUE"""),41640.0)</f>
        <v>41640</v>
      </c>
      <c r="F840" s="206">
        <f>IFERROR(__xludf.DUMMYFUNCTION("""COMPUTED_VALUE"""),41654.0)</f>
        <v>41654</v>
      </c>
      <c r="G840" s="167">
        <f>IFERROR(__xludf.DUMMYFUNCTION("""COMPUTED_VALUE"""),0.4666666666666667)</f>
        <v>0.4666666667</v>
      </c>
      <c r="H840" s="166"/>
      <c r="I840" s="167">
        <f>IFERROR(__xludf.DUMMYFUNCTION("""COMPUTED_VALUE"""),-11.78888888888889)</f>
        <v>-11.78888889</v>
      </c>
      <c r="J840" s="168"/>
      <c r="K840" s="168"/>
      <c r="L840" s="207"/>
      <c r="M840" s="207"/>
    </row>
    <row r="841">
      <c r="A841" s="203" t="str">
        <f>IFERROR(__xludf.DUMMYFUNCTION("""COMPUTED_VALUE"""),"Shoot Many Robots")</f>
        <v>Shoot Many Robots</v>
      </c>
      <c r="B841" s="204" t="str">
        <f>IFERROR(__xludf.DUMMYFUNCTION("""COMPUTED_VALUE"""),"XB360/OG Xbox")</f>
        <v>XB360/OG Xbox</v>
      </c>
      <c r="C841" s="205"/>
      <c r="D841" s="205" t="str">
        <f>IFERROR(__xludf.DUMMYFUNCTION("""COMPUTED_VALUE"""),"GwG Permanent")</f>
        <v>GwG Permanent</v>
      </c>
      <c r="E841" s="166">
        <f>IFERROR(__xludf.DUMMYFUNCTION("""COMPUTED_VALUE"""),41624.0)</f>
        <v>41624</v>
      </c>
      <c r="F841" s="206">
        <f>IFERROR(__xludf.DUMMYFUNCTION("""COMPUTED_VALUE"""),41639.0)</f>
        <v>41639</v>
      </c>
      <c r="G841" s="167">
        <f>IFERROR(__xludf.DUMMYFUNCTION("""COMPUTED_VALUE"""),0.4666666666666667)</f>
        <v>0.4666666667</v>
      </c>
      <c r="H841" s="166"/>
      <c r="I841" s="167">
        <f>IFERROR(__xludf.DUMMYFUNCTION("""COMPUTED_VALUE"""),-11.830555555555556)</f>
        <v>-11.83055556</v>
      </c>
      <c r="J841" s="168"/>
      <c r="K841" s="168"/>
      <c r="L841" s="207"/>
      <c r="M841" s="207"/>
    </row>
    <row r="842">
      <c r="A842" s="203" t="str">
        <f>IFERROR(__xludf.DUMMYFUNCTION("""COMPUTED_VALUE"""),"Gears of War")</f>
        <v>Gears of War</v>
      </c>
      <c r="B842" s="204" t="str">
        <f>IFERROR(__xludf.DUMMYFUNCTION("""COMPUTED_VALUE"""),"XB360/OG Xbox")</f>
        <v>XB360/OG Xbox</v>
      </c>
      <c r="C842" s="205"/>
      <c r="D842" s="205" t="str">
        <f>IFERROR(__xludf.DUMMYFUNCTION("""COMPUTED_VALUE"""),"GwG Permanent")</f>
        <v>GwG Permanent</v>
      </c>
      <c r="E842" s="166">
        <f>IFERROR(__xludf.DUMMYFUNCTION("""COMPUTED_VALUE"""),41609.0)</f>
        <v>41609</v>
      </c>
      <c r="F842" s="206">
        <f>IFERROR(__xludf.DUMMYFUNCTION("""COMPUTED_VALUE"""),41623.0)</f>
        <v>41623</v>
      </c>
      <c r="G842" s="167">
        <f>IFERROR(__xludf.DUMMYFUNCTION("""COMPUTED_VALUE"""),0.4666666666666667)</f>
        <v>0.4666666667</v>
      </c>
      <c r="H842" s="166"/>
      <c r="I842" s="167">
        <f>IFERROR(__xludf.DUMMYFUNCTION("""COMPUTED_VALUE"""),-11.872222222222222)</f>
        <v>-11.87222222</v>
      </c>
      <c r="J842" s="168"/>
      <c r="K842" s="168"/>
      <c r="L842" s="207"/>
      <c r="M842" s="207"/>
    </row>
    <row r="843">
      <c r="A843" s="203" t="str">
        <f>IFERROR(__xludf.DUMMYFUNCTION("""COMPUTED_VALUE"""),"Iron Brigade")</f>
        <v>Iron Brigade</v>
      </c>
      <c r="B843" s="204" t="str">
        <f>IFERROR(__xludf.DUMMYFUNCTION("""COMPUTED_VALUE"""),"XB360/OG Xbox")</f>
        <v>XB360/OG Xbox</v>
      </c>
      <c r="C843" s="205"/>
      <c r="D843" s="205" t="str">
        <f>IFERROR(__xludf.DUMMYFUNCTION("""COMPUTED_VALUE"""),"GwG Permanent")</f>
        <v>GwG Permanent</v>
      </c>
      <c r="E843" s="166">
        <f>IFERROR(__xludf.DUMMYFUNCTION("""COMPUTED_VALUE"""),41594.0)</f>
        <v>41594</v>
      </c>
      <c r="F843" s="206">
        <f>IFERROR(__xludf.DUMMYFUNCTION("""COMPUTED_VALUE"""),41608.0)</f>
        <v>41608</v>
      </c>
      <c r="G843" s="167">
        <f>IFERROR(__xludf.DUMMYFUNCTION("""COMPUTED_VALUE"""),0.4666666666666667)</f>
        <v>0.4666666667</v>
      </c>
      <c r="H843" s="166"/>
      <c r="I843" s="167">
        <f>IFERROR(__xludf.DUMMYFUNCTION("""COMPUTED_VALUE"""),-11.91388888888889)</f>
        <v>-11.91388889</v>
      </c>
      <c r="J843" s="168"/>
      <c r="K843" s="168"/>
      <c r="L843" s="207"/>
      <c r="M843" s="207"/>
    </row>
    <row r="844">
      <c r="A844" s="203" t="str">
        <f>IFERROR(__xludf.DUMMYFUNCTION("""COMPUTED_VALUE"""),"A World of Keflings")</f>
        <v>A World of Keflings</v>
      </c>
      <c r="B844" s="204" t="str">
        <f>IFERROR(__xludf.DUMMYFUNCTION("""COMPUTED_VALUE"""),"XB360/OG Xbox")</f>
        <v>XB360/OG Xbox</v>
      </c>
      <c r="C844" s="205"/>
      <c r="D844" s="205" t="str">
        <f>IFERROR(__xludf.DUMMYFUNCTION("""COMPUTED_VALUE"""),"GwG Permanent")</f>
        <v>GwG Permanent</v>
      </c>
      <c r="E844" s="166">
        <f>IFERROR(__xludf.DUMMYFUNCTION("""COMPUTED_VALUE"""),41579.0)</f>
        <v>41579</v>
      </c>
      <c r="F844" s="206">
        <f>IFERROR(__xludf.DUMMYFUNCTION("""COMPUTED_VALUE"""),41593.0)</f>
        <v>41593</v>
      </c>
      <c r="G844" s="167">
        <f>IFERROR(__xludf.DUMMYFUNCTION("""COMPUTED_VALUE"""),0.4666666666666667)</f>
        <v>0.4666666667</v>
      </c>
      <c r="H844" s="166"/>
      <c r="I844" s="167">
        <f>IFERROR(__xludf.DUMMYFUNCTION("""COMPUTED_VALUE"""),-11.955555555555556)</f>
        <v>-11.95555556</v>
      </c>
      <c r="J844" s="168"/>
      <c r="K844" s="168"/>
      <c r="L844" s="207"/>
      <c r="M844" s="207"/>
    </row>
    <row r="845">
      <c r="A845" s="203" t="str">
        <f>IFERROR(__xludf.DUMMYFUNCTION("""COMPUTED_VALUE"""),"Halo 3")</f>
        <v>Halo 3</v>
      </c>
      <c r="B845" s="204" t="str">
        <f>IFERROR(__xludf.DUMMYFUNCTION("""COMPUTED_VALUE"""),"XB360/OG Xbox")</f>
        <v>XB360/OG Xbox</v>
      </c>
      <c r="C845" s="205"/>
      <c r="D845" s="205" t="str">
        <f>IFERROR(__xludf.DUMMYFUNCTION("""COMPUTED_VALUE"""),"GwG Permanent")</f>
        <v>GwG Permanent</v>
      </c>
      <c r="E845" s="166">
        <f>IFERROR(__xludf.DUMMYFUNCTION("""COMPUTED_VALUE"""),41563.0)</f>
        <v>41563</v>
      </c>
      <c r="F845" s="206">
        <f>IFERROR(__xludf.DUMMYFUNCTION("""COMPUTED_VALUE"""),41578.0)</f>
        <v>41578</v>
      </c>
      <c r="G845" s="167">
        <f>IFERROR(__xludf.DUMMYFUNCTION("""COMPUTED_VALUE"""),0.4666666666666667)</f>
        <v>0.4666666667</v>
      </c>
      <c r="H845" s="166"/>
      <c r="I845" s="167">
        <f>IFERROR(__xludf.DUMMYFUNCTION("""COMPUTED_VALUE"""),-11.997222222222222)</f>
        <v>-11.99722222</v>
      </c>
      <c r="J845" s="168"/>
      <c r="K845" s="168"/>
      <c r="L845" s="207"/>
      <c r="M845" s="207" t="str">
        <f>IFERROR(__xludf.DUMMYFUNCTION("""COMPUTED_VALUE"""),"Enhanced")</f>
        <v>Enhanced</v>
      </c>
    </row>
    <row r="846">
      <c r="A846" s="203" t="str">
        <f>IFERROR(__xludf.DUMMYFUNCTION("""COMPUTED_VALUE"""),"Might &amp; Magic: Clash of Heroes")</f>
        <v>Might &amp; Magic: Clash of Heroes</v>
      </c>
      <c r="B846" s="204" t="str">
        <f>IFERROR(__xludf.DUMMYFUNCTION("""COMPUTED_VALUE"""),"XB360/OG Xbox")</f>
        <v>XB360/OG Xbox</v>
      </c>
      <c r="C846" s="205"/>
      <c r="D846" s="205" t="str">
        <f>IFERROR(__xludf.DUMMYFUNCTION("""COMPUTED_VALUE"""),"GwG Permanent")</f>
        <v>GwG Permanent</v>
      </c>
      <c r="E846" s="166">
        <f>IFERROR(__xludf.DUMMYFUNCTION("""COMPUTED_VALUE"""),41548.0)</f>
        <v>41548</v>
      </c>
      <c r="F846" s="206">
        <f>IFERROR(__xludf.DUMMYFUNCTION("""COMPUTED_VALUE"""),41562.0)</f>
        <v>41562</v>
      </c>
      <c r="G846" s="167">
        <f>IFERROR(__xludf.DUMMYFUNCTION("""COMPUTED_VALUE"""),0.4666666666666667)</f>
        <v>0.4666666667</v>
      </c>
      <c r="H846" s="166"/>
      <c r="I846" s="167">
        <f>IFERROR(__xludf.DUMMYFUNCTION("""COMPUTED_VALUE"""),-12.03888888888889)</f>
        <v>-12.03888889</v>
      </c>
      <c r="J846" s="168"/>
      <c r="K846" s="168"/>
      <c r="L846" s="207"/>
      <c r="M846" s="207"/>
    </row>
    <row r="847">
      <c r="A847" s="203" t="str">
        <f>IFERROR(__xludf.DUMMYFUNCTION("""COMPUTED_VALUE"""),"Tom Clancy's Rainbow Six: Vegas")</f>
        <v>Tom Clancy's Rainbow Six: Vegas</v>
      </c>
      <c r="B847" s="204" t="str">
        <f>IFERROR(__xludf.DUMMYFUNCTION("""COMPUTED_VALUE"""),"XB360/OG Xbox")</f>
        <v>XB360/OG Xbox</v>
      </c>
      <c r="C847" s="205"/>
      <c r="D847" s="205" t="str">
        <f>IFERROR(__xludf.DUMMYFUNCTION("""COMPUTED_VALUE"""),"GwG Permanent")</f>
        <v>GwG Permanent</v>
      </c>
      <c r="E847" s="166">
        <f>IFERROR(__xludf.DUMMYFUNCTION("""COMPUTED_VALUE"""),41533.0)</f>
        <v>41533</v>
      </c>
      <c r="F847" s="206">
        <f>IFERROR(__xludf.DUMMYFUNCTION("""COMPUTED_VALUE"""),41547.0)</f>
        <v>41547</v>
      </c>
      <c r="G847" s="167">
        <f>IFERROR(__xludf.DUMMYFUNCTION("""COMPUTED_VALUE"""),0.4666666666666667)</f>
        <v>0.4666666667</v>
      </c>
      <c r="H847" s="166"/>
      <c r="I847" s="167">
        <f>IFERROR(__xludf.DUMMYFUNCTION("""COMPUTED_VALUE"""),-12.080555555555556)</f>
        <v>-12.08055556</v>
      </c>
      <c r="J847" s="168"/>
      <c r="K847" s="168"/>
      <c r="L847" s="207"/>
      <c r="M847" s="207"/>
    </row>
    <row r="848">
      <c r="A848" s="203" t="str">
        <f>IFERROR(__xludf.DUMMYFUNCTION("""COMPUTED_VALUE"""),"Magic: The Gathering - Duels of the Planeswalkers 2013")</f>
        <v>Magic: The Gathering - Duels of the Planeswalkers 2013</v>
      </c>
      <c r="B848" s="204" t="str">
        <f>IFERROR(__xludf.DUMMYFUNCTION("""COMPUTED_VALUE"""),"XB360/OG Xbox")</f>
        <v>XB360/OG Xbox</v>
      </c>
      <c r="C848" s="205"/>
      <c r="D848" s="205" t="str">
        <f>IFERROR(__xludf.DUMMYFUNCTION("""COMPUTED_VALUE"""),"GwG Permanent")</f>
        <v>GwG Permanent</v>
      </c>
      <c r="E848" s="166">
        <f>IFERROR(__xludf.DUMMYFUNCTION("""COMPUTED_VALUE"""),41518.0)</f>
        <v>41518</v>
      </c>
      <c r="F848" s="206">
        <f>IFERROR(__xludf.DUMMYFUNCTION("""COMPUTED_VALUE"""),41532.0)</f>
        <v>41532</v>
      </c>
      <c r="G848" s="167">
        <f>IFERROR(__xludf.DUMMYFUNCTION("""COMPUTED_VALUE"""),0.4666666666666667)</f>
        <v>0.4666666667</v>
      </c>
      <c r="H848" s="166"/>
      <c r="I848" s="167">
        <f>IFERROR(__xludf.DUMMYFUNCTION("""COMPUTED_VALUE"""),-12.122222222222222)</f>
        <v>-12.12222222</v>
      </c>
      <c r="J848" s="168"/>
      <c r="K848" s="168"/>
      <c r="L848" s="207"/>
      <c r="M848" s="207"/>
    </row>
    <row r="849">
      <c r="A849" s="203" t="str">
        <f>IFERROR(__xludf.DUMMYFUNCTION("""COMPUTED_VALUE"""),"Dead Rising 2")</f>
        <v>Dead Rising 2</v>
      </c>
      <c r="B849" s="204" t="str">
        <f>IFERROR(__xludf.DUMMYFUNCTION("""COMPUTED_VALUE"""),"XB360/OG Xbox")</f>
        <v>XB360/OG Xbox</v>
      </c>
      <c r="C849" s="205"/>
      <c r="D849" s="205" t="str">
        <f>IFERROR(__xludf.DUMMYFUNCTION("""COMPUTED_VALUE"""),"GwG Permanent")</f>
        <v>GwG Permanent</v>
      </c>
      <c r="E849" s="166">
        <f>IFERROR(__xludf.DUMMYFUNCTION("""COMPUTED_VALUE"""),41502.0)</f>
        <v>41502</v>
      </c>
      <c r="F849" s="206">
        <f>IFERROR(__xludf.DUMMYFUNCTION("""COMPUTED_VALUE"""),41517.0)</f>
        <v>41517</v>
      </c>
      <c r="G849" s="167">
        <f>IFERROR(__xludf.DUMMYFUNCTION("""COMPUTED_VALUE"""),0.4666666666666667)</f>
        <v>0.4666666667</v>
      </c>
      <c r="H849" s="166"/>
      <c r="I849" s="167">
        <f>IFERROR(__xludf.DUMMYFUNCTION("""COMPUTED_VALUE"""),-12.16388888888889)</f>
        <v>-12.16388889</v>
      </c>
      <c r="J849" s="168"/>
      <c r="K849" s="168"/>
      <c r="L849" s="207"/>
      <c r="M849" s="207"/>
    </row>
    <row r="850">
      <c r="A850" s="203" t="str">
        <f>IFERROR(__xludf.DUMMYFUNCTION("""COMPUTED_VALUE"""),"Crackdown")</f>
        <v>Crackdown</v>
      </c>
      <c r="B850" s="204" t="str">
        <f>IFERROR(__xludf.DUMMYFUNCTION("""COMPUTED_VALUE"""),"XB360/OG Xbox")</f>
        <v>XB360/OG Xbox</v>
      </c>
      <c r="C850" s="205"/>
      <c r="D850" s="205" t="str">
        <f>IFERROR(__xludf.DUMMYFUNCTION("""COMPUTED_VALUE"""),"GwG Permanent")</f>
        <v>GwG Permanent</v>
      </c>
      <c r="E850" s="166">
        <f>IFERROR(__xludf.DUMMYFUNCTION("""COMPUTED_VALUE"""),41487.0)</f>
        <v>41487</v>
      </c>
      <c r="F850" s="206">
        <f>IFERROR(__xludf.DUMMYFUNCTION("""COMPUTED_VALUE"""),41501.0)</f>
        <v>41501</v>
      </c>
      <c r="G850" s="167">
        <f>IFERROR(__xludf.DUMMYFUNCTION("""COMPUTED_VALUE"""),0.4666666666666667)</f>
        <v>0.4666666667</v>
      </c>
      <c r="H850" s="166"/>
      <c r="I850" s="167">
        <f>IFERROR(__xludf.DUMMYFUNCTION("""COMPUTED_VALUE"""),-12.205555555555556)</f>
        <v>-12.20555556</v>
      </c>
      <c r="J850" s="168"/>
      <c r="K850" s="168"/>
      <c r="L850" s="207"/>
      <c r="M850" s="207" t="str">
        <f>IFERROR(__xludf.DUMMYFUNCTION("""COMPUTED_VALUE"""),"Enhanced")</f>
        <v>Enhanced</v>
      </c>
    </row>
    <row r="851">
      <c r="A851" s="203" t="str">
        <f>IFERROR(__xludf.DUMMYFUNCTION("""COMPUTED_VALUE"""),"Assassin's Creed II")</f>
        <v>Assassin's Creed II</v>
      </c>
      <c r="B851" s="204" t="str">
        <f>IFERROR(__xludf.DUMMYFUNCTION("""COMPUTED_VALUE"""),"XB360/OG Xbox")</f>
        <v>XB360/OG Xbox</v>
      </c>
      <c r="C851" s="205"/>
      <c r="D851" s="205" t="str">
        <f>IFERROR(__xludf.DUMMYFUNCTION("""COMPUTED_VALUE"""),"GwG Permanent")</f>
        <v>GwG Permanent</v>
      </c>
      <c r="E851" s="166">
        <f>IFERROR(__xludf.DUMMYFUNCTION("""COMPUTED_VALUE"""),41471.0)</f>
        <v>41471</v>
      </c>
      <c r="F851" s="206">
        <f>IFERROR(__xludf.DUMMYFUNCTION("""COMPUTED_VALUE"""),41486.0)</f>
        <v>41486</v>
      </c>
      <c r="G851" s="167">
        <f>IFERROR(__xludf.DUMMYFUNCTION("""COMPUTED_VALUE"""),0.4666666666666667)</f>
        <v>0.4666666667</v>
      </c>
      <c r="H851" s="166"/>
      <c r="I851" s="167">
        <f>IFERROR(__xludf.DUMMYFUNCTION("""COMPUTED_VALUE"""),-12.247222222222222)</f>
        <v>-12.24722222</v>
      </c>
      <c r="J851" s="168"/>
      <c r="K851" s="168"/>
      <c r="L851" s="207"/>
      <c r="M851" s="207"/>
    </row>
    <row r="852">
      <c r="A852" s="203" t="str">
        <f>IFERROR(__xludf.DUMMYFUNCTION("""COMPUTED_VALUE"""),"Defense Grid: The Awakening")</f>
        <v>Defense Grid: The Awakening</v>
      </c>
      <c r="B852" s="204" t="str">
        <f>IFERROR(__xludf.DUMMYFUNCTION("""COMPUTED_VALUE"""),"XB360/OG Xbox")</f>
        <v>XB360/OG Xbox</v>
      </c>
      <c r="C852" s="205"/>
      <c r="D852" s="205" t="str">
        <f>IFERROR(__xludf.DUMMYFUNCTION("""COMPUTED_VALUE"""),"GwG Permanent")</f>
        <v>GwG Permanent</v>
      </c>
      <c r="E852" s="166">
        <f>IFERROR(__xludf.DUMMYFUNCTION("""COMPUTED_VALUE"""),41456.0)</f>
        <v>41456</v>
      </c>
      <c r="F852" s="206">
        <f>IFERROR(__xludf.DUMMYFUNCTION("""COMPUTED_VALUE"""),41470.0)</f>
        <v>41470</v>
      </c>
      <c r="G852" s="167">
        <f>IFERROR(__xludf.DUMMYFUNCTION("""COMPUTED_VALUE"""),0.4666666666666667)</f>
        <v>0.4666666667</v>
      </c>
      <c r="H852" s="166"/>
      <c r="I852" s="167">
        <f>IFERROR(__xludf.DUMMYFUNCTION("""COMPUTED_VALUE"""),-12.28888888888889)</f>
        <v>-12.28888889</v>
      </c>
      <c r="J852" s="168"/>
      <c r="K852" s="168"/>
      <c r="L852" s="207"/>
      <c r="M852" s="207"/>
    </row>
    <row r="853">
      <c r="A853" s="203" t="str">
        <f>IFERROR(__xludf.DUMMYFUNCTION("""COMPUTED_VALUE"""),"Fable III")</f>
        <v>Fable III</v>
      </c>
      <c r="B853" s="204" t="str">
        <f>IFERROR(__xludf.DUMMYFUNCTION("""COMPUTED_VALUE"""),"XB360/OG Xbox")</f>
        <v>XB360/OG Xbox</v>
      </c>
      <c r="C853" s="205"/>
      <c r="D853" s="205" t="str">
        <f>IFERROR(__xludf.DUMMYFUNCTION("""COMPUTED_VALUE"""),"GwG Permanent")</f>
        <v>GwG Permanent</v>
      </c>
      <c r="E853" s="166">
        <f>IFERROR(__xludf.DUMMYFUNCTION("""COMPUTED_VALUE"""),41435.0)</f>
        <v>41435</v>
      </c>
      <c r="F853" s="206">
        <f>IFERROR(__xludf.DUMMYFUNCTION("""COMPUTED_VALUE"""),41455.0)</f>
        <v>41455</v>
      </c>
      <c r="G853" s="167">
        <f>IFERROR(__xludf.DUMMYFUNCTION("""COMPUTED_VALUE"""),0.6666666666666666)</f>
        <v>0.6666666667</v>
      </c>
      <c r="H853" s="166"/>
      <c r="I853" s="167">
        <f>IFERROR(__xludf.DUMMYFUNCTION("""COMPUTED_VALUE"""),-12.347222222222221)</f>
        <v>-12.34722222</v>
      </c>
      <c r="J853" s="168"/>
      <c r="K853" s="168"/>
      <c r="L853" s="207"/>
      <c r="M853" s="207" t="str">
        <f>IFERROR(__xludf.DUMMYFUNCTION("""COMPUTED_VALUE"""),"Enhanced")</f>
        <v>Enhanced</v>
      </c>
    </row>
    <row r="854">
      <c r="A854" s="203"/>
      <c r="B854" s="204"/>
      <c r="C854" s="205"/>
      <c r="D854" s="205"/>
      <c r="E854" s="166"/>
      <c r="F854" s="206"/>
      <c r="G854" s="167"/>
      <c r="H854" s="166"/>
      <c r="I854" s="167"/>
      <c r="J854" s="168"/>
      <c r="K854" s="169"/>
      <c r="L854" s="207"/>
      <c r="M854" s="207"/>
    </row>
    <row r="855">
      <c r="A855" s="203"/>
      <c r="B855" s="204"/>
      <c r="C855" s="205"/>
      <c r="D855" s="205"/>
      <c r="E855" s="166"/>
      <c r="F855" s="206"/>
      <c r="G855" s="167"/>
      <c r="H855" s="166"/>
      <c r="I855" s="167"/>
      <c r="J855" s="168"/>
      <c r="K855" s="169"/>
      <c r="L855" s="207"/>
      <c r="M855" s="207"/>
    </row>
    <row r="856">
      <c r="A856" s="203"/>
      <c r="B856" s="204"/>
      <c r="C856" s="205"/>
      <c r="D856" s="205"/>
      <c r="E856" s="166"/>
      <c r="F856" s="206"/>
      <c r="G856" s="167"/>
      <c r="H856" s="166"/>
      <c r="I856" s="167"/>
      <c r="J856" s="168"/>
      <c r="K856" s="169"/>
      <c r="L856" s="207"/>
      <c r="M856" s="207"/>
    </row>
    <row r="857">
      <c r="A857" s="203"/>
      <c r="B857" s="204"/>
      <c r="C857" s="205"/>
      <c r="D857" s="205"/>
      <c r="E857" s="166"/>
      <c r="F857" s="206"/>
      <c r="G857" s="167"/>
      <c r="H857" s="166"/>
      <c r="I857" s="167"/>
      <c r="J857" s="168"/>
      <c r="K857" s="169"/>
      <c r="L857" s="207"/>
      <c r="M857" s="207"/>
    </row>
    <row r="858">
      <c r="A858" s="203"/>
      <c r="B858" s="204"/>
      <c r="C858" s="205"/>
      <c r="D858" s="205"/>
      <c r="E858" s="166"/>
      <c r="F858" s="206"/>
      <c r="G858" s="167"/>
      <c r="H858" s="166"/>
      <c r="I858" s="167"/>
      <c r="J858" s="168"/>
      <c r="K858" s="169"/>
      <c r="L858" s="207"/>
      <c r="M858" s="207"/>
    </row>
    <row r="859">
      <c r="A859" s="203"/>
      <c r="B859" s="204"/>
      <c r="C859" s="205"/>
      <c r="D859" s="205"/>
      <c r="E859" s="166"/>
      <c r="F859" s="206"/>
      <c r="G859" s="167"/>
      <c r="H859" s="166"/>
      <c r="I859" s="167"/>
      <c r="J859" s="168"/>
      <c r="K859" s="169"/>
      <c r="L859" s="207"/>
      <c r="M859" s="207"/>
    </row>
    <row r="860">
      <c r="A860" s="203"/>
      <c r="B860" s="204"/>
      <c r="C860" s="205"/>
      <c r="D860" s="205"/>
      <c r="E860" s="166"/>
      <c r="F860" s="206"/>
      <c r="G860" s="167"/>
      <c r="H860" s="166"/>
      <c r="I860" s="167"/>
      <c r="J860" s="168"/>
      <c r="K860" s="169"/>
      <c r="L860" s="207"/>
      <c r="M860" s="207"/>
    </row>
    <row r="861">
      <c r="A861" s="203"/>
      <c r="B861" s="204"/>
      <c r="C861" s="205"/>
      <c r="D861" s="205"/>
      <c r="E861" s="166"/>
      <c r="F861" s="206"/>
      <c r="G861" s="167"/>
      <c r="H861" s="166"/>
      <c r="I861" s="167"/>
      <c r="J861" s="168"/>
      <c r="K861" s="169"/>
      <c r="L861" s="207"/>
      <c r="M861" s="207"/>
    </row>
    <row r="862">
      <c r="A862" s="203"/>
      <c r="B862" s="204"/>
      <c r="C862" s="205"/>
      <c r="D862" s="205"/>
      <c r="E862" s="166"/>
      <c r="F862" s="206"/>
      <c r="G862" s="167"/>
      <c r="H862" s="166"/>
      <c r="I862" s="167"/>
      <c r="J862" s="168"/>
      <c r="K862" s="169"/>
      <c r="L862" s="207"/>
      <c r="M862" s="207"/>
    </row>
    <row r="863">
      <c r="A863" s="203"/>
      <c r="B863" s="204"/>
      <c r="C863" s="205"/>
      <c r="D863" s="205"/>
      <c r="E863" s="166"/>
      <c r="F863" s="206"/>
      <c r="G863" s="167"/>
      <c r="H863" s="166"/>
      <c r="I863" s="167"/>
      <c r="J863" s="168"/>
      <c r="K863" s="169"/>
      <c r="L863" s="207"/>
      <c r="M863" s="207"/>
    </row>
    <row r="864">
      <c r="A864" s="203"/>
      <c r="B864" s="204"/>
      <c r="C864" s="205"/>
      <c r="D864" s="205"/>
      <c r="E864" s="166"/>
      <c r="F864" s="206"/>
      <c r="G864" s="167"/>
      <c r="H864" s="166"/>
      <c r="I864" s="167"/>
      <c r="J864" s="168"/>
      <c r="K864" s="169"/>
      <c r="L864" s="207"/>
      <c r="M864" s="207"/>
    </row>
    <row r="865">
      <c r="A865" s="203"/>
      <c r="B865" s="204"/>
      <c r="C865" s="205"/>
      <c r="D865" s="205"/>
      <c r="E865" s="166"/>
      <c r="F865" s="206"/>
      <c r="G865" s="167"/>
      <c r="H865" s="166"/>
      <c r="I865" s="167"/>
      <c r="J865" s="168"/>
      <c r="K865" s="169"/>
      <c r="L865" s="207"/>
      <c r="M865" s="207"/>
    </row>
    <row r="866">
      <c r="A866" s="203"/>
      <c r="B866" s="204"/>
      <c r="C866" s="205"/>
      <c r="D866" s="205"/>
      <c r="E866" s="166"/>
      <c r="F866" s="206"/>
      <c r="G866" s="167"/>
      <c r="H866" s="166"/>
      <c r="I866" s="167"/>
      <c r="J866" s="168"/>
      <c r="K866" s="169"/>
      <c r="L866" s="207"/>
      <c r="M866" s="207"/>
    </row>
    <row r="867">
      <c r="A867" s="203"/>
      <c r="B867" s="204"/>
      <c r="C867" s="205"/>
      <c r="D867" s="205"/>
      <c r="E867" s="166"/>
      <c r="F867" s="206"/>
      <c r="G867" s="167"/>
      <c r="H867" s="166"/>
      <c r="I867" s="167"/>
      <c r="J867" s="168"/>
      <c r="K867" s="169"/>
      <c r="L867" s="207"/>
      <c r="M867" s="207"/>
    </row>
    <row r="868">
      <c r="A868" s="203"/>
      <c r="B868" s="204"/>
      <c r="C868" s="205"/>
      <c r="D868" s="205"/>
      <c r="E868" s="166"/>
      <c r="F868" s="206"/>
      <c r="G868" s="167"/>
      <c r="H868" s="166"/>
      <c r="I868" s="167"/>
      <c r="J868" s="168"/>
      <c r="K868" s="169"/>
      <c r="L868" s="207"/>
      <c r="M868" s="207"/>
    </row>
    <row r="869">
      <c r="A869" s="203"/>
      <c r="B869" s="204"/>
      <c r="C869" s="205"/>
      <c r="D869" s="205"/>
      <c r="E869" s="166"/>
      <c r="F869" s="206"/>
      <c r="G869" s="167"/>
      <c r="H869" s="166"/>
      <c r="I869" s="167"/>
      <c r="J869" s="168"/>
      <c r="K869" s="169"/>
      <c r="L869" s="207"/>
      <c r="M869" s="207"/>
    </row>
    <row r="870">
      <c r="A870" s="203"/>
      <c r="B870" s="204"/>
      <c r="C870" s="205"/>
      <c r="D870" s="205"/>
      <c r="E870" s="166"/>
      <c r="F870" s="206"/>
      <c r="G870" s="167"/>
      <c r="H870" s="166"/>
      <c r="I870" s="167"/>
      <c r="J870" s="168"/>
      <c r="K870" s="169"/>
      <c r="L870" s="207"/>
      <c r="M870" s="207"/>
    </row>
    <row r="871">
      <c r="A871" s="203"/>
      <c r="B871" s="204"/>
      <c r="C871" s="205"/>
      <c r="D871" s="205"/>
      <c r="E871" s="166"/>
      <c r="F871" s="206"/>
      <c r="G871" s="167"/>
      <c r="H871" s="166"/>
      <c r="I871" s="167"/>
      <c r="J871" s="168"/>
      <c r="K871" s="169"/>
      <c r="L871" s="207"/>
      <c r="M871" s="207"/>
    </row>
    <row r="872">
      <c r="A872" s="203"/>
      <c r="B872" s="204"/>
      <c r="C872" s="205"/>
      <c r="D872" s="205"/>
      <c r="E872" s="166"/>
      <c r="F872" s="206"/>
      <c r="G872" s="167"/>
      <c r="H872" s="166"/>
      <c r="I872" s="167"/>
      <c r="J872" s="168"/>
      <c r="K872" s="169"/>
      <c r="L872" s="207"/>
      <c r="M872" s="207"/>
    </row>
    <row r="873">
      <c r="A873" s="203"/>
      <c r="B873" s="204"/>
      <c r="C873" s="205"/>
      <c r="D873" s="205"/>
      <c r="E873" s="166"/>
      <c r="F873" s="206"/>
      <c r="G873" s="167"/>
      <c r="H873" s="166"/>
      <c r="I873" s="167"/>
      <c r="J873" s="168"/>
      <c r="K873" s="169"/>
      <c r="L873" s="207"/>
      <c r="M873" s="207"/>
    </row>
    <row r="874">
      <c r="A874" s="203"/>
      <c r="B874" s="204"/>
      <c r="C874" s="205"/>
      <c r="D874" s="205"/>
      <c r="E874" s="166"/>
      <c r="F874" s="206"/>
      <c r="G874" s="167"/>
      <c r="H874" s="166"/>
      <c r="I874" s="167"/>
      <c r="J874" s="168"/>
      <c r="K874" s="169"/>
      <c r="L874" s="207"/>
      <c r="M874" s="207"/>
    </row>
    <row r="875">
      <c r="A875" s="203"/>
      <c r="B875" s="204"/>
      <c r="C875" s="205"/>
      <c r="D875" s="205"/>
      <c r="E875" s="166"/>
      <c r="F875" s="206"/>
      <c r="G875" s="167"/>
      <c r="H875" s="166"/>
      <c r="I875" s="167"/>
      <c r="J875" s="168"/>
      <c r="K875" s="169"/>
      <c r="L875" s="207"/>
      <c r="M875" s="207"/>
    </row>
    <row r="876">
      <c r="A876" s="203"/>
      <c r="B876" s="204"/>
      <c r="C876" s="205"/>
      <c r="D876" s="205"/>
      <c r="E876" s="166"/>
      <c r="F876" s="206"/>
      <c r="G876" s="167"/>
      <c r="H876" s="166"/>
      <c r="I876" s="167"/>
      <c r="J876" s="168"/>
      <c r="K876" s="169"/>
      <c r="L876" s="207"/>
      <c r="M876" s="207"/>
    </row>
    <row r="877">
      <c r="A877" s="203"/>
      <c r="B877" s="204"/>
      <c r="C877" s="205"/>
      <c r="D877" s="205"/>
      <c r="E877" s="166"/>
      <c r="F877" s="206"/>
      <c r="G877" s="167"/>
      <c r="H877" s="166"/>
      <c r="I877" s="167"/>
      <c r="J877" s="168"/>
      <c r="K877" s="169"/>
      <c r="L877" s="207"/>
      <c r="M877" s="207"/>
    </row>
    <row r="878">
      <c r="A878" s="203"/>
      <c r="B878" s="204"/>
      <c r="C878" s="205"/>
      <c r="D878" s="205"/>
      <c r="E878" s="166"/>
      <c r="F878" s="206"/>
      <c r="G878" s="167"/>
      <c r="H878" s="166"/>
      <c r="I878" s="167"/>
      <c r="J878" s="168"/>
      <c r="K878" s="169"/>
      <c r="L878" s="207"/>
      <c r="M878" s="207"/>
    </row>
    <row r="879">
      <c r="A879" s="203"/>
      <c r="B879" s="204"/>
      <c r="C879" s="205"/>
      <c r="D879" s="205"/>
      <c r="E879" s="166"/>
      <c r="F879" s="206"/>
      <c r="G879" s="167"/>
      <c r="H879" s="166"/>
      <c r="I879" s="167"/>
      <c r="J879" s="168"/>
      <c r="K879" s="169"/>
      <c r="L879" s="207"/>
      <c r="M879" s="207"/>
    </row>
    <row r="880">
      <c r="A880" s="203"/>
      <c r="B880" s="204"/>
      <c r="C880" s="205"/>
      <c r="D880" s="205"/>
      <c r="E880" s="166"/>
      <c r="F880" s="206"/>
      <c r="G880" s="167"/>
      <c r="H880" s="166"/>
      <c r="I880" s="167"/>
      <c r="J880" s="168"/>
      <c r="K880" s="169"/>
      <c r="L880" s="207"/>
      <c r="M880" s="207"/>
    </row>
    <row r="881">
      <c r="A881" s="203"/>
      <c r="B881" s="204"/>
      <c r="C881" s="205"/>
      <c r="D881" s="205"/>
      <c r="E881" s="166"/>
      <c r="F881" s="206"/>
      <c r="G881" s="167"/>
      <c r="H881" s="166"/>
      <c r="I881" s="167"/>
      <c r="J881" s="168"/>
      <c r="K881" s="169"/>
      <c r="L881" s="207"/>
      <c r="M881" s="207"/>
    </row>
    <row r="882">
      <c r="A882" s="203"/>
      <c r="B882" s="204"/>
      <c r="C882" s="205"/>
      <c r="D882" s="205"/>
      <c r="E882" s="166"/>
      <c r="F882" s="206"/>
      <c r="G882" s="167"/>
      <c r="H882" s="166"/>
      <c r="I882" s="167"/>
      <c r="J882" s="168"/>
      <c r="K882" s="169"/>
      <c r="L882" s="207"/>
      <c r="M882" s="207"/>
    </row>
    <row r="883">
      <c r="A883" s="203"/>
      <c r="B883" s="204"/>
      <c r="C883" s="205"/>
      <c r="D883" s="205"/>
      <c r="E883" s="166"/>
      <c r="F883" s="206"/>
      <c r="G883" s="167"/>
      <c r="H883" s="166"/>
      <c r="I883" s="167"/>
      <c r="J883" s="168"/>
      <c r="K883" s="169"/>
      <c r="L883" s="207"/>
      <c r="M883" s="207"/>
    </row>
    <row r="884">
      <c r="A884" s="203"/>
      <c r="B884" s="204"/>
      <c r="C884" s="205"/>
      <c r="D884" s="205"/>
      <c r="E884" s="166"/>
      <c r="F884" s="206"/>
      <c r="G884" s="167"/>
      <c r="H884" s="166"/>
      <c r="I884" s="167"/>
      <c r="J884" s="168"/>
      <c r="K884" s="169"/>
      <c r="L884" s="207"/>
      <c r="M884" s="207"/>
    </row>
    <row r="885">
      <c r="A885" s="203"/>
      <c r="B885" s="204"/>
      <c r="C885" s="205"/>
      <c r="D885" s="205"/>
      <c r="E885" s="166"/>
      <c r="F885" s="206"/>
      <c r="G885" s="167"/>
      <c r="H885" s="166"/>
      <c r="I885" s="167"/>
      <c r="J885" s="168"/>
      <c r="K885" s="169"/>
      <c r="L885" s="207"/>
      <c r="M885" s="207"/>
    </row>
    <row r="886">
      <c r="A886" s="203"/>
      <c r="B886" s="204"/>
      <c r="C886" s="205"/>
      <c r="D886" s="205"/>
      <c r="E886" s="166"/>
      <c r="F886" s="206"/>
      <c r="G886" s="167"/>
      <c r="H886" s="166"/>
      <c r="I886" s="167"/>
      <c r="J886" s="168"/>
      <c r="K886" s="169"/>
      <c r="L886" s="207"/>
      <c r="M886" s="207"/>
    </row>
    <row r="887">
      <c r="A887" s="203"/>
      <c r="B887" s="204"/>
      <c r="C887" s="205"/>
      <c r="D887" s="205"/>
      <c r="E887" s="166"/>
      <c r="F887" s="206"/>
      <c r="G887" s="167"/>
      <c r="H887" s="166"/>
      <c r="I887" s="167"/>
      <c r="J887" s="168"/>
      <c r="K887" s="169"/>
      <c r="L887" s="207"/>
      <c r="M887" s="207"/>
    </row>
    <row r="888">
      <c r="A888" s="203"/>
      <c r="B888" s="204"/>
      <c r="C888" s="205"/>
      <c r="D888" s="205"/>
      <c r="E888" s="166"/>
      <c r="F888" s="206"/>
      <c r="G888" s="167"/>
      <c r="H888" s="166"/>
      <c r="I888" s="167"/>
      <c r="J888" s="168"/>
      <c r="K888" s="169"/>
      <c r="L888" s="207"/>
      <c r="M888" s="207"/>
    </row>
    <row r="889">
      <c r="A889" s="203"/>
      <c r="B889" s="204"/>
      <c r="C889" s="205"/>
      <c r="D889" s="205"/>
      <c r="E889" s="166"/>
      <c r="F889" s="206"/>
      <c r="G889" s="167"/>
      <c r="H889" s="166"/>
      <c r="I889" s="167"/>
      <c r="J889" s="168"/>
      <c r="K889" s="169"/>
      <c r="L889" s="207"/>
      <c r="M889" s="207"/>
    </row>
    <row r="890">
      <c r="A890" s="203"/>
      <c r="B890" s="204"/>
      <c r="C890" s="205"/>
      <c r="D890" s="205"/>
      <c r="E890" s="166"/>
      <c r="F890" s="206"/>
      <c r="G890" s="167"/>
      <c r="H890" s="166"/>
      <c r="I890" s="167"/>
      <c r="J890" s="168"/>
      <c r="K890" s="169"/>
      <c r="L890" s="207"/>
      <c r="M890" s="207"/>
    </row>
    <row r="891">
      <c r="A891" s="203"/>
      <c r="B891" s="204"/>
      <c r="C891" s="205"/>
      <c r="D891" s="205"/>
      <c r="E891" s="166"/>
      <c r="F891" s="206"/>
      <c r="G891" s="167"/>
      <c r="H891" s="166"/>
      <c r="I891" s="167"/>
      <c r="J891" s="168"/>
      <c r="K891" s="169"/>
      <c r="L891" s="207"/>
      <c r="M891" s="207"/>
    </row>
    <row r="892">
      <c r="A892" s="203"/>
      <c r="B892" s="204"/>
      <c r="C892" s="205"/>
      <c r="D892" s="205"/>
      <c r="E892" s="166"/>
      <c r="F892" s="206"/>
      <c r="G892" s="167"/>
      <c r="H892" s="166"/>
      <c r="I892" s="167"/>
      <c r="J892" s="168"/>
      <c r="K892" s="169"/>
      <c r="L892" s="207"/>
      <c r="M892" s="207"/>
    </row>
    <row r="893">
      <c r="A893" s="203"/>
      <c r="B893" s="204"/>
      <c r="C893" s="205"/>
      <c r="D893" s="205"/>
      <c r="E893" s="166"/>
      <c r="F893" s="206"/>
      <c r="G893" s="167"/>
      <c r="H893" s="166"/>
      <c r="I893" s="167"/>
      <c r="J893" s="168"/>
      <c r="K893" s="169"/>
      <c r="L893" s="207"/>
      <c r="M893" s="207"/>
    </row>
    <row r="894">
      <c r="A894" s="203"/>
      <c r="B894" s="204"/>
      <c r="C894" s="205"/>
      <c r="D894" s="205"/>
      <c r="E894" s="166"/>
      <c r="F894" s="206"/>
      <c r="G894" s="167"/>
      <c r="H894" s="166"/>
      <c r="I894" s="167"/>
      <c r="J894" s="168"/>
      <c r="K894" s="169"/>
      <c r="L894" s="207"/>
      <c r="M894" s="207"/>
    </row>
    <row r="895">
      <c r="A895" s="203"/>
      <c r="B895" s="204"/>
      <c r="C895" s="205"/>
      <c r="D895" s="205"/>
      <c r="E895" s="166"/>
      <c r="F895" s="206"/>
      <c r="G895" s="167"/>
      <c r="H895" s="166"/>
      <c r="I895" s="167"/>
      <c r="J895" s="168"/>
      <c r="K895" s="169"/>
      <c r="L895" s="207"/>
      <c r="M895" s="207"/>
    </row>
    <row r="896">
      <c r="A896" s="203"/>
      <c r="B896" s="204"/>
      <c r="C896" s="205"/>
      <c r="D896" s="205"/>
      <c r="E896" s="166"/>
      <c r="F896" s="206"/>
      <c r="G896" s="167"/>
      <c r="H896" s="166"/>
      <c r="I896" s="167"/>
      <c r="J896" s="168"/>
      <c r="K896" s="169"/>
      <c r="L896" s="207"/>
      <c r="M896" s="207"/>
    </row>
    <row r="897">
      <c r="A897" s="203"/>
      <c r="B897" s="204"/>
      <c r="C897" s="205"/>
      <c r="D897" s="205"/>
      <c r="E897" s="166"/>
      <c r="F897" s="206"/>
      <c r="G897" s="167"/>
      <c r="H897" s="166"/>
      <c r="I897" s="167"/>
      <c r="J897" s="168"/>
      <c r="K897" s="169"/>
      <c r="L897" s="207"/>
      <c r="M897" s="207"/>
    </row>
    <row r="898">
      <c r="A898" s="203"/>
      <c r="B898" s="204"/>
      <c r="C898" s="205"/>
      <c r="D898" s="205"/>
      <c r="E898" s="166"/>
      <c r="F898" s="206"/>
      <c r="G898" s="167"/>
      <c r="H898" s="166"/>
      <c r="I898" s="167"/>
      <c r="J898" s="168"/>
      <c r="K898" s="169"/>
      <c r="L898" s="207"/>
      <c r="M898" s="207"/>
    </row>
    <row r="899">
      <c r="A899" s="203"/>
      <c r="B899" s="204"/>
      <c r="C899" s="205"/>
      <c r="D899" s="205"/>
      <c r="E899" s="166"/>
      <c r="F899" s="206"/>
      <c r="G899" s="167"/>
      <c r="H899" s="166"/>
      <c r="I899" s="167"/>
      <c r="J899" s="168"/>
      <c r="K899" s="169"/>
      <c r="L899" s="207"/>
      <c r="M899" s="207"/>
    </row>
    <row r="900">
      <c r="A900" s="203"/>
      <c r="B900" s="204"/>
      <c r="C900" s="205"/>
      <c r="D900" s="205"/>
      <c r="E900" s="166"/>
      <c r="F900" s="206"/>
      <c r="G900" s="167"/>
      <c r="H900" s="166"/>
      <c r="I900" s="167"/>
      <c r="J900" s="168"/>
      <c r="K900" s="169"/>
      <c r="L900" s="207"/>
      <c r="M900" s="207"/>
    </row>
    <row r="901">
      <c r="A901" s="203"/>
      <c r="B901" s="204"/>
      <c r="C901" s="205"/>
      <c r="D901" s="205"/>
      <c r="E901" s="166"/>
      <c r="F901" s="206"/>
      <c r="G901" s="167"/>
      <c r="H901" s="166"/>
      <c r="I901" s="167"/>
      <c r="J901" s="168"/>
      <c r="K901" s="169"/>
      <c r="L901" s="207"/>
      <c r="M901" s="207"/>
    </row>
    <row r="902">
      <c r="A902" s="203"/>
      <c r="B902" s="204"/>
      <c r="C902" s="205"/>
      <c r="D902" s="205"/>
      <c r="E902" s="166"/>
      <c r="F902" s="206"/>
      <c r="G902" s="167"/>
      <c r="H902" s="166"/>
      <c r="I902" s="167"/>
      <c r="J902" s="168"/>
      <c r="K902" s="169"/>
      <c r="L902" s="207"/>
      <c r="M902" s="207"/>
    </row>
    <row r="903">
      <c r="A903" s="203"/>
      <c r="B903" s="204"/>
      <c r="C903" s="205"/>
      <c r="D903" s="205"/>
      <c r="E903" s="166"/>
      <c r="F903" s="206"/>
      <c r="G903" s="167"/>
      <c r="H903" s="166"/>
      <c r="I903" s="167"/>
      <c r="J903" s="168"/>
      <c r="K903" s="169"/>
      <c r="L903" s="207"/>
      <c r="M903" s="207"/>
    </row>
    <row r="904">
      <c r="A904" s="203"/>
      <c r="B904" s="204"/>
      <c r="C904" s="205"/>
      <c r="D904" s="205"/>
      <c r="E904" s="166"/>
      <c r="F904" s="206"/>
      <c r="G904" s="167"/>
      <c r="H904" s="166"/>
      <c r="I904" s="167"/>
      <c r="J904" s="168"/>
      <c r="K904" s="169"/>
      <c r="L904" s="207"/>
      <c r="M904" s="207"/>
    </row>
    <row r="905">
      <c r="A905" s="203"/>
      <c r="B905" s="204"/>
      <c r="C905" s="205"/>
      <c r="D905" s="205"/>
      <c r="E905" s="166"/>
      <c r="F905" s="206"/>
      <c r="G905" s="167"/>
      <c r="H905" s="166"/>
      <c r="I905" s="167"/>
      <c r="J905" s="168"/>
      <c r="K905" s="169"/>
      <c r="L905" s="207"/>
      <c r="M905" s="207"/>
    </row>
    <row r="906">
      <c r="A906" s="203"/>
      <c r="B906" s="204"/>
      <c r="C906" s="205"/>
      <c r="D906" s="205"/>
      <c r="E906" s="166"/>
      <c r="F906" s="206"/>
      <c r="G906" s="167"/>
      <c r="H906" s="166"/>
      <c r="I906" s="167"/>
      <c r="J906" s="168"/>
      <c r="K906" s="169"/>
      <c r="L906" s="207"/>
      <c r="M906" s="207"/>
    </row>
    <row r="907">
      <c r="A907" s="203"/>
      <c r="B907" s="204"/>
      <c r="C907" s="205"/>
      <c r="D907" s="205"/>
      <c r="E907" s="166"/>
      <c r="F907" s="206"/>
      <c r="G907" s="167"/>
      <c r="H907" s="166"/>
      <c r="I907" s="167"/>
      <c r="J907" s="168"/>
      <c r="K907" s="169"/>
      <c r="L907" s="207"/>
      <c r="M907" s="207"/>
    </row>
    <row r="908">
      <c r="A908" s="203"/>
      <c r="B908" s="204"/>
      <c r="C908" s="205"/>
      <c r="D908" s="205"/>
      <c r="E908" s="166"/>
      <c r="F908" s="206"/>
      <c r="G908" s="167"/>
      <c r="H908" s="166"/>
      <c r="I908" s="167"/>
      <c r="J908" s="168"/>
      <c r="K908" s="169"/>
      <c r="L908" s="207"/>
      <c r="M908" s="207"/>
    </row>
    <row r="909">
      <c r="A909" s="203"/>
      <c r="B909" s="204"/>
      <c r="C909" s="205"/>
      <c r="D909" s="205"/>
      <c r="E909" s="166"/>
      <c r="F909" s="206"/>
      <c r="G909" s="167"/>
      <c r="H909" s="166"/>
      <c r="I909" s="167"/>
      <c r="J909" s="168"/>
      <c r="K909" s="169"/>
      <c r="L909" s="207"/>
      <c r="M909" s="207"/>
    </row>
    <row r="910">
      <c r="A910" s="203"/>
      <c r="B910" s="204"/>
      <c r="C910" s="205"/>
      <c r="D910" s="205"/>
      <c r="E910" s="166"/>
      <c r="F910" s="206"/>
      <c r="G910" s="167"/>
      <c r="H910" s="166"/>
      <c r="I910" s="167"/>
      <c r="J910" s="168"/>
      <c r="K910" s="169"/>
      <c r="L910" s="207"/>
      <c r="M910" s="207"/>
    </row>
    <row r="911">
      <c r="A911" s="203"/>
      <c r="B911" s="204"/>
      <c r="C911" s="205"/>
      <c r="D911" s="205"/>
      <c r="E911" s="166"/>
      <c r="F911" s="206"/>
      <c r="G911" s="167"/>
      <c r="H911" s="166"/>
      <c r="I911" s="167"/>
      <c r="J911" s="168"/>
      <c r="K911" s="169"/>
      <c r="L911" s="207"/>
      <c r="M911" s="207"/>
    </row>
    <row r="912">
      <c r="A912" s="203"/>
      <c r="B912" s="204"/>
      <c r="C912" s="205"/>
      <c r="D912" s="205"/>
      <c r="E912" s="166"/>
      <c r="F912" s="206"/>
      <c r="G912" s="167"/>
      <c r="H912" s="166"/>
      <c r="I912" s="167"/>
      <c r="J912" s="168"/>
      <c r="K912" s="169"/>
      <c r="L912" s="207"/>
      <c r="M912" s="207"/>
    </row>
    <row r="913">
      <c r="A913" s="203"/>
      <c r="B913" s="204"/>
      <c r="C913" s="205"/>
      <c r="D913" s="205"/>
      <c r="E913" s="166"/>
      <c r="F913" s="206"/>
      <c r="G913" s="167"/>
      <c r="H913" s="166"/>
      <c r="I913" s="167"/>
      <c r="J913" s="168"/>
      <c r="K913" s="169"/>
      <c r="L913" s="207"/>
      <c r="M913" s="207"/>
    </row>
    <row r="914">
      <c r="A914" s="203"/>
      <c r="B914" s="204"/>
      <c r="C914" s="205"/>
      <c r="D914" s="205"/>
      <c r="E914" s="166"/>
      <c r="F914" s="206"/>
      <c r="G914" s="167"/>
      <c r="H914" s="166"/>
      <c r="I914" s="167"/>
      <c r="J914" s="168"/>
      <c r="K914" s="169"/>
      <c r="L914" s="207"/>
      <c r="M914" s="207"/>
    </row>
    <row r="915">
      <c r="A915" s="203"/>
      <c r="B915" s="204"/>
      <c r="C915" s="205"/>
      <c r="D915" s="205"/>
      <c r="E915" s="166"/>
      <c r="F915" s="206"/>
      <c r="G915" s="167"/>
      <c r="H915" s="166"/>
      <c r="I915" s="167"/>
      <c r="J915" s="168"/>
      <c r="K915" s="169"/>
      <c r="L915" s="207"/>
      <c r="M915" s="207"/>
    </row>
    <row r="916">
      <c r="A916" s="203"/>
      <c r="B916" s="204"/>
      <c r="C916" s="205"/>
      <c r="D916" s="205"/>
      <c r="E916" s="166"/>
      <c r="F916" s="206"/>
      <c r="G916" s="167"/>
      <c r="H916" s="166"/>
      <c r="I916" s="167"/>
      <c r="J916" s="168"/>
      <c r="K916" s="169"/>
      <c r="L916" s="207"/>
      <c r="M916" s="207"/>
    </row>
    <row r="917">
      <c r="A917" s="203"/>
      <c r="B917" s="204"/>
      <c r="C917" s="205"/>
      <c r="D917" s="205"/>
      <c r="E917" s="166"/>
      <c r="F917" s="206"/>
      <c r="G917" s="167"/>
      <c r="H917" s="166"/>
      <c r="I917" s="167"/>
      <c r="J917" s="168"/>
      <c r="K917" s="169"/>
      <c r="L917" s="207"/>
      <c r="M917" s="207"/>
    </row>
    <row r="918">
      <c r="A918" s="203"/>
      <c r="B918" s="204"/>
      <c r="C918" s="205"/>
      <c r="D918" s="205"/>
      <c r="E918" s="166"/>
      <c r="F918" s="206"/>
      <c r="G918" s="167"/>
      <c r="H918" s="166"/>
      <c r="I918" s="167"/>
      <c r="J918" s="168"/>
      <c r="K918" s="169"/>
      <c r="L918" s="207"/>
      <c r="M918" s="207"/>
    </row>
    <row r="919">
      <c r="A919" s="203"/>
      <c r="B919" s="204"/>
      <c r="C919" s="205"/>
      <c r="D919" s="205"/>
      <c r="E919" s="166"/>
      <c r="F919" s="206"/>
      <c r="G919" s="167"/>
      <c r="H919" s="166"/>
      <c r="I919" s="167"/>
      <c r="J919" s="168"/>
      <c r="K919" s="169"/>
      <c r="L919" s="207"/>
      <c r="M919" s="207"/>
    </row>
    <row r="920">
      <c r="A920" s="203"/>
      <c r="B920" s="204"/>
      <c r="C920" s="205"/>
      <c r="D920" s="205"/>
      <c r="E920" s="166"/>
      <c r="F920" s="206"/>
      <c r="G920" s="167"/>
      <c r="H920" s="166"/>
      <c r="I920" s="167"/>
      <c r="J920" s="168"/>
      <c r="K920" s="169"/>
      <c r="L920" s="207"/>
      <c r="M920" s="207"/>
    </row>
    <row r="921">
      <c r="A921" s="203"/>
      <c r="B921" s="204"/>
      <c r="C921" s="205"/>
      <c r="D921" s="205"/>
      <c r="E921" s="166"/>
      <c r="F921" s="206"/>
      <c r="G921" s="167"/>
      <c r="H921" s="166"/>
      <c r="I921" s="167"/>
      <c r="J921" s="168"/>
      <c r="K921" s="169"/>
      <c r="L921" s="207"/>
      <c r="M921" s="207"/>
    </row>
    <row r="922">
      <c r="A922" s="203"/>
      <c r="B922" s="204"/>
      <c r="C922" s="205"/>
      <c r="D922" s="205"/>
      <c r="E922" s="166"/>
      <c r="F922" s="206"/>
      <c r="G922" s="167"/>
      <c r="H922" s="166"/>
      <c r="I922" s="167"/>
      <c r="J922" s="168"/>
      <c r="K922" s="169"/>
      <c r="L922" s="207"/>
      <c r="M922" s="207"/>
    </row>
    <row r="923">
      <c r="A923" s="203"/>
      <c r="B923" s="204"/>
      <c r="C923" s="205"/>
      <c r="D923" s="205"/>
      <c r="E923" s="166"/>
      <c r="F923" s="206"/>
      <c r="G923" s="167"/>
      <c r="H923" s="166"/>
      <c r="I923" s="167"/>
      <c r="J923" s="168"/>
      <c r="K923" s="169"/>
      <c r="L923" s="207"/>
      <c r="M923" s="207"/>
    </row>
    <row r="924">
      <c r="A924" s="203"/>
      <c r="B924" s="204"/>
      <c r="C924" s="205"/>
      <c r="D924" s="205"/>
      <c r="E924" s="166"/>
      <c r="F924" s="206"/>
      <c r="G924" s="167"/>
      <c r="H924" s="166"/>
      <c r="I924" s="167"/>
      <c r="J924" s="168"/>
      <c r="K924" s="169"/>
      <c r="L924" s="207"/>
      <c r="M924" s="207"/>
    </row>
    <row r="925">
      <c r="A925" s="203"/>
      <c r="B925" s="204"/>
      <c r="C925" s="205"/>
      <c r="D925" s="205"/>
      <c r="E925" s="166"/>
      <c r="F925" s="206"/>
      <c r="G925" s="167"/>
      <c r="H925" s="166"/>
      <c r="I925" s="167"/>
      <c r="J925" s="168"/>
      <c r="K925" s="169"/>
      <c r="L925" s="207"/>
      <c r="M925" s="207"/>
    </row>
    <row r="926">
      <c r="A926" s="203"/>
      <c r="B926" s="204"/>
      <c r="C926" s="205"/>
      <c r="D926" s="205"/>
      <c r="E926" s="166"/>
      <c r="F926" s="206"/>
      <c r="G926" s="167"/>
      <c r="H926" s="166"/>
      <c r="I926" s="167"/>
      <c r="J926" s="168"/>
      <c r="K926" s="169"/>
      <c r="L926" s="207"/>
      <c r="M926" s="207"/>
    </row>
  </sheetData>
  <autoFilter ref="$A$2:$M$400"/>
  <conditionalFormatting sqref="E3:E926 I3:I926">
    <cfRule type="expression" dxfId="2" priority="1">
      <formula>AND($E3&lt;&gt;"",(($E3-$H3)/365*12)&lt;1)</formula>
    </cfRule>
  </conditionalFormatting>
  <conditionalFormatting sqref="A2:A926 D2:D926">
    <cfRule type="expression" dxfId="3" priority="2">
      <formula>$D2="Coming Soon"</formula>
    </cfRule>
  </conditionalFormatting>
  <conditionalFormatting sqref="A2:A926 D2:D926">
    <cfRule type="expression" dxfId="4" priority="3">
      <formula>$D2="Removed"</formula>
    </cfRule>
  </conditionalFormatting>
  <conditionalFormatting sqref="A2:A926">
    <cfRule type="expression" dxfId="1" priority="4">
      <formula>MATCH(A2,INDIRECT("'Xbox Game Studios'!A:A"),0)</formula>
    </cfRule>
  </conditionalFormatting>
  <conditionalFormatting sqref="A2:A926 D2:D926">
    <cfRule type="expression" dxfId="5" priority="5">
      <formula>$D2="Leaving Soon"</formula>
    </cfRule>
  </conditionalFormatting>
  <conditionalFormatting sqref="A2:A926 D2:D926">
    <cfRule type="expression" dxfId="2" priority="6">
      <formula>AND($D3&lt;&gt;"",(($D3-$G3)/365*12)&lt;1)</formula>
    </cfRule>
  </conditionalFormatting>
  <conditionalFormatting sqref="J2:J926">
    <cfRule type="cellIs" dxfId="2" priority="7" operator="between">
      <formula>75</formula>
      <formula>100</formula>
    </cfRule>
  </conditionalFormatting>
  <conditionalFormatting sqref="J2:J926">
    <cfRule type="cellIs" dxfId="1" priority="8" operator="between">
      <formula>50</formula>
      <formula>74</formula>
    </cfRule>
  </conditionalFormatting>
  <conditionalFormatting sqref="J2:J926">
    <cfRule type="cellIs" dxfId="4" priority="9" operator="between">
      <formula>1</formula>
      <formula>49</formula>
    </cfRule>
  </conditionalFormatting>
  <conditionalFormatting sqref="B3:B926">
    <cfRule type="expression" dxfId="6" priority="10">
      <formula>AND(MATCH(A3,INDIRECT("'Cross Play'!D2:D"),0),MATCH(A3,INDIRECT("'Cross Play'!A2:A"),0))</formula>
    </cfRule>
  </conditionalFormatting>
  <conditionalFormatting sqref="B3:B926">
    <cfRule type="expression" dxfId="7" priority="11">
      <formula>MATCH(A3,INDIRECT("'Cross Play'!A2:A"),0)</formula>
    </cfRule>
  </conditionalFormatting>
  <conditionalFormatting sqref="B3:B926">
    <cfRule type="expression" dxfId="8" priority="12">
      <formula>MATCH(A3,INDIRECT("'Cross Play'!D2:D"),0)</formula>
    </cfRule>
  </conditionalFormatting>
  <conditionalFormatting sqref="B1:B926">
    <cfRule type="cellIs" dxfId="0" priority="13" operator="equal">
      <formula>"Xbox"</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75"/>
    <col customWidth="1" min="2" max="2" width="9.38"/>
    <col customWidth="1" min="3" max="3" width="9.13"/>
    <col customWidth="1" min="4" max="4" width="11.38"/>
    <col customWidth="1" min="5" max="5" width="11.5"/>
    <col customWidth="1" min="6" max="6" width="12.88"/>
    <col customWidth="1" min="7" max="7" width="9.38"/>
    <col customWidth="1" min="8" max="10" width="11.5"/>
    <col customWidth="1" min="11" max="11" width="12.38"/>
    <col customWidth="1" min="12" max="12" width="44.13"/>
  </cols>
  <sheetData>
    <row r="1">
      <c r="A1" s="208" t="s">
        <v>2956</v>
      </c>
      <c r="B1" s="192">
        <f>COUNTA(D2:D1364)</f>
        <v>986</v>
      </c>
      <c r="C1" s="191"/>
      <c r="D1" s="191"/>
      <c r="E1" s="191"/>
      <c r="F1" s="191"/>
      <c r="G1" s="191"/>
      <c r="H1" s="191"/>
      <c r="I1" s="191"/>
      <c r="J1" s="191"/>
      <c r="K1" s="191"/>
      <c r="L1" s="191"/>
    </row>
    <row r="2">
      <c r="A2" s="193" t="s">
        <v>8</v>
      </c>
      <c r="B2" s="171" t="s">
        <v>9</v>
      </c>
      <c r="C2" s="170" t="s">
        <v>10</v>
      </c>
      <c r="D2" s="171" t="s">
        <v>11</v>
      </c>
      <c r="E2" s="171" t="s">
        <v>12</v>
      </c>
      <c r="F2" s="170" t="s">
        <v>13</v>
      </c>
      <c r="G2" s="194" t="s">
        <v>14</v>
      </c>
      <c r="H2" s="172" t="s">
        <v>15</v>
      </c>
      <c r="I2" s="172" t="s">
        <v>16</v>
      </c>
      <c r="J2" s="172" t="s">
        <v>17</v>
      </c>
      <c r="K2" s="172" t="s">
        <v>18</v>
      </c>
      <c r="L2" s="172" t="s">
        <v>2847</v>
      </c>
    </row>
    <row r="3">
      <c r="A3" s="190" t="str">
        <f>IFERROR(__xludf.DUMMYFUNCTION("FILTER('Master List'!A2:L1364, REGEXMATCH('Master List'!D2:D1364, ""Removed""))"),"Teenage Mutant Ninja Turtles: Mutants Unleashed")</f>
        <v>Teenage Mutant Ninja Turtles: Mutants Unleashed</v>
      </c>
      <c r="B3" s="195" t="str">
        <f>IFERROR(__xludf.DUMMYFUNCTION("""COMPUTED_VALUE"""),"Xbox / PC")</f>
        <v>Xbox / PC</v>
      </c>
      <c r="C3" s="195" t="str">
        <f>IFERROR(__xludf.DUMMYFUNCTION("""COMPUTED_VALUE"""),"Yes")</f>
        <v>Yes</v>
      </c>
      <c r="D3" s="196" t="str">
        <f>IFERROR(__xludf.DUMMYFUNCTION("""COMPUTED_VALUE"""),"Removed")</f>
        <v>Removed</v>
      </c>
      <c r="E3" s="209">
        <f>IFERROR(__xludf.DUMMYFUNCTION("""COMPUTED_VALUE"""),45785.0)</f>
        <v>45785</v>
      </c>
      <c r="F3" s="198">
        <f>IFERROR(__xludf.DUMMYFUNCTION("""COMPUTED_VALUE"""),45945.0)</f>
        <v>45945</v>
      </c>
      <c r="G3" s="199">
        <f>IFERROR(__xludf.DUMMYFUNCTION("""COMPUTED_VALUE"""),5.233333333333333)</f>
        <v>5.233333333</v>
      </c>
      <c r="H3" s="210">
        <f>IFERROR(__xludf.DUMMYFUNCTION("""COMPUTED_VALUE"""),45583.0)</f>
        <v>45583</v>
      </c>
      <c r="I3" s="199">
        <f>IFERROR(__xludf.DUMMYFUNCTION("""COMPUTED_VALUE"""),0.5555555555555556)</f>
        <v>0.5555555556</v>
      </c>
      <c r="J3" s="200">
        <f>IFERROR(__xludf.DUMMYFUNCTION("""COMPUTED_VALUE"""),66.0)</f>
        <v>66</v>
      </c>
      <c r="K3" s="200">
        <f>IFERROR(__xludf.DUMMYFUNCTION("""COMPUTED_VALUE"""),12.0)</f>
        <v>12</v>
      </c>
      <c r="L3" s="201" t="str">
        <f>IFERROR(__xludf.DUMMYFUNCTION("""COMPUTED_VALUE"""),"Action-Adventure")</f>
        <v>Action-Adventure</v>
      </c>
    </row>
    <row r="4">
      <c r="A4" s="190" t="str">
        <f>IFERROR(__xludf.DUMMYFUNCTION("""COMPUTED_VALUE"""),"Core Keeper")</f>
        <v>Core Keeper</v>
      </c>
      <c r="B4" s="195" t="str">
        <f>IFERROR(__xludf.DUMMYFUNCTION("""COMPUTED_VALUE"""),"Xbox / PC")</f>
        <v>Xbox / PC</v>
      </c>
      <c r="C4" s="195" t="str">
        <f>IFERROR(__xludf.DUMMYFUNCTION("""COMPUTED_VALUE"""),"Yes")</f>
        <v>Yes</v>
      </c>
      <c r="D4" s="196" t="str">
        <f>IFERROR(__xludf.DUMMYFUNCTION("""COMPUTED_VALUE"""),"Removed")</f>
        <v>Removed</v>
      </c>
      <c r="E4" s="209">
        <f>IFERROR(__xludf.DUMMYFUNCTION("""COMPUTED_VALUE"""),45531.0)</f>
        <v>45531</v>
      </c>
      <c r="F4" s="198">
        <f>IFERROR(__xludf.DUMMYFUNCTION("""COMPUTED_VALUE"""),45945.0)</f>
        <v>45945</v>
      </c>
      <c r="G4" s="199">
        <f>IFERROR(__xludf.DUMMYFUNCTION("""COMPUTED_VALUE"""),13.6)</f>
        <v>13.6</v>
      </c>
      <c r="H4" s="210">
        <f>IFERROR(__xludf.DUMMYFUNCTION("""COMPUTED_VALUE"""),45531.0)</f>
        <v>45531</v>
      </c>
      <c r="I4" s="199">
        <f>IFERROR(__xludf.DUMMYFUNCTION("""COMPUTED_VALUE"""),0.0)</f>
        <v>0</v>
      </c>
      <c r="J4" s="200">
        <f>IFERROR(__xludf.DUMMYFUNCTION("""COMPUTED_VALUE"""),85.0)</f>
        <v>85</v>
      </c>
      <c r="K4" s="200">
        <f>IFERROR(__xludf.DUMMYFUNCTION("""COMPUTED_VALUE"""),27.0)</f>
        <v>27</v>
      </c>
      <c r="L4" s="201" t="str">
        <f>IFERROR(__xludf.DUMMYFUNCTION("""COMPUTED_VALUE"""),"Sandbox")</f>
        <v>Sandbox</v>
      </c>
    </row>
    <row r="5">
      <c r="A5" s="190" t="str">
        <f>IFERROR(__xludf.DUMMYFUNCTION("""COMPUTED_VALUE"""),"Cocoon")</f>
        <v>Cocoon</v>
      </c>
      <c r="B5" s="195" t="str">
        <f>IFERROR(__xludf.DUMMYFUNCTION("""COMPUTED_VALUE"""),"Xbox / PC")</f>
        <v>Xbox / PC</v>
      </c>
      <c r="C5" s="195"/>
      <c r="D5" s="196" t="str">
        <f>IFERROR(__xludf.DUMMYFUNCTION("""COMPUTED_VALUE"""),"Removed")</f>
        <v>Removed</v>
      </c>
      <c r="E5" s="209">
        <f>IFERROR(__xludf.DUMMYFUNCTION("""COMPUTED_VALUE"""),45198.0)</f>
        <v>45198</v>
      </c>
      <c r="F5" s="198">
        <f>IFERROR(__xludf.DUMMYFUNCTION("""COMPUTED_VALUE"""),45945.0)</f>
        <v>45945</v>
      </c>
      <c r="G5" s="199">
        <f>IFERROR(__xludf.DUMMYFUNCTION("""COMPUTED_VALUE"""),24.53333333333333)</f>
        <v>24.53333333</v>
      </c>
      <c r="H5" s="210">
        <f>IFERROR(__xludf.DUMMYFUNCTION("""COMPUTED_VALUE"""),45198.0)</f>
        <v>45198</v>
      </c>
      <c r="I5" s="199">
        <f>IFERROR(__xludf.DUMMYFUNCTION("""COMPUTED_VALUE"""),0.0)</f>
        <v>0</v>
      </c>
      <c r="J5" s="200">
        <f>IFERROR(__xludf.DUMMYFUNCTION("""COMPUTED_VALUE"""),89.0)</f>
        <v>89</v>
      </c>
      <c r="K5" s="200">
        <f>IFERROR(__xludf.DUMMYFUNCTION("""COMPUTED_VALUE"""),5.0)</f>
        <v>5</v>
      </c>
      <c r="L5" s="201" t="str">
        <f>IFERROR(__xludf.DUMMYFUNCTION("""COMPUTED_VALUE"""),"Puzzle")</f>
        <v>Puzzle</v>
      </c>
    </row>
    <row r="6">
      <c r="A6" s="190" t="str">
        <f>IFERROR(__xludf.DUMMYFUNCTION("""COMPUTED_VALUE"""),"NINJA GAIDEN: Master Collection")</f>
        <v>NINJA GAIDEN: Master Collection</v>
      </c>
      <c r="B6" s="195" t="str">
        <f>IFERROR(__xludf.DUMMYFUNCTION("""COMPUTED_VALUE"""),"Xbox / PC")</f>
        <v>Xbox / PC</v>
      </c>
      <c r="C6" s="195" t="str">
        <f>IFERROR(__xludf.DUMMYFUNCTION("""COMPUTED_VALUE"""),"Touch Controls")</f>
        <v>Touch Controls</v>
      </c>
      <c r="D6" s="196" t="str">
        <f>IFERROR(__xludf.DUMMYFUNCTION("""COMPUTED_VALUE"""),"Removed")</f>
        <v>Removed</v>
      </c>
      <c r="E6" s="209">
        <f>IFERROR(__xludf.DUMMYFUNCTION("""COMPUTED_VALUE"""),44714.0)</f>
        <v>44714</v>
      </c>
      <c r="F6" s="198">
        <f>IFERROR(__xludf.DUMMYFUNCTION("""COMPUTED_VALUE"""),45930.0)</f>
        <v>45930</v>
      </c>
      <c r="G6" s="199">
        <f>IFERROR(__xludf.DUMMYFUNCTION("""COMPUTED_VALUE"""),39.93333333333334)</f>
        <v>39.93333333</v>
      </c>
      <c r="H6" s="210">
        <f>IFERROR(__xludf.DUMMYFUNCTION("""COMPUTED_VALUE"""),44357.0)</f>
        <v>44357</v>
      </c>
      <c r="I6" s="199">
        <f>IFERROR(__xludf.DUMMYFUNCTION("""COMPUTED_VALUE"""),0.9777777777777777)</f>
        <v>0.9777777778</v>
      </c>
      <c r="J6" s="200">
        <f>IFERROR(__xludf.DUMMYFUNCTION("""COMPUTED_VALUE"""),71.5)</f>
        <v>71.5</v>
      </c>
      <c r="K6" s="200">
        <f>IFERROR(__xludf.DUMMYFUNCTION("""COMPUTED_VALUE"""),29.5)</f>
        <v>29.5</v>
      </c>
      <c r="L6" s="201" t="str">
        <f>IFERROR(__xludf.DUMMYFUNCTION("""COMPUTED_VALUE"""),"Action / Compilation")</f>
        <v>Action / Compilation</v>
      </c>
    </row>
    <row r="7">
      <c r="A7" s="190" t="str">
        <f>IFERROR(__xludf.DUMMYFUNCTION("""COMPUTED_VALUE"""),"All You Need Is Help")</f>
        <v>All You Need Is Help</v>
      </c>
      <c r="B7" s="195" t="str">
        <f>IFERROR(__xludf.DUMMYFUNCTION("""COMPUTED_VALUE"""),"Xbox / PC")</f>
        <v>Xbox / PC</v>
      </c>
      <c r="C7" s="195" t="str">
        <f>IFERROR(__xludf.DUMMYFUNCTION("""COMPUTED_VALUE"""),"Yes")</f>
        <v>Yes</v>
      </c>
      <c r="D7" s="196" t="str">
        <f>IFERROR(__xludf.DUMMYFUNCTION("""COMPUTED_VALUE"""),"Removed")</f>
        <v>Removed</v>
      </c>
      <c r="E7" s="209">
        <f>IFERROR(__xludf.DUMMYFUNCTION("""COMPUTED_VALUE"""),45561.0)</f>
        <v>45561</v>
      </c>
      <c r="F7" s="198">
        <f>IFERROR(__xludf.DUMMYFUNCTION("""COMPUTED_VALUE"""),45915.0)</f>
        <v>45915</v>
      </c>
      <c r="G7" s="199">
        <f>IFERROR(__xludf.DUMMYFUNCTION("""COMPUTED_VALUE"""),11.633333333333333)</f>
        <v>11.63333333</v>
      </c>
      <c r="H7" s="210">
        <f>IFERROR(__xludf.DUMMYFUNCTION("""COMPUTED_VALUE"""),45561.0)</f>
        <v>45561</v>
      </c>
      <c r="I7" s="199">
        <f>IFERROR(__xludf.DUMMYFUNCTION("""COMPUTED_VALUE"""),0.0)</f>
        <v>0</v>
      </c>
      <c r="J7" s="200"/>
      <c r="K7" s="200">
        <f>IFERROR(__xludf.DUMMYFUNCTION("""COMPUTED_VALUE"""),4.0)</f>
        <v>4</v>
      </c>
      <c r="L7" s="265" t="str">
        <f>IFERROR(__xludf.DUMMYFUNCTION("""COMPUTED_VALUE"""),"Puzzle")</f>
        <v>Puzzle</v>
      </c>
    </row>
    <row r="8">
      <c r="A8" s="190" t="str">
        <f>IFERROR(__xludf.DUMMYFUNCTION("""COMPUTED_VALUE"""),"We Love Katamari Reroll + Royal Reverie")</f>
        <v>We Love Katamari Reroll + Royal Reverie</v>
      </c>
      <c r="B8" s="195" t="str">
        <f>IFERROR(__xludf.DUMMYFUNCTION("""COMPUTED_VALUE"""),"Xbox / PC")</f>
        <v>Xbox / PC</v>
      </c>
      <c r="C8" s="195" t="str">
        <f>IFERROR(__xludf.DUMMYFUNCTION("""COMPUTED_VALUE"""),"Yes")</f>
        <v>Yes</v>
      </c>
      <c r="D8" s="196" t="str">
        <f>IFERROR(__xludf.DUMMYFUNCTION("""COMPUTED_VALUE"""),"Removed")</f>
        <v>Removed</v>
      </c>
      <c r="E8" s="209">
        <f>IFERROR(__xludf.DUMMYFUNCTION("""COMPUTED_VALUE"""),45561.0)</f>
        <v>45561</v>
      </c>
      <c r="F8" s="198">
        <f>IFERROR(__xludf.DUMMYFUNCTION("""COMPUTED_VALUE"""),45915.0)</f>
        <v>45915</v>
      </c>
      <c r="G8" s="199">
        <f>IFERROR(__xludf.DUMMYFUNCTION("""COMPUTED_VALUE"""),11.633333333333333)</f>
        <v>11.63333333</v>
      </c>
      <c r="H8" s="210">
        <f>IFERROR(__xludf.DUMMYFUNCTION("""COMPUTED_VALUE"""),45079.0)</f>
        <v>45079</v>
      </c>
      <c r="I8" s="199">
        <f>IFERROR(__xludf.DUMMYFUNCTION("""COMPUTED_VALUE"""),1.3166666666666667)</f>
        <v>1.316666667</v>
      </c>
      <c r="J8" s="200">
        <f>IFERROR(__xludf.DUMMYFUNCTION("""COMPUTED_VALUE"""),81.0)</f>
        <v>81</v>
      </c>
      <c r="K8" s="200">
        <f>IFERROR(__xludf.DUMMYFUNCTION("""COMPUTED_VALUE"""),5.0)</f>
        <v>5</v>
      </c>
      <c r="L8" s="201" t="str">
        <f>IFERROR(__xludf.DUMMYFUNCTION("""COMPUTED_VALUE"""),"Action-Adventure")</f>
        <v>Action-Adventure</v>
      </c>
    </row>
    <row r="9">
      <c r="A9" s="190" t="str">
        <f>IFERROR(__xludf.DUMMYFUNCTION("""COMPUTED_VALUE"""),"Wargroove 2")</f>
        <v>Wargroove 2</v>
      </c>
      <c r="B9" s="195" t="str">
        <f>IFERROR(__xludf.DUMMYFUNCTION("""COMPUTED_VALUE"""),"Xbox / PC")</f>
        <v>Xbox / PC</v>
      </c>
      <c r="C9" s="195" t="str">
        <f>IFERROR(__xludf.DUMMYFUNCTION("""COMPUTED_VALUE"""),"Yes")</f>
        <v>Yes</v>
      </c>
      <c r="D9" s="196" t="str">
        <f>IFERROR(__xludf.DUMMYFUNCTION("""COMPUTED_VALUE"""),"Removed")</f>
        <v>Removed</v>
      </c>
      <c r="E9" s="209">
        <f>IFERROR(__xludf.DUMMYFUNCTION("""COMPUTED_VALUE"""),45554.0)</f>
        <v>45554</v>
      </c>
      <c r="F9" s="198">
        <f>IFERROR(__xludf.DUMMYFUNCTION("""COMPUTED_VALUE"""),45915.0)</f>
        <v>45915</v>
      </c>
      <c r="G9" s="199">
        <f>IFERROR(__xludf.DUMMYFUNCTION("""COMPUTED_VALUE"""),11.866666666666667)</f>
        <v>11.86666667</v>
      </c>
      <c r="H9" s="210">
        <f>IFERROR(__xludf.DUMMYFUNCTION("""COMPUTED_VALUE"""),45204.0)</f>
        <v>45204</v>
      </c>
      <c r="I9" s="199">
        <f>IFERROR(__xludf.DUMMYFUNCTION("""COMPUTED_VALUE"""),0.9555555555555556)</f>
        <v>0.9555555556</v>
      </c>
      <c r="J9" s="200">
        <f>IFERROR(__xludf.DUMMYFUNCTION("""COMPUTED_VALUE"""),85.0)</f>
        <v>85</v>
      </c>
      <c r="K9" s="200">
        <f>IFERROR(__xludf.DUMMYFUNCTION("""COMPUTED_VALUE"""),21.0)</f>
        <v>21</v>
      </c>
      <c r="L9" s="201" t="str">
        <f>IFERROR(__xludf.DUMMYFUNCTION("""COMPUTED_VALUE"""),"Strategy")</f>
        <v>Strategy</v>
      </c>
    </row>
    <row r="10">
      <c r="A10" s="190" t="str">
        <f>IFERROR(__xludf.DUMMYFUNCTION("""COMPUTED_VALUE"""),"Borderlands 3: Ultimate Edition")</f>
        <v>Borderlands 3: Ultimate Edition</v>
      </c>
      <c r="B10" s="195" t="str">
        <f>IFERROR(__xludf.DUMMYFUNCTION("""COMPUTED_VALUE"""),"Xbox / PC")</f>
        <v>Xbox / PC</v>
      </c>
      <c r="C10" s="195" t="str">
        <f>IFERROR(__xludf.DUMMYFUNCTION("""COMPUTED_VALUE"""),"Yes")</f>
        <v>Yes</v>
      </c>
      <c r="D10" s="196" t="str">
        <f>IFERROR(__xludf.DUMMYFUNCTION("""COMPUTED_VALUE"""),"Removed")</f>
        <v>Removed</v>
      </c>
      <c r="E10" s="209">
        <f>IFERROR(__xludf.DUMMYFUNCTION("""COMPUTED_VALUE"""),45750.0)</f>
        <v>45750</v>
      </c>
      <c r="F10" s="198">
        <f>IFERROR(__xludf.DUMMYFUNCTION("""COMPUTED_VALUE"""),45900.0)</f>
        <v>45900</v>
      </c>
      <c r="G10" s="199">
        <f>IFERROR(__xludf.DUMMYFUNCTION("""COMPUTED_VALUE"""),4.9)</f>
        <v>4.9</v>
      </c>
      <c r="H10" s="210">
        <f>IFERROR(__xludf.DUMMYFUNCTION("""COMPUTED_VALUE"""),45205.0)</f>
        <v>45205</v>
      </c>
      <c r="I10" s="199">
        <f>IFERROR(__xludf.DUMMYFUNCTION("""COMPUTED_VALUE"""),1.4916666666666667)</f>
        <v>1.491666667</v>
      </c>
      <c r="J10" s="200">
        <f>IFERROR(__xludf.DUMMYFUNCTION("""COMPUTED_VALUE"""),77.0)</f>
        <v>77</v>
      </c>
      <c r="K10" s="200">
        <f>IFERROR(__xludf.DUMMYFUNCTION("""COMPUTED_VALUE"""),33.0)</f>
        <v>33</v>
      </c>
      <c r="L10" s="201" t="str">
        <f>IFERROR(__xludf.DUMMYFUNCTION("""COMPUTED_VALUE"""),"Shooter")</f>
        <v>Shooter</v>
      </c>
    </row>
    <row r="11">
      <c r="A11" s="190" t="str">
        <f>IFERROR(__xludf.DUMMYFUNCTION("""COMPUTED_VALUE"""),"Sea of Stars")</f>
        <v>Sea of Stars</v>
      </c>
      <c r="B11" s="195" t="str">
        <f>IFERROR(__xludf.DUMMYFUNCTION("""COMPUTED_VALUE"""),"Xbox / PC")</f>
        <v>Xbox / PC</v>
      </c>
      <c r="C11" s="195" t="str">
        <f>IFERROR(__xludf.DUMMYFUNCTION("""COMPUTED_VALUE"""),"Yes")</f>
        <v>Yes</v>
      </c>
      <c r="D11" s="196" t="str">
        <f>IFERROR(__xludf.DUMMYFUNCTION("""COMPUTED_VALUE"""),"Removed")</f>
        <v>Removed</v>
      </c>
      <c r="E11" s="209">
        <f>IFERROR(__xludf.DUMMYFUNCTION("""COMPUTED_VALUE"""),45167.0)</f>
        <v>45167</v>
      </c>
      <c r="F11" s="198">
        <f>IFERROR(__xludf.DUMMYFUNCTION("""COMPUTED_VALUE"""),45900.0)</f>
        <v>45900</v>
      </c>
      <c r="G11" s="199">
        <f>IFERROR(__xludf.DUMMYFUNCTION("""COMPUTED_VALUE"""),24.03333333333333)</f>
        <v>24.03333333</v>
      </c>
      <c r="H11" s="210">
        <f>IFERROR(__xludf.DUMMYFUNCTION("""COMPUTED_VALUE"""),45167.0)</f>
        <v>45167</v>
      </c>
      <c r="I11" s="199">
        <f>IFERROR(__xludf.DUMMYFUNCTION("""COMPUTED_VALUE"""),0.0)</f>
        <v>0</v>
      </c>
      <c r="J11" s="200">
        <f>IFERROR(__xludf.DUMMYFUNCTION("""COMPUTED_VALUE"""),90.0)</f>
        <v>90</v>
      </c>
      <c r="K11" s="200">
        <f>IFERROR(__xludf.DUMMYFUNCTION("""COMPUTED_VALUE"""),20.0)</f>
        <v>20</v>
      </c>
      <c r="L11" s="201" t="str">
        <f>IFERROR(__xludf.DUMMYFUNCTION("""COMPUTED_VALUE"""),"RPG")</f>
        <v>RPG</v>
      </c>
    </row>
    <row r="12">
      <c r="A12" s="190" t="str">
        <f>IFERROR(__xludf.DUMMYFUNCTION("""COMPUTED_VALUE"""),"This War of Mine: Final Cut")</f>
        <v>This War of Mine: Final Cut</v>
      </c>
      <c r="B12" s="195" t="str">
        <f>IFERROR(__xludf.DUMMYFUNCTION("""COMPUTED_VALUE"""),"Xbox / PC")</f>
        <v>Xbox / PC</v>
      </c>
      <c r="C12" s="195" t="str">
        <f>IFERROR(__xludf.DUMMYFUNCTION("""COMPUTED_VALUE"""),"Touch Controls")</f>
        <v>Touch Controls</v>
      </c>
      <c r="D12" s="196" t="str">
        <f>IFERROR(__xludf.DUMMYFUNCTION("""COMPUTED_VALUE"""),"Removed")</f>
        <v>Removed</v>
      </c>
      <c r="E12" s="209">
        <f>IFERROR(__xludf.DUMMYFUNCTION("""COMPUTED_VALUE"""),44691.0)</f>
        <v>44691</v>
      </c>
      <c r="F12" s="198">
        <f>IFERROR(__xludf.DUMMYFUNCTION("""COMPUTED_VALUE"""),45900.0)</f>
        <v>45900</v>
      </c>
      <c r="G12" s="199">
        <f>IFERROR(__xludf.DUMMYFUNCTION("""COMPUTED_VALUE"""),39.666666666666664)</f>
        <v>39.66666667</v>
      </c>
      <c r="H12" s="210">
        <f>IFERROR(__xludf.DUMMYFUNCTION("""COMPUTED_VALUE"""),41957.0)</f>
        <v>41957</v>
      </c>
      <c r="I12" s="199">
        <f>IFERROR(__xludf.DUMMYFUNCTION("""COMPUTED_VALUE"""),7.488888888888889)</f>
        <v>7.488888889</v>
      </c>
      <c r="J12" s="200">
        <f>IFERROR(__xludf.DUMMYFUNCTION("""COMPUTED_VALUE"""),80.5)</f>
        <v>80.5</v>
      </c>
      <c r="K12" s="200">
        <f>IFERROR(__xludf.DUMMYFUNCTION("""COMPUTED_VALUE"""),10.5)</f>
        <v>10.5</v>
      </c>
      <c r="L12" s="201" t="str">
        <f>IFERROR(__xludf.DUMMYFUNCTION("""COMPUTED_VALUE"""),"Strategy / Adventure")</f>
        <v>Strategy / Adventure</v>
      </c>
    </row>
    <row r="13">
      <c r="A13" s="190" t="str">
        <f>IFERROR(__xludf.DUMMYFUNCTION("""COMPUTED_VALUE"""),"Ben 10: Power Trip")</f>
        <v>Ben 10: Power Trip</v>
      </c>
      <c r="B13" s="195" t="str">
        <f>IFERROR(__xludf.DUMMYFUNCTION("""COMPUTED_VALUE"""),"Xbox / PC")</f>
        <v>Xbox / PC</v>
      </c>
      <c r="C13" s="195" t="str">
        <f>IFERROR(__xludf.DUMMYFUNCTION("""COMPUTED_VALUE"""),"Touch Controls")</f>
        <v>Touch Controls</v>
      </c>
      <c r="D13" s="196" t="str">
        <f>IFERROR(__xludf.DUMMYFUNCTION("""COMPUTED_VALUE"""),"Removed")</f>
        <v>Removed</v>
      </c>
      <c r="E13" s="209">
        <f>IFERROR(__xludf.DUMMYFUNCTION("""COMPUTED_VALUE"""),44546.0)</f>
        <v>44546</v>
      </c>
      <c r="F13" s="198">
        <f>IFERROR(__xludf.DUMMYFUNCTION("""COMPUTED_VALUE"""),45900.0)</f>
        <v>45900</v>
      </c>
      <c r="G13" s="199">
        <f>IFERROR(__xludf.DUMMYFUNCTION("""COMPUTED_VALUE"""),44.46666666666667)</f>
        <v>44.46666667</v>
      </c>
      <c r="H13" s="210">
        <f>IFERROR(__xludf.DUMMYFUNCTION("""COMPUTED_VALUE"""),44113.0)</f>
        <v>44113</v>
      </c>
      <c r="I13" s="199">
        <f>IFERROR(__xludf.DUMMYFUNCTION("""COMPUTED_VALUE"""),1.1861111111111111)</f>
        <v>1.186111111</v>
      </c>
      <c r="J13" s="200">
        <f>IFERROR(__xludf.DUMMYFUNCTION("""COMPUTED_VALUE"""),66.75)</f>
        <v>66.75</v>
      </c>
      <c r="K13" s="200">
        <f>IFERROR(__xludf.DUMMYFUNCTION("""COMPUTED_VALUE"""),5.0)</f>
        <v>5</v>
      </c>
      <c r="L13" s="201" t="str">
        <f>IFERROR(__xludf.DUMMYFUNCTION("""COMPUTED_VALUE"""),"Brawler / Action-Adventure")</f>
        <v>Brawler / Action-Adventure</v>
      </c>
    </row>
    <row r="14">
      <c r="A14" s="190" t="str">
        <f>IFERROR(__xludf.DUMMYFUNCTION("""COMPUTED_VALUE"""),"PAW Patrol Mighty Pups: Save Adventure Bay")</f>
        <v>PAW Patrol Mighty Pups: Save Adventure Bay</v>
      </c>
      <c r="B14" s="195" t="str">
        <f>IFERROR(__xludf.DUMMYFUNCTION("""COMPUTED_VALUE"""),"Xbox / PC")</f>
        <v>Xbox / PC</v>
      </c>
      <c r="C14" s="195" t="str">
        <f>IFERROR(__xludf.DUMMYFUNCTION("""COMPUTED_VALUE"""),"Touch Controls")</f>
        <v>Touch Controls</v>
      </c>
      <c r="D14" s="196" t="str">
        <f>IFERROR(__xludf.DUMMYFUNCTION("""COMPUTED_VALUE"""),"Removed")</f>
        <v>Removed</v>
      </c>
      <c r="E14" s="209">
        <f>IFERROR(__xludf.DUMMYFUNCTION("""COMPUTED_VALUE"""),44546.0)</f>
        <v>44546</v>
      </c>
      <c r="F14" s="198">
        <f>IFERROR(__xludf.DUMMYFUNCTION("""COMPUTED_VALUE"""),45900.0)</f>
        <v>45900</v>
      </c>
      <c r="G14" s="199">
        <f>IFERROR(__xludf.DUMMYFUNCTION("""COMPUTED_VALUE"""),44.46666666666667)</f>
        <v>44.46666667</v>
      </c>
      <c r="H14" s="210">
        <f>IFERROR(__xludf.DUMMYFUNCTION("""COMPUTED_VALUE"""),44141.0)</f>
        <v>44141</v>
      </c>
      <c r="I14" s="199">
        <f>IFERROR(__xludf.DUMMYFUNCTION("""COMPUTED_VALUE"""),1.1111111111111112)</f>
        <v>1.111111111</v>
      </c>
      <c r="J14" s="200">
        <f>IFERROR(__xludf.DUMMYFUNCTION("""COMPUTED_VALUE"""),65.0)</f>
        <v>65</v>
      </c>
      <c r="K14" s="200">
        <f>IFERROR(__xludf.DUMMYFUNCTION("""COMPUTED_VALUE"""),5.0)</f>
        <v>5</v>
      </c>
      <c r="L14" s="201" t="str">
        <f>IFERROR(__xludf.DUMMYFUNCTION("""COMPUTED_VALUE"""),"Action")</f>
        <v>Action</v>
      </c>
    </row>
    <row r="15">
      <c r="A15" s="190" t="str">
        <f>IFERROR(__xludf.DUMMYFUNCTION("""COMPUTED_VALUE"""),"Persona 3: Reload")</f>
        <v>Persona 3: Reload</v>
      </c>
      <c r="B15" s="195" t="str">
        <f>IFERROR(__xludf.DUMMYFUNCTION("""COMPUTED_VALUE"""),"Xbox / PC")</f>
        <v>Xbox / PC</v>
      </c>
      <c r="C15" s="195" t="str">
        <f>IFERROR(__xludf.DUMMYFUNCTION("""COMPUTED_VALUE"""),"Yes")</f>
        <v>Yes</v>
      </c>
      <c r="D15" s="196" t="str">
        <f>IFERROR(__xludf.DUMMYFUNCTION("""COMPUTED_VALUE"""),"Removed")</f>
        <v>Removed</v>
      </c>
      <c r="E15" s="209">
        <f>IFERROR(__xludf.DUMMYFUNCTION("""COMPUTED_VALUE"""),45324.0)</f>
        <v>45324</v>
      </c>
      <c r="F15" s="198">
        <f>IFERROR(__xludf.DUMMYFUNCTION("""COMPUTED_VALUE"""),45884.0)</f>
        <v>45884</v>
      </c>
      <c r="G15" s="199">
        <f>IFERROR(__xludf.DUMMYFUNCTION("""COMPUTED_VALUE"""),18.433333333333334)</f>
        <v>18.43333333</v>
      </c>
      <c r="H15" s="210">
        <f>IFERROR(__xludf.DUMMYFUNCTION("""COMPUTED_VALUE"""),45324.0)</f>
        <v>45324</v>
      </c>
      <c r="I15" s="199">
        <f>IFERROR(__xludf.DUMMYFUNCTION("""COMPUTED_VALUE"""),0.0)</f>
        <v>0</v>
      </c>
      <c r="J15" s="200">
        <f>IFERROR(__xludf.DUMMYFUNCTION("""COMPUTED_VALUE"""),87.0)</f>
        <v>87</v>
      </c>
      <c r="K15" s="200">
        <f>IFERROR(__xludf.DUMMYFUNCTION("""COMPUTED_VALUE"""),49.0)</f>
        <v>49</v>
      </c>
      <c r="L15" s="201" t="str">
        <f>IFERROR(__xludf.DUMMYFUNCTION("""COMPUTED_VALUE"""),"RPG")</f>
        <v>RPG</v>
      </c>
    </row>
    <row r="16">
      <c r="A16" s="190" t="str">
        <f>IFERROR(__xludf.DUMMYFUNCTION("""COMPUTED_VALUE"""),"Farming Simulator 22")</f>
        <v>Farming Simulator 22</v>
      </c>
      <c r="B16" s="195" t="str">
        <f>IFERROR(__xludf.DUMMYFUNCTION("""COMPUTED_VALUE"""),"Xbox / PC")</f>
        <v>Xbox / PC</v>
      </c>
      <c r="C16" s="195" t="str">
        <f>IFERROR(__xludf.DUMMYFUNCTION("""COMPUTED_VALUE"""),"Yes")</f>
        <v>Yes</v>
      </c>
      <c r="D16" s="196" t="str">
        <f>IFERROR(__xludf.DUMMYFUNCTION("""COMPUTED_VALUE"""),"Removed")</f>
        <v>Removed</v>
      </c>
      <c r="E16" s="209">
        <f>IFERROR(__xludf.DUMMYFUNCTION("""COMPUTED_VALUE"""),44700.0)</f>
        <v>44700</v>
      </c>
      <c r="F16" s="198">
        <f>IFERROR(__xludf.DUMMYFUNCTION("""COMPUTED_VALUE"""),45884.0)</f>
        <v>45884</v>
      </c>
      <c r="G16" s="199">
        <f>IFERROR(__xludf.DUMMYFUNCTION("""COMPUTED_VALUE"""),38.86666666666667)</f>
        <v>38.86666667</v>
      </c>
      <c r="H16" s="210">
        <f>IFERROR(__xludf.DUMMYFUNCTION("""COMPUTED_VALUE"""),44522.0)</f>
        <v>44522</v>
      </c>
      <c r="I16" s="199">
        <f>IFERROR(__xludf.DUMMYFUNCTION("""COMPUTED_VALUE"""),0.49166666666666664)</f>
        <v>0.4916666667</v>
      </c>
      <c r="J16" s="200">
        <f>IFERROR(__xludf.DUMMYFUNCTION("""COMPUTED_VALUE"""),75.5)</f>
        <v>75.5</v>
      </c>
      <c r="K16" s="200">
        <f>IFERROR(__xludf.DUMMYFUNCTION("""COMPUTED_VALUE"""),466.0)</f>
        <v>466</v>
      </c>
      <c r="L16" s="201" t="str">
        <f>IFERROR(__xludf.DUMMYFUNCTION("""COMPUTED_VALUE"""),"Simulation")</f>
        <v>Simulation</v>
      </c>
    </row>
    <row r="17">
      <c r="A17" s="190" t="str">
        <f>IFERROR(__xludf.DUMMYFUNCTION("""COMPUTED_VALUE"""),"Anthem")</f>
        <v>Anthem</v>
      </c>
      <c r="B17" s="195" t="str">
        <f>IFERROR(__xludf.DUMMYFUNCTION("""COMPUTED_VALUE"""),"Xbox / PC")</f>
        <v>Xbox / PC</v>
      </c>
      <c r="C17" s="195"/>
      <c r="D17" s="196" t="str">
        <f>IFERROR(__xludf.DUMMYFUNCTION("""COMPUTED_VALUE"""),"Removed")</f>
        <v>Removed</v>
      </c>
      <c r="E17" s="209">
        <f>IFERROR(__xludf.DUMMYFUNCTION("""COMPUTED_VALUE"""),44145.0)</f>
        <v>44145</v>
      </c>
      <c r="F17" s="198">
        <f>IFERROR(__xludf.DUMMYFUNCTION("""COMPUTED_VALUE"""),45884.0)</f>
        <v>45884</v>
      </c>
      <c r="G17" s="199">
        <f>IFERROR(__xludf.DUMMYFUNCTION("""COMPUTED_VALUE"""),57.16666666666667)</f>
        <v>57.16666667</v>
      </c>
      <c r="H17" s="210">
        <f>IFERROR(__xludf.DUMMYFUNCTION("""COMPUTED_VALUE"""),43511.0)</f>
        <v>43511</v>
      </c>
      <c r="I17" s="199">
        <f>IFERROR(__xludf.DUMMYFUNCTION("""COMPUTED_VALUE"""),1.7361111111111112)</f>
        <v>1.736111111</v>
      </c>
      <c r="J17" s="200">
        <f>IFERROR(__xludf.DUMMYFUNCTION("""COMPUTED_VALUE"""),62.0)</f>
        <v>62</v>
      </c>
      <c r="K17" s="200">
        <f>IFERROR(__xludf.DUMMYFUNCTION("""COMPUTED_VALUE"""),12.5)</f>
        <v>12.5</v>
      </c>
      <c r="L17" s="201" t="str">
        <f>IFERROR(__xludf.DUMMYFUNCTION("""COMPUTED_VALUE"""),"Action / RPG")</f>
        <v>Action / RPG</v>
      </c>
    </row>
    <row r="18">
      <c r="A18" s="190" t="str">
        <f>IFERROR(__xludf.DUMMYFUNCTION("""COMPUTED_VALUE"""),"Gigantic: Rampage Edition")</f>
        <v>Gigantic: Rampage Edition</v>
      </c>
      <c r="B18" s="195" t="str">
        <f>IFERROR(__xludf.DUMMYFUNCTION("""COMPUTED_VALUE"""),"Xbox / PC")</f>
        <v>Xbox / PC</v>
      </c>
      <c r="C18" s="195" t="str">
        <f>IFERROR(__xludf.DUMMYFUNCTION("""COMPUTED_VALUE"""),"Yes")</f>
        <v>Yes</v>
      </c>
      <c r="D18" s="196" t="str">
        <f>IFERROR(__xludf.DUMMYFUNCTION("""COMPUTED_VALUE"""),"Removed")</f>
        <v>Removed</v>
      </c>
      <c r="E18" s="209">
        <f>IFERROR(__xludf.DUMMYFUNCTION("""COMPUTED_VALUE"""),45679.0)</f>
        <v>45679</v>
      </c>
      <c r="F18" s="198">
        <f>IFERROR(__xludf.DUMMYFUNCTION("""COMPUTED_VALUE"""),45869.0)</f>
        <v>45869</v>
      </c>
      <c r="G18" s="199">
        <f>IFERROR(__xludf.DUMMYFUNCTION("""COMPUTED_VALUE"""),6.2666666666666675)</f>
        <v>6.266666667</v>
      </c>
      <c r="H18" s="210">
        <f>IFERROR(__xludf.DUMMYFUNCTION("""COMPUTED_VALUE"""),45391.0)</f>
        <v>45391</v>
      </c>
      <c r="I18" s="199">
        <f>IFERROR(__xludf.DUMMYFUNCTION("""COMPUTED_VALUE"""),0.7861111111111111)</f>
        <v>0.7861111111</v>
      </c>
      <c r="J18" s="200">
        <f>IFERROR(__xludf.DUMMYFUNCTION("""COMPUTED_VALUE"""),65.0)</f>
        <v>65</v>
      </c>
      <c r="K18" s="200">
        <f>IFERROR(__xludf.DUMMYFUNCTION("""COMPUTED_VALUE"""),16.0)</f>
        <v>16</v>
      </c>
      <c r="L18" s="201" t="str">
        <f>IFERROR(__xludf.DUMMYFUNCTION("""COMPUTED_VALUE"""),"MOBA")</f>
        <v>MOBA</v>
      </c>
    </row>
    <row r="19">
      <c r="A19" s="190" t="str">
        <f>IFERROR(__xludf.DUMMYFUNCTION("""COMPUTED_VALUE"""),"Kunitsu-Gami: Path of the Goddess")</f>
        <v>Kunitsu-Gami: Path of the Goddess</v>
      </c>
      <c r="B19" s="195" t="str">
        <f>IFERROR(__xludf.DUMMYFUNCTION("""COMPUTED_VALUE"""),"Xbox / PC")</f>
        <v>Xbox / PC</v>
      </c>
      <c r="C19" s="195" t="str">
        <f>IFERROR(__xludf.DUMMYFUNCTION("""COMPUTED_VALUE"""),"Yes")</f>
        <v>Yes</v>
      </c>
      <c r="D19" s="196" t="str">
        <f>IFERROR(__xludf.DUMMYFUNCTION("""COMPUTED_VALUE"""),"Removed")</f>
        <v>Removed</v>
      </c>
      <c r="E19" s="209">
        <f>IFERROR(__xludf.DUMMYFUNCTION("""COMPUTED_VALUE"""),45492.0)</f>
        <v>45492</v>
      </c>
      <c r="F19" s="198">
        <f>IFERROR(__xludf.DUMMYFUNCTION("""COMPUTED_VALUE"""),45869.0)</f>
        <v>45869</v>
      </c>
      <c r="G19" s="199">
        <f>IFERROR(__xludf.DUMMYFUNCTION("""COMPUTED_VALUE"""),12.366666666666665)</f>
        <v>12.36666667</v>
      </c>
      <c r="H19" s="210">
        <f>IFERROR(__xludf.DUMMYFUNCTION("""COMPUTED_VALUE"""),45492.0)</f>
        <v>45492</v>
      </c>
      <c r="I19" s="199">
        <f>IFERROR(__xludf.DUMMYFUNCTION("""COMPUTED_VALUE"""),0.0)</f>
        <v>0</v>
      </c>
      <c r="J19" s="200">
        <f>IFERROR(__xludf.DUMMYFUNCTION("""COMPUTED_VALUE"""),80.0)</f>
        <v>80</v>
      </c>
      <c r="K19" s="200">
        <f>IFERROR(__xludf.DUMMYFUNCTION("""COMPUTED_VALUE"""),16.0)</f>
        <v>16</v>
      </c>
      <c r="L19" s="201" t="str">
        <f>IFERROR(__xludf.DUMMYFUNCTION("""COMPUTED_VALUE"""),"Action-Adventure")</f>
        <v>Action-Adventure</v>
      </c>
    </row>
    <row r="20">
      <c r="A20" s="190" t="str">
        <f>IFERROR(__xludf.DUMMYFUNCTION("""COMPUTED_VALUE"""),"Turnip Boy Robs a Bank")</f>
        <v>Turnip Boy Robs a Bank</v>
      </c>
      <c r="B20" s="195" t="str">
        <f>IFERROR(__xludf.DUMMYFUNCTION("""COMPUTED_VALUE"""),"Xbox / PC")</f>
        <v>Xbox / PC</v>
      </c>
      <c r="C20" s="195" t="str">
        <f>IFERROR(__xludf.DUMMYFUNCTION("""COMPUTED_VALUE"""),"Yes")</f>
        <v>Yes</v>
      </c>
      <c r="D20" s="196" t="str">
        <f>IFERROR(__xludf.DUMMYFUNCTION("""COMPUTED_VALUE"""),"Removed")</f>
        <v>Removed</v>
      </c>
      <c r="E20" s="209">
        <f>IFERROR(__xludf.DUMMYFUNCTION("""COMPUTED_VALUE"""),45309.0)</f>
        <v>45309</v>
      </c>
      <c r="F20" s="198">
        <f>IFERROR(__xludf.DUMMYFUNCTION("""COMPUTED_VALUE"""),45869.0)</f>
        <v>45869</v>
      </c>
      <c r="G20" s="199">
        <f>IFERROR(__xludf.DUMMYFUNCTION("""COMPUTED_VALUE"""),18.400000000000002)</f>
        <v>18.4</v>
      </c>
      <c r="H20" s="210">
        <f>IFERROR(__xludf.DUMMYFUNCTION("""COMPUTED_VALUE"""),45309.0)</f>
        <v>45309</v>
      </c>
      <c r="I20" s="199">
        <f>IFERROR(__xludf.DUMMYFUNCTION("""COMPUTED_VALUE"""),0.0)</f>
        <v>0</v>
      </c>
      <c r="J20" s="200">
        <f>IFERROR(__xludf.DUMMYFUNCTION("""COMPUTED_VALUE"""),82.0)</f>
        <v>82</v>
      </c>
      <c r="K20" s="200">
        <f>IFERROR(__xludf.DUMMYFUNCTION("""COMPUTED_VALUE"""),4.0)</f>
        <v>4</v>
      </c>
      <c r="L20" s="201" t="str">
        <f>IFERROR(__xludf.DUMMYFUNCTION("""COMPUTED_VALUE"""),"Action-Adventure")</f>
        <v>Action-Adventure</v>
      </c>
    </row>
    <row r="21">
      <c r="A21" s="190" t="str">
        <f>IFERROR(__xludf.DUMMYFUNCTION("""COMPUTED_VALUE"""),"Mafia: Definitive Edition")</f>
        <v>Mafia: Definitive Edition</v>
      </c>
      <c r="B21" s="195" t="str">
        <f>IFERROR(__xludf.DUMMYFUNCTION("""COMPUTED_VALUE"""),"Xbox / PC")</f>
        <v>Xbox / PC</v>
      </c>
      <c r="C21" s="195" t="str">
        <f>IFERROR(__xludf.DUMMYFUNCTION("""COMPUTED_VALUE"""),"Yes")</f>
        <v>Yes</v>
      </c>
      <c r="D21" s="196" t="str">
        <f>IFERROR(__xludf.DUMMYFUNCTION("""COMPUTED_VALUE"""),"Removed")</f>
        <v>Removed</v>
      </c>
      <c r="E21" s="209">
        <f>IFERROR(__xludf.DUMMYFUNCTION("""COMPUTED_VALUE"""),45517.0)</f>
        <v>45517</v>
      </c>
      <c r="F21" s="198">
        <f>IFERROR(__xludf.DUMMYFUNCTION("""COMPUTED_VALUE"""),45853.0)</f>
        <v>45853</v>
      </c>
      <c r="G21" s="199">
        <f>IFERROR(__xludf.DUMMYFUNCTION("""COMPUTED_VALUE"""),11.066666666666666)</f>
        <v>11.06666667</v>
      </c>
      <c r="H21" s="210">
        <f>IFERROR(__xludf.DUMMYFUNCTION("""COMPUTED_VALUE"""),44099.0)</f>
        <v>44099</v>
      </c>
      <c r="I21" s="199">
        <f>IFERROR(__xludf.DUMMYFUNCTION("""COMPUTED_VALUE"""),3.8833333333333333)</f>
        <v>3.883333333</v>
      </c>
      <c r="J21" s="200">
        <f>IFERROR(__xludf.DUMMYFUNCTION("""COMPUTED_VALUE"""),76.0)</f>
        <v>76</v>
      </c>
      <c r="K21" s="200">
        <f>IFERROR(__xludf.DUMMYFUNCTION("""COMPUTED_VALUE"""),11.0)</f>
        <v>11</v>
      </c>
      <c r="L21" s="201" t="str">
        <f>IFERROR(__xludf.DUMMYFUNCTION("""COMPUTED_VALUE"""),"Shooter")</f>
        <v>Shooter</v>
      </c>
    </row>
    <row r="22">
      <c r="A22" s="190" t="str">
        <f>IFERROR(__xludf.DUMMYFUNCTION("""COMPUTED_VALUE"""),"Flock (2024)")</f>
        <v>Flock (2024)</v>
      </c>
      <c r="B22" s="195" t="str">
        <f>IFERROR(__xludf.DUMMYFUNCTION("""COMPUTED_VALUE"""),"Xbox / PC")</f>
        <v>Xbox / PC</v>
      </c>
      <c r="C22" s="195" t="str">
        <f>IFERROR(__xludf.DUMMYFUNCTION("""COMPUTED_VALUE"""),"Yes")</f>
        <v>Yes</v>
      </c>
      <c r="D22" s="196" t="str">
        <f>IFERROR(__xludf.DUMMYFUNCTION("""COMPUTED_VALUE"""),"Removed")</f>
        <v>Removed</v>
      </c>
      <c r="E22" s="209">
        <f>IFERROR(__xludf.DUMMYFUNCTION("""COMPUTED_VALUE"""),45489.0)</f>
        <v>45489</v>
      </c>
      <c r="F22" s="198">
        <f>IFERROR(__xludf.DUMMYFUNCTION("""COMPUTED_VALUE"""),45853.0)</f>
        <v>45853</v>
      </c>
      <c r="G22" s="199">
        <f>IFERROR(__xludf.DUMMYFUNCTION("""COMPUTED_VALUE"""),11.966666666666667)</f>
        <v>11.96666667</v>
      </c>
      <c r="H22" s="210">
        <f>IFERROR(__xludf.DUMMYFUNCTION("""COMPUTED_VALUE"""),45489.0)</f>
        <v>45489</v>
      </c>
      <c r="I22" s="199">
        <f>IFERROR(__xludf.DUMMYFUNCTION("""COMPUTED_VALUE"""),0.0)</f>
        <v>0</v>
      </c>
      <c r="J22" s="200">
        <f>IFERROR(__xludf.DUMMYFUNCTION("""COMPUTED_VALUE"""),74.0)</f>
        <v>74</v>
      </c>
      <c r="K22" s="200">
        <f>IFERROR(__xludf.DUMMYFUNCTION("""COMPUTED_VALUE"""),4.0)</f>
        <v>4</v>
      </c>
      <c r="L22" s="201" t="str">
        <f>IFERROR(__xludf.DUMMYFUNCTION("""COMPUTED_VALUE"""),"Action-Adventure")</f>
        <v>Action-Adventure</v>
      </c>
    </row>
    <row r="23">
      <c r="A23" s="190" t="str">
        <f>IFERROR(__xludf.DUMMYFUNCTION("""COMPUTED_VALUE"""),"Magical Delicacy")</f>
        <v>Magical Delicacy</v>
      </c>
      <c r="B23" s="195" t="str">
        <f>IFERROR(__xludf.DUMMYFUNCTION("""COMPUTED_VALUE"""),"Xbox / PC")</f>
        <v>Xbox / PC</v>
      </c>
      <c r="C23" s="195" t="str">
        <f>IFERROR(__xludf.DUMMYFUNCTION("""COMPUTED_VALUE"""),"Yes")</f>
        <v>Yes</v>
      </c>
      <c r="D23" s="196" t="str">
        <f>IFERROR(__xludf.DUMMYFUNCTION("""COMPUTED_VALUE"""),"Removed")</f>
        <v>Removed</v>
      </c>
      <c r="E23" s="209">
        <f>IFERROR(__xludf.DUMMYFUNCTION("""COMPUTED_VALUE"""),45489.0)</f>
        <v>45489</v>
      </c>
      <c r="F23" s="198">
        <f>IFERROR(__xludf.DUMMYFUNCTION("""COMPUTED_VALUE"""),45853.0)</f>
        <v>45853</v>
      </c>
      <c r="G23" s="199">
        <f>IFERROR(__xludf.DUMMYFUNCTION("""COMPUTED_VALUE"""),11.966666666666667)</f>
        <v>11.96666667</v>
      </c>
      <c r="H23" s="210">
        <f>IFERROR(__xludf.DUMMYFUNCTION("""COMPUTED_VALUE"""),45489.0)</f>
        <v>45489</v>
      </c>
      <c r="I23" s="199">
        <f>IFERROR(__xludf.DUMMYFUNCTION("""COMPUTED_VALUE"""),0.0)</f>
        <v>0</v>
      </c>
      <c r="J23" s="200">
        <f>IFERROR(__xludf.DUMMYFUNCTION("""COMPUTED_VALUE"""),84.0)</f>
        <v>84</v>
      </c>
      <c r="K23" s="200">
        <f>IFERROR(__xludf.DUMMYFUNCTION("""COMPUTED_VALUE"""),27.0)</f>
        <v>27</v>
      </c>
      <c r="L23" s="201" t="str">
        <f>IFERROR(__xludf.DUMMYFUNCTION("""COMPUTED_VALUE"""),"Strategy")</f>
        <v>Strategy</v>
      </c>
    </row>
    <row r="24">
      <c r="A24" s="190" t="str">
        <f>IFERROR(__xludf.DUMMYFUNCTION("""COMPUTED_VALUE"""),"Tchia")</f>
        <v>Tchia</v>
      </c>
      <c r="B24" s="195" t="str">
        <f>IFERROR(__xludf.DUMMYFUNCTION("""COMPUTED_VALUE"""),"Xbox / PC")</f>
        <v>Xbox / PC</v>
      </c>
      <c r="C24" s="195" t="str">
        <f>IFERROR(__xludf.DUMMYFUNCTION("""COMPUTED_VALUE"""),"Yes")</f>
        <v>Yes</v>
      </c>
      <c r="D24" s="196" t="str">
        <f>IFERROR(__xludf.DUMMYFUNCTION("""COMPUTED_VALUE"""),"Removed")</f>
        <v>Removed</v>
      </c>
      <c r="E24" s="209">
        <f>IFERROR(__xludf.DUMMYFUNCTION("""COMPUTED_VALUE"""),45484.0)</f>
        <v>45484</v>
      </c>
      <c r="F24" s="198">
        <f>IFERROR(__xludf.DUMMYFUNCTION("""COMPUTED_VALUE"""),45853.0)</f>
        <v>45853</v>
      </c>
      <c r="G24" s="199">
        <f>IFERROR(__xludf.DUMMYFUNCTION("""COMPUTED_VALUE"""),12.133333333333333)</f>
        <v>12.13333333</v>
      </c>
      <c r="H24" s="210">
        <f>IFERROR(__xludf.DUMMYFUNCTION("""COMPUTED_VALUE"""),45006.0)</f>
        <v>45006</v>
      </c>
      <c r="I24" s="199">
        <f>IFERROR(__xludf.DUMMYFUNCTION("""COMPUTED_VALUE"""),1.3055555555555556)</f>
        <v>1.305555556</v>
      </c>
      <c r="J24" s="200">
        <f>IFERROR(__xludf.DUMMYFUNCTION("""COMPUTED_VALUE"""),77.0)</f>
        <v>77</v>
      </c>
      <c r="K24" s="200">
        <f>IFERROR(__xludf.DUMMYFUNCTION("""COMPUTED_VALUE"""),7.0)</f>
        <v>7</v>
      </c>
      <c r="L24" s="201" t="str">
        <f>IFERROR(__xludf.DUMMYFUNCTION("""COMPUTED_VALUE"""),"Action-Adventure")</f>
        <v>Action-Adventure</v>
      </c>
    </row>
    <row r="25">
      <c r="A25" s="190" t="str">
        <f>IFERROR(__xludf.DUMMYFUNCTION("""COMPUTED_VALUE"""),"The Case of the Golden Idol")</f>
        <v>The Case of the Golden Idol</v>
      </c>
      <c r="B25" s="195" t="str">
        <f>IFERROR(__xludf.DUMMYFUNCTION("""COMPUTED_VALUE"""),"Xbox / PC")</f>
        <v>Xbox / PC</v>
      </c>
      <c r="C25" s="195" t="str">
        <f>IFERROR(__xludf.DUMMYFUNCTION("""COMPUTED_VALUE"""),"Yes")</f>
        <v>Yes</v>
      </c>
      <c r="D25" s="196" t="str">
        <f>IFERROR(__xludf.DUMMYFUNCTION("""COMPUTED_VALUE"""),"Removed")</f>
        <v>Removed</v>
      </c>
      <c r="E25" s="209">
        <f>IFERROR(__xludf.DUMMYFUNCTION("""COMPUTED_VALUE"""),45482.0)</f>
        <v>45482</v>
      </c>
      <c r="F25" s="266">
        <f>IFERROR(__xludf.DUMMYFUNCTION("""COMPUTED_VALUE"""),45853.0)</f>
        <v>45853</v>
      </c>
      <c r="G25" s="199">
        <f>IFERROR(__xludf.DUMMYFUNCTION("""COMPUTED_VALUE"""),12.2)</f>
        <v>12.2</v>
      </c>
      <c r="H25" s="210">
        <f>IFERROR(__xludf.DUMMYFUNCTION("""COMPUTED_VALUE"""),44847.0)</f>
        <v>44847</v>
      </c>
      <c r="I25" s="199">
        <f>IFERROR(__xludf.DUMMYFUNCTION("""COMPUTED_VALUE"""),1.738888888888889)</f>
        <v>1.738888889</v>
      </c>
      <c r="J25" s="200">
        <f>IFERROR(__xludf.DUMMYFUNCTION("""COMPUTED_VALUE"""),84.0)</f>
        <v>84</v>
      </c>
      <c r="K25" s="200">
        <f>IFERROR(__xludf.DUMMYFUNCTION("""COMPUTED_VALUE"""),6.0)</f>
        <v>6</v>
      </c>
      <c r="L25" s="201" t="str">
        <f>IFERROR(__xludf.DUMMYFUNCTION("""COMPUTED_VALUE"""),"Point and Click")</f>
        <v>Point and Click</v>
      </c>
    </row>
    <row r="26">
      <c r="A26" s="190" t="str">
        <f>IFERROR(__xludf.DUMMYFUNCTION("""COMPUTED_VALUE"""),"The Callisto Protocol")</f>
        <v>The Callisto Protocol</v>
      </c>
      <c r="B26" s="195" t="str">
        <f>IFERROR(__xludf.DUMMYFUNCTION("""COMPUTED_VALUE"""),"Xbox / PC")</f>
        <v>Xbox / PC</v>
      </c>
      <c r="C26" s="195" t="str">
        <f>IFERROR(__xludf.DUMMYFUNCTION("""COMPUTED_VALUE"""),"Yes")</f>
        <v>Yes</v>
      </c>
      <c r="D26" s="196" t="str">
        <f>IFERROR(__xludf.DUMMYFUNCTION("""COMPUTED_VALUE"""),"Removed")</f>
        <v>Removed</v>
      </c>
      <c r="E26" s="209">
        <f>IFERROR(__xludf.DUMMYFUNCTION("""COMPUTED_VALUE"""),45456.0)</f>
        <v>45456</v>
      </c>
      <c r="F26" s="266">
        <f>IFERROR(__xludf.DUMMYFUNCTION("""COMPUTED_VALUE"""),45853.0)</f>
        <v>45853</v>
      </c>
      <c r="G26" s="199">
        <f>IFERROR(__xludf.DUMMYFUNCTION("""COMPUTED_VALUE"""),13.066666666666666)</f>
        <v>13.06666667</v>
      </c>
      <c r="H26" s="210">
        <f>IFERROR(__xludf.DUMMYFUNCTION("""COMPUTED_VALUE"""),44897.0)</f>
        <v>44897</v>
      </c>
      <c r="I26" s="199">
        <f>IFERROR(__xludf.DUMMYFUNCTION("""COMPUTED_VALUE"""),1.5305555555555554)</f>
        <v>1.530555556</v>
      </c>
      <c r="J26" s="200">
        <f>IFERROR(__xludf.DUMMYFUNCTION("""COMPUTED_VALUE"""),69.0)</f>
        <v>69</v>
      </c>
      <c r="K26" s="200">
        <f>IFERROR(__xludf.DUMMYFUNCTION("""COMPUTED_VALUE"""),10.0)</f>
        <v>10</v>
      </c>
      <c r="L26" s="201" t="str">
        <f>IFERROR(__xludf.DUMMYFUNCTION("""COMPUTED_VALUE"""),"Survival")</f>
        <v>Survival</v>
      </c>
    </row>
    <row r="27">
      <c r="A27" s="190" t="str">
        <f>IFERROR(__xludf.DUMMYFUNCTION("""COMPUTED_VALUE"""),"Journey to the Savage Planet")</f>
        <v>Journey to the Savage Planet</v>
      </c>
      <c r="B27" s="195" t="str">
        <f>IFERROR(__xludf.DUMMYFUNCTION("""COMPUTED_VALUE"""),"Xbox / PC")</f>
        <v>Xbox / PC</v>
      </c>
      <c r="C27" s="195" t="str">
        <f>IFERROR(__xludf.DUMMYFUNCTION("""COMPUTED_VALUE"""),"Yes")</f>
        <v>Yes</v>
      </c>
      <c r="D27" s="196" t="str">
        <f>IFERROR(__xludf.DUMMYFUNCTION("""COMPUTED_VALUE"""),"Removed")</f>
        <v>Removed</v>
      </c>
      <c r="E27" s="209">
        <f>IFERROR(__xludf.DUMMYFUNCTION("""COMPUTED_VALUE"""),45476.0)</f>
        <v>45476</v>
      </c>
      <c r="F27" s="266">
        <f>IFERROR(__xludf.DUMMYFUNCTION("""COMPUTED_VALUE"""),45838.0)</f>
        <v>45838</v>
      </c>
      <c r="G27" s="199">
        <f>IFERROR(__xludf.DUMMYFUNCTION("""COMPUTED_VALUE"""),11.9)</f>
        <v>11.9</v>
      </c>
      <c r="H27" s="210">
        <f>IFERROR(__xludf.DUMMYFUNCTION("""COMPUTED_VALUE"""),43858.0)</f>
        <v>43858</v>
      </c>
      <c r="I27" s="199">
        <f>IFERROR(__xludf.DUMMYFUNCTION("""COMPUTED_VALUE"""),4.430555555555555)</f>
        <v>4.430555556</v>
      </c>
      <c r="J27" s="200">
        <f>IFERROR(__xludf.DUMMYFUNCTION("""COMPUTED_VALUE"""),76.0)</f>
        <v>76</v>
      </c>
      <c r="K27" s="200">
        <f>IFERROR(__xludf.DUMMYFUNCTION("""COMPUTED_VALUE"""),7.0)</f>
        <v>7</v>
      </c>
      <c r="L27" s="201" t="str">
        <f>IFERROR(__xludf.DUMMYFUNCTION("""COMPUTED_VALUE"""),"First-Person Shooter / Action-Adventure")</f>
        <v>First-Person Shooter / Action-Adventure</v>
      </c>
    </row>
    <row r="28">
      <c r="A28" s="190" t="str">
        <f>IFERROR(__xludf.DUMMYFUNCTION("""COMPUTED_VALUE"""),"Robin Hood: Sherwood Builders")</f>
        <v>Robin Hood: Sherwood Builders</v>
      </c>
      <c r="B28" s="195" t="str">
        <f>IFERROR(__xludf.DUMMYFUNCTION("""COMPUTED_VALUE"""),"Xbox / PC")</f>
        <v>Xbox / PC</v>
      </c>
      <c r="C28" s="195" t="str">
        <f>IFERROR(__xludf.DUMMYFUNCTION("""COMPUTED_VALUE"""),"Yes")</f>
        <v>Yes</v>
      </c>
      <c r="D28" s="196" t="str">
        <f>IFERROR(__xludf.DUMMYFUNCTION("""COMPUTED_VALUE"""),"Removed")</f>
        <v>Removed</v>
      </c>
      <c r="E28" s="209">
        <f>IFERROR(__xludf.DUMMYFUNCTION("""COMPUTED_VALUE"""),45470.0)</f>
        <v>45470</v>
      </c>
      <c r="F28" s="266">
        <f>IFERROR(__xludf.DUMMYFUNCTION("""COMPUTED_VALUE"""),45838.0)</f>
        <v>45838</v>
      </c>
      <c r="G28" s="199">
        <f>IFERROR(__xludf.DUMMYFUNCTION("""COMPUTED_VALUE"""),12.1)</f>
        <v>12.1</v>
      </c>
      <c r="H28" s="210">
        <f>IFERROR(__xludf.DUMMYFUNCTION("""COMPUTED_VALUE"""),45351.0)</f>
        <v>45351</v>
      </c>
      <c r="I28" s="199">
        <f>IFERROR(__xludf.DUMMYFUNCTION("""COMPUTED_VALUE"""),0.3277777777777778)</f>
        <v>0.3277777778</v>
      </c>
      <c r="J28" s="200">
        <f>IFERROR(__xludf.DUMMYFUNCTION("""COMPUTED_VALUE"""),80.33333333333333)</f>
        <v>80.33333333</v>
      </c>
      <c r="K28" s="200">
        <f>IFERROR(__xludf.DUMMYFUNCTION("""COMPUTED_VALUE"""),16.0)</f>
        <v>16</v>
      </c>
      <c r="L28" s="201" t="str">
        <f>IFERROR(__xludf.DUMMYFUNCTION("""COMPUTED_VALUE"""),"Action-Adventure")</f>
        <v>Action-Adventure</v>
      </c>
    </row>
    <row r="29">
      <c r="A29" s="190" t="str">
        <f>IFERROR(__xludf.DUMMYFUNCTION("""COMPUTED_VALUE"""),"SteamWorld Dig")</f>
        <v>SteamWorld Dig</v>
      </c>
      <c r="B29" s="195" t="str">
        <f>IFERROR(__xludf.DUMMYFUNCTION("""COMPUTED_VALUE"""),"Xbox")</f>
        <v>Xbox</v>
      </c>
      <c r="C29" s="195" t="str">
        <f>IFERROR(__xludf.DUMMYFUNCTION("""COMPUTED_VALUE"""),"Yes")</f>
        <v>Yes</v>
      </c>
      <c r="D29" s="196" t="str">
        <f>IFERROR(__xludf.DUMMYFUNCTION("""COMPUTED_VALUE"""),"Removed")</f>
        <v>Removed</v>
      </c>
      <c r="E29" s="209">
        <f>IFERROR(__xludf.DUMMYFUNCTION("""COMPUTED_VALUE"""),45469.0)</f>
        <v>45469</v>
      </c>
      <c r="F29" s="266">
        <f>IFERROR(__xludf.DUMMYFUNCTION("""COMPUTED_VALUE"""),45838.0)</f>
        <v>45838</v>
      </c>
      <c r="G29" s="199">
        <f>IFERROR(__xludf.DUMMYFUNCTION("""COMPUTED_VALUE"""),12.133333333333333)</f>
        <v>12.13333333</v>
      </c>
      <c r="H29" s="210">
        <f>IFERROR(__xludf.DUMMYFUNCTION("""COMPUTED_VALUE"""),41494.0)</f>
        <v>41494</v>
      </c>
      <c r="I29" s="199">
        <f>IFERROR(__xludf.DUMMYFUNCTION("""COMPUTED_VALUE"""),10.883333333333333)</f>
        <v>10.88333333</v>
      </c>
      <c r="J29" s="200">
        <f>IFERROR(__xludf.DUMMYFUNCTION("""COMPUTED_VALUE"""),82.0)</f>
        <v>82</v>
      </c>
      <c r="K29" s="200">
        <f>IFERROR(__xludf.DUMMYFUNCTION("""COMPUTED_VALUE"""),5.0)</f>
        <v>5</v>
      </c>
      <c r="L29" s="201" t="str">
        <f>IFERROR(__xludf.DUMMYFUNCTION("""COMPUTED_VALUE"""),"Metroidvania")</f>
        <v>Metroidvania</v>
      </c>
    </row>
    <row r="30">
      <c r="A30" s="190" t="str">
        <f>IFERROR(__xludf.DUMMYFUNCTION("""COMPUTED_VALUE"""),"SteamWorld Dig 2")</f>
        <v>SteamWorld Dig 2</v>
      </c>
      <c r="B30" s="195" t="str">
        <f>IFERROR(__xludf.DUMMYFUNCTION("""COMPUTED_VALUE"""),"Xbox / PC")</f>
        <v>Xbox / PC</v>
      </c>
      <c r="C30" s="195"/>
      <c r="D30" s="196" t="str">
        <f>IFERROR(__xludf.DUMMYFUNCTION("""COMPUTED_VALUE"""),"Removed")</f>
        <v>Removed</v>
      </c>
      <c r="E30" s="209">
        <f>IFERROR(__xludf.DUMMYFUNCTION("""COMPUTED_VALUE"""),45469.0)</f>
        <v>45469</v>
      </c>
      <c r="F30" s="266">
        <f>IFERROR(__xludf.DUMMYFUNCTION("""COMPUTED_VALUE"""),45838.0)</f>
        <v>45838</v>
      </c>
      <c r="G30" s="199">
        <f>IFERROR(__xludf.DUMMYFUNCTION("""COMPUTED_VALUE"""),12.133333333333333)</f>
        <v>12.13333333</v>
      </c>
      <c r="H30" s="210">
        <f>IFERROR(__xludf.DUMMYFUNCTION("""COMPUTED_VALUE"""),42999.0)</f>
        <v>42999</v>
      </c>
      <c r="I30" s="199">
        <f>IFERROR(__xludf.DUMMYFUNCTION("""COMPUTED_VALUE"""),6.763888888888889)</f>
        <v>6.763888889</v>
      </c>
      <c r="J30" s="200">
        <f>IFERROR(__xludf.DUMMYFUNCTION("""COMPUTED_VALUE"""),88.0)</f>
        <v>88</v>
      </c>
      <c r="K30" s="200">
        <f>IFERROR(__xludf.DUMMYFUNCTION("""COMPUTED_VALUE"""),8.0)</f>
        <v>8</v>
      </c>
      <c r="L30" s="201" t="str">
        <f>IFERROR(__xludf.DUMMYFUNCTION("""COMPUTED_VALUE"""),"Metroidvania")</f>
        <v>Metroidvania</v>
      </c>
    </row>
    <row r="31">
      <c r="A31" s="190" t="str">
        <f>IFERROR(__xludf.DUMMYFUNCTION("""COMPUTED_VALUE"""),"Arcade Paradise")</f>
        <v>Arcade Paradise</v>
      </c>
      <c r="B31" s="195" t="str">
        <f>IFERROR(__xludf.DUMMYFUNCTION("""COMPUTED_VALUE"""),"Xbox / PC")</f>
        <v>Xbox / PC</v>
      </c>
      <c r="C31" s="195"/>
      <c r="D31" s="196" t="str">
        <f>IFERROR(__xludf.DUMMYFUNCTION("""COMPUTED_VALUE"""),"Removed")</f>
        <v>Removed</v>
      </c>
      <c r="E31" s="209">
        <f>IFERROR(__xludf.DUMMYFUNCTION("""COMPUTED_VALUE"""),45110.0)</f>
        <v>45110</v>
      </c>
      <c r="F31" s="266">
        <f>IFERROR(__xludf.DUMMYFUNCTION("""COMPUTED_VALUE"""),45838.0)</f>
        <v>45838</v>
      </c>
      <c r="G31" s="199">
        <f>IFERROR(__xludf.DUMMYFUNCTION("""COMPUTED_VALUE"""),23.9)</f>
        <v>23.9</v>
      </c>
      <c r="H31" s="210">
        <f>IFERROR(__xludf.DUMMYFUNCTION("""COMPUTED_VALUE"""),44784.0)</f>
        <v>44784</v>
      </c>
      <c r="I31" s="199">
        <f>IFERROR(__xludf.DUMMYFUNCTION("""COMPUTED_VALUE"""),0.8944444444444445)</f>
        <v>0.8944444444</v>
      </c>
      <c r="J31" s="200">
        <f>IFERROR(__xludf.DUMMYFUNCTION("""COMPUTED_VALUE"""),81.0)</f>
        <v>81</v>
      </c>
      <c r="K31" s="200">
        <f>IFERROR(__xludf.DUMMYFUNCTION("""COMPUTED_VALUE"""),26.0)</f>
        <v>26</v>
      </c>
      <c r="L31" s="201" t="str">
        <f>IFERROR(__xludf.DUMMYFUNCTION("""COMPUTED_VALUE"""),"Simulation")</f>
        <v>Simulation</v>
      </c>
    </row>
    <row r="32">
      <c r="A32" s="190" t="str">
        <f>IFERROR(__xludf.DUMMYFUNCTION("""COMPUTED_VALUE"""),"My Friend Peppa Pig")</f>
        <v>My Friend Peppa Pig</v>
      </c>
      <c r="B32" s="195" t="str">
        <f>IFERROR(__xludf.DUMMYFUNCTION("""COMPUTED_VALUE"""),"Xbox / PC")</f>
        <v>Xbox / PC</v>
      </c>
      <c r="C32" s="195" t="str">
        <f>IFERROR(__xludf.DUMMYFUNCTION("""COMPUTED_VALUE"""),"Touch Controls")</f>
        <v>Touch Controls</v>
      </c>
      <c r="D32" s="196" t="str">
        <f>IFERROR(__xludf.DUMMYFUNCTION("""COMPUTED_VALUE"""),"Removed")</f>
        <v>Removed</v>
      </c>
      <c r="E32" s="209">
        <f>IFERROR(__xludf.DUMMYFUNCTION("""COMPUTED_VALUE"""),44756.0)</f>
        <v>44756</v>
      </c>
      <c r="F32" s="266">
        <f>IFERROR(__xludf.DUMMYFUNCTION("""COMPUTED_VALUE"""),45838.0)</f>
        <v>45838</v>
      </c>
      <c r="G32" s="199">
        <f>IFERROR(__xludf.DUMMYFUNCTION("""COMPUTED_VALUE"""),35.53333333333333)</f>
        <v>35.53333333</v>
      </c>
      <c r="H32" s="210">
        <f>IFERROR(__xludf.DUMMYFUNCTION("""COMPUTED_VALUE"""),44490.0)</f>
        <v>44490</v>
      </c>
      <c r="I32" s="199">
        <f>IFERROR(__xludf.DUMMYFUNCTION("""COMPUTED_VALUE"""),0.7305555555555555)</f>
        <v>0.7305555556</v>
      </c>
      <c r="J32" s="200">
        <f>IFERROR(__xludf.DUMMYFUNCTION("""COMPUTED_VALUE"""),65.0)</f>
        <v>65</v>
      </c>
      <c r="K32" s="200">
        <f>IFERROR(__xludf.DUMMYFUNCTION("""COMPUTED_VALUE"""),1.5)</f>
        <v>1.5</v>
      </c>
      <c r="L32" s="201" t="str">
        <f>IFERROR(__xludf.DUMMYFUNCTION("""COMPUTED_VALUE"""),"Educational")</f>
        <v>Educational</v>
      </c>
    </row>
    <row r="33">
      <c r="A33" s="190" t="str">
        <f>IFERROR(__xludf.DUMMYFUNCTION("""COMPUTED_VALUE"""),"Keplerth")</f>
        <v>Keplerth</v>
      </c>
      <c r="B33" s="195" t="str">
        <f>IFERROR(__xludf.DUMMYFUNCTION("""COMPUTED_VALUE"""),"PC")</f>
        <v>PC</v>
      </c>
      <c r="C33" s="195"/>
      <c r="D33" s="196" t="str">
        <f>IFERROR(__xludf.DUMMYFUNCTION("""COMPUTED_VALUE"""),"Removed")</f>
        <v>Removed</v>
      </c>
      <c r="E33" s="209">
        <f>IFERROR(__xludf.DUMMYFUNCTION("""COMPUTED_VALUE"""),45463.0)</f>
        <v>45463</v>
      </c>
      <c r="F33" s="266">
        <f>IFERROR(__xludf.DUMMYFUNCTION("""COMPUTED_VALUE"""),45823.0)</f>
        <v>45823</v>
      </c>
      <c r="G33" s="199">
        <f>IFERROR(__xludf.DUMMYFUNCTION("""COMPUTED_VALUE"""),11.833333333333334)</f>
        <v>11.83333333</v>
      </c>
      <c r="H33" s="210">
        <f>IFERROR(__xludf.DUMMYFUNCTION("""COMPUTED_VALUE"""),44704.0)</f>
        <v>44704</v>
      </c>
      <c r="I33" s="199">
        <f>IFERROR(__xludf.DUMMYFUNCTION("""COMPUTED_VALUE"""),2.075)</f>
        <v>2.075</v>
      </c>
      <c r="J33" s="200">
        <f>IFERROR(__xludf.DUMMYFUNCTION("""COMPUTED_VALUE"""),81.0)</f>
        <v>81</v>
      </c>
      <c r="K33" s="200">
        <f>IFERROR(__xludf.DUMMYFUNCTION("""COMPUTED_VALUE"""),20.0)</f>
        <v>20</v>
      </c>
      <c r="L33" s="201" t="str">
        <f>IFERROR(__xludf.DUMMYFUNCTION("""COMPUTED_VALUE"""),"Sandbox")</f>
        <v>Sandbox</v>
      </c>
    </row>
    <row r="34">
      <c r="A34" s="190" t="str">
        <f>IFERROR(__xludf.DUMMYFUNCTION("""COMPUTED_VALUE"""),"My Time at Sandrock")</f>
        <v>My Time at Sandrock</v>
      </c>
      <c r="B34" s="195" t="str">
        <f>IFERROR(__xludf.DUMMYFUNCTION("""COMPUTED_VALUE"""),"Xbox / PC")</f>
        <v>Xbox / PC</v>
      </c>
      <c r="C34" s="195" t="str">
        <f>IFERROR(__xludf.DUMMYFUNCTION("""COMPUTED_VALUE"""),"Yes")</f>
        <v>Yes</v>
      </c>
      <c r="D34" s="196" t="str">
        <f>IFERROR(__xludf.DUMMYFUNCTION("""COMPUTED_VALUE"""),"Removed")</f>
        <v>Removed</v>
      </c>
      <c r="E34" s="209">
        <f>IFERROR(__xludf.DUMMYFUNCTION("""COMPUTED_VALUE"""),45462.0)</f>
        <v>45462</v>
      </c>
      <c r="F34" s="266">
        <f>IFERROR(__xludf.DUMMYFUNCTION("""COMPUTED_VALUE"""),45823.0)</f>
        <v>45823</v>
      </c>
      <c r="G34" s="199">
        <f>IFERROR(__xludf.DUMMYFUNCTION("""COMPUTED_VALUE"""),11.866666666666667)</f>
        <v>11.86666667</v>
      </c>
      <c r="H34" s="210">
        <f>IFERROR(__xludf.DUMMYFUNCTION("""COMPUTED_VALUE"""),45232.0)</f>
        <v>45232</v>
      </c>
      <c r="I34" s="199">
        <f>IFERROR(__xludf.DUMMYFUNCTION("""COMPUTED_VALUE"""),0.6305555555555555)</f>
        <v>0.6305555556</v>
      </c>
      <c r="J34" s="200">
        <f>IFERROR(__xludf.DUMMYFUNCTION("""COMPUTED_VALUE"""),80.0)</f>
        <v>80</v>
      </c>
      <c r="K34" s="200">
        <f>IFERROR(__xludf.DUMMYFUNCTION("""COMPUTED_VALUE"""),79.0)</f>
        <v>79</v>
      </c>
      <c r="L34" s="201" t="str">
        <f>IFERROR(__xludf.DUMMYFUNCTION("""COMPUTED_VALUE"""),"RPG")</f>
        <v>RPG</v>
      </c>
    </row>
    <row r="35">
      <c r="A35" s="190" t="str">
        <f>IFERROR(__xludf.DUMMYFUNCTION("""COMPUTED_VALUE"""),"Isonzo")</f>
        <v>Isonzo</v>
      </c>
      <c r="B35" s="195" t="str">
        <f>IFERROR(__xludf.DUMMYFUNCTION("""COMPUTED_VALUE"""),"Xbox / PC")</f>
        <v>Xbox / PC</v>
      </c>
      <c r="C35" s="195" t="str">
        <f>IFERROR(__xludf.DUMMYFUNCTION("""COMPUTED_VALUE"""),"Yes")</f>
        <v>Yes</v>
      </c>
      <c r="D35" s="196" t="str">
        <f>IFERROR(__xludf.DUMMYFUNCTION("""COMPUTED_VALUE"""),"Removed")</f>
        <v>Removed</v>
      </c>
      <c r="E35" s="209">
        <f>IFERROR(__xludf.DUMMYFUNCTION("""COMPUTED_VALUE"""),45456.0)</f>
        <v>45456</v>
      </c>
      <c r="F35" s="266">
        <f>IFERROR(__xludf.DUMMYFUNCTION("""COMPUTED_VALUE"""),45823.0)</f>
        <v>45823</v>
      </c>
      <c r="G35" s="199">
        <f>IFERROR(__xludf.DUMMYFUNCTION("""COMPUTED_VALUE"""),12.066666666666666)</f>
        <v>12.06666667</v>
      </c>
      <c r="H35" s="210">
        <f>IFERROR(__xludf.DUMMYFUNCTION("""COMPUTED_VALUE"""),44817.0)</f>
        <v>44817</v>
      </c>
      <c r="I35" s="199">
        <f>IFERROR(__xludf.DUMMYFUNCTION("""COMPUTED_VALUE"""),1.75)</f>
        <v>1.75</v>
      </c>
      <c r="J35" s="200">
        <f>IFERROR(__xludf.DUMMYFUNCTION("""COMPUTED_VALUE"""),67.0)</f>
        <v>67</v>
      </c>
      <c r="K35" s="200">
        <f>IFERROR(__xludf.DUMMYFUNCTION("""COMPUTED_VALUE"""),15.0)</f>
        <v>15</v>
      </c>
      <c r="L35" s="201" t="str">
        <f>IFERROR(__xludf.DUMMYFUNCTION("""COMPUTED_VALUE"""),"First-Person Shooter")</f>
        <v>First-Person Shooter</v>
      </c>
    </row>
    <row r="36">
      <c r="A36" s="190" t="str">
        <f>IFERROR(__xludf.DUMMYFUNCTION("""COMPUTED_VALUE"""),"Depersonalization")</f>
        <v>Depersonalization</v>
      </c>
      <c r="B36" s="195" t="str">
        <f>IFERROR(__xludf.DUMMYFUNCTION("""COMPUTED_VALUE"""),"PC")</f>
        <v>PC</v>
      </c>
      <c r="C36" s="195"/>
      <c r="D36" s="196" t="str">
        <f>IFERROR(__xludf.DUMMYFUNCTION("""COMPUTED_VALUE"""),"Removed")</f>
        <v>Removed</v>
      </c>
      <c r="E36" s="209">
        <f>IFERROR(__xludf.DUMMYFUNCTION("""COMPUTED_VALUE"""),45455.0)</f>
        <v>45455</v>
      </c>
      <c r="F36" s="266">
        <f>IFERROR(__xludf.DUMMYFUNCTION("""COMPUTED_VALUE"""),45823.0)</f>
        <v>45823</v>
      </c>
      <c r="G36" s="199">
        <f>IFERROR(__xludf.DUMMYFUNCTION("""COMPUTED_VALUE"""),12.1)</f>
        <v>12.1</v>
      </c>
      <c r="H36" s="210">
        <f>IFERROR(__xludf.DUMMYFUNCTION("""COMPUTED_VALUE"""),44914.0)</f>
        <v>44914</v>
      </c>
      <c r="I36" s="199">
        <f>IFERROR(__xludf.DUMMYFUNCTION("""COMPUTED_VALUE"""),1.4805555555555556)</f>
        <v>1.480555556</v>
      </c>
      <c r="J36" s="267">
        <f>IFERROR(__xludf.DUMMYFUNCTION("""COMPUTED_VALUE"""),80.0)</f>
        <v>80</v>
      </c>
      <c r="K36" s="200">
        <f>IFERROR(__xludf.DUMMYFUNCTION("""COMPUTED_VALUE"""),6.0)</f>
        <v>6</v>
      </c>
      <c r="L36" s="201" t="str">
        <f>IFERROR(__xludf.DUMMYFUNCTION("""COMPUTED_VALUE"""),"RPG")</f>
        <v>RPG</v>
      </c>
    </row>
    <row r="37">
      <c r="A37" s="190" t="str">
        <f>IFERROR(__xludf.DUMMYFUNCTION("""COMPUTED_VALUE"""),"Rolling Hills: Make Sushi, Make Friends")</f>
        <v>Rolling Hills: Make Sushi, Make Friends</v>
      </c>
      <c r="B37" s="195" t="str">
        <f>IFERROR(__xludf.DUMMYFUNCTION("""COMPUTED_VALUE"""),"Xbox / PC")</f>
        <v>Xbox / PC</v>
      </c>
      <c r="C37" s="195" t="str">
        <f>IFERROR(__xludf.DUMMYFUNCTION("""COMPUTED_VALUE"""),"Yes")</f>
        <v>Yes</v>
      </c>
      <c r="D37" s="196" t="str">
        <f>IFERROR(__xludf.DUMMYFUNCTION("""COMPUTED_VALUE"""),"Removed")</f>
        <v>Removed</v>
      </c>
      <c r="E37" s="209">
        <f>IFERROR(__xludf.DUMMYFUNCTION("""COMPUTED_VALUE"""),45447.0)</f>
        <v>45447</v>
      </c>
      <c r="F37" s="266">
        <f>IFERROR(__xludf.DUMMYFUNCTION("""COMPUTED_VALUE"""),45823.0)</f>
        <v>45823</v>
      </c>
      <c r="G37" s="199">
        <f>IFERROR(__xludf.DUMMYFUNCTION("""COMPUTED_VALUE"""),12.366666666666665)</f>
        <v>12.36666667</v>
      </c>
      <c r="H37" s="210">
        <f>IFERROR(__xludf.DUMMYFUNCTION("""COMPUTED_VALUE"""),45447.0)</f>
        <v>45447</v>
      </c>
      <c r="I37" s="199">
        <f>IFERROR(__xludf.DUMMYFUNCTION("""COMPUTED_VALUE"""),0.0)</f>
        <v>0</v>
      </c>
      <c r="J37" s="200">
        <f>IFERROR(__xludf.DUMMYFUNCTION("""COMPUTED_VALUE"""),73.0)</f>
        <v>73</v>
      </c>
      <c r="K37" s="200">
        <f>IFERROR(__xludf.DUMMYFUNCTION("""COMPUTED_VALUE"""),9.0)</f>
        <v>9</v>
      </c>
      <c r="L37" s="201" t="str">
        <f>IFERROR(__xludf.DUMMYFUNCTION("""COMPUTED_VALUE"""),"Simulation")</f>
        <v>Simulation</v>
      </c>
    </row>
    <row r="38">
      <c r="A38" s="190" t="str">
        <f>IFERROR(__xludf.DUMMYFUNCTION("""COMPUTED_VALUE"""),"Dordogne")</f>
        <v>Dordogne</v>
      </c>
      <c r="B38" s="195" t="str">
        <f>IFERROR(__xludf.DUMMYFUNCTION("""COMPUTED_VALUE"""),"Xbox / PC")</f>
        <v>Xbox / PC</v>
      </c>
      <c r="C38" s="195" t="str">
        <f>IFERROR(__xludf.DUMMYFUNCTION("""COMPUTED_VALUE"""),"Yes")</f>
        <v>Yes</v>
      </c>
      <c r="D38" s="196" t="str">
        <f>IFERROR(__xludf.DUMMYFUNCTION("""COMPUTED_VALUE"""),"Removed")</f>
        <v>Removed</v>
      </c>
      <c r="E38" s="209">
        <f>IFERROR(__xludf.DUMMYFUNCTION("""COMPUTED_VALUE"""),45090.0)</f>
        <v>45090</v>
      </c>
      <c r="F38" s="266">
        <f>IFERROR(__xludf.DUMMYFUNCTION("""COMPUTED_VALUE"""),45823.0)</f>
        <v>45823</v>
      </c>
      <c r="G38" s="199">
        <f>IFERROR(__xludf.DUMMYFUNCTION("""COMPUTED_VALUE"""),24.066666666666666)</f>
        <v>24.06666667</v>
      </c>
      <c r="H38" s="210">
        <f>IFERROR(__xludf.DUMMYFUNCTION("""COMPUTED_VALUE"""),45090.0)</f>
        <v>45090</v>
      </c>
      <c r="I38" s="199">
        <f>IFERROR(__xludf.DUMMYFUNCTION("""COMPUTED_VALUE"""),0.0)</f>
        <v>0</v>
      </c>
      <c r="J38" s="200">
        <f>IFERROR(__xludf.DUMMYFUNCTION("""COMPUTED_VALUE"""),74.0)</f>
        <v>74</v>
      </c>
      <c r="K38" s="200">
        <f>IFERROR(__xludf.DUMMYFUNCTION("""COMPUTED_VALUE"""),4.0)</f>
        <v>4</v>
      </c>
      <c r="L38" s="201" t="str">
        <f>IFERROR(__xludf.DUMMYFUNCTION("""COMPUTED_VALUE"""),"Adventure / Puzzle")</f>
        <v>Adventure / Puzzle</v>
      </c>
    </row>
    <row r="39">
      <c r="A39" s="190" t="str">
        <f>IFERROR(__xludf.DUMMYFUNCTION("""COMPUTED_VALUE"""),"Hypnospace Outlaw")</f>
        <v>Hypnospace Outlaw</v>
      </c>
      <c r="B39" s="195" t="str">
        <f>IFERROR(__xludf.DUMMYFUNCTION("""COMPUTED_VALUE"""),"Xbox / PC")</f>
        <v>Xbox / PC</v>
      </c>
      <c r="C39" s="195" t="str">
        <f>IFERROR(__xludf.DUMMYFUNCTION("""COMPUTED_VALUE"""),"Yes")</f>
        <v>Yes</v>
      </c>
      <c r="D39" s="196" t="str">
        <f>IFERROR(__xludf.DUMMYFUNCTION("""COMPUTED_VALUE"""),"Removed")</f>
        <v>Removed</v>
      </c>
      <c r="E39" s="209">
        <f>IFERROR(__xludf.DUMMYFUNCTION("""COMPUTED_VALUE"""),45083.0)</f>
        <v>45083</v>
      </c>
      <c r="F39" s="266">
        <f>IFERROR(__xludf.DUMMYFUNCTION("""COMPUTED_VALUE"""),45823.0)</f>
        <v>45823</v>
      </c>
      <c r="G39" s="199">
        <f>IFERROR(__xludf.DUMMYFUNCTION("""COMPUTED_VALUE"""),24.299999999999997)</f>
        <v>24.3</v>
      </c>
      <c r="H39" s="210">
        <f>IFERROR(__xludf.DUMMYFUNCTION("""COMPUTED_VALUE"""),43536.0)</f>
        <v>43536</v>
      </c>
      <c r="I39" s="199">
        <f>IFERROR(__xludf.DUMMYFUNCTION("""COMPUTED_VALUE"""),4.233333333333333)</f>
        <v>4.233333333</v>
      </c>
      <c r="J39" s="200">
        <f>IFERROR(__xludf.DUMMYFUNCTION("""COMPUTED_VALUE"""),82.0)</f>
        <v>82</v>
      </c>
      <c r="K39" s="200">
        <f>IFERROR(__xludf.DUMMYFUNCTION("""COMPUTED_VALUE"""),5.5)</f>
        <v>5.5</v>
      </c>
      <c r="L39" s="201" t="str">
        <f>IFERROR(__xludf.DUMMYFUNCTION("""COMPUTED_VALUE"""),"Adventure / Simulation / Puzzle")</f>
        <v>Adventure / Simulation / Puzzle</v>
      </c>
    </row>
    <row r="40">
      <c r="A40" s="190" t="str">
        <f>IFERROR(__xludf.DUMMYFUNCTION("""COMPUTED_VALUE"""),"Firework")</f>
        <v>Firework</v>
      </c>
      <c r="B40" s="195" t="str">
        <f>IFERROR(__xludf.DUMMYFUNCTION("""COMPUTED_VALUE"""),"PC")</f>
        <v>PC</v>
      </c>
      <c r="C40" s="195"/>
      <c r="D40" s="196" t="str">
        <f>IFERROR(__xludf.DUMMYFUNCTION("""COMPUTED_VALUE"""),"Removed")</f>
        <v>Removed</v>
      </c>
      <c r="E40" s="209">
        <f>IFERROR(__xludf.DUMMYFUNCTION("""COMPUTED_VALUE"""),45447.0)</f>
        <v>45447</v>
      </c>
      <c r="F40" s="266">
        <f>IFERROR(__xludf.DUMMYFUNCTION("""COMPUTED_VALUE"""),45808.0)</f>
        <v>45808</v>
      </c>
      <c r="G40" s="199">
        <f>IFERROR(__xludf.DUMMYFUNCTION("""COMPUTED_VALUE"""),11.866666666666667)</f>
        <v>11.86666667</v>
      </c>
      <c r="H40" s="210">
        <f>IFERROR(__xludf.DUMMYFUNCTION("""COMPUTED_VALUE"""),44230.0)</f>
        <v>44230</v>
      </c>
      <c r="I40" s="199">
        <f>IFERROR(__xludf.DUMMYFUNCTION("""COMPUTED_VALUE"""),3.3361111111111112)</f>
        <v>3.336111111</v>
      </c>
      <c r="J40" s="267">
        <f>IFERROR(__xludf.DUMMYFUNCTION("""COMPUTED_VALUE"""),80.0)</f>
        <v>80</v>
      </c>
      <c r="K40" s="200">
        <f>IFERROR(__xludf.DUMMYFUNCTION("""COMPUTED_VALUE"""),4.0)</f>
        <v>4</v>
      </c>
      <c r="L40" s="201" t="str">
        <f>IFERROR(__xludf.DUMMYFUNCTION("""COMPUTED_VALUE"""),"Action-Adventure")</f>
        <v>Action-Adventure</v>
      </c>
    </row>
    <row r="41">
      <c r="A41" s="190" t="str">
        <f>IFERROR(__xludf.DUMMYFUNCTION("""COMPUTED_VALUE"""),"Humanity")</f>
        <v>Humanity</v>
      </c>
      <c r="B41" s="195" t="str">
        <f>IFERROR(__xludf.DUMMYFUNCTION("""COMPUTED_VALUE"""),"Xbox / PC")</f>
        <v>Xbox / PC</v>
      </c>
      <c r="C41" s="195" t="str">
        <f>IFERROR(__xludf.DUMMYFUNCTION("""COMPUTED_VALUE"""),"Yes")</f>
        <v>Yes</v>
      </c>
      <c r="D41" s="196" t="str">
        <f>IFERROR(__xludf.DUMMYFUNCTION("""COMPUTED_VALUE"""),"Removed")</f>
        <v>Removed</v>
      </c>
      <c r="E41" s="209">
        <f>IFERROR(__xludf.DUMMYFUNCTION("""COMPUTED_VALUE"""),45442.0)</f>
        <v>45442</v>
      </c>
      <c r="F41" s="266">
        <f>IFERROR(__xludf.DUMMYFUNCTION("""COMPUTED_VALUE"""),45808.0)</f>
        <v>45808</v>
      </c>
      <c r="G41" s="199">
        <f>IFERROR(__xludf.DUMMYFUNCTION("""COMPUTED_VALUE"""),12.0)</f>
        <v>12</v>
      </c>
      <c r="H41" s="210">
        <f>IFERROR(__xludf.DUMMYFUNCTION("""COMPUTED_VALUE"""),45062.0)</f>
        <v>45062</v>
      </c>
      <c r="I41" s="199">
        <f>IFERROR(__xludf.DUMMYFUNCTION("""COMPUTED_VALUE"""),1.038888888888889)</f>
        <v>1.038888889</v>
      </c>
      <c r="J41" s="267">
        <f>IFERROR(__xludf.DUMMYFUNCTION("""COMPUTED_VALUE"""),86.0)</f>
        <v>86</v>
      </c>
      <c r="K41" s="200">
        <f>IFERROR(__xludf.DUMMYFUNCTION("""COMPUTED_VALUE"""),12.0)</f>
        <v>12</v>
      </c>
      <c r="L41" s="201" t="str">
        <f>IFERROR(__xludf.DUMMYFUNCTION("""COMPUTED_VALUE"""),"Puzzle")</f>
        <v>Puzzle</v>
      </c>
    </row>
    <row r="42">
      <c r="A42" s="190" t="str">
        <f>IFERROR(__xludf.DUMMYFUNCTION("""COMPUTED_VALUE"""),"Remnant II")</f>
        <v>Remnant II</v>
      </c>
      <c r="B42" s="195" t="str">
        <f>IFERROR(__xludf.DUMMYFUNCTION("""COMPUTED_VALUE"""),"Xbox / PC")</f>
        <v>Xbox / PC</v>
      </c>
      <c r="C42" s="195" t="str">
        <f>IFERROR(__xludf.DUMMYFUNCTION("""COMPUTED_VALUE"""),"Yes")</f>
        <v>Yes</v>
      </c>
      <c r="D42" s="196" t="str">
        <f>IFERROR(__xludf.DUMMYFUNCTION("""COMPUTED_VALUE"""),"Removed")</f>
        <v>Removed</v>
      </c>
      <c r="E42" s="209">
        <f>IFERROR(__xludf.DUMMYFUNCTION("""COMPUTED_VALUE"""),45259.0)</f>
        <v>45259</v>
      </c>
      <c r="F42" s="266">
        <f>IFERROR(__xludf.DUMMYFUNCTION("""COMPUTED_VALUE"""),45808.0)</f>
        <v>45808</v>
      </c>
      <c r="G42" s="199">
        <f>IFERROR(__xludf.DUMMYFUNCTION("""COMPUTED_VALUE"""),18.03333333333333)</f>
        <v>18.03333333</v>
      </c>
      <c r="H42" s="210">
        <f>IFERROR(__xludf.DUMMYFUNCTION("""COMPUTED_VALUE"""),45132.0)</f>
        <v>45132</v>
      </c>
      <c r="I42" s="199">
        <f>IFERROR(__xludf.DUMMYFUNCTION("""COMPUTED_VALUE"""),0.34444444444444444)</f>
        <v>0.3444444444</v>
      </c>
      <c r="J42" s="200">
        <f>IFERROR(__xludf.DUMMYFUNCTION("""COMPUTED_VALUE"""),80.0)</f>
        <v>80</v>
      </c>
      <c r="K42" s="200">
        <f>IFERROR(__xludf.DUMMYFUNCTION("""COMPUTED_VALUE"""),19.0)</f>
        <v>19</v>
      </c>
      <c r="L42" s="201" t="str">
        <f>IFERROR(__xludf.DUMMYFUNCTION("""COMPUTED_VALUE"""),"Action-Adventure / RPG / Shooter")</f>
        <v>Action-Adventure / RPG / Shooter</v>
      </c>
    </row>
    <row r="43">
      <c r="A43" s="190" t="str">
        <f>IFERROR(__xludf.DUMMYFUNCTION("""COMPUTED_VALUE"""),"Slayers X: Terminal Aftermath - Vengance of the Slayer")</f>
        <v>Slayers X: Terminal Aftermath - Vengance of the Slayer</v>
      </c>
      <c r="B43" s="195" t="str">
        <f>IFERROR(__xludf.DUMMYFUNCTION("""COMPUTED_VALUE"""),"Xbox / PC")</f>
        <v>Xbox / PC</v>
      </c>
      <c r="C43" s="195" t="str">
        <f>IFERROR(__xludf.DUMMYFUNCTION("""COMPUTED_VALUE"""),"Yes")</f>
        <v>Yes</v>
      </c>
      <c r="D43" s="196" t="str">
        <f>IFERROR(__xludf.DUMMYFUNCTION("""COMPUTED_VALUE"""),"Removed")</f>
        <v>Removed</v>
      </c>
      <c r="E43" s="209">
        <f>IFERROR(__xludf.DUMMYFUNCTION("""COMPUTED_VALUE"""),45078.0)</f>
        <v>45078</v>
      </c>
      <c r="F43" s="266">
        <f>IFERROR(__xludf.DUMMYFUNCTION("""COMPUTED_VALUE"""),45808.0)</f>
        <v>45808</v>
      </c>
      <c r="G43" s="199">
        <f>IFERROR(__xludf.DUMMYFUNCTION("""COMPUTED_VALUE"""),23.96666666666667)</f>
        <v>23.96666667</v>
      </c>
      <c r="H43" s="210">
        <f>IFERROR(__xludf.DUMMYFUNCTION("""COMPUTED_VALUE"""),45078.0)</f>
        <v>45078</v>
      </c>
      <c r="I43" s="199">
        <f>IFERROR(__xludf.DUMMYFUNCTION("""COMPUTED_VALUE"""),0.0)</f>
        <v>0</v>
      </c>
      <c r="J43" s="200">
        <f>IFERROR(__xludf.DUMMYFUNCTION("""COMPUTED_VALUE"""),80.0)</f>
        <v>80</v>
      </c>
      <c r="K43" s="200">
        <f>IFERROR(__xludf.DUMMYFUNCTION("""COMPUTED_VALUE"""),4.0)</f>
        <v>4</v>
      </c>
      <c r="L43" s="201" t="str">
        <f>IFERROR(__xludf.DUMMYFUNCTION("""COMPUTED_VALUE"""),"First-Person Shooter")</f>
        <v>First-Person Shooter</v>
      </c>
    </row>
    <row r="44">
      <c r="A44" s="190" t="str">
        <f>IFERROR(__xludf.DUMMYFUNCTION("""COMPUTED_VALUE"""),"Cassette Beasts")</f>
        <v>Cassette Beasts</v>
      </c>
      <c r="B44" s="195" t="str">
        <f>IFERROR(__xludf.DUMMYFUNCTION("""COMPUTED_VALUE"""),"Xbox / PC")</f>
        <v>Xbox / PC</v>
      </c>
      <c r="C44" s="195"/>
      <c r="D44" s="196" t="str">
        <f>IFERROR(__xludf.DUMMYFUNCTION("""COMPUTED_VALUE"""),"Removed")</f>
        <v>Removed</v>
      </c>
      <c r="E44" s="209">
        <f>IFERROR(__xludf.DUMMYFUNCTION("""COMPUTED_VALUE"""),45042.0)</f>
        <v>45042</v>
      </c>
      <c r="F44" s="266">
        <f>IFERROR(__xludf.DUMMYFUNCTION("""COMPUTED_VALUE"""),45808.0)</f>
        <v>45808</v>
      </c>
      <c r="G44" s="199">
        <f>IFERROR(__xludf.DUMMYFUNCTION("""COMPUTED_VALUE"""),25.133333333333333)</f>
        <v>25.13333333</v>
      </c>
      <c r="H44" s="210">
        <f>IFERROR(__xludf.DUMMYFUNCTION("""COMPUTED_VALUE"""),45042.0)</f>
        <v>45042</v>
      </c>
      <c r="I44" s="199">
        <f>IFERROR(__xludf.DUMMYFUNCTION("""COMPUTED_VALUE"""),0.0)</f>
        <v>0</v>
      </c>
      <c r="J44" s="267">
        <f>IFERROR(__xludf.DUMMYFUNCTION("""COMPUTED_VALUE"""),83.0)</f>
        <v>83</v>
      </c>
      <c r="K44" s="200">
        <f>IFERROR(__xludf.DUMMYFUNCTION("""COMPUTED_VALUE"""),17.0)</f>
        <v>17</v>
      </c>
      <c r="L44" s="201" t="str">
        <f>IFERROR(__xludf.DUMMYFUNCTION("""COMPUTED_VALUE"""),"RPG")</f>
        <v>RPG</v>
      </c>
    </row>
    <row r="45">
      <c r="A45" s="190" t="str">
        <f>IFERROR(__xludf.DUMMYFUNCTION("""COMPUTED_VALUE"""),"Hauntii")</f>
        <v>Hauntii</v>
      </c>
      <c r="B45" s="195" t="str">
        <f>IFERROR(__xludf.DUMMYFUNCTION("""COMPUTED_VALUE"""),"Xbox / PC")</f>
        <v>Xbox / PC</v>
      </c>
      <c r="C45" s="195" t="str">
        <f>IFERROR(__xludf.DUMMYFUNCTION("""COMPUTED_VALUE"""),"Yes")</f>
        <v>Yes</v>
      </c>
      <c r="D45" s="196" t="str">
        <f>IFERROR(__xludf.DUMMYFUNCTION("""COMPUTED_VALUE"""),"Removed")</f>
        <v>Removed</v>
      </c>
      <c r="E45" s="209">
        <f>IFERROR(__xludf.DUMMYFUNCTION("""COMPUTED_VALUE"""),45435.0)</f>
        <v>45435</v>
      </c>
      <c r="F45" s="266">
        <f>IFERROR(__xludf.DUMMYFUNCTION("""COMPUTED_VALUE"""),45792.0)</f>
        <v>45792</v>
      </c>
      <c r="G45" s="199">
        <f>IFERROR(__xludf.DUMMYFUNCTION("""COMPUTED_VALUE"""),11.733333333333333)</f>
        <v>11.73333333</v>
      </c>
      <c r="H45" s="210">
        <f>IFERROR(__xludf.DUMMYFUNCTION("""COMPUTED_VALUE"""),45435.0)</f>
        <v>45435</v>
      </c>
      <c r="I45" s="199">
        <f>IFERROR(__xludf.DUMMYFUNCTION("""COMPUTED_VALUE"""),0.0)</f>
        <v>0</v>
      </c>
      <c r="J45" s="200">
        <f>IFERROR(__xludf.DUMMYFUNCTION("""COMPUTED_VALUE"""),69.0)</f>
        <v>69</v>
      </c>
      <c r="K45" s="200">
        <f>IFERROR(__xludf.DUMMYFUNCTION("""COMPUTED_VALUE"""),8.0)</f>
        <v>8</v>
      </c>
      <c r="L45" s="201" t="str">
        <f>IFERROR(__xludf.DUMMYFUNCTION("""COMPUTED_VALUE"""),"Action-Adventure")</f>
        <v>Action-Adventure</v>
      </c>
    </row>
    <row r="46">
      <c r="A46" s="190" t="str">
        <f>IFERROR(__xludf.DUMMYFUNCTION("""COMPUTED_VALUE"""),"Chants of Sennaar")</f>
        <v>Chants of Sennaar</v>
      </c>
      <c r="B46" s="195" t="str">
        <f>IFERROR(__xludf.DUMMYFUNCTION("""COMPUTED_VALUE"""),"Xbox / PC")</f>
        <v>Xbox / PC</v>
      </c>
      <c r="C46" s="195" t="str">
        <f>IFERROR(__xludf.DUMMYFUNCTION("""COMPUTED_VALUE"""),"Yes")</f>
        <v>Yes</v>
      </c>
      <c r="D46" s="196" t="str">
        <f>IFERROR(__xludf.DUMMYFUNCTION("""COMPUTED_VALUE"""),"Removed")</f>
        <v>Removed</v>
      </c>
      <c r="E46" s="209">
        <f>IFERROR(__xludf.DUMMYFUNCTION("""COMPUTED_VALUE"""),45427.0)</f>
        <v>45427</v>
      </c>
      <c r="F46" s="266">
        <f>IFERROR(__xludf.DUMMYFUNCTION("""COMPUTED_VALUE"""),45792.0)</f>
        <v>45792</v>
      </c>
      <c r="G46" s="199">
        <f>IFERROR(__xludf.DUMMYFUNCTION("""COMPUTED_VALUE"""),12.0)</f>
        <v>12</v>
      </c>
      <c r="H46" s="210">
        <f>IFERROR(__xludf.DUMMYFUNCTION("""COMPUTED_VALUE"""),45174.0)</f>
        <v>45174</v>
      </c>
      <c r="I46" s="199">
        <f>IFERROR(__xludf.DUMMYFUNCTION("""COMPUTED_VALUE"""),0.6944444444444444)</f>
        <v>0.6944444444</v>
      </c>
      <c r="J46" s="200">
        <f>IFERROR(__xludf.DUMMYFUNCTION("""COMPUTED_VALUE"""),85.0)</f>
        <v>85</v>
      </c>
      <c r="K46" s="200">
        <f>IFERROR(__xludf.DUMMYFUNCTION("""COMPUTED_VALUE"""),9.0)</f>
        <v>9</v>
      </c>
      <c r="L46" s="201" t="str">
        <f>IFERROR(__xludf.DUMMYFUNCTION("""COMPUTED_VALUE"""),"Adventure / Puzzle")</f>
        <v>Adventure / Puzzle</v>
      </c>
    </row>
    <row r="47">
      <c r="A47" s="190" t="str">
        <f>IFERROR(__xludf.DUMMYFUNCTION("""COMPUTED_VALUE"""),"Brothers: A Tale of Two Sons")</f>
        <v>Brothers: A Tale of Two Sons</v>
      </c>
      <c r="B47" s="195" t="str">
        <f>IFERROR(__xludf.DUMMYFUNCTION("""COMPUTED_VALUE"""),"Xbox / PC")</f>
        <v>Xbox / PC</v>
      </c>
      <c r="C47" s="195" t="str">
        <f>IFERROR(__xludf.DUMMYFUNCTION("""COMPUTED_VALUE"""),"Yes")</f>
        <v>Yes</v>
      </c>
      <c r="D47" s="196" t="str">
        <f>IFERROR(__xludf.DUMMYFUNCTION("""COMPUTED_VALUE"""),"Removed")</f>
        <v>Removed</v>
      </c>
      <c r="E47" s="209">
        <f>IFERROR(__xludf.DUMMYFUNCTION("""COMPUTED_VALUE"""),45426.0)</f>
        <v>45426</v>
      </c>
      <c r="F47" s="266">
        <f>IFERROR(__xludf.DUMMYFUNCTION("""COMPUTED_VALUE"""),45792.0)</f>
        <v>45792</v>
      </c>
      <c r="G47" s="199">
        <f>IFERROR(__xludf.DUMMYFUNCTION("""COMPUTED_VALUE"""),12.033333333333333)</f>
        <v>12.03333333</v>
      </c>
      <c r="H47" s="210">
        <f>IFERROR(__xludf.DUMMYFUNCTION("""COMPUTED_VALUE"""),41493.0)</f>
        <v>41493</v>
      </c>
      <c r="I47" s="199">
        <f>IFERROR(__xludf.DUMMYFUNCTION("""COMPUTED_VALUE"""),10.769444444444444)</f>
        <v>10.76944444</v>
      </c>
      <c r="J47" s="200">
        <f>IFERROR(__xludf.DUMMYFUNCTION("""COMPUTED_VALUE"""),81.0)</f>
        <v>81</v>
      </c>
      <c r="K47" s="200">
        <f>IFERROR(__xludf.DUMMYFUNCTION("""COMPUTED_VALUE"""),3.0)</f>
        <v>3</v>
      </c>
      <c r="L47" s="201" t="str">
        <f>IFERROR(__xludf.DUMMYFUNCTION("""COMPUTED_VALUE"""),"Adventure / Puzzle")</f>
        <v>Adventure / Puzzle</v>
      </c>
    </row>
    <row r="48">
      <c r="A48" s="190" t="str">
        <f>IFERROR(__xludf.DUMMYFUNCTION("""COMPUTED_VALUE"""),"The Big Con")</f>
        <v>The Big Con</v>
      </c>
      <c r="B48" s="195" t="str">
        <f>IFERROR(__xludf.DUMMYFUNCTION("""COMPUTED_VALUE"""),"Xbox / PC")</f>
        <v>Xbox / PC</v>
      </c>
      <c r="C48" s="195" t="str">
        <f>IFERROR(__xludf.DUMMYFUNCTION("""COMPUTED_VALUE"""),"Yes")</f>
        <v>Yes</v>
      </c>
      <c r="D48" s="196" t="str">
        <f>IFERROR(__xludf.DUMMYFUNCTION("""COMPUTED_VALUE"""),"Removed")</f>
        <v>Removed</v>
      </c>
      <c r="E48" s="209">
        <f>IFERROR(__xludf.DUMMYFUNCTION("""COMPUTED_VALUE"""),45078.0)</f>
        <v>45078</v>
      </c>
      <c r="F48" s="266">
        <f>IFERROR(__xludf.DUMMYFUNCTION("""COMPUTED_VALUE"""),45792.0)</f>
        <v>45792</v>
      </c>
      <c r="G48" s="199">
        <f>IFERROR(__xludf.DUMMYFUNCTION("""COMPUTED_VALUE"""),23.466666666666665)</f>
        <v>23.46666667</v>
      </c>
      <c r="H48" s="210">
        <f>IFERROR(__xludf.DUMMYFUNCTION("""COMPUTED_VALUE"""),44439.0)</f>
        <v>44439</v>
      </c>
      <c r="I48" s="199">
        <f>IFERROR(__xludf.DUMMYFUNCTION("""COMPUTED_VALUE"""),1.7527777777777778)</f>
        <v>1.752777778</v>
      </c>
      <c r="J48" s="200">
        <f>IFERROR(__xludf.DUMMYFUNCTION("""COMPUTED_VALUE"""),77.0)</f>
        <v>77</v>
      </c>
      <c r="K48" s="200">
        <f>IFERROR(__xludf.DUMMYFUNCTION("""COMPUTED_VALUE"""),4.0)</f>
        <v>4</v>
      </c>
      <c r="L48" s="201" t="str">
        <f>IFERROR(__xludf.DUMMYFUNCTION("""COMPUTED_VALUE"""),"Adventure")</f>
        <v>Adventure</v>
      </c>
    </row>
    <row r="49">
      <c r="A49" s="190" t="str">
        <f>IFERROR(__xludf.DUMMYFUNCTION("""COMPUTED_VALUE"""),"Dune: Spice Wars")</f>
        <v>Dune: Spice Wars</v>
      </c>
      <c r="B49" s="195" t="str">
        <f>IFERROR(__xludf.DUMMYFUNCTION("""COMPUTED_VALUE"""),"Xbox / PC")</f>
        <v>Xbox / PC</v>
      </c>
      <c r="C49" s="195" t="str">
        <f>IFERROR(__xludf.DUMMYFUNCTION("""COMPUTED_VALUE"""),"Yes")</f>
        <v>Yes</v>
      </c>
      <c r="D49" s="196" t="str">
        <f>IFERROR(__xludf.DUMMYFUNCTION("""COMPUTED_VALUE"""),"Removed")</f>
        <v>Removed</v>
      </c>
      <c r="E49" s="209">
        <f>IFERROR(__xludf.DUMMYFUNCTION("""COMPUTED_VALUE"""),44882.0)</f>
        <v>44882</v>
      </c>
      <c r="F49" s="266">
        <f>IFERROR(__xludf.DUMMYFUNCTION("""COMPUTED_VALUE"""),45792.0)</f>
        <v>45792</v>
      </c>
      <c r="G49" s="199">
        <f>IFERROR(__xludf.DUMMYFUNCTION("""COMPUTED_VALUE"""),29.933333333333334)</f>
        <v>29.93333333</v>
      </c>
      <c r="H49" s="210">
        <f>IFERROR(__xludf.DUMMYFUNCTION("""COMPUTED_VALUE"""),44677.0)</f>
        <v>44677</v>
      </c>
      <c r="I49" s="199">
        <f>IFERROR(__xludf.DUMMYFUNCTION("""COMPUTED_VALUE"""),0.5583333333333333)</f>
        <v>0.5583333333</v>
      </c>
      <c r="J49" s="200">
        <f>IFERROR(__xludf.DUMMYFUNCTION("""COMPUTED_VALUE"""),72.0)</f>
        <v>72</v>
      </c>
      <c r="K49" s="200">
        <f>IFERROR(__xludf.DUMMYFUNCTION("""COMPUTED_VALUE"""),7.0)</f>
        <v>7</v>
      </c>
      <c r="L49" s="201" t="str">
        <f>IFERROR(__xludf.DUMMYFUNCTION("""COMPUTED_VALUE"""),"Strategy")</f>
        <v>Strategy</v>
      </c>
    </row>
    <row r="50">
      <c r="A50" s="190" t="str">
        <f>IFERROR(__xludf.DUMMYFUNCTION("""COMPUTED_VALUE"""),"Orcs Must Die! 3")</f>
        <v>Orcs Must Die! 3</v>
      </c>
      <c r="B50" s="195" t="str">
        <f>IFERROR(__xludf.DUMMYFUNCTION("""COMPUTED_VALUE"""),"Xbox / PC")</f>
        <v>Xbox / PC</v>
      </c>
      <c r="C50" s="195" t="str">
        <f>IFERROR(__xludf.DUMMYFUNCTION("""COMPUTED_VALUE"""),"Yes")</f>
        <v>Yes</v>
      </c>
      <c r="D50" s="196" t="str">
        <f>IFERROR(__xludf.DUMMYFUNCTION("""COMPUTED_VALUE"""),"Removed")</f>
        <v>Removed</v>
      </c>
      <c r="E50" s="209">
        <f>IFERROR(__xludf.DUMMYFUNCTION("""COMPUTED_VALUE"""),45399.0)</f>
        <v>45399</v>
      </c>
      <c r="F50" s="266">
        <f>IFERROR(__xludf.DUMMYFUNCTION("""COMPUTED_VALUE"""),45762.0)</f>
        <v>45762</v>
      </c>
      <c r="G50" s="199">
        <f>IFERROR(__xludf.DUMMYFUNCTION("""COMPUTED_VALUE"""),11.933333333333334)</f>
        <v>11.93333333</v>
      </c>
      <c r="H50" s="210">
        <f>IFERROR(__xludf.DUMMYFUNCTION("""COMPUTED_VALUE"""),44400.0)</f>
        <v>44400</v>
      </c>
      <c r="I50" s="199">
        <f>IFERROR(__xludf.DUMMYFUNCTION("""COMPUTED_VALUE"""),2.7333333333333334)</f>
        <v>2.733333333</v>
      </c>
      <c r="J50" s="200">
        <f>IFERROR(__xludf.DUMMYFUNCTION("""COMPUTED_VALUE"""),77.0)</f>
        <v>77</v>
      </c>
      <c r="K50" s="200">
        <f>IFERROR(__xludf.DUMMYFUNCTION("""COMPUTED_VALUE"""),10.0)</f>
        <v>10</v>
      </c>
      <c r="L50" s="201" t="str">
        <f>IFERROR(__xludf.DUMMYFUNCTION("""COMPUTED_VALUE"""),"Strategy")</f>
        <v>Strategy</v>
      </c>
    </row>
    <row r="51">
      <c r="A51" s="190" t="str">
        <f>IFERROR(__xludf.DUMMYFUNCTION("""COMPUTED_VALUE"""),"Harold Halibut")</f>
        <v>Harold Halibut</v>
      </c>
      <c r="B51" s="195" t="str">
        <f>IFERROR(__xludf.DUMMYFUNCTION("""COMPUTED_VALUE"""),"Xbox / PC")</f>
        <v>Xbox / PC</v>
      </c>
      <c r="C51" s="195" t="str">
        <f>IFERROR(__xludf.DUMMYFUNCTION("""COMPUTED_VALUE"""),"Yes")</f>
        <v>Yes</v>
      </c>
      <c r="D51" s="196" t="str">
        <f>IFERROR(__xludf.DUMMYFUNCTION("""COMPUTED_VALUE"""),"Removed")</f>
        <v>Removed</v>
      </c>
      <c r="E51" s="209">
        <f>IFERROR(__xludf.DUMMYFUNCTION("""COMPUTED_VALUE"""),45398.0)</f>
        <v>45398</v>
      </c>
      <c r="F51" s="266">
        <f>IFERROR(__xludf.DUMMYFUNCTION("""COMPUTED_VALUE"""),45762.0)</f>
        <v>45762</v>
      </c>
      <c r="G51" s="199">
        <f>IFERROR(__xludf.DUMMYFUNCTION("""COMPUTED_VALUE"""),11.966666666666667)</f>
        <v>11.96666667</v>
      </c>
      <c r="H51" s="210">
        <f>IFERROR(__xludf.DUMMYFUNCTION("""COMPUTED_VALUE"""),45398.0)</f>
        <v>45398</v>
      </c>
      <c r="I51" s="199">
        <f>IFERROR(__xludf.DUMMYFUNCTION("""COMPUTED_VALUE"""),0.0)</f>
        <v>0</v>
      </c>
      <c r="J51" s="200">
        <f>IFERROR(__xludf.DUMMYFUNCTION("""COMPUTED_VALUE"""),70.0)</f>
        <v>70</v>
      </c>
      <c r="K51" s="200">
        <f>IFERROR(__xludf.DUMMYFUNCTION("""COMPUTED_VALUE"""),10.0)</f>
        <v>10</v>
      </c>
      <c r="L51" s="201" t="str">
        <f>IFERROR(__xludf.DUMMYFUNCTION("""COMPUTED_VALUE"""),"Adventure")</f>
        <v>Adventure</v>
      </c>
    </row>
    <row r="52">
      <c r="A52" s="190" t="str">
        <f>IFERROR(__xludf.DUMMYFUNCTION("""COMPUTED_VALUE"""),"Botany Manor")</f>
        <v>Botany Manor</v>
      </c>
      <c r="B52" s="195" t="str">
        <f>IFERROR(__xludf.DUMMYFUNCTION("""COMPUTED_VALUE"""),"Xbox / PC")</f>
        <v>Xbox / PC</v>
      </c>
      <c r="C52" s="195" t="str">
        <f>IFERROR(__xludf.DUMMYFUNCTION("""COMPUTED_VALUE"""),"Yes")</f>
        <v>Yes</v>
      </c>
      <c r="D52" s="196" t="str">
        <f>IFERROR(__xludf.DUMMYFUNCTION("""COMPUTED_VALUE"""),"Removed")</f>
        <v>Removed</v>
      </c>
      <c r="E52" s="209">
        <f>IFERROR(__xludf.DUMMYFUNCTION("""COMPUTED_VALUE"""),45391.0)</f>
        <v>45391</v>
      </c>
      <c r="F52" s="266">
        <f>IFERROR(__xludf.DUMMYFUNCTION("""COMPUTED_VALUE"""),45762.0)</f>
        <v>45762</v>
      </c>
      <c r="G52" s="199">
        <f>IFERROR(__xludf.DUMMYFUNCTION("""COMPUTED_VALUE"""),12.2)</f>
        <v>12.2</v>
      </c>
      <c r="H52" s="210">
        <f>IFERROR(__xludf.DUMMYFUNCTION("""COMPUTED_VALUE"""),45391.0)</f>
        <v>45391</v>
      </c>
      <c r="I52" s="199">
        <f>IFERROR(__xludf.DUMMYFUNCTION("""COMPUTED_VALUE"""),0.0)</f>
        <v>0</v>
      </c>
      <c r="J52" s="267">
        <f>IFERROR(__xludf.DUMMYFUNCTION("""COMPUTED_VALUE"""),84.0)</f>
        <v>84</v>
      </c>
      <c r="K52" s="200">
        <f>IFERROR(__xludf.DUMMYFUNCTION("""COMPUTED_VALUE"""),3.0)</f>
        <v>3</v>
      </c>
      <c r="L52" s="201" t="str">
        <f>IFERROR(__xludf.DUMMYFUNCTION("""COMPUTED_VALUE"""),"Adventure")</f>
        <v>Adventure</v>
      </c>
    </row>
    <row r="53">
      <c r="A53" s="190" t="str">
        <f>IFERROR(__xludf.DUMMYFUNCTION("""COMPUTED_VALUE"""),"Kona")</f>
        <v>Kona</v>
      </c>
      <c r="B53" s="195" t="str">
        <f>IFERROR(__xludf.DUMMYFUNCTION("""COMPUTED_VALUE"""),"Xbox")</f>
        <v>Xbox</v>
      </c>
      <c r="C53" s="195" t="str">
        <f>IFERROR(__xludf.DUMMYFUNCTION("""COMPUTED_VALUE"""),"Yes")</f>
        <v>Yes</v>
      </c>
      <c r="D53" s="196" t="str">
        <f>IFERROR(__xludf.DUMMYFUNCTION("""COMPUTED_VALUE"""),"Removed")</f>
        <v>Removed</v>
      </c>
      <c r="E53" s="209">
        <f>IFERROR(__xludf.DUMMYFUNCTION("""COMPUTED_VALUE"""),45391.0)</f>
        <v>45391</v>
      </c>
      <c r="F53" s="266">
        <f>IFERROR(__xludf.DUMMYFUNCTION("""COMPUTED_VALUE"""),45762.0)</f>
        <v>45762</v>
      </c>
      <c r="G53" s="199">
        <f>IFERROR(__xludf.DUMMYFUNCTION("""COMPUTED_VALUE"""),12.2)</f>
        <v>12.2</v>
      </c>
      <c r="H53" s="210">
        <f>IFERROR(__xludf.DUMMYFUNCTION("""COMPUTED_VALUE"""),42439.0)</f>
        <v>42439</v>
      </c>
      <c r="I53" s="199">
        <f>IFERROR(__xludf.DUMMYFUNCTION("""COMPUTED_VALUE"""),8.080555555555556)</f>
        <v>8.080555556</v>
      </c>
      <c r="J53" s="267">
        <f>IFERROR(__xludf.DUMMYFUNCTION("""COMPUTED_VALUE"""),71.0)</f>
        <v>71</v>
      </c>
      <c r="K53" s="200">
        <f>IFERROR(__xludf.DUMMYFUNCTION("""COMPUTED_VALUE"""),5.5)</f>
        <v>5.5</v>
      </c>
      <c r="L53" s="201" t="str">
        <f>IFERROR(__xludf.DUMMYFUNCTION("""COMPUTED_VALUE"""),"Adventure")</f>
        <v>Adventure</v>
      </c>
    </row>
    <row r="54">
      <c r="A54" s="190" t="str">
        <f>IFERROR(__xludf.DUMMYFUNCTION("""COMPUTED_VALUE"""),"Homestead Arcana")</f>
        <v>Homestead Arcana</v>
      </c>
      <c r="B54" s="195" t="str">
        <f>IFERROR(__xludf.DUMMYFUNCTION("""COMPUTED_VALUE"""),"Xbox / PC")</f>
        <v>Xbox / PC</v>
      </c>
      <c r="C54" s="195" t="str">
        <f>IFERROR(__xludf.DUMMYFUNCTION("""COMPUTED_VALUE"""),"Yes")</f>
        <v>Yes</v>
      </c>
      <c r="D54" s="196" t="str">
        <f>IFERROR(__xludf.DUMMYFUNCTION("""COMPUTED_VALUE"""),"Removed")</f>
        <v>Removed</v>
      </c>
      <c r="E54" s="209">
        <f>IFERROR(__xludf.DUMMYFUNCTION("""COMPUTED_VALUE"""),45037.0)</f>
        <v>45037</v>
      </c>
      <c r="F54" s="266">
        <f>IFERROR(__xludf.DUMMYFUNCTION("""COMPUTED_VALUE"""),45762.0)</f>
        <v>45762</v>
      </c>
      <c r="G54" s="199">
        <f>IFERROR(__xludf.DUMMYFUNCTION("""COMPUTED_VALUE"""),23.8)</f>
        <v>23.8</v>
      </c>
      <c r="H54" s="210">
        <f>IFERROR(__xludf.DUMMYFUNCTION("""COMPUTED_VALUE"""),45037.0)</f>
        <v>45037</v>
      </c>
      <c r="I54" s="199">
        <f>IFERROR(__xludf.DUMMYFUNCTION("""COMPUTED_VALUE"""),0.0)</f>
        <v>0</v>
      </c>
      <c r="J54" s="200">
        <f>IFERROR(__xludf.DUMMYFUNCTION("""COMPUTED_VALUE"""),59.0)</f>
        <v>59</v>
      </c>
      <c r="K54" s="200">
        <f>IFERROR(__xludf.DUMMYFUNCTION("""COMPUTED_VALUE"""),13.0)</f>
        <v>13</v>
      </c>
      <c r="L54" s="201" t="str">
        <f>IFERROR(__xludf.DUMMYFUNCTION("""COMPUTED_VALUE"""),"Sandbox")</f>
        <v>Sandbox</v>
      </c>
    </row>
    <row r="55">
      <c r="A55" s="190" t="str">
        <f>IFERROR(__xludf.DUMMYFUNCTION("""COMPUTED_VALUE"""),"Coral Island")</f>
        <v>Coral Island</v>
      </c>
      <c r="B55" s="195" t="str">
        <f>IFERROR(__xludf.DUMMYFUNCTION("""COMPUTED_VALUE"""),"Xbox / PC")</f>
        <v>Xbox / PC</v>
      </c>
      <c r="C55" s="195" t="str">
        <f>IFERROR(__xludf.DUMMYFUNCTION("""COMPUTED_VALUE"""),"Yes")</f>
        <v>Yes</v>
      </c>
      <c r="D55" s="196" t="str">
        <f>IFERROR(__xludf.DUMMYFUNCTION("""COMPUTED_VALUE"""),"Removed")</f>
        <v>Removed</v>
      </c>
      <c r="E55" s="209">
        <f>IFERROR(__xludf.DUMMYFUNCTION("""COMPUTED_VALUE"""),44845.0)</f>
        <v>44845</v>
      </c>
      <c r="F55" s="266">
        <f>IFERROR(__xludf.DUMMYFUNCTION("""COMPUTED_VALUE"""),45762.0)</f>
        <v>45762</v>
      </c>
      <c r="G55" s="199">
        <f>IFERROR(__xludf.DUMMYFUNCTION("""COMPUTED_VALUE"""),30.133333333333333)</f>
        <v>30.13333333</v>
      </c>
      <c r="H55" s="210">
        <f>IFERROR(__xludf.DUMMYFUNCTION("""COMPUTED_VALUE"""),44845.0)</f>
        <v>44845</v>
      </c>
      <c r="I55" s="199">
        <f>IFERROR(__xludf.DUMMYFUNCTION("""COMPUTED_VALUE"""),0.0)</f>
        <v>0</v>
      </c>
      <c r="J55" s="200"/>
      <c r="K55" s="200">
        <f>IFERROR(__xludf.DUMMYFUNCTION("""COMPUTED_VALUE"""),23.0)</f>
        <v>23</v>
      </c>
      <c r="L55" s="201" t="str">
        <f>IFERROR(__xludf.DUMMYFUNCTION("""COMPUTED_VALUE"""),"Strategy / Adventure / RPG / Simulation")</f>
        <v>Strategy / Adventure / RPG / Simulation</v>
      </c>
    </row>
    <row r="56">
      <c r="A56" s="190" t="str">
        <f>IFERROR(__xludf.DUMMYFUNCTION("""COMPUTED_VALUE"""),"Turbo Golf Racing (Game Preview)")</f>
        <v>Turbo Golf Racing (Game Preview)</v>
      </c>
      <c r="B56" s="195" t="str">
        <f>IFERROR(__xludf.DUMMYFUNCTION("""COMPUTED_VALUE"""),"Xbox / PC")</f>
        <v>Xbox / PC</v>
      </c>
      <c r="C56" s="195" t="str">
        <f>IFERROR(__xludf.DUMMYFUNCTION("""COMPUTED_VALUE"""),"Touch Controls")</f>
        <v>Touch Controls</v>
      </c>
      <c r="D56" s="196" t="str">
        <f>IFERROR(__xludf.DUMMYFUNCTION("""COMPUTED_VALUE"""),"Removed")</f>
        <v>Removed</v>
      </c>
      <c r="E56" s="209">
        <f>IFERROR(__xludf.DUMMYFUNCTION("""COMPUTED_VALUE"""),44777.0)</f>
        <v>44777</v>
      </c>
      <c r="F56" s="266">
        <f>IFERROR(__xludf.DUMMYFUNCTION("""COMPUTED_VALUE"""),45762.0)</f>
        <v>45762</v>
      </c>
      <c r="G56" s="199">
        <f>IFERROR(__xludf.DUMMYFUNCTION("""COMPUTED_VALUE"""),32.36666666666667)</f>
        <v>32.36666667</v>
      </c>
      <c r="H56" s="210">
        <f>IFERROR(__xludf.DUMMYFUNCTION("""COMPUTED_VALUE"""),44777.0)</f>
        <v>44777</v>
      </c>
      <c r="I56" s="199">
        <f>IFERROR(__xludf.DUMMYFUNCTION("""COMPUTED_VALUE"""),0.0)</f>
        <v>0</v>
      </c>
      <c r="J56" s="200"/>
      <c r="K56" s="200"/>
      <c r="L56" s="201" t="str">
        <f>IFERROR(__xludf.DUMMYFUNCTION("""COMPUTED_VALUE"""),"Driving/Racing")</f>
        <v>Driving/Racing</v>
      </c>
    </row>
    <row r="57">
      <c r="A57" s="190" t="str">
        <f>IFERROR(__xludf.DUMMYFUNCTION("""COMPUTED_VALUE"""),"Lil Gator Game")</f>
        <v>Lil Gator Game</v>
      </c>
      <c r="B57" s="195" t="str">
        <f>IFERROR(__xludf.DUMMYFUNCTION("""COMPUTED_VALUE"""),"Xbox / PC")</f>
        <v>Xbox / PC</v>
      </c>
      <c r="C57" s="195" t="str">
        <f>IFERROR(__xludf.DUMMYFUNCTION("""COMPUTED_VALUE"""),"Yes")</f>
        <v>Yes</v>
      </c>
      <c r="D57" s="196" t="str">
        <f>IFERROR(__xludf.DUMMYFUNCTION("""COMPUTED_VALUE"""),"Removed")</f>
        <v>Removed</v>
      </c>
      <c r="E57" s="209">
        <f>IFERROR(__xludf.DUMMYFUNCTION("""COMPUTED_VALUE"""),45386.0)</f>
        <v>45386</v>
      </c>
      <c r="F57" s="266">
        <f>IFERROR(__xludf.DUMMYFUNCTION("""COMPUTED_VALUE"""),45747.0)</f>
        <v>45747</v>
      </c>
      <c r="G57" s="199">
        <f>IFERROR(__xludf.DUMMYFUNCTION("""COMPUTED_VALUE"""),11.866666666666667)</f>
        <v>11.86666667</v>
      </c>
      <c r="H57" s="210">
        <f>IFERROR(__xludf.DUMMYFUNCTION("""COMPUTED_VALUE"""),44665.0)</f>
        <v>44665</v>
      </c>
      <c r="I57" s="199">
        <f>IFERROR(__xludf.DUMMYFUNCTION("""COMPUTED_VALUE"""),1.9722222222222223)</f>
        <v>1.972222222</v>
      </c>
      <c r="J57" s="200">
        <f>IFERROR(__xludf.DUMMYFUNCTION("""COMPUTED_VALUE"""),84.0)</f>
        <v>84</v>
      </c>
      <c r="K57" s="200">
        <f>IFERROR(__xludf.DUMMYFUNCTION("""COMPUTED_VALUE"""),3.0)</f>
        <v>3</v>
      </c>
      <c r="L57" s="201" t="str">
        <f>IFERROR(__xludf.DUMMYFUNCTION("""COMPUTED_VALUE"""),"Action")</f>
        <v>Action</v>
      </c>
    </row>
    <row r="58">
      <c r="A58" s="190" t="str">
        <f>IFERROR(__xludf.DUMMYFUNCTION("""COMPUTED_VALUE"""),"Hot Wheels Unleashed 2: Turbocharged")</f>
        <v>Hot Wheels Unleashed 2: Turbocharged</v>
      </c>
      <c r="B58" s="195" t="str">
        <f>IFERROR(__xludf.DUMMYFUNCTION("""COMPUTED_VALUE"""),"Xbox / PC")</f>
        <v>Xbox / PC</v>
      </c>
      <c r="C58" s="195" t="str">
        <f>IFERROR(__xludf.DUMMYFUNCTION("""COMPUTED_VALUE"""),"Yes")</f>
        <v>Yes</v>
      </c>
      <c r="D58" s="196" t="str">
        <f>IFERROR(__xludf.DUMMYFUNCTION("""COMPUTED_VALUE"""),"Removed")</f>
        <v>Removed</v>
      </c>
      <c r="E58" s="209">
        <f>IFERROR(__xludf.DUMMYFUNCTION("""COMPUTED_VALUE"""),45379.0)</f>
        <v>45379</v>
      </c>
      <c r="F58" s="266">
        <f>IFERROR(__xludf.DUMMYFUNCTION("""COMPUTED_VALUE"""),45747.0)</f>
        <v>45747</v>
      </c>
      <c r="G58" s="199">
        <f>IFERROR(__xludf.DUMMYFUNCTION("""COMPUTED_VALUE"""),12.066666666666666)</f>
        <v>12.06666667</v>
      </c>
      <c r="H58" s="210">
        <f>IFERROR(__xludf.DUMMYFUNCTION("""COMPUTED_VALUE"""),45218.0)</f>
        <v>45218</v>
      </c>
      <c r="I58" s="199">
        <f>IFERROR(__xludf.DUMMYFUNCTION("""COMPUTED_VALUE"""),0.44166666666666665)</f>
        <v>0.4416666667</v>
      </c>
      <c r="J58" s="200">
        <f>IFERROR(__xludf.DUMMYFUNCTION("""COMPUTED_VALUE"""),77.0)</f>
        <v>77</v>
      </c>
      <c r="K58" s="200">
        <f>IFERROR(__xludf.DUMMYFUNCTION("""COMPUTED_VALUE"""),8.0)</f>
        <v>8</v>
      </c>
      <c r="L58" s="201" t="str">
        <f>IFERROR(__xludf.DUMMYFUNCTION("""COMPUTED_VALUE"""),"Driving/Racing")</f>
        <v>Driving/Racing</v>
      </c>
    </row>
    <row r="59">
      <c r="A59" s="190" t="str">
        <f>IFERROR(__xludf.DUMMYFUNCTION("""COMPUTED_VALUE"""),"Open Roads")</f>
        <v>Open Roads</v>
      </c>
      <c r="B59" s="195" t="str">
        <f>IFERROR(__xludf.DUMMYFUNCTION("""COMPUTED_VALUE"""),"Xbox / PC")</f>
        <v>Xbox / PC</v>
      </c>
      <c r="C59" s="195" t="str">
        <f>IFERROR(__xludf.DUMMYFUNCTION("""COMPUTED_VALUE"""),"Yes")</f>
        <v>Yes</v>
      </c>
      <c r="D59" s="196" t="str">
        <f>IFERROR(__xludf.DUMMYFUNCTION("""COMPUTED_VALUE"""),"Removed")</f>
        <v>Removed</v>
      </c>
      <c r="E59" s="209">
        <f>IFERROR(__xludf.DUMMYFUNCTION("""COMPUTED_VALUE"""),45379.0)</f>
        <v>45379</v>
      </c>
      <c r="F59" s="266">
        <f>IFERROR(__xludf.DUMMYFUNCTION("""COMPUTED_VALUE"""),45747.0)</f>
        <v>45747</v>
      </c>
      <c r="G59" s="199">
        <f>IFERROR(__xludf.DUMMYFUNCTION("""COMPUTED_VALUE"""),12.066666666666666)</f>
        <v>12.06666667</v>
      </c>
      <c r="H59" s="210">
        <f>IFERROR(__xludf.DUMMYFUNCTION("""COMPUTED_VALUE"""),45379.0)</f>
        <v>45379</v>
      </c>
      <c r="I59" s="199">
        <f>IFERROR(__xludf.DUMMYFUNCTION("""COMPUTED_VALUE"""),0.0)</f>
        <v>0</v>
      </c>
      <c r="J59" s="267">
        <f>IFERROR(__xludf.DUMMYFUNCTION("""COMPUTED_VALUE"""),67.0)</f>
        <v>67</v>
      </c>
      <c r="K59" s="200">
        <f>IFERROR(__xludf.DUMMYFUNCTION("""COMPUTED_VALUE"""),3.0)</f>
        <v>3</v>
      </c>
      <c r="L59" s="201" t="str">
        <f>IFERROR(__xludf.DUMMYFUNCTION("""COMPUTED_VALUE"""),"Adventure")</f>
        <v>Adventure</v>
      </c>
    </row>
    <row r="60">
      <c r="A60" s="190" t="str">
        <f>IFERROR(__xludf.DUMMYFUNCTION("""COMPUTED_VALUE"""),"MLB The Show 24")</f>
        <v>MLB The Show 24</v>
      </c>
      <c r="B60" s="195" t="str">
        <f>IFERROR(__xludf.DUMMYFUNCTION("""COMPUTED_VALUE"""),"Xbox")</f>
        <v>Xbox</v>
      </c>
      <c r="C60" s="195" t="str">
        <f>IFERROR(__xludf.DUMMYFUNCTION("""COMPUTED_VALUE"""),"Yes")</f>
        <v>Yes</v>
      </c>
      <c r="D60" s="196" t="str">
        <f>IFERROR(__xludf.DUMMYFUNCTION("""COMPUTED_VALUE"""),"Removed")</f>
        <v>Removed</v>
      </c>
      <c r="E60" s="209">
        <f>IFERROR(__xludf.DUMMYFUNCTION("""COMPUTED_VALUE"""),45370.0)</f>
        <v>45370</v>
      </c>
      <c r="F60" s="266">
        <f>IFERROR(__xludf.DUMMYFUNCTION("""COMPUTED_VALUE"""),45747.0)</f>
        <v>45747</v>
      </c>
      <c r="G60" s="199">
        <f>IFERROR(__xludf.DUMMYFUNCTION("""COMPUTED_VALUE"""),12.366666666666665)</f>
        <v>12.36666667</v>
      </c>
      <c r="H60" s="210">
        <f>IFERROR(__xludf.DUMMYFUNCTION("""COMPUTED_VALUE"""),45370.0)</f>
        <v>45370</v>
      </c>
      <c r="I60" s="199">
        <f>IFERROR(__xludf.DUMMYFUNCTION("""COMPUTED_VALUE"""),0.0)</f>
        <v>0</v>
      </c>
      <c r="J60" s="200">
        <f>IFERROR(__xludf.DUMMYFUNCTION("""COMPUTED_VALUE"""),78.0)</f>
        <v>78</v>
      </c>
      <c r="K60" s="200">
        <f>IFERROR(__xludf.DUMMYFUNCTION("""COMPUTED_VALUE"""),14.0)</f>
        <v>14</v>
      </c>
      <c r="L60" s="201" t="str">
        <f>IFERROR(__xludf.DUMMYFUNCTION("""COMPUTED_VALUE"""),"Sports/Baseball")</f>
        <v>Sports/Baseball</v>
      </c>
    </row>
    <row r="61">
      <c r="A61" s="190" t="str">
        <f>IFERROR(__xludf.DUMMYFUNCTION("""COMPUTED_VALUE"""),"The Lamplighters League")</f>
        <v>The Lamplighters League</v>
      </c>
      <c r="B61" s="195" t="str">
        <f>IFERROR(__xludf.DUMMYFUNCTION("""COMPUTED_VALUE"""),"Xbox / PC")</f>
        <v>Xbox / PC</v>
      </c>
      <c r="C61" s="195" t="str">
        <f>IFERROR(__xludf.DUMMYFUNCTION("""COMPUTED_VALUE"""),"Yes")</f>
        <v>Yes</v>
      </c>
      <c r="D61" s="196" t="str">
        <f>IFERROR(__xludf.DUMMYFUNCTION("""COMPUTED_VALUE"""),"Removed")</f>
        <v>Removed</v>
      </c>
      <c r="E61" s="209">
        <f>IFERROR(__xludf.DUMMYFUNCTION("""COMPUTED_VALUE"""),45202.0)</f>
        <v>45202</v>
      </c>
      <c r="F61" s="266">
        <f>IFERROR(__xludf.DUMMYFUNCTION("""COMPUTED_VALUE"""),45747.0)</f>
        <v>45747</v>
      </c>
      <c r="G61" s="199">
        <f>IFERROR(__xludf.DUMMYFUNCTION("""COMPUTED_VALUE"""),17.9)</f>
        <v>17.9</v>
      </c>
      <c r="H61" s="210">
        <f>IFERROR(__xludf.DUMMYFUNCTION("""COMPUTED_VALUE"""),45202.0)</f>
        <v>45202</v>
      </c>
      <c r="I61" s="199">
        <f>IFERROR(__xludf.DUMMYFUNCTION("""COMPUTED_VALUE"""),0.0)</f>
        <v>0</v>
      </c>
      <c r="J61" s="200">
        <f>IFERROR(__xludf.DUMMYFUNCTION("""COMPUTED_VALUE"""),76.0)</f>
        <v>76</v>
      </c>
      <c r="K61" s="200">
        <f>IFERROR(__xludf.DUMMYFUNCTION("""COMPUTED_VALUE"""),26.0)</f>
        <v>26</v>
      </c>
      <c r="L61" s="201" t="str">
        <f>IFERROR(__xludf.DUMMYFUNCTION("""COMPUTED_VALUE"""),"Strategy / RPG")</f>
        <v>Strategy / RPG</v>
      </c>
    </row>
    <row r="62">
      <c r="A62" s="190" t="str">
        <f>IFERROR(__xludf.DUMMYFUNCTION("""COMPUTED_VALUE"""),"Monster Hunter: Rise")</f>
        <v>Monster Hunter: Rise</v>
      </c>
      <c r="B62" s="195" t="str">
        <f>IFERROR(__xludf.DUMMYFUNCTION("""COMPUTED_VALUE"""),"Xbox / PC")</f>
        <v>Xbox / PC</v>
      </c>
      <c r="C62" s="195" t="str">
        <f>IFERROR(__xludf.DUMMYFUNCTION("""COMPUTED_VALUE"""),"Yes")</f>
        <v>Yes</v>
      </c>
      <c r="D62" s="196" t="str">
        <f>IFERROR(__xludf.DUMMYFUNCTION("""COMPUTED_VALUE"""),"Removed")</f>
        <v>Removed</v>
      </c>
      <c r="E62" s="209">
        <f>IFERROR(__xludf.DUMMYFUNCTION("""COMPUTED_VALUE"""),44946.0)</f>
        <v>44946</v>
      </c>
      <c r="F62" s="266">
        <f>IFERROR(__xludf.DUMMYFUNCTION("""COMPUTED_VALUE"""),45747.0)</f>
        <v>45747</v>
      </c>
      <c r="G62" s="199">
        <f>IFERROR(__xludf.DUMMYFUNCTION("""COMPUTED_VALUE"""),26.333333333333336)</f>
        <v>26.33333333</v>
      </c>
      <c r="H62" s="210">
        <f>IFERROR(__xludf.DUMMYFUNCTION("""COMPUTED_VALUE"""),44281.0)</f>
        <v>44281</v>
      </c>
      <c r="I62" s="199">
        <f>IFERROR(__xludf.DUMMYFUNCTION("""COMPUTED_VALUE"""),1.8166666666666667)</f>
        <v>1.816666667</v>
      </c>
      <c r="J62" s="200">
        <f>IFERROR(__xludf.DUMMYFUNCTION("""COMPUTED_VALUE"""),86.0)</f>
        <v>86</v>
      </c>
      <c r="K62" s="200">
        <f>IFERROR(__xludf.DUMMYFUNCTION("""COMPUTED_VALUE"""),21.0)</f>
        <v>21</v>
      </c>
      <c r="L62" s="201" t="str">
        <f>IFERROR(__xludf.DUMMYFUNCTION("""COMPUTED_VALUE"""),"Action / RPG")</f>
        <v>Action / RPG</v>
      </c>
    </row>
    <row r="63">
      <c r="A63" s="190" t="str">
        <f>IFERROR(__xludf.DUMMYFUNCTION("""COMPUTED_VALUE"""),"Yakuza 0")</f>
        <v>Yakuza 0</v>
      </c>
      <c r="B63" s="195" t="str">
        <f>IFERROR(__xludf.DUMMYFUNCTION("""COMPUTED_VALUE"""),"Xbox / PC")</f>
        <v>Xbox / PC</v>
      </c>
      <c r="C63" s="195" t="str">
        <f>IFERROR(__xludf.DUMMYFUNCTION("""COMPUTED_VALUE"""),"Touch Controls")</f>
        <v>Touch Controls</v>
      </c>
      <c r="D63" s="196" t="str">
        <f>IFERROR(__xludf.DUMMYFUNCTION("""COMPUTED_VALUE"""),"Removed")</f>
        <v>Removed</v>
      </c>
      <c r="E63" s="209">
        <f>IFERROR(__xludf.DUMMYFUNCTION("""COMPUTED_VALUE"""),44747.0)</f>
        <v>44747</v>
      </c>
      <c r="F63" s="266">
        <f>IFERROR(__xludf.DUMMYFUNCTION("""COMPUTED_VALUE"""),45747.0)</f>
        <v>45747</v>
      </c>
      <c r="G63" s="199">
        <f>IFERROR(__xludf.DUMMYFUNCTION("""COMPUTED_VALUE"""),32.833333333333336)</f>
        <v>32.83333333</v>
      </c>
      <c r="H63" s="210">
        <f>IFERROR(__xludf.DUMMYFUNCTION("""COMPUTED_VALUE"""),42075.0)</f>
        <v>42075</v>
      </c>
      <c r="I63" s="199">
        <f>IFERROR(__xludf.DUMMYFUNCTION("""COMPUTED_VALUE"""),7.313888888888889)</f>
        <v>7.313888889</v>
      </c>
      <c r="J63" s="200">
        <f>IFERROR(__xludf.DUMMYFUNCTION("""COMPUTED_VALUE"""),85.0)</f>
        <v>85</v>
      </c>
      <c r="K63" s="200">
        <f>IFERROR(__xludf.DUMMYFUNCTION("""COMPUTED_VALUE"""),31.0)</f>
        <v>31</v>
      </c>
      <c r="L63" s="201" t="str">
        <f>IFERROR(__xludf.DUMMYFUNCTION("""COMPUTED_VALUE"""),"RPG / Simulation / Brawler")</f>
        <v>RPG / Simulation / Brawler</v>
      </c>
    </row>
    <row r="64">
      <c r="A64" s="190" t="str">
        <f>IFERROR(__xludf.DUMMYFUNCTION("""COMPUTED_VALUE"""),"Yakuza Kiwami")</f>
        <v>Yakuza Kiwami</v>
      </c>
      <c r="B64" s="195" t="str">
        <f>IFERROR(__xludf.DUMMYFUNCTION("""COMPUTED_VALUE"""),"Xbox / PC")</f>
        <v>Xbox / PC</v>
      </c>
      <c r="C64" s="195" t="str">
        <f>IFERROR(__xludf.DUMMYFUNCTION("""COMPUTED_VALUE"""),"Touch Controls")</f>
        <v>Touch Controls</v>
      </c>
      <c r="D64" s="196" t="str">
        <f>IFERROR(__xludf.DUMMYFUNCTION("""COMPUTED_VALUE"""),"Removed")</f>
        <v>Removed</v>
      </c>
      <c r="E64" s="209">
        <f>IFERROR(__xludf.DUMMYFUNCTION("""COMPUTED_VALUE"""),44747.0)</f>
        <v>44747</v>
      </c>
      <c r="F64" s="266">
        <f>IFERROR(__xludf.DUMMYFUNCTION("""COMPUTED_VALUE"""),45747.0)</f>
        <v>45747</v>
      </c>
      <c r="G64" s="199">
        <f>IFERROR(__xludf.DUMMYFUNCTION("""COMPUTED_VALUE"""),32.833333333333336)</f>
        <v>32.83333333</v>
      </c>
      <c r="H64" s="210">
        <f>IFERROR(__xludf.DUMMYFUNCTION("""COMPUTED_VALUE"""),42390.0)</f>
        <v>42390</v>
      </c>
      <c r="I64" s="199">
        <f>IFERROR(__xludf.DUMMYFUNCTION("""COMPUTED_VALUE"""),6.455555555555556)</f>
        <v>6.455555556</v>
      </c>
      <c r="J64" s="200">
        <f>IFERROR(__xludf.DUMMYFUNCTION("""COMPUTED_VALUE"""),80.0)</f>
        <v>80</v>
      </c>
      <c r="K64" s="200">
        <f>IFERROR(__xludf.DUMMYFUNCTION("""COMPUTED_VALUE"""),18.0)</f>
        <v>18</v>
      </c>
      <c r="L64" s="201" t="str">
        <f>IFERROR(__xludf.DUMMYFUNCTION("""COMPUTED_VALUE"""),"Brawler / Action-Adventure")</f>
        <v>Brawler / Action-Adventure</v>
      </c>
    </row>
    <row r="65">
      <c r="A65" s="190" t="str">
        <f>IFERROR(__xludf.DUMMYFUNCTION("""COMPUTED_VALUE"""),"Yakuza Kiwami 2")</f>
        <v>Yakuza Kiwami 2</v>
      </c>
      <c r="B65" s="195" t="str">
        <f>IFERROR(__xludf.DUMMYFUNCTION("""COMPUTED_VALUE"""),"Xbox / PC")</f>
        <v>Xbox / PC</v>
      </c>
      <c r="C65" s="195" t="str">
        <f>IFERROR(__xludf.DUMMYFUNCTION("""COMPUTED_VALUE"""),"Touch Controls")</f>
        <v>Touch Controls</v>
      </c>
      <c r="D65" s="196" t="str">
        <f>IFERROR(__xludf.DUMMYFUNCTION("""COMPUTED_VALUE"""),"Removed")</f>
        <v>Removed</v>
      </c>
      <c r="E65" s="209">
        <f>IFERROR(__xludf.DUMMYFUNCTION("""COMPUTED_VALUE"""),44747.0)</f>
        <v>44747</v>
      </c>
      <c r="F65" s="266">
        <f>IFERROR(__xludf.DUMMYFUNCTION("""COMPUTED_VALUE"""),45747.0)</f>
        <v>45747</v>
      </c>
      <c r="G65" s="199">
        <f>IFERROR(__xludf.DUMMYFUNCTION("""COMPUTED_VALUE"""),32.833333333333336)</f>
        <v>32.83333333</v>
      </c>
      <c r="H65" s="210">
        <f>IFERROR(__xludf.DUMMYFUNCTION("""COMPUTED_VALUE"""),43076.0)</f>
        <v>43076</v>
      </c>
      <c r="I65" s="199">
        <f>IFERROR(__xludf.DUMMYFUNCTION("""COMPUTED_VALUE"""),4.5777777777777775)</f>
        <v>4.577777778</v>
      </c>
      <c r="J65" s="200">
        <f>IFERROR(__xludf.DUMMYFUNCTION("""COMPUTED_VALUE"""),82.0)</f>
        <v>82</v>
      </c>
      <c r="K65" s="200">
        <f>IFERROR(__xludf.DUMMYFUNCTION("""COMPUTED_VALUE"""),18.5)</f>
        <v>18.5</v>
      </c>
      <c r="L65" s="201" t="str">
        <f>IFERROR(__xludf.DUMMYFUNCTION("""COMPUTED_VALUE"""),"Brawler / Action-Adventure")</f>
        <v>Brawler / Action-Adventure</v>
      </c>
    </row>
    <row r="66">
      <c r="A66" s="190" t="str">
        <f>IFERROR(__xludf.DUMMYFUNCTION("""COMPUTED_VALUE"""),"Yakuza: Like a Dragon")</f>
        <v>Yakuza: Like a Dragon</v>
      </c>
      <c r="B66" s="195" t="str">
        <f>IFERROR(__xludf.DUMMYFUNCTION("""COMPUTED_VALUE"""),"Xbox / PC")</f>
        <v>Xbox / PC</v>
      </c>
      <c r="C66" s="195" t="str">
        <f>IFERROR(__xludf.DUMMYFUNCTION("""COMPUTED_VALUE"""),"Touch Controls")</f>
        <v>Touch Controls</v>
      </c>
      <c r="D66" s="196" t="str">
        <f>IFERROR(__xludf.DUMMYFUNCTION("""COMPUTED_VALUE"""),"Removed")</f>
        <v>Removed</v>
      </c>
      <c r="E66" s="209">
        <f>IFERROR(__xludf.DUMMYFUNCTION("""COMPUTED_VALUE"""),44360.0)</f>
        <v>44360</v>
      </c>
      <c r="F66" s="266">
        <f>IFERROR(__xludf.DUMMYFUNCTION("""COMPUTED_VALUE"""),45747.0)</f>
        <v>45747</v>
      </c>
      <c r="G66" s="199">
        <f>IFERROR(__xludf.DUMMYFUNCTION("""COMPUTED_VALUE"""),45.56666666666666)</f>
        <v>45.56666667</v>
      </c>
      <c r="H66" s="210">
        <f>IFERROR(__xludf.DUMMYFUNCTION("""COMPUTED_VALUE"""),43846.0)</f>
        <v>43846</v>
      </c>
      <c r="I66" s="199">
        <f>IFERROR(__xludf.DUMMYFUNCTION("""COMPUTED_VALUE"""),1.4083333333333334)</f>
        <v>1.408333333</v>
      </c>
      <c r="J66" s="267">
        <f>IFERROR(__xludf.DUMMYFUNCTION("""COMPUTED_VALUE"""),86.0)</f>
        <v>86</v>
      </c>
      <c r="K66" s="200">
        <f>IFERROR(__xludf.DUMMYFUNCTION("""COMPUTED_VALUE"""),45.5)</f>
        <v>45.5</v>
      </c>
      <c r="L66" s="201" t="str">
        <f>IFERROR(__xludf.DUMMYFUNCTION("""COMPUTED_VALUE"""),"RPG")</f>
        <v>RPG</v>
      </c>
    </row>
    <row r="67">
      <c r="A67" s="190" t="str">
        <f>IFERROR(__xludf.DUMMYFUNCTION("""COMPUTED_VALUE"""),"No More Heroes III")</f>
        <v>No More Heroes III</v>
      </c>
      <c r="B67" s="195" t="str">
        <f>IFERROR(__xludf.DUMMYFUNCTION("""COMPUTED_VALUE"""),"Xbox / PC")</f>
        <v>Xbox / PC</v>
      </c>
      <c r="C67" s="195" t="str">
        <f>IFERROR(__xludf.DUMMYFUNCTION("""COMPUTED_VALUE"""),"Yes")</f>
        <v>Yes</v>
      </c>
      <c r="D67" s="196" t="str">
        <f>IFERROR(__xludf.DUMMYFUNCTION("""COMPUTED_VALUE"""),"Removed")</f>
        <v>Removed</v>
      </c>
      <c r="E67" s="209">
        <f>IFERROR(__xludf.DUMMYFUNCTION("""COMPUTED_VALUE"""),45365.0)</f>
        <v>45365</v>
      </c>
      <c r="F67" s="266">
        <f>IFERROR(__xludf.DUMMYFUNCTION("""COMPUTED_VALUE"""),45731.0)</f>
        <v>45731</v>
      </c>
      <c r="G67" s="199">
        <f>IFERROR(__xludf.DUMMYFUNCTION("""COMPUTED_VALUE"""),12.033333333333333)</f>
        <v>12.03333333</v>
      </c>
      <c r="H67" s="210">
        <f>IFERROR(__xludf.DUMMYFUNCTION("""COMPUTED_VALUE"""),44435.0)</f>
        <v>44435</v>
      </c>
      <c r="I67" s="199">
        <f>IFERROR(__xludf.DUMMYFUNCTION("""COMPUTED_VALUE"""),2.547222222222222)</f>
        <v>2.547222222</v>
      </c>
      <c r="J67" s="267">
        <f>IFERROR(__xludf.DUMMYFUNCTION("""COMPUTED_VALUE"""),75.0)</f>
        <v>75</v>
      </c>
      <c r="K67" s="200">
        <f>IFERROR(__xludf.DUMMYFUNCTION("""COMPUTED_VALUE"""),12.0)</f>
        <v>12</v>
      </c>
      <c r="L67" s="201" t="str">
        <f>IFERROR(__xludf.DUMMYFUNCTION("""COMPUTED_VALUE"""),"Action")</f>
        <v>Action</v>
      </c>
    </row>
    <row r="68">
      <c r="A68" s="190" t="str">
        <f>IFERROR(__xludf.DUMMYFUNCTION("""COMPUTED_VALUE"""),"SpongeBob SquarePants: Battle for Bikini Bottom - Rehydrated")</f>
        <v>SpongeBob SquarePants: Battle for Bikini Bottom - Rehydrated</v>
      </c>
      <c r="B68" s="195" t="str">
        <f>IFERROR(__xludf.DUMMYFUNCTION("""COMPUTED_VALUE"""),"Xbox / PC")</f>
        <v>Xbox / PC</v>
      </c>
      <c r="C68" s="195" t="str">
        <f>IFERROR(__xludf.DUMMYFUNCTION("""COMPUTED_VALUE"""),"Yes")</f>
        <v>Yes</v>
      </c>
      <c r="D68" s="196" t="str">
        <f>IFERROR(__xludf.DUMMYFUNCTION("""COMPUTED_VALUE"""),"Removed")</f>
        <v>Removed</v>
      </c>
      <c r="E68" s="209">
        <f>IFERROR(__xludf.DUMMYFUNCTION("""COMPUTED_VALUE"""),45363.0)</f>
        <v>45363</v>
      </c>
      <c r="F68" s="266">
        <f>IFERROR(__xludf.DUMMYFUNCTION("""COMPUTED_VALUE"""),45731.0)</f>
        <v>45731</v>
      </c>
      <c r="G68" s="199">
        <f>IFERROR(__xludf.DUMMYFUNCTION("""COMPUTED_VALUE"""),12.1)</f>
        <v>12.1</v>
      </c>
      <c r="H68" s="210">
        <f>IFERROR(__xludf.DUMMYFUNCTION("""COMPUTED_VALUE"""),44005.0)</f>
        <v>44005</v>
      </c>
      <c r="I68" s="199">
        <f>IFERROR(__xludf.DUMMYFUNCTION("""COMPUTED_VALUE"""),3.7194444444444446)</f>
        <v>3.719444444</v>
      </c>
      <c r="J68" s="267">
        <f>IFERROR(__xludf.DUMMYFUNCTION("""COMPUTED_VALUE"""),68.0)</f>
        <v>68</v>
      </c>
      <c r="K68" s="200">
        <f>IFERROR(__xludf.DUMMYFUNCTION("""COMPUTED_VALUE"""),9.0)</f>
        <v>9</v>
      </c>
      <c r="L68" s="201" t="str">
        <f>IFERROR(__xludf.DUMMYFUNCTION("""COMPUTED_VALUE"""),"Platformer")</f>
        <v>Platformer</v>
      </c>
    </row>
    <row r="69">
      <c r="A69" s="190" t="str">
        <f>IFERROR(__xludf.DUMMYFUNCTION("""COMPUTED_VALUE"""),"Lies of P")</f>
        <v>Lies of P</v>
      </c>
      <c r="B69" s="195" t="str">
        <f>IFERROR(__xludf.DUMMYFUNCTION("""COMPUTED_VALUE"""),"Xbox / PC")</f>
        <v>Xbox / PC</v>
      </c>
      <c r="C69" s="195" t="str">
        <f>IFERROR(__xludf.DUMMYFUNCTION("""COMPUTED_VALUE"""),"Yes")</f>
        <v>Yes</v>
      </c>
      <c r="D69" s="196" t="str">
        <f>IFERROR(__xludf.DUMMYFUNCTION("""COMPUTED_VALUE"""),"Removed")</f>
        <v>Removed</v>
      </c>
      <c r="E69" s="209">
        <f>IFERROR(__xludf.DUMMYFUNCTION("""COMPUTED_VALUE"""),45188.0)</f>
        <v>45188</v>
      </c>
      <c r="F69" s="266">
        <f>IFERROR(__xludf.DUMMYFUNCTION("""COMPUTED_VALUE"""),45731.0)</f>
        <v>45731</v>
      </c>
      <c r="G69" s="199">
        <f>IFERROR(__xludf.DUMMYFUNCTION("""COMPUTED_VALUE"""),17.866666666666667)</f>
        <v>17.86666667</v>
      </c>
      <c r="H69" s="210">
        <f>IFERROR(__xludf.DUMMYFUNCTION("""COMPUTED_VALUE"""),45188.0)</f>
        <v>45188</v>
      </c>
      <c r="I69" s="199">
        <f>IFERROR(__xludf.DUMMYFUNCTION("""COMPUTED_VALUE"""),0.0)</f>
        <v>0</v>
      </c>
      <c r="J69" s="200">
        <f>IFERROR(__xludf.DUMMYFUNCTION("""COMPUTED_VALUE"""),81.0)</f>
        <v>81</v>
      </c>
      <c r="K69" s="200">
        <f>IFERROR(__xludf.DUMMYFUNCTION("""COMPUTED_VALUE"""),18.0)</f>
        <v>18</v>
      </c>
      <c r="L69" s="201" t="str">
        <f>IFERROR(__xludf.DUMMYFUNCTION("""COMPUTED_VALUE"""),"RPG  Action-Adventure")</f>
        <v>RPG  Action-Adventure</v>
      </c>
    </row>
    <row r="70">
      <c r="A70" s="190" t="str">
        <f>IFERROR(__xludf.DUMMYFUNCTION("""COMPUTED_VALUE"""),"Solar Ash")</f>
        <v>Solar Ash</v>
      </c>
      <c r="B70" s="195" t="str">
        <f>IFERROR(__xludf.DUMMYFUNCTION("""COMPUTED_VALUE"""),"Xbox / PC")</f>
        <v>Xbox / PC</v>
      </c>
      <c r="C70" s="195" t="str">
        <f>IFERROR(__xludf.DUMMYFUNCTION("""COMPUTED_VALUE"""),"Yes")</f>
        <v>Yes</v>
      </c>
      <c r="D70" s="196" t="str">
        <f>IFERROR(__xludf.DUMMYFUNCTION("""COMPUTED_VALUE"""),"Removed")</f>
        <v>Removed</v>
      </c>
      <c r="E70" s="209">
        <f>IFERROR(__xludf.DUMMYFUNCTION("""COMPUTED_VALUE"""),45183.0)</f>
        <v>45183</v>
      </c>
      <c r="F70" s="266">
        <f>IFERROR(__xludf.DUMMYFUNCTION("""COMPUTED_VALUE"""),45731.0)</f>
        <v>45731</v>
      </c>
      <c r="G70" s="199">
        <f>IFERROR(__xludf.DUMMYFUNCTION("""COMPUTED_VALUE"""),18.03333333333333)</f>
        <v>18.03333333</v>
      </c>
      <c r="H70" s="210">
        <f>IFERROR(__xludf.DUMMYFUNCTION("""COMPUTED_VALUE"""),44532.0)</f>
        <v>44532</v>
      </c>
      <c r="I70" s="199">
        <f>IFERROR(__xludf.DUMMYFUNCTION("""COMPUTED_VALUE"""),1.7833333333333334)</f>
        <v>1.783333333</v>
      </c>
      <c r="J70" s="267">
        <f>IFERROR(__xludf.DUMMYFUNCTION("""COMPUTED_VALUE"""),78.0)</f>
        <v>78</v>
      </c>
      <c r="K70" s="200">
        <f>IFERROR(__xludf.DUMMYFUNCTION("""COMPUTED_VALUE"""),6.0)</f>
        <v>6</v>
      </c>
      <c r="L70" s="201" t="str">
        <f>IFERROR(__xludf.DUMMYFUNCTION("""COMPUTED_VALUE"""),"Action")</f>
        <v>Action</v>
      </c>
    </row>
    <row r="71">
      <c r="A71" s="190" t="str">
        <f>IFERROR(__xludf.DUMMYFUNCTION("""COMPUTED_VALUE"""),"Yakuza 6: The Song of Life")</f>
        <v>Yakuza 6: The Song of Life</v>
      </c>
      <c r="B71" s="195" t="str">
        <f>IFERROR(__xludf.DUMMYFUNCTION("""COMPUTED_VALUE"""),"Xbox / PC")</f>
        <v>Xbox / PC</v>
      </c>
      <c r="C71" s="195" t="str">
        <f>IFERROR(__xludf.DUMMYFUNCTION("""COMPUTED_VALUE"""),"Touch Controls")</f>
        <v>Touch Controls</v>
      </c>
      <c r="D71" s="196" t="str">
        <f>IFERROR(__xludf.DUMMYFUNCTION("""COMPUTED_VALUE"""),"Removed")</f>
        <v>Removed</v>
      </c>
      <c r="E71" s="209">
        <f>IFERROR(__xludf.DUMMYFUNCTION("""COMPUTED_VALUE"""),44280.0)</f>
        <v>44280</v>
      </c>
      <c r="F71" s="266">
        <f>IFERROR(__xludf.DUMMYFUNCTION("""COMPUTED_VALUE"""),45731.0)</f>
        <v>45731</v>
      </c>
      <c r="G71" s="199">
        <f>IFERROR(__xludf.DUMMYFUNCTION("""COMPUTED_VALUE"""),47.66666666666667)</f>
        <v>47.66666667</v>
      </c>
      <c r="H71" s="210">
        <f>IFERROR(__xludf.DUMMYFUNCTION("""COMPUTED_VALUE"""),42712.0)</f>
        <v>42712</v>
      </c>
      <c r="I71" s="199">
        <f>IFERROR(__xludf.DUMMYFUNCTION("""COMPUTED_VALUE"""),4.2972222222222225)</f>
        <v>4.297222222</v>
      </c>
      <c r="J71" s="267">
        <f>IFERROR(__xludf.DUMMYFUNCTION("""COMPUTED_VALUE"""),83.0)</f>
        <v>83</v>
      </c>
      <c r="K71" s="200">
        <f>IFERROR(__xludf.DUMMYFUNCTION("""COMPUTED_VALUE"""),19.0)</f>
        <v>19</v>
      </c>
      <c r="L71" s="201" t="str">
        <f>IFERROR(__xludf.DUMMYFUNCTION("""COMPUTED_VALUE"""),"RPG / Brawler / Action-Adventure")</f>
        <v>RPG / Brawler / Action-Adventure</v>
      </c>
    </row>
    <row r="72">
      <c r="A72" s="190" t="str">
        <f>IFERROR(__xludf.DUMMYFUNCTION("""COMPUTED_VALUE"""),"Yakuza 5: Remastered")</f>
        <v>Yakuza 5: Remastered</v>
      </c>
      <c r="B72" s="195" t="str">
        <f>IFERROR(__xludf.DUMMYFUNCTION("""COMPUTED_VALUE"""),"Xbox / PC")</f>
        <v>Xbox / PC</v>
      </c>
      <c r="C72" s="195" t="str">
        <f>IFERROR(__xludf.DUMMYFUNCTION("""COMPUTED_VALUE"""),"Touch Controls")</f>
        <v>Touch Controls</v>
      </c>
      <c r="D72" s="196" t="str">
        <f>IFERROR(__xludf.DUMMYFUNCTION("""COMPUTED_VALUE"""),"Removed")</f>
        <v>Removed</v>
      </c>
      <c r="E72" s="209">
        <f>IFERROR(__xludf.DUMMYFUNCTION("""COMPUTED_VALUE"""),44224.0)</f>
        <v>44224</v>
      </c>
      <c r="F72" s="198">
        <f>IFERROR(__xludf.DUMMYFUNCTION("""COMPUTED_VALUE"""),45731.0)</f>
        <v>45731</v>
      </c>
      <c r="G72" s="199">
        <f>IFERROR(__xludf.DUMMYFUNCTION("""COMPUTED_VALUE"""),49.56666666666666)</f>
        <v>49.56666667</v>
      </c>
      <c r="H72" s="210">
        <f>IFERROR(__xludf.DUMMYFUNCTION("""COMPUTED_VALUE"""),43872.0)</f>
        <v>43872</v>
      </c>
      <c r="I72" s="199">
        <f>IFERROR(__xludf.DUMMYFUNCTION("""COMPUTED_VALUE"""),0.9638888888888889)</f>
        <v>0.9638888889</v>
      </c>
      <c r="J72" s="200">
        <f>IFERROR(__xludf.DUMMYFUNCTION("""COMPUTED_VALUE"""),82.0)</f>
        <v>82</v>
      </c>
      <c r="K72" s="200">
        <f>IFERROR(__xludf.DUMMYFUNCTION("""COMPUTED_VALUE"""),38.5)</f>
        <v>38.5</v>
      </c>
      <c r="L72" s="201" t="str">
        <f>IFERROR(__xludf.DUMMYFUNCTION("""COMPUTED_VALUE"""),"RPG / Brawler / Action-Adventure")</f>
        <v>RPG / Brawler / Action-Adventure</v>
      </c>
    </row>
    <row r="73">
      <c r="A73" s="190" t="str">
        <f>IFERROR(__xludf.DUMMYFUNCTION("""COMPUTED_VALUE"""),"Warhammer 40,000: Boltgun")</f>
        <v>Warhammer 40,000: Boltgun</v>
      </c>
      <c r="B73" s="195" t="str">
        <f>IFERROR(__xludf.DUMMYFUNCTION("""COMPUTED_VALUE"""),"Xbox / PC")</f>
        <v>Xbox / PC</v>
      </c>
      <c r="C73" s="195" t="str">
        <f>IFERROR(__xludf.DUMMYFUNCTION("""COMPUTED_VALUE"""),"Yes")</f>
        <v>Yes</v>
      </c>
      <c r="D73" s="196" t="str">
        <f>IFERROR(__xludf.DUMMYFUNCTION("""COMPUTED_VALUE"""),"Removed")</f>
        <v>Removed</v>
      </c>
      <c r="E73" s="209">
        <f>IFERROR(__xludf.DUMMYFUNCTION("""COMPUTED_VALUE"""),45356.0)</f>
        <v>45356</v>
      </c>
      <c r="F73" s="266">
        <f>IFERROR(__xludf.DUMMYFUNCTION("""COMPUTED_VALUE"""),45716.0)</f>
        <v>45716</v>
      </c>
      <c r="G73" s="199">
        <f>IFERROR(__xludf.DUMMYFUNCTION("""COMPUTED_VALUE"""),11.766666666666666)</f>
        <v>11.76666667</v>
      </c>
      <c r="H73" s="210">
        <f>IFERROR(__xludf.DUMMYFUNCTION("""COMPUTED_VALUE"""),45069.0)</f>
        <v>45069</v>
      </c>
      <c r="I73" s="199">
        <f>IFERROR(__xludf.DUMMYFUNCTION("""COMPUTED_VALUE"""),0.7833333333333333)</f>
        <v>0.7833333333</v>
      </c>
      <c r="J73" s="200">
        <f>IFERROR(__xludf.DUMMYFUNCTION("""COMPUTED_VALUE"""),75.0)</f>
        <v>75</v>
      </c>
      <c r="K73" s="200">
        <f>IFERROR(__xludf.DUMMYFUNCTION("""COMPUTED_VALUE"""),10.0)</f>
        <v>10</v>
      </c>
      <c r="L73" s="201" t="str">
        <f>IFERROR(__xludf.DUMMYFUNCTION("""COMPUTED_VALUE"""),"Shooter")</f>
        <v>Shooter</v>
      </c>
    </row>
    <row r="74">
      <c r="A74" s="190" t="str">
        <f>IFERROR(__xludf.DUMMYFUNCTION("""COMPUTED_VALUE"""),"Space Engineers")</f>
        <v>Space Engineers</v>
      </c>
      <c r="B74" s="195" t="str">
        <f>IFERROR(__xludf.DUMMYFUNCTION("""COMPUTED_VALUE"""),"Xbox / PC")</f>
        <v>Xbox / PC</v>
      </c>
      <c r="C74" s="195" t="str">
        <f>IFERROR(__xludf.DUMMYFUNCTION("""COMPUTED_VALUE"""),"Yes")</f>
        <v>Yes</v>
      </c>
      <c r="D74" s="196" t="str">
        <f>IFERROR(__xludf.DUMMYFUNCTION("""COMPUTED_VALUE"""),"Removed")</f>
        <v>Removed</v>
      </c>
      <c r="E74" s="209">
        <f>IFERROR(__xludf.DUMMYFUNCTION("""COMPUTED_VALUE"""),45351.0)</f>
        <v>45351</v>
      </c>
      <c r="F74" s="266">
        <f>IFERROR(__xludf.DUMMYFUNCTION("""COMPUTED_VALUE"""),45716.0)</f>
        <v>45716</v>
      </c>
      <c r="G74" s="199">
        <f>IFERROR(__xludf.DUMMYFUNCTION("""COMPUTED_VALUE"""),11.966666666666667)</f>
        <v>11.96666667</v>
      </c>
      <c r="H74" s="210">
        <f>IFERROR(__xludf.DUMMYFUNCTION("""COMPUTED_VALUE"""),43936.0)</f>
        <v>43936</v>
      </c>
      <c r="I74" s="199">
        <f>IFERROR(__xludf.DUMMYFUNCTION("""COMPUTED_VALUE"""),3.8722222222222222)</f>
        <v>3.872222222</v>
      </c>
      <c r="J74" s="267">
        <f>IFERROR(__xludf.DUMMYFUNCTION("""COMPUTED_VALUE"""),68.0)</f>
        <v>68</v>
      </c>
      <c r="K74" s="200">
        <f>IFERROR(__xludf.DUMMYFUNCTION("""COMPUTED_VALUE"""),20.0)</f>
        <v>20</v>
      </c>
      <c r="L74" s="201" t="str">
        <f>IFERROR(__xludf.DUMMYFUNCTION("""COMPUTED_VALUE"""),"Sandbox")</f>
        <v>Sandbox</v>
      </c>
    </row>
    <row r="75">
      <c r="A75" s="190" t="str">
        <f>IFERROR(__xludf.DUMMYFUNCTION("""COMPUTED_VALUE"""),"Maneater")</f>
        <v>Maneater</v>
      </c>
      <c r="B75" s="195" t="str">
        <f>IFERROR(__xludf.DUMMYFUNCTION("""COMPUTED_VALUE"""),"Xbox / PC")</f>
        <v>Xbox / PC</v>
      </c>
      <c r="C75" s="195" t="str">
        <f>IFERROR(__xludf.DUMMYFUNCTION("""COMPUTED_VALUE"""),"Yes")</f>
        <v>Yes</v>
      </c>
      <c r="D75" s="196" t="str">
        <f>IFERROR(__xludf.DUMMYFUNCTION("""COMPUTED_VALUE"""),"Removed")</f>
        <v>Removed</v>
      </c>
      <c r="E75" s="209">
        <f>IFERROR(__xludf.DUMMYFUNCTION("""COMPUTED_VALUE"""),45349.0)</f>
        <v>45349</v>
      </c>
      <c r="F75" s="266">
        <f>IFERROR(__xludf.DUMMYFUNCTION("""COMPUTED_VALUE"""),45716.0)</f>
        <v>45716</v>
      </c>
      <c r="G75" s="199">
        <f>IFERROR(__xludf.DUMMYFUNCTION("""COMPUTED_VALUE"""),12.033333333333333)</f>
        <v>12.03333333</v>
      </c>
      <c r="H75" s="210">
        <f>IFERROR(__xludf.DUMMYFUNCTION("""COMPUTED_VALUE"""),43973.0)</f>
        <v>43973</v>
      </c>
      <c r="I75" s="199">
        <f>IFERROR(__xludf.DUMMYFUNCTION("""COMPUTED_VALUE"""),3.763888888888889)</f>
        <v>3.763888889</v>
      </c>
      <c r="J75" s="267">
        <f>IFERROR(__xludf.DUMMYFUNCTION("""COMPUTED_VALUE"""),70.5)</f>
        <v>70.5</v>
      </c>
      <c r="K75" s="200">
        <f>IFERROR(__xludf.DUMMYFUNCTION("""COMPUTED_VALUE"""),8.0)</f>
        <v>8</v>
      </c>
      <c r="L75" s="201" t="str">
        <f>IFERROR(__xludf.DUMMYFUNCTION("""COMPUTED_VALUE"""),"Action / RPG")</f>
        <v>Action / RPG</v>
      </c>
    </row>
    <row r="76">
      <c r="A76" s="190" t="str">
        <f>IFERROR(__xludf.DUMMYFUNCTION("""COMPUTED_VALUE"""),"GRIS")</f>
        <v>GRIS</v>
      </c>
      <c r="B76" s="195" t="str">
        <f>IFERROR(__xludf.DUMMYFUNCTION("""COMPUTED_VALUE"""),"Xbox / PC")</f>
        <v>Xbox / PC</v>
      </c>
      <c r="C76" s="195" t="str">
        <f>IFERROR(__xludf.DUMMYFUNCTION("""COMPUTED_VALUE"""),"Yes")</f>
        <v>Yes</v>
      </c>
      <c r="D76" s="196" t="str">
        <f>IFERROR(__xludf.DUMMYFUNCTION("""COMPUTED_VALUE"""),"Removed")</f>
        <v>Removed</v>
      </c>
      <c r="E76" s="209">
        <f>IFERROR(__xludf.DUMMYFUNCTION("""COMPUTED_VALUE"""),45174.0)</f>
        <v>45174</v>
      </c>
      <c r="F76" s="266">
        <f>IFERROR(__xludf.DUMMYFUNCTION("""COMPUTED_VALUE"""),45716.0)</f>
        <v>45716</v>
      </c>
      <c r="G76" s="199">
        <f>IFERROR(__xludf.DUMMYFUNCTION("""COMPUTED_VALUE"""),17.766666666666666)</f>
        <v>17.76666667</v>
      </c>
      <c r="H76" s="210">
        <f>IFERROR(__xludf.DUMMYFUNCTION("""COMPUTED_VALUE"""),43465.0)</f>
        <v>43465</v>
      </c>
      <c r="I76" s="199">
        <f>IFERROR(__xludf.DUMMYFUNCTION("""COMPUTED_VALUE"""),4.680555555555555)</f>
        <v>4.680555556</v>
      </c>
      <c r="J76" s="200">
        <f>IFERROR(__xludf.DUMMYFUNCTION("""COMPUTED_VALUE"""),84.0)</f>
        <v>84</v>
      </c>
      <c r="K76" s="200">
        <f>IFERROR(__xludf.DUMMYFUNCTION("""COMPUTED_VALUE"""),3.5)</f>
        <v>3.5</v>
      </c>
      <c r="L76" s="201" t="str">
        <f>IFERROR(__xludf.DUMMYFUNCTION("""COMPUTED_VALUE"""),"Puzzle / Platformer")</f>
        <v>Puzzle / Platformer</v>
      </c>
    </row>
    <row r="77">
      <c r="A77" s="190" t="str">
        <f>IFERROR(__xludf.DUMMYFUNCTION("""COMPUTED_VALUE"""),"Wo Long: Fallen Dynasty")</f>
        <v>Wo Long: Fallen Dynasty</v>
      </c>
      <c r="B77" s="195" t="str">
        <f>IFERROR(__xludf.DUMMYFUNCTION("""COMPUTED_VALUE"""),"Xbox / PC")</f>
        <v>Xbox / PC</v>
      </c>
      <c r="C77" s="195" t="str">
        <f>IFERROR(__xludf.DUMMYFUNCTION("""COMPUTED_VALUE"""),"Yes")</f>
        <v>Yes</v>
      </c>
      <c r="D77" s="196" t="str">
        <f>IFERROR(__xludf.DUMMYFUNCTION("""COMPUTED_VALUE"""),"Removed")</f>
        <v>Removed</v>
      </c>
      <c r="E77" s="209">
        <f>IFERROR(__xludf.DUMMYFUNCTION("""COMPUTED_VALUE"""),44988.0)</f>
        <v>44988</v>
      </c>
      <c r="F77" s="266">
        <f>IFERROR(__xludf.DUMMYFUNCTION("""COMPUTED_VALUE"""),45716.0)</f>
        <v>45716</v>
      </c>
      <c r="G77" s="199">
        <f>IFERROR(__xludf.DUMMYFUNCTION("""COMPUTED_VALUE"""),23.833333333333336)</f>
        <v>23.83333333</v>
      </c>
      <c r="H77" s="210">
        <f>IFERROR(__xludf.DUMMYFUNCTION("""COMPUTED_VALUE"""),44988.0)</f>
        <v>44988</v>
      </c>
      <c r="I77" s="199">
        <f>IFERROR(__xludf.DUMMYFUNCTION("""COMPUTED_VALUE"""),0.0)</f>
        <v>0</v>
      </c>
      <c r="J77" s="200">
        <f>IFERROR(__xludf.DUMMYFUNCTION("""COMPUTED_VALUE"""),80.0)</f>
        <v>80</v>
      </c>
      <c r="K77" s="200">
        <f>IFERROR(__xludf.DUMMYFUNCTION("""COMPUTED_VALUE"""),29.0)</f>
        <v>29</v>
      </c>
      <c r="L77" s="201" t="str">
        <f>IFERROR(__xludf.DUMMYFUNCTION("""COMPUTED_VALUE"""),"Action")</f>
        <v>Action</v>
      </c>
    </row>
    <row r="78">
      <c r="A78" s="190" t="str">
        <f>IFERROR(__xludf.DUMMYFUNCTION("""COMPUTED_VALUE"""),"Yakuza 3: Remastered")</f>
        <v>Yakuza 3: Remastered</v>
      </c>
      <c r="B78" s="195" t="str">
        <f>IFERROR(__xludf.DUMMYFUNCTION("""COMPUTED_VALUE"""),"Xbox / PC")</f>
        <v>Xbox / PC</v>
      </c>
      <c r="C78" s="195" t="str">
        <f>IFERROR(__xludf.DUMMYFUNCTION("""COMPUTED_VALUE"""),"Touch Controls")</f>
        <v>Touch Controls</v>
      </c>
      <c r="D78" s="196" t="str">
        <f>IFERROR(__xludf.DUMMYFUNCTION("""COMPUTED_VALUE"""),"Removed")</f>
        <v>Removed</v>
      </c>
      <c r="E78" s="209">
        <f>IFERROR(__xludf.DUMMYFUNCTION("""COMPUTED_VALUE"""),44224.0)</f>
        <v>44224</v>
      </c>
      <c r="F78" s="266">
        <f>IFERROR(__xludf.DUMMYFUNCTION("""COMPUTED_VALUE"""),45716.0)</f>
        <v>45716</v>
      </c>
      <c r="G78" s="199">
        <f>IFERROR(__xludf.DUMMYFUNCTION("""COMPUTED_VALUE"""),49.0)</f>
        <v>49</v>
      </c>
      <c r="H78" s="210">
        <f>IFERROR(__xludf.DUMMYFUNCTION("""COMPUTED_VALUE"""),43697.0)</f>
        <v>43697</v>
      </c>
      <c r="I78" s="199">
        <f>IFERROR(__xludf.DUMMYFUNCTION("""COMPUTED_VALUE"""),1.4388888888888889)</f>
        <v>1.438888889</v>
      </c>
      <c r="J78" s="200">
        <f>IFERROR(__xludf.DUMMYFUNCTION("""COMPUTED_VALUE"""),77.0)</f>
        <v>77</v>
      </c>
      <c r="K78" s="200">
        <f>IFERROR(__xludf.DUMMYFUNCTION("""COMPUTED_VALUE"""),17.5)</f>
        <v>17.5</v>
      </c>
      <c r="L78" s="201" t="str">
        <f>IFERROR(__xludf.DUMMYFUNCTION("""COMPUTED_VALUE"""),"RPG / Brawler / Action-Adventure")</f>
        <v>RPG / Brawler / Action-Adventure</v>
      </c>
    </row>
    <row r="79">
      <c r="A79" s="190" t="str">
        <f>IFERROR(__xludf.DUMMYFUNCTION("""COMPUTED_VALUE"""),"Yakuza 4: Remastered")</f>
        <v>Yakuza 4: Remastered</v>
      </c>
      <c r="B79" s="195" t="str">
        <f>IFERROR(__xludf.DUMMYFUNCTION("""COMPUTED_VALUE"""),"Xbox / PC")</f>
        <v>Xbox / PC</v>
      </c>
      <c r="C79" s="195" t="str">
        <f>IFERROR(__xludf.DUMMYFUNCTION("""COMPUTED_VALUE"""),"Touch Controls")</f>
        <v>Touch Controls</v>
      </c>
      <c r="D79" s="196" t="str">
        <f>IFERROR(__xludf.DUMMYFUNCTION("""COMPUTED_VALUE"""),"Removed")</f>
        <v>Removed</v>
      </c>
      <c r="E79" s="209">
        <f>IFERROR(__xludf.DUMMYFUNCTION("""COMPUTED_VALUE"""),44224.0)</f>
        <v>44224</v>
      </c>
      <c r="F79" s="266">
        <f>IFERROR(__xludf.DUMMYFUNCTION("""COMPUTED_VALUE"""),45716.0)</f>
        <v>45716</v>
      </c>
      <c r="G79" s="199">
        <f>IFERROR(__xludf.DUMMYFUNCTION("""COMPUTED_VALUE"""),49.0)</f>
        <v>49</v>
      </c>
      <c r="H79" s="210">
        <f>IFERROR(__xludf.DUMMYFUNCTION("""COMPUTED_VALUE"""),43767.0)</f>
        <v>43767</v>
      </c>
      <c r="I79" s="199">
        <f>IFERROR(__xludf.DUMMYFUNCTION("""COMPUTED_VALUE"""),1.2472222222222222)</f>
        <v>1.247222222</v>
      </c>
      <c r="J79" s="200">
        <f>IFERROR(__xludf.DUMMYFUNCTION("""COMPUTED_VALUE"""),78.0)</f>
        <v>78</v>
      </c>
      <c r="K79" s="200">
        <f>IFERROR(__xludf.DUMMYFUNCTION("""COMPUTED_VALUE"""),22.5)</f>
        <v>22.5</v>
      </c>
      <c r="L79" s="201" t="str">
        <f>IFERROR(__xludf.DUMMYFUNCTION("""COMPUTED_VALUE"""),"RPG / Brawler / Action-Adventure")</f>
        <v>RPG / Brawler / Action-Adventure</v>
      </c>
    </row>
    <row r="80">
      <c r="A80" s="190" t="str">
        <f>IFERROR(__xludf.DUMMYFUNCTION("""COMPUTED_VALUE"""),"F1 22")</f>
        <v>F1 22</v>
      </c>
      <c r="B80" s="195" t="str">
        <f>IFERROR(__xludf.DUMMYFUNCTION("""COMPUTED_VALUE"""),"Xbox / PC")</f>
        <v>Xbox / PC</v>
      </c>
      <c r="C80" s="195"/>
      <c r="D80" s="196" t="str">
        <f>IFERROR(__xludf.DUMMYFUNCTION("""COMPUTED_VALUE"""),"Removed")</f>
        <v>Removed</v>
      </c>
      <c r="E80" s="209">
        <f>IFERROR(__xludf.DUMMYFUNCTION("""COMPUTED_VALUE"""),44987.0)</f>
        <v>44987</v>
      </c>
      <c r="F80" s="266">
        <f>IFERROR(__xludf.DUMMYFUNCTION("""COMPUTED_VALUE"""),45716.0)</f>
        <v>45716</v>
      </c>
      <c r="G80" s="199">
        <f>IFERROR(__xludf.DUMMYFUNCTION("""COMPUTED_VALUE"""),23.866666666666667)</f>
        <v>23.86666667</v>
      </c>
      <c r="H80" s="210">
        <f>IFERROR(__xludf.DUMMYFUNCTION("""COMPUTED_VALUE"""),44740.0)</f>
        <v>44740</v>
      </c>
      <c r="I80" s="199">
        <f>IFERROR(__xludf.DUMMYFUNCTION("""COMPUTED_VALUE"""),0.6777777777777778)</f>
        <v>0.6777777778</v>
      </c>
      <c r="J80" s="200">
        <f>IFERROR(__xludf.DUMMYFUNCTION("""COMPUTED_VALUE"""),81.0)</f>
        <v>81</v>
      </c>
      <c r="K80" s="200">
        <f>IFERROR(__xludf.DUMMYFUNCTION("""COMPUTED_VALUE"""),23.0)</f>
        <v>23</v>
      </c>
      <c r="L80" s="201" t="str">
        <f>IFERROR(__xludf.DUMMYFUNCTION("""COMPUTED_VALUE"""),"Driving/Racing / Simulation")</f>
        <v>Driving/Racing / Simulation</v>
      </c>
    </row>
    <row r="81">
      <c r="A81" s="190" t="str">
        <f>IFERROR(__xludf.DUMMYFUNCTION("""COMPUTED_VALUE"""),"Indivisible")</f>
        <v>Indivisible</v>
      </c>
      <c r="B81" s="195" t="str">
        <f>IFERROR(__xludf.DUMMYFUNCTION("""COMPUTED_VALUE"""),"Xbox / PC")</f>
        <v>Xbox / PC</v>
      </c>
      <c r="C81" s="195" t="str">
        <f>IFERROR(__xludf.DUMMYFUNCTION("""COMPUTED_VALUE"""),"Yes")</f>
        <v>Yes</v>
      </c>
      <c r="D81" s="196" t="str">
        <f>IFERROR(__xludf.DUMMYFUNCTION("""COMPUTED_VALUE"""),"Removed")</f>
        <v>Removed</v>
      </c>
      <c r="E81" s="209">
        <f>IFERROR(__xludf.DUMMYFUNCTION("""COMPUTED_VALUE"""),45350.0)</f>
        <v>45350</v>
      </c>
      <c r="F81" s="266">
        <f>IFERROR(__xludf.DUMMYFUNCTION("""COMPUTED_VALUE"""),45703.0)</f>
        <v>45703</v>
      </c>
      <c r="G81" s="199">
        <f>IFERROR(__xludf.DUMMYFUNCTION("""COMPUTED_VALUE"""),11.566666666666666)</f>
        <v>11.56666667</v>
      </c>
      <c r="H81" s="210">
        <f>IFERROR(__xludf.DUMMYFUNCTION("""COMPUTED_VALUE"""),43746.0)</f>
        <v>43746</v>
      </c>
      <c r="I81" s="199">
        <f>IFERROR(__xludf.DUMMYFUNCTION("""COMPUTED_VALUE"""),4.388888888888889)</f>
        <v>4.388888889</v>
      </c>
      <c r="J81" s="200">
        <f>IFERROR(__xludf.DUMMYFUNCTION("""COMPUTED_VALUE"""),82.0)</f>
        <v>82</v>
      </c>
      <c r="K81" s="200">
        <f>IFERROR(__xludf.DUMMYFUNCTION("""COMPUTED_VALUE"""),18.5)</f>
        <v>18.5</v>
      </c>
      <c r="L81" s="201" t="str">
        <f>IFERROR(__xludf.DUMMYFUNCTION("""COMPUTED_VALUE"""),"Action / RPG")</f>
        <v>Action / RPG</v>
      </c>
    </row>
    <row r="82">
      <c r="A82" s="190" t="str">
        <f>IFERROR(__xludf.DUMMYFUNCTION("""COMPUTED_VALUE"""),"Return to Grace")</f>
        <v>Return to Grace</v>
      </c>
      <c r="B82" s="195" t="str">
        <f>IFERROR(__xludf.DUMMYFUNCTION("""COMPUTED_VALUE"""),"Xbox / PC")</f>
        <v>Xbox / PC</v>
      </c>
      <c r="C82" s="195" t="str">
        <f>IFERROR(__xludf.DUMMYFUNCTION("""COMPUTED_VALUE"""),"Yes")</f>
        <v>Yes</v>
      </c>
      <c r="D82" s="196" t="str">
        <f>IFERROR(__xludf.DUMMYFUNCTION("""COMPUTED_VALUE"""),"Removed")</f>
        <v>Removed</v>
      </c>
      <c r="E82" s="209">
        <f>IFERROR(__xludf.DUMMYFUNCTION("""COMPUTED_VALUE"""),45342.0)</f>
        <v>45342</v>
      </c>
      <c r="F82" s="266">
        <f>IFERROR(__xludf.DUMMYFUNCTION("""COMPUTED_VALUE"""),45703.0)</f>
        <v>45703</v>
      </c>
      <c r="G82" s="199">
        <f>IFERROR(__xludf.DUMMYFUNCTION("""COMPUTED_VALUE"""),11.833333333333334)</f>
        <v>11.83333333</v>
      </c>
      <c r="H82" s="210">
        <f>IFERROR(__xludf.DUMMYFUNCTION("""COMPUTED_VALUE"""),45076.0)</f>
        <v>45076</v>
      </c>
      <c r="I82" s="199">
        <f>IFERROR(__xludf.DUMMYFUNCTION("""COMPUTED_VALUE"""),0.7222222222222222)</f>
        <v>0.7222222222</v>
      </c>
      <c r="J82" s="200">
        <f>IFERROR(__xludf.DUMMYFUNCTION("""COMPUTED_VALUE"""),79.0)</f>
        <v>79</v>
      </c>
      <c r="K82" s="200">
        <f>IFERROR(__xludf.DUMMYFUNCTION("""COMPUTED_VALUE"""),3.0)</f>
        <v>3</v>
      </c>
      <c r="L82" s="201" t="str">
        <f>IFERROR(__xludf.DUMMYFUNCTION("""COMPUTED_VALUE"""),"Adventure")</f>
        <v>Adventure</v>
      </c>
    </row>
    <row r="83">
      <c r="A83" s="190" t="str">
        <f>IFERROR(__xludf.DUMMYFUNCTION("""COMPUTED_VALUE"""),"Tales of Arise")</f>
        <v>Tales of Arise</v>
      </c>
      <c r="B83" s="195" t="str">
        <f>IFERROR(__xludf.DUMMYFUNCTION("""COMPUTED_VALUE"""),"Xbox / PC")</f>
        <v>Xbox / PC</v>
      </c>
      <c r="C83" s="195" t="str">
        <f>IFERROR(__xludf.DUMMYFUNCTION("""COMPUTED_VALUE"""),"Yes")</f>
        <v>Yes</v>
      </c>
      <c r="D83" s="196" t="str">
        <f>IFERROR(__xludf.DUMMYFUNCTION("""COMPUTED_VALUE"""),"Removed")</f>
        <v>Removed</v>
      </c>
      <c r="E83" s="209">
        <f>IFERROR(__xludf.DUMMYFUNCTION("""COMPUTED_VALUE"""),45342.0)</f>
        <v>45342</v>
      </c>
      <c r="F83" s="266">
        <f>IFERROR(__xludf.DUMMYFUNCTION("""COMPUTED_VALUE"""),45703.0)</f>
        <v>45703</v>
      </c>
      <c r="G83" s="199">
        <f>IFERROR(__xludf.DUMMYFUNCTION("""COMPUTED_VALUE"""),11.833333333333334)</f>
        <v>11.83333333</v>
      </c>
      <c r="H83" s="210">
        <f>IFERROR(__xludf.DUMMYFUNCTION("""COMPUTED_VALUE"""),44449.0)</f>
        <v>44449</v>
      </c>
      <c r="I83" s="199">
        <f>IFERROR(__xludf.DUMMYFUNCTION("""COMPUTED_VALUE"""),2.4444444444444446)</f>
        <v>2.444444444</v>
      </c>
      <c r="J83" s="200">
        <f>IFERROR(__xludf.DUMMYFUNCTION("""COMPUTED_VALUE"""),87.0)</f>
        <v>87</v>
      </c>
      <c r="K83" s="200">
        <f>IFERROR(__xludf.DUMMYFUNCTION("""COMPUTED_VALUE"""),41.0)</f>
        <v>41</v>
      </c>
      <c r="L83" s="201" t="str">
        <f>IFERROR(__xludf.DUMMYFUNCTION("""COMPUTED_VALUE"""),"RPG")</f>
        <v>RPG</v>
      </c>
    </row>
    <row r="84">
      <c r="A84" s="190" t="str">
        <f>IFERROR(__xludf.DUMMYFUNCTION("""COMPUTED_VALUE"""),"A Little to the Left")</f>
        <v>A Little to the Left</v>
      </c>
      <c r="B84" s="195" t="str">
        <f>IFERROR(__xludf.DUMMYFUNCTION("""COMPUTED_VALUE"""),"Xbox / PC")</f>
        <v>Xbox / PC</v>
      </c>
      <c r="C84" s="195" t="str">
        <f>IFERROR(__xludf.DUMMYFUNCTION("""COMPUTED_VALUE"""),"Yes")</f>
        <v>Yes</v>
      </c>
      <c r="D84" s="196" t="str">
        <f>IFERROR(__xludf.DUMMYFUNCTION("""COMPUTED_VALUE"""),"Removed")</f>
        <v>Removed</v>
      </c>
      <c r="E84" s="209">
        <f>IFERROR(__xludf.DUMMYFUNCTION("""COMPUTED_VALUE"""),45336.0)</f>
        <v>45336</v>
      </c>
      <c r="F84" s="266">
        <f>IFERROR(__xludf.DUMMYFUNCTION("""COMPUTED_VALUE"""),45703.0)</f>
        <v>45703</v>
      </c>
      <c r="G84" s="199">
        <f>IFERROR(__xludf.DUMMYFUNCTION("""COMPUTED_VALUE"""),12.033333333333333)</f>
        <v>12.03333333</v>
      </c>
      <c r="H84" s="210">
        <f>IFERROR(__xludf.DUMMYFUNCTION("""COMPUTED_VALUE"""),44873.0)</f>
        <v>44873</v>
      </c>
      <c r="I84" s="199">
        <f>IFERROR(__xludf.DUMMYFUNCTION("""COMPUTED_VALUE"""),1.2666666666666666)</f>
        <v>1.266666667</v>
      </c>
      <c r="J84" s="200">
        <f>IFERROR(__xludf.DUMMYFUNCTION("""COMPUTED_VALUE"""),75.0)</f>
        <v>75</v>
      </c>
      <c r="K84" s="200">
        <f>IFERROR(__xludf.DUMMYFUNCTION("""COMPUTED_VALUE"""),4.0)</f>
        <v>4</v>
      </c>
      <c r="L84" s="201" t="str">
        <f>IFERROR(__xludf.DUMMYFUNCTION("""COMPUTED_VALUE"""),"Puzzle")</f>
        <v>Puzzle</v>
      </c>
    </row>
    <row r="85">
      <c r="A85" s="190" t="str">
        <f>IFERROR(__xludf.DUMMYFUNCTION("""COMPUTED_VALUE"""),"Bloodstained: Ritual of the Night")</f>
        <v>Bloodstained: Ritual of the Night</v>
      </c>
      <c r="B85" s="195" t="str">
        <f>IFERROR(__xludf.DUMMYFUNCTION("""COMPUTED_VALUE"""),"Xbox / PC")</f>
        <v>Xbox / PC</v>
      </c>
      <c r="C85" s="195" t="str">
        <f>IFERROR(__xludf.DUMMYFUNCTION("""COMPUTED_VALUE"""),"Yes")</f>
        <v>Yes</v>
      </c>
      <c r="D85" s="196" t="str">
        <f>IFERROR(__xludf.DUMMYFUNCTION("""COMPUTED_VALUE"""),"Removed")</f>
        <v>Removed</v>
      </c>
      <c r="E85" s="209">
        <f>IFERROR(__xludf.DUMMYFUNCTION("""COMPUTED_VALUE"""),45336.0)</f>
        <v>45336</v>
      </c>
      <c r="F85" s="198">
        <f>IFERROR(__xludf.DUMMYFUNCTION("""COMPUTED_VALUE"""),45703.0)</f>
        <v>45703</v>
      </c>
      <c r="G85" s="199">
        <f>IFERROR(__xludf.DUMMYFUNCTION("""COMPUTED_VALUE"""),12.033333333333333)</f>
        <v>12.03333333</v>
      </c>
      <c r="H85" s="210">
        <f>IFERROR(__xludf.DUMMYFUNCTION("""COMPUTED_VALUE"""),43634.0)</f>
        <v>43634</v>
      </c>
      <c r="I85" s="199">
        <f>IFERROR(__xludf.DUMMYFUNCTION("""COMPUTED_VALUE"""),4.655555555555556)</f>
        <v>4.655555556</v>
      </c>
      <c r="J85" s="200">
        <f>IFERROR(__xludf.DUMMYFUNCTION("""COMPUTED_VALUE"""),84.0)</f>
        <v>84</v>
      </c>
      <c r="K85" s="200">
        <f>IFERROR(__xludf.DUMMYFUNCTION("""COMPUTED_VALUE"""),13.5)</f>
        <v>13.5</v>
      </c>
      <c r="L85" s="201" t="str">
        <f>IFERROR(__xludf.DUMMYFUNCTION("""COMPUTED_VALUE"""),"RPG / Platformer / Action-Adventure")</f>
        <v>RPG / Platformer / Action-Adventure</v>
      </c>
    </row>
    <row r="86">
      <c r="A86" s="190" t="str">
        <f>IFERROR(__xludf.DUMMYFUNCTION("""COMPUTED_VALUE"""),"Merge &amp; Blade")</f>
        <v>Merge &amp; Blade</v>
      </c>
      <c r="B86" s="195" t="str">
        <f>IFERROR(__xludf.DUMMYFUNCTION("""COMPUTED_VALUE"""),"Xbox / PC")</f>
        <v>Xbox / PC</v>
      </c>
      <c r="C86" s="195" t="str">
        <f>IFERROR(__xludf.DUMMYFUNCTION("""COMPUTED_VALUE"""),"Yes")</f>
        <v>Yes</v>
      </c>
      <c r="D86" s="196" t="str">
        <f>IFERROR(__xludf.DUMMYFUNCTION("""COMPUTED_VALUE"""),"Removed")</f>
        <v>Removed</v>
      </c>
      <c r="E86" s="209">
        <f>IFERROR(__xludf.DUMMYFUNCTION("""COMPUTED_VALUE"""),44985.0)</f>
        <v>44985</v>
      </c>
      <c r="F86" s="198">
        <f>IFERROR(__xludf.DUMMYFUNCTION("""COMPUTED_VALUE"""),45703.0)</f>
        <v>45703</v>
      </c>
      <c r="G86" s="199">
        <f>IFERROR(__xludf.DUMMYFUNCTION("""COMPUTED_VALUE"""),23.566666666666666)</f>
        <v>23.56666667</v>
      </c>
      <c r="H86" s="210">
        <f>IFERROR(__xludf.DUMMYFUNCTION("""COMPUTED_VALUE"""),44985.0)</f>
        <v>44985</v>
      </c>
      <c r="I86" s="199">
        <f>IFERROR(__xludf.DUMMYFUNCTION("""COMPUTED_VALUE"""),0.0)</f>
        <v>0</v>
      </c>
      <c r="J86" s="200">
        <f>IFERROR(__xludf.DUMMYFUNCTION("""COMPUTED_VALUE"""),70.0)</f>
        <v>70</v>
      </c>
      <c r="K86" s="200">
        <f>IFERROR(__xludf.DUMMYFUNCTION("""COMPUTED_VALUE"""),8.0)</f>
        <v>8</v>
      </c>
      <c r="L86" s="201" t="str">
        <f>IFERROR(__xludf.DUMMYFUNCTION("""COMPUTED_VALUE"""),"Puzzle")</f>
        <v>Puzzle</v>
      </c>
    </row>
    <row r="87">
      <c r="A87" s="190" t="str">
        <f>IFERROR(__xludf.DUMMYFUNCTION("""COMPUTED_VALUE"""),"EA Sports UFC 3")</f>
        <v>EA Sports UFC 3</v>
      </c>
      <c r="B87" s="195" t="str">
        <f>IFERROR(__xludf.DUMMYFUNCTION("""COMPUTED_VALUE"""),"Xbox")</f>
        <v>Xbox</v>
      </c>
      <c r="C87" s="195"/>
      <c r="D87" s="196" t="str">
        <f>IFERROR(__xludf.DUMMYFUNCTION("""COMPUTED_VALUE"""),"Removed")</f>
        <v>Removed</v>
      </c>
      <c r="E87" s="209">
        <f>IFERROR(__xludf.DUMMYFUNCTION("""COMPUTED_VALUE"""),44145.0)</f>
        <v>44145</v>
      </c>
      <c r="F87" s="198">
        <f>IFERROR(__xludf.DUMMYFUNCTION("""COMPUTED_VALUE"""),45703.0)</f>
        <v>45703</v>
      </c>
      <c r="G87" s="199">
        <f>IFERROR(__xludf.DUMMYFUNCTION("""COMPUTED_VALUE"""),51.16666666666667)</f>
        <v>51.16666667</v>
      </c>
      <c r="H87" s="210">
        <f>IFERROR(__xludf.DUMMYFUNCTION("""COMPUTED_VALUE"""),43133.0)</f>
        <v>43133</v>
      </c>
      <c r="I87" s="199">
        <f>IFERROR(__xludf.DUMMYFUNCTION("""COMPUTED_VALUE"""),2.772222222222222)</f>
        <v>2.772222222</v>
      </c>
      <c r="J87" s="200">
        <f>IFERROR(__xludf.DUMMYFUNCTION("""COMPUTED_VALUE"""),77.0)</f>
        <v>77</v>
      </c>
      <c r="K87" s="200">
        <f>IFERROR(__xludf.DUMMYFUNCTION("""COMPUTED_VALUE"""),9.0)</f>
        <v>9</v>
      </c>
      <c r="L87" s="201" t="str">
        <f>IFERROR(__xludf.DUMMYFUNCTION("""COMPUTED_VALUE"""),"Sports / Fighting")</f>
        <v>Sports / Fighting</v>
      </c>
    </row>
    <row r="88">
      <c r="A88" s="190" t="str">
        <f>IFERROR(__xludf.DUMMYFUNCTION("""COMPUTED_VALUE"""),"Anuchard")</f>
        <v>Anuchard</v>
      </c>
      <c r="B88" s="195" t="str">
        <f>IFERROR(__xludf.DUMMYFUNCTION("""COMPUTED_VALUE"""),"Xbox / PC")</f>
        <v>Xbox / PC</v>
      </c>
      <c r="C88" s="195" t="str">
        <f>IFERROR(__xludf.DUMMYFUNCTION("""COMPUTED_VALUE"""),"Yes")</f>
        <v>Yes</v>
      </c>
      <c r="D88" s="196" t="str">
        <f>IFERROR(__xludf.DUMMYFUNCTION("""COMPUTED_VALUE"""),"Removed")</f>
        <v>Removed</v>
      </c>
      <c r="E88" s="209">
        <f>IFERROR(__xludf.DUMMYFUNCTION("""COMPUTED_VALUE"""),45328.0)</f>
        <v>45328</v>
      </c>
      <c r="F88" s="198">
        <f>IFERROR(__xludf.DUMMYFUNCTION("""COMPUTED_VALUE"""),45688.0)</f>
        <v>45688</v>
      </c>
      <c r="G88" s="199">
        <f>IFERROR(__xludf.DUMMYFUNCTION("""COMPUTED_VALUE"""),11.799999999999999)</f>
        <v>11.8</v>
      </c>
      <c r="H88" s="210">
        <f>IFERROR(__xludf.DUMMYFUNCTION("""COMPUTED_VALUE"""),44672.0)</f>
        <v>44672</v>
      </c>
      <c r="I88" s="199">
        <f>IFERROR(__xludf.DUMMYFUNCTION("""COMPUTED_VALUE"""),1.7916666666666667)</f>
        <v>1.791666667</v>
      </c>
      <c r="J88" s="200">
        <f>IFERROR(__xludf.DUMMYFUNCTION("""COMPUTED_VALUE"""),70.0)</f>
        <v>70</v>
      </c>
      <c r="K88" s="200">
        <f>IFERROR(__xludf.DUMMYFUNCTION("""COMPUTED_VALUE"""),9.0)</f>
        <v>9</v>
      </c>
      <c r="L88" s="201" t="str">
        <f>IFERROR(__xludf.DUMMYFUNCTION("""COMPUTED_VALUE"""),"RPG")</f>
        <v>RPG</v>
      </c>
    </row>
    <row r="89">
      <c r="A89" s="190" t="str">
        <f>IFERROR(__xludf.DUMMYFUNCTION("""COMPUTED_VALUE"""),"Broforce Forever")</f>
        <v>Broforce Forever</v>
      </c>
      <c r="B89" s="195" t="str">
        <f>IFERROR(__xludf.DUMMYFUNCTION("""COMPUTED_VALUE"""),"Xbox / PC")</f>
        <v>Xbox / PC</v>
      </c>
      <c r="C89" s="195" t="str">
        <f>IFERROR(__xludf.DUMMYFUNCTION("""COMPUTED_VALUE"""),"Yes")</f>
        <v>Yes</v>
      </c>
      <c r="D89" s="196" t="str">
        <f>IFERROR(__xludf.DUMMYFUNCTION("""COMPUTED_VALUE"""),"Removed")</f>
        <v>Removed</v>
      </c>
      <c r="E89" s="209">
        <f>IFERROR(__xludf.DUMMYFUNCTION("""COMPUTED_VALUE"""),45146.0)</f>
        <v>45146</v>
      </c>
      <c r="F89" s="198">
        <f>IFERROR(__xludf.DUMMYFUNCTION("""COMPUTED_VALUE"""),45688.0)</f>
        <v>45688</v>
      </c>
      <c r="G89" s="199">
        <f>IFERROR(__xludf.DUMMYFUNCTION("""COMPUTED_VALUE"""),17.733333333333334)</f>
        <v>17.73333333</v>
      </c>
      <c r="H89" s="210">
        <f>IFERROR(__xludf.DUMMYFUNCTION("""COMPUTED_VALUE"""),45146.0)</f>
        <v>45146</v>
      </c>
      <c r="I89" s="199">
        <f>IFERROR(__xludf.DUMMYFUNCTION("""COMPUTED_VALUE"""),0.0)</f>
        <v>0</v>
      </c>
      <c r="J89" s="200">
        <f>IFERROR(__xludf.DUMMYFUNCTION("""COMPUTED_VALUE"""),80.0)</f>
        <v>80</v>
      </c>
      <c r="K89" s="200"/>
      <c r="L89" s="201" t="str">
        <f>IFERROR(__xludf.DUMMYFUNCTION("""COMPUTED_VALUE"""),"Action / Shooter / Platformer")</f>
        <v>Action / Shooter / Platformer</v>
      </c>
    </row>
    <row r="90">
      <c r="A90" s="190" t="str">
        <f>IFERROR(__xludf.DUMMYFUNCTION("""COMPUTED_VALUE"""),"Serious Sam: Siberian Mayhem")</f>
        <v>Serious Sam: Siberian Mayhem</v>
      </c>
      <c r="B90" s="195" t="str">
        <f>IFERROR(__xludf.DUMMYFUNCTION("""COMPUTED_VALUE"""),"Xbox / PC")</f>
        <v>Xbox / PC</v>
      </c>
      <c r="C90" s="195" t="str">
        <f>IFERROR(__xludf.DUMMYFUNCTION("""COMPUTED_VALUE"""),"Yes")</f>
        <v>Yes</v>
      </c>
      <c r="D90" s="196" t="str">
        <f>IFERROR(__xludf.DUMMYFUNCTION("""COMPUTED_VALUE"""),"Removed")</f>
        <v>Removed</v>
      </c>
      <c r="E90" s="209">
        <f>IFERROR(__xludf.DUMMYFUNCTION("""COMPUTED_VALUE"""),45132.0)</f>
        <v>45132</v>
      </c>
      <c r="F90" s="198">
        <f>IFERROR(__xludf.DUMMYFUNCTION("""COMPUTED_VALUE"""),45688.0)</f>
        <v>45688</v>
      </c>
      <c r="G90" s="199">
        <f>IFERROR(__xludf.DUMMYFUNCTION("""COMPUTED_VALUE"""),18.166666666666664)</f>
        <v>18.16666667</v>
      </c>
      <c r="H90" s="210">
        <f>IFERROR(__xludf.DUMMYFUNCTION("""COMPUTED_VALUE"""),44586.0)</f>
        <v>44586</v>
      </c>
      <c r="I90" s="199">
        <f>IFERROR(__xludf.DUMMYFUNCTION("""COMPUTED_VALUE"""),1.5)</f>
        <v>1.5</v>
      </c>
      <c r="J90" s="200">
        <f>IFERROR(__xludf.DUMMYFUNCTION("""COMPUTED_VALUE"""),70.0)</f>
        <v>70</v>
      </c>
      <c r="K90" s="200">
        <f>IFERROR(__xludf.DUMMYFUNCTION("""COMPUTED_VALUE"""),5.0)</f>
        <v>5</v>
      </c>
      <c r="L90" s="201" t="str">
        <f>IFERROR(__xludf.DUMMYFUNCTION("""COMPUTED_VALUE"""),"First-Person Shooter")</f>
        <v>First-Person Shooter</v>
      </c>
    </row>
    <row r="91">
      <c r="A91" s="190" t="str">
        <f>IFERROR(__xludf.DUMMYFUNCTION("""COMPUTED_VALUE"""),"Maquette")</f>
        <v>Maquette</v>
      </c>
      <c r="B91" s="195" t="str">
        <f>IFERROR(__xludf.DUMMYFUNCTION("""COMPUTED_VALUE"""),"Xbox / PC")</f>
        <v>Xbox / PC</v>
      </c>
      <c r="C91" s="195" t="str">
        <f>IFERROR(__xludf.DUMMYFUNCTION("""COMPUTED_VALUE"""),"Yes")</f>
        <v>Yes</v>
      </c>
      <c r="D91" s="196" t="str">
        <f>IFERROR(__xludf.DUMMYFUNCTION("""COMPUTED_VALUE"""),"Removed")</f>
        <v>Removed</v>
      </c>
      <c r="E91" s="209">
        <f>IFERROR(__xludf.DUMMYFUNCTION("""COMPUTED_VALUE"""),45126.0)</f>
        <v>45126</v>
      </c>
      <c r="F91" s="198">
        <f>IFERROR(__xludf.DUMMYFUNCTION("""COMPUTED_VALUE"""),45688.0)</f>
        <v>45688</v>
      </c>
      <c r="G91" s="199">
        <f>IFERROR(__xludf.DUMMYFUNCTION("""COMPUTED_VALUE"""),18.366666666666667)</f>
        <v>18.36666667</v>
      </c>
      <c r="H91" s="210">
        <f>IFERROR(__xludf.DUMMYFUNCTION("""COMPUTED_VALUE"""),44257.0)</f>
        <v>44257</v>
      </c>
      <c r="I91" s="199">
        <f>IFERROR(__xludf.DUMMYFUNCTION("""COMPUTED_VALUE"""),2.3805555555555555)</f>
        <v>2.380555556</v>
      </c>
      <c r="J91" s="200">
        <f>IFERROR(__xludf.DUMMYFUNCTION("""COMPUTED_VALUE"""),70.0)</f>
        <v>70</v>
      </c>
      <c r="K91" s="200">
        <f>IFERROR(__xludf.DUMMYFUNCTION("""COMPUTED_VALUE"""),4.0)</f>
        <v>4</v>
      </c>
      <c r="L91" s="201" t="str">
        <f>IFERROR(__xludf.DUMMYFUNCTION("""COMPUTED_VALUE"""),"Puzzle")</f>
        <v>Puzzle</v>
      </c>
    </row>
    <row r="92">
      <c r="A92" s="190" t="str">
        <f>IFERROR(__xludf.DUMMYFUNCTION("""COMPUTED_VALUE"""),"Darkest Dungeon")</f>
        <v>Darkest Dungeon</v>
      </c>
      <c r="B92" s="195" t="str">
        <f>IFERROR(__xludf.DUMMYFUNCTION("""COMPUTED_VALUE"""),"Xbox / PC")</f>
        <v>Xbox / PC</v>
      </c>
      <c r="C92" s="195" t="str">
        <f>IFERROR(__xludf.DUMMYFUNCTION("""COMPUTED_VALUE"""),"Yes")</f>
        <v>Yes</v>
      </c>
      <c r="D92" s="196" t="str">
        <f>IFERROR(__xludf.DUMMYFUNCTION("""COMPUTED_VALUE"""),"Removed")</f>
        <v>Removed</v>
      </c>
      <c r="E92" s="209">
        <f>IFERROR(__xludf.DUMMYFUNCTION("""COMPUTED_VALUE"""),44959.0)</f>
        <v>44959</v>
      </c>
      <c r="F92" s="198">
        <f>IFERROR(__xludf.DUMMYFUNCTION("""COMPUTED_VALUE"""),45688.0)</f>
        <v>45688</v>
      </c>
      <c r="G92" s="199">
        <f>IFERROR(__xludf.DUMMYFUNCTION("""COMPUTED_VALUE"""),23.933333333333334)</f>
        <v>23.93333333</v>
      </c>
      <c r="H92" s="210">
        <f>IFERROR(__xludf.DUMMYFUNCTION("""COMPUTED_VALUE"""),42388.0)</f>
        <v>42388</v>
      </c>
      <c r="I92" s="199">
        <f>IFERROR(__xludf.DUMMYFUNCTION("""COMPUTED_VALUE"""),7.036111111111111)</f>
        <v>7.036111111</v>
      </c>
      <c r="J92" s="200">
        <f>IFERROR(__xludf.DUMMYFUNCTION("""COMPUTED_VALUE"""),84.0)</f>
        <v>84</v>
      </c>
      <c r="K92" s="200">
        <f>IFERROR(__xludf.DUMMYFUNCTION("""COMPUTED_VALUE"""),56.0)</f>
        <v>56</v>
      </c>
      <c r="L92" s="201" t="str">
        <f>IFERROR(__xludf.DUMMYFUNCTION("""COMPUTED_VALUE"""),"RPG")</f>
        <v>RPG</v>
      </c>
    </row>
    <row r="93">
      <c r="A93" s="190" t="str">
        <f>IFERROR(__xludf.DUMMYFUNCTION("""COMPUTED_VALUE"""),"Death's Door")</f>
        <v>Death's Door</v>
      </c>
      <c r="B93" s="195" t="str">
        <f>IFERROR(__xludf.DUMMYFUNCTION("""COMPUTED_VALUE"""),"Xbox / PC")</f>
        <v>Xbox / PC</v>
      </c>
      <c r="C93" s="195" t="str">
        <f>IFERROR(__xludf.DUMMYFUNCTION("""COMPUTED_VALUE"""),"Touch Controls")</f>
        <v>Touch Controls</v>
      </c>
      <c r="D93" s="196" t="str">
        <f>IFERROR(__xludf.DUMMYFUNCTION("""COMPUTED_VALUE"""),"Removed")</f>
        <v>Removed</v>
      </c>
      <c r="E93" s="209">
        <f>IFERROR(__xludf.DUMMYFUNCTION("""COMPUTED_VALUE"""),44581.0)</f>
        <v>44581</v>
      </c>
      <c r="F93" s="198">
        <f>IFERROR(__xludf.DUMMYFUNCTION("""COMPUTED_VALUE"""),45688.0)</f>
        <v>45688</v>
      </c>
      <c r="G93" s="199">
        <f>IFERROR(__xludf.DUMMYFUNCTION("""COMPUTED_VALUE"""),36.33333333333333)</f>
        <v>36.33333333</v>
      </c>
      <c r="H93" s="210">
        <f>IFERROR(__xludf.DUMMYFUNCTION("""COMPUTED_VALUE"""),44397.0)</f>
        <v>44397</v>
      </c>
      <c r="I93" s="199">
        <f>IFERROR(__xludf.DUMMYFUNCTION("""COMPUTED_VALUE"""),0.5)</f>
        <v>0.5</v>
      </c>
      <c r="J93" s="200">
        <f>IFERROR(__xludf.DUMMYFUNCTION("""COMPUTED_VALUE"""),86.0)</f>
        <v>86</v>
      </c>
      <c r="K93" s="200">
        <f>IFERROR(__xludf.DUMMYFUNCTION("""COMPUTED_VALUE"""),8.5)</f>
        <v>8.5</v>
      </c>
      <c r="L93" s="201" t="str">
        <f>IFERROR(__xludf.DUMMYFUNCTION("""COMPUTED_VALUE"""),"Action-Adventure")</f>
        <v>Action-Adventure</v>
      </c>
    </row>
    <row r="94">
      <c r="A94" s="190" t="str">
        <f>IFERROR(__xludf.DUMMYFUNCTION("""COMPUTED_VALUE"""),"Those Who Remain")</f>
        <v>Those Who Remain</v>
      </c>
      <c r="B94" s="195" t="str">
        <f>IFERROR(__xludf.DUMMYFUNCTION("""COMPUTED_VALUE"""),"Xbox / PC")</f>
        <v>Xbox / PC</v>
      </c>
      <c r="C94" s="195" t="str">
        <f>IFERROR(__xludf.DUMMYFUNCTION("""COMPUTED_VALUE"""),"Yes")</f>
        <v>Yes</v>
      </c>
      <c r="D94" s="196" t="str">
        <f>IFERROR(__xludf.DUMMYFUNCTION("""COMPUTED_VALUE"""),"Removed")</f>
        <v>Removed</v>
      </c>
      <c r="E94" s="209">
        <f>IFERROR(__xludf.DUMMYFUNCTION("""COMPUTED_VALUE"""),45307.0)</f>
        <v>45307</v>
      </c>
      <c r="F94" s="198">
        <f>IFERROR(__xludf.DUMMYFUNCTION("""COMPUTED_VALUE"""),45672.0)</f>
        <v>45672</v>
      </c>
      <c r="G94" s="199">
        <f>IFERROR(__xludf.DUMMYFUNCTION("""COMPUTED_VALUE"""),11.966666666666667)</f>
        <v>11.96666667</v>
      </c>
      <c r="H94" s="210">
        <f>IFERROR(__xludf.DUMMYFUNCTION("""COMPUTED_VALUE"""),43979.0)</f>
        <v>43979</v>
      </c>
      <c r="I94" s="199">
        <f>IFERROR(__xludf.DUMMYFUNCTION("""COMPUTED_VALUE"""),3.6333333333333333)</f>
        <v>3.633333333</v>
      </c>
      <c r="J94" s="200">
        <f>IFERROR(__xludf.DUMMYFUNCTION("""COMPUTED_VALUE"""),49.0)</f>
        <v>49</v>
      </c>
      <c r="K94" s="200">
        <f>IFERROR(__xludf.DUMMYFUNCTION("""COMPUTED_VALUE"""),6.0)</f>
        <v>6</v>
      </c>
      <c r="L94" s="201" t="str">
        <f>IFERROR(__xludf.DUMMYFUNCTION("""COMPUTED_VALUE"""),"Adventure")</f>
        <v>Adventure</v>
      </c>
    </row>
    <row r="95">
      <c r="A95" s="190" t="str">
        <f>IFERROR(__xludf.DUMMYFUNCTION("""COMPUTED_VALUE"""),"Figment")</f>
        <v>Figment</v>
      </c>
      <c r="B95" s="195" t="str">
        <f>IFERROR(__xludf.DUMMYFUNCTION("""COMPUTED_VALUE"""),"Xbox / PC")</f>
        <v>Xbox / PC</v>
      </c>
      <c r="C95" s="195" t="str">
        <f>IFERROR(__xludf.DUMMYFUNCTION("""COMPUTED_VALUE"""),"Yes")</f>
        <v>Yes</v>
      </c>
      <c r="D95" s="196" t="str">
        <f>IFERROR(__xludf.DUMMYFUNCTION("""COMPUTED_VALUE"""),"Removed")</f>
        <v>Removed</v>
      </c>
      <c r="E95" s="209">
        <f>IFERROR(__xludf.DUMMYFUNCTION("""COMPUTED_VALUE"""),45300.0)</f>
        <v>45300</v>
      </c>
      <c r="F95" s="198">
        <f>IFERROR(__xludf.DUMMYFUNCTION("""COMPUTED_VALUE"""),45672.0)</f>
        <v>45672</v>
      </c>
      <c r="G95" s="199">
        <f>IFERROR(__xludf.DUMMYFUNCTION("""COMPUTED_VALUE"""),12.2)</f>
        <v>12.2</v>
      </c>
      <c r="H95" s="210">
        <f>IFERROR(__xludf.DUMMYFUNCTION("""COMPUTED_VALUE"""),43000.0)</f>
        <v>43000</v>
      </c>
      <c r="I95" s="199">
        <f>IFERROR(__xludf.DUMMYFUNCTION("""COMPUTED_VALUE"""),6.2972222222222225)</f>
        <v>6.297222222</v>
      </c>
      <c r="J95" s="200">
        <f>IFERROR(__xludf.DUMMYFUNCTION("""COMPUTED_VALUE"""),75.0)</f>
        <v>75</v>
      </c>
      <c r="K95" s="200">
        <f>IFERROR(__xludf.DUMMYFUNCTION("""COMPUTED_VALUE"""),5.0)</f>
        <v>5</v>
      </c>
      <c r="L95" s="201" t="str">
        <f>IFERROR(__xludf.DUMMYFUNCTION("""COMPUTED_VALUE"""),"Puzzle / Action-Adventure")</f>
        <v>Puzzle / Action-Adventure</v>
      </c>
    </row>
    <row r="96">
      <c r="A96" s="190" t="str">
        <f>IFERROR(__xludf.DUMMYFUNCTION("""COMPUTED_VALUE"""),"Exoprimal")</f>
        <v>Exoprimal</v>
      </c>
      <c r="B96" s="195" t="str">
        <f>IFERROR(__xludf.DUMMYFUNCTION("""COMPUTED_VALUE"""),"Xbox / PC")</f>
        <v>Xbox / PC</v>
      </c>
      <c r="C96" s="195" t="str">
        <f>IFERROR(__xludf.DUMMYFUNCTION("""COMPUTED_VALUE"""),"Yes")</f>
        <v>Yes</v>
      </c>
      <c r="D96" s="196" t="str">
        <f>IFERROR(__xludf.DUMMYFUNCTION("""COMPUTED_VALUE"""),"Removed")</f>
        <v>Removed</v>
      </c>
      <c r="E96" s="209">
        <f>IFERROR(__xludf.DUMMYFUNCTION("""COMPUTED_VALUE"""),45121.0)</f>
        <v>45121</v>
      </c>
      <c r="F96" s="198">
        <f>IFERROR(__xludf.DUMMYFUNCTION("""COMPUTED_VALUE"""),45672.0)</f>
        <v>45672</v>
      </c>
      <c r="G96" s="199">
        <f>IFERROR(__xludf.DUMMYFUNCTION("""COMPUTED_VALUE"""),18.03333333333333)</f>
        <v>18.03333333</v>
      </c>
      <c r="H96" s="210">
        <f>IFERROR(__xludf.DUMMYFUNCTION("""COMPUTED_VALUE"""),45121.0)</f>
        <v>45121</v>
      </c>
      <c r="I96" s="199">
        <f>IFERROR(__xludf.DUMMYFUNCTION("""COMPUTED_VALUE"""),0.0)</f>
        <v>0</v>
      </c>
      <c r="J96" s="200">
        <f>IFERROR(__xludf.DUMMYFUNCTION("""COMPUTED_VALUE"""),73.0)</f>
        <v>73</v>
      </c>
      <c r="K96" s="200">
        <f>IFERROR(__xludf.DUMMYFUNCTION("""COMPUTED_VALUE"""),6.0)</f>
        <v>6</v>
      </c>
      <c r="L96" s="201" t="str">
        <f>IFERROR(__xludf.DUMMYFUNCTION("""COMPUTED_VALUE"""),"Action")</f>
        <v>Action</v>
      </c>
    </row>
    <row r="97">
      <c r="A97" s="190" t="str">
        <f>IFERROR(__xludf.DUMMYFUNCTION("""COMPUTED_VALUE"""),"Common'hood")</f>
        <v>Common'hood</v>
      </c>
      <c r="B97" s="195" t="str">
        <f>IFERROR(__xludf.DUMMYFUNCTION("""COMPUTED_VALUE"""),"Xbox / PC")</f>
        <v>Xbox / PC</v>
      </c>
      <c r="C97" s="195" t="str">
        <f>IFERROR(__xludf.DUMMYFUNCTION("""COMPUTED_VALUE"""),"Yes")</f>
        <v>Yes</v>
      </c>
      <c r="D97" s="196" t="str">
        <f>IFERROR(__xludf.DUMMYFUNCTION("""COMPUTED_VALUE"""),"Removed")</f>
        <v>Removed</v>
      </c>
      <c r="E97" s="209">
        <f>IFERROR(__xludf.DUMMYFUNCTION("""COMPUTED_VALUE"""),45118.0)</f>
        <v>45118</v>
      </c>
      <c r="F97" s="198">
        <f>IFERROR(__xludf.DUMMYFUNCTION("""COMPUTED_VALUE"""),45672.0)</f>
        <v>45672</v>
      </c>
      <c r="G97" s="199">
        <f>IFERROR(__xludf.DUMMYFUNCTION("""COMPUTED_VALUE"""),18.133333333333333)</f>
        <v>18.13333333</v>
      </c>
      <c r="H97" s="210">
        <f>IFERROR(__xludf.DUMMYFUNCTION("""COMPUTED_VALUE"""),44875.0)</f>
        <v>44875</v>
      </c>
      <c r="I97" s="199">
        <f>IFERROR(__xludf.DUMMYFUNCTION("""COMPUTED_VALUE"""),0.6694444444444444)</f>
        <v>0.6694444444</v>
      </c>
      <c r="J97" s="200"/>
      <c r="K97" s="200">
        <f>IFERROR(__xludf.DUMMYFUNCTION("""COMPUTED_VALUE"""),23.0)</f>
        <v>23</v>
      </c>
      <c r="L97" s="201" t="str">
        <f>IFERROR(__xludf.DUMMYFUNCTION("""COMPUTED_VALUE"""),"Simulation")</f>
        <v>Simulation</v>
      </c>
    </row>
    <row r="98">
      <c r="A98" s="190" t="str">
        <f>IFERROR(__xludf.DUMMYFUNCTION("""COMPUTED_VALUE"""),"Insurgency: Sandstorm")</f>
        <v>Insurgency: Sandstorm</v>
      </c>
      <c r="B98" s="195" t="str">
        <f>IFERROR(__xludf.DUMMYFUNCTION("""COMPUTED_VALUE"""),"Xbox / PC")</f>
        <v>Xbox / PC</v>
      </c>
      <c r="C98" s="195" t="str">
        <f>IFERROR(__xludf.DUMMYFUNCTION("""COMPUTED_VALUE"""),"Yes")</f>
        <v>Yes</v>
      </c>
      <c r="D98" s="196" t="str">
        <f>IFERROR(__xludf.DUMMYFUNCTION("""COMPUTED_VALUE"""),"Removed")</f>
        <v>Removed</v>
      </c>
      <c r="E98" s="209">
        <f>IFERROR(__xludf.DUMMYFUNCTION("""COMPUTED_VALUE"""),44894.0)</f>
        <v>44894</v>
      </c>
      <c r="F98" s="198">
        <f>IFERROR(__xludf.DUMMYFUNCTION("""COMPUTED_VALUE"""),45672.0)</f>
        <v>45672</v>
      </c>
      <c r="G98" s="199">
        <f>IFERROR(__xludf.DUMMYFUNCTION("""COMPUTED_VALUE"""),25.53333333333333)</f>
        <v>25.53333333</v>
      </c>
      <c r="H98" s="210">
        <f>IFERROR(__xludf.DUMMYFUNCTION("""COMPUTED_VALUE"""),43361.0)</f>
        <v>43361</v>
      </c>
      <c r="I98" s="199">
        <f>IFERROR(__xludf.DUMMYFUNCTION("""COMPUTED_VALUE"""),4.197222222222222)</f>
        <v>4.197222222</v>
      </c>
      <c r="J98" s="200">
        <f>IFERROR(__xludf.DUMMYFUNCTION("""COMPUTED_VALUE"""),80.0)</f>
        <v>80</v>
      </c>
      <c r="K98" s="200">
        <f>IFERROR(__xludf.DUMMYFUNCTION("""COMPUTED_VALUE"""),33.0)</f>
        <v>33</v>
      </c>
      <c r="L98" s="201" t="str">
        <f>IFERROR(__xludf.DUMMYFUNCTION("""COMPUTED_VALUE"""),"Action / Shooter")</f>
        <v>Action / Shooter</v>
      </c>
    </row>
    <row r="99">
      <c r="A99" s="190" t="str">
        <f>IFERROR(__xludf.DUMMYFUNCTION("""COMPUTED_VALUE"""),"Escape Academy")</f>
        <v>Escape Academy</v>
      </c>
      <c r="B99" s="195" t="str">
        <f>IFERROR(__xludf.DUMMYFUNCTION("""COMPUTED_VALUE"""),"Xbox / PC")</f>
        <v>Xbox / PC</v>
      </c>
      <c r="C99" s="195" t="str">
        <f>IFERROR(__xludf.DUMMYFUNCTION("""COMPUTED_VALUE"""),"Touch Controls")</f>
        <v>Touch Controls</v>
      </c>
      <c r="D99" s="196" t="str">
        <f>IFERROR(__xludf.DUMMYFUNCTION("""COMPUTED_VALUE"""),"Removed")</f>
        <v>Removed</v>
      </c>
      <c r="E99" s="209">
        <f>IFERROR(__xludf.DUMMYFUNCTION("""COMPUTED_VALUE"""),44756.0)</f>
        <v>44756</v>
      </c>
      <c r="F99" s="198">
        <f>IFERROR(__xludf.DUMMYFUNCTION("""COMPUTED_VALUE"""),45672.0)</f>
        <v>45672</v>
      </c>
      <c r="G99" s="199">
        <f>IFERROR(__xludf.DUMMYFUNCTION("""COMPUTED_VALUE"""),30.03333333333333)</f>
        <v>30.03333333</v>
      </c>
      <c r="H99" s="210">
        <f>IFERROR(__xludf.DUMMYFUNCTION("""COMPUTED_VALUE"""),44756.0)</f>
        <v>44756</v>
      </c>
      <c r="I99" s="199">
        <f>IFERROR(__xludf.DUMMYFUNCTION("""COMPUTED_VALUE"""),0.0)</f>
        <v>0</v>
      </c>
      <c r="J99" s="200">
        <f>IFERROR(__xludf.DUMMYFUNCTION("""COMPUTED_VALUE"""),81.0)</f>
        <v>81</v>
      </c>
      <c r="K99" s="200">
        <f>IFERROR(__xludf.DUMMYFUNCTION("""COMPUTED_VALUE"""),4.5)</f>
        <v>4.5</v>
      </c>
      <c r="L99" s="201" t="str">
        <f>IFERROR(__xludf.DUMMYFUNCTION("""COMPUTED_VALUE"""),"Adventure / Puzzle")</f>
        <v>Adventure / Puzzle</v>
      </c>
    </row>
    <row r="100">
      <c r="A100" s="190" t="str">
        <f>IFERROR(__xludf.DUMMYFUNCTION("""COMPUTED_VALUE"""),"LEGO 2K Drive")</f>
        <v>LEGO 2K Drive</v>
      </c>
      <c r="B100" s="195" t="str">
        <f>IFERROR(__xludf.DUMMYFUNCTION("""COMPUTED_VALUE"""),"Xbox")</f>
        <v>Xbox</v>
      </c>
      <c r="C100" s="195" t="str">
        <f>IFERROR(__xludf.DUMMYFUNCTION("""COMPUTED_VALUE"""),"Yes")</f>
        <v>Yes</v>
      </c>
      <c r="D100" s="196" t="str">
        <f>IFERROR(__xludf.DUMMYFUNCTION("""COMPUTED_VALUE"""),"Removed")</f>
        <v>Removed</v>
      </c>
      <c r="E100" s="209">
        <f>IFERROR(__xludf.DUMMYFUNCTION("""COMPUTED_VALUE"""),45385.0)</f>
        <v>45385</v>
      </c>
      <c r="F100" s="198">
        <f>IFERROR(__xludf.DUMMYFUNCTION("""COMPUTED_VALUE"""),45657.0)</f>
        <v>45657</v>
      </c>
      <c r="G100" s="199">
        <f>IFERROR(__xludf.DUMMYFUNCTION("""COMPUTED_VALUE"""),8.9)</f>
        <v>8.9</v>
      </c>
      <c r="H100" s="210">
        <f>IFERROR(__xludf.DUMMYFUNCTION("""COMPUTED_VALUE"""),45062.0)</f>
        <v>45062</v>
      </c>
      <c r="I100" s="199">
        <f>IFERROR(__xludf.DUMMYFUNCTION("""COMPUTED_VALUE"""),0.8805555555555555)</f>
        <v>0.8805555556</v>
      </c>
      <c r="J100" s="200">
        <f>IFERROR(__xludf.DUMMYFUNCTION("""COMPUTED_VALUE"""),73.0)</f>
        <v>73</v>
      </c>
      <c r="K100" s="200">
        <f>IFERROR(__xludf.DUMMYFUNCTION("""COMPUTED_VALUE"""),7.0)</f>
        <v>7</v>
      </c>
      <c r="L100" s="201" t="str">
        <f>IFERROR(__xludf.DUMMYFUNCTION("""COMPUTED_VALUE"""),"Driving/Racing")</f>
        <v>Driving/Racing</v>
      </c>
    </row>
    <row r="101">
      <c r="A101" s="190" t="str">
        <f>IFERROR(__xludf.DUMMYFUNCTION("""COMPUTED_VALUE"""),"Close to the Sun")</f>
        <v>Close to the Sun</v>
      </c>
      <c r="B101" s="195" t="str">
        <f>IFERROR(__xludf.DUMMYFUNCTION("""COMPUTED_VALUE"""),"Xbox / PC")</f>
        <v>Xbox / PC</v>
      </c>
      <c r="C101" s="195" t="str">
        <f>IFERROR(__xludf.DUMMYFUNCTION("""COMPUTED_VALUE"""),"Yes")</f>
        <v>Yes</v>
      </c>
      <c r="D101" s="196" t="str">
        <f>IFERROR(__xludf.DUMMYFUNCTION("""COMPUTED_VALUE"""),"Removed")</f>
        <v>Removed</v>
      </c>
      <c r="E101" s="209">
        <f>IFERROR(__xludf.DUMMYFUNCTION("""COMPUTED_VALUE"""),45293.0)</f>
        <v>45293</v>
      </c>
      <c r="F101" s="198">
        <f>IFERROR(__xludf.DUMMYFUNCTION("""COMPUTED_VALUE"""),45657.0)</f>
        <v>45657</v>
      </c>
      <c r="G101" s="199">
        <f>IFERROR(__xludf.DUMMYFUNCTION("""COMPUTED_VALUE"""),11.933333333333334)</f>
        <v>11.93333333</v>
      </c>
      <c r="H101" s="210">
        <f>IFERROR(__xludf.DUMMYFUNCTION("""COMPUTED_VALUE"""),43767.0)</f>
        <v>43767</v>
      </c>
      <c r="I101" s="199">
        <f>IFERROR(__xludf.DUMMYFUNCTION("""COMPUTED_VALUE"""),4.175)</f>
        <v>4.175</v>
      </c>
      <c r="J101" s="200">
        <f>IFERROR(__xludf.DUMMYFUNCTION("""COMPUTED_VALUE"""),66.0)</f>
        <v>66</v>
      </c>
      <c r="K101" s="200">
        <f>IFERROR(__xludf.DUMMYFUNCTION("""COMPUTED_VALUE"""),4.0)</f>
        <v>4</v>
      </c>
      <c r="L101" s="201" t="str">
        <f>IFERROR(__xludf.DUMMYFUNCTION("""COMPUTED_VALUE"""),"Adventure")</f>
        <v>Adventure</v>
      </c>
    </row>
    <row r="102">
      <c r="A102" s="190" t="str">
        <f>IFERROR(__xludf.DUMMYFUNCTION("""COMPUTED_VALUE"""),"Party Animals")</f>
        <v>Party Animals</v>
      </c>
      <c r="B102" s="195" t="str">
        <f>IFERROR(__xludf.DUMMYFUNCTION("""COMPUTED_VALUE"""),"Xbox")</f>
        <v>Xbox</v>
      </c>
      <c r="C102" s="195" t="str">
        <f>IFERROR(__xludf.DUMMYFUNCTION("""COMPUTED_VALUE"""),"Yes")</f>
        <v>Yes</v>
      </c>
      <c r="D102" s="196" t="str">
        <f>IFERROR(__xludf.DUMMYFUNCTION("""COMPUTED_VALUE"""),"Removed")</f>
        <v>Removed</v>
      </c>
      <c r="E102" s="209">
        <f>IFERROR(__xludf.DUMMYFUNCTION("""COMPUTED_VALUE"""),45189.0)</f>
        <v>45189</v>
      </c>
      <c r="F102" s="198">
        <f>IFERROR(__xludf.DUMMYFUNCTION("""COMPUTED_VALUE"""),45657.0)</f>
        <v>45657</v>
      </c>
      <c r="G102" s="199">
        <f>IFERROR(__xludf.DUMMYFUNCTION("""COMPUTED_VALUE"""),15.333333333333332)</f>
        <v>15.33333333</v>
      </c>
      <c r="H102" s="210">
        <f>IFERROR(__xludf.DUMMYFUNCTION("""COMPUTED_VALUE"""),45189.0)</f>
        <v>45189</v>
      </c>
      <c r="I102" s="199">
        <f>IFERROR(__xludf.DUMMYFUNCTION("""COMPUTED_VALUE"""),0.0)</f>
        <v>0</v>
      </c>
      <c r="J102" s="200">
        <f>IFERROR(__xludf.DUMMYFUNCTION("""COMPUTED_VALUE"""),77.0)</f>
        <v>77</v>
      </c>
      <c r="K102" s="200">
        <f>IFERROR(__xludf.DUMMYFUNCTION("""COMPUTED_VALUE"""),1.0)</f>
        <v>1</v>
      </c>
      <c r="L102" s="201" t="str">
        <f>IFERROR(__xludf.DUMMYFUNCTION("""COMPUTED_VALUE"""),"Fighting / Minigame Collection")</f>
        <v>Fighting / Minigame Collection</v>
      </c>
    </row>
    <row r="103">
      <c r="A103" s="190" t="str">
        <f>IFERROR(__xludf.DUMMYFUNCTION("""COMPUTED_VALUE"""),"McPixel 3")</f>
        <v>McPixel 3</v>
      </c>
      <c r="B103" s="195" t="str">
        <f>IFERROR(__xludf.DUMMYFUNCTION("""COMPUTED_VALUE"""),"Xbox / PC")</f>
        <v>Xbox / PC</v>
      </c>
      <c r="C103" s="195" t="str">
        <f>IFERROR(__xludf.DUMMYFUNCTION("""COMPUTED_VALUE"""),"Yes")</f>
        <v>Yes</v>
      </c>
      <c r="D103" s="196" t="str">
        <f>IFERROR(__xludf.DUMMYFUNCTION("""COMPUTED_VALUE"""),"Removed")</f>
        <v>Removed</v>
      </c>
      <c r="E103" s="209">
        <f>IFERROR(__xludf.DUMMYFUNCTION("""COMPUTED_VALUE"""),45113.0)</f>
        <v>45113</v>
      </c>
      <c r="F103" s="198">
        <f>IFERROR(__xludf.DUMMYFUNCTION("""COMPUTED_VALUE"""),45657.0)</f>
        <v>45657</v>
      </c>
      <c r="G103" s="199">
        <f>IFERROR(__xludf.DUMMYFUNCTION("""COMPUTED_VALUE"""),17.8)</f>
        <v>17.8</v>
      </c>
      <c r="H103" s="210">
        <f>IFERROR(__xludf.DUMMYFUNCTION("""COMPUTED_VALUE"""),44879.0)</f>
        <v>44879</v>
      </c>
      <c r="I103" s="199">
        <f>IFERROR(__xludf.DUMMYFUNCTION("""COMPUTED_VALUE"""),0.6444444444444445)</f>
        <v>0.6444444444</v>
      </c>
      <c r="J103" s="200">
        <f>IFERROR(__xludf.DUMMYFUNCTION("""COMPUTED_VALUE"""),75.0)</f>
        <v>75</v>
      </c>
      <c r="K103" s="200">
        <f>IFERROR(__xludf.DUMMYFUNCTION("""COMPUTED_VALUE"""),5.0)</f>
        <v>5</v>
      </c>
      <c r="L103" s="201" t="str">
        <f>IFERROR(__xludf.DUMMYFUNCTION("""COMPUTED_VALUE"""),"Minigame Collection")</f>
        <v>Minigame Collection</v>
      </c>
    </row>
    <row r="104">
      <c r="A104" s="190" t="str">
        <f>IFERROR(__xludf.DUMMYFUNCTION("""COMPUTED_VALUE"""),"BlazBlue: Cross Tag Battle - Special Edition")</f>
        <v>BlazBlue: Cross Tag Battle - Special Edition</v>
      </c>
      <c r="B104" s="195" t="str">
        <f>IFERROR(__xludf.DUMMYFUNCTION("""COMPUTED_VALUE"""),"Xbox / PC")</f>
        <v>Xbox / PC</v>
      </c>
      <c r="C104" s="195" t="str">
        <f>IFERROR(__xludf.DUMMYFUNCTION("""COMPUTED_VALUE"""),"Yes")</f>
        <v>Yes</v>
      </c>
      <c r="D104" s="196" t="str">
        <f>IFERROR(__xludf.DUMMYFUNCTION("""COMPUTED_VALUE"""),"Removed")</f>
        <v>Removed</v>
      </c>
      <c r="E104" s="209">
        <f>IFERROR(__xludf.DUMMYFUNCTION("""COMPUTED_VALUE"""),45043.0)</f>
        <v>45043</v>
      </c>
      <c r="F104" s="198">
        <f>IFERROR(__xludf.DUMMYFUNCTION("""COMPUTED_VALUE"""),45657.0)</f>
        <v>45657</v>
      </c>
      <c r="G104" s="199">
        <f>IFERROR(__xludf.DUMMYFUNCTION("""COMPUTED_VALUE"""),20.1)</f>
        <v>20.1</v>
      </c>
      <c r="H104" s="210">
        <f>IFERROR(__xludf.DUMMYFUNCTION("""COMPUTED_VALUE"""),43251.0)</f>
        <v>43251</v>
      </c>
      <c r="I104" s="199">
        <f>IFERROR(__xludf.DUMMYFUNCTION("""COMPUTED_VALUE"""),4.908333333333333)</f>
        <v>4.908333333</v>
      </c>
      <c r="J104" s="200">
        <f>IFERROR(__xludf.DUMMYFUNCTION("""COMPUTED_VALUE"""),72.0)</f>
        <v>72</v>
      </c>
      <c r="K104" s="200">
        <f>IFERROR(__xludf.DUMMYFUNCTION("""COMPUTED_VALUE"""),4.0)</f>
        <v>4</v>
      </c>
      <c r="L104" s="201" t="str">
        <f>IFERROR(__xludf.DUMMYFUNCTION("""COMPUTED_VALUE"""),"Fighting")</f>
        <v>Fighting</v>
      </c>
    </row>
    <row r="105">
      <c r="A105" s="190" t="str">
        <f>IFERROR(__xludf.DUMMYFUNCTION("""COMPUTED_VALUE"""),"Humankind")</f>
        <v>Humankind</v>
      </c>
      <c r="B105" s="195" t="str">
        <f>IFERROR(__xludf.DUMMYFUNCTION("""COMPUTED_VALUE"""),"Xbox / PC")</f>
        <v>Xbox / PC</v>
      </c>
      <c r="C105" s="195" t="str">
        <f>IFERROR(__xludf.DUMMYFUNCTION("""COMPUTED_VALUE"""),"Yes")</f>
        <v>Yes</v>
      </c>
      <c r="D105" s="196" t="str">
        <f>IFERROR(__xludf.DUMMYFUNCTION("""COMPUTED_VALUE"""),"Removed")</f>
        <v>Removed</v>
      </c>
      <c r="E105" s="209">
        <f>IFERROR(__xludf.DUMMYFUNCTION("""COMPUTED_VALUE"""),44425.0)</f>
        <v>44425</v>
      </c>
      <c r="F105" s="198">
        <f>IFERROR(__xludf.DUMMYFUNCTION("""COMPUTED_VALUE"""),45657.0)</f>
        <v>45657</v>
      </c>
      <c r="G105" s="199">
        <f>IFERROR(__xludf.DUMMYFUNCTION("""COMPUTED_VALUE"""),40.43333333333334)</f>
        <v>40.43333333</v>
      </c>
      <c r="H105" s="209">
        <f>IFERROR(__xludf.DUMMYFUNCTION("""COMPUTED_VALUE"""),44425.0)</f>
        <v>44425</v>
      </c>
      <c r="I105" s="199">
        <f>IFERROR(__xludf.DUMMYFUNCTION("""COMPUTED_VALUE"""),0.0)</f>
        <v>0</v>
      </c>
      <c r="J105" s="200">
        <f>IFERROR(__xludf.DUMMYFUNCTION("""COMPUTED_VALUE"""),78.0)</f>
        <v>78</v>
      </c>
      <c r="K105" s="200">
        <f>IFERROR(__xludf.DUMMYFUNCTION("""COMPUTED_VALUE"""),14.5)</f>
        <v>14.5</v>
      </c>
      <c r="L105" s="201" t="str">
        <f>IFERROR(__xludf.DUMMYFUNCTION("""COMPUTED_VALUE"""),"Strategy")</f>
        <v>Strategy</v>
      </c>
    </row>
    <row r="106">
      <c r="A106" s="190" t="str">
        <f>IFERROR(__xludf.DUMMYFUNCTION("""COMPUTED_VALUE"""),"The Quarry")</f>
        <v>The Quarry</v>
      </c>
      <c r="B106" s="195" t="str">
        <f>IFERROR(__xludf.DUMMYFUNCTION("""COMPUTED_VALUE"""),"Xbox")</f>
        <v>Xbox</v>
      </c>
      <c r="C106" s="195"/>
      <c r="D106" s="196" t="str">
        <f>IFERROR(__xludf.DUMMYFUNCTION("""COMPUTED_VALUE"""),"Removed")</f>
        <v>Removed</v>
      </c>
      <c r="E106" s="209">
        <f>IFERROR(__xludf.DUMMYFUNCTION("""COMPUTED_VALUE"""),45371.0)</f>
        <v>45371</v>
      </c>
      <c r="F106" s="198">
        <f>IFERROR(__xludf.DUMMYFUNCTION("""COMPUTED_VALUE"""),45641.0)</f>
        <v>45641</v>
      </c>
      <c r="G106" s="199">
        <f>IFERROR(__xludf.DUMMYFUNCTION("""COMPUTED_VALUE"""),8.833333333333334)</f>
        <v>8.833333333</v>
      </c>
      <c r="H106" s="209">
        <f>IFERROR(__xludf.DUMMYFUNCTION("""COMPUTED_VALUE"""),44722.0)</f>
        <v>44722</v>
      </c>
      <c r="I106" s="199">
        <f>IFERROR(__xludf.DUMMYFUNCTION("""COMPUTED_VALUE"""),1.7777777777777777)</f>
        <v>1.777777778</v>
      </c>
      <c r="J106" s="200">
        <f>IFERROR(__xludf.DUMMYFUNCTION("""COMPUTED_VALUE"""),79.0)</f>
        <v>79</v>
      </c>
      <c r="K106" s="200">
        <f>IFERROR(__xludf.DUMMYFUNCTION("""COMPUTED_VALUE"""),9.0)</f>
        <v>9</v>
      </c>
      <c r="L106" s="201" t="str">
        <f>IFERROR(__xludf.DUMMYFUNCTION("""COMPUTED_VALUE"""),"Adventure")</f>
        <v>Adventure</v>
      </c>
    </row>
    <row r="107">
      <c r="A107" s="202" t="str">
        <f>IFERROR(__xludf.DUMMYFUNCTION("""COMPUTED_VALUE"""),"Tin Hearts")</f>
        <v>Tin Hearts</v>
      </c>
      <c r="B107" s="195" t="str">
        <f>IFERROR(__xludf.DUMMYFUNCTION("""COMPUTED_VALUE"""),"Xbox / PC")</f>
        <v>Xbox / PC</v>
      </c>
      <c r="C107" s="195" t="str">
        <f>IFERROR(__xludf.DUMMYFUNCTION("""COMPUTED_VALUE"""),"Yes")</f>
        <v>Yes</v>
      </c>
      <c r="D107" s="196" t="str">
        <f>IFERROR(__xludf.DUMMYFUNCTION("""COMPUTED_VALUE"""),"Removed")</f>
        <v>Removed</v>
      </c>
      <c r="E107" s="209">
        <f>IFERROR(__xludf.DUMMYFUNCTION("""COMPUTED_VALUE"""),45272.0)</f>
        <v>45272</v>
      </c>
      <c r="F107" s="198">
        <f>IFERROR(__xludf.DUMMYFUNCTION("""COMPUTED_VALUE"""),45641.0)</f>
        <v>45641</v>
      </c>
      <c r="G107" s="199">
        <f>IFERROR(__xludf.DUMMYFUNCTION("""COMPUTED_VALUE"""),12.1)</f>
        <v>12.1</v>
      </c>
      <c r="H107" s="210">
        <f>IFERROR(__xludf.DUMMYFUNCTION("""COMPUTED_VALUE"""),43412.0)</f>
        <v>43412</v>
      </c>
      <c r="I107" s="199">
        <f>IFERROR(__xludf.DUMMYFUNCTION("""COMPUTED_VALUE"""),5.094444444444444)</f>
        <v>5.094444444</v>
      </c>
      <c r="J107" s="200">
        <f>IFERROR(__xludf.DUMMYFUNCTION("""COMPUTED_VALUE"""),66.0)</f>
        <v>66</v>
      </c>
      <c r="K107" s="200">
        <f>IFERROR(__xludf.DUMMYFUNCTION("""COMPUTED_VALUE"""),31.0)</f>
        <v>31</v>
      </c>
      <c r="L107" s="201" t="str">
        <f>IFERROR(__xludf.DUMMYFUNCTION("""COMPUTED_VALUE"""),"Puzzle")</f>
        <v>Puzzle</v>
      </c>
    </row>
    <row r="108">
      <c r="A108" s="190" t="str">
        <f>IFERROR(__xludf.DUMMYFUNCTION("""COMPUTED_VALUE"""),"Amnesia: The Bunker")</f>
        <v>Amnesia: The Bunker</v>
      </c>
      <c r="B108" s="195" t="str">
        <f>IFERROR(__xludf.DUMMYFUNCTION("""COMPUTED_VALUE"""),"Xbox / PC")</f>
        <v>Xbox / PC</v>
      </c>
      <c r="C108" s="195" t="str">
        <f>IFERROR(__xludf.DUMMYFUNCTION("""COMPUTED_VALUE"""),"Yes")</f>
        <v>Yes</v>
      </c>
      <c r="D108" s="196" t="str">
        <f>IFERROR(__xludf.DUMMYFUNCTION("""COMPUTED_VALUE"""),"Removed")</f>
        <v>Removed</v>
      </c>
      <c r="E108" s="209">
        <f>IFERROR(__xludf.DUMMYFUNCTION("""COMPUTED_VALUE"""),45083.0)</f>
        <v>45083</v>
      </c>
      <c r="F108" s="198">
        <f>IFERROR(__xludf.DUMMYFUNCTION("""COMPUTED_VALUE"""),45641.0)</f>
        <v>45641</v>
      </c>
      <c r="G108" s="199">
        <f>IFERROR(__xludf.DUMMYFUNCTION("""COMPUTED_VALUE"""),18.299999999999997)</f>
        <v>18.3</v>
      </c>
      <c r="H108" s="210">
        <f>IFERROR(__xludf.DUMMYFUNCTION("""COMPUTED_VALUE"""),45083.0)</f>
        <v>45083</v>
      </c>
      <c r="I108" s="199">
        <f>IFERROR(__xludf.DUMMYFUNCTION("""COMPUTED_VALUE"""),0.0)</f>
        <v>0</v>
      </c>
      <c r="J108" s="200">
        <f>IFERROR(__xludf.DUMMYFUNCTION("""COMPUTED_VALUE"""),77.0)</f>
        <v>77</v>
      </c>
      <c r="K108" s="200">
        <f>IFERROR(__xludf.DUMMYFUNCTION("""COMPUTED_VALUE"""),5.0)</f>
        <v>5</v>
      </c>
      <c r="L108" s="201" t="str">
        <f>IFERROR(__xludf.DUMMYFUNCTION("""COMPUTED_VALUE"""),"Adventure")</f>
        <v>Adventure</v>
      </c>
    </row>
    <row r="109">
      <c r="A109" s="190" t="str">
        <f>IFERROR(__xludf.DUMMYFUNCTION("""COMPUTED_VALUE"""),"Rainbow Billy: The Curse of the Leviathan")</f>
        <v>Rainbow Billy: The Curse of the Leviathan</v>
      </c>
      <c r="B109" s="195" t="str">
        <f>IFERROR(__xludf.DUMMYFUNCTION("""COMPUTED_VALUE"""),"Xbox / PC")</f>
        <v>Xbox / PC</v>
      </c>
      <c r="C109" s="195" t="str">
        <f>IFERROR(__xludf.DUMMYFUNCTION("""COMPUTED_VALUE"""),"Yes")</f>
        <v>Yes</v>
      </c>
      <c r="D109" s="196" t="str">
        <f>IFERROR(__xludf.DUMMYFUNCTION("""COMPUTED_VALUE"""),"Removed")</f>
        <v>Removed</v>
      </c>
      <c r="E109" s="209">
        <f>IFERROR(__xludf.DUMMYFUNCTION("""COMPUTED_VALUE"""),44910.0)</f>
        <v>44910</v>
      </c>
      <c r="F109" s="198">
        <f>IFERROR(__xludf.DUMMYFUNCTION("""COMPUTED_VALUE"""),45641.0)</f>
        <v>45641</v>
      </c>
      <c r="G109" s="199">
        <f>IFERROR(__xludf.DUMMYFUNCTION("""COMPUTED_VALUE"""),24.0)</f>
        <v>24</v>
      </c>
      <c r="H109" s="210">
        <f>IFERROR(__xludf.DUMMYFUNCTION("""COMPUTED_VALUE"""),44474.0)</f>
        <v>44474</v>
      </c>
      <c r="I109" s="199">
        <f>IFERROR(__xludf.DUMMYFUNCTION("""COMPUTED_VALUE"""),1.1944444444444444)</f>
        <v>1.194444444</v>
      </c>
      <c r="J109" s="200">
        <f>IFERROR(__xludf.DUMMYFUNCTION("""COMPUTED_VALUE"""),86.0)</f>
        <v>86</v>
      </c>
      <c r="K109" s="200">
        <f>IFERROR(__xludf.DUMMYFUNCTION("""COMPUTED_VALUE"""),12.0)</f>
        <v>12</v>
      </c>
      <c r="L109" s="201" t="str">
        <f>IFERROR(__xludf.DUMMYFUNCTION("""COMPUTED_VALUE"""),"RPG / Action-Adventure")</f>
        <v>RPG / Action-Adventure</v>
      </c>
    </row>
    <row r="110">
      <c r="A110" s="190" t="str">
        <f>IFERROR(__xludf.DUMMYFUNCTION("""COMPUTED_VALUE"""),"Forager")</f>
        <v>Forager</v>
      </c>
      <c r="B110" s="195" t="str">
        <f>IFERROR(__xludf.DUMMYFUNCTION("""COMPUTED_VALUE"""),"Xbox / PC")</f>
        <v>Xbox / PC</v>
      </c>
      <c r="C110" s="195" t="str">
        <f>IFERROR(__xludf.DUMMYFUNCTION("""COMPUTED_VALUE"""),"Yes")</f>
        <v>Yes</v>
      </c>
      <c r="D110" s="196" t="str">
        <f>IFERROR(__xludf.DUMMYFUNCTION("""COMPUTED_VALUE"""),"Removed")</f>
        <v>Removed</v>
      </c>
      <c r="E110" s="209">
        <f>IFERROR(__xludf.DUMMYFUNCTION("""COMPUTED_VALUE"""),44028.0)</f>
        <v>44028</v>
      </c>
      <c r="F110" s="198">
        <f>IFERROR(__xludf.DUMMYFUNCTION("""COMPUTED_VALUE"""),45641.0)</f>
        <v>45641</v>
      </c>
      <c r="G110" s="199">
        <f>IFERROR(__xludf.DUMMYFUNCTION("""COMPUTED_VALUE"""),52.96666666666667)</f>
        <v>52.96666667</v>
      </c>
      <c r="H110" s="210">
        <f>IFERROR(__xludf.DUMMYFUNCTION("""COMPUTED_VALUE"""),43573.0)</f>
        <v>43573</v>
      </c>
      <c r="I110" s="199">
        <f>IFERROR(__xludf.DUMMYFUNCTION("""COMPUTED_VALUE"""),1.2444444444444445)</f>
        <v>1.244444444</v>
      </c>
      <c r="J110" s="200">
        <f>IFERROR(__xludf.DUMMYFUNCTION("""COMPUTED_VALUE"""),78.0)</f>
        <v>78</v>
      </c>
      <c r="K110" s="200">
        <f>IFERROR(__xludf.DUMMYFUNCTION("""COMPUTED_VALUE"""),13.5)</f>
        <v>13.5</v>
      </c>
      <c r="L110" s="201" t="str">
        <f>IFERROR(__xludf.DUMMYFUNCTION("""COMPUTED_VALUE"""),"Adventure")</f>
        <v>Adventure</v>
      </c>
    </row>
    <row r="111">
      <c r="A111" s="190" t="str">
        <f>IFERROR(__xludf.DUMMYFUNCTION("""COMPUTED_VALUE"""),"Forza Horizon 4")</f>
        <v>Forza Horizon 4</v>
      </c>
      <c r="B111" s="195" t="str">
        <f>IFERROR(__xludf.DUMMYFUNCTION("""COMPUTED_VALUE"""),"Xbox / PC")</f>
        <v>Xbox / PC</v>
      </c>
      <c r="C111" s="195" t="str">
        <f>IFERROR(__xludf.DUMMYFUNCTION("""COMPUTED_VALUE"""),"Yes")</f>
        <v>Yes</v>
      </c>
      <c r="D111" s="196" t="str">
        <f>IFERROR(__xludf.DUMMYFUNCTION("""COMPUTED_VALUE"""),"Removed")</f>
        <v>Removed</v>
      </c>
      <c r="E111" s="209">
        <f>IFERROR(__xludf.DUMMYFUNCTION("""COMPUTED_VALUE"""),43375.0)</f>
        <v>43375</v>
      </c>
      <c r="F111" s="198">
        <f>IFERROR(__xludf.DUMMYFUNCTION("""COMPUTED_VALUE"""),45641.0)</f>
        <v>45641</v>
      </c>
      <c r="G111" s="199">
        <f>IFERROR(__xludf.DUMMYFUNCTION("""COMPUTED_VALUE"""),74.43333333333334)</f>
        <v>74.43333333</v>
      </c>
      <c r="H111" s="210">
        <f>IFERROR(__xludf.DUMMYFUNCTION("""COMPUTED_VALUE"""),43371.0)</f>
        <v>43371</v>
      </c>
      <c r="I111" s="199">
        <f>IFERROR(__xludf.DUMMYFUNCTION("""COMPUTED_VALUE"""),0.011111111111111112)</f>
        <v>0.01111111111</v>
      </c>
      <c r="J111" s="200">
        <f>IFERROR(__xludf.DUMMYFUNCTION("""COMPUTED_VALUE"""),92.0)</f>
        <v>92</v>
      </c>
      <c r="K111" s="200">
        <f>IFERROR(__xludf.DUMMYFUNCTION("""COMPUTED_VALUE"""),11.0)</f>
        <v>11</v>
      </c>
      <c r="L111" s="201" t="str">
        <f>IFERROR(__xludf.DUMMYFUNCTION("""COMPUTED_VALUE"""),"Driving/Racing")</f>
        <v>Driving/Racing</v>
      </c>
    </row>
    <row r="112">
      <c r="A112" s="190" t="str">
        <f>IFERROR(__xludf.DUMMYFUNCTION("""COMPUTED_VALUE"""),"While the Iron's Hot")</f>
        <v>While the Iron's Hot</v>
      </c>
      <c r="B112" s="195" t="str">
        <f>IFERROR(__xludf.DUMMYFUNCTION("""COMPUTED_VALUE"""),"Xbox / PC")</f>
        <v>Xbox / PC</v>
      </c>
      <c r="C112" s="195" t="str">
        <f>IFERROR(__xludf.DUMMYFUNCTION("""COMPUTED_VALUE"""),"Yes")</f>
        <v>Yes</v>
      </c>
      <c r="D112" s="196" t="str">
        <f>IFERROR(__xludf.DUMMYFUNCTION("""COMPUTED_VALUE"""),"Removed")</f>
        <v>Removed</v>
      </c>
      <c r="E112" s="209">
        <f>IFERROR(__xludf.DUMMYFUNCTION("""COMPUTED_VALUE"""),45265.0)</f>
        <v>45265</v>
      </c>
      <c r="F112" s="198">
        <f>IFERROR(__xludf.DUMMYFUNCTION("""COMPUTED_VALUE"""),45626.0)</f>
        <v>45626</v>
      </c>
      <c r="G112" s="199">
        <f>IFERROR(__xludf.DUMMYFUNCTION("""COMPUTED_VALUE"""),11.833333333333334)</f>
        <v>11.83333333</v>
      </c>
      <c r="H112" s="210">
        <f>IFERROR(__xludf.DUMMYFUNCTION("""COMPUTED_VALUE"""),45265.0)</f>
        <v>45265</v>
      </c>
      <c r="I112" s="199">
        <f>IFERROR(__xludf.DUMMYFUNCTION("""COMPUTED_VALUE"""),0.0)</f>
        <v>0</v>
      </c>
      <c r="J112" s="200">
        <f>IFERROR(__xludf.DUMMYFUNCTION("""COMPUTED_VALUE"""),63.0)</f>
        <v>63</v>
      </c>
      <c r="K112" s="200">
        <f>IFERROR(__xludf.DUMMYFUNCTION("""COMPUTED_VALUE"""),17.0)</f>
        <v>17</v>
      </c>
      <c r="L112" s="201" t="str">
        <f>IFERROR(__xludf.DUMMYFUNCTION("""COMPUTED_VALUE"""),"Adventure / Puzzle")</f>
        <v>Adventure / Puzzle</v>
      </c>
    </row>
    <row r="113">
      <c r="A113" s="190" t="str">
        <f>IFERROR(__xludf.DUMMYFUNCTION("""COMPUTED_VALUE"""),"Spirit of the North: Enhanced Edition")</f>
        <v>Spirit of the North: Enhanced Edition</v>
      </c>
      <c r="B113" s="195" t="str">
        <f>IFERROR(__xludf.DUMMYFUNCTION("""COMPUTED_VALUE"""),"Xbox / PC")</f>
        <v>Xbox / PC</v>
      </c>
      <c r="C113" s="195" t="str">
        <f>IFERROR(__xludf.DUMMYFUNCTION("""COMPUTED_VALUE"""),"Yes")</f>
        <v>Yes</v>
      </c>
      <c r="D113" s="196" t="str">
        <f>IFERROR(__xludf.DUMMYFUNCTION("""COMPUTED_VALUE"""),"Removed")</f>
        <v>Removed</v>
      </c>
      <c r="E113" s="209">
        <f>IFERROR(__xludf.DUMMYFUNCTION("""COMPUTED_VALUE"""),45261.0)</f>
        <v>45261</v>
      </c>
      <c r="F113" s="198">
        <f>IFERROR(__xludf.DUMMYFUNCTION("""COMPUTED_VALUE"""),45626.0)</f>
        <v>45626</v>
      </c>
      <c r="G113" s="199">
        <f>IFERROR(__xludf.DUMMYFUNCTION("""COMPUTED_VALUE"""),11.966666666666667)</f>
        <v>11.96666667</v>
      </c>
      <c r="H113" s="210">
        <f>IFERROR(__xludf.DUMMYFUNCTION("""COMPUTED_VALUE"""),43770.0)</f>
        <v>43770</v>
      </c>
      <c r="I113" s="199">
        <f>IFERROR(__xludf.DUMMYFUNCTION("""COMPUTED_VALUE"""),4.083333333333333)</f>
        <v>4.083333333</v>
      </c>
      <c r="J113" s="200">
        <f>IFERROR(__xludf.DUMMYFUNCTION("""COMPUTED_VALUE"""),64.0)</f>
        <v>64</v>
      </c>
      <c r="K113" s="200">
        <f>IFERROR(__xludf.DUMMYFUNCTION("""COMPUTED_VALUE"""),5.0)</f>
        <v>5</v>
      </c>
      <c r="L113" s="201" t="str">
        <f>IFERROR(__xludf.DUMMYFUNCTION("""COMPUTED_VALUE"""),"Platformer / Action-Adventure")</f>
        <v>Platformer / Action-Adventure</v>
      </c>
    </row>
    <row r="114">
      <c r="A114" s="190" t="str">
        <f>IFERROR(__xludf.DUMMYFUNCTION("""COMPUTED_VALUE"""),"Remnant: From the Ashes")</f>
        <v>Remnant: From the Ashes</v>
      </c>
      <c r="B114" s="195" t="str">
        <f>IFERROR(__xludf.DUMMYFUNCTION("""COMPUTED_VALUE"""),"Xbox / PC")</f>
        <v>Xbox / PC</v>
      </c>
      <c r="C114" s="195" t="str">
        <f>IFERROR(__xludf.DUMMYFUNCTION("""COMPUTED_VALUE"""),"Yes")</f>
        <v>Yes</v>
      </c>
      <c r="D114" s="196" t="str">
        <f>IFERROR(__xludf.DUMMYFUNCTION("""COMPUTED_VALUE"""),"Removed")</f>
        <v>Removed</v>
      </c>
      <c r="E114" s="209">
        <f>IFERROR(__xludf.DUMMYFUNCTION("""COMPUTED_VALUE"""),45259.0)</f>
        <v>45259</v>
      </c>
      <c r="F114" s="198">
        <f>IFERROR(__xludf.DUMMYFUNCTION("""COMPUTED_VALUE"""),45626.0)</f>
        <v>45626</v>
      </c>
      <c r="G114" s="199">
        <f>IFERROR(__xludf.DUMMYFUNCTION("""COMPUTED_VALUE"""),12.033333333333333)</f>
        <v>12.03333333</v>
      </c>
      <c r="H114" s="210">
        <f>IFERROR(__xludf.DUMMYFUNCTION("""COMPUTED_VALUE"""),43697.0)</f>
        <v>43697</v>
      </c>
      <c r="I114" s="199">
        <f>IFERROR(__xludf.DUMMYFUNCTION("""COMPUTED_VALUE"""),4.275)</f>
        <v>4.275</v>
      </c>
      <c r="J114" s="200">
        <f>IFERROR(__xludf.DUMMYFUNCTION("""COMPUTED_VALUE"""),81.0)</f>
        <v>81</v>
      </c>
      <c r="K114" s="200">
        <f>IFERROR(__xludf.DUMMYFUNCTION("""COMPUTED_VALUE"""),13.5)</f>
        <v>13.5</v>
      </c>
      <c r="L114" s="201" t="str">
        <f>IFERROR(__xludf.DUMMYFUNCTION("""COMPUTED_VALUE"""),"Action / RPG / Shooter")</f>
        <v>Action / RPG / Shooter</v>
      </c>
    </row>
    <row r="115">
      <c r="A115" s="190" t="str">
        <f>IFERROR(__xludf.DUMMYFUNCTION("""COMPUTED_VALUE"""),"Rollerdrome")</f>
        <v>Rollerdrome</v>
      </c>
      <c r="B115" s="195" t="str">
        <f>IFERROR(__xludf.DUMMYFUNCTION("""COMPUTED_VALUE"""),"Xbox / PC")</f>
        <v>Xbox / PC</v>
      </c>
      <c r="C115" s="195" t="str">
        <f>IFERROR(__xludf.DUMMYFUNCTION("""COMPUTED_VALUE"""),"Yes")</f>
        <v>Yes</v>
      </c>
      <c r="D115" s="196" t="str">
        <f>IFERROR(__xludf.DUMMYFUNCTION("""COMPUTED_VALUE"""),"Removed")</f>
        <v>Removed</v>
      </c>
      <c r="E115" s="209">
        <f>IFERROR(__xludf.DUMMYFUNCTION("""COMPUTED_VALUE"""),45258.0)</f>
        <v>45258</v>
      </c>
      <c r="F115" s="198">
        <f>IFERROR(__xludf.DUMMYFUNCTION("""COMPUTED_VALUE"""),45626.0)</f>
        <v>45626</v>
      </c>
      <c r="G115" s="199">
        <f>IFERROR(__xludf.DUMMYFUNCTION("""COMPUTED_VALUE"""),12.066666666666666)</f>
        <v>12.06666667</v>
      </c>
      <c r="H115" s="210">
        <f>IFERROR(__xludf.DUMMYFUNCTION("""COMPUTED_VALUE"""),44789.0)</f>
        <v>44789</v>
      </c>
      <c r="I115" s="199">
        <f>IFERROR(__xludf.DUMMYFUNCTION("""COMPUTED_VALUE"""),1.2833333333333334)</f>
        <v>1.283333333</v>
      </c>
      <c r="J115" s="200">
        <f>IFERROR(__xludf.DUMMYFUNCTION("""COMPUTED_VALUE"""),79.0)</f>
        <v>79</v>
      </c>
      <c r="K115" s="200">
        <f>IFERROR(__xludf.DUMMYFUNCTION("""COMPUTED_VALUE"""),5.0)</f>
        <v>5</v>
      </c>
      <c r="L115" s="265" t="str">
        <f>IFERROR(__xludf.DUMMYFUNCTION("""COMPUTED_VALUE"""),"Action")</f>
        <v>Action</v>
      </c>
    </row>
    <row r="116">
      <c r="A116" s="190" t="str">
        <f>IFERROR(__xludf.DUMMYFUNCTION("""COMPUTED_VALUE"""),"Hello Neighbor 2")</f>
        <v>Hello Neighbor 2</v>
      </c>
      <c r="B116" s="195" t="str">
        <f>IFERROR(__xludf.DUMMYFUNCTION("""COMPUTED_VALUE"""),"Xbox / PC")</f>
        <v>Xbox / PC</v>
      </c>
      <c r="C116" s="195" t="str">
        <f>IFERROR(__xludf.DUMMYFUNCTION("""COMPUTED_VALUE"""),"Yes")</f>
        <v>Yes</v>
      </c>
      <c r="D116" s="196" t="str">
        <f>IFERROR(__xludf.DUMMYFUNCTION("""COMPUTED_VALUE"""),"Removed")</f>
        <v>Removed</v>
      </c>
      <c r="E116" s="209">
        <f>IFERROR(__xludf.DUMMYFUNCTION("""COMPUTED_VALUE"""),44901.0)</f>
        <v>44901</v>
      </c>
      <c r="F116" s="198">
        <f>IFERROR(__xludf.DUMMYFUNCTION("""COMPUTED_VALUE"""),45626.0)</f>
        <v>45626</v>
      </c>
      <c r="G116" s="199">
        <f>IFERROR(__xludf.DUMMYFUNCTION("""COMPUTED_VALUE"""),23.8)</f>
        <v>23.8</v>
      </c>
      <c r="H116" s="210">
        <f>IFERROR(__xludf.DUMMYFUNCTION("""COMPUTED_VALUE"""),44901.0)</f>
        <v>44901</v>
      </c>
      <c r="I116" s="199">
        <f>IFERROR(__xludf.DUMMYFUNCTION("""COMPUTED_VALUE"""),0.0)</f>
        <v>0</v>
      </c>
      <c r="J116" s="200">
        <f>IFERROR(__xludf.DUMMYFUNCTION("""COMPUTED_VALUE"""),56.0)</f>
        <v>56</v>
      </c>
      <c r="K116" s="200">
        <f>IFERROR(__xludf.DUMMYFUNCTION("""COMPUTED_VALUE"""),5.0)</f>
        <v>5</v>
      </c>
      <c r="L116" s="201" t="str">
        <f>IFERROR(__xludf.DUMMYFUNCTION("""COMPUTED_VALUE"""),"Strategy / Puzzle")</f>
        <v>Strategy / Puzzle</v>
      </c>
    </row>
    <row r="117">
      <c r="A117" s="190" t="str">
        <f>IFERROR(__xludf.DUMMYFUNCTION("""COMPUTED_VALUE"""),"Soccer Story")</f>
        <v>Soccer Story</v>
      </c>
      <c r="B117" s="195" t="str">
        <f>IFERROR(__xludf.DUMMYFUNCTION("""COMPUTED_VALUE"""),"Xbox / PC")</f>
        <v>Xbox / PC</v>
      </c>
      <c r="C117" s="195" t="str">
        <f>IFERROR(__xludf.DUMMYFUNCTION("""COMPUTED_VALUE"""),"Yes")</f>
        <v>Yes</v>
      </c>
      <c r="D117" s="196" t="str">
        <f>IFERROR(__xludf.DUMMYFUNCTION("""COMPUTED_VALUE"""),"Removed")</f>
        <v>Removed</v>
      </c>
      <c r="E117" s="209">
        <f>IFERROR(__xludf.DUMMYFUNCTION("""COMPUTED_VALUE"""),44894.0)</f>
        <v>44894</v>
      </c>
      <c r="F117" s="198">
        <f>IFERROR(__xludf.DUMMYFUNCTION("""COMPUTED_VALUE"""),45626.0)</f>
        <v>45626</v>
      </c>
      <c r="G117" s="199">
        <f>IFERROR(__xludf.DUMMYFUNCTION("""COMPUTED_VALUE"""),24.03333333333333)</f>
        <v>24.03333333</v>
      </c>
      <c r="H117" s="210">
        <f>IFERROR(__xludf.DUMMYFUNCTION("""COMPUTED_VALUE"""),44894.0)</f>
        <v>44894</v>
      </c>
      <c r="I117" s="199">
        <f>IFERROR(__xludf.DUMMYFUNCTION("""COMPUTED_VALUE"""),0.0)</f>
        <v>0</v>
      </c>
      <c r="J117" s="200">
        <f>IFERROR(__xludf.DUMMYFUNCTION("""COMPUTED_VALUE"""),71.0)</f>
        <v>71</v>
      </c>
      <c r="K117" s="200">
        <f>IFERROR(__xludf.DUMMYFUNCTION("""COMPUTED_VALUE"""),10.0)</f>
        <v>10</v>
      </c>
      <c r="L117" s="201" t="str">
        <f>IFERROR(__xludf.DUMMYFUNCTION("""COMPUTED_VALUE"""),"RPG / Soccer")</f>
        <v>RPG / Soccer</v>
      </c>
    </row>
    <row r="118">
      <c r="A118" s="190" t="str">
        <f>IFERROR(__xludf.DUMMYFUNCTION("""COMPUTED_VALUE"""),"Conan Exiles")</f>
        <v>Conan Exiles</v>
      </c>
      <c r="B118" s="195" t="str">
        <f>IFERROR(__xludf.DUMMYFUNCTION("""COMPUTED_VALUE"""),"Xbox / PC")</f>
        <v>Xbox / PC</v>
      </c>
      <c r="C118" s="195" t="str">
        <f>IFERROR(__xludf.DUMMYFUNCTION("""COMPUTED_VALUE"""),"Yes")</f>
        <v>Yes</v>
      </c>
      <c r="D118" s="196" t="str">
        <f>IFERROR(__xludf.DUMMYFUNCTION("""COMPUTED_VALUE"""),"Removed")</f>
        <v>Removed</v>
      </c>
      <c r="E118" s="209">
        <f>IFERROR(__xludf.DUMMYFUNCTION("""COMPUTED_VALUE"""),44341.0)</f>
        <v>44341</v>
      </c>
      <c r="F118" s="198">
        <f>IFERROR(__xludf.DUMMYFUNCTION("""COMPUTED_VALUE"""),45626.0)</f>
        <v>45626</v>
      </c>
      <c r="G118" s="199">
        <f>IFERROR(__xludf.DUMMYFUNCTION("""COMPUTED_VALUE"""),42.166666666666664)</f>
        <v>42.16666667</v>
      </c>
      <c r="H118" s="210">
        <f>IFERROR(__xludf.DUMMYFUNCTION("""COMPUTED_VALUE"""),43238.0)</f>
        <v>43238</v>
      </c>
      <c r="I118" s="199">
        <f>IFERROR(__xludf.DUMMYFUNCTION("""COMPUTED_VALUE"""),3.0194444444444444)</f>
        <v>3.019444444</v>
      </c>
      <c r="J118" s="200">
        <f>IFERROR(__xludf.DUMMYFUNCTION("""COMPUTED_VALUE"""),64.0)</f>
        <v>64</v>
      </c>
      <c r="K118" s="200">
        <f>IFERROR(__xludf.DUMMYFUNCTION("""COMPUTED_VALUE"""),33.0)</f>
        <v>33</v>
      </c>
      <c r="L118" s="201" t="str">
        <f>IFERROR(__xludf.DUMMYFUNCTION("""COMPUTED_VALUE"""),"Action / RPG")</f>
        <v>Action / RPG</v>
      </c>
    </row>
    <row r="119">
      <c r="A119" s="190" t="str">
        <f>IFERROR(__xludf.DUMMYFUNCTION("""COMPUTED_VALUE"""),"Persona 5: Tactica")</f>
        <v>Persona 5: Tactica</v>
      </c>
      <c r="B119" s="195" t="str">
        <f>IFERROR(__xludf.DUMMYFUNCTION("""COMPUTED_VALUE"""),"Xbox / PC")</f>
        <v>Xbox / PC</v>
      </c>
      <c r="C119" s="195" t="str">
        <f>IFERROR(__xludf.DUMMYFUNCTION("""COMPUTED_VALUE"""),"Yes")</f>
        <v>Yes</v>
      </c>
      <c r="D119" s="196" t="str">
        <f>IFERROR(__xludf.DUMMYFUNCTION("""COMPUTED_VALUE"""),"Removed")</f>
        <v>Removed</v>
      </c>
      <c r="E119" s="209">
        <f>IFERROR(__xludf.DUMMYFUNCTION("""COMPUTED_VALUE"""),45247.0)</f>
        <v>45247</v>
      </c>
      <c r="F119" s="198">
        <f>IFERROR(__xludf.DUMMYFUNCTION("""COMPUTED_VALUE"""),45611.0)</f>
        <v>45611</v>
      </c>
      <c r="G119" s="199">
        <f>IFERROR(__xludf.DUMMYFUNCTION("""COMPUTED_VALUE"""),11.933333333333334)</f>
        <v>11.93333333</v>
      </c>
      <c r="H119" s="210">
        <f>IFERROR(__xludf.DUMMYFUNCTION("""COMPUTED_VALUE"""),45247.0)</f>
        <v>45247</v>
      </c>
      <c r="I119" s="199">
        <f>IFERROR(__xludf.DUMMYFUNCTION("""COMPUTED_VALUE"""),0.0)</f>
        <v>0</v>
      </c>
      <c r="J119" s="200">
        <f>IFERROR(__xludf.DUMMYFUNCTION("""COMPUTED_VALUE"""),75.0)</f>
        <v>75</v>
      </c>
      <c r="K119" s="200">
        <f>IFERROR(__xludf.DUMMYFUNCTION("""COMPUTED_VALUE"""),23.0)</f>
        <v>23</v>
      </c>
      <c r="L119" s="201" t="str">
        <f>IFERROR(__xludf.DUMMYFUNCTION("""COMPUTED_VALUE"""),"Strategy / RPG")</f>
        <v>Strategy / RPG</v>
      </c>
    </row>
    <row r="120">
      <c r="A120" s="190" t="str">
        <f>IFERROR(__xludf.DUMMYFUNCTION("""COMPUTED_VALUE"""),"Dungeons 4")</f>
        <v>Dungeons 4</v>
      </c>
      <c r="B120" s="195" t="str">
        <f>IFERROR(__xludf.DUMMYFUNCTION("""COMPUTED_VALUE"""),"Xbox / PC")</f>
        <v>Xbox / PC</v>
      </c>
      <c r="C120" s="195" t="str">
        <f>IFERROR(__xludf.DUMMYFUNCTION("""COMPUTED_VALUE"""),"Yes")</f>
        <v>Yes</v>
      </c>
      <c r="D120" s="196" t="str">
        <f>IFERROR(__xludf.DUMMYFUNCTION("""COMPUTED_VALUE"""),"Removed")</f>
        <v>Removed</v>
      </c>
      <c r="E120" s="209">
        <f>IFERROR(__xludf.DUMMYFUNCTION("""COMPUTED_VALUE"""),45239.0)</f>
        <v>45239</v>
      </c>
      <c r="F120" s="198">
        <f>IFERROR(__xludf.DUMMYFUNCTION("""COMPUTED_VALUE"""),45611.0)</f>
        <v>45611</v>
      </c>
      <c r="G120" s="199">
        <f>IFERROR(__xludf.DUMMYFUNCTION("""COMPUTED_VALUE"""),12.2)</f>
        <v>12.2</v>
      </c>
      <c r="H120" s="210">
        <f>IFERROR(__xludf.DUMMYFUNCTION("""COMPUTED_VALUE"""),45239.0)</f>
        <v>45239</v>
      </c>
      <c r="I120" s="199">
        <f>IFERROR(__xludf.DUMMYFUNCTION("""COMPUTED_VALUE"""),0.0)</f>
        <v>0</v>
      </c>
      <c r="J120" s="200">
        <f>IFERROR(__xludf.DUMMYFUNCTION("""COMPUTED_VALUE"""),76.0)</f>
        <v>76</v>
      </c>
      <c r="K120" s="200">
        <f>IFERROR(__xludf.DUMMYFUNCTION("""COMPUTED_VALUE"""),27.0)</f>
        <v>27</v>
      </c>
      <c r="L120" s="201" t="str">
        <f>IFERROR(__xludf.DUMMYFUNCTION("""COMPUTED_VALUE"""),"Strategy / Simulation")</f>
        <v>Strategy / Simulation</v>
      </c>
    </row>
    <row r="121">
      <c r="A121" s="190" t="str">
        <f>IFERROR(__xludf.DUMMYFUNCTION("""COMPUTED_VALUE"""),"Like a Dragon Gaiden: The Man Who Erased His Name")</f>
        <v>Like a Dragon Gaiden: The Man Who Erased His Name</v>
      </c>
      <c r="B121" s="195" t="str">
        <f>IFERROR(__xludf.DUMMYFUNCTION("""COMPUTED_VALUE"""),"Xbox / PC")</f>
        <v>Xbox / PC</v>
      </c>
      <c r="C121" s="195" t="str">
        <f>IFERROR(__xludf.DUMMYFUNCTION("""COMPUTED_VALUE"""),"Yes")</f>
        <v>Yes</v>
      </c>
      <c r="D121" s="196" t="str">
        <f>IFERROR(__xludf.DUMMYFUNCTION("""COMPUTED_VALUE"""),"Removed")</f>
        <v>Removed</v>
      </c>
      <c r="E121" s="209">
        <f>IFERROR(__xludf.DUMMYFUNCTION("""COMPUTED_VALUE"""),45239.0)</f>
        <v>45239</v>
      </c>
      <c r="F121" s="198">
        <f>IFERROR(__xludf.DUMMYFUNCTION("""COMPUTED_VALUE"""),45611.0)</f>
        <v>45611</v>
      </c>
      <c r="G121" s="199">
        <f>IFERROR(__xludf.DUMMYFUNCTION("""COMPUTED_VALUE"""),12.2)</f>
        <v>12.2</v>
      </c>
      <c r="H121" s="210">
        <f>IFERROR(__xludf.DUMMYFUNCTION("""COMPUTED_VALUE"""),45239.0)</f>
        <v>45239</v>
      </c>
      <c r="I121" s="199">
        <f>IFERROR(__xludf.DUMMYFUNCTION("""COMPUTED_VALUE"""),0.0)</f>
        <v>0</v>
      </c>
      <c r="J121" s="200">
        <f>IFERROR(__xludf.DUMMYFUNCTION("""COMPUTED_VALUE"""),79.0)</f>
        <v>79</v>
      </c>
      <c r="K121" s="200">
        <f>IFERROR(__xludf.DUMMYFUNCTION("""COMPUTED_VALUE"""),11.0)</f>
        <v>11</v>
      </c>
      <c r="L121" s="201" t="str">
        <f>IFERROR(__xludf.DUMMYFUNCTION("""COMPUTED_VALUE"""),"Action-Adventure")</f>
        <v>Action-Adventure</v>
      </c>
    </row>
    <row r="122">
      <c r="A122" s="190" t="str">
        <f>IFERROR(__xludf.DUMMYFUNCTION("""COMPUTED_VALUE"""),"Like a Dragon: Ishin!")</f>
        <v>Like a Dragon: Ishin!</v>
      </c>
      <c r="B122" s="195" t="str">
        <f>IFERROR(__xludf.DUMMYFUNCTION("""COMPUTED_VALUE"""),"Xbox / PC")</f>
        <v>Xbox / PC</v>
      </c>
      <c r="C122" s="195" t="str">
        <f>IFERROR(__xludf.DUMMYFUNCTION("""COMPUTED_VALUE"""),"Yes")</f>
        <v>Yes</v>
      </c>
      <c r="D122" s="196" t="str">
        <f>IFERROR(__xludf.DUMMYFUNCTION("""COMPUTED_VALUE"""),"Removed")</f>
        <v>Removed</v>
      </c>
      <c r="E122" s="209">
        <f>IFERROR(__xludf.DUMMYFUNCTION("""COMPUTED_VALUE"""),45216.0)</f>
        <v>45216</v>
      </c>
      <c r="F122" s="198">
        <f>IFERROR(__xludf.DUMMYFUNCTION("""COMPUTED_VALUE"""),45611.0)</f>
        <v>45611</v>
      </c>
      <c r="G122" s="199">
        <f>IFERROR(__xludf.DUMMYFUNCTION("""COMPUTED_VALUE"""),12.933333333333334)</f>
        <v>12.93333333</v>
      </c>
      <c r="H122" s="210">
        <f>IFERROR(__xludf.DUMMYFUNCTION("""COMPUTED_VALUE"""),44978.0)</f>
        <v>44978</v>
      </c>
      <c r="I122" s="199">
        <f>IFERROR(__xludf.DUMMYFUNCTION("""COMPUTED_VALUE"""),0.6555555555555556)</f>
        <v>0.6555555556</v>
      </c>
      <c r="J122" s="200">
        <f>IFERROR(__xludf.DUMMYFUNCTION("""COMPUTED_VALUE"""),81.0)</f>
        <v>81</v>
      </c>
      <c r="K122" s="200">
        <f>IFERROR(__xludf.DUMMYFUNCTION("""COMPUTED_VALUE"""),24.0)</f>
        <v>24</v>
      </c>
      <c r="L122" s="201" t="str">
        <f>IFERROR(__xludf.DUMMYFUNCTION("""COMPUTED_VALUE"""),"Brawler / Action-Adventure")</f>
        <v>Brawler / Action-Adventure</v>
      </c>
    </row>
    <row r="123">
      <c r="A123" s="190" t="str">
        <f>IFERROR(__xludf.DUMMYFUNCTION("""COMPUTED_VALUE"""),"Goat Simulator")</f>
        <v>Goat Simulator</v>
      </c>
      <c r="B123" s="195" t="str">
        <f>IFERROR(__xludf.DUMMYFUNCTION("""COMPUTED_VALUE"""),"Xbox / PC")</f>
        <v>Xbox / PC</v>
      </c>
      <c r="C123" s="195" t="str">
        <f>IFERROR(__xludf.DUMMYFUNCTION("""COMPUTED_VALUE"""),"Yes")</f>
        <v>Yes</v>
      </c>
      <c r="D123" s="196" t="str">
        <f>IFERROR(__xludf.DUMMYFUNCTION("""COMPUTED_VALUE"""),"Removed")</f>
        <v>Removed</v>
      </c>
      <c r="E123" s="209">
        <f>IFERROR(__xludf.DUMMYFUNCTION("""COMPUTED_VALUE"""),45020.0)</f>
        <v>45020</v>
      </c>
      <c r="F123" s="198">
        <f>IFERROR(__xludf.DUMMYFUNCTION("""COMPUTED_VALUE"""),45611.0)</f>
        <v>45611</v>
      </c>
      <c r="G123" s="199">
        <f>IFERROR(__xludf.DUMMYFUNCTION("""COMPUTED_VALUE"""),19.366666666666667)</f>
        <v>19.36666667</v>
      </c>
      <c r="H123" s="210">
        <f>IFERROR(__xludf.DUMMYFUNCTION("""COMPUTED_VALUE"""),41730.0)</f>
        <v>41730</v>
      </c>
      <c r="I123" s="199">
        <f>IFERROR(__xludf.DUMMYFUNCTION("""COMPUTED_VALUE"""),9.008333333333333)</f>
        <v>9.008333333</v>
      </c>
      <c r="J123" s="200">
        <f>IFERROR(__xludf.DUMMYFUNCTION("""COMPUTED_VALUE"""),58.0)</f>
        <v>58</v>
      </c>
      <c r="K123" s="200">
        <f>IFERROR(__xludf.DUMMYFUNCTION("""COMPUTED_VALUE"""),2.0)</f>
        <v>2</v>
      </c>
      <c r="L123" s="201" t="str">
        <f>IFERROR(__xludf.DUMMYFUNCTION("""COMPUTED_VALUE"""),"Simulation")</f>
        <v>Simulation</v>
      </c>
    </row>
    <row r="124">
      <c r="A124" s="190" t="str">
        <f>IFERROR(__xludf.DUMMYFUNCTION("""COMPUTED_VALUE"""),"Somerville")</f>
        <v>Somerville</v>
      </c>
      <c r="B124" s="195" t="str">
        <f>IFERROR(__xludf.DUMMYFUNCTION("""COMPUTED_VALUE"""),"Xbox / PC")</f>
        <v>Xbox / PC</v>
      </c>
      <c r="C124" s="195"/>
      <c r="D124" s="196" t="str">
        <f>IFERROR(__xludf.DUMMYFUNCTION("""COMPUTED_VALUE"""),"Removed")</f>
        <v>Removed</v>
      </c>
      <c r="E124" s="209">
        <f>IFERROR(__xludf.DUMMYFUNCTION("""COMPUTED_VALUE"""),44880.0)</f>
        <v>44880</v>
      </c>
      <c r="F124" s="198">
        <f>IFERROR(__xludf.DUMMYFUNCTION("""COMPUTED_VALUE"""),45611.0)</f>
        <v>45611</v>
      </c>
      <c r="G124" s="199">
        <f>IFERROR(__xludf.DUMMYFUNCTION("""COMPUTED_VALUE"""),24.0)</f>
        <v>24</v>
      </c>
      <c r="H124" s="210">
        <f>IFERROR(__xludf.DUMMYFUNCTION("""COMPUTED_VALUE"""),44880.0)</f>
        <v>44880</v>
      </c>
      <c r="I124" s="199">
        <f>IFERROR(__xludf.DUMMYFUNCTION("""COMPUTED_VALUE"""),0.0)</f>
        <v>0</v>
      </c>
      <c r="J124" s="200">
        <f>IFERROR(__xludf.DUMMYFUNCTION("""COMPUTED_VALUE"""),82.0)</f>
        <v>82</v>
      </c>
      <c r="K124" s="200">
        <f>IFERROR(__xludf.DUMMYFUNCTION("""COMPUTED_VALUE"""),3.0)</f>
        <v>3</v>
      </c>
      <c r="L124" s="201" t="str">
        <f>IFERROR(__xludf.DUMMYFUNCTION("""COMPUTED_VALUE"""),"Adventure")</f>
        <v>Adventure</v>
      </c>
    </row>
    <row r="125">
      <c r="A125" s="190" t="str">
        <f>IFERROR(__xludf.DUMMYFUNCTION("""COMPUTED_VALUE"""),"Dicey Dungeons")</f>
        <v>Dicey Dungeons</v>
      </c>
      <c r="B125" s="195" t="str">
        <f>IFERROR(__xludf.DUMMYFUNCTION("""COMPUTED_VALUE"""),"Xbox / PC")</f>
        <v>Xbox / PC</v>
      </c>
      <c r="C125" s="195" t="str">
        <f>IFERROR(__xludf.DUMMYFUNCTION("""COMPUTED_VALUE"""),"Touch Controls")</f>
        <v>Touch Controls</v>
      </c>
      <c r="D125" s="196" t="str">
        <f>IFERROR(__xludf.DUMMYFUNCTION("""COMPUTED_VALUE"""),"Removed")</f>
        <v>Removed</v>
      </c>
      <c r="E125" s="209">
        <f>IFERROR(__xludf.DUMMYFUNCTION("""COMPUTED_VALUE"""),44511.0)</f>
        <v>44511</v>
      </c>
      <c r="F125" s="198">
        <f>IFERROR(__xludf.DUMMYFUNCTION("""COMPUTED_VALUE"""),45611.0)</f>
        <v>45611</v>
      </c>
      <c r="G125" s="199">
        <f>IFERROR(__xludf.DUMMYFUNCTION("""COMPUTED_VALUE"""),36.13333333333333)</f>
        <v>36.13333333</v>
      </c>
      <c r="H125" s="210">
        <f>IFERROR(__xludf.DUMMYFUNCTION("""COMPUTED_VALUE"""),43690.0)</f>
        <v>43690</v>
      </c>
      <c r="I125" s="199">
        <f>IFERROR(__xludf.DUMMYFUNCTION("""COMPUTED_VALUE"""),2.2444444444444445)</f>
        <v>2.244444444</v>
      </c>
      <c r="J125" s="200">
        <f>IFERROR(__xludf.DUMMYFUNCTION("""COMPUTED_VALUE"""),80.0)</f>
        <v>80</v>
      </c>
      <c r="K125" s="200">
        <f>IFERROR(__xludf.DUMMYFUNCTION("""COMPUTED_VALUE"""),25.5)</f>
        <v>25.5</v>
      </c>
      <c r="L125" s="201" t="str">
        <f>IFERROR(__xludf.DUMMYFUNCTION("""COMPUTED_VALUE"""),"RPG")</f>
        <v>RPG</v>
      </c>
    </row>
    <row r="126">
      <c r="A126" s="190" t="str">
        <f>IFERROR(__xludf.DUMMYFUNCTION("""COMPUTED_VALUE"""),"Headbangers: Rhythm Royale")</f>
        <v>Headbangers: Rhythm Royale</v>
      </c>
      <c r="B126" s="195" t="str">
        <f>IFERROR(__xludf.DUMMYFUNCTION("""COMPUTED_VALUE"""),"Xbox / PC")</f>
        <v>Xbox / PC</v>
      </c>
      <c r="C126" s="195" t="str">
        <f>IFERROR(__xludf.DUMMYFUNCTION("""COMPUTED_VALUE"""),"Yes")</f>
        <v>Yes</v>
      </c>
      <c r="D126" s="196" t="str">
        <f>IFERROR(__xludf.DUMMYFUNCTION("""COMPUTED_VALUE"""),"Removed")</f>
        <v>Removed</v>
      </c>
      <c r="E126" s="209">
        <f>IFERROR(__xludf.DUMMYFUNCTION("""COMPUTED_VALUE"""),45230.0)</f>
        <v>45230</v>
      </c>
      <c r="F126" s="198">
        <f>IFERROR(__xludf.DUMMYFUNCTION("""COMPUTED_VALUE"""),45596.0)</f>
        <v>45596</v>
      </c>
      <c r="G126" s="199">
        <f>IFERROR(__xludf.DUMMYFUNCTION("""COMPUTED_VALUE"""),12.0)</f>
        <v>12</v>
      </c>
      <c r="H126" s="210">
        <f>IFERROR(__xludf.DUMMYFUNCTION("""COMPUTED_VALUE"""),45230.0)</f>
        <v>45230</v>
      </c>
      <c r="I126" s="199">
        <f>IFERROR(__xludf.DUMMYFUNCTION("""COMPUTED_VALUE"""),0.0)</f>
        <v>0</v>
      </c>
      <c r="J126" s="200">
        <f>IFERROR(__xludf.DUMMYFUNCTION("""COMPUTED_VALUE"""),74.0)</f>
        <v>74</v>
      </c>
      <c r="K126" s="200">
        <f>IFERROR(__xludf.DUMMYFUNCTION("""COMPUTED_VALUE"""),4.0)</f>
        <v>4</v>
      </c>
      <c r="L126" s="201" t="str">
        <f>IFERROR(__xludf.DUMMYFUNCTION("""COMPUTED_VALUE"""),"Minigame Collection / Music/Rhythm")</f>
        <v>Minigame Collection / Music/Rhythm</v>
      </c>
    </row>
    <row r="127">
      <c r="A127" s="190" t="str">
        <f>IFERROR(__xludf.DUMMYFUNCTION("""COMPUTED_VALUE"""),"Mineko's Night Market")</f>
        <v>Mineko's Night Market</v>
      </c>
      <c r="B127" s="195" t="str">
        <f>IFERROR(__xludf.DUMMYFUNCTION("""COMPUTED_VALUE"""),"Xbox / PC")</f>
        <v>Xbox / PC</v>
      </c>
      <c r="C127" s="195" t="str">
        <f>IFERROR(__xludf.DUMMYFUNCTION("""COMPUTED_VALUE"""),"Yes")</f>
        <v>Yes</v>
      </c>
      <c r="D127" s="196" t="str">
        <f>IFERROR(__xludf.DUMMYFUNCTION("""COMPUTED_VALUE"""),"Removed")</f>
        <v>Removed</v>
      </c>
      <c r="E127" s="209">
        <f>IFERROR(__xludf.DUMMYFUNCTION("""COMPUTED_VALUE"""),45225.0)</f>
        <v>45225</v>
      </c>
      <c r="F127" s="198">
        <f>IFERROR(__xludf.DUMMYFUNCTION("""COMPUTED_VALUE"""),45596.0)</f>
        <v>45596</v>
      </c>
      <c r="G127" s="199">
        <f>IFERROR(__xludf.DUMMYFUNCTION("""COMPUTED_VALUE"""),12.133333333333333)</f>
        <v>12.13333333</v>
      </c>
      <c r="H127" s="210">
        <f>IFERROR(__xludf.DUMMYFUNCTION("""COMPUTED_VALUE"""),45195.0)</f>
        <v>45195</v>
      </c>
      <c r="I127" s="199">
        <f>IFERROR(__xludf.DUMMYFUNCTION("""COMPUTED_VALUE"""),0.08333333333333333)</f>
        <v>0.08333333333</v>
      </c>
      <c r="J127" s="200">
        <f>IFERROR(__xludf.DUMMYFUNCTION("""COMPUTED_VALUE"""),66.0)</f>
        <v>66</v>
      </c>
      <c r="K127" s="200">
        <f>IFERROR(__xludf.DUMMYFUNCTION("""COMPUTED_VALUE"""),18.0)</f>
        <v>18</v>
      </c>
      <c r="L127" s="201" t="str">
        <f>IFERROR(__xludf.DUMMYFUNCTION("""COMPUTED_VALUE"""),"Adventure")</f>
        <v>Adventure</v>
      </c>
    </row>
    <row r="128">
      <c r="A128" s="190" t="str">
        <f>IFERROR(__xludf.DUMMYFUNCTION("""COMPUTED_VALUE"""),"Inkulinati (Game Preview)")</f>
        <v>Inkulinati (Game Preview)</v>
      </c>
      <c r="B128" s="195" t="str">
        <f>IFERROR(__xludf.DUMMYFUNCTION("""COMPUTED_VALUE"""),"Xbox / PC")</f>
        <v>Xbox / PC</v>
      </c>
      <c r="C128" s="195" t="str">
        <f>IFERROR(__xludf.DUMMYFUNCTION("""COMPUTED_VALUE"""),"M+KB")</f>
        <v>M+KB</v>
      </c>
      <c r="D128" s="196" t="str">
        <f>IFERROR(__xludf.DUMMYFUNCTION("""COMPUTED_VALUE"""),"Removed")</f>
        <v>Removed</v>
      </c>
      <c r="E128" s="209">
        <f>IFERROR(__xludf.DUMMYFUNCTION("""COMPUTED_VALUE"""),44957.0)</f>
        <v>44957</v>
      </c>
      <c r="F128" s="198">
        <f>IFERROR(__xludf.DUMMYFUNCTION("""COMPUTED_VALUE"""),45596.0)</f>
        <v>45596</v>
      </c>
      <c r="G128" s="199">
        <f>IFERROR(__xludf.DUMMYFUNCTION("""COMPUTED_VALUE"""),21.0)</f>
        <v>21</v>
      </c>
      <c r="H128" s="210">
        <f>IFERROR(__xludf.DUMMYFUNCTION("""COMPUTED_VALUE"""),44957.0)</f>
        <v>44957</v>
      </c>
      <c r="I128" s="199">
        <f>IFERROR(__xludf.DUMMYFUNCTION("""COMPUTED_VALUE"""),0.0)</f>
        <v>0</v>
      </c>
      <c r="J128" s="200"/>
      <c r="K128" s="200"/>
      <c r="L128" s="201" t="str">
        <f>IFERROR(__xludf.DUMMYFUNCTION("""COMPUTED_VALUE"""),"Strategy")</f>
        <v>Strategy</v>
      </c>
    </row>
    <row r="129">
      <c r="A129" s="190" t="str">
        <f>IFERROR(__xludf.DUMMYFUNCTION("""COMPUTED_VALUE"""),"Frog Detective: The Entire Mystery")</f>
        <v>Frog Detective: The Entire Mystery</v>
      </c>
      <c r="B129" s="195" t="str">
        <f>IFERROR(__xludf.DUMMYFUNCTION("""COMPUTED_VALUE"""),"Xbox / PC")</f>
        <v>Xbox / PC</v>
      </c>
      <c r="C129" s="195" t="str">
        <f>IFERROR(__xludf.DUMMYFUNCTION("""COMPUTED_VALUE"""),"Yes")</f>
        <v>Yes</v>
      </c>
      <c r="D129" s="196" t="str">
        <f>IFERROR(__xludf.DUMMYFUNCTION("""COMPUTED_VALUE"""),"Removed")</f>
        <v>Removed</v>
      </c>
      <c r="E129" s="209">
        <f>IFERROR(__xludf.DUMMYFUNCTION("""COMPUTED_VALUE"""),44861.0)</f>
        <v>44861</v>
      </c>
      <c r="F129" s="198">
        <f>IFERROR(__xludf.DUMMYFUNCTION("""COMPUTED_VALUE"""),45596.0)</f>
        <v>45596</v>
      </c>
      <c r="G129" s="199">
        <f>IFERROR(__xludf.DUMMYFUNCTION("""COMPUTED_VALUE"""),24.1)</f>
        <v>24.1</v>
      </c>
      <c r="H129" s="210">
        <f>IFERROR(__xludf.DUMMYFUNCTION("""COMPUTED_VALUE"""),44861.0)</f>
        <v>44861</v>
      </c>
      <c r="I129" s="199">
        <f>IFERROR(__xludf.DUMMYFUNCTION("""COMPUTED_VALUE"""),0.0)</f>
        <v>0</v>
      </c>
      <c r="J129" s="200">
        <f>IFERROR(__xludf.DUMMYFUNCTION("""COMPUTED_VALUE"""),77.0)</f>
        <v>77</v>
      </c>
      <c r="K129" s="200">
        <f>IFERROR(__xludf.DUMMYFUNCTION("""COMPUTED_VALUE"""),4.0)</f>
        <v>4</v>
      </c>
      <c r="L129" s="201" t="str">
        <f>IFERROR(__xludf.DUMMYFUNCTION("""COMPUTED_VALUE"""),"Adventure / Compilation")</f>
        <v>Adventure / Compilation</v>
      </c>
    </row>
    <row r="130">
      <c r="A130" s="190" t="str">
        <f>IFERROR(__xludf.DUMMYFUNCTION("""COMPUTED_VALUE"""),"Lonely Mountains: Downhill")</f>
        <v>Lonely Mountains: Downhill</v>
      </c>
      <c r="B130" s="195" t="str">
        <f>IFERROR(__xludf.DUMMYFUNCTION("""COMPUTED_VALUE"""),"Xbox / PC")</f>
        <v>Xbox / PC</v>
      </c>
      <c r="C130" s="195" t="str">
        <f>IFERROR(__xludf.DUMMYFUNCTION("""COMPUTED_VALUE"""),"Yes")</f>
        <v>Yes</v>
      </c>
      <c r="D130" s="196" t="str">
        <f>IFERROR(__xludf.DUMMYFUNCTION("""COMPUTED_VALUE"""),"Removed")</f>
        <v>Removed</v>
      </c>
      <c r="E130" s="209">
        <f>IFERROR(__xludf.DUMMYFUNCTION("""COMPUTED_VALUE"""),43761.0)</f>
        <v>43761</v>
      </c>
      <c r="F130" s="198">
        <f>IFERROR(__xludf.DUMMYFUNCTION("""COMPUTED_VALUE"""),45596.0)</f>
        <v>45596</v>
      </c>
      <c r="G130" s="199">
        <f>IFERROR(__xludf.DUMMYFUNCTION("""COMPUTED_VALUE"""),60.233333333333334)</f>
        <v>60.23333333</v>
      </c>
      <c r="H130" s="210">
        <f>IFERROR(__xludf.DUMMYFUNCTION("""COMPUTED_VALUE"""),43761.0)</f>
        <v>43761</v>
      </c>
      <c r="I130" s="199">
        <f>IFERROR(__xludf.DUMMYFUNCTION("""COMPUTED_VALUE"""),0.0)</f>
        <v>0</v>
      </c>
      <c r="J130" s="200">
        <f>IFERROR(__xludf.DUMMYFUNCTION("""COMPUTED_VALUE"""),79.0)</f>
        <v>79</v>
      </c>
      <c r="K130" s="200">
        <f>IFERROR(__xludf.DUMMYFUNCTION("""COMPUTED_VALUE"""),5.5)</f>
        <v>5.5</v>
      </c>
      <c r="L130" s="201" t="str">
        <f>IFERROR(__xludf.DUMMYFUNCTION("""COMPUTED_VALUE"""),"Sports / Driving/Racing")</f>
        <v>Sports / Driving/Racing</v>
      </c>
    </row>
    <row r="131">
      <c r="A131" s="190" t="str">
        <f>IFERROR(__xludf.DUMMYFUNCTION("""COMPUTED_VALUE"""),"F1 Manager 2023")</f>
        <v>F1 Manager 2023</v>
      </c>
      <c r="B131" s="195" t="str">
        <f>IFERROR(__xludf.DUMMYFUNCTION("""COMPUTED_VALUE"""),"Xbox / PC")</f>
        <v>Xbox / PC</v>
      </c>
      <c r="C131" s="195" t="str">
        <f>IFERROR(__xludf.DUMMYFUNCTION("""COMPUTED_VALUE"""),"Yes")</f>
        <v>Yes</v>
      </c>
      <c r="D131" s="196" t="str">
        <f>IFERROR(__xludf.DUMMYFUNCTION("""COMPUTED_VALUE"""),"Removed")</f>
        <v>Removed</v>
      </c>
      <c r="E131" s="209">
        <f>IFERROR(__xludf.DUMMYFUNCTION("""COMPUTED_VALUE"""),45218.0)</f>
        <v>45218</v>
      </c>
      <c r="F131" s="198">
        <f>IFERROR(__xludf.DUMMYFUNCTION("""COMPUTED_VALUE"""),45580.0)</f>
        <v>45580</v>
      </c>
      <c r="G131" s="199">
        <f>IFERROR(__xludf.DUMMYFUNCTION("""COMPUTED_VALUE"""),11.866666666666667)</f>
        <v>11.86666667</v>
      </c>
      <c r="H131" s="210">
        <f>IFERROR(__xludf.DUMMYFUNCTION("""COMPUTED_VALUE"""),45138.0)</f>
        <v>45138</v>
      </c>
      <c r="I131" s="199">
        <f>IFERROR(__xludf.DUMMYFUNCTION("""COMPUTED_VALUE"""),0.21944444444444444)</f>
        <v>0.2194444444</v>
      </c>
      <c r="J131" s="200">
        <f>IFERROR(__xludf.DUMMYFUNCTION("""COMPUTED_VALUE"""),79.0)</f>
        <v>79</v>
      </c>
      <c r="K131" s="200">
        <f>IFERROR(__xludf.DUMMYFUNCTION("""COMPUTED_VALUE"""),16.0)</f>
        <v>16</v>
      </c>
      <c r="L131" s="201" t="str">
        <f>IFERROR(__xludf.DUMMYFUNCTION("""COMPUTED_VALUE"""),"Driving/Racing / Simulation")</f>
        <v>Driving/Racing / Simulation</v>
      </c>
    </row>
    <row r="132">
      <c r="A132" s="190" t="str">
        <f>IFERROR(__xludf.DUMMYFUNCTION("""COMPUTED_VALUE"""),"From Space")</f>
        <v>From Space</v>
      </c>
      <c r="B132" s="195" t="str">
        <f>IFERROR(__xludf.DUMMYFUNCTION("""COMPUTED_VALUE"""),"Xbox / PC")</f>
        <v>Xbox / PC</v>
      </c>
      <c r="C132" s="195" t="str">
        <f>IFERROR(__xludf.DUMMYFUNCTION("""COMPUTED_VALUE"""),"Yes")</f>
        <v>Yes</v>
      </c>
      <c r="D132" s="196" t="str">
        <f>IFERROR(__xludf.DUMMYFUNCTION("""COMPUTED_VALUE"""),"Removed")</f>
        <v>Removed</v>
      </c>
      <c r="E132" s="209">
        <f>IFERROR(__xludf.DUMMYFUNCTION("""COMPUTED_VALUE"""),45211.0)</f>
        <v>45211</v>
      </c>
      <c r="F132" s="198">
        <f>IFERROR(__xludf.DUMMYFUNCTION("""COMPUTED_VALUE"""),45580.0)</f>
        <v>45580</v>
      </c>
      <c r="G132" s="199">
        <f>IFERROR(__xludf.DUMMYFUNCTION("""COMPUTED_VALUE"""),12.1)</f>
        <v>12.1</v>
      </c>
      <c r="H132" s="210">
        <f>IFERROR(__xludf.DUMMYFUNCTION("""COMPUTED_VALUE"""),45211.0)</f>
        <v>45211</v>
      </c>
      <c r="I132" s="199">
        <f>IFERROR(__xludf.DUMMYFUNCTION("""COMPUTED_VALUE"""),0.0)</f>
        <v>0</v>
      </c>
      <c r="J132" s="200">
        <f>IFERROR(__xludf.DUMMYFUNCTION("""COMPUTED_VALUE"""),60.0)</f>
        <v>60</v>
      </c>
      <c r="K132" s="200">
        <f>IFERROR(__xludf.DUMMYFUNCTION("""COMPUTED_VALUE"""),13.0)</f>
        <v>13</v>
      </c>
      <c r="L132" s="201" t="str">
        <f>IFERROR(__xludf.DUMMYFUNCTION("""COMPUTED_VALUE"""),"Action / Shooter")</f>
        <v>Action / Shooter</v>
      </c>
    </row>
    <row r="133">
      <c r="A133" s="190" t="str">
        <f>IFERROR(__xludf.DUMMYFUNCTION("""COMPUTED_VALUE"""),"Scorn")</f>
        <v>Scorn</v>
      </c>
      <c r="B133" s="195" t="str">
        <f>IFERROR(__xludf.DUMMYFUNCTION("""COMPUTED_VALUE"""),"Xbox / PC")</f>
        <v>Xbox / PC</v>
      </c>
      <c r="C133" s="195" t="str">
        <f>IFERROR(__xludf.DUMMYFUNCTION("""COMPUTED_VALUE"""),"Touch Controls")</f>
        <v>Touch Controls</v>
      </c>
      <c r="D133" s="196" t="str">
        <f>IFERROR(__xludf.DUMMYFUNCTION("""COMPUTED_VALUE"""),"Removed")</f>
        <v>Removed</v>
      </c>
      <c r="E133" s="209">
        <f>IFERROR(__xludf.DUMMYFUNCTION("""COMPUTED_VALUE"""),44848.0)</f>
        <v>44848</v>
      </c>
      <c r="F133" s="198">
        <f>IFERROR(__xludf.DUMMYFUNCTION("""COMPUTED_VALUE"""),45580.0)</f>
        <v>45580</v>
      </c>
      <c r="G133" s="199">
        <f>IFERROR(__xludf.DUMMYFUNCTION("""COMPUTED_VALUE"""),24.03333333333333)</f>
        <v>24.03333333</v>
      </c>
      <c r="H133" s="210">
        <f>IFERROR(__xludf.DUMMYFUNCTION("""COMPUTED_VALUE"""),44848.0)</f>
        <v>44848</v>
      </c>
      <c r="I133" s="199">
        <f>IFERROR(__xludf.DUMMYFUNCTION("""COMPUTED_VALUE"""),0.0)</f>
        <v>0</v>
      </c>
      <c r="J133" s="200">
        <f>IFERROR(__xludf.DUMMYFUNCTION("""COMPUTED_VALUE"""),71.0)</f>
        <v>71</v>
      </c>
      <c r="K133" s="200">
        <f>IFERROR(__xludf.DUMMYFUNCTION("""COMPUTED_VALUE"""),6.0)</f>
        <v>6</v>
      </c>
      <c r="L133" s="201" t="str">
        <f>IFERROR(__xludf.DUMMYFUNCTION("""COMPUTED_VALUE"""),"Adventure")</f>
        <v>Adventure</v>
      </c>
    </row>
    <row r="134">
      <c r="A134" s="190" t="str">
        <f>IFERROR(__xludf.DUMMYFUNCTION("""COMPUTED_VALUE"""),"Dyson Sphere Program (Game Preview)")</f>
        <v>Dyson Sphere Program (Game Preview)</v>
      </c>
      <c r="B134" s="195" t="str">
        <f>IFERROR(__xludf.DUMMYFUNCTION("""COMPUTED_VALUE"""),"PC")</f>
        <v>PC</v>
      </c>
      <c r="C134" s="195"/>
      <c r="D134" s="196" t="str">
        <f>IFERROR(__xludf.DUMMYFUNCTION("""COMPUTED_VALUE"""),"Removed")</f>
        <v>Removed</v>
      </c>
      <c r="E134" s="209">
        <f>IFERROR(__xludf.DUMMYFUNCTION("""COMPUTED_VALUE"""),44847.0)</f>
        <v>44847</v>
      </c>
      <c r="F134" s="198">
        <f>IFERROR(__xludf.DUMMYFUNCTION("""COMPUTED_VALUE"""),45580.0)</f>
        <v>45580</v>
      </c>
      <c r="G134" s="199">
        <f>IFERROR(__xludf.DUMMYFUNCTION("""COMPUTED_VALUE"""),24.066666666666666)</f>
        <v>24.06666667</v>
      </c>
      <c r="H134" s="210">
        <f>IFERROR(__xludf.DUMMYFUNCTION("""COMPUTED_VALUE"""),44217.0)</f>
        <v>44217</v>
      </c>
      <c r="I134" s="199">
        <f>IFERROR(__xludf.DUMMYFUNCTION("""COMPUTED_VALUE"""),1.7277777777777779)</f>
        <v>1.727777778</v>
      </c>
      <c r="J134" s="200"/>
      <c r="K134" s="200">
        <f>IFERROR(__xludf.DUMMYFUNCTION("""COMPUTED_VALUE"""),65.0)</f>
        <v>65</v>
      </c>
      <c r="L134" s="201" t="str">
        <f>IFERROR(__xludf.DUMMYFUNCTION("""COMPUTED_VALUE"""),"Strategy / Simulation")</f>
        <v>Strategy / Simulation</v>
      </c>
    </row>
    <row r="135">
      <c r="A135" s="190" t="str">
        <f>IFERROR(__xludf.DUMMYFUNCTION("""COMPUTED_VALUE"""),"Everspace 2")</f>
        <v>Everspace 2</v>
      </c>
      <c r="B135" s="195" t="str">
        <f>IFERROR(__xludf.DUMMYFUNCTION("""COMPUTED_VALUE"""),"Xbox / PC")</f>
        <v>Xbox / PC</v>
      </c>
      <c r="C135" s="195" t="str">
        <f>IFERROR(__xludf.DUMMYFUNCTION("""COMPUTED_VALUE"""),"Yes")</f>
        <v>Yes</v>
      </c>
      <c r="D135" s="196" t="str">
        <f>IFERROR(__xludf.DUMMYFUNCTION("""COMPUTED_VALUE"""),"Removed")</f>
        <v>Removed</v>
      </c>
      <c r="E135" s="197">
        <f>IFERROR(__xludf.DUMMYFUNCTION("""COMPUTED_VALUE"""),44490.0)</f>
        <v>44490</v>
      </c>
      <c r="F135" s="198">
        <f>IFERROR(__xludf.DUMMYFUNCTION("""COMPUTED_VALUE"""),45580.0)</f>
        <v>45580</v>
      </c>
      <c r="G135" s="199">
        <f>IFERROR(__xludf.DUMMYFUNCTION("""COMPUTED_VALUE"""),35.8)</f>
        <v>35.8</v>
      </c>
      <c r="H135" s="197">
        <f>IFERROR(__xludf.DUMMYFUNCTION("""COMPUTED_VALUE"""),44214.0)</f>
        <v>44214</v>
      </c>
      <c r="I135" s="199">
        <f>IFERROR(__xludf.DUMMYFUNCTION("""COMPUTED_VALUE"""),0.7583333333333333)</f>
        <v>0.7583333333</v>
      </c>
      <c r="J135" s="200">
        <f>IFERROR(__xludf.DUMMYFUNCTION("""COMPUTED_VALUE"""),75.5)</f>
        <v>75.5</v>
      </c>
      <c r="K135" s="200">
        <f>IFERROR(__xludf.DUMMYFUNCTION("""COMPUTED_VALUE"""),7.5)</f>
        <v>7.5</v>
      </c>
      <c r="L135" s="201" t="str">
        <f>IFERROR(__xludf.DUMMYFUNCTION("""COMPUTED_VALUE"""),"Action / Shooter")</f>
        <v>Action / Shooter</v>
      </c>
    </row>
    <row r="136">
      <c r="A136" s="190" t="str">
        <f>IFERROR(__xludf.DUMMYFUNCTION("""COMPUTED_VALUE"""),"Gotham Knights")</f>
        <v>Gotham Knights</v>
      </c>
      <c r="B136" s="195" t="str">
        <f>IFERROR(__xludf.DUMMYFUNCTION("""COMPUTED_VALUE"""),"Xbox / PC")</f>
        <v>Xbox / PC</v>
      </c>
      <c r="C136" s="195" t="str">
        <f>IFERROR(__xludf.DUMMYFUNCTION("""COMPUTED_VALUE"""),"Yes")</f>
        <v>Yes</v>
      </c>
      <c r="D136" s="196" t="str">
        <f>IFERROR(__xludf.DUMMYFUNCTION("""COMPUTED_VALUE"""),"Removed")</f>
        <v>Removed</v>
      </c>
      <c r="E136" s="209">
        <f>IFERROR(__xludf.DUMMYFUNCTION("""COMPUTED_VALUE"""),45202.0)</f>
        <v>45202</v>
      </c>
      <c r="F136" s="198">
        <f>IFERROR(__xludf.DUMMYFUNCTION("""COMPUTED_VALUE"""),45565.0)</f>
        <v>45565</v>
      </c>
      <c r="G136" s="199">
        <f>IFERROR(__xludf.DUMMYFUNCTION("""COMPUTED_VALUE"""),11.9)</f>
        <v>11.9</v>
      </c>
      <c r="H136" s="210">
        <f>IFERROR(__xludf.DUMMYFUNCTION("""COMPUTED_VALUE"""),44855.0)</f>
        <v>44855</v>
      </c>
      <c r="I136" s="199">
        <f>IFERROR(__xludf.DUMMYFUNCTION("""COMPUTED_VALUE"""),0.95)</f>
        <v>0.95</v>
      </c>
      <c r="J136" s="200">
        <f>IFERROR(__xludf.DUMMYFUNCTION("""COMPUTED_VALUE"""),66.0)</f>
        <v>66</v>
      </c>
      <c r="K136" s="200">
        <f>IFERROR(__xludf.DUMMYFUNCTION("""COMPUTED_VALUE"""),17.0)</f>
        <v>17</v>
      </c>
      <c r="L136" s="201" t="str">
        <f>IFERROR(__xludf.DUMMYFUNCTION("""COMPUTED_VALUE"""),"RPG / Brawler / Action-Adventure")</f>
        <v>RPG / Brawler / Action-Adventure</v>
      </c>
    </row>
    <row r="137">
      <c r="A137" s="190" t="str">
        <f>IFERROR(__xludf.DUMMYFUNCTION("""COMPUTED_VALUE"""),"Phoenix Wright: Ace Attorney Trilogy")</f>
        <v>Phoenix Wright: Ace Attorney Trilogy</v>
      </c>
      <c r="B137" s="195" t="str">
        <f>IFERROR(__xludf.DUMMYFUNCTION("""COMPUTED_VALUE"""),"Xbox / PC")</f>
        <v>Xbox / PC</v>
      </c>
      <c r="C137" s="195" t="str">
        <f>IFERROR(__xludf.DUMMYFUNCTION("""COMPUTED_VALUE"""),"Yes")</f>
        <v>Yes</v>
      </c>
      <c r="D137" s="196" t="str">
        <f>IFERROR(__xludf.DUMMYFUNCTION("""COMPUTED_VALUE"""),"Removed")</f>
        <v>Removed</v>
      </c>
      <c r="E137" s="209">
        <f>IFERROR(__xludf.DUMMYFUNCTION("""COMPUTED_VALUE"""),45195.0)</f>
        <v>45195</v>
      </c>
      <c r="F137" s="198">
        <f>IFERROR(__xludf.DUMMYFUNCTION("""COMPUTED_VALUE"""),45565.0)</f>
        <v>45565</v>
      </c>
      <c r="G137" s="199">
        <f>IFERROR(__xludf.DUMMYFUNCTION("""COMPUTED_VALUE"""),12.133333333333333)</f>
        <v>12.13333333</v>
      </c>
      <c r="H137" s="210">
        <f>IFERROR(__xludf.DUMMYFUNCTION("""COMPUTED_VALUE"""),41006.0)</f>
        <v>41006</v>
      </c>
      <c r="I137" s="199">
        <f>IFERROR(__xludf.DUMMYFUNCTION("""COMPUTED_VALUE"""),11.469444444444445)</f>
        <v>11.46944444</v>
      </c>
      <c r="J137" s="200">
        <f>IFERROR(__xludf.DUMMYFUNCTION("""COMPUTED_VALUE"""),80.0)</f>
        <v>80</v>
      </c>
      <c r="K137" s="200">
        <f>IFERROR(__xludf.DUMMYFUNCTION("""COMPUTED_VALUE"""),66.0)</f>
        <v>66</v>
      </c>
      <c r="L137" s="201" t="str">
        <f>IFERROR(__xludf.DUMMYFUNCTION("""COMPUTED_VALUE"""),"Adventure / Compilation / Puzzle")</f>
        <v>Adventure / Compilation / Puzzle</v>
      </c>
    </row>
    <row r="138">
      <c r="A138" s="190" t="str">
        <f>IFERROR(__xludf.DUMMYFUNCTION("""COMPUTED_VALUE"""),"Loop Hero")</f>
        <v>Loop Hero</v>
      </c>
      <c r="B138" s="195" t="str">
        <f>IFERROR(__xludf.DUMMYFUNCTION("""COMPUTED_VALUE"""),"Xbox / PC")</f>
        <v>Xbox / PC</v>
      </c>
      <c r="C138" s="195"/>
      <c r="D138" s="196" t="str">
        <f>IFERROR(__xludf.DUMMYFUNCTION("""COMPUTED_VALUE"""),"Removed")</f>
        <v>Removed</v>
      </c>
      <c r="E138" s="209">
        <f>IFERROR(__xludf.DUMMYFUNCTION("""COMPUTED_VALUE"""),45020.0)</f>
        <v>45020</v>
      </c>
      <c r="F138" s="198">
        <f>IFERROR(__xludf.DUMMYFUNCTION("""COMPUTED_VALUE"""),45565.0)</f>
        <v>45565</v>
      </c>
      <c r="G138" s="199">
        <f>IFERROR(__xludf.DUMMYFUNCTION("""COMPUTED_VALUE"""),17.866666666666667)</f>
        <v>17.86666667</v>
      </c>
      <c r="H138" s="210">
        <f>IFERROR(__xludf.DUMMYFUNCTION("""COMPUTED_VALUE"""),44259.0)</f>
        <v>44259</v>
      </c>
      <c r="I138" s="199">
        <f>IFERROR(__xludf.DUMMYFUNCTION("""COMPUTED_VALUE"""),2.0833333333333335)</f>
        <v>2.083333333</v>
      </c>
      <c r="J138" s="200">
        <f>IFERROR(__xludf.DUMMYFUNCTION("""COMPUTED_VALUE"""),82.0)</f>
        <v>82</v>
      </c>
      <c r="K138" s="200">
        <f>IFERROR(__xludf.DUMMYFUNCTION("""COMPUTED_VALUE"""),29.0)</f>
        <v>29</v>
      </c>
      <c r="L138" s="201" t="str">
        <f>IFERROR(__xludf.DUMMYFUNCTION("""COMPUTED_VALUE"""),"Strategy / Card Game")</f>
        <v>Strategy / Card Game</v>
      </c>
    </row>
    <row r="139">
      <c r="A139" s="190" t="str">
        <f>IFERROR(__xludf.DUMMYFUNCTION("""COMPUTED_VALUE"""),"PAW Patrol Grand Prix")</f>
        <v>PAW Patrol Grand Prix</v>
      </c>
      <c r="B139" s="195" t="str">
        <f>IFERROR(__xludf.DUMMYFUNCTION("""COMPUTED_VALUE"""),"Xbox / PC")</f>
        <v>Xbox / PC</v>
      </c>
      <c r="C139" s="195" t="str">
        <f>IFERROR(__xludf.DUMMYFUNCTION("""COMPUTED_VALUE"""),"Yes")</f>
        <v>Yes</v>
      </c>
      <c r="D139" s="196" t="str">
        <f>IFERROR(__xludf.DUMMYFUNCTION("""COMPUTED_VALUE"""),"Removed")</f>
        <v>Removed</v>
      </c>
      <c r="E139" s="197">
        <f>IFERROR(__xludf.DUMMYFUNCTION("""COMPUTED_VALUE"""),44834.0)</f>
        <v>44834</v>
      </c>
      <c r="F139" s="198">
        <f>IFERROR(__xludf.DUMMYFUNCTION("""COMPUTED_VALUE"""),45565.0)</f>
        <v>45565</v>
      </c>
      <c r="G139" s="199">
        <f>IFERROR(__xludf.DUMMYFUNCTION("""COMPUTED_VALUE"""),24.0)</f>
        <v>24</v>
      </c>
      <c r="H139" s="210">
        <f>IFERROR(__xludf.DUMMYFUNCTION("""COMPUTED_VALUE"""),44834.0)</f>
        <v>44834</v>
      </c>
      <c r="I139" s="199">
        <f>IFERROR(__xludf.DUMMYFUNCTION("""COMPUTED_VALUE"""),0.0)</f>
        <v>0</v>
      </c>
      <c r="J139" s="200">
        <f>IFERROR(__xludf.DUMMYFUNCTION("""COMPUTED_VALUE"""),70.0)</f>
        <v>70</v>
      </c>
      <c r="K139" s="200">
        <f>IFERROR(__xludf.DUMMYFUNCTION("""COMPUTED_VALUE"""),1.0)</f>
        <v>1</v>
      </c>
      <c r="L139" s="201" t="str">
        <f>IFERROR(__xludf.DUMMYFUNCTION("""COMPUTED_VALUE"""),"Action")</f>
        <v>Action</v>
      </c>
    </row>
    <row r="140">
      <c r="A140" s="190" t="str">
        <f>IFERROR(__xludf.DUMMYFUNCTION("""COMPUTED_VALUE"""),"Let's Build A Zoo")</f>
        <v>Let's Build A Zoo</v>
      </c>
      <c r="B140" s="195" t="str">
        <f>IFERROR(__xludf.DUMMYFUNCTION("""COMPUTED_VALUE"""),"Xbox / PC")</f>
        <v>Xbox / PC</v>
      </c>
      <c r="C140" s="195" t="str">
        <f>IFERROR(__xludf.DUMMYFUNCTION("""COMPUTED_VALUE"""),"Yes")</f>
        <v>Yes</v>
      </c>
      <c r="D140" s="196" t="str">
        <f>IFERROR(__xludf.DUMMYFUNCTION("""COMPUTED_VALUE"""),"Removed")</f>
        <v>Removed</v>
      </c>
      <c r="E140" s="197">
        <f>IFERROR(__xludf.DUMMYFUNCTION("""COMPUTED_VALUE"""),44833.0)</f>
        <v>44833</v>
      </c>
      <c r="F140" s="198">
        <f>IFERROR(__xludf.DUMMYFUNCTION("""COMPUTED_VALUE"""),45565.0)</f>
        <v>45565</v>
      </c>
      <c r="G140" s="199">
        <f>IFERROR(__xludf.DUMMYFUNCTION("""COMPUTED_VALUE"""),24.03333333333333)</f>
        <v>24.03333333</v>
      </c>
      <c r="H140" s="210">
        <f>IFERROR(__xludf.DUMMYFUNCTION("""COMPUTED_VALUE"""),44505.0)</f>
        <v>44505</v>
      </c>
      <c r="I140" s="199">
        <f>IFERROR(__xludf.DUMMYFUNCTION("""COMPUTED_VALUE"""),0.9)</f>
        <v>0.9</v>
      </c>
      <c r="J140" s="200">
        <f>IFERROR(__xludf.DUMMYFUNCTION("""COMPUTED_VALUE"""),78.0)</f>
        <v>78</v>
      </c>
      <c r="K140" s="200">
        <f>IFERROR(__xludf.DUMMYFUNCTION("""COMPUTED_VALUE"""),35.5)</f>
        <v>35.5</v>
      </c>
      <c r="L140" s="201" t="str">
        <f>IFERROR(__xludf.DUMMYFUNCTION("""COMPUTED_VALUE"""),"Simulation")</f>
        <v>Simulation</v>
      </c>
    </row>
    <row r="141">
      <c r="A141" s="190" t="str">
        <f>IFERROR(__xludf.DUMMYFUNCTION("""COMPUTED_VALUE"""),"Valheim (Game Preview)")</f>
        <v>Valheim (Game Preview)</v>
      </c>
      <c r="B141" s="195" t="str">
        <f>IFERROR(__xludf.DUMMYFUNCTION("""COMPUTED_VALUE"""),"Xbox / PC")</f>
        <v>Xbox / PC</v>
      </c>
      <c r="C141" s="195" t="str">
        <f>IFERROR(__xludf.DUMMYFUNCTION("""COMPUTED_VALUE"""),"M+KB")</f>
        <v>M+KB</v>
      </c>
      <c r="D141" s="196" t="str">
        <f>IFERROR(__xludf.DUMMYFUNCTION("""COMPUTED_VALUE"""),"Removed")</f>
        <v>Removed</v>
      </c>
      <c r="E141" s="197">
        <f>IFERROR(__xludf.DUMMYFUNCTION("""COMPUTED_VALUE"""),44833.0)</f>
        <v>44833</v>
      </c>
      <c r="F141" s="198">
        <f>IFERROR(__xludf.DUMMYFUNCTION("""COMPUTED_VALUE"""),45565.0)</f>
        <v>45565</v>
      </c>
      <c r="G141" s="199">
        <f>IFERROR(__xludf.DUMMYFUNCTION("""COMPUTED_VALUE"""),24.03333333333333)</f>
        <v>24.03333333</v>
      </c>
      <c r="H141" s="210">
        <f>IFERROR(__xludf.DUMMYFUNCTION("""COMPUTED_VALUE"""),44229.0)</f>
        <v>44229</v>
      </c>
      <c r="I141" s="199">
        <f>IFERROR(__xludf.DUMMYFUNCTION("""COMPUTED_VALUE"""),1.6583333333333334)</f>
        <v>1.658333333</v>
      </c>
      <c r="J141" s="200"/>
      <c r="K141" s="200">
        <f>IFERROR(__xludf.DUMMYFUNCTION("""COMPUTED_VALUE"""),71.0)</f>
        <v>71</v>
      </c>
      <c r="L141" s="201" t="str">
        <f>IFERROR(__xludf.DUMMYFUNCTION("""COMPUTED_VALUE"""),"Action-Adventure")</f>
        <v>Action-Adventure</v>
      </c>
    </row>
    <row r="142">
      <c r="A142" s="190" t="str">
        <f>IFERROR(__xludf.DUMMYFUNCTION("""COMPUTED_VALUE"""),"My Time at Portia")</f>
        <v>My Time at Portia</v>
      </c>
      <c r="B142" s="195" t="str">
        <f>IFERROR(__xludf.DUMMYFUNCTION("""COMPUTED_VALUE"""),"Xbox / PC")</f>
        <v>Xbox / PC</v>
      </c>
      <c r="C142" s="195" t="str">
        <f>IFERROR(__xludf.DUMMYFUNCTION("""COMPUTED_VALUE"""),"Yes")</f>
        <v>Yes</v>
      </c>
      <c r="D142" s="196" t="str">
        <f>IFERROR(__xludf.DUMMYFUNCTION("""COMPUTED_VALUE"""),"Removed")</f>
        <v>Removed</v>
      </c>
      <c r="E142" s="197">
        <f>IFERROR(__xludf.DUMMYFUNCTION("""COMPUTED_VALUE"""),43650.0)</f>
        <v>43650</v>
      </c>
      <c r="F142" s="198">
        <f>IFERROR(__xludf.DUMMYFUNCTION("""COMPUTED_VALUE"""),45565.0)</f>
        <v>45565</v>
      </c>
      <c r="G142" s="199">
        <f>IFERROR(__xludf.DUMMYFUNCTION("""COMPUTED_VALUE"""),62.86666666666667)</f>
        <v>62.86666667</v>
      </c>
      <c r="H142" s="210">
        <f>IFERROR(__xludf.DUMMYFUNCTION("""COMPUTED_VALUE"""),43571.0)</f>
        <v>43571</v>
      </c>
      <c r="I142" s="199">
        <f>IFERROR(__xludf.DUMMYFUNCTION("""COMPUTED_VALUE"""),0.21666666666666667)</f>
        <v>0.2166666667</v>
      </c>
      <c r="J142" s="200">
        <f>IFERROR(__xludf.DUMMYFUNCTION("""COMPUTED_VALUE"""),73.0)</f>
        <v>73</v>
      </c>
      <c r="K142" s="200">
        <f>IFERROR(__xludf.DUMMYFUNCTION("""COMPUTED_VALUE"""),64.0)</f>
        <v>64</v>
      </c>
      <c r="L142" s="201" t="str">
        <f>IFERROR(__xludf.DUMMYFUNCTION("""COMPUTED_VALUE"""),"RPG / Simulation")</f>
        <v>RPG / Simulation</v>
      </c>
    </row>
    <row r="143">
      <c r="A143" s="190" t="str">
        <f>IFERROR(__xludf.DUMMYFUNCTION("""COMPUTED_VALUE"""),"PAYDAY 3")</f>
        <v>PAYDAY 3</v>
      </c>
      <c r="B143" s="195" t="str">
        <f>IFERROR(__xludf.DUMMYFUNCTION("""COMPUTED_VALUE"""),"Xbox / PC")</f>
        <v>Xbox / PC</v>
      </c>
      <c r="C143" s="195" t="str">
        <f>IFERROR(__xludf.DUMMYFUNCTION("""COMPUTED_VALUE"""),"Yes")</f>
        <v>Yes</v>
      </c>
      <c r="D143" s="196" t="str">
        <f>IFERROR(__xludf.DUMMYFUNCTION("""COMPUTED_VALUE"""),"Removed")</f>
        <v>Removed</v>
      </c>
      <c r="E143" s="197">
        <f>IFERROR(__xludf.DUMMYFUNCTION("""COMPUTED_VALUE"""),45190.0)</f>
        <v>45190</v>
      </c>
      <c r="F143" s="198">
        <f>IFERROR(__xludf.DUMMYFUNCTION("""COMPUTED_VALUE"""),45550.0)</f>
        <v>45550</v>
      </c>
      <c r="G143" s="199">
        <f>IFERROR(__xludf.DUMMYFUNCTION("""COMPUTED_VALUE"""),11.799999999999999)</f>
        <v>11.8</v>
      </c>
      <c r="H143" s="210">
        <f>IFERROR(__xludf.DUMMYFUNCTION("""COMPUTED_VALUE"""),45190.0)</f>
        <v>45190</v>
      </c>
      <c r="I143" s="199">
        <f>IFERROR(__xludf.DUMMYFUNCTION("""COMPUTED_VALUE"""),0.0)</f>
        <v>0</v>
      </c>
      <c r="J143" s="200">
        <f>IFERROR(__xludf.DUMMYFUNCTION("""COMPUTED_VALUE"""),68.0)</f>
        <v>68</v>
      </c>
      <c r="K143" s="200">
        <f>IFERROR(__xludf.DUMMYFUNCTION("""COMPUTED_VALUE"""),10.0)</f>
        <v>10</v>
      </c>
      <c r="L143" s="201" t="str">
        <f>IFERROR(__xludf.DUMMYFUNCTION("""COMPUTED_VALUE"""),"First-Person Shooter")</f>
        <v>First-Person Shooter</v>
      </c>
    </row>
    <row r="144">
      <c r="A144" s="190" t="str">
        <f>IFERROR(__xludf.DUMMYFUNCTION("""COMPUTED_VALUE"""),"FIFA 23")</f>
        <v>FIFA 23</v>
      </c>
      <c r="B144" s="195" t="str">
        <f>IFERROR(__xludf.DUMMYFUNCTION("""COMPUTED_VALUE"""),"Xbox / PC")</f>
        <v>Xbox / PC</v>
      </c>
      <c r="C144" s="195" t="str">
        <f>IFERROR(__xludf.DUMMYFUNCTION("""COMPUTED_VALUE"""),"Yes")</f>
        <v>Yes</v>
      </c>
      <c r="D144" s="196" t="str">
        <f>IFERROR(__xludf.DUMMYFUNCTION("""COMPUTED_VALUE"""),"Removed")</f>
        <v>Removed</v>
      </c>
      <c r="E144" s="210">
        <f>IFERROR(__xludf.DUMMYFUNCTION("""COMPUTED_VALUE"""),45062.0)</f>
        <v>45062</v>
      </c>
      <c r="F144" s="198">
        <f>IFERROR(__xludf.DUMMYFUNCTION("""COMPUTED_VALUE"""),45550.0)</f>
        <v>45550</v>
      </c>
      <c r="G144" s="199">
        <f>IFERROR(__xludf.DUMMYFUNCTION("""COMPUTED_VALUE"""),15.966666666666665)</f>
        <v>15.96666667</v>
      </c>
      <c r="H144" s="210">
        <f>IFERROR(__xludf.DUMMYFUNCTION("""COMPUTED_VALUE"""),44470.0)</f>
        <v>44470</v>
      </c>
      <c r="I144" s="199">
        <f>IFERROR(__xludf.DUMMYFUNCTION("""COMPUTED_VALUE"""),1.625)</f>
        <v>1.625</v>
      </c>
      <c r="J144" s="200">
        <f>IFERROR(__xludf.DUMMYFUNCTION("""COMPUTED_VALUE"""),78.0)</f>
        <v>78</v>
      </c>
      <c r="K144" s="200">
        <f>IFERROR(__xludf.DUMMYFUNCTION("""COMPUTED_VALUE"""),94.0)</f>
        <v>94</v>
      </c>
      <c r="L144" s="201" t="str">
        <f>IFERROR(__xludf.DUMMYFUNCTION("""COMPUTED_VALUE"""),"Sports / Soccer")</f>
        <v>Sports / Soccer</v>
      </c>
    </row>
    <row r="145">
      <c r="A145" s="190" t="str">
        <f>IFERROR(__xludf.DUMMYFUNCTION("""COMPUTED_VALUE"""),"Slime Rancher 2 (Game Preview)")</f>
        <v>Slime Rancher 2 (Game Preview)</v>
      </c>
      <c r="B145" s="195" t="str">
        <f>IFERROR(__xludf.DUMMYFUNCTION("""COMPUTED_VALUE"""),"Xbox / PC")</f>
        <v>Xbox / PC</v>
      </c>
      <c r="C145" s="195" t="str">
        <f>IFERROR(__xludf.DUMMYFUNCTION("""COMPUTED_VALUE"""),"Touch Controls, M+KB")</f>
        <v>Touch Controls, M+KB</v>
      </c>
      <c r="D145" s="196" t="str">
        <f>IFERROR(__xludf.DUMMYFUNCTION("""COMPUTED_VALUE"""),"Removed")</f>
        <v>Removed</v>
      </c>
      <c r="E145" s="210">
        <f>IFERROR(__xludf.DUMMYFUNCTION("""COMPUTED_VALUE"""),44826.0)</f>
        <v>44826</v>
      </c>
      <c r="F145" s="198">
        <f>IFERROR(__xludf.DUMMYFUNCTION("""COMPUTED_VALUE"""),45550.0)</f>
        <v>45550</v>
      </c>
      <c r="G145" s="199">
        <f>IFERROR(__xludf.DUMMYFUNCTION("""COMPUTED_VALUE"""),23.766666666666666)</f>
        <v>23.76666667</v>
      </c>
      <c r="H145" s="210">
        <f>IFERROR(__xludf.DUMMYFUNCTION("""COMPUTED_VALUE"""),44826.0)</f>
        <v>44826</v>
      </c>
      <c r="I145" s="199">
        <f>IFERROR(__xludf.DUMMYFUNCTION("""COMPUTED_VALUE"""),0.0)</f>
        <v>0</v>
      </c>
      <c r="J145" s="200"/>
      <c r="K145" s="200">
        <f>IFERROR(__xludf.DUMMYFUNCTION("""COMPUTED_VALUE"""),8.5)</f>
        <v>8.5</v>
      </c>
      <c r="L145" s="201" t="str">
        <f>IFERROR(__xludf.DUMMYFUNCTION("""COMPUTED_VALUE"""),"Adventure / First-Person Shooter")</f>
        <v>Adventure / First-Person Shooter</v>
      </c>
    </row>
    <row r="146">
      <c r="A146" s="190" t="str">
        <f>IFERROR(__xludf.DUMMYFUNCTION("""COMPUTED_VALUE"""),"SpiderHeck")</f>
        <v>SpiderHeck</v>
      </c>
      <c r="B146" s="195" t="str">
        <f>IFERROR(__xludf.DUMMYFUNCTION("""COMPUTED_VALUE"""),"Xbox / PC")</f>
        <v>Xbox / PC</v>
      </c>
      <c r="C146" s="195" t="str">
        <f>IFERROR(__xludf.DUMMYFUNCTION("""COMPUTED_VALUE"""),"Touch Controls")</f>
        <v>Touch Controls</v>
      </c>
      <c r="D146" s="196" t="str">
        <f>IFERROR(__xludf.DUMMYFUNCTION("""COMPUTED_VALUE"""),"Removed")</f>
        <v>Removed</v>
      </c>
      <c r="E146" s="210">
        <f>IFERROR(__xludf.DUMMYFUNCTION("""COMPUTED_VALUE"""),44826.0)</f>
        <v>44826</v>
      </c>
      <c r="F146" s="198">
        <f>IFERROR(__xludf.DUMMYFUNCTION("""COMPUTED_VALUE"""),45550.0)</f>
        <v>45550</v>
      </c>
      <c r="G146" s="199">
        <f>IFERROR(__xludf.DUMMYFUNCTION("""COMPUTED_VALUE"""),23.766666666666666)</f>
        <v>23.76666667</v>
      </c>
      <c r="H146" s="210">
        <f>IFERROR(__xludf.DUMMYFUNCTION("""COMPUTED_VALUE"""),44826.0)</f>
        <v>44826</v>
      </c>
      <c r="I146" s="199">
        <f>IFERROR(__xludf.DUMMYFUNCTION("""COMPUTED_VALUE"""),0.0)</f>
        <v>0</v>
      </c>
      <c r="J146" s="200">
        <f>IFERROR(__xludf.DUMMYFUNCTION("""COMPUTED_VALUE"""),83.0)</f>
        <v>83</v>
      </c>
      <c r="K146" s="200">
        <f>IFERROR(__xludf.DUMMYFUNCTION("""COMPUTED_VALUE"""),9.0)</f>
        <v>9</v>
      </c>
      <c r="L146" s="201" t="str">
        <f>IFERROR(__xludf.DUMMYFUNCTION("""COMPUTED_VALUE"""),"Party")</f>
        <v>Party</v>
      </c>
    </row>
    <row r="147">
      <c r="A147" s="190" t="str">
        <f>IFERROR(__xludf.DUMMYFUNCTION("""COMPUTED_VALUE"""),"You Suck at Parking")</f>
        <v>You Suck at Parking</v>
      </c>
      <c r="B147" s="195" t="str">
        <f>IFERROR(__xludf.DUMMYFUNCTION("""COMPUTED_VALUE"""),"Xbox / PC")</f>
        <v>Xbox / PC</v>
      </c>
      <c r="C147" s="195" t="str">
        <f>IFERROR(__xludf.DUMMYFUNCTION("""COMPUTED_VALUE"""),"Touch Controls")</f>
        <v>Touch Controls</v>
      </c>
      <c r="D147" s="196" t="str">
        <f>IFERROR(__xludf.DUMMYFUNCTION("""COMPUTED_VALUE"""),"Removed")</f>
        <v>Removed</v>
      </c>
      <c r="E147" s="210">
        <f>IFERROR(__xludf.DUMMYFUNCTION("""COMPUTED_VALUE"""),44818.0)</f>
        <v>44818</v>
      </c>
      <c r="F147" s="198">
        <f>IFERROR(__xludf.DUMMYFUNCTION("""COMPUTED_VALUE"""),45550.0)</f>
        <v>45550</v>
      </c>
      <c r="G147" s="199">
        <f>IFERROR(__xludf.DUMMYFUNCTION("""COMPUTED_VALUE"""),24.03333333333333)</f>
        <v>24.03333333</v>
      </c>
      <c r="H147" s="210">
        <f>IFERROR(__xludf.DUMMYFUNCTION("""COMPUTED_VALUE"""),44818.0)</f>
        <v>44818</v>
      </c>
      <c r="I147" s="199">
        <f>IFERROR(__xludf.DUMMYFUNCTION("""COMPUTED_VALUE"""),0.0)</f>
        <v>0</v>
      </c>
      <c r="J147" s="200">
        <f>IFERROR(__xludf.DUMMYFUNCTION("""COMPUTED_VALUE"""),77.0)</f>
        <v>77</v>
      </c>
      <c r="K147" s="200">
        <f>IFERROR(__xludf.DUMMYFUNCTION("""COMPUTED_VALUE"""),8.5)</f>
        <v>8.5</v>
      </c>
      <c r="L147" s="201" t="str">
        <f>IFERROR(__xludf.DUMMYFUNCTION("""COMPUTED_VALUE"""),"Action / Driving/Racing")</f>
        <v>Action / Driving/Racing</v>
      </c>
    </row>
    <row r="148">
      <c r="A148" s="190" t="str">
        <f>IFERROR(__xludf.DUMMYFUNCTION("""COMPUTED_VALUE"""),"Ashes of the Singularity: Escalation")</f>
        <v>Ashes of the Singularity: Escalation</v>
      </c>
      <c r="B148" s="195" t="str">
        <f>IFERROR(__xludf.DUMMYFUNCTION("""COMPUTED_VALUE"""),"PC")</f>
        <v>PC</v>
      </c>
      <c r="C148" s="195"/>
      <c r="D148" s="196" t="str">
        <f>IFERROR(__xludf.DUMMYFUNCTION("""COMPUTED_VALUE"""),"Removed")</f>
        <v>Removed</v>
      </c>
      <c r="E148" s="210">
        <f>IFERROR(__xludf.DUMMYFUNCTION("""COMPUTED_VALUE"""),44817.0)</f>
        <v>44817</v>
      </c>
      <c r="F148" s="198">
        <f>IFERROR(__xludf.DUMMYFUNCTION("""COMPUTED_VALUE"""),45550.0)</f>
        <v>45550</v>
      </c>
      <c r="G148" s="199">
        <f>IFERROR(__xludf.DUMMYFUNCTION("""COMPUTED_VALUE"""),24.066666666666666)</f>
        <v>24.06666667</v>
      </c>
      <c r="H148" s="210">
        <f>IFERROR(__xludf.DUMMYFUNCTION("""COMPUTED_VALUE"""),42684.0)</f>
        <v>42684</v>
      </c>
      <c r="I148" s="199">
        <f>IFERROR(__xludf.DUMMYFUNCTION("""COMPUTED_VALUE"""),5.841666666666667)</f>
        <v>5.841666667</v>
      </c>
      <c r="J148" s="200">
        <f>IFERROR(__xludf.DUMMYFUNCTION("""COMPUTED_VALUE"""),81.0)</f>
        <v>81</v>
      </c>
      <c r="K148" s="200">
        <f>IFERROR(__xludf.DUMMYFUNCTION("""COMPUTED_VALUE"""),16.0)</f>
        <v>16</v>
      </c>
      <c r="L148" s="201" t="str">
        <f>IFERROR(__xludf.DUMMYFUNCTION("""COMPUTED_VALUE"""),"Real-Time Strategy")</f>
        <v>Real-Time Strategy</v>
      </c>
    </row>
    <row r="149">
      <c r="A149" s="190" t="str">
        <f>IFERROR(__xludf.DUMMYFUNCTION("""COMPUTED_VALUE"""),"NBA 2K24")</f>
        <v>NBA 2K24</v>
      </c>
      <c r="B149" s="195" t="str">
        <f>IFERROR(__xludf.DUMMYFUNCTION("""COMPUTED_VALUE"""),"Xbox")</f>
        <v>Xbox</v>
      </c>
      <c r="C149" s="195" t="str">
        <f>IFERROR(__xludf.DUMMYFUNCTION("""COMPUTED_VALUE"""),"Yes")</f>
        <v>Yes</v>
      </c>
      <c r="D149" s="196" t="str">
        <f>IFERROR(__xludf.DUMMYFUNCTION("""COMPUTED_VALUE"""),"Removed")</f>
        <v>Removed</v>
      </c>
      <c r="E149" s="210">
        <f>IFERROR(__xludf.DUMMYFUNCTION("""COMPUTED_VALUE"""),45362.0)</f>
        <v>45362</v>
      </c>
      <c r="F149" s="198">
        <f>IFERROR(__xludf.DUMMYFUNCTION("""COMPUTED_VALUE"""),45535.0)</f>
        <v>45535</v>
      </c>
      <c r="G149" s="199">
        <f>IFERROR(__xludf.DUMMYFUNCTION("""COMPUTED_VALUE"""),5.633333333333333)</f>
        <v>5.633333333</v>
      </c>
      <c r="H149" s="210">
        <f>IFERROR(__xludf.DUMMYFUNCTION("""COMPUTED_VALUE"""),45177.0)</f>
        <v>45177</v>
      </c>
      <c r="I149" s="199">
        <f>IFERROR(__xludf.DUMMYFUNCTION("""COMPUTED_VALUE"""),0.5083333333333333)</f>
        <v>0.5083333333</v>
      </c>
      <c r="J149" s="200">
        <f>IFERROR(__xludf.DUMMYFUNCTION("""COMPUTED_VALUE"""),68.0)</f>
        <v>68</v>
      </c>
      <c r="K149" s="200"/>
      <c r="L149" s="201" t="str">
        <f>IFERROR(__xludf.DUMMYFUNCTION("""COMPUTED_VALUE"""),"Sports / Basketball")</f>
        <v>Sports / Basketball</v>
      </c>
    </row>
    <row r="150">
      <c r="A150" s="190" t="str">
        <f>IFERROR(__xludf.DUMMYFUNCTION("""COMPUTED_VALUE"""),"Guilty Gear -Strive-")</f>
        <v>Guilty Gear -Strive-</v>
      </c>
      <c r="B150" s="195" t="str">
        <f>IFERROR(__xludf.DUMMYFUNCTION("""COMPUTED_VALUE"""),"Xbox / PC")</f>
        <v>Xbox / PC</v>
      </c>
      <c r="C150" s="195" t="str">
        <f>IFERROR(__xludf.DUMMYFUNCTION("""COMPUTED_VALUE"""),"Yes")</f>
        <v>Yes</v>
      </c>
      <c r="D150" s="196" t="str">
        <f>IFERROR(__xludf.DUMMYFUNCTION("""COMPUTED_VALUE"""),"Removed")</f>
        <v>Removed</v>
      </c>
      <c r="E150" s="210">
        <f>IFERROR(__xludf.DUMMYFUNCTION("""COMPUTED_VALUE"""),44992.0)</f>
        <v>44992</v>
      </c>
      <c r="F150" s="198">
        <f>IFERROR(__xludf.DUMMYFUNCTION("""COMPUTED_VALUE"""),45535.0)</f>
        <v>45535</v>
      </c>
      <c r="G150" s="199">
        <f>IFERROR(__xludf.DUMMYFUNCTION("""COMPUTED_VALUE"""),17.766666666666666)</f>
        <v>17.76666667</v>
      </c>
      <c r="H150" s="210">
        <f>IFERROR(__xludf.DUMMYFUNCTION("""COMPUTED_VALUE"""),44358.0)</f>
        <v>44358</v>
      </c>
      <c r="I150" s="199">
        <f>IFERROR(__xludf.DUMMYFUNCTION("""COMPUTED_VALUE"""),1.738888888888889)</f>
        <v>1.738888889</v>
      </c>
      <c r="J150" s="200">
        <f>IFERROR(__xludf.DUMMYFUNCTION("""COMPUTED_VALUE"""),85.0)</f>
        <v>85</v>
      </c>
      <c r="K150" s="200">
        <f>IFERROR(__xludf.DUMMYFUNCTION("""COMPUTED_VALUE"""),5.0)</f>
        <v>5</v>
      </c>
      <c r="L150" s="201" t="str">
        <f>IFERROR(__xludf.DUMMYFUNCTION("""COMPUTED_VALUE"""),"Fighting")</f>
        <v>Fighting</v>
      </c>
    </row>
    <row r="151">
      <c r="A151" s="190" t="str">
        <f>IFERROR(__xludf.DUMMYFUNCTION("""COMPUTED_VALUE"""),"Atomic Heart")</f>
        <v>Atomic Heart</v>
      </c>
      <c r="B151" s="195" t="str">
        <f>IFERROR(__xludf.DUMMYFUNCTION("""COMPUTED_VALUE"""),"Xbox / PC")</f>
        <v>Xbox / PC</v>
      </c>
      <c r="C151" s="195" t="str">
        <f>IFERROR(__xludf.DUMMYFUNCTION("""COMPUTED_VALUE"""),"M+KB")</f>
        <v>M+KB</v>
      </c>
      <c r="D151" s="196" t="str">
        <f>IFERROR(__xludf.DUMMYFUNCTION("""COMPUTED_VALUE"""),"Removed")</f>
        <v>Removed</v>
      </c>
      <c r="E151" s="210">
        <f>IFERROR(__xludf.DUMMYFUNCTION("""COMPUTED_VALUE"""),44978.0)</f>
        <v>44978</v>
      </c>
      <c r="F151" s="198">
        <f>IFERROR(__xludf.DUMMYFUNCTION("""COMPUTED_VALUE"""),45535.0)</f>
        <v>45535</v>
      </c>
      <c r="G151" s="199">
        <f>IFERROR(__xludf.DUMMYFUNCTION("""COMPUTED_VALUE"""),18.299999999999997)</f>
        <v>18.3</v>
      </c>
      <c r="H151" s="210">
        <f>IFERROR(__xludf.DUMMYFUNCTION("""COMPUTED_VALUE"""),44978.0)</f>
        <v>44978</v>
      </c>
      <c r="I151" s="199">
        <f>IFERROR(__xludf.DUMMYFUNCTION("""COMPUTED_VALUE"""),0.0)</f>
        <v>0</v>
      </c>
      <c r="J151" s="200">
        <f>IFERROR(__xludf.DUMMYFUNCTION("""COMPUTED_VALUE"""),72.0)</f>
        <v>72</v>
      </c>
      <c r="K151" s="200">
        <f>IFERROR(__xludf.DUMMYFUNCTION("""COMPUTED_VALUE"""),16.0)</f>
        <v>16</v>
      </c>
      <c r="L151" s="201" t="str">
        <f>IFERROR(__xludf.DUMMYFUNCTION("""COMPUTED_VALUE"""),"Adventure / First-Person Shooter")</f>
        <v>Adventure / First-Person Shooter</v>
      </c>
    </row>
    <row r="152">
      <c r="A152" s="190" t="str">
        <f>IFERROR(__xludf.DUMMYFUNCTION("""COMPUTED_VALUE"""),"DOOM")</f>
        <v>DOOM</v>
      </c>
      <c r="B152" s="195" t="str">
        <f>IFERROR(__xludf.DUMMYFUNCTION("""COMPUTED_VALUE"""),"Xbox / PC")</f>
        <v>Xbox / PC</v>
      </c>
      <c r="C152" s="195" t="str">
        <f>IFERROR(__xludf.DUMMYFUNCTION("""COMPUTED_VALUE"""),"Yes")</f>
        <v>Yes</v>
      </c>
      <c r="D152" s="196" t="str">
        <f>IFERROR(__xludf.DUMMYFUNCTION("""COMPUTED_VALUE"""),"Removed")</f>
        <v>Removed</v>
      </c>
      <c r="E152" s="210">
        <f>IFERROR(__xludf.DUMMYFUNCTION("""COMPUTED_VALUE"""),44267.0)</f>
        <v>44267</v>
      </c>
      <c r="F152" s="198">
        <f>IFERROR(__xludf.DUMMYFUNCTION("""COMPUTED_VALUE"""),45524.0)</f>
        <v>45524</v>
      </c>
      <c r="G152" s="199">
        <f>IFERROR(__xludf.DUMMYFUNCTION("""COMPUTED_VALUE"""),41.266666666666666)</f>
        <v>41.26666667</v>
      </c>
      <c r="H152" s="210">
        <f>IFERROR(__xludf.DUMMYFUNCTION("""COMPUTED_VALUE"""),34313.0)</f>
        <v>34313</v>
      </c>
      <c r="I152" s="199">
        <f>IFERROR(__xludf.DUMMYFUNCTION("""COMPUTED_VALUE"""),27.255555555555556)</f>
        <v>27.25555556</v>
      </c>
      <c r="J152" s="200">
        <f>IFERROR(__xludf.DUMMYFUNCTION("""COMPUTED_VALUE"""),83.0)</f>
        <v>83</v>
      </c>
      <c r="K152" s="200">
        <f>IFERROR(__xludf.DUMMYFUNCTION("""COMPUTED_VALUE"""),4.5)</f>
        <v>4.5</v>
      </c>
      <c r="L152" s="201" t="str">
        <f>IFERROR(__xludf.DUMMYFUNCTION("""COMPUTED_VALUE"""),"First-Person Shooter")</f>
        <v>First-Person Shooter</v>
      </c>
    </row>
    <row r="153">
      <c r="A153" s="190" t="str">
        <f>IFERROR(__xludf.DUMMYFUNCTION("""COMPUTED_VALUE"""),"DOOM II: Hell on Earth")</f>
        <v>DOOM II: Hell on Earth</v>
      </c>
      <c r="B153" s="195" t="str">
        <f>IFERROR(__xludf.DUMMYFUNCTION("""COMPUTED_VALUE"""),"Xbox / PC")</f>
        <v>Xbox / PC</v>
      </c>
      <c r="C153" s="195" t="str">
        <f>IFERROR(__xludf.DUMMYFUNCTION("""COMPUTED_VALUE"""),"Yes")</f>
        <v>Yes</v>
      </c>
      <c r="D153" s="196" t="str">
        <f>IFERROR(__xludf.DUMMYFUNCTION("""COMPUTED_VALUE"""),"Removed")</f>
        <v>Removed</v>
      </c>
      <c r="E153" s="210">
        <f>IFERROR(__xludf.DUMMYFUNCTION("""COMPUTED_VALUE"""),44267.0)</f>
        <v>44267</v>
      </c>
      <c r="F153" s="198">
        <f>IFERROR(__xludf.DUMMYFUNCTION("""COMPUTED_VALUE"""),45524.0)</f>
        <v>45524</v>
      </c>
      <c r="G153" s="199">
        <f>IFERROR(__xludf.DUMMYFUNCTION("""COMPUTED_VALUE"""),41.266666666666666)</f>
        <v>41.26666667</v>
      </c>
      <c r="H153" s="210">
        <f>IFERROR(__xludf.DUMMYFUNCTION("""COMPUTED_VALUE"""),34607.0)</f>
        <v>34607</v>
      </c>
      <c r="I153" s="199">
        <f>IFERROR(__xludf.DUMMYFUNCTION("""COMPUTED_VALUE"""),26.45)</f>
        <v>26.45</v>
      </c>
      <c r="J153" s="200">
        <f>IFERROR(__xludf.DUMMYFUNCTION("""COMPUTED_VALUE"""),80.0)</f>
        <v>80</v>
      </c>
      <c r="K153" s="200">
        <f>IFERROR(__xludf.DUMMYFUNCTION("""COMPUTED_VALUE"""),7.0)</f>
        <v>7</v>
      </c>
      <c r="L153" s="201" t="str">
        <f>IFERROR(__xludf.DUMMYFUNCTION("""COMPUTED_VALUE"""),"First-Person Shooter")</f>
        <v>First-Person Shooter</v>
      </c>
    </row>
    <row r="154">
      <c r="A154" s="190" t="str">
        <f>IFERROR(__xludf.DUMMYFUNCTION("""COMPUTED_VALUE"""),"The Texas Chainsaw Massacre")</f>
        <v>The Texas Chainsaw Massacre</v>
      </c>
      <c r="B154" s="195" t="str">
        <f>IFERROR(__xludf.DUMMYFUNCTION("""COMPUTED_VALUE"""),"Xbox / PC")</f>
        <v>Xbox / PC</v>
      </c>
      <c r="C154" s="195" t="str">
        <f>IFERROR(__xludf.DUMMYFUNCTION("""COMPUTED_VALUE"""),"Yes")</f>
        <v>Yes</v>
      </c>
      <c r="D154" s="196" t="str">
        <f>IFERROR(__xludf.DUMMYFUNCTION("""COMPUTED_VALUE"""),"Removed")</f>
        <v>Removed</v>
      </c>
      <c r="E154" s="210">
        <f>IFERROR(__xludf.DUMMYFUNCTION("""COMPUTED_VALUE"""),45156.0)</f>
        <v>45156</v>
      </c>
      <c r="F154" s="198">
        <f>IFERROR(__xludf.DUMMYFUNCTION("""COMPUTED_VALUE"""),45519.0)</f>
        <v>45519</v>
      </c>
      <c r="G154" s="199">
        <f>IFERROR(__xludf.DUMMYFUNCTION("""COMPUTED_VALUE"""),11.9)</f>
        <v>11.9</v>
      </c>
      <c r="H154" s="210">
        <f>IFERROR(__xludf.DUMMYFUNCTION("""COMPUTED_VALUE"""),45156.0)</f>
        <v>45156</v>
      </c>
      <c r="I154" s="199">
        <f>IFERROR(__xludf.DUMMYFUNCTION("""COMPUTED_VALUE"""),0.0)</f>
        <v>0</v>
      </c>
      <c r="J154" s="200">
        <f>IFERROR(__xludf.DUMMYFUNCTION("""COMPUTED_VALUE"""),72.0)</f>
        <v>72</v>
      </c>
      <c r="K154" s="200"/>
      <c r="L154" s="201" t="str">
        <f>IFERROR(__xludf.DUMMYFUNCTION("""COMPUTED_VALUE"""),"Action")</f>
        <v>Action</v>
      </c>
    </row>
    <row r="155">
      <c r="A155" s="190" t="str">
        <f>IFERROR(__xludf.DUMMYFUNCTION("""COMPUTED_VALUE"""),"Airborne Kingdom")</f>
        <v>Airborne Kingdom</v>
      </c>
      <c r="B155" s="195" t="str">
        <f>IFERROR(__xludf.DUMMYFUNCTION("""COMPUTED_VALUE"""),"Xbox / PC")</f>
        <v>Xbox / PC</v>
      </c>
      <c r="C155" s="195" t="str">
        <f>IFERROR(__xludf.DUMMYFUNCTION("""COMPUTED_VALUE"""),"Yes")</f>
        <v>Yes</v>
      </c>
      <c r="D155" s="196" t="str">
        <f>IFERROR(__xludf.DUMMYFUNCTION("""COMPUTED_VALUE"""),"Removed")</f>
        <v>Removed</v>
      </c>
      <c r="E155" s="210">
        <f>IFERROR(__xludf.DUMMYFUNCTION("""COMPUTED_VALUE"""),45148.0)</f>
        <v>45148</v>
      </c>
      <c r="F155" s="198">
        <f>IFERROR(__xludf.DUMMYFUNCTION("""COMPUTED_VALUE"""),45519.0)</f>
        <v>45519</v>
      </c>
      <c r="G155" s="199">
        <f>IFERROR(__xludf.DUMMYFUNCTION("""COMPUTED_VALUE"""),12.166666666666666)</f>
        <v>12.16666667</v>
      </c>
      <c r="H155" s="210">
        <f>IFERROR(__xludf.DUMMYFUNCTION("""COMPUTED_VALUE"""),44182.0)</f>
        <v>44182</v>
      </c>
      <c r="I155" s="199">
        <f>IFERROR(__xludf.DUMMYFUNCTION("""COMPUTED_VALUE"""),2.647222222222222)</f>
        <v>2.647222222</v>
      </c>
      <c r="J155" s="200">
        <f>IFERROR(__xludf.DUMMYFUNCTION("""COMPUTED_VALUE"""),76.0)</f>
        <v>76</v>
      </c>
      <c r="K155" s="200">
        <f>IFERROR(__xludf.DUMMYFUNCTION("""COMPUTED_VALUE"""),8.0)</f>
        <v>8</v>
      </c>
      <c r="L155" s="201" t="str">
        <f>IFERROR(__xludf.DUMMYFUNCTION("""COMPUTED_VALUE"""),"Strategy / Real-Time Strategy")</f>
        <v>Strategy / Real-Time Strategy</v>
      </c>
    </row>
    <row r="156">
      <c r="A156" s="190" t="str">
        <f>IFERROR(__xludf.DUMMYFUNCTION("""COMPUTED_VALUE"""),"Shadow Warrior 3: Definitive Edition")</f>
        <v>Shadow Warrior 3: Definitive Edition</v>
      </c>
      <c r="B156" s="195" t="str">
        <f>IFERROR(__xludf.DUMMYFUNCTION("""COMPUTED_VALUE"""),"Xbox / PC")</f>
        <v>Xbox / PC</v>
      </c>
      <c r="C156" s="195" t="str">
        <f>IFERROR(__xludf.DUMMYFUNCTION("""COMPUTED_VALUE"""),"Yes")</f>
        <v>Yes</v>
      </c>
      <c r="D156" s="196" t="str">
        <f>IFERROR(__xludf.DUMMYFUNCTION("""COMPUTED_VALUE"""),"Removed")</f>
        <v>Removed</v>
      </c>
      <c r="E156" s="210">
        <f>IFERROR(__xludf.DUMMYFUNCTION("""COMPUTED_VALUE"""),44973.0)</f>
        <v>44973</v>
      </c>
      <c r="F156" s="198">
        <f>IFERROR(__xludf.DUMMYFUNCTION("""COMPUTED_VALUE"""),45519.0)</f>
        <v>45519</v>
      </c>
      <c r="G156" s="199">
        <f>IFERROR(__xludf.DUMMYFUNCTION("""COMPUTED_VALUE"""),17.96666666666667)</f>
        <v>17.96666667</v>
      </c>
      <c r="H156" s="210">
        <f>IFERROR(__xludf.DUMMYFUNCTION("""COMPUTED_VALUE"""),44621.0)</f>
        <v>44621</v>
      </c>
      <c r="I156" s="199">
        <f>IFERROR(__xludf.DUMMYFUNCTION("""COMPUTED_VALUE"""),0.9583333333333334)</f>
        <v>0.9583333333</v>
      </c>
      <c r="J156" s="200">
        <f>IFERROR(__xludf.DUMMYFUNCTION("""COMPUTED_VALUE"""),71.0)</f>
        <v>71</v>
      </c>
      <c r="K156" s="200">
        <f>IFERROR(__xludf.DUMMYFUNCTION("""COMPUTED_VALUE"""),6.0)</f>
        <v>6</v>
      </c>
      <c r="L156" s="201" t="str">
        <f>IFERROR(__xludf.DUMMYFUNCTION("""COMPUTED_VALUE"""),"First-Person Shooter / Action-Adventure")</f>
        <v>First-Person Shooter / Action-Adventure</v>
      </c>
    </row>
    <row r="157">
      <c r="A157" s="190" t="str">
        <f>IFERROR(__xludf.DUMMYFUNCTION("""COMPUTED_VALUE"""),"Offworld Trading Company")</f>
        <v>Offworld Trading Company</v>
      </c>
      <c r="B157" s="195" t="str">
        <f>IFERROR(__xludf.DUMMYFUNCTION("""COMPUTED_VALUE"""),"PC")</f>
        <v>PC</v>
      </c>
      <c r="C157" s="195"/>
      <c r="D157" s="196" t="str">
        <f>IFERROR(__xludf.DUMMYFUNCTION("""COMPUTED_VALUE"""),"Removed")</f>
        <v>Removed</v>
      </c>
      <c r="E157" s="210">
        <f>IFERROR(__xludf.DUMMYFUNCTION("""COMPUTED_VALUE"""),44784.0)</f>
        <v>44784</v>
      </c>
      <c r="F157" s="198">
        <f>IFERROR(__xludf.DUMMYFUNCTION("""COMPUTED_VALUE"""),45519.0)</f>
        <v>45519</v>
      </c>
      <c r="G157" s="199">
        <f>IFERROR(__xludf.DUMMYFUNCTION("""COMPUTED_VALUE"""),24.133333333333333)</f>
        <v>24.13333333</v>
      </c>
      <c r="H157" s="210">
        <f>IFERROR(__xludf.DUMMYFUNCTION("""COMPUTED_VALUE"""),42488.0)</f>
        <v>42488</v>
      </c>
      <c r="I157" s="199">
        <f>IFERROR(__xludf.DUMMYFUNCTION("""COMPUTED_VALUE"""),6.286111111111111)</f>
        <v>6.286111111</v>
      </c>
      <c r="J157" s="200">
        <f>IFERROR(__xludf.DUMMYFUNCTION("""COMPUTED_VALUE"""),78.0)</f>
        <v>78</v>
      </c>
      <c r="K157" s="200">
        <f>IFERROR(__xludf.DUMMYFUNCTION("""COMPUTED_VALUE"""),8.0)</f>
        <v>8</v>
      </c>
      <c r="L157" s="201" t="str">
        <f>IFERROR(__xludf.DUMMYFUNCTION("""COMPUTED_VALUE"""),"Real-Time Strategy")</f>
        <v>Real-Time Strategy</v>
      </c>
    </row>
    <row r="158">
      <c r="A158" s="190" t="str">
        <f>IFERROR(__xludf.DUMMYFUNCTION("""COMPUTED_VALUE"""),"Train Sim World 4")</f>
        <v>Train Sim World 4</v>
      </c>
      <c r="B158" s="195" t="str">
        <f>IFERROR(__xludf.DUMMYFUNCTION("""COMPUTED_VALUE"""),"Xbox / PC")</f>
        <v>Xbox / PC</v>
      </c>
      <c r="C158" s="195" t="str">
        <f>IFERROR(__xludf.DUMMYFUNCTION("""COMPUTED_VALUE"""),"Yes")</f>
        <v>Yes</v>
      </c>
      <c r="D158" s="196" t="str">
        <f>IFERROR(__xludf.DUMMYFUNCTION("""COMPUTED_VALUE"""),"Removed")</f>
        <v>Removed</v>
      </c>
      <c r="E158" s="210">
        <f>IFERROR(__xludf.DUMMYFUNCTION("""COMPUTED_VALUE"""),45329.0)</f>
        <v>45329</v>
      </c>
      <c r="F158" s="198">
        <f>IFERROR(__xludf.DUMMYFUNCTION("""COMPUTED_VALUE"""),45504.0)</f>
        <v>45504</v>
      </c>
      <c r="G158" s="199">
        <f>IFERROR(__xludf.DUMMYFUNCTION("""COMPUTED_VALUE"""),5.766666666666667)</f>
        <v>5.766666667</v>
      </c>
      <c r="H158" s="210">
        <f>IFERROR(__xludf.DUMMYFUNCTION("""COMPUTED_VALUE"""),45195.0)</f>
        <v>45195</v>
      </c>
      <c r="I158" s="199">
        <f>IFERROR(__xludf.DUMMYFUNCTION("""COMPUTED_VALUE"""),0.3638888888888889)</f>
        <v>0.3638888889</v>
      </c>
      <c r="J158" s="200">
        <f>IFERROR(__xludf.DUMMYFUNCTION("""COMPUTED_VALUE"""),80.0)</f>
        <v>80</v>
      </c>
      <c r="K158" s="200"/>
      <c r="L158" s="201" t="str">
        <f>IFERROR(__xludf.DUMMYFUNCTION("""COMPUTED_VALUE"""),"Simulation")</f>
        <v>Simulation</v>
      </c>
    </row>
    <row r="159">
      <c r="A159" s="190" t="str">
        <f>IFERROR(__xludf.DUMMYFUNCTION("""COMPUTED_VALUE"""),"A Short Hike")</f>
        <v>A Short Hike</v>
      </c>
      <c r="B159" s="195" t="str">
        <f>IFERROR(__xludf.DUMMYFUNCTION("""COMPUTED_VALUE"""),"Xbox / PC")</f>
        <v>Xbox / PC</v>
      </c>
      <c r="C159" s="195" t="str">
        <f>IFERROR(__xludf.DUMMYFUNCTION("""COMPUTED_VALUE"""),"Yes")</f>
        <v>Yes</v>
      </c>
      <c r="D159" s="196" t="str">
        <f>IFERROR(__xludf.DUMMYFUNCTION("""COMPUTED_VALUE"""),"Removed")</f>
        <v>Removed</v>
      </c>
      <c r="E159" s="210">
        <f>IFERROR(__xludf.DUMMYFUNCTION("""COMPUTED_VALUE"""),45141.0)</f>
        <v>45141</v>
      </c>
      <c r="F159" s="198">
        <f>IFERROR(__xludf.DUMMYFUNCTION("""COMPUTED_VALUE"""),45504.0)</f>
        <v>45504</v>
      </c>
      <c r="G159" s="199">
        <f>IFERROR(__xludf.DUMMYFUNCTION("""COMPUTED_VALUE"""),11.9)</f>
        <v>11.9</v>
      </c>
      <c r="H159" s="210">
        <f>IFERROR(__xludf.DUMMYFUNCTION("""COMPUTED_VALUE"""),43676.0)</f>
        <v>43676</v>
      </c>
      <c r="I159" s="199">
        <f>IFERROR(__xludf.DUMMYFUNCTION("""COMPUTED_VALUE"""),4.008333333333334)</f>
        <v>4.008333333</v>
      </c>
      <c r="J159" s="200">
        <f>IFERROR(__xludf.DUMMYFUNCTION("""COMPUTED_VALUE"""),82.0)</f>
        <v>82</v>
      </c>
      <c r="K159" s="200">
        <f>IFERROR(__xludf.DUMMYFUNCTION("""COMPUTED_VALUE"""),2.0)</f>
        <v>2</v>
      </c>
      <c r="L159" s="201" t="str">
        <f>IFERROR(__xludf.DUMMYFUNCTION("""COMPUTED_VALUE"""),"Action-Adventure")</f>
        <v>Action-Adventure</v>
      </c>
    </row>
    <row r="160">
      <c r="A160" s="190" t="str">
        <f>IFERROR(__xludf.DUMMYFUNCTION("""COMPUTED_VALUE"""),"Venba")</f>
        <v>Venba</v>
      </c>
      <c r="B160" s="195" t="str">
        <f>IFERROR(__xludf.DUMMYFUNCTION("""COMPUTED_VALUE"""),"Xbox / PC")</f>
        <v>Xbox / PC</v>
      </c>
      <c r="C160" s="195"/>
      <c r="D160" s="196" t="str">
        <f>IFERROR(__xludf.DUMMYFUNCTION("""COMPUTED_VALUE"""),"Removed")</f>
        <v>Removed</v>
      </c>
      <c r="E160" s="210">
        <f>IFERROR(__xludf.DUMMYFUNCTION("""COMPUTED_VALUE"""),45138.0)</f>
        <v>45138</v>
      </c>
      <c r="F160" s="198">
        <f>IFERROR(__xludf.DUMMYFUNCTION("""COMPUTED_VALUE"""),45504.0)</f>
        <v>45504</v>
      </c>
      <c r="G160" s="199">
        <f>IFERROR(__xludf.DUMMYFUNCTION("""COMPUTED_VALUE"""),12.0)</f>
        <v>12</v>
      </c>
      <c r="H160" s="210">
        <f>IFERROR(__xludf.DUMMYFUNCTION("""COMPUTED_VALUE"""),45138.0)</f>
        <v>45138</v>
      </c>
      <c r="I160" s="199">
        <f>IFERROR(__xludf.DUMMYFUNCTION("""COMPUTED_VALUE"""),0.0)</f>
        <v>0</v>
      </c>
      <c r="J160" s="200">
        <f>IFERROR(__xludf.DUMMYFUNCTION("""COMPUTED_VALUE"""),79.0)</f>
        <v>79</v>
      </c>
      <c r="K160" s="200">
        <f>IFERROR(__xludf.DUMMYFUNCTION("""COMPUTED_VALUE"""),2.0)</f>
        <v>2</v>
      </c>
      <c r="L160" s="201" t="str">
        <f>IFERROR(__xludf.DUMMYFUNCTION("""COMPUTED_VALUE"""),"Adventure")</f>
        <v>Adventure</v>
      </c>
    </row>
    <row r="161">
      <c r="A161" s="190" t="str">
        <f>IFERROR(__xludf.DUMMYFUNCTION("""COMPUTED_VALUE"""),"Figment 2: Creed Valley")</f>
        <v>Figment 2: Creed Valley</v>
      </c>
      <c r="B161" s="195" t="str">
        <f>IFERROR(__xludf.DUMMYFUNCTION("""COMPUTED_VALUE"""),"Xbox / PC")</f>
        <v>Xbox / PC</v>
      </c>
      <c r="C161" s="195" t="str">
        <f>IFERROR(__xludf.DUMMYFUNCTION("""COMPUTED_VALUE"""),"Yes")</f>
        <v>Yes</v>
      </c>
      <c r="D161" s="196" t="str">
        <f>IFERROR(__xludf.DUMMYFUNCTION("""COMPUTED_VALUE"""),"Removed")</f>
        <v>Removed</v>
      </c>
      <c r="E161" s="210">
        <f>IFERROR(__xludf.DUMMYFUNCTION("""COMPUTED_VALUE"""),45127.0)</f>
        <v>45127</v>
      </c>
      <c r="F161" s="198">
        <f>IFERROR(__xludf.DUMMYFUNCTION("""COMPUTED_VALUE"""),45488.0)</f>
        <v>45488</v>
      </c>
      <c r="G161" s="199">
        <f>IFERROR(__xludf.DUMMYFUNCTION("""COMPUTED_VALUE"""),11.833333333333334)</f>
        <v>11.83333333</v>
      </c>
      <c r="H161" s="210">
        <f>IFERROR(__xludf.DUMMYFUNCTION("""COMPUTED_VALUE"""),44994.0)</f>
        <v>44994</v>
      </c>
      <c r="I161" s="199">
        <f>IFERROR(__xludf.DUMMYFUNCTION("""COMPUTED_VALUE"""),0.3638888888888889)</f>
        <v>0.3638888889</v>
      </c>
      <c r="J161" s="200">
        <f>IFERROR(__xludf.DUMMYFUNCTION("""COMPUTED_VALUE"""),74.0)</f>
        <v>74</v>
      </c>
      <c r="K161" s="200">
        <f>IFERROR(__xludf.DUMMYFUNCTION("""COMPUTED_VALUE"""),4.0)</f>
        <v>4</v>
      </c>
      <c r="L161" s="201" t="str">
        <f>IFERROR(__xludf.DUMMYFUNCTION("""COMPUTED_VALUE"""),"Action-Adventure")</f>
        <v>Action-Adventure</v>
      </c>
    </row>
    <row r="162">
      <c r="A162" s="190" t="str">
        <f>IFERROR(__xludf.DUMMYFUNCTION("""COMPUTED_VALUE"""),"The Wandering Village")</f>
        <v>The Wandering Village</v>
      </c>
      <c r="B162" s="195" t="str">
        <f>IFERROR(__xludf.DUMMYFUNCTION("""COMPUTED_VALUE"""),"Xbox / PC")</f>
        <v>Xbox / PC</v>
      </c>
      <c r="C162" s="195" t="str">
        <f>IFERROR(__xludf.DUMMYFUNCTION("""COMPUTED_VALUE"""),"Yes")</f>
        <v>Yes</v>
      </c>
      <c r="D162" s="196" t="str">
        <f>IFERROR(__xludf.DUMMYFUNCTION("""COMPUTED_VALUE"""),"Removed")</f>
        <v>Removed</v>
      </c>
      <c r="E162" s="210">
        <f>IFERROR(__xludf.DUMMYFUNCTION("""COMPUTED_VALUE"""),45127.0)</f>
        <v>45127</v>
      </c>
      <c r="F162" s="198">
        <f>IFERROR(__xludf.DUMMYFUNCTION("""COMPUTED_VALUE"""),45488.0)</f>
        <v>45488</v>
      </c>
      <c r="G162" s="199">
        <f>IFERROR(__xludf.DUMMYFUNCTION("""COMPUTED_VALUE"""),11.833333333333334)</f>
        <v>11.83333333</v>
      </c>
      <c r="H162" s="210">
        <f>IFERROR(__xludf.DUMMYFUNCTION("""COMPUTED_VALUE"""),44818.0)</f>
        <v>44818</v>
      </c>
      <c r="I162" s="199">
        <f>IFERROR(__xludf.DUMMYFUNCTION("""COMPUTED_VALUE"""),0.85)</f>
        <v>0.85</v>
      </c>
      <c r="J162" s="200"/>
      <c r="K162" s="200">
        <f>IFERROR(__xludf.DUMMYFUNCTION("""COMPUTED_VALUE"""),14.0)</f>
        <v>14</v>
      </c>
      <c r="L162" s="201" t="str">
        <f>IFERROR(__xludf.DUMMYFUNCTION("""COMPUTED_VALUE"""),"Strategy / Simulation")</f>
        <v>Strategy / Simulation</v>
      </c>
    </row>
    <row r="163">
      <c r="A163" s="190" t="str">
        <f>IFERROR(__xludf.DUMMYFUNCTION("""COMPUTED_VALUE"""),"TOEM")</f>
        <v>TOEM</v>
      </c>
      <c r="B163" s="195" t="str">
        <f>IFERROR(__xludf.DUMMYFUNCTION("""COMPUTED_VALUE"""),"Xbox / PC")</f>
        <v>Xbox / PC</v>
      </c>
      <c r="C163" s="195" t="str">
        <f>IFERROR(__xludf.DUMMYFUNCTION("""COMPUTED_VALUE"""),"Yes")</f>
        <v>Yes</v>
      </c>
      <c r="D163" s="196" t="str">
        <f>IFERROR(__xludf.DUMMYFUNCTION("""COMPUTED_VALUE"""),"Removed")</f>
        <v>Removed</v>
      </c>
      <c r="E163" s="210">
        <f>IFERROR(__xludf.DUMMYFUNCTION("""COMPUTED_VALUE"""),45125.0)</f>
        <v>45125</v>
      </c>
      <c r="F163" s="198">
        <f>IFERROR(__xludf.DUMMYFUNCTION("""COMPUTED_VALUE"""),45488.0)</f>
        <v>45488</v>
      </c>
      <c r="G163" s="199">
        <f>IFERROR(__xludf.DUMMYFUNCTION("""COMPUTED_VALUE"""),11.9)</f>
        <v>11.9</v>
      </c>
      <c r="H163" s="210">
        <f>IFERROR(__xludf.DUMMYFUNCTION("""COMPUTED_VALUE"""),44456.0)</f>
        <v>44456</v>
      </c>
      <c r="I163" s="199">
        <f>IFERROR(__xludf.DUMMYFUNCTION("""COMPUTED_VALUE"""),1.836111111111111)</f>
        <v>1.836111111</v>
      </c>
      <c r="J163" s="200">
        <f>IFERROR(__xludf.DUMMYFUNCTION("""COMPUTED_VALUE"""),79.0)</f>
        <v>79</v>
      </c>
      <c r="K163" s="200">
        <f>IFERROR(__xludf.DUMMYFUNCTION("""COMPUTED_VALUE"""),4.0)</f>
        <v>4</v>
      </c>
      <c r="L163" s="201" t="str">
        <f>IFERROR(__xludf.DUMMYFUNCTION("""COMPUTED_VALUE"""),"Adventure / Puzzle")</f>
        <v>Adventure / Puzzle</v>
      </c>
    </row>
    <row r="164">
      <c r="A164" s="190" t="str">
        <f>IFERROR(__xludf.DUMMYFUNCTION("""COMPUTED_VALUE"""),"Coffee Talk Episode 2: Hibiscus &amp; Butterfly")</f>
        <v>Coffee Talk Episode 2: Hibiscus &amp; Butterfly</v>
      </c>
      <c r="B164" s="195" t="str">
        <f>IFERROR(__xludf.DUMMYFUNCTION("""COMPUTED_VALUE"""),"Xbox / PC")</f>
        <v>Xbox / PC</v>
      </c>
      <c r="C164" s="195" t="str">
        <f>IFERROR(__xludf.DUMMYFUNCTION("""COMPUTED_VALUE"""),"Yes")</f>
        <v>Yes</v>
      </c>
      <c r="D164" s="196" t="str">
        <f>IFERROR(__xludf.DUMMYFUNCTION("""COMPUTED_VALUE"""),"Removed")</f>
        <v>Removed</v>
      </c>
      <c r="E164" s="210">
        <f>IFERROR(__xludf.DUMMYFUNCTION("""COMPUTED_VALUE"""),45036.0)</f>
        <v>45036</v>
      </c>
      <c r="F164" s="198">
        <f>IFERROR(__xludf.DUMMYFUNCTION("""COMPUTED_VALUE"""),45488.0)</f>
        <v>45488</v>
      </c>
      <c r="G164" s="199">
        <f>IFERROR(__xludf.DUMMYFUNCTION("""COMPUTED_VALUE"""),14.833333333333334)</f>
        <v>14.83333333</v>
      </c>
      <c r="H164" s="210">
        <f>IFERROR(__xludf.DUMMYFUNCTION("""COMPUTED_VALUE"""),45036.0)</f>
        <v>45036</v>
      </c>
      <c r="I164" s="199">
        <f>IFERROR(__xludf.DUMMYFUNCTION("""COMPUTED_VALUE"""),0.0)</f>
        <v>0</v>
      </c>
      <c r="J164" s="200">
        <f>IFERROR(__xludf.DUMMYFUNCTION("""COMPUTED_VALUE"""),78.0)</f>
        <v>78</v>
      </c>
      <c r="K164" s="200">
        <f>IFERROR(__xludf.DUMMYFUNCTION("""COMPUTED_VALUE"""),7.0)</f>
        <v>7</v>
      </c>
      <c r="L164" s="201" t="str">
        <f>IFERROR(__xludf.DUMMYFUNCTION("""COMPUTED_VALUE"""),"Adventure")</f>
        <v>Adventure</v>
      </c>
    </row>
    <row r="165">
      <c r="A165" s="190" t="str">
        <f>IFERROR(__xludf.DUMMYFUNCTION("""COMPUTED_VALUE"""),"Sins of a Solar Empire: Rebellion")</f>
        <v>Sins of a Solar Empire: Rebellion</v>
      </c>
      <c r="B165" s="195" t="str">
        <f>IFERROR(__xludf.DUMMYFUNCTION("""COMPUTED_VALUE"""),"PC")</f>
        <v>PC</v>
      </c>
      <c r="C165" s="195"/>
      <c r="D165" s="196" t="str">
        <f>IFERROR(__xludf.DUMMYFUNCTION("""COMPUTED_VALUE"""),"Removed")</f>
        <v>Removed</v>
      </c>
      <c r="E165" s="210">
        <f>IFERROR(__xludf.DUMMYFUNCTION("""COMPUTED_VALUE"""),44763.0)</f>
        <v>44763</v>
      </c>
      <c r="F165" s="198">
        <f>IFERROR(__xludf.DUMMYFUNCTION("""COMPUTED_VALUE"""),45488.0)</f>
        <v>45488</v>
      </c>
      <c r="G165" s="199">
        <f>IFERROR(__xludf.DUMMYFUNCTION("""COMPUTED_VALUE"""),23.8)</f>
        <v>23.8</v>
      </c>
      <c r="H165" s="210">
        <f>IFERROR(__xludf.DUMMYFUNCTION("""COMPUTED_VALUE"""),41430.0)</f>
        <v>41430</v>
      </c>
      <c r="I165" s="199">
        <f>IFERROR(__xludf.DUMMYFUNCTION("""COMPUTED_VALUE"""),9.127777777777778)</f>
        <v>9.127777778</v>
      </c>
      <c r="J165" s="200">
        <f>IFERROR(__xludf.DUMMYFUNCTION("""COMPUTED_VALUE"""),82.0)</f>
        <v>82</v>
      </c>
      <c r="K165" s="200">
        <f>IFERROR(__xludf.DUMMYFUNCTION("""COMPUTED_VALUE"""),10.0)</f>
        <v>10</v>
      </c>
      <c r="L165" s="201" t="str">
        <f>IFERROR(__xludf.DUMMYFUNCTION("""COMPUTED_VALUE"""),"Real-Time Strategy")</f>
        <v>Real-Time Strategy</v>
      </c>
    </row>
    <row r="166">
      <c r="A166" s="190" t="str">
        <f>IFERROR(__xludf.DUMMYFUNCTION("""COMPUTED_VALUE"""),"Cricket 22")</f>
        <v>Cricket 22</v>
      </c>
      <c r="B166" s="195" t="str">
        <f>IFERROR(__xludf.DUMMYFUNCTION("""COMPUTED_VALUE"""),"Xbox / PC")</f>
        <v>Xbox / PC</v>
      </c>
      <c r="C166" s="195" t="str">
        <f>IFERROR(__xludf.DUMMYFUNCTION("""COMPUTED_VALUE"""),"Yes")</f>
        <v>Yes</v>
      </c>
      <c r="D166" s="196" t="str">
        <f>IFERROR(__xludf.DUMMYFUNCTION("""COMPUTED_VALUE"""),"Removed")</f>
        <v>Removed</v>
      </c>
      <c r="E166" s="210">
        <f>IFERROR(__xludf.DUMMYFUNCTION("""COMPUTED_VALUE"""),44656.0)</f>
        <v>44656</v>
      </c>
      <c r="F166" s="198">
        <f>IFERROR(__xludf.DUMMYFUNCTION("""COMPUTED_VALUE"""),45478.0)</f>
        <v>45478</v>
      </c>
      <c r="G166" s="199">
        <f>IFERROR(__xludf.DUMMYFUNCTION("""COMPUTED_VALUE"""),27.0)</f>
        <v>27</v>
      </c>
      <c r="H166" s="210">
        <f>IFERROR(__xludf.DUMMYFUNCTION("""COMPUTED_VALUE"""),44532.0)</f>
        <v>44532</v>
      </c>
      <c r="I166" s="199">
        <f>IFERROR(__xludf.DUMMYFUNCTION("""COMPUTED_VALUE"""),0.3416666666666667)</f>
        <v>0.3416666667</v>
      </c>
      <c r="J166" s="200">
        <f>IFERROR(__xludf.DUMMYFUNCTION("""COMPUTED_VALUE"""),61.0)</f>
        <v>61</v>
      </c>
      <c r="K166" s="200">
        <f>IFERROR(__xludf.DUMMYFUNCTION("""COMPUTED_VALUE"""),22.0)</f>
        <v>22</v>
      </c>
      <c r="L166" s="201" t="str">
        <f>IFERROR(__xludf.DUMMYFUNCTION("""COMPUTED_VALUE"""),"Sports / Cricket")</f>
        <v>Sports / Cricket</v>
      </c>
    </row>
    <row r="167">
      <c r="A167" s="190" t="str">
        <f>IFERROR(__xludf.DUMMYFUNCTION("""COMPUTED_VALUE"""),"Sword and Fairy: Together Forever")</f>
        <v>Sword and Fairy: Together Forever</v>
      </c>
      <c r="B167" s="195" t="str">
        <f>IFERROR(__xludf.DUMMYFUNCTION("""COMPUTED_VALUE"""),"Xbox / PC")</f>
        <v>Xbox / PC</v>
      </c>
      <c r="C167" s="195" t="str">
        <f>IFERROR(__xludf.DUMMYFUNCTION("""COMPUTED_VALUE"""),"Yes")</f>
        <v>Yes</v>
      </c>
      <c r="D167" s="196" t="str">
        <f>IFERROR(__xludf.DUMMYFUNCTION("""COMPUTED_VALUE"""),"Removed")</f>
        <v>Removed</v>
      </c>
      <c r="E167" s="210">
        <f>IFERROR(__xludf.DUMMYFUNCTION("""COMPUTED_VALUE"""),45113.0)</f>
        <v>45113</v>
      </c>
      <c r="F167" s="198">
        <f>IFERROR(__xludf.DUMMYFUNCTION("""COMPUTED_VALUE"""),45473.0)</f>
        <v>45473</v>
      </c>
      <c r="G167" s="199">
        <f>IFERROR(__xludf.DUMMYFUNCTION("""COMPUTED_VALUE"""),11.799999999999999)</f>
        <v>11.8</v>
      </c>
      <c r="H167" s="210">
        <f>IFERROR(__xludf.DUMMYFUNCTION("""COMPUTED_VALUE"""),44490.0)</f>
        <v>44490</v>
      </c>
      <c r="I167" s="199">
        <f>IFERROR(__xludf.DUMMYFUNCTION("""COMPUTED_VALUE"""),1.7083333333333333)</f>
        <v>1.708333333</v>
      </c>
      <c r="J167" s="200">
        <f>IFERROR(__xludf.DUMMYFUNCTION("""COMPUTED_VALUE"""),73.0)</f>
        <v>73</v>
      </c>
      <c r="K167" s="200">
        <f>IFERROR(__xludf.DUMMYFUNCTION("""COMPUTED_VALUE"""),24.0)</f>
        <v>24</v>
      </c>
      <c r="L167" s="201" t="str">
        <f>IFERROR(__xludf.DUMMYFUNCTION("""COMPUTED_VALUE"""),"RPG / Action-Adventure")</f>
        <v>RPG / Action-Adventure</v>
      </c>
    </row>
    <row r="168">
      <c r="A168" s="190" t="str">
        <f>IFERROR(__xludf.DUMMYFUNCTION("""COMPUTED_VALUE"""),"Story of Seasons: Friends of Mineral Town")</f>
        <v>Story of Seasons: Friends of Mineral Town</v>
      </c>
      <c r="B168" s="195" t="str">
        <f>IFERROR(__xludf.DUMMYFUNCTION("""COMPUTED_VALUE"""),"Xbox / PC")</f>
        <v>Xbox / PC</v>
      </c>
      <c r="C168" s="195"/>
      <c r="D168" s="196" t="str">
        <f>IFERROR(__xludf.DUMMYFUNCTION("""COMPUTED_VALUE"""),"Removed")</f>
        <v>Removed</v>
      </c>
      <c r="E168" s="210">
        <f>IFERROR(__xludf.DUMMYFUNCTION("""COMPUTED_VALUE"""),45106.0)</f>
        <v>45106</v>
      </c>
      <c r="F168" s="198">
        <f>IFERROR(__xludf.DUMMYFUNCTION("""COMPUTED_VALUE"""),45473.0)</f>
        <v>45473</v>
      </c>
      <c r="G168" s="199">
        <f>IFERROR(__xludf.DUMMYFUNCTION("""COMPUTED_VALUE"""),12.033333333333333)</f>
        <v>12.03333333</v>
      </c>
      <c r="H168" s="210">
        <f>IFERROR(__xludf.DUMMYFUNCTION("""COMPUTED_VALUE"""),43755.0)</f>
        <v>43755</v>
      </c>
      <c r="I168" s="199">
        <f>IFERROR(__xludf.DUMMYFUNCTION("""COMPUTED_VALUE"""),3.7)</f>
        <v>3.7</v>
      </c>
      <c r="J168" s="200">
        <f>IFERROR(__xludf.DUMMYFUNCTION("""COMPUTED_VALUE"""),72.0)</f>
        <v>72</v>
      </c>
      <c r="K168" s="200">
        <f>IFERROR(__xludf.DUMMYFUNCTION("""COMPUTED_VALUE"""),30.0)</f>
        <v>30</v>
      </c>
      <c r="L168" s="201" t="str">
        <f>IFERROR(__xludf.DUMMYFUNCTION("""COMPUTED_VALUE"""),"Simulation")</f>
        <v>Simulation</v>
      </c>
    </row>
    <row r="169">
      <c r="A169" s="190" t="str">
        <f>IFERROR(__xludf.DUMMYFUNCTION("""COMPUTED_VALUE"""),"F.I.S.T.: Forged In Shadow Torch")</f>
        <v>F.I.S.T.: Forged In Shadow Torch</v>
      </c>
      <c r="B169" s="195" t="str">
        <f>IFERROR(__xludf.DUMMYFUNCTION("""COMPUTED_VALUE"""),"Xbox / PC")</f>
        <v>Xbox / PC</v>
      </c>
      <c r="C169" s="195" t="str">
        <f>IFERROR(__xludf.DUMMYFUNCTION("""COMPUTED_VALUE"""),"Yes")</f>
        <v>Yes</v>
      </c>
      <c r="D169" s="196" t="str">
        <f>IFERROR(__xludf.DUMMYFUNCTION("""COMPUTED_VALUE"""),"Removed")</f>
        <v>Removed</v>
      </c>
      <c r="E169" s="210">
        <f>IFERROR(__xludf.DUMMYFUNCTION("""COMPUTED_VALUE"""),45104.0)</f>
        <v>45104</v>
      </c>
      <c r="F169" s="198">
        <f>IFERROR(__xludf.DUMMYFUNCTION("""COMPUTED_VALUE"""),45473.0)</f>
        <v>45473</v>
      </c>
      <c r="G169" s="199">
        <f>IFERROR(__xludf.DUMMYFUNCTION("""COMPUTED_VALUE"""),12.1)</f>
        <v>12.1</v>
      </c>
      <c r="H169" s="210">
        <f>IFERROR(__xludf.DUMMYFUNCTION("""COMPUTED_VALUE"""),44446.0)</f>
        <v>44446</v>
      </c>
      <c r="I169" s="199">
        <f>IFERROR(__xludf.DUMMYFUNCTION("""COMPUTED_VALUE"""),1.8055555555555556)</f>
        <v>1.805555556</v>
      </c>
      <c r="J169" s="200">
        <f>IFERROR(__xludf.DUMMYFUNCTION("""COMPUTED_VALUE"""),81.0)</f>
        <v>81</v>
      </c>
      <c r="K169" s="200">
        <f>IFERROR(__xludf.DUMMYFUNCTION("""COMPUTED_VALUE"""),12.0)</f>
        <v>12</v>
      </c>
      <c r="L169" s="201" t="str">
        <f>IFERROR(__xludf.DUMMYFUNCTION("""COMPUTED_VALUE"""),"Brawler / Platformer / Action-Adventure")</f>
        <v>Brawler / Platformer / Action-Adventure</v>
      </c>
    </row>
    <row r="170">
      <c r="A170" s="190" t="str">
        <f>IFERROR(__xludf.DUMMYFUNCTION("""COMPUTED_VALUE"""),"Stranded Deep")</f>
        <v>Stranded Deep</v>
      </c>
      <c r="B170" s="195" t="str">
        <f>IFERROR(__xludf.DUMMYFUNCTION("""COMPUTED_VALUE"""),"Xbox / PC")</f>
        <v>Xbox / PC</v>
      </c>
      <c r="C170" s="195" t="str">
        <f>IFERROR(__xludf.DUMMYFUNCTION("""COMPUTED_VALUE"""),"Yes")</f>
        <v>Yes</v>
      </c>
      <c r="D170" s="196" t="str">
        <f>IFERROR(__xludf.DUMMYFUNCTION("""COMPUTED_VALUE"""),"Removed")</f>
        <v>Removed</v>
      </c>
      <c r="E170" s="210">
        <f>IFERROR(__xludf.DUMMYFUNCTION("""COMPUTED_VALUE"""),44929.0)</f>
        <v>44929</v>
      </c>
      <c r="F170" s="198">
        <f>IFERROR(__xludf.DUMMYFUNCTION("""COMPUTED_VALUE"""),45473.0)</f>
        <v>45473</v>
      </c>
      <c r="G170" s="199">
        <f>IFERROR(__xludf.DUMMYFUNCTION("""COMPUTED_VALUE"""),17.9)</f>
        <v>17.9</v>
      </c>
      <c r="H170" s="210">
        <f>IFERROR(__xludf.DUMMYFUNCTION("""COMPUTED_VALUE"""),42027.0)</f>
        <v>42027</v>
      </c>
      <c r="I170" s="199">
        <f>IFERROR(__xludf.DUMMYFUNCTION("""COMPUTED_VALUE"""),7.944444444444445)</f>
        <v>7.944444444</v>
      </c>
      <c r="J170" s="200">
        <f>IFERROR(__xludf.DUMMYFUNCTION("""COMPUTED_VALUE"""),75.0)</f>
        <v>75</v>
      </c>
      <c r="K170" s="200">
        <f>IFERROR(__xludf.DUMMYFUNCTION("""COMPUTED_VALUE"""),18.0)</f>
        <v>18</v>
      </c>
      <c r="L170" s="201" t="str">
        <f>IFERROR(__xludf.DUMMYFUNCTION("""COMPUTED_VALUE"""),"Adventure / Simulation")</f>
        <v>Adventure / Simulation</v>
      </c>
    </row>
    <row r="171">
      <c r="A171" s="190" t="str">
        <f>IFERROR(__xludf.DUMMYFUNCTION("""COMPUTED_VALUE"""),"FIFA 22")</f>
        <v>FIFA 22</v>
      </c>
      <c r="B171" s="195" t="str">
        <f>IFERROR(__xludf.DUMMYFUNCTION("""COMPUTED_VALUE"""),"Xbox / PC")</f>
        <v>Xbox / PC</v>
      </c>
      <c r="C171" s="195"/>
      <c r="D171" s="196" t="str">
        <f>IFERROR(__xludf.DUMMYFUNCTION("""COMPUTED_VALUE"""),"Removed")</f>
        <v>Removed</v>
      </c>
      <c r="E171" s="210">
        <f>IFERROR(__xludf.DUMMYFUNCTION("""COMPUTED_VALUE"""),44735.0)</f>
        <v>44735</v>
      </c>
      <c r="F171" s="198">
        <f>IFERROR(__xludf.DUMMYFUNCTION("""COMPUTED_VALUE"""),45473.0)</f>
        <v>45473</v>
      </c>
      <c r="G171" s="199">
        <f>IFERROR(__xludf.DUMMYFUNCTION("""COMPUTED_VALUE"""),24.233333333333334)</f>
        <v>24.23333333</v>
      </c>
      <c r="H171" s="210">
        <f>IFERROR(__xludf.DUMMYFUNCTION("""COMPUTED_VALUE"""),44470.0)</f>
        <v>44470</v>
      </c>
      <c r="I171" s="199">
        <f>IFERROR(__xludf.DUMMYFUNCTION("""COMPUTED_VALUE"""),0.7277777777777777)</f>
        <v>0.7277777778</v>
      </c>
      <c r="J171" s="200">
        <f>IFERROR(__xludf.DUMMYFUNCTION("""COMPUTED_VALUE"""),75.5)</f>
        <v>75.5</v>
      </c>
      <c r="K171" s="200">
        <f>IFERROR(__xludf.DUMMYFUNCTION("""COMPUTED_VALUE"""),94.5)</f>
        <v>94.5</v>
      </c>
      <c r="L171" s="201" t="str">
        <f>IFERROR(__xludf.DUMMYFUNCTION("""COMPUTED_VALUE"""),"Sports / Soccer")</f>
        <v>Sports / Soccer</v>
      </c>
    </row>
    <row r="172">
      <c r="A172" s="190" t="str">
        <f>IFERROR(__xludf.DUMMYFUNCTION("""COMPUTED_VALUE"""),"Bramble: The Mountain King")</f>
        <v>Bramble: The Mountain King</v>
      </c>
      <c r="B172" s="195" t="str">
        <f>IFERROR(__xludf.DUMMYFUNCTION("""COMPUTED_VALUE"""),"Xbox / PC")</f>
        <v>Xbox / PC</v>
      </c>
      <c r="C172" s="195" t="str">
        <f>IFERROR(__xludf.DUMMYFUNCTION("""COMPUTED_VALUE"""),"Yes")</f>
        <v>Yes</v>
      </c>
      <c r="D172" s="196" t="str">
        <f>IFERROR(__xludf.DUMMYFUNCTION("""COMPUTED_VALUE"""),"Removed")</f>
        <v>Removed</v>
      </c>
      <c r="E172" s="210">
        <f>IFERROR(__xludf.DUMMYFUNCTION("""COMPUTED_VALUE"""),45104.0)</f>
        <v>45104</v>
      </c>
      <c r="F172" s="198">
        <f>IFERROR(__xludf.DUMMYFUNCTION("""COMPUTED_VALUE"""),45458.0)</f>
        <v>45458</v>
      </c>
      <c r="G172" s="199">
        <f>IFERROR(__xludf.DUMMYFUNCTION("""COMPUTED_VALUE"""),11.6)</f>
        <v>11.6</v>
      </c>
      <c r="H172" s="210">
        <f>IFERROR(__xludf.DUMMYFUNCTION("""COMPUTED_VALUE"""),45043.0)</f>
        <v>45043</v>
      </c>
      <c r="I172" s="199">
        <f>IFERROR(__xludf.DUMMYFUNCTION("""COMPUTED_VALUE"""),0.16666666666666666)</f>
        <v>0.1666666667</v>
      </c>
      <c r="J172" s="200">
        <f>IFERROR(__xludf.DUMMYFUNCTION("""COMPUTED_VALUE"""),80.0)</f>
        <v>80</v>
      </c>
      <c r="K172" s="200">
        <f>IFERROR(__xludf.DUMMYFUNCTION("""COMPUTED_VALUE"""),5.0)</f>
        <v>5</v>
      </c>
      <c r="L172" s="201" t="str">
        <f>IFERROR(__xludf.DUMMYFUNCTION("""COMPUTED_VALUE"""),"Adventure / Platformer")</f>
        <v>Adventure / Platformer</v>
      </c>
    </row>
    <row r="173">
      <c r="A173" s="190" t="str">
        <f>IFERROR(__xludf.DUMMYFUNCTION("""COMPUTED_VALUE"""),"The Bookwalker: Thief of Tales")</f>
        <v>The Bookwalker: Thief of Tales</v>
      </c>
      <c r="B173" s="195" t="str">
        <f>IFERROR(__xludf.DUMMYFUNCTION("""COMPUTED_VALUE"""),"Xbox / PC")</f>
        <v>Xbox / PC</v>
      </c>
      <c r="C173" s="195"/>
      <c r="D173" s="196" t="str">
        <f>IFERROR(__xludf.DUMMYFUNCTION("""COMPUTED_VALUE"""),"Removed")</f>
        <v>Removed</v>
      </c>
      <c r="E173" s="210">
        <f>IFERROR(__xludf.DUMMYFUNCTION("""COMPUTED_VALUE"""),45099.0)</f>
        <v>45099</v>
      </c>
      <c r="F173" s="198">
        <f>IFERROR(__xludf.DUMMYFUNCTION("""COMPUTED_VALUE"""),45458.0)</f>
        <v>45458</v>
      </c>
      <c r="G173" s="199">
        <f>IFERROR(__xludf.DUMMYFUNCTION("""COMPUTED_VALUE"""),11.766666666666666)</f>
        <v>11.76666667</v>
      </c>
      <c r="H173" s="210">
        <f>IFERROR(__xludf.DUMMYFUNCTION("""COMPUTED_VALUE"""),45099.0)</f>
        <v>45099</v>
      </c>
      <c r="I173" s="199">
        <f>IFERROR(__xludf.DUMMYFUNCTION("""COMPUTED_VALUE"""),0.0)</f>
        <v>0</v>
      </c>
      <c r="J173" s="200">
        <f>IFERROR(__xludf.DUMMYFUNCTION("""COMPUTED_VALUE"""),75.0)</f>
        <v>75</v>
      </c>
      <c r="K173" s="200">
        <f>IFERROR(__xludf.DUMMYFUNCTION("""COMPUTED_VALUE"""),6.0)</f>
        <v>6</v>
      </c>
      <c r="L173" s="201" t="str">
        <f>IFERROR(__xludf.DUMMYFUNCTION("""COMPUTED_VALUE"""),"Adventure")</f>
        <v>Adventure</v>
      </c>
    </row>
    <row r="174">
      <c r="A174" s="190" t="str">
        <f>IFERROR(__xludf.DUMMYFUNCTION("""COMPUTED_VALUE"""),"Rune Factory 4: Special")</f>
        <v>Rune Factory 4: Special</v>
      </c>
      <c r="B174" s="195" t="str">
        <f>IFERROR(__xludf.DUMMYFUNCTION("""COMPUTED_VALUE"""),"Xbox / PC")</f>
        <v>Xbox / PC</v>
      </c>
      <c r="C174" s="195" t="str">
        <f>IFERROR(__xludf.DUMMYFUNCTION("""COMPUTED_VALUE"""),"Yes")</f>
        <v>Yes</v>
      </c>
      <c r="D174" s="196" t="str">
        <f>IFERROR(__xludf.DUMMYFUNCTION("""COMPUTED_VALUE"""),"Removed")</f>
        <v>Removed</v>
      </c>
      <c r="E174" s="210">
        <f>IFERROR(__xludf.DUMMYFUNCTION("""COMPUTED_VALUE"""),45085.0)</f>
        <v>45085</v>
      </c>
      <c r="F174" s="198">
        <f>IFERROR(__xludf.DUMMYFUNCTION("""COMPUTED_VALUE"""),45458.0)</f>
        <v>45458</v>
      </c>
      <c r="G174" s="199">
        <f>IFERROR(__xludf.DUMMYFUNCTION("""COMPUTED_VALUE"""),12.233333333333333)</f>
        <v>12.23333333</v>
      </c>
      <c r="H174" s="210">
        <f>IFERROR(__xludf.DUMMYFUNCTION("""COMPUTED_VALUE"""),41109.0)</f>
        <v>41109</v>
      </c>
      <c r="I174" s="199">
        <f>IFERROR(__xludf.DUMMYFUNCTION("""COMPUTED_VALUE"""),10.886111111111111)</f>
        <v>10.88611111</v>
      </c>
      <c r="J174" s="200">
        <f>IFERROR(__xludf.DUMMYFUNCTION("""COMPUTED_VALUE"""),82.0)</f>
        <v>82</v>
      </c>
      <c r="K174" s="200">
        <f>IFERROR(__xludf.DUMMYFUNCTION("""COMPUTED_VALUE"""),39.0)</f>
        <v>39</v>
      </c>
      <c r="L174" s="201" t="str">
        <f>IFERROR(__xludf.DUMMYFUNCTION("""COMPUTED_VALUE"""),"Action / RPG")</f>
        <v>Action / RPG</v>
      </c>
    </row>
    <row r="175">
      <c r="A175" s="190" t="str">
        <f>IFERROR(__xludf.DUMMYFUNCTION("""COMPUTED_VALUE"""),"Spacelines from the Far Out")</f>
        <v>Spacelines from the Far Out</v>
      </c>
      <c r="B175" s="195" t="str">
        <f>IFERROR(__xludf.DUMMYFUNCTION("""COMPUTED_VALUE"""),"Xbox / PC")</f>
        <v>Xbox / PC</v>
      </c>
      <c r="C175" s="195" t="str">
        <f>IFERROR(__xludf.DUMMYFUNCTION("""COMPUTED_VALUE"""),"Touch Controls")</f>
        <v>Touch Controls</v>
      </c>
      <c r="D175" s="196" t="str">
        <f>IFERROR(__xludf.DUMMYFUNCTION("""COMPUTED_VALUE"""),"Removed")</f>
        <v>Removed</v>
      </c>
      <c r="E175" s="210">
        <f>IFERROR(__xludf.DUMMYFUNCTION("""COMPUTED_VALUE"""),44719.0)</f>
        <v>44719</v>
      </c>
      <c r="F175" s="198">
        <f>IFERROR(__xludf.DUMMYFUNCTION("""COMPUTED_VALUE"""),45458.0)</f>
        <v>45458</v>
      </c>
      <c r="G175" s="199">
        <f>IFERROR(__xludf.DUMMYFUNCTION("""COMPUTED_VALUE"""),24.266666666666666)</f>
        <v>24.26666667</v>
      </c>
      <c r="H175" s="210">
        <f>IFERROR(__xludf.DUMMYFUNCTION("""COMPUTED_VALUE"""),44719.0)</f>
        <v>44719</v>
      </c>
      <c r="I175" s="199">
        <f>IFERROR(__xludf.DUMMYFUNCTION("""COMPUTED_VALUE"""),0.0)</f>
        <v>0</v>
      </c>
      <c r="J175" s="200">
        <f>IFERROR(__xludf.DUMMYFUNCTION("""COMPUTED_VALUE"""),83.0)</f>
        <v>83</v>
      </c>
      <c r="K175" s="200">
        <f>IFERROR(__xludf.DUMMYFUNCTION("""COMPUTED_VALUE"""),1.5)</f>
        <v>1.5</v>
      </c>
      <c r="L175" s="201" t="str">
        <f>IFERROR(__xludf.DUMMYFUNCTION("""COMPUTED_VALUE"""),"Action / Simulation")</f>
        <v>Action / Simulation</v>
      </c>
    </row>
    <row r="176">
      <c r="A176" s="190" t="str">
        <f>IFERROR(__xludf.DUMMYFUNCTION("""COMPUTED_VALUE"""),"Chicory: A Colorful Tale")</f>
        <v>Chicory: A Colorful Tale</v>
      </c>
      <c r="B176" s="195" t="str">
        <f>IFERROR(__xludf.DUMMYFUNCTION("""COMPUTED_VALUE"""),"Xbox / PC")</f>
        <v>Xbox / PC</v>
      </c>
      <c r="C176" s="195"/>
      <c r="D176" s="196" t="str">
        <f>IFERROR(__xludf.DUMMYFUNCTION("""COMPUTED_VALUE"""),"Removed")</f>
        <v>Removed</v>
      </c>
      <c r="E176" s="210">
        <f>IFERROR(__xludf.DUMMYFUNCTION("""COMPUTED_VALUE"""),45076.0)</f>
        <v>45076</v>
      </c>
      <c r="F176" s="198">
        <f>IFERROR(__xludf.DUMMYFUNCTION("""COMPUTED_VALUE"""),45443.0)</f>
        <v>45443</v>
      </c>
      <c r="G176" s="199">
        <f>IFERROR(__xludf.DUMMYFUNCTION("""COMPUTED_VALUE"""),12.0)</f>
        <v>12</v>
      </c>
      <c r="H176" s="210">
        <f>IFERROR(__xludf.DUMMYFUNCTION("""COMPUTED_VALUE"""),44357.0)</f>
        <v>44357</v>
      </c>
      <c r="I176" s="199">
        <f>IFERROR(__xludf.DUMMYFUNCTION("""COMPUTED_VALUE"""),1.9722222222222223)</f>
        <v>1.972222222</v>
      </c>
      <c r="J176" s="200">
        <f>IFERROR(__xludf.DUMMYFUNCTION("""COMPUTED_VALUE"""),90.0)</f>
        <v>90</v>
      </c>
      <c r="K176" s="200">
        <f>IFERROR(__xludf.DUMMYFUNCTION("""COMPUTED_VALUE"""),10.0)</f>
        <v>10</v>
      </c>
      <c r="L176" s="201" t="str">
        <f>IFERROR(__xludf.DUMMYFUNCTION("""COMPUTED_VALUE"""),"Action-Adventure")</f>
        <v>Action-Adventure</v>
      </c>
    </row>
    <row r="177">
      <c r="A177" s="190" t="str">
        <f>IFERROR(__xludf.DUMMYFUNCTION("""COMPUTED_VALUE"""),"Farworld Pioneers")</f>
        <v>Farworld Pioneers</v>
      </c>
      <c r="B177" s="195" t="str">
        <f>IFERROR(__xludf.DUMMYFUNCTION("""COMPUTED_VALUE"""),"Xbox / PC")</f>
        <v>Xbox / PC</v>
      </c>
      <c r="C177" s="195"/>
      <c r="D177" s="196" t="str">
        <f>IFERROR(__xludf.DUMMYFUNCTION("""COMPUTED_VALUE"""),"Removed")</f>
        <v>Removed</v>
      </c>
      <c r="E177" s="210">
        <f>IFERROR(__xludf.DUMMYFUNCTION("""COMPUTED_VALUE"""),45076.0)</f>
        <v>45076</v>
      </c>
      <c r="F177" s="198">
        <f>IFERROR(__xludf.DUMMYFUNCTION("""COMPUTED_VALUE"""),45443.0)</f>
        <v>45443</v>
      </c>
      <c r="G177" s="199">
        <f>IFERROR(__xludf.DUMMYFUNCTION("""COMPUTED_VALUE"""),12.0)</f>
        <v>12</v>
      </c>
      <c r="H177" s="210">
        <f>IFERROR(__xludf.DUMMYFUNCTION("""COMPUTED_VALUE"""),45076.0)</f>
        <v>45076</v>
      </c>
      <c r="I177" s="199">
        <f>IFERROR(__xludf.DUMMYFUNCTION("""COMPUTED_VALUE"""),0.0)</f>
        <v>0</v>
      </c>
      <c r="J177" s="200">
        <f>IFERROR(__xludf.DUMMYFUNCTION("""COMPUTED_VALUE"""),58.0)</f>
        <v>58</v>
      </c>
      <c r="K177" s="200"/>
      <c r="L177" s="201" t="str">
        <f>IFERROR(__xludf.DUMMYFUNCTION("""COMPUTED_VALUE"""),"Sandbox")</f>
        <v>Sandbox</v>
      </c>
    </row>
    <row r="178">
      <c r="A178" s="190" t="str">
        <f>IFERROR(__xludf.DUMMYFUNCTION("""COMPUTED_VALUE"""),"Railway Empire 2")</f>
        <v>Railway Empire 2</v>
      </c>
      <c r="B178" s="195" t="str">
        <f>IFERROR(__xludf.DUMMYFUNCTION("""COMPUTED_VALUE"""),"Xbox / PC")</f>
        <v>Xbox / PC</v>
      </c>
      <c r="C178" s="195" t="str">
        <f>IFERROR(__xludf.DUMMYFUNCTION("""COMPUTED_VALUE"""),"Yes")</f>
        <v>Yes</v>
      </c>
      <c r="D178" s="196" t="str">
        <f>IFERROR(__xludf.DUMMYFUNCTION("""COMPUTED_VALUE"""),"Removed")</f>
        <v>Removed</v>
      </c>
      <c r="E178" s="210">
        <f>IFERROR(__xludf.DUMMYFUNCTION("""COMPUTED_VALUE"""),45070.0)</f>
        <v>45070</v>
      </c>
      <c r="F178" s="198">
        <f>IFERROR(__xludf.DUMMYFUNCTION("""COMPUTED_VALUE"""),45443.0)</f>
        <v>45443</v>
      </c>
      <c r="G178" s="199">
        <f>IFERROR(__xludf.DUMMYFUNCTION("""COMPUTED_VALUE"""),12.2)</f>
        <v>12.2</v>
      </c>
      <c r="H178" s="210">
        <f>IFERROR(__xludf.DUMMYFUNCTION("""COMPUTED_VALUE"""),45071.0)</f>
        <v>45071</v>
      </c>
      <c r="I178" s="199">
        <f>IFERROR(__xludf.DUMMYFUNCTION("""COMPUTED_VALUE"""),-0.002777777777777778)</f>
        <v>-0.002777777778</v>
      </c>
      <c r="J178" s="200">
        <f>IFERROR(__xludf.DUMMYFUNCTION("""COMPUTED_VALUE"""),79.0)</f>
        <v>79</v>
      </c>
      <c r="K178" s="200">
        <f>IFERROR(__xludf.DUMMYFUNCTION("""COMPUTED_VALUE"""),28.0)</f>
        <v>28</v>
      </c>
      <c r="L178" s="201" t="str">
        <f>IFERROR(__xludf.DUMMYFUNCTION("""COMPUTED_VALUE"""),"Strategy / Simulation")</f>
        <v>Strategy / Simulation</v>
      </c>
    </row>
    <row r="179">
      <c r="A179" s="190" t="str">
        <f>IFERROR(__xludf.DUMMYFUNCTION("""COMPUTED_VALUE"""),"JoJo's Bizarre Adventure: All-Star Battle R")</f>
        <v>JoJo's Bizarre Adventure: All-Star Battle R</v>
      </c>
      <c r="B179" s="195" t="str">
        <f>IFERROR(__xludf.DUMMYFUNCTION("""COMPUTED_VALUE"""),"Xbox / PC")</f>
        <v>Xbox / PC</v>
      </c>
      <c r="C179" s="195" t="str">
        <f>IFERROR(__xludf.DUMMYFUNCTION("""COMPUTED_VALUE"""),"Yes")</f>
        <v>Yes</v>
      </c>
      <c r="D179" s="196" t="str">
        <f>IFERROR(__xludf.DUMMYFUNCTION("""COMPUTED_VALUE"""),"Removed")</f>
        <v>Removed</v>
      </c>
      <c r="E179" s="210">
        <f>IFERROR(__xludf.DUMMYFUNCTION("""COMPUTED_VALUE"""),44957.0)</f>
        <v>44957</v>
      </c>
      <c r="F179" s="198">
        <f>IFERROR(__xludf.DUMMYFUNCTION("""COMPUTED_VALUE"""),45443.0)</f>
        <v>45443</v>
      </c>
      <c r="G179" s="199">
        <f>IFERROR(__xludf.DUMMYFUNCTION("""COMPUTED_VALUE"""),16.0)</f>
        <v>16</v>
      </c>
      <c r="H179" s="210">
        <f>IFERROR(__xludf.DUMMYFUNCTION("""COMPUTED_VALUE"""),44805.0)</f>
        <v>44805</v>
      </c>
      <c r="I179" s="199">
        <f>IFERROR(__xludf.DUMMYFUNCTION("""COMPUTED_VALUE"""),0.41388888888888886)</f>
        <v>0.4138888889</v>
      </c>
      <c r="J179" s="200">
        <f>IFERROR(__xludf.DUMMYFUNCTION("""COMPUTED_VALUE"""),73.0)</f>
        <v>73</v>
      </c>
      <c r="K179" s="200">
        <f>IFERROR(__xludf.DUMMYFUNCTION("""COMPUTED_VALUE"""),10.0)</f>
        <v>10</v>
      </c>
      <c r="L179" s="201" t="str">
        <f>IFERROR(__xludf.DUMMYFUNCTION("""COMPUTED_VALUE"""),"Fighting")</f>
        <v>Fighting</v>
      </c>
    </row>
    <row r="180">
      <c r="A180" s="190" t="str">
        <f>IFERROR(__xludf.DUMMYFUNCTION("""COMPUTED_VALUE"""),"Pac-Man Museum+")</f>
        <v>Pac-Man Museum+</v>
      </c>
      <c r="B180" s="195" t="str">
        <f>IFERROR(__xludf.DUMMYFUNCTION("""COMPUTED_VALUE"""),"Xbox / PC")</f>
        <v>Xbox / PC</v>
      </c>
      <c r="C180" s="195" t="str">
        <f>IFERROR(__xludf.DUMMYFUNCTION("""COMPUTED_VALUE"""),"Yes")</f>
        <v>Yes</v>
      </c>
      <c r="D180" s="196" t="str">
        <f>IFERROR(__xludf.DUMMYFUNCTION("""COMPUTED_VALUE"""),"Removed")</f>
        <v>Removed</v>
      </c>
      <c r="E180" s="210">
        <f>IFERROR(__xludf.DUMMYFUNCTION("""COMPUTED_VALUE"""),44708.0)</f>
        <v>44708</v>
      </c>
      <c r="F180" s="198">
        <f>IFERROR(__xludf.DUMMYFUNCTION("""COMPUTED_VALUE"""),45443.0)</f>
        <v>45443</v>
      </c>
      <c r="G180" s="199">
        <f>IFERROR(__xludf.DUMMYFUNCTION("""COMPUTED_VALUE"""),24.1)</f>
        <v>24.1</v>
      </c>
      <c r="H180" s="210">
        <f>IFERROR(__xludf.DUMMYFUNCTION("""COMPUTED_VALUE"""),44708.0)</f>
        <v>44708</v>
      </c>
      <c r="I180" s="199">
        <f>IFERROR(__xludf.DUMMYFUNCTION("""COMPUTED_VALUE"""),0.0)</f>
        <v>0</v>
      </c>
      <c r="J180" s="200">
        <f>IFERROR(__xludf.DUMMYFUNCTION("""COMPUTED_VALUE"""),64.0)</f>
        <v>64</v>
      </c>
      <c r="K180" s="200">
        <f>IFERROR(__xludf.DUMMYFUNCTION("""COMPUTED_VALUE"""),2.5)</f>
        <v>2.5</v>
      </c>
      <c r="L180" s="201" t="str">
        <f>IFERROR(__xludf.DUMMYFUNCTION("""COMPUTED_VALUE"""),"Compilation / Platformer")</f>
        <v>Compilation / Platformer</v>
      </c>
    </row>
    <row r="181">
      <c r="A181" s="190" t="str">
        <f>IFERROR(__xludf.DUMMYFUNCTION("""COMPUTED_VALUE"""),"Little Witch in the Woods (Game Preview)")</f>
        <v>Little Witch in the Woods (Game Preview)</v>
      </c>
      <c r="B181" s="195" t="str">
        <f>IFERROR(__xludf.DUMMYFUNCTION("""COMPUTED_VALUE"""),"Xbox / PC")</f>
        <v>Xbox / PC</v>
      </c>
      <c r="C181" s="195" t="str">
        <f>IFERROR(__xludf.DUMMYFUNCTION("""COMPUTED_VALUE"""),"Touch Controls")</f>
        <v>Touch Controls</v>
      </c>
      <c r="D181" s="196" t="str">
        <f>IFERROR(__xludf.DUMMYFUNCTION("""COMPUTED_VALUE"""),"Removed")</f>
        <v>Removed</v>
      </c>
      <c r="E181" s="210">
        <f>IFERROR(__xludf.DUMMYFUNCTION("""COMPUTED_VALUE"""),44698.0)</f>
        <v>44698</v>
      </c>
      <c r="F181" s="198">
        <f>IFERROR(__xludf.DUMMYFUNCTION("""COMPUTED_VALUE"""),45443.0)</f>
        <v>45443</v>
      </c>
      <c r="G181" s="199">
        <f>IFERROR(__xludf.DUMMYFUNCTION("""COMPUTED_VALUE"""),24.43333333333333)</f>
        <v>24.43333333</v>
      </c>
      <c r="H181" s="210">
        <f>IFERROR(__xludf.DUMMYFUNCTION("""COMPUTED_VALUE"""),44697.0)</f>
        <v>44697</v>
      </c>
      <c r="I181" s="199">
        <f>IFERROR(__xludf.DUMMYFUNCTION("""COMPUTED_VALUE"""),0.002777777777777778)</f>
        <v>0.002777777778</v>
      </c>
      <c r="J181" s="200"/>
      <c r="K181" s="200">
        <f>IFERROR(__xludf.DUMMYFUNCTION("""COMPUTED_VALUE"""),8.0)</f>
        <v>8</v>
      </c>
      <c r="L181" s="201" t="str">
        <f>IFERROR(__xludf.DUMMYFUNCTION("""COMPUTED_VALUE"""),"RPG")</f>
        <v>RPG</v>
      </c>
    </row>
    <row r="182">
      <c r="A182" s="190" t="str">
        <f>IFERROR(__xludf.DUMMYFUNCTION("""COMPUTED_VALUE"""),"Eastern Exorcist")</f>
        <v>Eastern Exorcist</v>
      </c>
      <c r="B182" s="195" t="str">
        <f>IFERROR(__xludf.DUMMYFUNCTION("""COMPUTED_VALUE"""),"Xbox / PC")</f>
        <v>Xbox / PC</v>
      </c>
      <c r="C182" s="195"/>
      <c r="D182" s="196" t="str">
        <f>IFERROR(__xludf.DUMMYFUNCTION("""COMPUTED_VALUE"""),"Removed")</f>
        <v>Removed</v>
      </c>
      <c r="E182" s="210">
        <f>IFERROR(__xludf.DUMMYFUNCTION("""COMPUTED_VALUE"""),45064.0)</f>
        <v>45064</v>
      </c>
      <c r="F182" s="198">
        <f>IFERROR(__xludf.DUMMYFUNCTION("""COMPUTED_VALUE"""),45427.0)</f>
        <v>45427</v>
      </c>
      <c r="G182" s="199">
        <f>IFERROR(__xludf.DUMMYFUNCTION("""COMPUTED_VALUE"""),11.9)</f>
        <v>11.9</v>
      </c>
      <c r="H182" s="210">
        <f>IFERROR(__xludf.DUMMYFUNCTION("""COMPUTED_VALUE"""),44385.0)</f>
        <v>44385</v>
      </c>
      <c r="I182" s="199">
        <f>IFERROR(__xludf.DUMMYFUNCTION("""COMPUTED_VALUE"""),1.8611111111111112)</f>
        <v>1.861111111</v>
      </c>
      <c r="J182" s="200">
        <f>IFERROR(__xludf.DUMMYFUNCTION("""COMPUTED_VALUE"""),73.0)</f>
        <v>73</v>
      </c>
      <c r="K182" s="200">
        <f>IFERROR(__xludf.DUMMYFUNCTION("""COMPUTED_VALUE"""),7.0)</f>
        <v>7</v>
      </c>
      <c r="L182" s="201" t="str">
        <f>IFERROR(__xludf.DUMMYFUNCTION("""COMPUTED_VALUE"""),"Action / RPG")</f>
        <v>Action / RPG</v>
      </c>
    </row>
    <row r="183">
      <c r="A183" s="190" t="str">
        <f>IFERROR(__xludf.DUMMYFUNCTION("""COMPUTED_VALUE"""),"Supraland: Six Inches Under")</f>
        <v>Supraland: Six Inches Under</v>
      </c>
      <c r="B183" s="195" t="str">
        <f>IFERROR(__xludf.DUMMYFUNCTION("""COMPUTED_VALUE"""),"Xbox / PC")</f>
        <v>Xbox / PC</v>
      </c>
      <c r="C183" s="195" t="str">
        <f>IFERROR(__xludf.DUMMYFUNCTION("""COMPUTED_VALUE"""),"Yes")</f>
        <v>Yes</v>
      </c>
      <c r="D183" s="196" t="str">
        <f>IFERROR(__xludf.DUMMYFUNCTION("""COMPUTED_VALUE"""),"Removed")</f>
        <v>Removed</v>
      </c>
      <c r="E183" s="210">
        <f>IFERROR(__xludf.DUMMYFUNCTION("""COMPUTED_VALUE"""),45064.0)</f>
        <v>45064</v>
      </c>
      <c r="F183" s="198">
        <f>IFERROR(__xludf.DUMMYFUNCTION("""COMPUTED_VALUE"""),45427.0)</f>
        <v>45427</v>
      </c>
      <c r="G183" s="199">
        <f>IFERROR(__xludf.DUMMYFUNCTION("""COMPUTED_VALUE"""),11.9)</f>
        <v>11.9</v>
      </c>
      <c r="H183" s="210">
        <f>IFERROR(__xludf.DUMMYFUNCTION("""COMPUTED_VALUE"""),44575.0)</f>
        <v>44575</v>
      </c>
      <c r="I183" s="199">
        <f>IFERROR(__xludf.DUMMYFUNCTION("""COMPUTED_VALUE"""),1.3444444444444446)</f>
        <v>1.344444444</v>
      </c>
      <c r="J183" s="200">
        <f>IFERROR(__xludf.DUMMYFUNCTION("""COMPUTED_VALUE"""),86.0)</f>
        <v>86</v>
      </c>
      <c r="K183" s="200">
        <f>IFERROR(__xludf.DUMMYFUNCTION("""COMPUTED_VALUE"""),8.0)</f>
        <v>8</v>
      </c>
      <c r="L183" s="201" t="str">
        <f>IFERROR(__xludf.DUMMYFUNCTION("""COMPUTED_VALUE"""),"Action-Adventure")</f>
        <v>Action-Adventure</v>
      </c>
    </row>
    <row r="184">
      <c r="A184" s="190" t="str">
        <f>IFERROR(__xludf.DUMMYFUNCTION("""COMPUTED_VALUE"""),"Fuga: Melodies of Steel 2")</f>
        <v>Fuga: Melodies of Steel 2</v>
      </c>
      <c r="B184" s="195" t="str">
        <f>IFERROR(__xludf.DUMMYFUNCTION("""COMPUTED_VALUE"""),"Xbox / PC")</f>
        <v>Xbox / PC</v>
      </c>
      <c r="C184" s="195" t="str">
        <f>IFERROR(__xludf.DUMMYFUNCTION("""COMPUTED_VALUE"""),"Yes")</f>
        <v>Yes</v>
      </c>
      <c r="D184" s="196" t="str">
        <f>IFERROR(__xludf.DUMMYFUNCTION("""COMPUTED_VALUE"""),"Removed")</f>
        <v>Removed</v>
      </c>
      <c r="E184" s="210">
        <f>IFERROR(__xludf.DUMMYFUNCTION("""COMPUTED_VALUE"""),45057.0)</f>
        <v>45057</v>
      </c>
      <c r="F184" s="198">
        <f>IFERROR(__xludf.DUMMYFUNCTION("""COMPUTED_VALUE"""),45427.0)</f>
        <v>45427</v>
      </c>
      <c r="G184" s="199">
        <f>IFERROR(__xludf.DUMMYFUNCTION("""COMPUTED_VALUE"""),12.133333333333333)</f>
        <v>12.13333333</v>
      </c>
      <c r="H184" s="210">
        <f>IFERROR(__xludf.DUMMYFUNCTION("""COMPUTED_VALUE"""),45057.0)</f>
        <v>45057</v>
      </c>
      <c r="I184" s="199">
        <f>IFERROR(__xludf.DUMMYFUNCTION("""COMPUTED_VALUE"""),0.0)</f>
        <v>0</v>
      </c>
      <c r="J184" s="200">
        <f>IFERROR(__xludf.DUMMYFUNCTION("""COMPUTED_VALUE"""),85.0)</f>
        <v>85</v>
      </c>
      <c r="K184" s="200">
        <f>IFERROR(__xludf.DUMMYFUNCTION("""COMPUTED_VALUE"""),22.0)</f>
        <v>22</v>
      </c>
      <c r="L184" s="201" t="str">
        <f>IFERROR(__xludf.DUMMYFUNCTION("""COMPUTED_VALUE"""),"Strategy / RPG")</f>
        <v>Strategy / RPG</v>
      </c>
    </row>
    <row r="185">
      <c r="A185" s="190" t="str">
        <f>IFERROR(__xludf.DUMMYFUNCTION("""COMPUTED_VALUE"""),"SD Gundam Battle Alliance")</f>
        <v>SD Gundam Battle Alliance</v>
      </c>
      <c r="B185" s="195" t="str">
        <f>IFERROR(__xludf.DUMMYFUNCTION("""COMPUTED_VALUE"""),"Xbox / PC")</f>
        <v>Xbox / PC</v>
      </c>
      <c r="C185" s="195" t="str">
        <f>IFERROR(__xludf.DUMMYFUNCTION("""COMPUTED_VALUE"""),"Yes")</f>
        <v>Yes</v>
      </c>
      <c r="D185" s="196" t="str">
        <f>IFERROR(__xludf.DUMMYFUNCTION("""COMPUTED_VALUE"""),"Removed")</f>
        <v>Removed</v>
      </c>
      <c r="E185" s="210">
        <f>IFERROR(__xludf.DUMMYFUNCTION("""COMPUTED_VALUE"""),44966.0)</f>
        <v>44966</v>
      </c>
      <c r="F185" s="198">
        <f>IFERROR(__xludf.DUMMYFUNCTION("""COMPUTED_VALUE"""),45427.0)</f>
        <v>45427</v>
      </c>
      <c r="G185" s="199">
        <f>IFERROR(__xludf.DUMMYFUNCTION("""COMPUTED_VALUE"""),15.2)</f>
        <v>15.2</v>
      </c>
      <c r="H185" s="210">
        <f>IFERROR(__xludf.DUMMYFUNCTION("""COMPUTED_VALUE"""),44798.0)</f>
        <v>44798</v>
      </c>
      <c r="I185" s="199">
        <f>IFERROR(__xludf.DUMMYFUNCTION("""COMPUTED_VALUE"""),0.45555555555555555)</f>
        <v>0.4555555556</v>
      </c>
      <c r="J185" s="200">
        <f>IFERROR(__xludf.DUMMYFUNCTION("""COMPUTED_VALUE"""),71.0)</f>
        <v>71</v>
      </c>
      <c r="K185" s="200">
        <f>IFERROR(__xludf.DUMMYFUNCTION("""COMPUTED_VALUE"""),11.0)</f>
        <v>11</v>
      </c>
      <c r="L185" s="201" t="str">
        <f>IFERROR(__xludf.DUMMYFUNCTION("""COMPUTED_VALUE"""),"Action / Strategy / RPG")</f>
        <v>Action / Strategy / RPG</v>
      </c>
    </row>
    <row r="186">
      <c r="A186" s="190" t="str">
        <f>IFERROR(__xludf.DUMMYFUNCTION("""COMPUTED_VALUE"""),"Ghostlore")</f>
        <v>Ghostlore</v>
      </c>
      <c r="B186" s="195" t="str">
        <f>IFERROR(__xludf.DUMMYFUNCTION("""COMPUTED_VALUE"""),"Xbox / PC")</f>
        <v>Xbox / PC</v>
      </c>
      <c r="C186" s="195"/>
      <c r="D186" s="196" t="str">
        <f>IFERROR(__xludf.DUMMYFUNCTION("""COMPUTED_VALUE"""),"Removed")</f>
        <v>Removed</v>
      </c>
      <c r="E186" s="210">
        <f>IFERROR(__xludf.DUMMYFUNCTION("""COMPUTED_VALUE"""),44882.0)</f>
        <v>44882</v>
      </c>
      <c r="F186" s="198">
        <f>IFERROR(__xludf.DUMMYFUNCTION("""COMPUTED_VALUE"""),45427.0)</f>
        <v>45427</v>
      </c>
      <c r="G186" s="199">
        <f>IFERROR(__xludf.DUMMYFUNCTION("""COMPUTED_VALUE"""),17.933333333333334)</f>
        <v>17.93333333</v>
      </c>
      <c r="H186" s="210">
        <f>IFERROR(__xludf.DUMMYFUNCTION("""COMPUTED_VALUE"""),44665.0)</f>
        <v>44665</v>
      </c>
      <c r="I186" s="199">
        <f>IFERROR(__xludf.DUMMYFUNCTION("""COMPUTED_VALUE"""),0.5916666666666667)</f>
        <v>0.5916666667</v>
      </c>
      <c r="J186" s="200">
        <f>IFERROR(__xludf.DUMMYFUNCTION("""COMPUTED_VALUE"""),6.0)</f>
        <v>6</v>
      </c>
      <c r="K186" s="200">
        <f>IFERROR(__xludf.DUMMYFUNCTION("""COMPUTED_VALUE"""),6.0)</f>
        <v>6</v>
      </c>
      <c r="L186" s="201" t="str">
        <f>IFERROR(__xludf.DUMMYFUNCTION("""COMPUTED_VALUE"""),"RPG")</f>
        <v>RPG</v>
      </c>
    </row>
    <row r="187">
      <c r="A187" s="190" t="str">
        <f>IFERROR(__xludf.DUMMYFUNCTION("""COMPUTED_VALUE"""),"Eiyuden Chronicle: Rising")</f>
        <v>Eiyuden Chronicle: Rising</v>
      </c>
      <c r="B187" s="195" t="str">
        <f>IFERROR(__xludf.DUMMYFUNCTION("""COMPUTED_VALUE"""),"Xbox / PC")</f>
        <v>Xbox / PC</v>
      </c>
      <c r="C187" s="195" t="str">
        <f>IFERROR(__xludf.DUMMYFUNCTION("""COMPUTED_VALUE"""),"Touch Controls")</f>
        <v>Touch Controls</v>
      </c>
      <c r="D187" s="196" t="str">
        <f>IFERROR(__xludf.DUMMYFUNCTION("""COMPUTED_VALUE"""),"Removed")</f>
        <v>Removed</v>
      </c>
      <c r="E187" s="210">
        <f>IFERROR(__xludf.DUMMYFUNCTION("""COMPUTED_VALUE"""),44691.0)</f>
        <v>44691</v>
      </c>
      <c r="F187" s="198">
        <f>IFERROR(__xludf.DUMMYFUNCTION("""COMPUTED_VALUE"""),45427.0)</f>
        <v>45427</v>
      </c>
      <c r="G187" s="199">
        <f>IFERROR(__xludf.DUMMYFUNCTION("""COMPUTED_VALUE"""),24.166666666666664)</f>
        <v>24.16666667</v>
      </c>
      <c r="H187" s="210">
        <f>IFERROR(__xludf.DUMMYFUNCTION("""COMPUTED_VALUE"""),44691.0)</f>
        <v>44691</v>
      </c>
      <c r="I187" s="199">
        <f>IFERROR(__xludf.DUMMYFUNCTION("""COMPUTED_VALUE"""),0.0)</f>
        <v>0</v>
      </c>
      <c r="J187" s="200">
        <f>IFERROR(__xludf.DUMMYFUNCTION("""COMPUTED_VALUE"""),71.0)</f>
        <v>71</v>
      </c>
      <c r="K187" s="200">
        <f>IFERROR(__xludf.DUMMYFUNCTION("""COMPUTED_VALUE"""),11.0)</f>
        <v>11</v>
      </c>
      <c r="L187" s="201" t="str">
        <f>IFERROR(__xludf.DUMMYFUNCTION("""COMPUTED_VALUE"""),"RPG / Action-Adventure")</f>
        <v>RPG / Action-Adventure</v>
      </c>
    </row>
    <row r="188">
      <c r="A188" s="190" t="str">
        <f>IFERROR(__xludf.DUMMYFUNCTION("""COMPUTED_VALUE"""),"Norco")</f>
        <v>Norco</v>
      </c>
      <c r="B188" s="195" t="str">
        <f>IFERROR(__xludf.DUMMYFUNCTION("""COMPUTED_VALUE"""),"Xbox / PC")</f>
        <v>Xbox / PC</v>
      </c>
      <c r="C188" s="195" t="str">
        <f>IFERROR(__xludf.DUMMYFUNCTION("""COMPUTED_VALUE"""),"M+KB")</f>
        <v>M+KB</v>
      </c>
      <c r="D188" s="196" t="str">
        <f>IFERROR(__xludf.DUMMYFUNCTION("""COMPUTED_VALUE"""),"Removed")</f>
        <v>Removed</v>
      </c>
      <c r="E188" s="210">
        <f>IFERROR(__xludf.DUMMYFUNCTION("""COMPUTED_VALUE"""),44644.0)</f>
        <v>44644</v>
      </c>
      <c r="F188" s="198">
        <f>IFERROR(__xludf.DUMMYFUNCTION("""COMPUTED_VALUE"""),45427.0)</f>
        <v>45427</v>
      </c>
      <c r="G188" s="199">
        <f>IFERROR(__xludf.DUMMYFUNCTION("""COMPUTED_VALUE"""),25.7)</f>
        <v>25.7</v>
      </c>
      <c r="H188" s="210">
        <f>IFERROR(__xludf.DUMMYFUNCTION("""COMPUTED_VALUE"""),44644.0)</f>
        <v>44644</v>
      </c>
      <c r="I188" s="199">
        <f>IFERROR(__xludf.DUMMYFUNCTION("""COMPUTED_VALUE"""),0.0)</f>
        <v>0</v>
      </c>
      <c r="J188" s="200">
        <f>IFERROR(__xludf.DUMMYFUNCTION("""COMPUTED_VALUE"""),87.0)</f>
        <v>87</v>
      </c>
      <c r="K188" s="200">
        <f>IFERROR(__xludf.DUMMYFUNCTION("""COMPUTED_VALUE"""),5.5)</f>
        <v>5.5</v>
      </c>
      <c r="L188" s="201" t="str">
        <f>IFERROR(__xludf.DUMMYFUNCTION("""COMPUTED_VALUE"""),"Adventure")</f>
        <v>Adventure</v>
      </c>
    </row>
    <row r="189">
      <c r="A189" s="190" t="str">
        <f>IFERROR(__xludf.DUMMYFUNCTION("""COMPUTED_VALUE"""),"Just Cause 4: Reloaded")</f>
        <v>Just Cause 4: Reloaded</v>
      </c>
      <c r="B189" s="195" t="str">
        <f>IFERROR(__xludf.DUMMYFUNCTION("""COMPUTED_VALUE"""),"Xbox / PC")</f>
        <v>Xbox / PC</v>
      </c>
      <c r="C189" s="195" t="str">
        <f>IFERROR(__xludf.DUMMYFUNCTION("""COMPUTED_VALUE"""),"Yes")</f>
        <v>Yes</v>
      </c>
      <c r="D189" s="196" t="str">
        <f>IFERROR(__xludf.DUMMYFUNCTION("""COMPUTED_VALUE"""),"Removed")</f>
        <v>Removed</v>
      </c>
      <c r="E189" s="210">
        <f>IFERROR(__xludf.DUMMYFUNCTION("""COMPUTED_VALUE"""),44329.0)</f>
        <v>44329</v>
      </c>
      <c r="F189" s="198">
        <f>IFERROR(__xludf.DUMMYFUNCTION("""COMPUTED_VALUE"""),45427.0)</f>
        <v>45427</v>
      </c>
      <c r="G189" s="199">
        <f>IFERROR(__xludf.DUMMYFUNCTION("""COMPUTED_VALUE"""),36.06666666666666)</f>
        <v>36.06666667</v>
      </c>
      <c r="H189" s="210">
        <f>IFERROR(__xludf.DUMMYFUNCTION("""COMPUTED_VALUE"""),43438.0)</f>
        <v>43438</v>
      </c>
      <c r="I189" s="199">
        <f>IFERROR(__xludf.DUMMYFUNCTION("""COMPUTED_VALUE"""),2.441666666666667)</f>
        <v>2.441666667</v>
      </c>
      <c r="J189" s="200">
        <f>IFERROR(__xludf.DUMMYFUNCTION("""COMPUTED_VALUE"""),69.0)</f>
        <v>69</v>
      </c>
      <c r="K189" s="200">
        <f>IFERROR(__xludf.DUMMYFUNCTION("""COMPUTED_VALUE"""),16.0)</f>
        <v>16</v>
      </c>
      <c r="L189" s="201" t="str">
        <f>IFERROR(__xludf.DUMMYFUNCTION("""COMPUTED_VALUE"""),"Action-Adventure")</f>
        <v>Action-Adventure</v>
      </c>
    </row>
    <row r="190">
      <c r="A190" s="190" t="str">
        <f>IFERROR(__xludf.DUMMYFUNCTION("""COMPUTED_VALUE"""),"Ravenlok")</f>
        <v>Ravenlok</v>
      </c>
      <c r="B190" s="195" t="str">
        <f>IFERROR(__xludf.DUMMYFUNCTION("""COMPUTED_VALUE"""),"Xbox / PC")</f>
        <v>Xbox / PC</v>
      </c>
      <c r="C190" s="195" t="str">
        <f>IFERROR(__xludf.DUMMYFUNCTION("""COMPUTED_VALUE"""),"Yes")</f>
        <v>Yes</v>
      </c>
      <c r="D190" s="196" t="str">
        <f>IFERROR(__xludf.DUMMYFUNCTION("""COMPUTED_VALUE"""),"Removed")</f>
        <v>Removed</v>
      </c>
      <c r="E190" s="210">
        <f>IFERROR(__xludf.DUMMYFUNCTION("""COMPUTED_VALUE"""),45050.0)</f>
        <v>45050</v>
      </c>
      <c r="F190" s="198">
        <f>IFERROR(__xludf.DUMMYFUNCTION("""COMPUTED_VALUE"""),45412.0)</f>
        <v>45412</v>
      </c>
      <c r="G190" s="199">
        <f>IFERROR(__xludf.DUMMYFUNCTION("""COMPUTED_VALUE"""),11.866666666666667)</f>
        <v>11.86666667</v>
      </c>
      <c r="H190" s="210">
        <f>IFERROR(__xludf.DUMMYFUNCTION("""COMPUTED_VALUE"""),45050.0)</f>
        <v>45050</v>
      </c>
      <c r="I190" s="199">
        <f>IFERROR(__xludf.DUMMYFUNCTION("""COMPUTED_VALUE"""),0.0)</f>
        <v>0</v>
      </c>
      <c r="J190" s="200">
        <f>IFERROR(__xludf.DUMMYFUNCTION("""COMPUTED_VALUE"""),66.0)</f>
        <v>66</v>
      </c>
      <c r="K190" s="200">
        <f>IFERROR(__xludf.DUMMYFUNCTION("""COMPUTED_VALUE"""),4.0)</f>
        <v>4</v>
      </c>
      <c r="L190" s="201" t="str">
        <f>IFERROR(__xludf.DUMMYFUNCTION("""COMPUTED_VALUE"""),"Action / RPG")</f>
        <v>Action / RPG</v>
      </c>
    </row>
    <row r="191">
      <c r="A191" s="190" t="str">
        <f>IFERROR(__xludf.DUMMYFUNCTION("""COMPUTED_VALUE"""),"Besiege")</f>
        <v>Besiege</v>
      </c>
      <c r="B191" s="195" t="str">
        <f>IFERROR(__xludf.DUMMYFUNCTION("""COMPUTED_VALUE"""),"Xbox / PC")</f>
        <v>Xbox / PC</v>
      </c>
      <c r="C191" s="195" t="str">
        <f>IFERROR(__xludf.DUMMYFUNCTION("""COMPUTED_VALUE"""),"Touch Controls")</f>
        <v>Touch Controls</v>
      </c>
      <c r="D191" s="196" t="str">
        <f>IFERROR(__xludf.DUMMYFUNCTION("""COMPUTED_VALUE"""),"Removed")</f>
        <v>Removed</v>
      </c>
      <c r="E191" s="210">
        <f>IFERROR(__xludf.DUMMYFUNCTION("""COMPUTED_VALUE"""),45047.0)</f>
        <v>45047</v>
      </c>
      <c r="F191" s="198">
        <f>IFERROR(__xludf.DUMMYFUNCTION("""COMPUTED_VALUE"""),45412.0)</f>
        <v>45412</v>
      </c>
      <c r="G191" s="199">
        <f>IFERROR(__xludf.DUMMYFUNCTION("""COMPUTED_VALUE"""),11.966666666666667)</f>
        <v>11.96666667</v>
      </c>
      <c r="H191" s="210">
        <f>IFERROR(__xludf.DUMMYFUNCTION("""COMPUTED_VALUE"""),44602.0)</f>
        <v>44602</v>
      </c>
      <c r="I191" s="199">
        <f>IFERROR(__xludf.DUMMYFUNCTION("""COMPUTED_VALUE"""),1.225)</f>
        <v>1.225</v>
      </c>
      <c r="J191" s="200">
        <f>IFERROR(__xludf.DUMMYFUNCTION("""COMPUTED_VALUE"""),88.33333333333333)</f>
        <v>88.33333333</v>
      </c>
      <c r="K191" s="200">
        <f>IFERROR(__xludf.DUMMYFUNCTION("""COMPUTED_VALUE"""),5.0)</f>
        <v>5</v>
      </c>
      <c r="L191" s="201" t="str">
        <f>IFERROR(__xludf.DUMMYFUNCTION("""COMPUTED_VALUE"""),"Strategy / Simulation")</f>
        <v>Strategy / Simulation</v>
      </c>
    </row>
    <row r="192">
      <c r="A192" s="190" t="str">
        <f>IFERROR(__xludf.DUMMYFUNCTION("""COMPUTED_VALUE"""),"NHL 22")</f>
        <v>NHL 22</v>
      </c>
      <c r="B192" s="195" t="str">
        <f>IFERROR(__xludf.DUMMYFUNCTION("""COMPUTED_VALUE"""),"Xbox")</f>
        <v>Xbox</v>
      </c>
      <c r="C192" s="195"/>
      <c r="D192" s="196" t="str">
        <f>IFERROR(__xludf.DUMMYFUNCTION("""COMPUTED_VALUE"""),"Removed")</f>
        <v>Removed</v>
      </c>
      <c r="E192" s="210">
        <f>IFERROR(__xludf.DUMMYFUNCTION("""COMPUTED_VALUE"""),44693.0)</f>
        <v>44693</v>
      </c>
      <c r="F192" s="198">
        <f>IFERROR(__xludf.DUMMYFUNCTION("""COMPUTED_VALUE"""),45412.0)</f>
        <v>45412</v>
      </c>
      <c r="G192" s="199">
        <f>IFERROR(__xludf.DUMMYFUNCTION("""COMPUTED_VALUE"""),23.599999999999998)</f>
        <v>23.6</v>
      </c>
      <c r="H192" s="210">
        <f>IFERROR(__xludf.DUMMYFUNCTION("""COMPUTED_VALUE"""),44484.0)</f>
        <v>44484</v>
      </c>
      <c r="I192" s="199">
        <f>IFERROR(__xludf.DUMMYFUNCTION("""COMPUTED_VALUE"""),0.575)</f>
        <v>0.575</v>
      </c>
      <c r="J192" s="200">
        <f>IFERROR(__xludf.DUMMYFUNCTION("""COMPUTED_VALUE"""),74.0)</f>
        <v>74</v>
      </c>
      <c r="K192" s="200">
        <f>IFERROR(__xludf.DUMMYFUNCTION("""COMPUTED_VALUE"""),85.0)</f>
        <v>85</v>
      </c>
      <c r="L192" s="201" t="str">
        <f>IFERROR(__xludf.DUMMYFUNCTION("""COMPUTED_VALUE"""),"Sports / Hockey")</f>
        <v>Sports / Hockey</v>
      </c>
    </row>
    <row r="193">
      <c r="A193" s="190" t="str">
        <f>IFERROR(__xludf.DUMMYFUNCTION("""COMPUTED_VALUE"""),"Loot River")</f>
        <v>Loot River</v>
      </c>
      <c r="B193" s="195" t="str">
        <f>IFERROR(__xludf.DUMMYFUNCTION("""COMPUTED_VALUE"""),"Xbox / PC")</f>
        <v>Xbox / PC</v>
      </c>
      <c r="C193" s="195" t="str">
        <f>IFERROR(__xludf.DUMMYFUNCTION("""COMPUTED_VALUE"""),"Touch Controls")</f>
        <v>Touch Controls</v>
      </c>
      <c r="D193" s="196" t="str">
        <f>IFERROR(__xludf.DUMMYFUNCTION("""COMPUTED_VALUE"""),"Removed")</f>
        <v>Removed</v>
      </c>
      <c r="E193" s="210">
        <f>IFERROR(__xludf.DUMMYFUNCTION("""COMPUTED_VALUE"""),44684.0)</f>
        <v>44684</v>
      </c>
      <c r="F193" s="198">
        <f>IFERROR(__xludf.DUMMYFUNCTION("""COMPUTED_VALUE"""),45412.0)</f>
        <v>45412</v>
      </c>
      <c r="G193" s="199">
        <f>IFERROR(__xludf.DUMMYFUNCTION("""COMPUTED_VALUE"""),23.9)</f>
        <v>23.9</v>
      </c>
      <c r="H193" s="210">
        <f>IFERROR(__xludf.DUMMYFUNCTION("""COMPUTED_VALUE"""),44684.0)</f>
        <v>44684</v>
      </c>
      <c r="I193" s="199">
        <f>IFERROR(__xludf.DUMMYFUNCTION("""COMPUTED_VALUE"""),0.0)</f>
        <v>0</v>
      </c>
      <c r="J193" s="200">
        <f>IFERROR(__xludf.DUMMYFUNCTION("""COMPUTED_VALUE"""),66.0)</f>
        <v>66</v>
      </c>
      <c r="K193" s="200">
        <f>IFERROR(__xludf.DUMMYFUNCTION("""COMPUTED_VALUE"""),4.0)</f>
        <v>4</v>
      </c>
      <c r="L193" s="201" t="str">
        <f>IFERROR(__xludf.DUMMYFUNCTION("""COMPUTED_VALUE"""),"Action")</f>
        <v>Action</v>
      </c>
    </row>
    <row r="194">
      <c r="A194" s="190" t="str">
        <f>IFERROR(__xludf.DUMMYFUNCTION("""COMPUTED_VALUE"""),"7 Days to Die (Game Preview)")</f>
        <v>7 Days to Die (Game Preview)</v>
      </c>
      <c r="B194" s="195" t="str">
        <f>IFERROR(__xludf.DUMMYFUNCTION("""COMPUTED_VALUE"""),"Xbox / PC")</f>
        <v>Xbox / PC</v>
      </c>
      <c r="C194" s="195" t="str">
        <f>IFERROR(__xludf.DUMMYFUNCTION("""COMPUTED_VALUE"""),"Yes")</f>
        <v>Yes</v>
      </c>
      <c r="D194" s="196" t="str">
        <f>IFERROR(__xludf.DUMMYFUNCTION("""COMPUTED_VALUE"""),"Removed")</f>
        <v>Removed</v>
      </c>
      <c r="E194" s="210">
        <f>IFERROR(__xludf.DUMMYFUNCTION("""COMPUTED_VALUE"""),44677.0)</f>
        <v>44677</v>
      </c>
      <c r="F194" s="198">
        <f>IFERROR(__xludf.DUMMYFUNCTION("""COMPUTED_VALUE"""),45412.0)</f>
        <v>45412</v>
      </c>
      <c r="G194" s="199">
        <f>IFERROR(__xludf.DUMMYFUNCTION("""COMPUTED_VALUE"""),24.133333333333333)</f>
        <v>24.13333333</v>
      </c>
      <c r="H194" s="210">
        <f>IFERROR(__xludf.DUMMYFUNCTION("""COMPUTED_VALUE"""),41621.0)</f>
        <v>41621</v>
      </c>
      <c r="I194" s="199">
        <f>IFERROR(__xludf.DUMMYFUNCTION("""COMPUTED_VALUE"""),8.369444444444444)</f>
        <v>8.369444444</v>
      </c>
      <c r="J194" s="200">
        <f>IFERROR(__xludf.DUMMYFUNCTION("""COMPUTED_VALUE"""),35.0)</f>
        <v>35</v>
      </c>
      <c r="K194" s="200">
        <f>IFERROR(__xludf.DUMMYFUNCTION("""COMPUTED_VALUE"""),54.0)</f>
        <v>54</v>
      </c>
      <c r="L194" s="201" t="str">
        <f>IFERROR(__xludf.DUMMYFUNCTION("""COMPUTED_VALUE"""),"Simulation / First-Person Shooter / Action-Adventure / Block-Breaking")</f>
        <v>Simulation / First-Person Shooter / Action-Adventure / Block-Breaking</v>
      </c>
    </row>
    <row r="195">
      <c r="A195" s="190" t="str">
        <f>IFERROR(__xludf.DUMMYFUNCTION("""COMPUTED_VALUE"""),"Pikuniku")</f>
        <v>Pikuniku</v>
      </c>
      <c r="B195" s="195" t="str">
        <f>IFERROR(__xludf.DUMMYFUNCTION("""COMPUTED_VALUE"""),"Xbox / PC")</f>
        <v>Xbox / PC</v>
      </c>
      <c r="C195" s="195" t="str">
        <f>IFERROR(__xludf.DUMMYFUNCTION("""COMPUTED_VALUE"""),"Yes")</f>
        <v>Yes</v>
      </c>
      <c r="D195" s="196" t="str">
        <f>IFERROR(__xludf.DUMMYFUNCTION("""COMPUTED_VALUE"""),"Removed")</f>
        <v>Removed</v>
      </c>
      <c r="E195" s="210">
        <f>IFERROR(__xludf.DUMMYFUNCTION("""COMPUTED_VALUE"""),43902.0)</f>
        <v>43902</v>
      </c>
      <c r="F195" s="198">
        <f>IFERROR(__xludf.DUMMYFUNCTION("""COMPUTED_VALUE"""),45412.0)</f>
        <v>45412</v>
      </c>
      <c r="G195" s="199">
        <f>IFERROR(__xludf.DUMMYFUNCTION("""COMPUTED_VALUE"""),49.60000000000001)</f>
        <v>49.6</v>
      </c>
      <c r="H195" s="210">
        <f>IFERROR(__xludf.DUMMYFUNCTION("""COMPUTED_VALUE"""),43489.0)</f>
        <v>43489</v>
      </c>
      <c r="I195" s="199">
        <f>IFERROR(__xludf.DUMMYFUNCTION("""COMPUTED_VALUE"""),1.1333333333333333)</f>
        <v>1.133333333</v>
      </c>
      <c r="J195" s="200">
        <f>IFERROR(__xludf.DUMMYFUNCTION("""COMPUTED_VALUE"""),76.0)</f>
        <v>76</v>
      </c>
      <c r="K195" s="200">
        <f>IFERROR(__xludf.DUMMYFUNCTION("""COMPUTED_VALUE"""),3.0)</f>
        <v>3</v>
      </c>
      <c r="L195" s="201" t="str">
        <f>IFERROR(__xludf.DUMMYFUNCTION("""COMPUTED_VALUE"""),"Puzzle / Platformer")</f>
        <v>Puzzle / Platformer</v>
      </c>
    </row>
    <row r="196">
      <c r="A196" s="190" t="str">
        <f>IFERROR(__xludf.DUMMYFUNCTION("""COMPUTED_VALUE"""),"Amnesia: Collection")</f>
        <v>Amnesia: Collection</v>
      </c>
      <c r="B196" s="195" t="str">
        <f>IFERROR(__xludf.DUMMYFUNCTION("""COMPUTED_VALUE"""),"Xbox / PC")</f>
        <v>Xbox / PC</v>
      </c>
      <c r="C196" s="195" t="str">
        <f>IFERROR(__xludf.DUMMYFUNCTION("""COMPUTED_VALUE"""),"Touch Controls")</f>
        <v>Touch Controls</v>
      </c>
      <c r="D196" s="196" t="str">
        <f>IFERROR(__xludf.DUMMYFUNCTION("""COMPUTED_VALUE"""),"Removed")</f>
        <v>Removed</v>
      </c>
      <c r="E196" s="210">
        <f>IFERROR(__xludf.DUMMYFUNCTION("""COMPUTED_VALUE"""),44854.0)</f>
        <v>44854</v>
      </c>
      <c r="F196" s="198">
        <f>IFERROR(__xludf.DUMMYFUNCTION("""COMPUTED_VALUE"""),45397.0)</f>
        <v>45397</v>
      </c>
      <c r="G196" s="199">
        <f>IFERROR(__xludf.DUMMYFUNCTION("""COMPUTED_VALUE"""),17.833333333333336)</f>
        <v>17.83333333</v>
      </c>
      <c r="H196" s="210">
        <f>IFERROR(__xludf.DUMMYFUNCTION("""COMPUTED_VALUE"""),42696.0)</f>
        <v>42696</v>
      </c>
      <c r="I196" s="199">
        <f>IFERROR(__xludf.DUMMYFUNCTION("""COMPUTED_VALUE"""),5.911111111111111)</f>
        <v>5.911111111</v>
      </c>
      <c r="J196" s="200">
        <f>IFERROR(__xludf.DUMMYFUNCTION("""COMPUTED_VALUE"""),79.0)</f>
        <v>79</v>
      </c>
      <c r="K196" s="200">
        <f>IFERROR(__xludf.DUMMYFUNCTION("""COMPUTED_VALUE"""),15.5)</f>
        <v>15.5</v>
      </c>
      <c r="L196" s="201" t="str">
        <f>IFERROR(__xludf.DUMMYFUNCTION("""COMPUTED_VALUE"""),"Adventure / Compilation")</f>
        <v>Adventure / Compilation</v>
      </c>
    </row>
    <row r="197">
      <c r="A197" s="190" t="str">
        <f>IFERROR(__xludf.DUMMYFUNCTION("""COMPUTED_VALUE"""),"Amnesia: Rebirth")</f>
        <v>Amnesia: Rebirth</v>
      </c>
      <c r="B197" s="195" t="str">
        <f>IFERROR(__xludf.DUMMYFUNCTION("""COMPUTED_VALUE"""),"Xbox / PC")</f>
        <v>Xbox / PC</v>
      </c>
      <c r="C197" s="195" t="str">
        <f>IFERROR(__xludf.DUMMYFUNCTION("""COMPUTED_VALUE"""),"Touch Controls")</f>
        <v>Touch Controls</v>
      </c>
      <c r="D197" s="196" t="str">
        <f>IFERROR(__xludf.DUMMYFUNCTION("""COMPUTED_VALUE"""),"Removed")</f>
        <v>Removed</v>
      </c>
      <c r="E197" s="210">
        <f>IFERROR(__xludf.DUMMYFUNCTION("""COMPUTED_VALUE"""),44854.0)</f>
        <v>44854</v>
      </c>
      <c r="F197" s="198">
        <f>IFERROR(__xludf.DUMMYFUNCTION("""COMPUTED_VALUE"""),45397.0)</f>
        <v>45397</v>
      </c>
      <c r="G197" s="199">
        <f>IFERROR(__xludf.DUMMYFUNCTION("""COMPUTED_VALUE"""),17.833333333333336)</f>
        <v>17.83333333</v>
      </c>
      <c r="H197" s="210">
        <f>IFERROR(__xludf.DUMMYFUNCTION("""COMPUTED_VALUE"""),44124.0)</f>
        <v>44124</v>
      </c>
      <c r="I197" s="199">
        <f>IFERROR(__xludf.DUMMYFUNCTION("""COMPUTED_VALUE"""),2.0)</f>
        <v>2</v>
      </c>
      <c r="J197" s="200">
        <f>IFERROR(__xludf.DUMMYFUNCTION("""COMPUTED_VALUE"""),80.0)</f>
        <v>80</v>
      </c>
      <c r="K197" s="200">
        <f>IFERROR(__xludf.DUMMYFUNCTION("""COMPUTED_VALUE"""),8.5)</f>
        <v>8.5</v>
      </c>
      <c r="L197" s="201" t="str">
        <f>IFERROR(__xludf.DUMMYFUNCTION("""COMPUTED_VALUE"""),"Adventure")</f>
        <v>Adventure</v>
      </c>
    </row>
    <row r="198">
      <c r="A198" s="190" t="str">
        <f>IFERROR(__xludf.DUMMYFUNCTION("""COMPUTED_VALUE"""),"Phantom Abyss (Game Preview)")</f>
        <v>Phantom Abyss (Game Preview)</v>
      </c>
      <c r="B198" s="195" t="str">
        <f>IFERROR(__xludf.DUMMYFUNCTION("""COMPUTED_VALUE"""),"Xbox / PC")</f>
        <v>Xbox / PC</v>
      </c>
      <c r="C198" s="195" t="str">
        <f>IFERROR(__xludf.DUMMYFUNCTION("""COMPUTED_VALUE"""),"Yes")</f>
        <v>Yes</v>
      </c>
      <c r="D198" s="196" t="str">
        <f>IFERROR(__xludf.DUMMYFUNCTION("""COMPUTED_VALUE"""),"Removed")</f>
        <v>Removed</v>
      </c>
      <c r="E198" s="210">
        <f>IFERROR(__xludf.DUMMYFUNCTION("""COMPUTED_VALUE"""),44854.0)</f>
        <v>44854</v>
      </c>
      <c r="F198" s="198">
        <f>IFERROR(__xludf.DUMMYFUNCTION("""COMPUTED_VALUE"""),45397.0)</f>
        <v>45397</v>
      </c>
      <c r="G198" s="199">
        <f>IFERROR(__xludf.DUMMYFUNCTION("""COMPUTED_VALUE"""),17.833333333333336)</f>
        <v>17.83333333</v>
      </c>
      <c r="H198" s="210">
        <f>IFERROR(__xludf.DUMMYFUNCTION("""COMPUTED_VALUE"""),44369.0)</f>
        <v>44369</v>
      </c>
      <c r="I198" s="199">
        <f>IFERROR(__xludf.DUMMYFUNCTION("""COMPUTED_VALUE"""),1.3277777777777777)</f>
        <v>1.327777778</v>
      </c>
      <c r="J198" s="200"/>
      <c r="K198" s="200">
        <f>IFERROR(__xludf.DUMMYFUNCTION("""COMPUTED_VALUE"""),20.0)</f>
        <v>20</v>
      </c>
      <c r="L198" s="201" t="str">
        <f>IFERROR(__xludf.DUMMYFUNCTION("""COMPUTED_VALUE"""),"Puzzle / Platformer")</f>
        <v>Puzzle / Platformer</v>
      </c>
    </row>
    <row r="199">
      <c r="A199" s="190" t="str">
        <f>IFERROR(__xludf.DUMMYFUNCTION("""COMPUTED_VALUE"""),"SOMA")</f>
        <v>SOMA</v>
      </c>
      <c r="B199" s="195" t="str">
        <f>IFERROR(__xludf.DUMMYFUNCTION("""COMPUTED_VALUE"""),"Xbox / PC")</f>
        <v>Xbox / PC</v>
      </c>
      <c r="C199" s="195" t="str">
        <f>IFERROR(__xludf.DUMMYFUNCTION("""COMPUTED_VALUE"""),"Touch Controls")</f>
        <v>Touch Controls</v>
      </c>
      <c r="D199" s="196" t="str">
        <f>IFERROR(__xludf.DUMMYFUNCTION("""COMPUTED_VALUE"""),"Removed")</f>
        <v>Removed</v>
      </c>
      <c r="E199" s="210">
        <f>IFERROR(__xludf.DUMMYFUNCTION("""COMPUTED_VALUE"""),44854.0)</f>
        <v>44854</v>
      </c>
      <c r="F199" s="198">
        <f>IFERROR(__xludf.DUMMYFUNCTION("""COMPUTED_VALUE"""),45397.0)</f>
        <v>45397</v>
      </c>
      <c r="G199" s="199">
        <f>IFERROR(__xludf.DUMMYFUNCTION("""COMPUTED_VALUE"""),17.833333333333336)</f>
        <v>17.83333333</v>
      </c>
      <c r="H199" s="210">
        <f>IFERROR(__xludf.DUMMYFUNCTION("""COMPUTED_VALUE"""),42269.0)</f>
        <v>42269</v>
      </c>
      <c r="I199" s="199">
        <f>IFERROR(__xludf.DUMMYFUNCTION("""COMPUTED_VALUE"""),7.0777777777777775)</f>
        <v>7.077777778</v>
      </c>
      <c r="J199" s="200">
        <f>IFERROR(__xludf.DUMMYFUNCTION("""COMPUTED_VALUE"""),83.0)</f>
        <v>83</v>
      </c>
      <c r="K199" s="200">
        <f>IFERROR(__xludf.DUMMYFUNCTION("""COMPUTED_VALUE"""),9.0)</f>
        <v>9</v>
      </c>
      <c r="L199" s="201" t="str">
        <f>IFERROR(__xludf.DUMMYFUNCTION("""COMPUTED_VALUE"""),"Adventure")</f>
        <v>Adventure</v>
      </c>
    </row>
    <row r="200">
      <c r="A200" s="190" t="str">
        <f>IFERROR(__xludf.DUMMYFUNCTION("""COMPUTED_VALUE"""),"Research and Destroy")</f>
        <v>Research and Destroy</v>
      </c>
      <c r="B200" s="195" t="str">
        <f>IFERROR(__xludf.DUMMYFUNCTION("""COMPUTED_VALUE"""),"Xbox / PC")</f>
        <v>Xbox / PC</v>
      </c>
      <c r="C200" s="195" t="str">
        <f>IFERROR(__xludf.DUMMYFUNCTION("""COMPUTED_VALUE"""),"Touch Controls")</f>
        <v>Touch Controls</v>
      </c>
      <c r="D200" s="196" t="str">
        <f>IFERROR(__xludf.DUMMYFUNCTION("""COMPUTED_VALUE"""),"Removed")</f>
        <v>Removed</v>
      </c>
      <c r="E200" s="210">
        <f>IFERROR(__xludf.DUMMYFUNCTION("""COMPUTED_VALUE"""),44677.0)</f>
        <v>44677</v>
      </c>
      <c r="F200" s="198">
        <f>IFERROR(__xludf.DUMMYFUNCTION("""COMPUTED_VALUE"""),45397.0)</f>
        <v>45397</v>
      </c>
      <c r="G200" s="199">
        <f>IFERROR(__xludf.DUMMYFUNCTION("""COMPUTED_VALUE"""),23.633333333333333)</f>
        <v>23.63333333</v>
      </c>
      <c r="H200" s="210">
        <f>IFERROR(__xludf.DUMMYFUNCTION("""COMPUTED_VALUE"""),44677.0)</f>
        <v>44677</v>
      </c>
      <c r="I200" s="199">
        <f>IFERROR(__xludf.DUMMYFUNCTION("""COMPUTED_VALUE"""),0.0)</f>
        <v>0</v>
      </c>
      <c r="J200" s="200">
        <f>IFERROR(__xludf.DUMMYFUNCTION("""COMPUTED_VALUE"""),73.0)</f>
        <v>73</v>
      </c>
      <c r="K200" s="200">
        <f>IFERROR(__xludf.DUMMYFUNCTION("""COMPUTED_VALUE"""),6.5)</f>
        <v>6.5</v>
      </c>
      <c r="L200" s="201" t="str">
        <f>IFERROR(__xludf.DUMMYFUNCTION("""COMPUTED_VALUE"""),"Strategy / Shooter")</f>
        <v>Strategy / Shooter</v>
      </c>
    </row>
    <row r="201">
      <c r="A201" s="190" t="str">
        <f>IFERROR(__xludf.DUMMYFUNCTION("""COMPUTED_VALUE"""),"Back 4 Blood")</f>
        <v>Back 4 Blood</v>
      </c>
      <c r="B201" s="195" t="str">
        <f>IFERROR(__xludf.DUMMYFUNCTION("""COMPUTED_VALUE"""),"Xbox / PC")</f>
        <v>Xbox / PC</v>
      </c>
      <c r="C201" s="195" t="str">
        <f>IFERROR(__xludf.DUMMYFUNCTION("""COMPUTED_VALUE"""),"Yes")</f>
        <v>Yes</v>
      </c>
      <c r="D201" s="196" t="str">
        <f>IFERROR(__xludf.DUMMYFUNCTION("""COMPUTED_VALUE"""),"Removed")</f>
        <v>Removed</v>
      </c>
      <c r="E201" s="210">
        <f>IFERROR(__xludf.DUMMYFUNCTION("""COMPUTED_VALUE"""),44481.0)</f>
        <v>44481</v>
      </c>
      <c r="F201" s="198">
        <f>IFERROR(__xludf.DUMMYFUNCTION("""COMPUTED_VALUE"""),45397.0)</f>
        <v>45397</v>
      </c>
      <c r="G201" s="199">
        <f>IFERROR(__xludf.DUMMYFUNCTION("""COMPUTED_VALUE"""),30.1)</f>
        <v>30.1</v>
      </c>
      <c r="H201" s="210">
        <f>IFERROR(__xludf.DUMMYFUNCTION("""COMPUTED_VALUE"""),44481.0)</f>
        <v>44481</v>
      </c>
      <c r="I201" s="199">
        <f>IFERROR(__xludf.DUMMYFUNCTION("""COMPUTED_VALUE"""),0.0)</f>
        <v>0</v>
      </c>
      <c r="J201" s="200">
        <f>IFERROR(__xludf.DUMMYFUNCTION("""COMPUTED_VALUE"""),76.5)</f>
        <v>76.5</v>
      </c>
      <c r="K201" s="200">
        <f>IFERROR(__xludf.DUMMYFUNCTION("""COMPUTED_VALUE"""),8.5)</f>
        <v>8.5</v>
      </c>
      <c r="L201" s="201" t="str">
        <f>IFERROR(__xludf.DUMMYFUNCTION("""COMPUTED_VALUE"""),"First-Person Shooter")</f>
        <v>First-Person Shooter</v>
      </c>
    </row>
    <row r="202">
      <c r="A202" s="190" t="str">
        <f>IFERROR(__xludf.DUMMYFUNCTION("""COMPUTED_VALUE"""),"INFINITE GUITARS")</f>
        <v>INFINITE GUITARS</v>
      </c>
      <c r="B202" s="195" t="str">
        <f>IFERROR(__xludf.DUMMYFUNCTION("""COMPUTED_VALUE"""),"Xbox / PC")</f>
        <v>Xbox / PC</v>
      </c>
      <c r="C202" s="195" t="str">
        <f>IFERROR(__xludf.DUMMYFUNCTION("""COMPUTED_VALUE"""),"Yes")</f>
        <v>Yes</v>
      </c>
      <c r="D202" s="196" t="str">
        <f>IFERROR(__xludf.DUMMYFUNCTION("""COMPUTED_VALUE"""),"Removed")</f>
        <v>Removed</v>
      </c>
      <c r="E202" s="210">
        <f>IFERROR(__xludf.DUMMYFUNCTION("""COMPUTED_VALUE"""),45015.0)</f>
        <v>45015</v>
      </c>
      <c r="F202" s="198">
        <f>IFERROR(__xludf.DUMMYFUNCTION("""COMPUTED_VALUE"""),45382.0)</f>
        <v>45382</v>
      </c>
      <c r="G202" s="199">
        <f>IFERROR(__xludf.DUMMYFUNCTION("""COMPUTED_VALUE"""),12.0)</f>
        <v>12</v>
      </c>
      <c r="H202" s="210">
        <f>IFERROR(__xludf.DUMMYFUNCTION("""COMPUTED_VALUE"""),44908.0)</f>
        <v>44908</v>
      </c>
      <c r="I202" s="199">
        <f>IFERROR(__xludf.DUMMYFUNCTION("""COMPUTED_VALUE"""),0.2972222222222222)</f>
        <v>0.2972222222</v>
      </c>
      <c r="J202" s="200">
        <f>IFERROR(__xludf.DUMMYFUNCTION("""COMPUTED_VALUE"""),62.0)</f>
        <v>62</v>
      </c>
      <c r="K202" s="200">
        <f>IFERROR(__xludf.DUMMYFUNCTION("""COMPUTED_VALUE"""),12.0)</f>
        <v>12</v>
      </c>
      <c r="L202" s="201" t="str">
        <f>IFERROR(__xludf.DUMMYFUNCTION("""COMPUTED_VALUE"""),"RPG / Music/Rhythm")</f>
        <v>RPG / Music/Rhythm</v>
      </c>
    </row>
    <row r="203">
      <c r="A203" s="190" t="str">
        <f>IFERROR(__xludf.DUMMYFUNCTION("""COMPUTED_VALUE"""),"MLB The Show 23")</f>
        <v>MLB The Show 23</v>
      </c>
      <c r="B203" s="195" t="str">
        <f>IFERROR(__xludf.DUMMYFUNCTION("""COMPUTED_VALUE"""),"Xbox")</f>
        <v>Xbox</v>
      </c>
      <c r="C203" s="195" t="str">
        <f>IFERROR(__xludf.DUMMYFUNCTION("""COMPUTED_VALUE"""),"Yes")</f>
        <v>Yes</v>
      </c>
      <c r="D203" s="196" t="str">
        <f>IFERROR(__xludf.DUMMYFUNCTION("""COMPUTED_VALUE"""),"Removed")</f>
        <v>Removed</v>
      </c>
      <c r="E203" s="210">
        <f>IFERROR(__xludf.DUMMYFUNCTION("""COMPUTED_VALUE"""),45013.0)</f>
        <v>45013</v>
      </c>
      <c r="F203" s="198">
        <f>IFERROR(__xludf.DUMMYFUNCTION("""COMPUTED_VALUE"""),45382.0)</f>
        <v>45382</v>
      </c>
      <c r="G203" s="199">
        <f>IFERROR(__xludf.DUMMYFUNCTION("""COMPUTED_VALUE"""),12.066666666666666)</f>
        <v>12.06666667</v>
      </c>
      <c r="H203" s="210">
        <f>IFERROR(__xludf.DUMMYFUNCTION("""COMPUTED_VALUE"""),45013.0)</f>
        <v>45013</v>
      </c>
      <c r="I203" s="199">
        <f>IFERROR(__xludf.DUMMYFUNCTION("""COMPUTED_VALUE"""),0.0)</f>
        <v>0</v>
      </c>
      <c r="J203" s="200">
        <f>IFERROR(__xludf.DUMMYFUNCTION("""COMPUTED_VALUE"""),80.0)</f>
        <v>80</v>
      </c>
      <c r="K203" s="200">
        <f>IFERROR(__xludf.DUMMYFUNCTION("""COMPUTED_VALUE"""),57.0)</f>
        <v>57</v>
      </c>
      <c r="L203" s="201" t="str">
        <f>IFERROR(__xludf.DUMMYFUNCTION("""COMPUTED_VALUE"""),"Sports / Baseball")</f>
        <v>Sports / Baseball</v>
      </c>
    </row>
    <row r="204">
      <c r="A204" s="190" t="str">
        <f>IFERROR(__xludf.DUMMYFUNCTION("""COMPUTED_VALUE"""),"Hot Wheels Unleashed: Game of the Year Edition")</f>
        <v>Hot Wheels Unleashed: Game of the Year Edition</v>
      </c>
      <c r="B204" s="195" t="str">
        <f>IFERROR(__xludf.DUMMYFUNCTION("""COMPUTED_VALUE"""),"Xbox / PC")</f>
        <v>Xbox / PC</v>
      </c>
      <c r="C204" s="195" t="str">
        <f>IFERROR(__xludf.DUMMYFUNCTION("""COMPUTED_VALUE"""),"Yes")</f>
        <v>Yes</v>
      </c>
      <c r="D204" s="196" t="str">
        <f>IFERROR(__xludf.DUMMYFUNCTION("""COMPUTED_VALUE"""),"Removed")</f>
        <v>Removed</v>
      </c>
      <c r="E204" s="210">
        <f>IFERROR(__xludf.DUMMYFUNCTION("""COMPUTED_VALUE"""),44964.0)</f>
        <v>44964</v>
      </c>
      <c r="F204" s="198">
        <f>IFERROR(__xludf.DUMMYFUNCTION("""COMPUTED_VALUE"""),45382.0)</f>
        <v>45382</v>
      </c>
      <c r="G204" s="199">
        <f>IFERROR(__xludf.DUMMYFUNCTION("""COMPUTED_VALUE"""),13.766666666666666)</f>
        <v>13.76666667</v>
      </c>
      <c r="H204" s="210">
        <f>IFERROR(__xludf.DUMMYFUNCTION("""COMPUTED_VALUE"""),44469.0)</f>
        <v>44469</v>
      </c>
      <c r="I204" s="199">
        <f>IFERROR(__xludf.DUMMYFUNCTION("""COMPUTED_VALUE"""),1.3527777777777779)</f>
        <v>1.352777778</v>
      </c>
      <c r="J204" s="200">
        <f>IFERROR(__xludf.DUMMYFUNCTION("""COMPUTED_VALUE"""),72.0)</f>
        <v>72</v>
      </c>
      <c r="K204" s="200">
        <f>IFERROR(__xludf.DUMMYFUNCTION("""COMPUTED_VALUE"""),9.0)</f>
        <v>9</v>
      </c>
      <c r="L204" s="201" t="str">
        <f>IFERROR(__xludf.DUMMYFUNCTION("""COMPUTED_VALUE"""),"Driving/Racing")</f>
        <v>Driving/Racing</v>
      </c>
    </row>
    <row r="205">
      <c r="A205" s="190" t="str">
        <f>IFERROR(__xludf.DUMMYFUNCTION("""COMPUTED_VALUE"""),"Hardspace: Shipbreaker")</f>
        <v>Hardspace: Shipbreaker</v>
      </c>
      <c r="B205" s="195" t="str">
        <f>IFERROR(__xludf.DUMMYFUNCTION("""COMPUTED_VALUE"""),"Xbox / PC")</f>
        <v>Xbox / PC</v>
      </c>
      <c r="C205" s="195" t="str">
        <f>IFERROR(__xludf.DUMMYFUNCTION("""COMPUTED_VALUE"""),"Yes")</f>
        <v>Yes</v>
      </c>
      <c r="D205" s="196" t="str">
        <f>IFERROR(__xludf.DUMMYFUNCTION("""COMPUTED_VALUE"""),"Removed")</f>
        <v>Removed</v>
      </c>
      <c r="E205" s="210">
        <f>IFERROR(__xludf.DUMMYFUNCTION("""COMPUTED_VALUE"""),44705.0)</f>
        <v>44705</v>
      </c>
      <c r="F205" s="198">
        <f>IFERROR(__xludf.DUMMYFUNCTION("""COMPUTED_VALUE"""),45366.0)</f>
        <v>45366</v>
      </c>
      <c r="G205" s="199">
        <f>IFERROR(__xludf.DUMMYFUNCTION("""COMPUTED_VALUE"""),21.7)</f>
        <v>21.7</v>
      </c>
      <c r="H205" s="210">
        <f>IFERROR(__xludf.DUMMYFUNCTION("""COMPUTED_VALUE"""),43998.0)</f>
        <v>43998</v>
      </c>
      <c r="I205" s="199">
        <f>IFERROR(__xludf.DUMMYFUNCTION("""COMPUTED_VALUE"""),1.9388888888888889)</f>
        <v>1.938888889</v>
      </c>
      <c r="J205" s="200">
        <f>IFERROR(__xludf.DUMMYFUNCTION("""COMPUTED_VALUE"""),82.0)</f>
        <v>82</v>
      </c>
      <c r="K205" s="200">
        <f>IFERROR(__xludf.DUMMYFUNCTION("""COMPUTED_VALUE"""),26.5)</f>
        <v>26.5</v>
      </c>
      <c r="L205" s="201" t="str">
        <f>IFERROR(__xludf.DUMMYFUNCTION("""COMPUTED_VALUE"""),"Simulation")</f>
        <v>Simulation</v>
      </c>
    </row>
    <row r="206">
      <c r="A206" s="190" t="str">
        <f>IFERROR(__xludf.DUMMYFUNCTION("""COMPUTED_VALUE"""),"Shredders")</f>
        <v>Shredders</v>
      </c>
      <c r="B206" s="195" t="str">
        <f>IFERROR(__xludf.DUMMYFUNCTION("""COMPUTED_VALUE"""),"Xbox / PC")</f>
        <v>Xbox / PC</v>
      </c>
      <c r="C206" s="195" t="str">
        <f>IFERROR(__xludf.DUMMYFUNCTION("""COMPUTED_VALUE"""),"Yes")</f>
        <v>Yes</v>
      </c>
      <c r="D206" s="196" t="str">
        <f>IFERROR(__xludf.DUMMYFUNCTION("""COMPUTED_VALUE"""),"Removed")</f>
        <v>Removed</v>
      </c>
      <c r="E206" s="210">
        <f>IFERROR(__xludf.DUMMYFUNCTION("""COMPUTED_VALUE"""),44637.0)</f>
        <v>44637</v>
      </c>
      <c r="F206" s="198">
        <f>IFERROR(__xludf.DUMMYFUNCTION("""COMPUTED_VALUE"""),45366.0)</f>
        <v>45366</v>
      </c>
      <c r="G206" s="199">
        <f>IFERROR(__xludf.DUMMYFUNCTION("""COMPUTED_VALUE"""),23.933333333333334)</f>
        <v>23.93333333</v>
      </c>
      <c r="H206" s="210">
        <f>IFERROR(__xludf.DUMMYFUNCTION("""COMPUTED_VALUE"""),44637.0)</f>
        <v>44637</v>
      </c>
      <c r="I206" s="199">
        <f>IFERROR(__xludf.DUMMYFUNCTION("""COMPUTED_VALUE"""),0.0)</f>
        <v>0</v>
      </c>
      <c r="J206" s="200">
        <f>IFERROR(__xludf.DUMMYFUNCTION("""COMPUTED_VALUE"""),69.0)</f>
        <v>69</v>
      </c>
      <c r="K206" s="200">
        <f>IFERROR(__xludf.DUMMYFUNCTION("""COMPUTED_VALUE"""),3.5)</f>
        <v>3.5</v>
      </c>
      <c r="L206" s="201" t="str">
        <f>IFERROR(__xludf.DUMMYFUNCTION("""COMPUTED_VALUE"""),"Sports / Snowboarding/Skiing")</f>
        <v>Sports / Snowboarding/Skiing</v>
      </c>
    </row>
    <row r="207">
      <c r="A207" s="190" t="str">
        <f>IFERROR(__xludf.DUMMYFUNCTION("""COMPUTED_VALUE"""),"Soul Hackers 2")</f>
        <v>Soul Hackers 2</v>
      </c>
      <c r="B207" s="195" t="str">
        <f>IFERROR(__xludf.DUMMYFUNCTION("""COMPUTED_VALUE"""),"Xbox / PC")</f>
        <v>Xbox / PC</v>
      </c>
      <c r="C207" s="195" t="str">
        <f>IFERROR(__xludf.DUMMYFUNCTION("""COMPUTED_VALUE"""),"Yes")</f>
        <v>Yes</v>
      </c>
      <c r="D207" s="196" t="str">
        <f>IFERROR(__xludf.DUMMYFUNCTION("""COMPUTED_VALUE"""),"Removed")</f>
        <v>Removed</v>
      </c>
      <c r="E207" s="210">
        <f>IFERROR(__xludf.DUMMYFUNCTION("""COMPUTED_VALUE"""),44985.0)</f>
        <v>44985</v>
      </c>
      <c r="F207" s="198">
        <f>IFERROR(__xludf.DUMMYFUNCTION("""COMPUTED_VALUE"""),45351.0)</f>
        <v>45351</v>
      </c>
      <c r="G207" s="199">
        <f>IFERROR(__xludf.DUMMYFUNCTION("""COMPUTED_VALUE"""),12.033333333333333)</f>
        <v>12.03333333</v>
      </c>
      <c r="H207" s="210">
        <f>IFERROR(__xludf.DUMMYFUNCTION("""COMPUTED_VALUE"""),44798.0)</f>
        <v>44798</v>
      </c>
      <c r="I207" s="199">
        <f>IFERROR(__xludf.DUMMYFUNCTION("""COMPUTED_VALUE"""),0.5083333333333333)</f>
        <v>0.5083333333</v>
      </c>
      <c r="J207" s="200">
        <f>IFERROR(__xludf.DUMMYFUNCTION("""COMPUTED_VALUE"""),74.0)</f>
        <v>74</v>
      </c>
      <c r="K207" s="200">
        <f>IFERROR(__xludf.DUMMYFUNCTION("""COMPUTED_VALUE"""),32.0)</f>
        <v>32</v>
      </c>
      <c r="L207" s="201" t="str">
        <f>IFERROR(__xludf.DUMMYFUNCTION("""COMPUTED_VALUE"""),"RPG")</f>
        <v>RPG</v>
      </c>
    </row>
    <row r="208">
      <c r="A208" s="190" t="str">
        <f>IFERROR(__xludf.DUMMYFUNCTION("""COMPUTED_VALUE"""),"Madden NFL 22")</f>
        <v>Madden NFL 22</v>
      </c>
      <c r="B208" s="195" t="str">
        <f>IFERROR(__xludf.DUMMYFUNCTION("""COMPUTED_VALUE"""),"Xbox / PC")</f>
        <v>Xbox / PC</v>
      </c>
      <c r="C208" s="195"/>
      <c r="D208" s="196" t="str">
        <f>IFERROR(__xludf.DUMMYFUNCTION("""COMPUTED_VALUE"""),"Removed")</f>
        <v>Removed</v>
      </c>
      <c r="E208" s="210">
        <f>IFERROR(__xludf.DUMMYFUNCTION("""COMPUTED_VALUE"""),44609.0)</f>
        <v>44609</v>
      </c>
      <c r="F208" s="198">
        <f>IFERROR(__xludf.DUMMYFUNCTION("""COMPUTED_VALUE"""),45351.0)</f>
        <v>45351</v>
      </c>
      <c r="G208" s="199">
        <f>IFERROR(__xludf.DUMMYFUNCTION("""COMPUTED_VALUE"""),24.4)</f>
        <v>24.4</v>
      </c>
      <c r="H208" s="210">
        <f>IFERROR(__xludf.DUMMYFUNCTION("""COMPUTED_VALUE"""),44428.0)</f>
        <v>44428</v>
      </c>
      <c r="I208" s="199">
        <f>IFERROR(__xludf.DUMMYFUNCTION("""COMPUTED_VALUE"""),0.49166666666666664)</f>
        <v>0.4916666667</v>
      </c>
      <c r="J208" s="200">
        <f>IFERROR(__xludf.DUMMYFUNCTION("""COMPUTED_VALUE"""),70.0)</f>
        <v>70</v>
      </c>
      <c r="K208" s="200">
        <f>IFERROR(__xludf.DUMMYFUNCTION("""COMPUTED_VALUE"""),19.0)</f>
        <v>19</v>
      </c>
      <c r="L208" s="201" t="str">
        <f>IFERROR(__xludf.DUMMYFUNCTION("""COMPUTED_VALUE"""),"Sports / Football")</f>
        <v>Sports / Football</v>
      </c>
    </row>
    <row r="209">
      <c r="A209" s="190" t="str">
        <f>IFERROR(__xludf.DUMMYFUNCTION("""COMPUTED_VALUE"""),"Opus: Echo of Starsong - Full Bloom Edition")</f>
        <v>Opus: Echo of Starsong - Full Bloom Edition</v>
      </c>
      <c r="B209" s="195" t="str">
        <f>IFERROR(__xludf.DUMMYFUNCTION("""COMPUTED_VALUE"""),"Xbox / PC")</f>
        <v>Xbox / PC</v>
      </c>
      <c r="C209" s="195" t="str">
        <f>IFERROR(__xludf.DUMMYFUNCTION("""COMPUTED_VALUE"""),"Touch Controls")</f>
        <v>Touch Controls</v>
      </c>
      <c r="D209" s="196" t="str">
        <f>IFERROR(__xludf.DUMMYFUNCTION("""COMPUTED_VALUE"""),"Removed")</f>
        <v>Removed</v>
      </c>
      <c r="E209" s="210">
        <f>IFERROR(__xludf.DUMMYFUNCTION("""COMPUTED_VALUE"""),44798.0)</f>
        <v>44798</v>
      </c>
      <c r="F209" s="198">
        <f>IFERROR(__xludf.DUMMYFUNCTION("""COMPUTED_VALUE"""),45337.0)</f>
        <v>45337</v>
      </c>
      <c r="G209" s="199">
        <f>IFERROR(__xludf.DUMMYFUNCTION("""COMPUTED_VALUE"""),17.666666666666668)</f>
        <v>17.66666667</v>
      </c>
      <c r="H209" s="210">
        <f>IFERROR(__xludf.DUMMYFUNCTION("""COMPUTED_VALUE"""),44439.0)</f>
        <v>44439</v>
      </c>
      <c r="I209" s="199">
        <f>IFERROR(__xludf.DUMMYFUNCTION("""COMPUTED_VALUE"""),0.9861111111111112)</f>
        <v>0.9861111111</v>
      </c>
      <c r="J209" s="200">
        <f>IFERROR(__xludf.DUMMYFUNCTION("""COMPUTED_VALUE"""),90.0)</f>
        <v>90</v>
      </c>
      <c r="K209" s="200">
        <f>IFERROR(__xludf.DUMMYFUNCTION("""COMPUTED_VALUE"""),9.5)</f>
        <v>9.5</v>
      </c>
      <c r="L209" s="201" t="str">
        <f>IFERROR(__xludf.DUMMYFUNCTION("""COMPUTED_VALUE"""),"Adventure")</f>
        <v>Adventure</v>
      </c>
    </row>
    <row r="210">
      <c r="A210" s="190" t="str">
        <f>IFERROR(__xludf.DUMMYFUNCTION("""COMPUTED_VALUE"""),"Galactic Civilizations III")</f>
        <v>Galactic Civilizations III</v>
      </c>
      <c r="B210" s="195" t="str">
        <f>IFERROR(__xludf.DUMMYFUNCTION("""COMPUTED_VALUE"""),"PC")</f>
        <v>PC</v>
      </c>
      <c r="C210" s="195"/>
      <c r="D210" s="196" t="str">
        <f>IFERROR(__xludf.DUMMYFUNCTION("""COMPUTED_VALUE"""),"Removed")</f>
        <v>Removed</v>
      </c>
      <c r="E210" s="210">
        <f>IFERROR(__xludf.DUMMYFUNCTION("""COMPUTED_VALUE"""),44616.0)</f>
        <v>44616</v>
      </c>
      <c r="F210" s="198">
        <f>IFERROR(__xludf.DUMMYFUNCTION("""COMPUTED_VALUE"""),45337.0)</f>
        <v>45337</v>
      </c>
      <c r="G210" s="199">
        <f>IFERROR(__xludf.DUMMYFUNCTION("""COMPUTED_VALUE"""),23.700000000000003)</f>
        <v>23.7</v>
      </c>
      <c r="H210" s="210">
        <f>IFERROR(__xludf.DUMMYFUNCTION("""COMPUTED_VALUE"""),41725.0)</f>
        <v>41725</v>
      </c>
      <c r="I210" s="199">
        <f>IFERROR(__xludf.DUMMYFUNCTION("""COMPUTED_VALUE"""),7.908333333333333)</f>
        <v>7.908333333</v>
      </c>
      <c r="J210" s="200">
        <f>IFERROR(__xludf.DUMMYFUNCTION("""COMPUTED_VALUE"""),81.0)</f>
        <v>81</v>
      </c>
      <c r="K210" s="200">
        <f>IFERROR(__xludf.DUMMYFUNCTION("""COMPUTED_VALUE"""),23.0)</f>
        <v>23</v>
      </c>
      <c r="L210" s="201" t="str">
        <f>IFERROR(__xludf.DUMMYFUNCTION("""COMPUTED_VALUE"""),"Strategy")</f>
        <v>Strategy</v>
      </c>
    </row>
    <row r="211">
      <c r="A211" s="190" t="str">
        <f>IFERROR(__xludf.DUMMYFUNCTION("""COMPUTED_VALUE"""),"F1 2021")</f>
        <v>F1 2021</v>
      </c>
      <c r="B211" s="195" t="str">
        <f>IFERROR(__xludf.DUMMYFUNCTION("""COMPUTED_VALUE"""),"Xbox")</f>
        <v>Xbox</v>
      </c>
      <c r="C211" s="195" t="str">
        <f>IFERROR(__xludf.DUMMYFUNCTION("""COMPUTED_VALUE"""),"Yes")</f>
        <v>Yes</v>
      </c>
      <c r="D211" s="196" t="str">
        <f>IFERROR(__xludf.DUMMYFUNCTION("""COMPUTED_VALUE"""),"Removed")</f>
        <v>Removed</v>
      </c>
      <c r="E211" s="210">
        <f>IFERROR(__xludf.DUMMYFUNCTION("""COMPUTED_VALUE"""),44644.0)</f>
        <v>44644</v>
      </c>
      <c r="F211" s="198">
        <f>IFERROR(__xludf.DUMMYFUNCTION("""COMPUTED_VALUE"""),45322.0)</f>
        <v>45322</v>
      </c>
      <c r="G211" s="199">
        <f>IFERROR(__xludf.DUMMYFUNCTION("""COMPUTED_VALUE"""),22.200000000000003)</f>
        <v>22.2</v>
      </c>
      <c r="H211" s="210">
        <f>IFERROR(__xludf.DUMMYFUNCTION("""COMPUTED_VALUE"""),44392.0)</f>
        <v>44392</v>
      </c>
      <c r="I211" s="199">
        <f>IFERROR(__xludf.DUMMYFUNCTION("""COMPUTED_VALUE"""),0.6916666666666667)</f>
        <v>0.6916666667</v>
      </c>
      <c r="J211" s="200">
        <f>IFERROR(__xludf.DUMMYFUNCTION("""COMPUTED_VALUE"""),84.0)</f>
        <v>84</v>
      </c>
      <c r="K211" s="200">
        <f>IFERROR(__xludf.DUMMYFUNCTION("""COMPUTED_VALUE"""),7.5)</f>
        <v>7.5</v>
      </c>
      <c r="L211" s="201" t="str">
        <f>IFERROR(__xludf.DUMMYFUNCTION("""COMPUTED_VALUE"""),"Driving/Racing")</f>
        <v>Driving/Racing</v>
      </c>
    </row>
    <row r="212">
      <c r="A212" s="190" t="str">
        <f>IFERROR(__xludf.DUMMYFUNCTION("""COMPUTED_VALUE"""),"HITMAN: World of Assassination")</f>
        <v>HITMAN: World of Assassination</v>
      </c>
      <c r="B212" s="195" t="str">
        <f>IFERROR(__xludf.DUMMYFUNCTION("""COMPUTED_VALUE"""),"Xbox / PC")</f>
        <v>Xbox / PC</v>
      </c>
      <c r="C212" s="195" t="str">
        <f>IFERROR(__xludf.DUMMYFUNCTION("""COMPUTED_VALUE"""),"Touch Controls")</f>
        <v>Touch Controls</v>
      </c>
      <c r="D212" s="196" t="str">
        <f>IFERROR(__xludf.DUMMYFUNCTION("""COMPUTED_VALUE"""),"Removed")</f>
        <v>Removed</v>
      </c>
      <c r="E212" s="210">
        <f>IFERROR(__xludf.DUMMYFUNCTION("""COMPUTED_VALUE"""),44581.0)</f>
        <v>44581</v>
      </c>
      <c r="F212" s="198">
        <f>IFERROR(__xludf.DUMMYFUNCTION("""COMPUTED_VALUE"""),45322.0)</f>
        <v>45322</v>
      </c>
      <c r="G212" s="199">
        <f>IFERROR(__xludf.DUMMYFUNCTION("""COMPUTED_VALUE"""),24.333333333333332)</f>
        <v>24.33333333</v>
      </c>
      <c r="H212" s="210">
        <f>IFERROR(__xludf.DUMMYFUNCTION("""COMPUTED_VALUE"""),44581.0)</f>
        <v>44581</v>
      </c>
      <c r="I212" s="199">
        <f>IFERROR(__xludf.DUMMYFUNCTION("""COMPUTED_VALUE"""),0.0)</f>
        <v>0</v>
      </c>
      <c r="J212" s="200">
        <f>IFERROR(__xludf.DUMMYFUNCTION("""COMPUTED_VALUE"""),85.33333333333333)</f>
        <v>85.33333333</v>
      </c>
      <c r="K212" s="200">
        <f>IFERROR(__xludf.DUMMYFUNCTION("""COMPUTED_VALUE"""),25.0)</f>
        <v>25</v>
      </c>
      <c r="L212" s="201" t="str">
        <f>IFERROR(__xludf.DUMMYFUNCTION("""COMPUTED_VALUE"""),"Compilation / Action-Adventure")</f>
        <v>Compilation / Action-Adventure</v>
      </c>
    </row>
    <row r="213">
      <c r="A213" s="190" t="str">
        <f>IFERROR(__xludf.DUMMYFUNCTION("""COMPUTED_VALUE"""),"Persona 3: Portable")</f>
        <v>Persona 3: Portable</v>
      </c>
      <c r="B213" s="195" t="str">
        <f>IFERROR(__xludf.DUMMYFUNCTION("""COMPUTED_VALUE"""),"Xbox / PC")</f>
        <v>Xbox / PC</v>
      </c>
      <c r="C213" s="195" t="str">
        <f>IFERROR(__xludf.DUMMYFUNCTION("""COMPUTED_VALUE"""),"Yes")</f>
        <v>Yes</v>
      </c>
      <c r="D213" s="196" t="str">
        <f>IFERROR(__xludf.DUMMYFUNCTION("""COMPUTED_VALUE"""),"Removed")</f>
        <v>Removed</v>
      </c>
      <c r="E213" s="210">
        <f>IFERROR(__xludf.DUMMYFUNCTION("""COMPUTED_VALUE"""),44945.0)</f>
        <v>44945</v>
      </c>
      <c r="F213" s="198">
        <f>IFERROR(__xludf.DUMMYFUNCTION("""COMPUTED_VALUE"""),45306.0)</f>
        <v>45306</v>
      </c>
      <c r="G213" s="199">
        <f>IFERROR(__xludf.DUMMYFUNCTION("""COMPUTED_VALUE"""),11.866666666666667)</f>
        <v>11.86666667</v>
      </c>
      <c r="H213" s="210">
        <f>IFERROR(__xludf.DUMMYFUNCTION("""COMPUTED_VALUE"""),40118.0)</f>
        <v>40118</v>
      </c>
      <c r="I213" s="199">
        <f>IFERROR(__xludf.DUMMYFUNCTION("""COMPUTED_VALUE"""),13.216666666666667)</f>
        <v>13.21666667</v>
      </c>
      <c r="J213" s="200">
        <f>IFERROR(__xludf.DUMMYFUNCTION("""COMPUTED_VALUE"""),89.0)</f>
        <v>89</v>
      </c>
      <c r="K213" s="200">
        <f>IFERROR(__xludf.DUMMYFUNCTION("""COMPUTED_VALUE"""),65.5)</f>
        <v>65.5</v>
      </c>
      <c r="L213" s="201" t="str">
        <f>IFERROR(__xludf.DUMMYFUNCTION("""COMPUTED_VALUE"""),"RPG")</f>
        <v>RPG</v>
      </c>
    </row>
    <row r="214">
      <c r="A214" s="190" t="str">
        <f>IFERROR(__xludf.DUMMYFUNCTION("""COMPUTED_VALUE"""),"MotoGP 22")</f>
        <v>MotoGP 22</v>
      </c>
      <c r="B214" s="195" t="str">
        <f>IFERROR(__xludf.DUMMYFUNCTION("""COMPUTED_VALUE"""),"Xbox / PC")</f>
        <v>Xbox / PC</v>
      </c>
      <c r="C214" s="195" t="str">
        <f>IFERROR(__xludf.DUMMYFUNCTION("""COMPUTED_VALUE"""),"Yes")</f>
        <v>Yes</v>
      </c>
      <c r="D214" s="196" t="str">
        <f>IFERROR(__xludf.DUMMYFUNCTION("""COMPUTED_VALUE"""),"Removed")</f>
        <v>Removed</v>
      </c>
      <c r="E214" s="210">
        <f>IFERROR(__xludf.DUMMYFUNCTION("""COMPUTED_VALUE"""),44763.0)</f>
        <v>44763</v>
      </c>
      <c r="F214" s="198">
        <f>IFERROR(__xludf.DUMMYFUNCTION("""COMPUTED_VALUE"""),45306.0)</f>
        <v>45306</v>
      </c>
      <c r="G214" s="199">
        <f>IFERROR(__xludf.DUMMYFUNCTION("""COMPUTED_VALUE"""),17.8)</f>
        <v>17.8</v>
      </c>
      <c r="H214" s="210">
        <f>IFERROR(__xludf.DUMMYFUNCTION("""COMPUTED_VALUE"""),44672.0)</f>
        <v>44672</v>
      </c>
      <c r="I214" s="199">
        <f>IFERROR(__xludf.DUMMYFUNCTION("""COMPUTED_VALUE"""),0.25)</f>
        <v>0.25</v>
      </c>
      <c r="J214" s="200">
        <f>IFERROR(__xludf.DUMMYFUNCTION("""COMPUTED_VALUE"""),81.0)</f>
        <v>81</v>
      </c>
      <c r="K214" s="200">
        <f>IFERROR(__xludf.DUMMYFUNCTION("""COMPUTED_VALUE"""),10.5)</f>
        <v>10.5</v>
      </c>
      <c r="L214" s="201" t="str">
        <f>IFERROR(__xludf.DUMMYFUNCTION("""COMPUTED_VALUE"""),"Driving/Racing / Simulation")</f>
        <v>Driving/Racing / Simulation</v>
      </c>
    </row>
    <row r="215">
      <c r="A215" s="190" t="str">
        <f>IFERROR(__xludf.DUMMYFUNCTION("""COMPUTED_VALUE"""),"Garden Story")</f>
        <v>Garden Story</v>
      </c>
      <c r="B215" s="195" t="str">
        <f>IFERROR(__xludf.DUMMYFUNCTION("""COMPUTED_VALUE"""),"Xbox / PC")</f>
        <v>Xbox / PC</v>
      </c>
      <c r="C215" s="195" t="str">
        <f>IFERROR(__xludf.DUMMYFUNCTION("""COMPUTED_VALUE"""),"Touch Controls")</f>
        <v>Touch Controls</v>
      </c>
      <c r="D215" s="196" t="str">
        <f>IFERROR(__xludf.DUMMYFUNCTION("""COMPUTED_VALUE"""),"Removed")</f>
        <v>Removed</v>
      </c>
      <c r="E215" s="210">
        <f>IFERROR(__xludf.DUMMYFUNCTION("""COMPUTED_VALUE"""),44760.0)</f>
        <v>44760</v>
      </c>
      <c r="F215" s="198">
        <f>IFERROR(__xludf.DUMMYFUNCTION("""COMPUTED_VALUE"""),45306.0)</f>
        <v>45306</v>
      </c>
      <c r="G215" s="199">
        <f>IFERROR(__xludf.DUMMYFUNCTION("""COMPUTED_VALUE"""),17.9)</f>
        <v>17.9</v>
      </c>
      <c r="H215" s="210">
        <f>IFERROR(__xludf.DUMMYFUNCTION("""COMPUTED_VALUE"""),44419.0)</f>
        <v>44419</v>
      </c>
      <c r="I215" s="199">
        <f>IFERROR(__xludf.DUMMYFUNCTION("""COMPUTED_VALUE"""),0.9361111111111111)</f>
        <v>0.9361111111</v>
      </c>
      <c r="J215" s="200">
        <f>IFERROR(__xludf.DUMMYFUNCTION("""COMPUTED_VALUE"""),70.0)</f>
        <v>70</v>
      </c>
      <c r="K215" s="200">
        <f>IFERROR(__xludf.DUMMYFUNCTION("""COMPUTED_VALUE"""),10.0)</f>
        <v>10</v>
      </c>
      <c r="L215" s="201" t="str">
        <f>IFERROR(__xludf.DUMMYFUNCTION("""COMPUTED_VALUE"""),"RPG")</f>
        <v>RPG</v>
      </c>
    </row>
    <row r="216">
      <c r="A216" s="190" t="str">
        <f>IFERROR(__xludf.DUMMYFUNCTION("""COMPUTED_VALUE"""),"NARAKA: BLADEPOINT")</f>
        <v>NARAKA: BLADEPOINT</v>
      </c>
      <c r="B216" s="195" t="str">
        <f>IFERROR(__xludf.DUMMYFUNCTION("""COMPUTED_VALUE"""),"Xbox / PC")</f>
        <v>Xbox / PC</v>
      </c>
      <c r="C216" s="195" t="str">
        <f>IFERROR(__xludf.DUMMYFUNCTION("""COMPUTED_VALUE"""),"Yes")</f>
        <v>Yes</v>
      </c>
      <c r="D216" s="196" t="str">
        <f>IFERROR(__xludf.DUMMYFUNCTION("""COMPUTED_VALUE"""),"Removed")</f>
        <v>Removed</v>
      </c>
      <c r="E216" s="210">
        <f>IFERROR(__xludf.DUMMYFUNCTION("""COMPUTED_VALUE"""),44735.0)</f>
        <v>44735</v>
      </c>
      <c r="F216" s="198">
        <f>IFERROR(__xludf.DUMMYFUNCTION("""COMPUTED_VALUE"""),45291.0)</f>
        <v>45291</v>
      </c>
      <c r="G216" s="199">
        <f>IFERROR(__xludf.DUMMYFUNCTION("""COMPUTED_VALUE"""),18.233333333333334)</f>
        <v>18.23333333</v>
      </c>
      <c r="H216" s="210">
        <f>IFERROR(__xludf.DUMMYFUNCTION("""COMPUTED_VALUE"""),44420.0)</f>
        <v>44420</v>
      </c>
      <c r="I216" s="199">
        <f>IFERROR(__xludf.DUMMYFUNCTION("""COMPUTED_VALUE"""),0.8638888888888889)</f>
        <v>0.8638888889</v>
      </c>
      <c r="J216" s="200">
        <f>IFERROR(__xludf.DUMMYFUNCTION("""COMPUTED_VALUE"""),71.0)</f>
        <v>71</v>
      </c>
      <c r="K216" s="200">
        <f>IFERROR(__xludf.DUMMYFUNCTION("""COMPUTED_VALUE"""),48.0)</f>
        <v>48</v>
      </c>
      <c r="L216" s="201" t="str">
        <f>IFERROR(__xludf.DUMMYFUNCTION("""COMPUTED_VALUE"""),"Action")</f>
        <v>Action</v>
      </c>
    </row>
    <row r="217">
      <c r="A217" s="190" t="str">
        <f>IFERROR(__xludf.DUMMYFUNCTION("""COMPUTED_VALUE"""),"Potion Craft")</f>
        <v>Potion Craft</v>
      </c>
      <c r="B217" s="195" t="str">
        <f>IFERROR(__xludf.DUMMYFUNCTION("""COMPUTED_VALUE"""),"Xbox / PC")</f>
        <v>Xbox / PC</v>
      </c>
      <c r="C217" s="195"/>
      <c r="D217" s="196" t="str">
        <f>IFERROR(__xludf.DUMMYFUNCTION("""COMPUTED_VALUE"""),"Removed")</f>
        <v>Removed</v>
      </c>
      <c r="E217" s="210">
        <f>IFERROR(__xludf.DUMMYFUNCTION("""COMPUTED_VALUE"""),44908.0)</f>
        <v>44908</v>
      </c>
      <c r="F217" s="198">
        <f>IFERROR(__xludf.DUMMYFUNCTION("""COMPUTED_VALUE"""),45275.0)</f>
        <v>45275</v>
      </c>
      <c r="G217" s="199">
        <f>IFERROR(__xludf.DUMMYFUNCTION("""COMPUTED_VALUE"""),12.066666666666666)</f>
        <v>12.06666667</v>
      </c>
      <c r="H217" s="210">
        <f>IFERROR(__xludf.DUMMYFUNCTION("""COMPUTED_VALUE"""),44908.0)</f>
        <v>44908</v>
      </c>
      <c r="I217" s="199">
        <f>IFERROR(__xludf.DUMMYFUNCTION("""COMPUTED_VALUE"""),0.0)</f>
        <v>0</v>
      </c>
      <c r="J217" s="200">
        <f>IFERROR(__xludf.DUMMYFUNCTION("""COMPUTED_VALUE"""),76.0)</f>
        <v>76</v>
      </c>
      <c r="K217" s="200">
        <f>IFERROR(__xludf.DUMMYFUNCTION("""COMPUTED_VALUE"""),10.0)</f>
        <v>10</v>
      </c>
      <c r="L217" s="201" t="str">
        <f>IFERROR(__xludf.DUMMYFUNCTION("""COMPUTED_VALUE"""),"Simulation")</f>
        <v>Simulation</v>
      </c>
    </row>
    <row r="218">
      <c r="A218" s="268" t="str">
        <f>IFERROR(__xludf.DUMMYFUNCTION("""COMPUTED_VALUE"""),"Chained Echoes")</f>
        <v>Chained Echoes</v>
      </c>
      <c r="B218" s="195" t="str">
        <f>IFERROR(__xludf.DUMMYFUNCTION("""COMPUTED_VALUE"""),"Xbox / PC")</f>
        <v>Xbox / PC</v>
      </c>
      <c r="C218" s="195" t="str">
        <f>IFERROR(__xludf.DUMMYFUNCTION("""COMPUTED_VALUE"""),"Yes")</f>
        <v>Yes</v>
      </c>
      <c r="D218" s="196" t="str">
        <f>IFERROR(__xludf.DUMMYFUNCTION("""COMPUTED_VALUE"""),"Removed")</f>
        <v>Removed</v>
      </c>
      <c r="E218" s="210">
        <f>IFERROR(__xludf.DUMMYFUNCTION("""COMPUTED_VALUE"""),44903.0)</f>
        <v>44903</v>
      </c>
      <c r="F218" s="198">
        <f>IFERROR(__xludf.DUMMYFUNCTION("""COMPUTED_VALUE"""),45275.0)</f>
        <v>45275</v>
      </c>
      <c r="G218" s="199">
        <f>IFERROR(__xludf.DUMMYFUNCTION("""COMPUTED_VALUE"""),12.233333333333333)</f>
        <v>12.23333333</v>
      </c>
      <c r="H218" s="210">
        <f>IFERROR(__xludf.DUMMYFUNCTION("""COMPUTED_VALUE"""),44903.0)</f>
        <v>44903</v>
      </c>
      <c r="I218" s="199">
        <f>IFERROR(__xludf.DUMMYFUNCTION("""COMPUTED_VALUE"""),0.0)</f>
        <v>0</v>
      </c>
      <c r="J218" s="200">
        <f>IFERROR(__xludf.DUMMYFUNCTION("""COMPUTED_VALUE"""),92.0)</f>
        <v>92</v>
      </c>
      <c r="K218" s="200">
        <f>IFERROR(__xludf.DUMMYFUNCTION("""COMPUTED_VALUE"""),31.0)</f>
        <v>31</v>
      </c>
      <c r="L218" s="201" t="str">
        <f>IFERROR(__xludf.DUMMYFUNCTION("""COMPUTED_VALUE"""),"RPG")</f>
        <v>RPG</v>
      </c>
    </row>
    <row r="219">
      <c r="A219" s="190" t="str">
        <f>IFERROR(__xludf.DUMMYFUNCTION("""COMPUTED_VALUE"""),"Opus Magnum")</f>
        <v>Opus Magnum</v>
      </c>
      <c r="B219" s="195" t="str">
        <f>IFERROR(__xludf.DUMMYFUNCTION("""COMPUTED_VALUE"""),"PC")</f>
        <v>PC</v>
      </c>
      <c r="C219" s="195"/>
      <c r="D219" s="196" t="str">
        <f>IFERROR(__xludf.DUMMYFUNCTION("""COMPUTED_VALUE"""),"Removed")</f>
        <v>Removed</v>
      </c>
      <c r="E219" s="210">
        <f>IFERROR(__xludf.DUMMYFUNCTION("""COMPUTED_VALUE"""),44810.0)</f>
        <v>44810</v>
      </c>
      <c r="F219" s="198">
        <f>IFERROR(__xludf.DUMMYFUNCTION("""COMPUTED_VALUE"""),45275.0)</f>
        <v>45275</v>
      </c>
      <c r="G219" s="199">
        <f>IFERROR(__xludf.DUMMYFUNCTION("""COMPUTED_VALUE"""),15.299999999999999)</f>
        <v>15.3</v>
      </c>
      <c r="H219" s="210">
        <f>IFERROR(__xludf.DUMMYFUNCTION("""COMPUTED_VALUE"""),43076.0)</f>
        <v>43076</v>
      </c>
      <c r="I219" s="199">
        <f>IFERROR(__xludf.DUMMYFUNCTION("""COMPUTED_VALUE"""),4.747222222222222)</f>
        <v>4.747222222</v>
      </c>
      <c r="J219" s="200">
        <f>IFERROR(__xludf.DUMMYFUNCTION("""COMPUTED_VALUE"""),90.0)</f>
        <v>90</v>
      </c>
      <c r="K219" s="200">
        <f>IFERROR(__xludf.DUMMYFUNCTION("""COMPUTED_VALUE"""),15.0)</f>
        <v>15</v>
      </c>
      <c r="L219" s="201" t="str">
        <f>IFERROR(__xludf.DUMMYFUNCTION("""COMPUTED_VALUE"""),"Puzzle")</f>
        <v>Puzzle</v>
      </c>
    </row>
    <row r="220">
      <c r="A220" s="190" t="str">
        <f>IFERROR(__xludf.DUMMYFUNCTION("""COMPUTED_VALUE"""),"Rubber Bandits")</f>
        <v>Rubber Bandits</v>
      </c>
      <c r="B220" s="195" t="str">
        <f>IFERROR(__xludf.DUMMYFUNCTION("""COMPUTED_VALUE"""),"Xbox / PC")</f>
        <v>Xbox / PC</v>
      </c>
      <c r="C220" s="195" t="str">
        <f>IFERROR(__xludf.DUMMYFUNCTION("""COMPUTED_VALUE"""),"Touch Controls")</f>
        <v>Touch Controls</v>
      </c>
      <c r="D220" s="196" t="str">
        <f>IFERROR(__xludf.DUMMYFUNCTION("""COMPUTED_VALUE"""),"Removed")</f>
        <v>Removed</v>
      </c>
      <c r="E220" s="210">
        <f>IFERROR(__xludf.DUMMYFUNCTION("""COMPUTED_VALUE"""),44532.0)</f>
        <v>44532</v>
      </c>
      <c r="F220" s="198">
        <f>IFERROR(__xludf.DUMMYFUNCTION("""COMPUTED_VALUE"""),45275.0)</f>
        <v>45275</v>
      </c>
      <c r="G220" s="199">
        <f>IFERROR(__xludf.DUMMYFUNCTION("""COMPUTED_VALUE"""),24.43333333333333)</f>
        <v>24.43333333</v>
      </c>
      <c r="H220" s="210">
        <f>IFERROR(__xludf.DUMMYFUNCTION("""COMPUTED_VALUE"""),44532.0)</f>
        <v>44532</v>
      </c>
      <c r="I220" s="199">
        <f>IFERROR(__xludf.DUMMYFUNCTION("""COMPUTED_VALUE"""),0.0)</f>
        <v>0</v>
      </c>
      <c r="J220" s="200">
        <f>IFERROR(__xludf.DUMMYFUNCTION("""COMPUTED_VALUE"""),74.0)</f>
        <v>74</v>
      </c>
      <c r="K220" s="200">
        <f>IFERROR(__xludf.DUMMYFUNCTION("""COMPUTED_VALUE"""),2.5)</f>
        <v>2.5</v>
      </c>
      <c r="L220" s="201" t="str">
        <f>IFERROR(__xludf.DUMMYFUNCTION("""COMPUTED_VALUE"""),"Brawler")</f>
        <v>Brawler</v>
      </c>
    </row>
    <row r="221">
      <c r="A221" s="190" t="str">
        <f>IFERROR(__xludf.DUMMYFUNCTION("""COMPUTED_VALUE"""),"Eastward")</f>
        <v>Eastward</v>
      </c>
      <c r="B221" s="195" t="str">
        <f>IFERROR(__xludf.DUMMYFUNCTION("""COMPUTED_VALUE"""),"Xbox / PC")</f>
        <v>Xbox / PC</v>
      </c>
      <c r="C221" s="195" t="str">
        <f>IFERROR(__xludf.DUMMYFUNCTION("""COMPUTED_VALUE"""),"Yes")</f>
        <v>Yes</v>
      </c>
      <c r="D221" s="196" t="str">
        <f>IFERROR(__xludf.DUMMYFUNCTION("""COMPUTED_VALUE"""),"Removed")</f>
        <v>Removed</v>
      </c>
      <c r="E221" s="209">
        <f>IFERROR(__xludf.DUMMYFUNCTION("""COMPUTED_VALUE"""),44896.0)</f>
        <v>44896</v>
      </c>
      <c r="F221" s="198">
        <f>IFERROR(__xludf.DUMMYFUNCTION("""COMPUTED_VALUE"""),45260.0)</f>
        <v>45260</v>
      </c>
      <c r="G221" s="199">
        <f>IFERROR(__xludf.DUMMYFUNCTION("""COMPUTED_VALUE"""),11.966666666666667)</f>
        <v>11.96666667</v>
      </c>
      <c r="H221" s="210">
        <f>IFERROR(__xludf.DUMMYFUNCTION("""COMPUTED_VALUE"""),44546.0)</f>
        <v>44546</v>
      </c>
      <c r="I221" s="199">
        <f>IFERROR(__xludf.DUMMYFUNCTION("""COMPUTED_VALUE"""),0.9583333333333334)</f>
        <v>0.9583333333</v>
      </c>
      <c r="J221" s="200">
        <f>IFERROR(__xludf.DUMMYFUNCTION("""COMPUTED_VALUE"""),82.0)</f>
        <v>82</v>
      </c>
      <c r="K221" s="200">
        <f>IFERROR(__xludf.DUMMYFUNCTION("""COMPUTED_VALUE"""),20.0)</f>
        <v>20</v>
      </c>
      <c r="L221" s="201" t="str">
        <f>IFERROR(__xludf.DUMMYFUNCTION("""COMPUTED_VALUE"""),"Adventure / RPG")</f>
        <v>Adventure / RPG</v>
      </c>
    </row>
    <row r="222">
      <c r="A222" s="190" t="str">
        <f>IFERROR(__xludf.DUMMYFUNCTION("""COMPUTED_VALUE"""),"Disc Room (2020)")</f>
        <v>Disc Room (2020)</v>
      </c>
      <c r="B222" s="195" t="str">
        <f>IFERROR(__xludf.DUMMYFUNCTION("""COMPUTED_VALUE"""),"Xbox / PC")</f>
        <v>Xbox / PC</v>
      </c>
      <c r="C222" s="195" t="str">
        <f>IFERROR(__xludf.DUMMYFUNCTION("""COMPUTED_VALUE"""),"Touch Controls")</f>
        <v>Touch Controls</v>
      </c>
      <c r="D222" s="196" t="str">
        <f>IFERROR(__xludf.DUMMYFUNCTION("""COMPUTED_VALUE"""),"Removed")</f>
        <v>Removed</v>
      </c>
      <c r="E222" s="209">
        <f>IFERROR(__xludf.DUMMYFUNCTION("""COMPUTED_VALUE"""),44719.0)</f>
        <v>44719</v>
      </c>
      <c r="F222" s="198">
        <f>IFERROR(__xludf.DUMMYFUNCTION("""COMPUTED_VALUE"""),45260.0)</f>
        <v>45260</v>
      </c>
      <c r="G222" s="199">
        <f>IFERROR(__xludf.DUMMYFUNCTION("""COMPUTED_VALUE"""),17.766666666666666)</f>
        <v>17.76666667</v>
      </c>
      <c r="H222" s="210">
        <f>IFERROR(__xludf.DUMMYFUNCTION("""COMPUTED_VALUE"""),44126.0)</f>
        <v>44126</v>
      </c>
      <c r="I222" s="199">
        <f>IFERROR(__xludf.DUMMYFUNCTION("""COMPUTED_VALUE"""),1.625)</f>
        <v>1.625</v>
      </c>
      <c r="J222" s="200">
        <f>IFERROR(__xludf.DUMMYFUNCTION("""COMPUTED_VALUE"""),83.0)</f>
        <v>83</v>
      </c>
      <c r="K222" s="200">
        <f>IFERROR(__xludf.DUMMYFUNCTION("""COMPUTED_VALUE"""),3.0)</f>
        <v>3</v>
      </c>
      <c r="L222" s="201" t="str">
        <f>IFERROR(__xludf.DUMMYFUNCTION("""COMPUTED_VALUE"""),"Action-Adventure")</f>
        <v>Action-Adventure</v>
      </c>
    </row>
    <row r="223">
      <c r="A223" s="190" t="str">
        <f>IFERROR(__xludf.DUMMYFUNCTION("""COMPUTED_VALUE"""),"ANVIL: Vault Breaker (Game Preview)")</f>
        <v>ANVIL: Vault Breaker (Game Preview)</v>
      </c>
      <c r="B223" s="195" t="str">
        <f>IFERROR(__xludf.DUMMYFUNCTION("""COMPUTED_VALUE"""),"Xbox / PC")</f>
        <v>Xbox / PC</v>
      </c>
      <c r="C223" s="195" t="str">
        <f>IFERROR(__xludf.DUMMYFUNCTION("""COMPUTED_VALUE"""),"Touch Controls")</f>
        <v>Touch Controls</v>
      </c>
      <c r="D223" s="196" t="str">
        <f>IFERROR(__xludf.DUMMYFUNCTION("""COMPUTED_VALUE"""),"Removed")</f>
        <v>Removed</v>
      </c>
      <c r="E223" s="209">
        <f>IFERROR(__xludf.DUMMYFUNCTION("""COMPUTED_VALUE"""),44532.0)</f>
        <v>44532</v>
      </c>
      <c r="F223" s="198">
        <f>IFERROR(__xludf.DUMMYFUNCTION("""COMPUTED_VALUE"""),45260.0)</f>
        <v>45260</v>
      </c>
      <c r="G223" s="199">
        <f>IFERROR(__xludf.DUMMYFUNCTION("""COMPUTED_VALUE"""),23.933333333333334)</f>
        <v>23.93333333</v>
      </c>
      <c r="H223" s="210">
        <f>IFERROR(__xludf.DUMMYFUNCTION("""COMPUTED_VALUE"""),44440.0)</f>
        <v>44440</v>
      </c>
      <c r="I223" s="199">
        <f>IFERROR(__xludf.DUMMYFUNCTION("""COMPUTED_VALUE"""),0.25277777777777777)</f>
        <v>0.2527777778</v>
      </c>
      <c r="J223" s="200"/>
      <c r="K223" s="200">
        <f>IFERROR(__xludf.DUMMYFUNCTION("""COMPUTED_VALUE"""),3.0)</f>
        <v>3</v>
      </c>
      <c r="L223" s="201" t="str">
        <f>IFERROR(__xludf.DUMMYFUNCTION("""COMPUTED_VALUE"""),"Action / Dual-Joystick Shooter")</f>
        <v>Action / Dual-Joystick Shooter</v>
      </c>
    </row>
    <row r="224">
      <c r="A224" s="190" t="str">
        <f>IFERROR(__xludf.DUMMYFUNCTION("""COMPUTED_VALUE"""),"GRID (2019)")</f>
        <v>GRID (2019)</v>
      </c>
      <c r="B224" s="195" t="str">
        <f>IFERROR(__xludf.DUMMYFUNCTION("""COMPUTED_VALUE"""),"Xbox")</f>
        <v>Xbox</v>
      </c>
      <c r="C224" s="195"/>
      <c r="D224" s="196" t="str">
        <f>IFERROR(__xludf.DUMMYFUNCTION("""COMPUTED_VALUE"""),"Removed")</f>
        <v>Removed</v>
      </c>
      <c r="E224" s="209">
        <f>IFERROR(__xludf.DUMMYFUNCTION("""COMPUTED_VALUE"""),44418.0)</f>
        <v>44418</v>
      </c>
      <c r="F224" s="198">
        <f>IFERROR(__xludf.DUMMYFUNCTION("""COMPUTED_VALUE"""),45260.0)</f>
        <v>45260</v>
      </c>
      <c r="G224" s="199">
        <f>IFERROR(__xludf.DUMMYFUNCTION("""COMPUTED_VALUE"""),27.666666666666664)</f>
        <v>27.66666667</v>
      </c>
      <c r="H224" s="210">
        <f>IFERROR(__xludf.DUMMYFUNCTION("""COMPUTED_VALUE"""),43719.0)</f>
        <v>43719</v>
      </c>
      <c r="I224" s="199">
        <f>IFERROR(__xludf.DUMMYFUNCTION("""COMPUTED_VALUE"""),1.913888888888889)</f>
        <v>1.913888889</v>
      </c>
      <c r="J224" s="200">
        <f>IFERROR(__xludf.DUMMYFUNCTION("""COMPUTED_VALUE"""),79.0)</f>
        <v>79</v>
      </c>
      <c r="K224" s="200">
        <f>IFERROR(__xludf.DUMMYFUNCTION("""COMPUTED_VALUE"""),21.0)</f>
        <v>21</v>
      </c>
      <c r="L224" s="201" t="str">
        <f>IFERROR(__xludf.DUMMYFUNCTION("""COMPUTED_VALUE"""),"Driving/Racing")</f>
        <v>Driving/Racing</v>
      </c>
    </row>
    <row r="225">
      <c r="A225" s="190" t="str">
        <f>IFERROR(__xludf.DUMMYFUNCTION("""COMPUTED_VALUE"""),"Battlefield 1943")</f>
        <v>Battlefield 1943</v>
      </c>
      <c r="B225" s="195" t="str">
        <f>IFERROR(__xludf.DUMMYFUNCTION("""COMPUTED_VALUE"""),"Xbox")</f>
        <v>Xbox</v>
      </c>
      <c r="C225" s="195"/>
      <c r="D225" s="196" t="str">
        <f>IFERROR(__xludf.DUMMYFUNCTION("""COMPUTED_VALUE"""),"Removed")</f>
        <v>Removed</v>
      </c>
      <c r="E225" s="209">
        <f>IFERROR(__xludf.DUMMYFUNCTION("""COMPUTED_VALUE"""),44145.0)</f>
        <v>44145</v>
      </c>
      <c r="F225" s="198">
        <f>IFERROR(__xludf.DUMMYFUNCTION("""COMPUTED_VALUE"""),45260.0)</f>
        <v>45260</v>
      </c>
      <c r="G225" s="199">
        <f>IFERROR(__xludf.DUMMYFUNCTION("""COMPUTED_VALUE"""),36.666666666666664)</f>
        <v>36.66666667</v>
      </c>
      <c r="H225" s="210">
        <f>IFERROR(__xludf.DUMMYFUNCTION("""COMPUTED_VALUE"""),40002.0)</f>
        <v>40002</v>
      </c>
      <c r="I225" s="199">
        <f>IFERROR(__xludf.DUMMYFUNCTION("""COMPUTED_VALUE"""),11.338888888888889)</f>
        <v>11.33888889</v>
      </c>
      <c r="J225" s="200">
        <f>IFERROR(__xludf.DUMMYFUNCTION("""COMPUTED_VALUE"""),83.0)</f>
        <v>83</v>
      </c>
      <c r="K225" s="200">
        <f>IFERROR(__xludf.DUMMYFUNCTION("""COMPUTED_VALUE"""),24.0)</f>
        <v>24</v>
      </c>
      <c r="L225" s="201" t="str">
        <f>IFERROR(__xludf.DUMMYFUNCTION("""COMPUTED_VALUE"""),"Action / First-Person Shooter / Vehicular Combat")</f>
        <v>Action / First-Person Shooter / Vehicular Combat</v>
      </c>
    </row>
    <row r="226">
      <c r="A226" s="190" t="str">
        <f>IFERROR(__xludf.DUMMYFUNCTION("""COMPUTED_VALUE"""),"Battlefield: Bad Company")</f>
        <v>Battlefield: Bad Company</v>
      </c>
      <c r="B226" s="195" t="str">
        <f>IFERROR(__xludf.DUMMYFUNCTION("""COMPUTED_VALUE"""),"Xbox")</f>
        <v>Xbox</v>
      </c>
      <c r="C226" s="195"/>
      <c r="D226" s="196" t="str">
        <f>IFERROR(__xludf.DUMMYFUNCTION("""COMPUTED_VALUE"""),"Removed")</f>
        <v>Removed</v>
      </c>
      <c r="E226" s="209">
        <f>IFERROR(__xludf.DUMMYFUNCTION("""COMPUTED_VALUE"""),44145.0)</f>
        <v>44145</v>
      </c>
      <c r="F226" s="198">
        <f>IFERROR(__xludf.DUMMYFUNCTION("""COMPUTED_VALUE"""),45260.0)</f>
        <v>45260</v>
      </c>
      <c r="G226" s="199">
        <f>IFERROR(__xludf.DUMMYFUNCTION("""COMPUTED_VALUE"""),36.666666666666664)</f>
        <v>36.66666667</v>
      </c>
      <c r="H226" s="210">
        <f>IFERROR(__xludf.DUMMYFUNCTION("""COMPUTED_VALUE"""),39622.0)</f>
        <v>39622</v>
      </c>
      <c r="I226" s="199">
        <f>IFERROR(__xludf.DUMMYFUNCTION("""COMPUTED_VALUE"""),12.380555555555556)</f>
        <v>12.38055556</v>
      </c>
      <c r="J226" s="200">
        <f>IFERROR(__xludf.DUMMYFUNCTION("""COMPUTED_VALUE"""),83.0)</f>
        <v>83</v>
      </c>
      <c r="K226" s="200">
        <f>IFERROR(__xludf.DUMMYFUNCTION("""COMPUTED_VALUE"""),7.5)</f>
        <v>7.5</v>
      </c>
      <c r="L226" s="201" t="str">
        <f>IFERROR(__xludf.DUMMYFUNCTION("""COMPUTED_VALUE"""),"Action / First-Person Shooter")</f>
        <v>Action / First-Person Shooter</v>
      </c>
    </row>
    <row r="227">
      <c r="A227" s="190" t="str">
        <f>IFERROR(__xludf.DUMMYFUNCTION("""COMPUTED_VALUE"""),"Battlefield: Bad Company 2")</f>
        <v>Battlefield: Bad Company 2</v>
      </c>
      <c r="B227" s="195" t="str">
        <f>IFERROR(__xludf.DUMMYFUNCTION("""COMPUTED_VALUE"""),"Xbox / PC")</f>
        <v>Xbox / PC</v>
      </c>
      <c r="C227" s="195"/>
      <c r="D227" s="196" t="str">
        <f>IFERROR(__xludf.DUMMYFUNCTION("""COMPUTED_VALUE"""),"Removed")</f>
        <v>Removed</v>
      </c>
      <c r="E227" s="209">
        <f>IFERROR(__xludf.DUMMYFUNCTION("""COMPUTED_VALUE"""),44145.0)</f>
        <v>44145</v>
      </c>
      <c r="F227" s="198">
        <f>IFERROR(__xludf.DUMMYFUNCTION("""COMPUTED_VALUE"""),45260.0)</f>
        <v>45260</v>
      </c>
      <c r="G227" s="199">
        <f>IFERROR(__xludf.DUMMYFUNCTION("""COMPUTED_VALUE"""),36.666666666666664)</f>
        <v>36.66666667</v>
      </c>
      <c r="H227" s="210">
        <f>IFERROR(__xludf.DUMMYFUNCTION("""COMPUTED_VALUE"""),40239.0)</f>
        <v>40239</v>
      </c>
      <c r="I227" s="199">
        <f>IFERROR(__xludf.DUMMYFUNCTION("""COMPUTED_VALUE"""),10.688888888888888)</f>
        <v>10.68888889</v>
      </c>
      <c r="J227" s="200">
        <f>IFERROR(__xludf.DUMMYFUNCTION("""COMPUTED_VALUE"""),88.0)</f>
        <v>88</v>
      </c>
      <c r="K227" s="200">
        <f>IFERROR(__xludf.DUMMYFUNCTION("""COMPUTED_VALUE"""),7.0)</f>
        <v>7</v>
      </c>
      <c r="L227" s="201" t="str">
        <f>IFERROR(__xludf.DUMMYFUNCTION("""COMPUTED_VALUE"""),"First-Person Shooter")</f>
        <v>First-Person Shooter</v>
      </c>
    </row>
    <row r="228">
      <c r="A228" s="190" t="str">
        <f>IFERROR(__xludf.DUMMYFUNCTION("""COMPUTED_VALUE"""),"Gungrave G.O.R.E")</f>
        <v>Gungrave G.O.R.E</v>
      </c>
      <c r="B228" s="195" t="str">
        <f>IFERROR(__xludf.DUMMYFUNCTION("""COMPUTED_VALUE"""),"Xbox / PC")</f>
        <v>Xbox / PC</v>
      </c>
      <c r="C228" s="195" t="str">
        <f>IFERROR(__xludf.DUMMYFUNCTION("""COMPUTED_VALUE"""),"Yes")</f>
        <v>Yes</v>
      </c>
      <c r="D228" s="196" t="str">
        <f>IFERROR(__xludf.DUMMYFUNCTION("""COMPUTED_VALUE"""),"Removed")</f>
        <v>Removed</v>
      </c>
      <c r="E228" s="209">
        <f>IFERROR(__xludf.DUMMYFUNCTION("""COMPUTED_VALUE"""),44887.0)</f>
        <v>44887</v>
      </c>
      <c r="F228" s="198">
        <f>IFERROR(__xludf.DUMMYFUNCTION("""COMPUTED_VALUE"""),45245.0)</f>
        <v>45245</v>
      </c>
      <c r="G228" s="199">
        <f>IFERROR(__xludf.DUMMYFUNCTION("""COMPUTED_VALUE"""),11.766666666666666)</f>
        <v>11.76666667</v>
      </c>
      <c r="H228" s="210">
        <f>IFERROR(__xludf.DUMMYFUNCTION("""COMPUTED_VALUE"""),44887.0)</f>
        <v>44887</v>
      </c>
      <c r="I228" s="199">
        <f>IFERROR(__xludf.DUMMYFUNCTION("""COMPUTED_VALUE"""),0.0)</f>
        <v>0</v>
      </c>
      <c r="J228" s="200">
        <f>IFERROR(__xludf.DUMMYFUNCTION("""COMPUTED_VALUE"""),56.0)</f>
        <v>56</v>
      </c>
      <c r="K228" s="200">
        <f>IFERROR(__xludf.DUMMYFUNCTION("""COMPUTED_VALUE"""),13.0)</f>
        <v>13</v>
      </c>
      <c r="L228" s="201" t="str">
        <f>IFERROR(__xludf.DUMMYFUNCTION("""COMPUTED_VALUE"""),"Action")</f>
        <v>Action</v>
      </c>
    </row>
    <row r="229">
      <c r="A229" s="190" t="str">
        <f>IFERROR(__xludf.DUMMYFUNCTION("""COMPUTED_VALUE"""),"Lapin (Game Preview)")</f>
        <v>Lapin (Game Preview)</v>
      </c>
      <c r="B229" s="195" t="str">
        <f>IFERROR(__xludf.DUMMYFUNCTION("""COMPUTED_VALUE"""),"Xbox / PC")</f>
        <v>Xbox / PC</v>
      </c>
      <c r="C229" s="195" t="str">
        <f>IFERROR(__xludf.DUMMYFUNCTION("""COMPUTED_VALUE"""),"Yes")</f>
        <v>Yes</v>
      </c>
      <c r="D229" s="196" t="str">
        <f>IFERROR(__xludf.DUMMYFUNCTION("""COMPUTED_VALUE"""),"Removed")</f>
        <v>Removed</v>
      </c>
      <c r="E229" s="209">
        <f>IFERROR(__xludf.DUMMYFUNCTION("""COMPUTED_VALUE"""),44882.0)</f>
        <v>44882</v>
      </c>
      <c r="F229" s="198">
        <f>IFERROR(__xludf.DUMMYFUNCTION("""COMPUTED_VALUE"""),45245.0)</f>
        <v>45245</v>
      </c>
      <c r="G229" s="199">
        <f>IFERROR(__xludf.DUMMYFUNCTION("""COMPUTED_VALUE"""),11.933333333333334)</f>
        <v>11.93333333</v>
      </c>
      <c r="H229" s="210">
        <f>IFERROR(__xludf.DUMMYFUNCTION("""COMPUTED_VALUE"""),44882.0)</f>
        <v>44882</v>
      </c>
      <c r="I229" s="199">
        <f>IFERROR(__xludf.DUMMYFUNCTION("""COMPUTED_VALUE"""),0.0)</f>
        <v>0</v>
      </c>
      <c r="J229" s="200"/>
      <c r="K229" s="200">
        <f>IFERROR(__xludf.DUMMYFUNCTION("""COMPUTED_VALUE"""),6.0)</f>
        <v>6</v>
      </c>
      <c r="L229" s="201" t="str">
        <f>IFERROR(__xludf.DUMMYFUNCTION("""COMPUTED_VALUE"""),"Platformer")</f>
        <v>Platformer</v>
      </c>
    </row>
    <row r="230">
      <c r="A230" s="190" t="str">
        <f>IFERROR(__xludf.DUMMYFUNCTION("""COMPUTED_VALUE"""),"Football Manager 2023")</f>
        <v>Football Manager 2023</v>
      </c>
      <c r="B230" s="195" t="str">
        <f>IFERROR(__xludf.DUMMYFUNCTION("""COMPUTED_VALUE"""),"Xbox / PC")</f>
        <v>Xbox / PC</v>
      </c>
      <c r="C230" s="195" t="str">
        <f>IFERROR(__xludf.DUMMYFUNCTION("""COMPUTED_VALUE"""),"Touch Controls")</f>
        <v>Touch Controls</v>
      </c>
      <c r="D230" s="196" t="str">
        <f>IFERROR(__xludf.DUMMYFUNCTION("""COMPUTED_VALUE"""),"Removed")</f>
        <v>Removed</v>
      </c>
      <c r="E230" s="209">
        <f>IFERROR(__xludf.DUMMYFUNCTION("""COMPUTED_VALUE"""),44873.0)</f>
        <v>44873</v>
      </c>
      <c r="F230" s="198">
        <f>IFERROR(__xludf.DUMMYFUNCTION("""COMPUTED_VALUE"""),45245.0)</f>
        <v>45245</v>
      </c>
      <c r="G230" s="199">
        <f>IFERROR(__xludf.DUMMYFUNCTION("""COMPUTED_VALUE"""),12.233333333333333)</f>
        <v>12.23333333</v>
      </c>
      <c r="H230" s="210">
        <f>IFERROR(__xludf.DUMMYFUNCTION("""COMPUTED_VALUE"""),44873.0)</f>
        <v>44873</v>
      </c>
      <c r="I230" s="199">
        <f>IFERROR(__xludf.DUMMYFUNCTION("""COMPUTED_VALUE"""),0.0)</f>
        <v>0</v>
      </c>
      <c r="J230" s="200">
        <f>IFERROR(__xludf.DUMMYFUNCTION("""COMPUTED_VALUE"""),81.0)</f>
        <v>81</v>
      </c>
      <c r="K230" s="200">
        <f>IFERROR(__xludf.DUMMYFUNCTION("""COMPUTED_VALUE"""),42.5)</f>
        <v>42.5</v>
      </c>
      <c r="L230" s="201" t="str">
        <f>IFERROR(__xludf.DUMMYFUNCTION("""COMPUTED_VALUE"""),"Sports / Simulation / Soccer")</f>
        <v>Sports / Simulation / Soccer</v>
      </c>
    </row>
    <row r="231">
      <c r="A231" s="190" t="str">
        <f>IFERROR(__xludf.DUMMYFUNCTION("""COMPUTED_VALUE"""),"Ghost Song")</f>
        <v>Ghost Song</v>
      </c>
      <c r="B231" s="195" t="str">
        <f>IFERROR(__xludf.DUMMYFUNCTION("""COMPUTED_VALUE"""),"Xbox / PC")</f>
        <v>Xbox / PC</v>
      </c>
      <c r="C231" s="195" t="str">
        <f>IFERROR(__xludf.DUMMYFUNCTION("""COMPUTED_VALUE"""),"Touch Controls")</f>
        <v>Touch Controls</v>
      </c>
      <c r="D231" s="196" t="str">
        <f>IFERROR(__xludf.DUMMYFUNCTION("""COMPUTED_VALUE"""),"Removed")</f>
        <v>Removed</v>
      </c>
      <c r="E231" s="209">
        <f>IFERROR(__xludf.DUMMYFUNCTION("""COMPUTED_VALUE"""),44868.0)</f>
        <v>44868</v>
      </c>
      <c r="F231" s="198">
        <f>IFERROR(__xludf.DUMMYFUNCTION("""COMPUTED_VALUE"""),45245.0)</f>
        <v>45245</v>
      </c>
      <c r="G231" s="199">
        <f>IFERROR(__xludf.DUMMYFUNCTION("""COMPUTED_VALUE"""),12.400000000000002)</f>
        <v>12.4</v>
      </c>
      <c r="H231" s="210">
        <f>IFERROR(__xludf.DUMMYFUNCTION("""COMPUTED_VALUE"""),44868.0)</f>
        <v>44868</v>
      </c>
      <c r="I231" s="199">
        <f>IFERROR(__xludf.DUMMYFUNCTION("""COMPUTED_VALUE"""),0.0)</f>
        <v>0</v>
      </c>
      <c r="J231" s="200">
        <f>IFERROR(__xludf.DUMMYFUNCTION("""COMPUTED_VALUE"""),86.0)</f>
        <v>86</v>
      </c>
      <c r="K231" s="200">
        <f>IFERROR(__xludf.DUMMYFUNCTION("""COMPUTED_VALUE"""),7.5)</f>
        <v>7.5</v>
      </c>
      <c r="L231" s="201" t="str">
        <f>IFERROR(__xludf.DUMMYFUNCTION("""COMPUTED_VALUE"""),"Platformer / Action-Adventure")</f>
        <v>Platformer / Action-Adventure</v>
      </c>
    </row>
    <row r="232">
      <c r="A232" s="190" t="str">
        <f>IFERROR(__xludf.DUMMYFUNCTION("""COMPUTED_VALUE"""),"Exapunks")</f>
        <v>Exapunks</v>
      </c>
      <c r="B232" s="195" t="str">
        <f>IFERROR(__xludf.DUMMYFUNCTION("""COMPUTED_VALUE"""),"PC")</f>
        <v>PC</v>
      </c>
      <c r="C232" s="195"/>
      <c r="D232" s="196" t="str">
        <f>IFERROR(__xludf.DUMMYFUNCTION("""COMPUTED_VALUE"""),"Removed")</f>
        <v>Removed</v>
      </c>
      <c r="E232" s="209">
        <f>IFERROR(__xludf.DUMMYFUNCTION("""COMPUTED_VALUE"""),44798.0)</f>
        <v>44798</v>
      </c>
      <c r="F232" s="198">
        <f>IFERROR(__xludf.DUMMYFUNCTION("""COMPUTED_VALUE"""),45245.0)</f>
        <v>45245</v>
      </c>
      <c r="G232" s="199">
        <f>IFERROR(__xludf.DUMMYFUNCTION("""COMPUTED_VALUE"""),14.666666666666668)</f>
        <v>14.66666667</v>
      </c>
      <c r="H232" s="210">
        <f>IFERROR(__xludf.DUMMYFUNCTION("""COMPUTED_VALUE"""),43395.0)</f>
        <v>43395</v>
      </c>
      <c r="I232" s="199">
        <f>IFERROR(__xludf.DUMMYFUNCTION("""COMPUTED_VALUE"""),3.841666666666667)</f>
        <v>3.841666667</v>
      </c>
      <c r="J232" s="200">
        <f>IFERROR(__xludf.DUMMYFUNCTION("""COMPUTED_VALUE"""),80.0)</f>
        <v>80</v>
      </c>
      <c r="K232" s="200">
        <f>IFERROR(__xludf.DUMMYFUNCTION("""COMPUTED_VALUE"""),26.5)</f>
        <v>26.5</v>
      </c>
      <c r="L232" s="201" t="str">
        <f>IFERROR(__xludf.DUMMYFUNCTION("""COMPUTED_VALUE"""),"Simulation")</f>
        <v>Simulation</v>
      </c>
    </row>
    <row r="233">
      <c r="A233" s="190" t="str">
        <f>IFERROR(__xludf.DUMMYFUNCTION("""COMPUTED_VALUE"""),"Coffee Talk")</f>
        <v>Coffee Talk</v>
      </c>
      <c r="B233" s="195" t="str">
        <f>IFERROR(__xludf.DUMMYFUNCTION("""COMPUTED_VALUE"""),"Xbox / PC")</f>
        <v>Xbox / PC</v>
      </c>
      <c r="C233" s="195" t="str">
        <f>IFERROR(__xludf.DUMMYFUNCTION("""COMPUTED_VALUE"""),"Touch Controls")</f>
        <v>Touch Controls</v>
      </c>
      <c r="D233" s="196" t="str">
        <f>IFERROR(__xludf.DUMMYFUNCTION("""COMPUTED_VALUE"""),"Removed")</f>
        <v>Removed</v>
      </c>
      <c r="E233" s="209">
        <f>IFERROR(__xludf.DUMMYFUNCTION("""COMPUTED_VALUE"""),44789.0)</f>
        <v>44789</v>
      </c>
      <c r="F233" s="198">
        <f>IFERROR(__xludf.DUMMYFUNCTION("""COMPUTED_VALUE"""),45245.0)</f>
        <v>45245</v>
      </c>
      <c r="G233" s="199">
        <f>IFERROR(__xludf.DUMMYFUNCTION("""COMPUTED_VALUE"""),14.966666666666667)</f>
        <v>14.96666667</v>
      </c>
      <c r="H233" s="210">
        <f>IFERROR(__xludf.DUMMYFUNCTION("""COMPUTED_VALUE"""),43859.0)</f>
        <v>43859</v>
      </c>
      <c r="I233" s="199">
        <f>IFERROR(__xludf.DUMMYFUNCTION("""COMPUTED_VALUE"""),2.547222222222222)</f>
        <v>2.547222222</v>
      </c>
      <c r="J233" s="200">
        <f>IFERROR(__xludf.DUMMYFUNCTION("""COMPUTED_VALUE"""),75.0)</f>
        <v>75</v>
      </c>
      <c r="K233" s="200">
        <f>IFERROR(__xludf.DUMMYFUNCTION("""COMPUTED_VALUE"""),4.0)</f>
        <v>4</v>
      </c>
      <c r="L233" s="201" t="str">
        <f>IFERROR(__xludf.DUMMYFUNCTION("""COMPUTED_VALUE"""),"Adventure")</f>
        <v>Adventure</v>
      </c>
    </row>
    <row r="234">
      <c r="A234" s="190" t="str">
        <f>IFERROR(__xludf.DUMMYFUNCTION("""COMPUTED_VALUE"""),"Townscaper")</f>
        <v>Townscaper</v>
      </c>
      <c r="B234" s="195" t="str">
        <f>IFERROR(__xludf.DUMMYFUNCTION("""COMPUTED_VALUE"""),"Xbox / PC")</f>
        <v>Xbox / PC</v>
      </c>
      <c r="C234" s="195" t="str">
        <f>IFERROR(__xludf.DUMMYFUNCTION("""COMPUTED_VALUE"""),"Touch Controls")</f>
        <v>Touch Controls</v>
      </c>
      <c r="D234" s="196" t="str">
        <f>IFERROR(__xludf.DUMMYFUNCTION("""COMPUTED_VALUE"""),"Removed")</f>
        <v>Removed</v>
      </c>
      <c r="E234" s="209">
        <f>IFERROR(__xludf.DUMMYFUNCTION("""COMPUTED_VALUE"""),44532.0)</f>
        <v>44532</v>
      </c>
      <c r="F234" s="198">
        <f>IFERROR(__xludf.DUMMYFUNCTION("""COMPUTED_VALUE"""),45245.0)</f>
        <v>45245</v>
      </c>
      <c r="G234" s="199">
        <f>IFERROR(__xludf.DUMMYFUNCTION("""COMPUTED_VALUE"""),23.433333333333334)</f>
        <v>23.43333333</v>
      </c>
      <c r="H234" s="210">
        <f>IFERROR(__xludf.DUMMYFUNCTION("""COMPUTED_VALUE"""),44012.0)</f>
        <v>44012</v>
      </c>
      <c r="I234" s="199">
        <f>IFERROR(__xludf.DUMMYFUNCTION("""COMPUTED_VALUE"""),1.4222222222222223)</f>
        <v>1.422222222</v>
      </c>
      <c r="J234" s="200">
        <f>IFERROR(__xludf.DUMMYFUNCTION("""COMPUTED_VALUE"""),86.0)</f>
        <v>86</v>
      </c>
      <c r="K234" s="200">
        <f>IFERROR(__xludf.DUMMYFUNCTION("""COMPUTED_VALUE"""),3.0)</f>
        <v>3</v>
      </c>
      <c r="L234" s="201" t="str">
        <f>IFERROR(__xludf.DUMMYFUNCTION("""COMPUTED_VALUE"""),"Simulation")</f>
        <v>Simulation</v>
      </c>
    </row>
    <row r="235">
      <c r="A235" s="190" t="str">
        <f>IFERROR(__xludf.DUMMYFUNCTION("""COMPUTED_VALUE"""),"Rocket Arena")</f>
        <v>Rocket Arena</v>
      </c>
      <c r="B235" s="195" t="str">
        <f>IFERROR(__xludf.DUMMYFUNCTION("""COMPUTED_VALUE"""),"Xbox / PC")</f>
        <v>Xbox / PC</v>
      </c>
      <c r="C235" s="195"/>
      <c r="D235" s="196" t="str">
        <f>IFERROR(__xludf.DUMMYFUNCTION("""COMPUTED_VALUE"""),"Removed")</f>
        <v>Removed</v>
      </c>
      <c r="E235" s="209">
        <f>IFERROR(__xludf.DUMMYFUNCTION("""COMPUTED_VALUE"""),44145.0)</f>
        <v>44145</v>
      </c>
      <c r="F235" s="198">
        <f>IFERROR(__xludf.DUMMYFUNCTION("""COMPUTED_VALUE"""),45244.0)</f>
        <v>45244</v>
      </c>
      <c r="G235" s="199">
        <f>IFERROR(__xludf.DUMMYFUNCTION("""COMPUTED_VALUE"""),36.13333333333333)</f>
        <v>36.13333333</v>
      </c>
      <c r="H235" s="210">
        <f>IFERROR(__xludf.DUMMYFUNCTION("""COMPUTED_VALUE"""),44026.0)</f>
        <v>44026</v>
      </c>
      <c r="I235" s="199">
        <f>IFERROR(__xludf.DUMMYFUNCTION("""COMPUTED_VALUE"""),0.32222222222222224)</f>
        <v>0.3222222222</v>
      </c>
      <c r="J235" s="200">
        <f>IFERROR(__xludf.DUMMYFUNCTION("""COMPUTED_VALUE"""),71.0)</f>
        <v>71</v>
      </c>
      <c r="K235" s="200">
        <f>IFERROR(__xludf.DUMMYFUNCTION("""COMPUTED_VALUE"""),3.0)</f>
        <v>3</v>
      </c>
      <c r="L235" s="201" t="str">
        <f>IFERROR(__xludf.DUMMYFUNCTION("""COMPUTED_VALUE"""),"First-Person Shooter")</f>
        <v>First-Person Shooter</v>
      </c>
    </row>
    <row r="236">
      <c r="A236" s="190" t="str">
        <f>IFERROR(__xludf.DUMMYFUNCTION("""COMPUTED_VALUE"""),"Gunfire Reborn")</f>
        <v>Gunfire Reborn</v>
      </c>
      <c r="B236" s="195" t="str">
        <f>IFERROR(__xludf.DUMMYFUNCTION("""COMPUTED_VALUE"""),"Xbox / PC")</f>
        <v>Xbox / PC</v>
      </c>
      <c r="C236" s="195" t="str">
        <f>IFERROR(__xludf.DUMMYFUNCTION("""COMPUTED_VALUE"""),"Yes")</f>
        <v>Yes</v>
      </c>
      <c r="D236" s="196" t="str">
        <f>IFERROR(__xludf.DUMMYFUNCTION("""COMPUTED_VALUE"""),"Removed")</f>
        <v>Removed</v>
      </c>
      <c r="E236" s="209">
        <f>IFERROR(__xludf.DUMMYFUNCTION("""COMPUTED_VALUE"""),44861.0)</f>
        <v>44861</v>
      </c>
      <c r="F236" s="198">
        <f>IFERROR(__xludf.DUMMYFUNCTION("""COMPUTED_VALUE"""),45230.0)</f>
        <v>45230</v>
      </c>
      <c r="G236" s="199">
        <f>IFERROR(__xludf.DUMMYFUNCTION("""COMPUTED_VALUE"""),12.1)</f>
        <v>12.1</v>
      </c>
      <c r="H236" s="210">
        <f>IFERROR(__xludf.DUMMYFUNCTION("""COMPUTED_VALUE"""),44517.0)</f>
        <v>44517</v>
      </c>
      <c r="I236" s="199">
        <f>IFERROR(__xludf.DUMMYFUNCTION("""COMPUTED_VALUE"""),0.9444444444444444)</f>
        <v>0.9444444444</v>
      </c>
      <c r="J236" s="200">
        <f>IFERROR(__xludf.DUMMYFUNCTION("""COMPUTED_VALUE"""),77.0)</f>
        <v>77</v>
      </c>
      <c r="K236" s="200">
        <f>IFERROR(__xludf.DUMMYFUNCTION("""COMPUTED_VALUE"""),3.0)</f>
        <v>3</v>
      </c>
      <c r="L236" s="201" t="str">
        <f>IFERROR(__xludf.DUMMYFUNCTION("""COMPUTED_VALUE"""),"First-Person Shooter / Action-Adventure")</f>
        <v>First-Person Shooter / Action-Adventure</v>
      </c>
    </row>
    <row r="237">
      <c r="A237" s="190" t="str">
        <f>IFERROR(__xludf.DUMMYFUNCTION("""COMPUTED_VALUE"""),"Signalis")</f>
        <v>Signalis</v>
      </c>
      <c r="B237" s="195" t="str">
        <f>IFERROR(__xludf.DUMMYFUNCTION("""COMPUTED_VALUE"""),"Xbox / PC")</f>
        <v>Xbox / PC</v>
      </c>
      <c r="C237" s="195" t="str">
        <f>IFERROR(__xludf.DUMMYFUNCTION("""COMPUTED_VALUE"""),"Yes")</f>
        <v>Yes</v>
      </c>
      <c r="D237" s="196" t="str">
        <f>IFERROR(__xludf.DUMMYFUNCTION("""COMPUTED_VALUE"""),"Removed")</f>
        <v>Removed</v>
      </c>
      <c r="E237" s="209">
        <f>IFERROR(__xludf.DUMMYFUNCTION("""COMPUTED_VALUE"""),44861.0)</f>
        <v>44861</v>
      </c>
      <c r="F237" s="198">
        <f>IFERROR(__xludf.DUMMYFUNCTION("""COMPUTED_VALUE"""),45230.0)</f>
        <v>45230</v>
      </c>
      <c r="G237" s="199">
        <f>IFERROR(__xludf.DUMMYFUNCTION("""COMPUTED_VALUE"""),12.1)</f>
        <v>12.1</v>
      </c>
      <c r="H237" s="210">
        <f>IFERROR(__xludf.DUMMYFUNCTION("""COMPUTED_VALUE"""),44861.0)</f>
        <v>44861</v>
      </c>
      <c r="I237" s="199">
        <f>IFERROR(__xludf.DUMMYFUNCTION("""COMPUTED_VALUE"""),0.0)</f>
        <v>0</v>
      </c>
      <c r="J237" s="200">
        <f>IFERROR(__xludf.DUMMYFUNCTION("""COMPUTED_VALUE"""),81.0)</f>
        <v>81</v>
      </c>
      <c r="K237" s="200">
        <f>IFERROR(__xludf.DUMMYFUNCTION("""COMPUTED_VALUE"""),9.0)</f>
        <v>9</v>
      </c>
      <c r="L237" s="201" t="str">
        <f>IFERROR(__xludf.DUMMYFUNCTION("""COMPUTED_VALUE"""),"Action-Adventure")</f>
        <v>Action-Adventure</v>
      </c>
    </row>
    <row r="238">
      <c r="A238" s="190" t="str">
        <f>IFERROR(__xludf.DUMMYFUNCTION("""COMPUTED_VALUE"""),"Persona 5: Royal")</f>
        <v>Persona 5: Royal</v>
      </c>
      <c r="B238" s="195" t="str">
        <f>IFERROR(__xludf.DUMMYFUNCTION("""COMPUTED_VALUE"""),"Xbox / PC")</f>
        <v>Xbox / PC</v>
      </c>
      <c r="C238" s="195" t="str">
        <f>IFERROR(__xludf.DUMMYFUNCTION("""COMPUTED_VALUE"""),"Touch Controls")</f>
        <v>Touch Controls</v>
      </c>
      <c r="D238" s="196" t="str">
        <f>IFERROR(__xludf.DUMMYFUNCTION("""COMPUTED_VALUE"""),"Removed")</f>
        <v>Removed</v>
      </c>
      <c r="E238" s="209">
        <f>IFERROR(__xludf.DUMMYFUNCTION("""COMPUTED_VALUE"""),44855.0)</f>
        <v>44855</v>
      </c>
      <c r="F238" s="198">
        <f>IFERROR(__xludf.DUMMYFUNCTION("""COMPUTED_VALUE"""),45230.0)</f>
        <v>45230</v>
      </c>
      <c r="G238" s="199">
        <f>IFERROR(__xludf.DUMMYFUNCTION("""COMPUTED_VALUE"""),12.299999999999999)</f>
        <v>12.3</v>
      </c>
      <c r="H238" s="210">
        <f>IFERROR(__xludf.DUMMYFUNCTION("""COMPUTED_VALUE"""),43769.0)</f>
        <v>43769</v>
      </c>
      <c r="I238" s="199">
        <f>IFERROR(__xludf.DUMMYFUNCTION("""COMPUTED_VALUE"""),2.975)</f>
        <v>2.975</v>
      </c>
      <c r="J238" s="200">
        <f>IFERROR(__xludf.DUMMYFUNCTION("""COMPUTED_VALUE"""),94.0)</f>
        <v>94</v>
      </c>
      <c r="K238" s="200">
        <f>IFERROR(__xludf.DUMMYFUNCTION("""COMPUTED_VALUE"""),103.0)</f>
        <v>103</v>
      </c>
      <c r="L238" s="201" t="str">
        <f>IFERROR(__xludf.DUMMYFUNCTION("""COMPUTED_VALUE"""),"RPG")</f>
        <v>RPG</v>
      </c>
    </row>
    <row r="239">
      <c r="A239" s="190" t="str">
        <f>IFERROR(__xludf.DUMMYFUNCTION("""COMPUTED_VALUE"""),"Kill It With Fire")</f>
        <v>Kill It With Fire</v>
      </c>
      <c r="B239" s="195" t="str">
        <f>IFERROR(__xludf.DUMMYFUNCTION("""COMPUTED_VALUE"""),"Xbox / PC")</f>
        <v>Xbox / PC</v>
      </c>
      <c r="C239" s="195" t="str">
        <f>IFERROR(__xludf.DUMMYFUNCTION("""COMPUTED_VALUE"""),"Yes")</f>
        <v>Yes</v>
      </c>
      <c r="D239" s="196" t="str">
        <f>IFERROR(__xludf.DUMMYFUNCTION("""COMPUTED_VALUE"""),"Removed")</f>
        <v>Removed</v>
      </c>
      <c r="E239" s="209">
        <f>IFERROR(__xludf.DUMMYFUNCTION("""COMPUTED_VALUE"""),44504.0)</f>
        <v>44504</v>
      </c>
      <c r="F239" s="198">
        <f>IFERROR(__xludf.DUMMYFUNCTION("""COMPUTED_VALUE"""),45230.0)</f>
        <v>45230</v>
      </c>
      <c r="G239" s="199">
        <f>IFERROR(__xludf.DUMMYFUNCTION("""COMPUTED_VALUE"""),23.866666666666667)</f>
        <v>23.86666667</v>
      </c>
      <c r="H239" s="210">
        <f>IFERROR(__xludf.DUMMYFUNCTION("""COMPUTED_VALUE"""),44056.0)</f>
        <v>44056</v>
      </c>
      <c r="I239" s="199">
        <f>IFERROR(__xludf.DUMMYFUNCTION("""COMPUTED_VALUE"""),1.225)</f>
        <v>1.225</v>
      </c>
      <c r="J239" s="200">
        <f>IFERROR(__xludf.DUMMYFUNCTION("""COMPUTED_VALUE"""),73.0)</f>
        <v>73</v>
      </c>
      <c r="K239" s="200">
        <f>IFERROR(__xludf.DUMMYFUNCTION("""COMPUTED_VALUE"""),3.0)</f>
        <v>3</v>
      </c>
      <c r="L239" s="201" t="str">
        <f>IFERROR(__xludf.DUMMYFUNCTION("""COMPUTED_VALUE"""),"Action / Simulation")</f>
        <v>Action / Simulation</v>
      </c>
    </row>
    <row r="240">
      <c r="A240" s="190" t="str">
        <f>IFERROR(__xludf.DUMMYFUNCTION("""COMPUTED_VALUE"""),"Solasta: Crown of the Magister")</f>
        <v>Solasta: Crown of the Magister</v>
      </c>
      <c r="B240" s="195" t="str">
        <f>IFERROR(__xludf.DUMMYFUNCTION("""COMPUTED_VALUE"""),"Xbox / PC")</f>
        <v>Xbox / PC</v>
      </c>
      <c r="C240" s="195" t="str">
        <f>IFERROR(__xludf.DUMMYFUNCTION("""COMPUTED_VALUE"""),"Yes")</f>
        <v>Yes</v>
      </c>
      <c r="D240" s="196" t="str">
        <f>IFERROR(__xludf.DUMMYFUNCTION("""COMPUTED_VALUE"""),"Removed")</f>
        <v>Removed</v>
      </c>
      <c r="E240" s="209">
        <f>IFERROR(__xludf.DUMMYFUNCTION("""COMPUTED_VALUE"""),44343.0)</f>
        <v>44343</v>
      </c>
      <c r="F240" s="198">
        <f>IFERROR(__xludf.DUMMYFUNCTION("""COMPUTED_VALUE"""),45230.0)</f>
        <v>45230</v>
      </c>
      <c r="G240" s="199">
        <f>IFERROR(__xludf.DUMMYFUNCTION("""COMPUTED_VALUE"""),29.099999999999998)</f>
        <v>29.1</v>
      </c>
      <c r="H240" s="210">
        <f>IFERROR(__xludf.DUMMYFUNCTION("""COMPUTED_VALUE"""),44124.0)</f>
        <v>44124</v>
      </c>
      <c r="I240" s="199">
        <f>IFERROR(__xludf.DUMMYFUNCTION("""COMPUTED_VALUE"""),0.6027777777777777)</f>
        <v>0.6027777778</v>
      </c>
      <c r="J240" s="200">
        <f>IFERROR(__xludf.DUMMYFUNCTION("""COMPUTED_VALUE"""),78.0)</f>
        <v>78</v>
      </c>
      <c r="K240" s="200">
        <f>IFERROR(__xludf.DUMMYFUNCTION("""COMPUTED_VALUE"""),39.5)</f>
        <v>39.5</v>
      </c>
      <c r="L240" s="201" t="str">
        <f>IFERROR(__xludf.DUMMYFUNCTION("""COMPUTED_VALUE"""),"Adventure / RPG")</f>
        <v>Adventure / RPG</v>
      </c>
    </row>
    <row r="241">
      <c r="A241" s="190" t="str">
        <f>IFERROR(__xludf.DUMMYFUNCTION("""COMPUTED_VALUE"""),"The Legend of Tianding")</f>
        <v>The Legend of Tianding</v>
      </c>
      <c r="B241" s="195" t="str">
        <f>IFERROR(__xludf.DUMMYFUNCTION("""COMPUTED_VALUE"""),"Xbox / PC")</f>
        <v>Xbox / PC</v>
      </c>
      <c r="C241" s="195" t="str">
        <f>IFERROR(__xludf.DUMMYFUNCTION("""COMPUTED_VALUE"""),"Yes")</f>
        <v>Yes</v>
      </c>
      <c r="D241" s="196" t="str">
        <f>IFERROR(__xludf.DUMMYFUNCTION("""COMPUTED_VALUE"""),"Removed")</f>
        <v>Removed</v>
      </c>
      <c r="E241" s="210">
        <f>IFERROR(__xludf.DUMMYFUNCTION("""COMPUTED_VALUE"""),44865.0)</f>
        <v>44865</v>
      </c>
      <c r="F241" s="198">
        <f>IFERROR(__xludf.DUMMYFUNCTION("""COMPUTED_VALUE"""),45214.0)</f>
        <v>45214</v>
      </c>
      <c r="G241" s="199">
        <f>IFERROR(__xludf.DUMMYFUNCTION("""COMPUTED_VALUE"""),11.5)</f>
        <v>11.5</v>
      </c>
      <c r="H241" s="210">
        <f>IFERROR(__xludf.DUMMYFUNCTION("""COMPUTED_VALUE"""),44865.0)</f>
        <v>44865</v>
      </c>
      <c r="I241" s="199">
        <f>IFERROR(__xludf.DUMMYFUNCTION("""COMPUTED_VALUE"""),0.0)</f>
        <v>0</v>
      </c>
      <c r="J241" s="200">
        <f>IFERROR(__xludf.DUMMYFUNCTION("""COMPUTED_VALUE"""),80.0)</f>
        <v>80</v>
      </c>
      <c r="K241" s="200">
        <f>IFERROR(__xludf.DUMMYFUNCTION("""COMPUTED_VALUE"""),5.0)</f>
        <v>5</v>
      </c>
      <c r="L241" s="201" t="str">
        <f>IFERROR(__xludf.DUMMYFUNCTION("""COMPUTED_VALUE"""),"Action / Platformer")</f>
        <v>Action / Platformer</v>
      </c>
    </row>
    <row r="242">
      <c r="A242" s="190" t="str">
        <f>IFERROR(__xludf.DUMMYFUNCTION("""COMPUTED_VALUE"""),"Eville")</f>
        <v>Eville</v>
      </c>
      <c r="B242" s="195" t="str">
        <f>IFERROR(__xludf.DUMMYFUNCTION("""COMPUTED_VALUE"""),"Xbox / PC")</f>
        <v>Xbox / PC</v>
      </c>
      <c r="C242" s="195" t="str">
        <f>IFERROR(__xludf.DUMMYFUNCTION("""COMPUTED_VALUE"""),"Yes")</f>
        <v>Yes</v>
      </c>
      <c r="D242" s="196" t="str">
        <f>IFERROR(__xludf.DUMMYFUNCTION("""COMPUTED_VALUE"""),"Removed")</f>
        <v>Removed</v>
      </c>
      <c r="E242" s="210">
        <f>IFERROR(__xludf.DUMMYFUNCTION("""COMPUTED_VALUE"""),44845.0)</f>
        <v>44845</v>
      </c>
      <c r="F242" s="198">
        <f>IFERROR(__xludf.DUMMYFUNCTION("""COMPUTED_VALUE"""),45214.0)</f>
        <v>45214</v>
      </c>
      <c r="G242" s="199">
        <f>IFERROR(__xludf.DUMMYFUNCTION("""COMPUTED_VALUE"""),12.133333333333333)</f>
        <v>12.13333333</v>
      </c>
      <c r="H242" s="210">
        <f>IFERROR(__xludf.DUMMYFUNCTION("""COMPUTED_VALUE"""),44845.0)</f>
        <v>44845</v>
      </c>
      <c r="I242" s="199">
        <f>IFERROR(__xludf.DUMMYFUNCTION("""COMPUTED_VALUE"""),0.0)</f>
        <v>0</v>
      </c>
      <c r="J242" s="200">
        <f>IFERROR(__xludf.DUMMYFUNCTION("""COMPUTED_VALUE"""),71.0)</f>
        <v>71</v>
      </c>
      <c r="K242" s="200">
        <f>IFERROR(__xludf.DUMMYFUNCTION("""COMPUTED_VALUE"""),8.0)</f>
        <v>8</v>
      </c>
      <c r="L242" s="201" t="str">
        <f>IFERROR(__xludf.DUMMYFUNCTION("""COMPUTED_VALUE"""),"Action-Adventure")</f>
        <v>Action-Adventure</v>
      </c>
    </row>
    <row r="243">
      <c r="A243" s="190" t="str">
        <f>IFERROR(__xludf.DUMMYFUNCTION("""COMPUTED_VALUE"""),"Shenzhen I/O")</f>
        <v>Shenzhen I/O</v>
      </c>
      <c r="B243" s="195" t="str">
        <f>IFERROR(__xludf.DUMMYFUNCTION("""COMPUTED_VALUE"""),"PC")</f>
        <v>PC</v>
      </c>
      <c r="C243" s="195"/>
      <c r="D243" s="196" t="str">
        <f>IFERROR(__xludf.DUMMYFUNCTION("""COMPUTED_VALUE"""),"Removed")</f>
        <v>Removed</v>
      </c>
      <c r="E243" s="210">
        <f>IFERROR(__xludf.DUMMYFUNCTION("""COMPUTED_VALUE"""),44777.0)</f>
        <v>44777</v>
      </c>
      <c r="F243" s="198">
        <f>IFERROR(__xludf.DUMMYFUNCTION("""COMPUTED_VALUE"""),45214.0)</f>
        <v>45214</v>
      </c>
      <c r="G243" s="199">
        <f>IFERROR(__xludf.DUMMYFUNCTION("""COMPUTED_VALUE"""),14.366666666666667)</f>
        <v>14.36666667</v>
      </c>
      <c r="H243" s="210">
        <f>IFERROR(__xludf.DUMMYFUNCTION("""COMPUTED_VALUE"""),42649.0)</f>
        <v>42649</v>
      </c>
      <c r="I243" s="199">
        <f>IFERROR(__xludf.DUMMYFUNCTION("""COMPUTED_VALUE"""),5.8277777777777775)</f>
        <v>5.827777778</v>
      </c>
      <c r="J243" s="200">
        <f>IFERROR(__xludf.DUMMYFUNCTION("""COMPUTED_VALUE"""),88.0)</f>
        <v>88</v>
      </c>
      <c r="K243" s="200">
        <f>IFERROR(__xludf.DUMMYFUNCTION("""COMPUTED_VALUE"""),25.0)</f>
        <v>25</v>
      </c>
      <c r="L243" s="201" t="str">
        <f>IFERROR(__xludf.DUMMYFUNCTION("""COMPUTED_VALUE"""),"Puzzle")</f>
        <v>Puzzle</v>
      </c>
    </row>
    <row r="244">
      <c r="A244" s="190" t="str">
        <f>IFERROR(__xludf.DUMMYFUNCTION("""COMPUTED_VALUE"""),"Overwhelm")</f>
        <v>Overwhelm</v>
      </c>
      <c r="B244" s="195" t="str">
        <f>IFERROR(__xludf.DUMMYFUNCTION("""COMPUTED_VALUE"""),"PC")</f>
        <v>PC</v>
      </c>
      <c r="C244" s="195"/>
      <c r="D244" s="196" t="str">
        <f>IFERROR(__xludf.DUMMYFUNCTION("""COMPUTED_VALUE"""),"Removed")</f>
        <v>Removed</v>
      </c>
      <c r="E244" s="210">
        <f>IFERROR(__xludf.DUMMYFUNCTION("""COMPUTED_VALUE"""),44756.0)</f>
        <v>44756</v>
      </c>
      <c r="F244" s="198">
        <f>IFERROR(__xludf.DUMMYFUNCTION("""COMPUTED_VALUE"""),45214.0)</f>
        <v>45214</v>
      </c>
      <c r="G244" s="199">
        <f>IFERROR(__xludf.DUMMYFUNCTION("""COMPUTED_VALUE"""),15.033333333333333)</f>
        <v>15.03333333</v>
      </c>
      <c r="H244" s="210">
        <f>IFERROR(__xludf.DUMMYFUNCTION("""COMPUTED_VALUE"""),43292.0)</f>
        <v>43292</v>
      </c>
      <c r="I244" s="199">
        <f>IFERROR(__xludf.DUMMYFUNCTION("""COMPUTED_VALUE"""),4.008333333333334)</f>
        <v>4.008333333</v>
      </c>
      <c r="J244" s="200">
        <f>IFERROR(__xludf.DUMMYFUNCTION("""COMPUTED_VALUE"""),74.0)</f>
        <v>74</v>
      </c>
      <c r="K244" s="200">
        <f>IFERROR(__xludf.DUMMYFUNCTION("""COMPUTED_VALUE"""),6.0)</f>
        <v>6</v>
      </c>
      <c r="L244" s="201" t="str">
        <f>IFERROR(__xludf.DUMMYFUNCTION("""COMPUTED_VALUE"""),"Action / Platformer")</f>
        <v>Action / Platformer</v>
      </c>
    </row>
    <row r="245">
      <c r="A245" s="190" t="str">
        <f>IFERROR(__xludf.DUMMYFUNCTION("""COMPUTED_VALUE"""),"Trek to Yomi")</f>
        <v>Trek to Yomi</v>
      </c>
      <c r="B245" s="195" t="str">
        <f>IFERROR(__xludf.DUMMYFUNCTION("""COMPUTED_VALUE"""),"Xbox / PC")</f>
        <v>Xbox / PC</v>
      </c>
      <c r="C245" s="195" t="str">
        <f>IFERROR(__xludf.DUMMYFUNCTION("""COMPUTED_VALUE"""),"Yes")</f>
        <v>Yes</v>
      </c>
      <c r="D245" s="196" t="str">
        <f>IFERROR(__xludf.DUMMYFUNCTION("""COMPUTED_VALUE"""),"Removed")</f>
        <v>Removed</v>
      </c>
      <c r="E245" s="210">
        <f>IFERROR(__xludf.DUMMYFUNCTION("""COMPUTED_VALUE"""),44686.0)</f>
        <v>44686</v>
      </c>
      <c r="F245" s="198">
        <f>IFERROR(__xludf.DUMMYFUNCTION("""COMPUTED_VALUE"""),45214.0)</f>
        <v>45214</v>
      </c>
      <c r="G245" s="199">
        <f>IFERROR(__xludf.DUMMYFUNCTION("""COMPUTED_VALUE"""),17.333333333333332)</f>
        <v>17.33333333</v>
      </c>
      <c r="H245" s="210">
        <f>IFERROR(__xludf.DUMMYFUNCTION("""COMPUTED_VALUE"""),44686.0)</f>
        <v>44686</v>
      </c>
      <c r="I245" s="199">
        <f>IFERROR(__xludf.DUMMYFUNCTION("""COMPUTED_VALUE"""),0.0)</f>
        <v>0</v>
      </c>
      <c r="J245" s="200">
        <f>IFERROR(__xludf.DUMMYFUNCTION("""COMPUTED_VALUE"""),72.0)</f>
        <v>72</v>
      </c>
      <c r="K245" s="200">
        <f>IFERROR(__xludf.DUMMYFUNCTION("""COMPUTED_VALUE"""),5.0)</f>
        <v>5</v>
      </c>
      <c r="L245" s="201" t="str">
        <f>IFERROR(__xludf.DUMMYFUNCTION("""COMPUTED_VALUE"""),"Action")</f>
        <v>Action</v>
      </c>
    </row>
    <row r="246">
      <c r="A246" s="190" t="str">
        <f>IFERROR(__xludf.DUMMYFUNCTION("""COMPUTED_VALUE"""),"Turnip Boy Commits Tax Evasion")</f>
        <v>Turnip Boy Commits Tax Evasion</v>
      </c>
      <c r="B246" s="195" t="str">
        <f>IFERROR(__xludf.DUMMYFUNCTION("""COMPUTED_VALUE"""),"Xbox / PC")</f>
        <v>Xbox / PC</v>
      </c>
      <c r="C246" s="195" t="str">
        <f>IFERROR(__xludf.DUMMYFUNCTION("""COMPUTED_VALUE"""),"Touch Controls")</f>
        <v>Touch Controls</v>
      </c>
      <c r="D246" s="196" t="str">
        <f>IFERROR(__xludf.DUMMYFUNCTION("""COMPUTED_VALUE"""),"Removed")</f>
        <v>Removed</v>
      </c>
      <c r="E246" s="210">
        <f>IFERROR(__xludf.DUMMYFUNCTION("""COMPUTED_VALUE"""),44670.0)</f>
        <v>44670</v>
      </c>
      <c r="F246" s="198">
        <f>IFERROR(__xludf.DUMMYFUNCTION("""COMPUTED_VALUE"""),45214.0)</f>
        <v>45214</v>
      </c>
      <c r="G246" s="199">
        <f>IFERROR(__xludf.DUMMYFUNCTION("""COMPUTED_VALUE"""),17.866666666666667)</f>
        <v>17.86666667</v>
      </c>
      <c r="H246" s="210">
        <f>IFERROR(__xludf.DUMMYFUNCTION("""COMPUTED_VALUE"""),44308.0)</f>
        <v>44308</v>
      </c>
      <c r="I246" s="199">
        <f>IFERROR(__xludf.DUMMYFUNCTION("""COMPUTED_VALUE"""),0.9916666666666667)</f>
        <v>0.9916666667</v>
      </c>
      <c r="J246" s="200">
        <f>IFERROR(__xludf.DUMMYFUNCTION("""COMPUTED_VALUE"""),72.0)</f>
        <v>72</v>
      </c>
      <c r="K246" s="200">
        <f>IFERROR(__xludf.DUMMYFUNCTION("""COMPUTED_VALUE"""),2.0)</f>
        <v>2</v>
      </c>
      <c r="L246" s="201" t="str">
        <f>IFERROR(__xludf.DUMMYFUNCTION("""COMPUTED_VALUE"""),"Action / Adventure")</f>
        <v>Action / Adventure</v>
      </c>
    </row>
    <row r="247">
      <c r="A247" s="190" t="str">
        <f>IFERROR(__xludf.DUMMYFUNCTION("""COMPUTED_VALUE"""),"Despot's Game")</f>
        <v>Despot's Game</v>
      </c>
      <c r="B247" s="195" t="str">
        <f>IFERROR(__xludf.DUMMYFUNCTION("""COMPUTED_VALUE"""),"Xbox / PC")</f>
        <v>Xbox / PC</v>
      </c>
      <c r="C247" s="195" t="str">
        <f>IFERROR(__xludf.DUMMYFUNCTION("""COMPUTED_VALUE"""),"Yes")</f>
        <v>Yes</v>
      </c>
      <c r="D247" s="196" t="str">
        <f>IFERROR(__xludf.DUMMYFUNCTION("""COMPUTED_VALUE"""),"Removed")</f>
        <v>Removed</v>
      </c>
      <c r="E247" s="210">
        <f>IFERROR(__xludf.DUMMYFUNCTION("""COMPUTED_VALUE"""),44833.0)</f>
        <v>44833</v>
      </c>
      <c r="F247" s="198">
        <f>IFERROR(__xludf.DUMMYFUNCTION("""COMPUTED_VALUE"""),45199.0)</f>
        <v>45199</v>
      </c>
      <c r="G247" s="199">
        <f>IFERROR(__xludf.DUMMYFUNCTION("""COMPUTED_VALUE"""),12.033333333333333)</f>
        <v>12.03333333</v>
      </c>
      <c r="H247" s="210">
        <f>IFERROR(__xludf.DUMMYFUNCTION("""COMPUTED_VALUE"""),44833.0)</f>
        <v>44833</v>
      </c>
      <c r="I247" s="199">
        <f>IFERROR(__xludf.DUMMYFUNCTION("""COMPUTED_VALUE"""),0.0)</f>
        <v>0</v>
      </c>
      <c r="J247" s="200">
        <f>IFERROR(__xludf.DUMMYFUNCTION("""COMPUTED_VALUE"""),80.0)</f>
        <v>80</v>
      </c>
      <c r="K247" s="200">
        <f>IFERROR(__xludf.DUMMYFUNCTION("""COMPUTED_VALUE"""),9.5)</f>
        <v>9.5</v>
      </c>
      <c r="L247" s="201" t="str">
        <f>IFERROR(__xludf.DUMMYFUNCTION("""COMPUTED_VALUE"""),"Strategy")</f>
        <v>Strategy</v>
      </c>
    </row>
    <row r="248">
      <c r="A248" s="190" t="str">
        <f>IFERROR(__xludf.DUMMYFUNCTION("""COMPUTED_VALUE"""),"Moonscars")</f>
        <v>Moonscars</v>
      </c>
      <c r="B248" s="195" t="str">
        <f>IFERROR(__xludf.DUMMYFUNCTION("""COMPUTED_VALUE"""),"Xbox / PC")</f>
        <v>Xbox / PC</v>
      </c>
      <c r="C248" s="195" t="str">
        <f>IFERROR(__xludf.DUMMYFUNCTION("""COMPUTED_VALUE"""),"Yes")</f>
        <v>Yes</v>
      </c>
      <c r="D248" s="196" t="str">
        <f>IFERROR(__xludf.DUMMYFUNCTION("""COMPUTED_VALUE"""),"Removed")</f>
        <v>Removed</v>
      </c>
      <c r="E248" s="210">
        <f>IFERROR(__xludf.DUMMYFUNCTION("""COMPUTED_VALUE"""),44831.0)</f>
        <v>44831</v>
      </c>
      <c r="F248" s="198">
        <f>IFERROR(__xludf.DUMMYFUNCTION("""COMPUTED_VALUE"""),45199.0)</f>
        <v>45199</v>
      </c>
      <c r="G248" s="199">
        <f>IFERROR(__xludf.DUMMYFUNCTION("""COMPUTED_VALUE"""),12.1)</f>
        <v>12.1</v>
      </c>
      <c r="H248" s="210">
        <f>IFERROR(__xludf.DUMMYFUNCTION("""COMPUTED_VALUE"""),44831.0)</f>
        <v>44831</v>
      </c>
      <c r="I248" s="199">
        <f>IFERROR(__xludf.DUMMYFUNCTION("""COMPUTED_VALUE"""),0.0)</f>
        <v>0</v>
      </c>
      <c r="J248" s="200">
        <f>IFERROR(__xludf.DUMMYFUNCTION("""COMPUTED_VALUE"""),76.0)</f>
        <v>76</v>
      </c>
      <c r="K248" s="200">
        <f>IFERROR(__xludf.DUMMYFUNCTION("""COMPUTED_VALUE"""),8.5)</f>
        <v>8.5</v>
      </c>
      <c r="L248" s="201" t="str">
        <f>IFERROR(__xludf.DUMMYFUNCTION("""COMPUTED_VALUE"""),"Action-Adventure")</f>
        <v>Action-Adventure</v>
      </c>
    </row>
    <row r="249">
      <c r="A249" s="190" t="str">
        <f>IFERROR(__xludf.DUMMYFUNCTION("""COMPUTED_VALUE"""),"Beacon Pines")</f>
        <v>Beacon Pines</v>
      </c>
      <c r="B249" s="195" t="str">
        <f>IFERROR(__xludf.DUMMYFUNCTION("""COMPUTED_VALUE"""),"Xbox / PC")</f>
        <v>Xbox / PC</v>
      </c>
      <c r="C249" s="195" t="str">
        <f>IFERROR(__xludf.DUMMYFUNCTION("""COMPUTED_VALUE"""),"Yes")</f>
        <v>Yes</v>
      </c>
      <c r="D249" s="196" t="str">
        <f>IFERROR(__xludf.DUMMYFUNCTION("""COMPUTED_VALUE"""),"Removed")</f>
        <v>Removed</v>
      </c>
      <c r="E249" s="210">
        <f>IFERROR(__xludf.DUMMYFUNCTION("""COMPUTED_VALUE"""),44826.0)</f>
        <v>44826</v>
      </c>
      <c r="F249" s="198">
        <f>IFERROR(__xludf.DUMMYFUNCTION("""COMPUTED_VALUE"""),45199.0)</f>
        <v>45199</v>
      </c>
      <c r="G249" s="199">
        <f>IFERROR(__xludf.DUMMYFUNCTION("""COMPUTED_VALUE"""),12.266666666666666)</f>
        <v>12.26666667</v>
      </c>
      <c r="H249" s="210">
        <f>IFERROR(__xludf.DUMMYFUNCTION("""COMPUTED_VALUE"""),44826.0)</f>
        <v>44826</v>
      </c>
      <c r="I249" s="199">
        <f>IFERROR(__xludf.DUMMYFUNCTION("""COMPUTED_VALUE"""),0.0)</f>
        <v>0</v>
      </c>
      <c r="J249" s="200">
        <f>IFERROR(__xludf.DUMMYFUNCTION("""COMPUTED_VALUE"""),83.0)</f>
        <v>83</v>
      </c>
      <c r="K249" s="200">
        <f>IFERROR(__xludf.DUMMYFUNCTION("""COMPUTED_VALUE"""),5.0)</f>
        <v>5</v>
      </c>
      <c r="L249" s="201" t="str">
        <f>IFERROR(__xludf.DUMMYFUNCTION("""COMPUTED_VALUE"""),"Adventure")</f>
        <v>Adventure</v>
      </c>
    </row>
    <row r="250">
      <c r="A250" s="190" t="str">
        <f>IFERROR(__xludf.DUMMYFUNCTION("""COMPUTED_VALUE"""),"Last Call BBS")</f>
        <v>Last Call BBS</v>
      </c>
      <c r="B250" s="195" t="str">
        <f>IFERROR(__xludf.DUMMYFUNCTION("""COMPUTED_VALUE"""),"PC")</f>
        <v>PC</v>
      </c>
      <c r="C250" s="195"/>
      <c r="D250" s="196" t="str">
        <f>IFERROR(__xludf.DUMMYFUNCTION("""COMPUTED_VALUE"""),"Removed")</f>
        <v>Removed</v>
      </c>
      <c r="E250" s="210">
        <f>IFERROR(__xludf.DUMMYFUNCTION("""COMPUTED_VALUE"""),44747.0)</f>
        <v>44747</v>
      </c>
      <c r="F250" s="198">
        <f>IFERROR(__xludf.DUMMYFUNCTION("""COMPUTED_VALUE"""),45199.0)</f>
        <v>45199</v>
      </c>
      <c r="G250" s="199">
        <f>IFERROR(__xludf.DUMMYFUNCTION("""COMPUTED_VALUE"""),14.833333333333334)</f>
        <v>14.83333333</v>
      </c>
      <c r="H250" s="210">
        <f>IFERROR(__xludf.DUMMYFUNCTION("""COMPUTED_VALUE"""),44747.0)</f>
        <v>44747</v>
      </c>
      <c r="I250" s="199">
        <f>IFERROR(__xludf.DUMMYFUNCTION("""COMPUTED_VALUE"""),0.0)</f>
        <v>0</v>
      </c>
      <c r="J250" s="200">
        <f>IFERROR(__xludf.DUMMYFUNCTION("""COMPUTED_VALUE"""),80.0)</f>
        <v>80</v>
      </c>
      <c r="K250" s="200">
        <f>IFERROR(__xludf.DUMMYFUNCTION("""COMPUTED_VALUE"""),64.5)</f>
        <v>64.5</v>
      </c>
      <c r="L250" s="201" t="str">
        <f>IFERROR(__xludf.DUMMYFUNCTION("""COMPUTED_VALUE"""),"Compilation / Puzzle")</f>
        <v>Compilation / Puzzle</v>
      </c>
    </row>
    <row r="251">
      <c r="A251" s="190" t="str">
        <f>IFERROR(__xludf.DUMMYFUNCTION("""COMPUTED_VALUE"""),"Weird West: Definitive Edition")</f>
        <v>Weird West: Definitive Edition</v>
      </c>
      <c r="B251" s="195" t="str">
        <f>IFERROR(__xludf.DUMMYFUNCTION("""COMPUTED_VALUE"""),"Xbox / PC")</f>
        <v>Xbox / PC</v>
      </c>
      <c r="C251" s="195" t="str">
        <f>IFERROR(__xludf.DUMMYFUNCTION("""COMPUTED_VALUE"""),"Yes")</f>
        <v>Yes</v>
      </c>
      <c r="D251" s="196" t="str">
        <f>IFERROR(__xludf.DUMMYFUNCTION("""COMPUTED_VALUE"""),"Removed")</f>
        <v>Removed</v>
      </c>
      <c r="E251" s="210">
        <f>IFERROR(__xludf.DUMMYFUNCTION("""COMPUTED_VALUE"""),44651.0)</f>
        <v>44651</v>
      </c>
      <c r="F251" s="198">
        <f>IFERROR(__xludf.DUMMYFUNCTION("""COMPUTED_VALUE"""),45199.0)</f>
        <v>45199</v>
      </c>
      <c r="G251" s="199">
        <f>IFERROR(__xludf.DUMMYFUNCTION("""COMPUTED_VALUE"""),18.0)</f>
        <v>18</v>
      </c>
      <c r="H251" s="210">
        <f>IFERROR(__xludf.DUMMYFUNCTION("""COMPUTED_VALUE"""),44651.0)</f>
        <v>44651</v>
      </c>
      <c r="I251" s="199">
        <f>IFERROR(__xludf.DUMMYFUNCTION("""COMPUTED_VALUE"""),0.0)</f>
        <v>0</v>
      </c>
      <c r="J251" s="200">
        <f>IFERROR(__xludf.DUMMYFUNCTION("""COMPUTED_VALUE"""),79.5)</f>
        <v>79.5</v>
      </c>
      <c r="K251" s="200">
        <f>IFERROR(__xludf.DUMMYFUNCTION("""COMPUTED_VALUE"""),21.0)</f>
        <v>21</v>
      </c>
      <c r="L251" s="201" t="str">
        <f>IFERROR(__xludf.DUMMYFUNCTION("""COMPUTED_VALUE"""),"Action / RPG / Simulation")</f>
        <v>Action / RPG / Simulation</v>
      </c>
    </row>
    <row r="252">
      <c r="A252" s="190" t="str">
        <f>IFERROR(__xludf.DUMMYFUNCTION("""COMPUTED_VALUE"""),"Prodeus")</f>
        <v>Prodeus</v>
      </c>
      <c r="B252" s="195" t="str">
        <f>IFERROR(__xludf.DUMMYFUNCTION("""COMPUTED_VALUE"""),"Xbox / PC")</f>
        <v>Xbox / PC</v>
      </c>
      <c r="C252" s="195" t="str">
        <f>IFERROR(__xludf.DUMMYFUNCTION("""COMPUTED_VALUE"""),"Yes")</f>
        <v>Yes</v>
      </c>
      <c r="D252" s="196" t="str">
        <f>IFERROR(__xludf.DUMMYFUNCTION("""COMPUTED_VALUE"""),"Removed")</f>
        <v>Removed</v>
      </c>
      <c r="E252" s="210">
        <f>IFERROR(__xludf.DUMMYFUNCTION("""COMPUTED_VALUE"""),44371.0)</f>
        <v>44371</v>
      </c>
      <c r="F252" s="198">
        <f>IFERROR(__xludf.DUMMYFUNCTION("""COMPUTED_VALUE"""),45199.0)</f>
        <v>45199</v>
      </c>
      <c r="G252" s="199">
        <f>IFERROR(__xludf.DUMMYFUNCTION("""COMPUTED_VALUE"""),27.2)</f>
        <v>27.2</v>
      </c>
      <c r="H252" s="210">
        <f>IFERROR(__xludf.DUMMYFUNCTION("""COMPUTED_VALUE"""),44144.0)</f>
        <v>44144</v>
      </c>
      <c r="I252" s="199">
        <f>IFERROR(__xludf.DUMMYFUNCTION("""COMPUTED_VALUE"""),0.625)</f>
        <v>0.625</v>
      </c>
      <c r="J252" s="200">
        <f>IFERROR(__xludf.DUMMYFUNCTION("""COMPUTED_VALUE"""),85.5)</f>
        <v>85.5</v>
      </c>
      <c r="K252" s="200">
        <f>IFERROR(__xludf.DUMMYFUNCTION("""COMPUTED_VALUE"""),5.5)</f>
        <v>5.5</v>
      </c>
      <c r="L252" s="201" t="str">
        <f>IFERROR(__xludf.DUMMYFUNCTION("""COMPUTED_VALUE"""),"First-Person Shooter")</f>
        <v>First-Person Shooter</v>
      </c>
    </row>
    <row r="253">
      <c r="A253" s="190" t="str">
        <f>IFERROR(__xludf.DUMMYFUNCTION("""COMPUTED_VALUE"""),"Outriders")</f>
        <v>Outriders</v>
      </c>
      <c r="B253" s="195" t="str">
        <f>IFERROR(__xludf.DUMMYFUNCTION("""COMPUTED_VALUE"""),"Xbox / PC")</f>
        <v>Xbox / PC</v>
      </c>
      <c r="C253" s="195" t="str">
        <f>IFERROR(__xludf.DUMMYFUNCTION("""COMPUTED_VALUE"""),"Yes")</f>
        <v>Yes</v>
      </c>
      <c r="D253" s="196" t="str">
        <f>IFERROR(__xludf.DUMMYFUNCTION("""COMPUTED_VALUE"""),"Removed")</f>
        <v>Removed</v>
      </c>
      <c r="E253" s="210">
        <f>IFERROR(__xludf.DUMMYFUNCTION("""COMPUTED_VALUE"""),44287.0)</f>
        <v>44287</v>
      </c>
      <c r="F253" s="198">
        <f>IFERROR(__xludf.DUMMYFUNCTION("""COMPUTED_VALUE"""),45199.0)</f>
        <v>45199</v>
      </c>
      <c r="G253" s="199">
        <f>IFERROR(__xludf.DUMMYFUNCTION("""COMPUTED_VALUE"""),29.96666666666667)</f>
        <v>29.96666667</v>
      </c>
      <c r="H253" s="210">
        <f>IFERROR(__xludf.DUMMYFUNCTION("""COMPUTED_VALUE"""),44287.0)</f>
        <v>44287</v>
      </c>
      <c r="I253" s="199">
        <f>IFERROR(__xludf.DUMMYFUNCTION("""COMPUTED_VALUE"""),0.0)</f>
        <v>0</v>
      </c>
      <c r="J253" s="200">
        <f>IFERROR(__xludf.DUMMYFUNCTION("""COMPUTED_VALUE"""),78.0)</f>
        <v>78</v>
      </c>
      <c r="K253" s="200">
        <f>IFERROR(__xludf.DUMMYFUNCTION("""COMPUTED_VALUE"""),15.0)</f>
        <v>15</v>
      </c>
      <c r="L253" s="201" t="str">
        <f>IFERROR(__xludf.DUMMYFUNCTION("""COMPUTED_VALUE"""),"RPG / Action-Adventure")</f>
        <v>RPG / Action-Adventure</v>
      </c>
    </row>
    <row r="254">
      <c r="A254" s="190" t="str">
        <f>IFERROR(__xludf.DUMMYFUNCTION("""COMPUTED_VALUE"""),"Sid Meier's Civilization VI")</f>
        <v>Sid Meier's Civilization VI</v>
      </c>
      <c r="B254" s="195" t="str">
        <f>IFERROR(__xludf.DUMMYFUNCTION("""COMPUTED_VALUE"""),"Xbox / PC")</f>
        <v>Xbox / PC</v>
      </c>
      <c r="C254" s="195" t="str">
        <f>IFERROR(__xludf.DUMMYFUNCTION("""COMPUTED_VALUE"""),"Yes")</f>
        <v>Yes</v>
      </c>
      <c r="D254" s="196" t="str">
        <f>IFERROR(__xludf.DUMMYFUNCTION("""COMPUTED_VALUE"""),"Removed")</f>
        <v>Removed</v>
      </c>
      <c r="E254" s="210">
        <f>IFERROR(__xludf.DUMMYFUNCTION("""COMPUTED_VALUE"""),45001.0)</f>
        <v>45001</v>
      </c>
      <c r="F254" s="198">
        <f>IFERROR(__xludf.DUMMYFUNCTION("""COMPUTED_VALUE"""),45184.0)</f>
        <v>45184</v>
      </c>
      <c r="G254" s="199">
        <f>IFERROR(__xludf.DUMMYFUNCTION("""COMPUTED_VALUE"""),5.966666666666667)</f>
        <v>5.966666667</v>
      </c>
      <c r="H254" s="210">
        <f>IFERROR(__xludf.DUMMYFUNCTION("""COMPUTED_VALUE"""),42664.0)</f>
        <v>42664</v>
      </c>
      <c r="I254" s="199">
        <f>IFERROR(__xludf.DUMMYFUNCTION("""COMPUTED_VALUE"""),6.402777777777778)</f>
        <v>6.402777778</v>
      </c>
      <c r="J254" s="200">
        <f>IFERROR(__xludf.DUMMYFUNCTION("""COMPUTED_VALUE"""),87.0)</f>
        <v>87</v>
      </c>
      <c r="K254" s="200">
        <f>IFERROR(__xludf.DUMMYFUNCTION("""COMPUTED_VALUE"""),23.0)</f>
        <v>23</v>
      </c>
      <c r="L254" s="201" t="str">
        <f>IFERROR(__xludf.DUMMYFUNCTION("""COMPUTED_VALUE"""),"Strategy")</f>
        <v>Strategy</v>
      </c>
    </row>
    <row r="255">
      <c r="A255" s="190" t="str">
        <f>IFERROR(__xludf.DUMMYFUNCTION("""COMPUTED_VALUE"""),"Danganronpa V3: Killing Harmony")</f>
        <v>Danganronpa V3: Killing Harmony</v>
      </c>
      <c r="B255" s="195" t="str">
        <f>IFERROR(__xludf.DUMMYFUNCTION("""COMPUTED_VALUE"""),"Xbox / PC")</f>
        <v>Xbox / PC</v>
      </c>
      <c r="C255" s="196" t="str">
        <f>IFERROR(__xludf.DUMMYFUNCTION("""COMPUTED_VALUE"""),"Touch Controls")</f>
        <v>Touch Controls</v>
      </c>
      <c r="D255" s="196" t="str">
        <f>IFERROR(__xludf.DUMMYFUNCTION("""COMPUTED_VALUE"""),"Removed")</f>
        <v>Removed</v>
      </c>
      <c r="E255" s="210">
        <f>IFERROR(__xludf.DUMMYFUNCTION("""COMPUTED_VALUE"""),44819.0)</f>
        <v>44819</v>
      </c>
      <c r="F255" s="198">
        <f>IFERROR(__xludf.DUMMYFUNCTION("""COMPUTED_VALUE"""),45184.0)</f>
        <v>45184</v>
      </c>
      <c r="G255" s="199">
        <f>IFERROR(__xludf.DUMMYFUNCTION("""COMPUTED_VALUE"""),12.0)</f>
        <v>12</v>
      </c>
      <c r="H255" s="210">
        <f>IFERROR(__xludf.DUMMYFUNCTION("""COMPUTED_VALUE"""),42747.0)</f>
        <v>42747</v>
      </c>
      <c r="I255" s="199">
        <f>IFERROR(__xludf.DUMMYFUNCTION("""COMPUTED_VALUE"""),5.675)</f>
        <v>5.675</v>
      </c>
      <c r="J255" s="200">
        <f>IFERROR(__xludf.DUMMYFUNCTION("""COMPUTED_VALUE"""),80.0)</f>
        <v>80</v>
      </c>
      <c r="K255" s="200">
        <f>IFERROR(__xludf.DUMMYFUNCTION("""COMPUTED_VALUE"""),39.0)</f>
        <v>39</v>
      </c>
      <c r="L255" s="201" t="str">
        <f>IFERROR(__xludf.DUMMYFUNCTION("""COMPUTED_VALUE"""),"Adventure / Shooter / Music/Rhythm")</f>
        <v>Adventure / Shooter / Music/Rhythm</v>
      </c>
    </row>
    <row r="256">
      <c r="A256" s="190" t="str">
        <f>IFERROR(__xludf.DUMMYFUNCTION("""COMPUTED_VALUE"""),"Fuga: Melodies of Steel")</f>
        <v>Fuga: Melodies of Steel</v>
      </c>
      <c r="B256" s="195" t="str">
        <f>IFERROR(__xludf.DUMMYFUNCTION("""COMPUTED_VALUE"""),"Xbox / PC")</f>
        <v>Xbox / PC</v>
      </c>
      <c r="C256" s="195" t="str">
        <f>IFERROR(__xludf.DUMMYFUNCTION("""COMPUTED_VALUE"""),"Touch Controls")</f>
        <v>Touch Controls</v>
      </c>
      <c r="D256" s="196" t="str">
        <f>IFERROR(__xludf.DUMMYFUNCTION("""COMPUTED_VALUE"""),"Removed")</f>
        <v>Removed</v>
      </c>
      <c r="E256" s="197">
        <f>IFERROR(__xludf.DUMMYFUNCTION("""COMPUTED_VALUE"""),44819.0)</f>
        <v>44819</v>
      </c>
      <c r="F256" s="198">
        <f>IFERROR(__xludf.DUMMYFUNCTION("""COMPUTED_VALUE"""),45184.0)</f>
        <v>45184</v>
      </c>
      <c r="G256" s="199">
        <f>IFERROR(__xludf.DUMMYFUNCTION("""COMPUTED_VALUE"""),12.0)</f>
        <v>12</v>
      </c>
      <c r="H256" s="197">
        <f>IFERROR(__xludf.DUMMYFUNCTION("""COMPUTED_VALUE"""),44405.0)</f>
        <v>44405</v>
      </c>
      <c r="I256" s="199">
        <f>IFERROR(__xludf.DUMMYFUNCTION("""COMPUTED_VALUE"""),1.1305555555555555)</f>
        <v>1.130555556</v>
      </c>
      <c r="J256" s="200">
        <f>IFERROR(__xludf.DUMMYFUNCTION("""COMPUTED_VALUE"""),87.0)</f>
        <v>87</v>
      </c>
      <c r="K256" s="200">
        <f>IFERROR(__xludf.DUMMYFUNCTION("""COMPUTED_VALUE"""),19.5)</f>
        <v>19.5</v>
      </c>
      <c r="L256" s="201" t="str">
        <f>IFERROR(__xludf.DUMMYFUNCTION("""COMPUTED_VALUE"""),"Action / Strategy / RPG")</f>
        <v>Action / Strategy / RPG</v>
      </c>
    </row>
    <row r="257">
      <c r="A257" s="190" t="str">
        <f>IFERROR(__xludf.DUMMYFUNCTION("""COMPUTED_VALUE"""),"Metal: Hellsinger")</f>
        <v>Metal: Hellsinger</v>
      </c>
      <c r="B257" s="195" t="str">
        <f>IFERROR(__xludf.DUMMYFUNCTION("""COMPUTED_VALUE"""),"Xbox / PC")</f>
        <v>Xbox / PC</v>
      </c>
      <c r="C257" s="195" t="str">
        <f>IFERROR(__xludf.DUMMYFUNCTION("""COMPUTED_VALUE"""),"Yes")</f>
        <v>Yes</v>
      </c>
      <c r="D257" s="196" t="str">
        <f>IFERROR(__xludf.DUMMYFUNCTION("""COMPUTED_VALUE"""),"Removed")</f>
        <v>Removed</v>
      </c>
      <c r="E257" s="197">
        <f>IFERROR(__xludf.DUMMYFUNCTION("""COMPUTED_VALUE"""),44819.0)</f>
        <v>44819</v>
      </c>
      <c r="F257" s="198">
        <f>IFERROR(__xludf.DUMMYFUNCTION("""COMPUTED_VALUE"""),45184.0)</f>
        <v>45184</v>
      </c>
      <c r="G257" s="199">
        <f>IFERROR(__xludf.DUMMYFUNCTION("""COMPUTED_VALUE"""),12.0)</f>
        <v>12</v>
      </c>
      <c r="H257" s="210">
        <f>IFERROR(__xludf.DUMMYFUNCTION("""COMPUTED_VALUE"""),44819.0)</f>
        <v>44819</v>
      </c>
      <c r="I257" s="199">
        <f>IFERROR(__xludf.DUMMYFUNCTION("""COMPUTED_VALUE"""),0.0)</f>
        <v>0</v>
      </c>
      <c r="J257" s="200">
        <f>IFERROR(__xludf.DUMMYFUNCTION("""COMPUTED_VALUE"""),79.0)</f>
        <v>79</v>
      </c>
      <c r="K257" s="200">
        <f>IFERROR(__xludf.DUMMYFUNCTION("""COMPUTED_VALUE"""),6.0)</f>
        <v>6</v>
      </c>
      <c r="L257" s="201" t="str">
        <f>IFERROR(__xludf.DUMMYFUNCTION("""COMPUTED_VALUE"""),"Music/Rhythm / First-Person Shooter")</f>
        <v>Music/Rhythm / First-Person Shooter</v>
      </c>
    </row>
    <row r="258">
      <c r="A258" s="190" t="str">
        <f>IFERROR(__xludf.DUMMYFUNCTION("""COMPUTED_VALUE"""),"Amazing Cultivation Simulator")</f>
        <v>Amazing Cultivation Simulator</v>
      </c>
      <c r="B258" s="195" t="str">
        <f>IFERROR(__xludf.DUMMYFUNCTION("""COMPUTED_VALUE"""),"PC")</f>
        <v>PC</v>
      </c>
      <c r="C258" s="195"/>
      <c r="D258" s="196" t="str">
        <f>IFERROR(__xludf.DUMMYFUNCTION("""COMPUTED_VALUE"""),"Removed")</f>
        <v>Removed</v>
      </c>
      <c r="E258" s="197">
        <f>IFERROR(__xludf.DUMMYFUNCTION("""COMPUTED_VALUE"""),44818.0)</f>
        <v>44818</v>
      </c>
      <c r="F258" s="198">
        <f>IFERROR(__xludf.DUMMYFUNCTION("""COMPUTED_VALUE"""),45184.0)</f>
        <v>45184</v>
      </c>
      <c r="G258" s="199">
        <f>IFERROR(__xludf.DUMMYFUNCTION("""COMPUTED_VALUE"""),12.033333333333333)</f>
        <v>12.03333333</v>
      </c>
      <c r="H258" s="210">
        <f>IFERROR(__xludf.DUMMYFUNCTION("""COMPUTED_VALUE"""),43476.0)</f>
        <v>43476</v>
      </c>
      <c r="I258" s="199">
        <f>IFERROR(__xludf.DUMMYFUNCTION("""COMPUTED_VALUE"""),3.675)</f>
        <v>3.675</v>
      </c>
      <c r="J258" s="200">
        <f>IFERROR(__xludf.DUMMYFUNCTION("""COMPUTED_VALUE"""),73.0)</f>
        <v>73</v>
      </c>
      <c r="K258" s="200">
        <f>IFERROR(__xludf.DUMMYFUNCTION("""COMPUTED_VALUE"""),100.0)</f>
        <v>100</v>
      </c>
      <c r="L258" s="201" t="str">
        <f>IFERROR(__xludf.DUMMYFUNCTION("""COMPUTED_VALUE"""),"Strategy / Simulation")</f>
        <v>Strategy / Simulation</v>
      </c>
    </row>
    <row r="259">
      <c r="A259" s="190" t="str">
        <f>IFERROR(__xludf.DUMMYFUNCTION("""COMPUTED_VALUE"""),"DC League of Super-Pets: The Adventures of Krypto and Ace")</f>
        <v>DC League of Super-Pets: The Adventures of Krypto and Ace</v>
      </c>
      <c r="B259" s="195" t="str">
        <f>IFERROR(__xludf.DUMMYFUNCTION("""COMPUTED_VALUE"""),"Xbox / PC")</f>
        <v>Xbox / PC</v>
      </c>
      <c r="C259" s="195" t="str">
        <f>IFERROR(__xludf.DUMMYFUNCTION("""COMPUTED_VALUE"""),"Touch Controls")</f>
        <v>Touch Controls</v>
      </c>
      <c r="D259" s="196" t="str">
        <f>IFERROR(__xludf.DUMMYFUNCTION("""COMPUTED_VALUE"""),"Removed")</f>
        <v>Removed</v>
      </c>
      <c r="E259" s="197">
        <f>IFERROR(__xludf.DUMMYFUNCTION("""COMPUTED_VALUE"""),44817.0)</f>
        <v>44817</v>
      </c>
      <c r="F259" s="198">
        <f>IFERROR(__xludf.DUMMYFUNCTION("""COMPUTED_VALUE"""),45184.0)</f>
        <v>45184</v>
      </c>
      <c r="G259" s="199">
        <f>IFERROR(__xludf.DUMMYFUNCTION("""COMPUTED_VALUE"""),12.066666666666666)</f>
        <v>12.06666667</v>
      </c>
      <c r="H259" s="210">
        <f>IFERROR(__xludf.DUMMYFUNCTION("""COMPUTED_VALUE"""),44757.0)</f>
        <v>44757</v>
      </c>
      <c r="I259" s="199">
        <f>IFERROR(__xludf.DUMMYFUNCTION("""COMPUTED_VALUE"""),0.16111111111111112)</f>
        <v>0.1611111111</v>
      </c>
      <c r="J259" s="200">
        <f>IFERROR(__xludf.DUMMYFUNCTION("""COMPUTED_VALUE"""),60.0)</f>
        <v>60</v>
      </c>
      <c r="K259" s="200">
        <f>IFERROR(__xludf.DUMMYFUNCTION("""COMPUTED_VALUE"""),3.0)</f>
        <v>3</v>
      </c>
      <c r="L259" s="201" t="str">
        <f>IFERROR(__xludf.DUMMYFUNCTION("""COMPUTED_VALUE"""),"Flight Simulator / Shoot 'Em Up")</f>
        <v>Flight Simulator / Shoot 'Em Up</v>
      </c>
    </row>
    <row r="260">
      <c r="A260" s="190" t="str">
        <f>IFERROR(__xludf.DUMMYFUNCTION("""COMPUTED_VALUE"""),"Train Sim World 3")</f>
        <v>Train Sim World 3</v>
      </c>
      <c r="B260" s="195" t="str">
        <f>IFERROR(__xludf.DUMMYFUNCTION("""COMPUTED_VALUE"""),"Xbox / PC")</f>
        <v>Xbox / PC</v>
      </c>
      <c r="C260" s="195"/>
      <c r="D260" s="196" t="str">
        <f>IFERROR(__xludf.DUMMYFUNCTION("""COMPUTED_VALUE"""),"Removed")</f>
        <v>Removed</v>
      </c>
      <c r="E260" s="197">
        <f>IFERROR(__xludf.DUMMYFUNCTION("""COMPUTED_VALUE"""),44810.0)</f>
        <v>44810</v>
      </c>
      <c r="F260" s="198">
        <f>IFERROR(__xludf.DUMMYFUNCTION("""COMPUTED_VALUE"""),45184.0)</f>
        <v>45184</v>
      </c>
      <c r="G260" s="199">
        <f>IFERROR(__xludf.DUMMYFUNCTION("""COMPUTED_VALUE"""),12.299999999999999)</f>
        <v>12.3</v>
      </c>
      <c r="H260" s="197">
        <f>IFERROR(__xludf.DUMMYFUNCTION("""COMPUTED_VALUE"""),44810.0)</f>
        <v>44810</v>
      </c>
      <c r="I260" s="199">
        <f>IFERROR(__xludf.DUMMYFUNCTION("""COMPUTED_VALUE"""),0.0)</f>
        <v>0</v>
      </c>
      <c r="J260" s="200">
        <f>IFERROR(__xludf.DUMMYFUNCTION("""COMPUTED_VALUE"""),78.0)</f>
        <v>78</v>
      </c>
      <c r="K260" s="200">
        <f>IFERROR(__xludf.DUMMYFUNCTION("""COMPUTED_VALUE"""),466.0)</f>
        <v>466</v>
      </c>
      <c r="L260" s="201" t="str">
        <f>IFERROR(__xludf.DUMMYFUNCTION("""COMPUTED_VALUE"""),"Simulation")</f>
        <v>Simulation</v>
      </c>
    </row>
    <row r="261">
      <c r="A261" s="190" t="str">
        <f>IFERROR(__xludf.DUMMYFUNCTION("""COMPUTED_VALUE"""),"Tainted Grail: Conquest")</f>
        <v>Tainted Grail: Conquest</v>
      </c>
      <c r="B261" s="195" t="str">
        <f>IFERROR(__xludf.DUMMYFUNCTION("""COMPUTED_VALUE"""),"Xbox / PC")</f>
        <v>Xbox / PC</v>
      </c>
      <c r="C261" s="196" t="str">
        <f>IFERROR(__xludf.DUMMYFUNCTION("""COMPUTED_VALUE"""),"Touch Controls")</f>
        <v>Touch Controls</v>
      </c>
      <c r="D261" s="196" t="str">
        <f>IFERROR(__xludf.DUMMYFUNCTION("""COMPUTED_VALUE"""),"Removed")</f>
        <v>Removed</v>
      </c>
      <c r="E261" s="197">
        <f>IFERROR(__xludf.DUMMYFUNCTION("""COMPUTED_VALUE"""),44642.0)</f>
        <v>44642</v>
      </c>
      <c r="F261" s="198">
        <f>IFERROR(__xludf.DUMMYFUNCTION("""COMPUTED_VALUE"""),45184.0)</f>
        <v>45184</v>
      </c>
      <c r="G261" s="199">
        <f>IFERROR(__xludf.DUMMYFUNCTION("""COMPUTED_VALUE"""),17.766666666666666)</f>
        <v>17.76666667</v>
      </c>
      <c r="H261" s="197">
        <f>IFERROR(__xludf.DUMMYFUNCTION("""COMPUTED_VALUE"""),44000.0)</f>
        <v>44000</v>
      </c>
      <c r="I261" s="199">
        <f>IFERROR(__xludf.DUMMYFUNCTION("""COMPUTED_VALUE"""),1.761111111111111)</f>
        <v>1.761111111</v>
      </c>
      <c r="J261" s="200">
        <f>IFERROR(__xludf.DUMMYFUNCTION("""COMPUTED_VALUE"""),82.0)</f>
        <v>82</v>
      </c>
      <c r="K261" s="200">
        <f>IFERROR(__xludf.DUMMYFUNCTION("""COMPUTED_VALUE"""),13.5)</f>
        <v>13.5</v>
      </c>
      <c r="L261" s="201" t="str">
        <f>IFERROR(__xludf.DUMMYFUNCTION("""COMPUTED_VALUE"""),"RPG / Card Game")</f>
        <v>RPG / Card Game</v>
      </c>
    </row>
    <row r="262">
      <c r="A262" s="190" t="str">
        <f>IFERROR(__xludf.DUMMYFUNCTION("""COMPUTED_VALUE"""),"Aragami 2")</f>
        <v>Aragami 2</v>
      </c>
      <c r="B262" s="195" t="str">
        <f>IFERROR(__xludf.DUMMYFUNCTION("""COMPUTED_VALUE"""),"Xbox / PC")</f>
        <v>Xbox / PC</v>
      </c>
      <c r="C262" s="195" t="str">
        <f>IFERROR(__xludf.DUMMYFUNCTION("""COMPUTED_VALUE"""),"Touch Controls")</f>
        <v>Touch Controls</v>
      </c>
      <c r="D262" s="196" t="str">
        <f>IFERROR(__xludf.DUMMYFUNCTION("""COMPUTED_VALUE"""),"Removed")</f>
        <v>Removed</v>
      </c>
      <c r="E262" s="197">
        <f>IFERROR(__xludf.DUMMYFUNCTION("""COMPUTED_VALUE"""),44456.0)</f>
        <v>44456</v>
      </c>
      <c r="F262" s="198">
        <f>IFERROR(__xludf.DUMMYFUNCTION("""COMPUTED_VALUE"""),45184.0)</f>
        <v>45184</v>
      </c>
      <c r="G262" s="199">
        <f>IFERROR(__xludf.DUMMYFUNCTION("""COMPUTED_VALUE"""),23.933333333333334)</f>
        <v>23.93333333</v>
      </c>
      <c r="H262" s="197">
        <f>IFERROR(__xludf.DUMMYFUNCTION("""COMPUTED_VALUE"""),44456.0)</f>
        <v>44456</v>
      </c>
      <c r="I262" s="199">
        <f>IFERROR(__xludf.DUMMYFUNCTION("""COMPUTED_VALUE"""),0.0)</f>
        <v>0</v>
      </c>
      <c r="J262" s="200">
        <f>IFERROR(__xludf.DUMMYFUNCTION("""COMPUTED_VALUE"""),69.0)</f>
        <v>69</v>
      </c>
      <c r="K262" s="200">
        <f>IFERROR(__xludf.DUMMYFUNCTION("""COMPUTED_VALUE"""),13.5)</f>
        <v>13.5</v>
      </c>
      <c r="L262" s="201" t="str">
        <f>IFERROR(__xludf.DUMMYFUNCTION("""COMPUTED_VALUE"""),"Action")</f>
        <v>Action</v>
      </c>
    </row>
    <row r="263">
      <c r="A263" s="269" t="str">
        <f>IFERROR(__xludf.DUMMYFUNCTION("""COMPUTED_VALUE"""),"Commandos 3: HD Remaster")</f>
        <v>Commandos 3: HD Remaster</v>
      </c>
      <c r="B263" s="195" t="str">
        <f>IFERROR(__xludf.DUMMYFUNCTION("""COMPUTED_VALUE"""),"Xbox / PC")</f>
        <v>Xbox / PC</v>
      </c>
      <c r="C263" s="195" t="str">
        <f>IFERROR(__xludf.DUMMYFUNCTION("""COMPUTED_VALUE"""),"Yes")</f>
        <v>Yes</v>
      </c>
      <c r="D263" s="196" t="str">
        <f>IFERROR(__xludf.DUMMYFUNCTION("""COMPUTED_VALUE"""),"Removed")</f>
        <v>Removed</v>
      </c>
      <c r="E263" s="197">
        <f>IFERROR(__xludf.DUMMYFUNCTION("""COMPUTED_VALUE"""),44803.0)</f>
        <v>44803</v>
      </c>
      <c r="F263" s="198">
        <f>IFERROR(__xludf.DUMMYFUNCTION("""COMPUTED_VALUE"""),45169.0)</f>
        <v>45169</v>
      </c>
      <c r="G263" s="199">
        <f>IFERROR(__xludf.DUMMYFUNCTION("""COMPUTED_VALUE"""),12.0)</f>
        <v>12</v>
      </c>
      <c r="H263" s="210">
        <f>IFERROR(__xludf.DUMMYFUNCTION("""COMPUTED_VALUE"""),44803.0)</f>
        <v>44803</v>
      </c>
      <c r="I263" s="199">
        <f>IFERROR(__xludf.DUMMYFUNCTION("""COMPUTED_VALUE"""),0.0)</f>
        <v>0</v>
      </c>
      <c r="J263" s="200">
        <f>IFERROR(__xludf.DUMMYFUNCTION("""COMPUTED_VALUE"""),60.0)</f>
        <v>60</v>
      </c>
      <c r="K263" s="200">
        <f>IFERROR(__xludf.DUMMYFUNCTION("""COMPUTED_VALUE"""),10.0)</f>
        <v>10</v>
      </c>
      <c r="L263" s="265" t="str">
        <f>IFERROR(__xludf.DUMMYFUNCTION("""COMPUTED_VALUE"""),"Real-Time Strategy")</f>
        <v>Real-Time Strategy</v>
      </c>
    </row>
    <row r="264">
      <c r="A264" s="190" t="str">
        <f>IFERROR(__xludf.DUMMYFUNCTION("""COMPUTED_VALUE"""),"Immortality")</f>
        <v>Immortality</v>
      </c>
      <c r="B264" s="195" t="str">
        <f>IFERROR(__xludf.DUMMYFUNCTION("""COMPUTED_VALUE"""),"Xbox / PC")</f>
        <v>Xbox / PC</v>
      </c>
      <c r="C264" s="195" t="str">
        <f>IFERROR(__xludf.DUMMYFUNCTION("""COMPUTED_VALUE"""),"Yes")</f>
        <v>Yes</v>
      </c>
      <c r="D264" s="196" t="str">
        <f>IFERROR(__xludf.DUMMYFUNCTION("""COMPUTED_VALUE"""),"Removed")</f>
        <v>Removed</v>
      </c>
      <c r="E264" s="197">
        <f>IFERROR(__xludf.DUMMYFUNCTION("""COMPUTED_VALUE"""),44803.0)</f>
        <v>44803</v>
      </c>
      <c r="F264" s="198">
        <f>IFERROR(__xludf.DUMMYFUNCTION("""COMPUTED_VALUE"""),45169.0)</f>
        <v>45169</v>
      </c>
      <c r="G264" s="199">
        <f>IFERROR(__xludf.DUMMYFUNCTION("""COMPUTED_VALUE"""),12.0)</f>
        <v>12</v>
      </c>
      <c r="H264" s="210">
        <f>IFERROR(__xludf.DUMMYFUNCTION("""COMPUTED_VALUE"""),44803.0)</f>
        <v>44803</v>
      </c>
      <c r="I264" s="199">
        <f>IFERROR(__xludf.DUMMYFUNCTION("""COMPUTED_VALUE"""),0.0)</f>
        <v>0</v>
      </c>
      <c r="J264" s="200">
        <f>IFERROR(__xludf.DUMMYFUNCTION("""COMPUTED_VALUE"""),91.0)</f>
        <v>91</v>
      </c>
      <c r="K264" s="200">
        <f>IFERROR(__xludf.DUMMYFUNCTION("""COMPUTED_VALUE"""),5.0)</f>
        <v>5</v>
      </c>
      <c r="L264" s="201" t="str">
        <f>IFERROR(__xludf.DUMMYFUNCTION("""COMPUTED_VALUE"""),"Adventure / Simulation")</f>
        <v>Adventure / Simulation</v>
      </c>
    </row>
    <row r="265">
      <c r="A265" s="190" t="str">
        <f>IFERROR(__xludf.DUMMYFUNCTION("""COMPUTED_VALUE"""),"Tinykin")</f>
        <v>Tinykin</v>
      </c>
      <c r="B265" s="195" t="str">
        <f>IFERROR(__xludf.DUMMYFUNCTION("""COMPUTED_VALUE"""),"Xbox / PC")</f>
        <v>Xbox / PC</v>
      </c>
      <c r="C265" s="195"/>
      <c r="D265" s="196" t="str">
        <f>IFERROR(__xludf.DUMMYFUNCTION("""COMPUTED_VALUE"""),"Removed")</f>
        <v>Removed</v>
      </c>
      <c r="E265" s="197">
        <f>IFERROR(__xludf.DUMMYFUNCTION("""COMPUTED_VALUE"""),44803.0)</f>
        <v>44803</v>
      </c>
      <c r="F265" s="198">
        <f>IFERROR(__xludf.DUMMYFUNCTION("""COMPUTED_VALUE"""),45169.0)</f>
        <v>45169</v>
      </c>
      <c r="G265" s="199">
        <f>IFERROR(__xludf.DUMMYFUNCTION("""COMPUTED_VALUE"""),12.0)</f>
        <v>12</v>
      </c>
      <c r="H265" s="210">
        <f>IFERROR(__xludf.DUMMYFUNCTION("""COMPUTED_VALUE"""),44803.0)</f>
        <v>44803</v>
      </c>
      <c r="I265" s="199">
        <f>IFERROR(__xludf.DUMMYFUNCTION("""COMPUTED_VALUE"""),0.0)</f>
        <v>0</v>
      </c>
      <c r="J265" s="200">
        <f>IFERROR(__xludf.DUMMYFUNCTION("""COMPUTED_VALUE"""),81.0)</f>
        <v>81</v>
      </c>
      <c r="K265" s="200">
        <f>IFERROR(__xludf.DUMMYFUNCTION("""COMPUTED_VALUE"""),6.0)</f>
        <v>6</v>
      </c>
      <c r="L265" s="201" t="str">
        <f>IFERROR(__xludf.DUMMYFUNCTION("""COMPUTED_VALUE"""),"Adventure / Platformer")</f>
        <v>Adventure / Platformer</v>
      </c>
    </row>
    <row r="266">
      <c r="A266" s="190" t="str">
        <f>IFERROR(__xludf.DUMMYFUNCTION("""COMPUTED_VALUE"""),"Nuclear Throne")</f>
        <v>Nuclear Throne</v>
      </c>
      <c r="B266" s="195" t="str">
        <f>IFERROR(__xludf.DUMMYFUNCTION("""COMPUTED_VALUE"""),"Xbox / PC")</f>
        <v>Xbox / PC</v>
      </c>
      <c r="C266" s="196" t="str">
        <f>IFERROR(__xludf.DUMMYFUNCTION("""COMPUTED_VALUE"""),"Yes")</f>
        <v>Yes</v>
      </c>
      <c r="D266" s="196" t="str">
        <f>IFERROR(__xludf.DUMMYFUNCTION("""COMPUTED_VALUE"""),"Removed")</f>
        <v>Removed</v>
      </c>
      <c r="E266" s="197">
        <f>IFERROR(__xludf.DUMMYFUNCTION("""COMPUTED_VALUE"""),44448.0)</f>
        <v>44448</v>
      </c>
      <c r="F266" s="198">
        <f>IFERROR(__xludf.DUMMYFUNCTION("""COMPUTED_VALUE"""),45169.0)</f>
        <v>45169</v>
      </c>
      <c r="G266" s="199">
        <f>IFERROR(__xludf.DUMMYFUNCTION("""COMPUTED_VALUE"""),23.700000000000003)</f>
        <v>23.7</v>
      </c>
      <c r="H266" s="197">
        <f>IFERROR(__xludf.DUMMYFUNCTION("""COMPUTED_VALUE"""),42343.0)</f>
        <v>42343</v>
      </c>
      <c r="I266" s="199">
        <f>IFERROR(__xludf.DUMMYFUNCTION("""COMPUTED_VALUE"""),5.761111111111111)</f>
        <v>5.761111111</v>
      </c>
      <c r="J266" s="200">
        <f>IFERROR(__xludf.DUMMYFUNCTION("""COMPUTED_VALUE"""),89.0)</f>
        <v>89</v>
      </c>
      <c r="K266" s="200">
        <f>IFERROR(__xludf.DUMMYFUNCTION("""COMPUTED_VALUE"""),15.5)</f>
        <v>15.5</v>
      </c>
      <c r="L266" s="201" t="str">
        <f>IFERROR(__xludf.DUMMYFUNCTION("""COMPUTED_VALUE"""),"Action / Shooter")</f>
        <v>Action / Shooter</v>
      </c>
    </row>
    <row r="267">
      <c r="A267" s="190" t="str">
        <f>IFERROR(__xludf.DUMMYFUNCTION("""COMPUTED_VALUE"""),"Surgeon Simulator 2: Access All Areas")</f>
        <v>Surgeon Simulator 2: Access All Areas</v>
      </c>
      <c r="B267" s="195" t="str">
        <f>IFERROR(__xludf.DUMMYFUNCTION("""COMPUTED_VALUE"""),"Xbox / PC")</f>
        <v>Xbox / PC</v>
      </c>
      <c r="C267" s="195" t="str">
        <f>IFERROR(__xludf.DUMMYFUNCTION("""COMPUTED_VALUE"""),"Yes")</f>
        <v>Yes</v>
      </c>
      <c r="D267" s="196" t="str">
        <f>IFERROR(__xludf.DUMMYFUNCTION("""COMPUTED_VALUE"""),"Removed")</f>
        <v>Removed</v>
      </c>
      <c r="E267" s="197">
        <f>IFERROR(__xludf.DUMMYFUNCTION("""COMPUTED_VALUE"""),44441.0)</f>
        <v>44441</v>
      </c>
      <c r="F267" s="198">
        <f>IFERROR(__xludf.DUMMYFUNCTION("""COMPUTED_VALUE"""),45169.0)</f>
        <v>45169</v>
      </c>
      <c r="G267" s="199">
        <f>IFERROR(__xludf.DUMMYFUNCTION("""COMPUTED_VALUE"""),23.933333333333334)</f>
        <v>23.93333333</v>
      </c>
      <c r="H267" s="210">
        <f>IFERROR(__xludf.DUMMYFUNCTION("""COMPUTED_VALUE"""),44070.0)</f>
        <v>44070</v>
      </c>
      <c r="I267" s="199">
        <f>IFERROR(__xludf.DUMMYFUNCTION("""COMPUTED_VALUE"""),1.0138888888888888)</f>
        <v>1.013888889</v>
      </c>
      <c r="J267" s="200">
        <f>IFERROR(__xludf.DUMMYFUNCTION("""COMPUTED_VALUE"""),69.0)</f>
        <v>69</v>
      </c>
      <c r="K267" s="200">
        <f>IFERROR(__xludf.DUMMYFUNCTION("""COMPUTED_VALUE"""),4.0)</f>
        <v>4</v>
      </c>
      <c r="L267" s="201" t="str">
        <f>IFERROR(__xludf.DUMMYFUNCTION("""COMPUTED_VALUE"""),"Simulation")</f>
        <v>Simulation</v>
      </c>
    </row>
    <row r="268">
      <c r="A268" s="190" t="str">
        <f>IFERROR(__xludf.DUMMYFUNCTION("""COMPUTED_VALUE"""),"Black Desert")</f>
        <v>Black Desert</v>
      </c>
      <c r="B268" s="195" t="str">
        <f>IFERROR(__xludf.DUMMYFUNCTION("""COMPUTED_VALUE"""),"Xbox")</f>
        <v>Xbox</v>
      </c>
      <c r="C268" s="196" t="str">
        <f>IFERROR(__xludf.DUMMYFUNCTION("""COMPUTED_VALUE"""),"Yes")</f>
        <v>Yes</v>
      </c>
      <c r="D268" s="196" t="str">
        <f>IFERROR(__xludf.DUMMYFUNCTION("""COMPUTED_VALUE"""),"Removed")</f>
        <v>Removed</v>
      </c>
      <c r="E268" s="197">
        <f>IFERROR(__xludf.DUMMYFUNCTION("""COMPUTED_VALUE"""),43594.0)</f>
        <v>43594</v>
      </c>
      <c r="F268" s="198">
        <f>IFERROR(__xludf.DUMMYFUNCTION("""COMPUTED_VALUE"""),45169.0)</f>
        <v>45169</v>
      </c>
      <c r="G268" s="199">
        <f>IFERROR(__xludf.DUMMYFUNCTION("""COMPUTED_VALUE"""),51.7)</f>
        <v>51.7</v>
      </c>
      <c r="H268" s="210">
        <f>IFERROR(__xludf.DUMMYFUNCTION("""COMPUTED_VALUE"""),42432.0)</f>
        <v>42432</v>
      </c>
      <c r="I268" s="199">
        <f>IFERROR(__xludf.DUMMYFUNCTION("""COMPUTED_VALUE"""),3.183333333333333)</f>
        <v>3.183333333</v>
      </c>
      <c r="J268" s="200">
        <f>IFERROR(__xludf.DUMMYFUNCTION("""COMPUTED_VALUE"""),75.0)</f>
        <v>75</v>
      </c>
      <c r="K268" s="200">
        <f>IFERROR(__xludf.DUMMYFUNCTION("""COMPUTED_VALUE"""),72.0)</f>
        <v>72</v>
      </c>
      <c r="L268" s="201" t="str">
        <f>IFERROR(__xludf.DUMMYFUNCTION("""COMPUTED_VALUE"""),"MMORPG")</f>
        <v>MMORPG</v>
      </c>
    </row>
    <row r="269">
      <c r="A269" s="190" t="str">
        <f>IFERROR(__xludf.DUMMYFUNCTION("""COMPUTED_VALUE"""),"DEATH STRANDING")</f>
        <v>DEATH STRANDING</v>
      </c>
      <c r="B269" s="195" t="str">
        <f>IFERROR(__xludf.DUMMYFUNCTION("""COMPUTED_VALUE"""),"PC")</f>
        <v>PC</v>
      </c>
      <c r="C269" s="195"/>
      <c r="D269" s="196" t="str">
        <f>IFERROR(__xludf.DUMMYFUNCTION("""COMPUTED_VALUE"""),"Removed")</f>
        <v>Removed</v>
      </c>
      <c r="E269" s="197">
        <f>IFERROR(__xludf.DUMMYFUNCTION("""COMPUTED_VALUE"""),44796.0)</f>
        <v>44796</v>
      </c>
      <c r="F269" s="198">
        <f>IFERROR(__xludf.DUMMYFUNCTION("""COMPUTED_VALUE"""),45153.0)</f>
        <v>45153</v>
      </c>
      <c r="G269" s="199">
        <f>IFERROR(__xludf.DUMMYFUNCTION("""COMPUTED_VALUE"""),11.733333333333333)</f>
        <v>11.73333333</v>
      </c>
      <c r="H269" s="210">
        <f>IFERROR(__xludf.DUMMYFUNCTION("""COMPUTED_VALUE"""),43777.0)</f>
        <v>43777</v>
      </c>
      <c r="I269" s="199">
        <f>IFERROR(__xludf.DUMMYFUNCTION("""COMPUTED_VALUE"""),2.7916666666666665)</f>
        <v>2.791666667</v>
      </c>
      <c r="J269" s="200">
        <f>IFERROR(__xludf.DUMMYFUNCTION("""COMPUTED_VALUE"""),86.0)</f>
        <v>86</v>
      </c>
      <c r="K269" s="200">
        <f>IFERROR(__xludf.DUMMYFUNCTION("""COMPUTED_VALUE"""),40.5)</f>
        <v>40.5</v>
      </c>
      <c r="L269" s="201" t="str">
        <f>IFERROR(__xludf.DUMMYFUNCTION("""COMPUTED_VALUE"""),"Action-Adventure")</f>
        <v>Action-Adventure</v>
      </c>
    </row>
    <row r="270">
      <c r="A270" s="190" t="str">
        <f>IFERROR(__xludf.DUMMYFUNCTION("""COMPUTED_VALUE"""),"Midnight Fight Express")</f>
        <v>Midnight Fight Express</v>
      </c>
      <c r="B270" s="195" t="str">
        <f>IFERROR(__xludf.DUMMYFUNCTION("""COMPUTED_VALUE"""),"Xbox / PC")</f>
        <v>Xbox / PC</v>
      </c>
      <c r="C270" s="195" t="str">
        <f>IFERROR(__xludf.DUMMYFUNCTION("""COMPUTED_VALUE"""),"Yes")</f>
        <v>Yes</v>
      </c>
      <c r="D270" s="196" t="str">
        <f>IFERROR(__xludf.DUMMYFUNCTION("""COMPUTED_VALUE"""),"Removed")</f>
        <v>Removed</v>
      </c>
      <c r="E270" s="197">
        <f>IFERROR(__xludf.DUMMYFUNCTION("""COMPUTED_VALUE"""),44796.0)</f>
        <v>44796</v>
      </c>
      <c r="F270" s="198">
        <f>IFERROR(__xludf.DUMMYFUNCTION("""COMPUTED_VALUE"""),45153.0)</f>
        <v>45153</v>
      </c>
      <c r="G270" s="199">
        <f>IFERROR(__xludf.DUMMYFUNCTION("""COMPUTED_VALUE"""),11.733333333333333)</f>
        <v>11.73333333</v>
      </c>
      <c r="H270" s="210">
        <f>IFERROR(__xludf.DUMMYFUNCTION("""COMPUTED_VALUE"""),44796.0)</f>
        <v>44796</v>
      </c>
      <c r="I270" s="199">
        <f>IFERROR(__xludf.DUMMYFUNCTION("""COMPUTED_VALUE"""),0.0)</f>
        <v>0</v>
      </c>
      <c r="J270" s="200">
        <f>IFERROR(__xludf.DUMMYFUNCTION("""COMPUTED_VALUE"""),75.0)</f>
        <v>75</v>
      </c>
      <c r="K270" s="200">
        <f>IFERROR(__xludf.DUMMYFUNCTION("""COMPUTED_VALUE"""),5.0)</f>
        <v>5</v>
      </c>
      <c r="L270" s="201" t="str">
        <f>IFERROR(__xludf.DUMMYFUNCTION("""COMPUTED_VALUE"""),"Action / Brawler")</f>
        <v>Action / Brawler</v>
      </c>
    </row>
    <row r="271">
      <c r="A271" s="190" t="str">
        <f>IFERROR(__xludf.DUMMYFUNCTION("""COMPUTED_VALUE"""),"Total War: Warhammer III")</f>
        <v>Total War: Warhammer III</v>
      </c>
      <c r="B271" s="195" t="str">
        <f>IFERROR(__xludf.DUMMYFUNCTION("""COMPUTED_VALUE"""),"PC")</f>
        <v>PC</v>
      </c>
      <c r="C271" s="196"/>
      <c r="D271" s="196" t="str">
        <f>IFERROR(__xludf.DUMMYFUNCTION("""COMPUTED_VALUE"""),"Removed")</f>
        <v>Removed</v>
      </c>
      <c r="E271" s="197">
        <f>IFERROR(__xludf.DUMMYFUNCTION("""COMPUTED_VALUE"""),44609.0)</f>
        <v>44609</v>
      </c>
      <c r="F271" s="198">
        <f>IFERROR(__xludf.DUMMYFUNCTION("""COMPUTED_VALUE"""),45153.0)</f>
        <v>45153</v>
      </c>
      <c r="G271" s="199">
        <f>IFERROR(__xludf.DUMMYFUNCTION("""COMPUTED_VALUE"""),17.933333333333334)</f>
        <v>17.93333333</v>
      </c>
      <c r="H271" s="210">
        <f>IFERROR(__xludf.DUMMYFUNCTION("""COMPUTED_VALUE"""),44609.0)</f>
        <v>44609</v>
      </c>
      <c r="I271" s="199">
        <f>IFERROR(__xludf.DUMMYFUNCTION("""COMPUTED_VALUE"""),0.0)</f>
        <v>0</v>
      </c>
      <c r="J271" s="200">
        <f>IFERROR(__xludf.DUMMYFUNCTION("""COMPUTED_VALUE"""),88.0)</f>
        <v>88</v>
      </c>
      <c r="K271" s="200">
        <f>IFERROR(__xludf.DUMMYFUNCTION("""COMPUTED_VALUE"""),28.5)</f>
        <v>28.5</v>
      </c>
      <c r="L271" s="201" t="str">
        <f>IFERROR(__xludf.DUMMYFUNCTION("""COMPUTED_VALUE"""),"Strategy")</f>
        <v>Strategy</v>
      </c>
    </row>
    <row r="272">
      <c r="A272" s="190" t="str">
        <f>IFERROR(__xludf.DUMMYFUNCTION("""COMPUTED_VALUE"""),"Edge of Eternity")</f>
        <v>Edge of Eternity</v>
      </c>
      <c r="B272" s="195" t="str">
        <f>IFERROR(__xludf.DUMMYFUNCTION("""COMPUTED_VALUE"""),"Xbox / PC")</f>
        <v>Xbox / PC</v>
      </c>
      <c r="C272" s="195" t="str">
        <f>IFERROR(__xludf.DUMMYFUNCTION("""COMPUTED_VALUE"""),"Touch Controls")</f>
        <v>Touch Controls</v>
      </c>
      <c r="D272" s="196" t="str">
        <f>IFERROR(__xludf.DUMMYFUNCTION("""COMPUTED_VALUE"""),"Removed")</f>
        <v>Removed</v>
      </c>
      <c r="E272" s="270">
        <f>IFERROR(__xludf.DUMMYFUNCTION("""COMPUTED_VALUE"""),44602.0)</f>
        <v>44602</v>
      </c>
      <c r="F272" s="198">
        <f>IFERROR(__xludf.DUMMYFUNCTION("""COMPUTED_VALUE"""),45153.0)</f>
        <v>45153</v>
      </c>
      <c r="G272" s="199">
        <f>IFERROR(__xludf.DUMMYFUNCTION("""COMPUTED_VALUE"""),18.166666666666664)</f>
        <v>18.16666667</v>
      </c>
      <c r="H272" s="210">
        <f>IFERROR(__xludf.DUMMYFUNCTION("""COMPUTED_VALUE"""),43439.0)</f>
        <v>43439</v>
      </c>
      <c r="I272" s="199">
        <f>IFERROR(__xludf.DUMMYFUNCTION("""COMPUTED_VALUE"""),3.1805555555555554)</f>
        <v>3.180555556</v>
      </c>
      <c r="J272" s="200">
        <f>IFERROR(__xludf.DUMMYFUNCTION("""COMPUTED_VALUE"""),67.0)</f>
        <v>67</v>
      </c>
      <c r="K272" s="200">
        <f>IFERROR(__xludf.DUMMYFUNCTION("""COMPUTED_VALUE"""),30.5)</f>
        <v>30.5</v>
      </c>
      <c r="L272" s="201" t="str">
        <f>IFERROR(__xludf.DUMMYFUNCTION("""COMPUTED_VALUE"""),"RPG / Action-Adventure")</f>
        <v>RPG / Action-Adventure</v>
      </c>
    </row>
    <row r="273">
      <c r="A273" s="190" t="str">
        <f>IFERROR(__xludf.DUMMYFUNCTION("""COMPUTED_VALUE"""),"Expeditions: Rome")</f>
        <v>Expeditions: Rome</v>
      </c>
      <c r="B273" s="195" t="str">
        <f>IFERROR(__xludf.DUMMYFUNCTION("""COMPUTED_VALUE"""),"PC")</f>
        <v>PC</v>
      </c>
      <c r="C273" s="196"/>
      <c r="D273" s="196" t="str">
        <f>IFERROR(__xludf.DUMMYFUNCTION("""COMPUTED_VALUE"""),"Removed")</f>
        <v>Removed</v>
      </c>
      <c r="E273" s="197">
        <f>IFERROR(__xludf.DUMMYFUNCTION("""COMPUTED_VALUE"""),44784.0)</f>
        <v>44784</v>
      </c>
      <c r="F273" s="198">
        <f>IFERROR(__xludf.DUMMYFUNCTION("""COMPUTED_VALUE"""),45138.0)</f>
        <v>45138</v>
      </c>
      <c r="G273" s="199">
        <f>IFERROR(__xludf.DUMMYFUNCTION("""COMPUTED_VALUE"""),11.633333333333333)</f>
        <v>11.63333333</v>
      </c>
      <c r="H273" s="210">
        <f>IFERROR(__xludf.DUMMYFUNCTION("""COMPUTED_VALUE"""),44581.0)</f>
        <v>44581</v>
      </c>
      <c r="I273" s="199">
        <f>IFERROR(__xludf.DUMMYFUNCTION("""COMPUTED_VALUE"""),0.5583333333333333)</f>
        <v>0.5583333333</v>
      </c>
      <c r="J273" s="200">
        <f>IFERROR(__xludf.DUMMYFUNCTION("""COMPUTED_VALUE"""),80.0)</f>
        <v>80</v>
      </c>
      <c r="K273" s="200">
        <f>IFERROR(__xludf.DUMMYFUNCTION("""COMPUTED_VALUE"""),39.0)</f>
        <v>39</v>
      </c>
      <c r="L273" s="201" t="str">
        <f>IFERROR(__xludf.DUMMYFUNCTION("""COMPUTED_VALUE"""),"Strategy / RPG")</f>
        <v>Strategy / RPG</v>
      </c>
    </row>
    <row r="274">
      <c r="A274" s="190" t="str">
        <f>IFERROR(__xludf.DUMMYFUNCTION("""COMPUTED_VALUE"""),"Two Point Campus")</f>
        <v>Two Point Campus</v>
      </c>
      <c r="B274" s="195" t="str">
        <f>IFERROR(__xludf.DUMMYFUNCTION("""COMPUTED_VALUE"""),"Xbox / PC")</f>
        <v>Xbox / PC</v>
      </c>
      <c r="C274" s="195" t="str">
        <f>IFERROR(__xludf.DUMMYFUNCTION("""COMPUTED_VALUE"""),"Touch Controls")</f>
        <v>Touch Controls</v>
      </c>
      <c r="D274" s="196" t="str">
        <f>IFERROR(__xludf.DUMMYFUNCTION("""COMPUTED_VALUE"""),"Removed")</f>
        <v>Removed</v>
      </c>
      <c r="E274" s="197">
        <f>IFERROR(__xludf.DUMMYFUNCTION("""COMPUTED_VALUE"""),44782.0)</f>
        <v>44782</v>
      </c>
      <c r="F274" s="198">
        <f>IFERROR(__xludf.DUMMYFUNCTION("""COMPUTED_VALUE"""),45138.0)</f>
        <v>45138</v>
      </c>
      <c r="G274" s="199">
        <f>IFERROR(__xludf.DUMMYFUNCTION("""COMPUTED_VALUE"""),11.7)</f>
        <v>11.7</v>
      </c>
      <c r="H274" s="210">
        <f>IFERROR(__xludf.DUMMYFUNCTION("""COMPUTED_VALUE"""),44782.0)</f>
        <v>44782</v>
      </c>
      <c r="I274" s="199">
        <f>IFERROR(__xludf.DUMMYFUNCTION("""COMPUTED_VALUE"""),0.0)</f>
        <v>0</v>
      </c>
      <c r="J274" s="200">
        <f>IFERROR(__xludf.DUMMYFUNCTION("""COMPUTED_VALUE"""),84.0)</f>
        <v>84</v>
      </c>
      <c r="K274" s="200">
        <f>IFERROR(__xludf.DUMMYFUNCTION("""COMPUTED_VALUE"""),27.0)</f>
        <v>27</v>
      </c>
      <c r="L274" s="201" t="str">
        <f>IFERROR(__xludf.DUMMYFUNCTION("""COMPUTED_VALUE"""),"Simulation")</f>
        <v>Simulation</v>
      </c>
    </row>
    <row r="275">
      <c r="A275" s="190" t="str">
        <f>IFERROR(__xludf.DUMMYFUNCTION("""COMPUTED_VALUE"""),"Dreamscaper")</f>
        <v>Dreamscaper</v>
      </c>
      <c r="B275" s="195" t="str">
        <f>IFERROR(__xludf.DUMMYFUNCTION("""COMPUTED_VALUE"""),"Xbox / PC")</f>
        <v>Xbox / PC</v>
      </c>
      <c r="C275" s="196" t="str">
        <f>IFERROR(__xludf.DUMMYFUNCTION("""COMPUTED_VALUE"""),"Touch Controls")</f>
        <v>Touch Controls</v>
      </c>
      <c r="D275" s="196" t="str">
        <f>IFERROR(__xludf.DUMMYFUNCTION("""COMPUTED_VALUE"""),"Removed")</f>
        <v>Removed</v>
      </c>
      <c r="E275" s="197">
        <f>IFERROR(__xludf.DUMMYFUNCTION("""COMPUTED_VALUE"""),44595.0)</f>
        <v>44595</v>
      </c>
      <c r="F275" s="198">
        <f>IFERROR(__xludf.DUMMYFUNCTION("""COMPUTED_VALUE"""),45138.0)</f>
        <v>45138</v>
      </c>
      <c r="G275" s="199">
        <f>IFERROR(__xludf.DUMMYFUNCTION("""COMPUTED_VALUE"""),17.9)</f>
        <v>17.9</v>
      </c>
      <c r="H275" s="210">
        <f>IFERROR(__xludf.DUMMYFUNCTION("""COMPUTED_VALUE"""),44057.0)</f>
        <v>44057</v>
      </c>
      <c r="I275" s="199">
        <f>IFERROR(__xludf.DUMMYFUNCTION("""COMPUTED_VALUE"""),1.4694444444444446)</f>
        <v>1.469444444</v>
      </c>
      <c r="J275" s="200">
        <f>IFERROR(__xludf.DUMMYFUNCTION("""COMPUTED_VALUE"""),80.0)</f>
        <v>80</v>
      </c>
      <c r="K275" s="200">
        <f>IFERROR(__xludf.DUMMYFUNCTION("""COMPUTED_VALUE"""),12.0)</f>
        <v>12</v>
      </c>
      <c r="L275" s="201" t="str">
        <f>IFERROR(__xludf.DUMMYFUNCTION("""COMPUTED_VALUE"""),"RPG / Brawler / Action-Adventure")</f>
        <v>RPG / Brawler / Action-Adventure</v>
      </c>
    </row>
    <row r="276">
      <c r="A276" s="190" t="str">
        <f>IFERROR(__xludf.DUMMYFUNCTION("""COMPUTED_VALUE"""),"Marvel's Avengers")</f>
        <v>Marvel's Avengers</v>
      </c>
      <c r="B276" s="195" t="str">
        <f>IFERROR(__xludf.DUMMYFUNCTION("""COMPUTED_VALUE"""),"Xbox / PC")</f>
        <v>Xbox / PC</v>
      </c>
      <c r="C276" s="196" t="str">
        <f>IFERROR(__xludf.DUMMYFUNCTION("""COMPUTED_VALUE"""),"Yes")</f>
        <v>Yes</v>
      </c>
      <c r="D276" s="196" t="str">
        <f>IFERROR(__xludf.DUMMYFUNCTION("""COMPUTED_VALUE"""),"Removed")</f>
        <v>Removed</v>
      </c>
      <c r="E276" s="197">
        <f>IFERROR(__xludf.DUMMYFUNCTION("""COMPUTED_VALUE"""),44469.0)</f>
        <v>44469</v>
      </c>
      <c r="F276" s="198">
        <f>IFERROR(__xludf.DUMMYFUNCTION("""COMPUTED_VALUE"""),45138.0)</f>
        <v>45138</v>
      </c>
      <c r="G276" s="199">
        <f>IFERROR(__xludf.DUMMYFUNCTION("""COMPUTED_VALUE"""),22.0)</f>
        <v>22</v>
      </c>
      <c r="H276" s="210">
        <f>IFERROR(__xludf.DUMMYFUNCTION("""COMPUTED_VALUE"""),44078.0)</f>
        <v>44078</v>
      </c>
      <c r="I276" s="199">
        <f>IFERROR(__xludf.DUMMYFUNCTION("""COMPUTED_VALUE"""),1.0722222222222222)</f>
        <v>1.072222222</v>
      </c>
      <c r="J276" s="200">
        <f>IFERROR(__xludf.DUMMYFUNCTION("""COMPUTED_VALUE"""),67.0)</f>
        <v>67</v>
      </c>
      <c r="K276" s="200">
        <f>IFERROR(__xludf.DUMMYFUNCTION("""COMPUTED_VALUE"""),11.5)</f>
        <v>11.5</v>
      </c>
      <c r="L276" s="201" t="str">
        <f>IFERROR(__xludf.DUMMYFUNCTION("""COMPUTED_VALUE"""),"Action / RPG / Brawler")</f>
        <v>Action / RPG / Brawler</v>
      </c>
    </row>
    <row r="277">
      <c r="A277" s="190" t="str">
        <f>IFERROR(__xludf.DUMMYFUNCTION("""COMPUTED_VALUE"""),"PAW Patrol The Movie: Adventure City Calls")</f>
        <v>PAW Patrol The Movie: Adventure City Calls</v>
      </c>
      <c r="B277" s="195" t="str">
        <f>IFERROR(__xludf.DUMMYFUNCTION("""COMPUTED_VALUE"""),"Xbox / PC")</f>
        <v>Xbox / PC</v>
      </c>
      <c r="C277" s="195" t="str">
        <f>IFERROR(__xludf.DUMMYFUNCTION("""COMPUTED_VALUE"""),"Touch Controls")</f>
        <v>Touch Controls</v>
      </c>
      <c r="D277" s="196" t="str">
        <f>IFERROR(__xludf.DUMMYFUNCTION("""COMPUTED_VALUE"""),"Removed")</f>
        <v>Removed</v>
      </c>
      <c r="E277" s="197">
        <f>IFERROR(__xludf.DUMMYFUNCTION("""COMPUTED_VALUE"""),44756.0)</f>
        <v>44756</v>
      </c>
      <c r="F277" s="198">
        <f>IFERROR(__xludf.DUMMYFUNCTION("""COMPUTED_VALUE"""),45122.0)</f>
        <v>45122</v>
      </c>
      <c r="G277" s="199">
        <f>IFERROR(__xludf.DUMMYFUNCTION("""COMPUTED_VALUE"""),12.033333333333333)</f>
        <v>12.03333333</v>
      </c>
      <c r="H277" s="210">
        <f>IFERROR(__xludf.DUMMYFUNCTION("""COMPUTED_VALUE"""),44421.0)</f>
        <v>44421</v>
      </c>
      <c r="I277" s="199">
        <f>IFERROR(__xludf.DUMMYFUNCTION("""COMPUTED_VALUE"""),0.9194444444444444)</f>
        <v>0.9194444444</v>
      </c>
      <c r="J277" s="200">
        <f>IFERROR(__xludf.DUMMYFUNCTION("""COMPUTED_VALUE"""),40.0)</f>
        <v>40</v>
      </c>
      <c r="K277" s="200">
        <f>IFERROR(__xludf.DUMMYFUNCTION("""COMPUTED_VALUE"""),2.0)</f>
        <v>2</v>
      </c>
      <c r="L277" s="201" t="str">
        <f>IFERROR(__xludf.DUMMYFUNCTION("""COMPUTED_VALUE"""),"Action")</f>
        <v>Action</v>
      </c>
    </row>
    <row r="278">
      <c r="A278" s="190" t="str">
        <f>IFERROR(__xludf.DUMMYFUNCTION("""COMPUTED_VALUE"""),"Spelunky 2")</f>
        <v>Spelunky 2</v>
      </c>
      <c r="B278" s="195" t="str">
        <f>IFERROR(__xludf.DUMMYFUNCTION("""COMPUTED_VALUE"""),"Xbox / PC")</f>
        <v>Xbox / PC</v>
      </c>
      <c r="C278" s="195" t="str">
        <f>IFERROR(__xludf.DUMMYFUNCTION("""COMPUTED_VALUE"""),"Touch Controls")</f>
        <v>Touch Controls</v>
      </c>
      <c r="D278" s="196" t="str">
        <f>IFERROR(__xludf.DUMMYFUNCTION("""COMPUTED_VALUE"""),"Removed")</f>
        <v>Removed</v>
      </c>
      <c r="E278" s="197">
        <f>IFERROR(__xludf.DUMMYFUNCTION("""COMPUTED_VALUE"""),44574.0)</f>
        <v>44574</v>
      </c>
      <c r="F278" s="198">
        <f>IFERROR(__xludf.DUMMYFUNCTION("""COMPUTED_VALUE"""),45122.0)</f>
        <v>45122</v>
      </c>
      <c r="G278" s="199">
        <f>IFERROR(__xludf.DUMMYFUNCTION("""COMPUTED_VALUE"""),18.066666666666666)</f>
        <v>18.06666667</v>
      </c>
      <c r="H278" s="210">
        <f>IFERROR(__xludf.DUMMYFUNCTION("""COMPUTED_VALUE"""),44089.0)</f>
        <v>44089</v>
      </c>
      <c r="I278" s="199">
        <f>IFERROR(__xludf.DUMMYFUNCTION("""COMPUTED_VALUE"""),1.3277777777777777)</f>
        <v>1.327777778</v>
      </c>
      <c r="J278" s="200">
        <f>IFERROR(__xludf.DUMMYFUNCTION("""COMPUTED_VALUE"""),89.0)</f>
        <v>89</v>
      </c>
      <c r="K278" s="200">
        <f>IFERROR(__xludf.DUMMYFUNCTION("""COMPUTED_VALUE"""),28.0)</f>
        <v>28</v>
      </c>
      <c r="L278" s="201" t="str">
        <f>IFERROR(__xludf.DUMMYFUNCTION("""COMPUTED_VALUE"""),"Platformer / Action-Adventure")</f>
        <v>Platformer / Action-Adventure</v>
      </c>
    </row>
    <row r="279">
      <c r="A279" s="190" t="str">
        <f>IFERROR(__xludf.DUMMYFUNCTION("""COMPUTED_VALUE"""),"Exo One")</f>
        <v>Exo One</v>
      </c>
      <c r="B279" s="195" t="str">
        <f>IFERROR(__xludf.DUMMYFUNCTION("""COMPUTED_VALUE"""),"Xbox / PC")</f>
        <v>Xbox / PC</v>
      </c>
      <c r="C279" s="195" t="str">
        <f>IFERROR(__xludf.DUMMYFUNCTION("""COMPUTED_VALUE"""),"Touch Controls")</f>
        <v>Touch Controls</v>
      </c>
      <c r="D279" s="196" t="str">
        <f>IFERROR(__xludf.DUMMYFUNCTION("""COMPUTED_VALUE"""),"Removed")</f>
        <v>Removed</v>
      </c>
      <c r="E279" s="197">
        <f>IFERROR(__xludf.DUMMYFUNCTION("""COMPUTED_VALUE"""),44518.0)</f>
        <v>44518</v>
      </c>
      <c r="F279" s="198">
        <f>IFERROR(__xludf.DUMMYFUNCTION("""COMPUTED_VALUE"""),45122.0)</f>
        <v>45122</v>
      </c>
      <c r="G279" s="199">
        <f>IFERROR(__xludf.DUMMYFUNCTION("""COMPUTED_VALUE"""),19.900000000000002)</f>
        <v>19.9</v>
      </c>
      <c r="H279" s="210">
        <f>IFERROR(__xludf.DUMMYFUNCTION("""COMPUTED_VALUE"""),44518.0)</f>
        <v>44518</v>
      </c>
      <c r="I279" s="199">
        <f>IFERROR(__xludf.DUMMYFUNCTION("""COMPUTED_VALUE"""),0.0)</f>
        <v>0</v>
      </c>
      <c r="J279" s="200">
        <f>IFERROR(__xludf.DUMMYFUNCTION("""COMPUTED_VALUE"""),79.5)</f>
        <v>79.5</v>
      </c>
      <c r="K279" s="200">
        <f>IFERROR(__xludf.DUMMYFUNCTION("""COMPUTED_VALUE"""),2.0)</f>
        <v>2</v>
      </c>
      <c r="L279" s="201" t="str">
        <f>IFERROR(__xludf.DUMMYFUNCTION("""COMPUTED_VALUE"""),"Adventure / Simulation / Puzzle")</f>
        <v>Adventure / Simulation / Puzzle</v>
      </c>
    </row>
    <row r="280">
      <c r="A280" s="190" t="str">
        <f>IFERROR(__xludf.DUMMYFUNCTION("""COMPUTED_VALUE"""),"DJMax Respect V")</f>
        <v>DJMax Respect V</v>
      </c>
      <c r="B280" s="195" t="str">
        <f>IFERROR(__xludf.DUMMYFUNCTION("""COMPUTED_VALUE"""),"Xbox / PC")</f>
        <v>Xbox / PC</v>
      </c>
      <c r="C280" s="195" t="str">
        <f>IFERROR(__xludf.DUMMYFUNCTION("""COMPUTED_VALUE"""),"Yes")</f>
        <v>Yes</v>
      </c>
      <c r="D280" s="196" t="str">
        <f>IFERROR(__xludf.DUMMYFUNCTION("""COMPUTED_VALUE"""),"Removed")</f>
        <v>Removed</v>
      </c>
      <c r="E280" s="197">
        <f>IFERROR(__xludf.DUMMYFUNCTION("""COMPUTED_VALUE"""),44749.0)</f>
        <v>44749</v>
      </c>
      <c r="F280" s="198">
        <f>IFERROR(__xludf.DUMMYFUNCTION("""COMPUTED_VALUE"""),45107.0)</f>
        <v>45107</v>
      </c>
      <c r="G280" s="199">
        <f>IFERROR(__xludf.DUMMYFUNCTION("""COMPUTED_VALUE"""),11.766666666666666)</f>
        <v>11.76666667</v>
      </c>
      <c r="H280" s="210">
        <f>IFERROR(__xludf.DUMMYFUNCTION("""COMPUTED_VALUE"""),43817.0)</f>
        <v>43817</v>
      </c>
      <c r="I280" s="199">
        <f>IFERROR(__xludf.DUMMYFUNCTION("""COMPUTED_VALUE"""),2.5527777777777776)</f>
        <v>2.552777778</v>
      </c>
      <c r="J280" s="200">
        <f>IFERROR(__xludf.DUMMYFUNCTION("""COMPUTED_VALUE"""),75.0)</f>
        <v>75</v>
      </c>
      <c r="K280" s="200">
        <f>IFERROR(__xludf.DUMMYFUNCTION("""COMPUTED_VALUE"""),44.0)</f>
        <v>44</v>
      </c>
      <c r="L280" s="201" t="str">
        <f>IFERROR(__xludf.DUMMYFUNCTION("""COMPUTED_VALUE"""),"Music/Rhythm")</f>
        <v>Music/Rhythm</v>
      </c>
    </row>
    <row r="281">
      <c r="A281" s="190" t="str">
        <f>IFERROR(__xludf.DUMMYFUNCTION("""COMPUTED_VALUE"""),"Matchpoint: Tennis Championships")</f>
        <v>Matchpoint: Tennis Championships</v>
      </c>
      <c r="B281" s="195" t="str">
        <f>IFERROR(__xludf.DUMMYFUNCTION("""COMPUTED_VALUE"""),"Xbox / PC")</f>
        <v>Xbox / PC</v>
      </c>
      <c r="C281" s="195" t="str">
        <f>IFERROR(__xludf.DUMMYFUNCTION("""COMPUTED_VALUE"""),"Touch Controls")</f>
        <v>Touch Controls</v>
      </c>
      <c r="D281" s="196" t="str">
        <f>IFERROR(__xludf.DUMMYFUNCTION("""COMPUTED_VALUE"""),"Removed")</f>
        <v>Removed</v>
      </c>
      <c r="E281" s="197">
        <f>IFERROR(__xludf.DUMMYFUNCTION("""COMPUTED_VALUE"""),44749.0)</f>
        <v>44749</v>
      </c>
      <c r="F281" s="198">
        <f>IFERROR(__xludf.DUMMYFUNCTION("""COMPUTED_VALUE"""),45107.0)</f>
        <v>45107</v>
      </c>
      <c r="G281" s="199">
        <f>IFERROR(__xludf.DUMMYFUNCTION("""COMPUTED_VALUE"""),11.766666666666666)</f>
        <v>11.76666667</v>
      </c>
      <c r="H281" s="210">
        <f>IFERROR(__xludf.DUMMYFUNCTION("""COMPUTED_VALUE"""),44749.0)</f>
        <v>44749</v>
      </c>
      <c r="I281" s="199">
        <f>IFERROR(__xludf.DUMMYFUNCTION("""COMPUTED_VALUE"""),0.0)</f>
        <v>0</v>
      </c>
      <c r="J281" s="200">
        <f>IFERROR(__xludf.DUMMYFUNCTION("""COMPUTED_VALUE"""),60.0)</f>
        <v>60</v>
      </c>
      <c r="K281" s="200">
        <f>IFERROR(__xludf.DUMMYFUNCTION("""COMPUTED_VALUE"""),10.5)</f>
        <v>10.5</v>
      </c>
      <c r="L281" s="201" t="str">
        <f>IFERROR(__xludf.DUMMYFUNCTION("""COMPUTED_VALUE"""),"Sports / Tennis")</f>
        <v>Sports / Tennis</v>
      </c>
    </row>
    <row r="282">
      <c r="A282" s="190" t="str">
        <f>IFERROR(__xludf.DUMMYFUNCTION("""COMPUTED_VALUE"""),"OMORI")</f>
        <v>OMORI</v>
      </c>
      <c r="B282" s="195" t="str">
        <f>IFERROR(__xludf.DUMMYFUNCTION("""COMPUTED_VALUE"""),"Xbox / PC")</f>
        <v>Xbox / PC</v>
      </c>
      <c r="C282" s="195" t="str">
        <f>IFERROR(__xludf.DUMMYFUNCTION("""COMPUTED_VALUE"""),"Yes")</f>
        <v>Yes</v>
      </c>
      <c r="D282" s="196" t="str">
        <f>IFERROR(__xludf.DUMMYFUNCTION("""COMPUTED_VALUE"""),"Removed")</f>
        <v>Removed</v>
      </c>
      <c r="E282" s="197">
        <f>IFERROR(__xludf.DUMMYFUNCTION("""COMPUTED_VALUE"""),44728.0)</f>
        <v>44728</v>
      </c>
      <c r="F282" s="198">
        <f>IFERROR(__xludf.DUMMYFUNCTION("""COMPUTED_VALUE"""),45107.0)</f>
        <v>45107</v>
      </c>
      <c r="G282" s="199">
        <f>IFERROR(__xludf.DUMMYFUNCTION("""COMPUTED_VALUE"""),12.466666666666669)</f>
        <v>12.46666667</v>
      </c>
      <c r="H282" s="210">
        <f>IFERROR(__xludf.DUMMYFUNCTION("""COMPUTED_VALUE"""),44190.0)</f>
        <v>44190</v>
      </c>
      <c r="I282" s="199">
        <f>IFERROR(__xludf.DUMMYFUNCTION("""COMPUTED_VALUE"""),1.475)</f>
        <v>1.475</v>
      </c>
      <c r="J282" s="200">
        <f>IFERROR(__xludf.DUMMYFUNCTION("""COMPUTED_VALUE"""),87.0)</f>
        <v>87</v>
      </c>
      <c r="K282" s="200">
        <f>IFERROR(__xludf.DUMMYFUNCTION("""COMPUTED_VALUE"""),20.5)</f>
        <v>20.5</v>
      </c>
      <c r="L282" s="201" t="str">
        <f>IFERROR(__xludf.DUMMYFUNCTION("""COMPUTED_VALUE"""),"RPG")</f>
        <v>RPG</v>
      </c>
    </row>
    <row r="283">
      <c r="A283" s="190" t="str">
        <f>IFERROR(__xludf.DUMMYFUNCTION("""COMPUTED_VALUE"""),"Olija")</f>
        <v>Olija</v>
      </c>
      <c r="B283" s="195" t="str">
        <f>IFERROR(__xludf.DUMMYFUNCTION("""COMPUTED_VALUE"""),"Xbox / PC")</f>
        <v>Xbox / PC</v>
      </c>
      <c r="C283" s="195" t="str">
        <f>IFERROR(__xludf.DUMMYFUNCTION("""COMPUTED_VALUE"""),"Yes")</f>
        <v>Yes</v>
      </c>
      <c r="D283" s="196" t="str">
        <f>IFERROR(__xludf.DUMMYFUNCTION("""COMPUTED_VALUE"""),"Removed")</f>
        <v>Removed</v>
      </c>
      <c r="E283" s="197">
        <f>IFERROR(__xludf.DUMMYFUNCTION("""COMPUTED_VALUE"""),44565.0)</f>
        <v>44565</v>
      </c>
      <c r="F283" s="198">
        <f>IFERROR(__xludf.DUMMYFUNCTION("""COMPUTED_VALUE"""),45107.0)</f>
        <v>45107</v>
      </c>
      <c r="G283" s="199">
        <f>IFERROR(__xludf.DUMMYFUNCTION("""COMPUTED_VALUE"""),17.866666666666667)</f>
        <v>17.86666667</v>
      </c>
      <c r="H283" s="210">
        <f>IFERROR(__xludf.DUMMYFUNCTION("""COMPUTED_VALUE"""),44224.0)</f>
        <v>44224</v>
      </c>
      <c r="I283" s="199">
        <f>IFERROR(__xludf.DUMMYFUNCTION("""COMPUTED_VALUE"""),0.9333333333333333)</f>
        <v>0.9333333333</v>
      </c>
      <c r="J283" s="200">
        <f>IFERROR(__xludf.DUMMYFUNCTION("""COMPUTED_VALUE"""),78.0)</f>
        <v>78</v>
      </c>
      <c r="K283" s="200">
        <f>IFERROR(__xludf.DUMMYFUNCTION("""COMPUTED_VALUE"""),5.0)</f>
        <v>5</v>
      </c>
      <c r="L283" s="201" t="str">
        <f>IFERROR(__xludf.DUMMYFUNCTION("""COMPUTED_VALUE"""),"Action-Adventure")</f>
        <v>Action-Adventure</v>
      </c>
    </row>
    <row r="284">
      <c r="A284" s="190" t="str">
        <f>IFERROR(__xludf.DUMMYFUNCTION("""COMPUTED_VALUE"""),"Empire of Sin")</f>
        <v>Empire of Sin</v>
      </c>
      <c r="B284" s="195" t="str">
        <f>IFERROR(__xludf.DUMMYFUNCTION("""COMPUTED_VALUE"""),"Xbox / PC")</f>
        <v>Xbox / PC</v>
      </c>
      <c r="C284" s="195" t="str">
        <f>IFERROR(__xludf.DUMMYFUNCTION("""COMPUTED_VALUE"""),"Touch Controls")</f>
        <v>Touch Controls</v>
      </c>
      <c r="D284" s="196" t="str">
        <f>IFERROR(__xludf.DUMMYFUNCTION("""COMPUTED_VALUE"""),"Removed")</f>
        <v>Removed</v>
      </c>
      <c r="E284" s="197">
        <f>IFERROR(__xludf.DUMMYFUNCTION("""COMPUTED_VALUE"""),44273.0)</f>
        <v>44273</v>
      </c>
      <c r="F284" s="198">
        <f>IFERROR(__xludf.DUMMYFUNCTION("""COMPUTED_VALUE"""),45107.0)</f>
        <v>45107</v>
      </c>
      <c r="G284" s="199">
        <f>IFERROR(__xludf.DUMMYFUNCTION("""COMPUTED_VALUE"""),27.4)</f>
        <v>27.4</v>
      </c>
      <c r="H284" s="210">
        <f>IFERROR(__xludf.DUMMYFUNCTION("""COMPUTED_VALUE"""),44166.0)</f>
        <v>44166</v>
      </c>
      <c r="I284" s="199">
        <f>IFERROR(__xludf.DUMMYFUNCTION("""COMPUTED_VALUE"""),0.2972222222222222)</f>
        <v>0.2972222222</v>
      </c>
      <c r="J284" s="200">
        <f>IFERROR(__xludf.DUMMYFUNCTION("""COMPUTED_VALUE"""),65.5)</f>
        <v>65.5</v>
      </c>
      <c r="K284" s="200">
        <f>IFERROR(__xludf.DUMMYFUNCTION("""COMPUTED_VALUE"""),8.0)</f>
        <v>8</v>
      </c>
      <c r="L284" s="201" t="str">
        <f>IFERROR(__xludf.DUMMYFUNCTION("""COMPUTED_VALUE"""),"Strategy / RPG")</f>
        <v>Strategy / RPG</v>
      </c>
    </row>
    <row r="285">
      <c r="A285" s="190" t="str">
        <f>IFERROR(__xludf.DUMMYFUNCTION("""COMPUTED_VALUE"""),"Mortal Shell: Enhanced Edition")</f>
        <v>Mortal Shell: Enhanced Edition</v>
      </c>
      <c r="B285" s="195" t="str">
        <f>IFERROR(__xludf.DUMMYFUNCTION("""COMPUTED_VALUE"""),"Xbox / PC")</f>
        <v>Xbox / PC</v>
      </c>
      <c r="C285" s="195" t="str">
        <f>IFERROR(__xludf.DUMMYFUNCTION("""COMPUTED_VALUE"""),"Yes")</f>
        <v>Yes</v>
      </c>
      <c r="D285" s="196" t="str">
        <f>IFERROR(__xludf.DUMMYFUNCTION("""COMPUTED_VALUE"""),"Removed")</f>
        <v>Removed</v>
      </c>
      <c r="E285" s="197">
        <f>IFERROR(__xludf.DUMMYFUNCTION("""COMPUTED_VALUE"""),44931.0)</f>
        <v>44931</v>
      </c>
      <c r="F285" s="198">
        <f>IFERROR(__xludf.DUMMYFUNCTION("""COMPUTED_VALUE"""),45092.0)</f>
        <v>45092</v>
      </c>
      <c r="G285" s="199">
        <f>IFERROR(__xludf.DUMMYFUNCTION("""COMPUTED_VALUE"""),5.333333333333333)</f>
        <v>5.333333333</v>
      </c>
      <c r="H285" s="210">
        <f>IFERROR(__xludf.DUMMYFUNCTION("""COMPUTED_VALUE"""),44061.0)</f>
        <v>44061</v>
      </c>
      <c r="I285" s="199">
        <f>IFERROR(__xludf.DUMMYFUNCTION("""COMPUTED_VALUE"""),2.3805555555555555)</f>
        <v>2.380555556</v>
      </c>
      <c r="J285" s="200">
        <f>IFERROR(__xludf.DUMMYFUNCTION("""COMPUTED_VALUE"""),76.0)</f>
        <v>76</v>
      </c>
      <c r="K285" s="200">
        <f>IFERROR(__xludf.DUMMYFUNCTION("""COMPUTED_VALUE"""),10.0)</f>
        <v>10</v>
      </c>
      <c r="L285" s="201" t="str">
        <f>IFERROR(__xludf.DUMMYFUNCTION("""COMPUTED_VALUE"""),"Action / RPG")</f>
        <v>Action / RPG</v>
      </c>
    </row>
    <row r="286">
      <c r="A286" s="190" t="str">
        <f>IFERROR(__xludf.DUMMYFUNCTION("""COMPUTED_VALUE"""),"Total War: Three Kingdoms")</f>
        <v>Total War: Three Kingdoms</v>
      </c>
      <c r="B286" s="195" t="str">
        <f>IFERROR(__xludf.DUMMYFUNCTION("""COMPUTED_VALUE"""),"PC")</f>
        <v>PC</v>
      </c>
      <c r="C286" s="195"/>
      <c r="D286" s="196" t="str">
        <f>IFERROR(__xludf.DUMMYFUNCTION("""COMPUTED_VALUE"""),"Removed")</f>
        <v>Removed</v>
      </c>
      <c r="E286" s="197">
        <f>IFERROR(__xludf.DUMMYFUNCTION("""COMPUTED_VALUE"""),44733.0)</f>
        <v>44733</v>
      </c>
      <c r="F286" s="198">
        <f>IFERROR(__xludf.DUMMYFUNCTION("""COMPUTED_VALUE"""),45092.0)</f>
        <v>45092</v>
      </c>
      <c r="G286" s="199">
        <f>IFERROR(__xludf.DUMMYFUNCTION("""COMPUTED_VALUE"""),11.799999999999999)</f>
        <v>11.8</v>
      </c>
      <c r="H286" s="210">
        <f>IFERROR(__xludf.DUMMYFUNCTION("""COMPUTED_VALUE"""),43608.0)</f>
        <v>43608</v>
      </c>
      <c r="I286" s="199">
        <f>IFERROR(__xludf.DUMMYFUNCTION("""COMPUTED_VALUE"""),3.077777777777778)</f>
        <v>3.077777778</v>
      </c>
      <c r="J286" s="200">
        <f>IFERROR(__xludf.DUMMYFUNCTION("""COMPUTED_VALUE"""),85.0)</f>
        <v>85</v>
      </c>
      <c r="K286" s="200">
        <f>IFERROR(__xludf.DUMMYFUNCTION("""COMPUTED_VALUE"""),48.0)</f>
        <v>48</v>
      </c>
      <c r="L286" s="201" t="str">
        <f>IFERROR(__xludf.DUMMYFUNCTION("""COMPUTED_VALUE"""),"Strategy")</f>
        <v>Strategy</v>
      </c>
    </row>
    <row r="287">
      <c r="A287" s="190" t="str">
        <f>IFERROR(__xludf.DUMMYFUNCTION("""COMPUTED_VALUE"""),"Chorus")</f>
        <v>Chorus</v>
      </c>
      <c r="B287" s="195" t="str">
        <f>IFERROR(__xludf.DUMMYFUNCTION("""COMPUTED_VALUE"""),"Xbox / PC")</f>
        <v>Xbox / PC</v>
      </c>
      <c r="C287" s="195" t="str">
        <f>IFERROR(__xludf.DUMMYFUNCTION("""COMPUTED_VALUE"""),"Touch Controls")</f>
        <v>Touch Controls</v>
      </c>
      <c r="D287" s="196" t="str">
        <f>IFERROR(__xludf.DUMMYFUNCTION("""COMPUTED_VALUE"""),"Removed")</f>
        <v>Removed</v>
      </c>
      <c r="E287" s="197">
        <f>IFERROR(__xludf.DUMMYFUNCTION("""COMPUTED_VALUE"""),44719.0)</f>
        <v>44719</v>
      </c>
      <c r="F287" s="198">
        <f>IFERROR(__xludf.DUMMYFUNCTION("""COMPUTED_VALUE"""),45092.0)</f>
        <v>45092</v>
      </c>
      <c r="G287" s="199">
        <f>IFERROR(__xludf.DUMMYFUNCTION("""COMPUTED_VALUE"""),12.266666666666666)</f>
        <v>12.26666667</v>
      </c>
      <c r="H287" s="210">
        <f>IFERROR(__xludf.DUMMYFUNCTION("""COMPUTED_VALUE"""),44533.0)</f>
        <v>44533</v>
      </c>
      <c r="I287" s="199">
        <f>IFERROR(__xludf.DUMMYFUNCTION("""COMPUTED_VALUE"""),0.5111111111111111)</f>
        <v>0.5111111111</v>
      </c>
      <c r="J287" s="200">
        <f>IFERROR(__xludf.DUMMYFUNCTION("""COMPUTED_VALUE"""),78.0)</f>
        <v>78</v>
      </c>
      <c r="K287" s="200">
        <f>IFERROR(__xludf.DUMMYFUNCTION("""COMPUTED_VALUE"""),14.5)</f>
        <v>14.5</v>
      </c>
      <c r="L287" s="201" t="str">
        <f>IFERROR(__xludf.DUMMYFUNCTION("""COMPUTED_VALUE"""),"Action")</f>
        <v>Action</v>
      </c>
    </row>
    <row r="288">
      <c r="A288" s="190" t="str">
        <f>IFERROR(__xludf.DUMMYFUNCTION("""COMPUTED_VALUE"""),"Serious Sam 4")</f>
        <v>Serious Sam 4</v>
      </c>
      <c r="B288" s="195" t="str">
        <f>IFERROR(__xludf.DUMMYFUNCTION("""COMPUTED_VALUE"""),"Xbox / PC")</f>
        <v>Xbox / PC</v>
      </c>
      <c r="C288" s="196" t="str">
        <f>IFERROR(__xludf.DUMMYFUNCTION("""COMPUTED_VALUE"""),"Yes")</f>
        <v>Yes</v>
      </c>
      <c r="D288" s="196" t="str">
        <f>IFERROR(__xludf.DUMMYFUNCTION("""COMPUTED_VALUE"""),"Removed")</f>
        <v>Removed</v>
      </c>
      <c r="E288" s="197">
        <f>IFERROR(__xludf.DUMMYFUNCTION("""COMPUTED_VALUE"""),44537.0)</f>
        <v>44537</v>
      </c>
      <c r="F288" s="198">
        <f>IFERROR(__xludf.DUMMYFUNCTION("""COMPUTED_VALUE"""),45092.0)</f>
        <v>45092</v>
      </c>
      <c r="G288" s="199">
        <f>IFERROR(__xludf.DUMMYFUNCTION("""COMPUTED_VALUE"""),18.266666666666666)</f>
        <v>18.26666667</v>
      </c>
      <c r="H288" s="210">
        <f>IFERROR(__xludf.DUMMYFUNCTION("""COMPUTED_VALUE"""),44098.0)</f>
        <v>44098</v>
      </c>
      <c r="I288" s="199">
        <f>IFERROR(__xludf.DUMMYFUNCTION("""COMPUTED_VALUE"""),1.2027777777777777)</f>
        <v>1.202777778</v>
      </c>
      <c r="J288" s="200">
        <f>IFERROR(__xludf.DUMMYFUNCTION("""COMPUTED_VALUE"""),68.0)</f>
        <v>68</v>
      </c>
      <c r="K288" s="200">
        <f>IFERROR(__xludf.DUMMYFUNCTION("""COMPUTED_VALUE"""),9.5)</f>
        <v>9.5</v>
      </c>
      <c r="L288" s="265" t="str">
        <f>IFERROR(__xludf.DUMMYFUNCTION("""COMPUTED_VALUE"""),"First-Person Shooter")</f>
        <v>First-Person Shooter</v>
      </c>
    </row>
    <row r="289">
      <c r="A289" s="190" t="str">
        <f>IFERROR(__xludf.DUMMYFUNCTION("""COMPUTED_VALUE"""),"Bridge Constructor: Portal")</f>
        <v>Bridge Constructor: Portal</v>
      </c>
      <c r="B289" s="195" t="str">
        <f>IFERROR(__xludf.DUMMYFUNCTION("""COMPUTED_VALUE"""),"Xbox / PC")</f>
        <v>Xbox / PC</v>
      </c>
      <c r="C289" s="195" t="str">
        <f>IFERROR(__xludf.DUMMYFUNCTION("""COMPUTED_VALUE"""),"Touch Controls")</f>
        <v>Touch Controls</v>
      </c>
      <c r="D289" s="196" t="str">
        <f>IFERROR(__xludf.DUMMYFUNCTION("""COMPUTED_VALUE"""),"Removed")</f>
        <v>Removed</v>
      </c>
      <c r="E289" s="197">
        <f>IFERROR(__xludf.DUMMYFUNCTION("""COMPUTED_VALUE"""),43625.0)</f>
        <v>43625</v>
      </c>
      <c r="F289" s="198">
        <f>IFERROR(__xludf.DUMMYFUNCTION("""COMPUTED_VALUE"""),45092.0)</f>
        <v>45092</v>
      </c>
      <c r="G289" s="199">
        <f>IFERROR(__xludf.DUMMYFUNCTION("""COMPUTED_VALUE"""),48.2)</f>
        <v>48.2</v>
      </c>
      <c r="H289" s="197">
        <f>IFERROR(__xludf.DUMMYFUNCTION("""COMPUTED_VALUE"""),43089.0)</f>
        <v>43089</v>
      </c>
      <c r="I289" s="199">
        <f>IFERROR(__xludf.DUMMYFUNCTION("""COMPUTED_VALUE"""),1.4694444444444446)</f>
        <v>1.469444444</v>
      </c>
      <c r="J289" s="200">
        <f>IFERROR(__xludf.DUMMYFUNCTION("""COMPUTED_VALUE"""),78.0)</f>
        <v>78</v>
      </c>
      <c r="K289" s="200">
        <f>IFERROR(__xludf.DUMMYFUNCTION("""COMPUTED_VALUE"""),13.5)</f>
        <v>13.5</v>
      </c>
      <c r="L289" s="201" t="str">
        <f>IFERROR(__xludf.DUMMYFUNCTION("""COMPUTED_VALUE"""),"Puzzle")</f>
        <v>Puzzle</v>
      </c>
    </row>
    <row r="290">
      <c r="A290" s="190" t="str">
        <f>IFERROR(__xludf.DUMMYFUNCTION("""COMPUTED_VALUE"""),"Floppy Knights")</f>
        <v>Floppy Knights</v>
      </c>
      <c r="B290" s="195" t="str">
        <f>IFERROR(__xludf.DUMMYFUNCTION("""COMPUTED_VALUE"""),"Xbox / PC")</f>
        <v>Xbox / PC</v>
      </c>
      <c r="C290" s="196" t="str">
        <f>IFERROR(__xludf.DUMMYFUNCTION("""COMPUTED_VALUE"""),"Touch Controls")</f>
        <v>Touch Controls</v>
      </c>
      <c r="D290" s="196" t="str">
        <f>IFERROR(__xludf.DUMMYFUNCTION("""COMPUTED_VALUE"""),"Removed")</f>
        <v>Removed</v>
      </c>
      <c r="E290" s="197">
        <f>IFERROR(__xludf.DUMMYFUNCTION("""COMPUTED_VALUE"""),44705.0)</f>
        <v>44705</v>
      </c>
      <c r="F290" s="198">
        <f>IFERROR(__xludf.DUMMYFUNCTION("""COMPUTED_VALUE"""),45077.0)</f>
        <v>45077</v>
      </c>
      <c r="G290" s="199">
        <f>IFERROR(__xludf.DUMMYFUNCTION("""COMPUTED_VALUE"""),12.2)</f>
        <v>12.2</v>
      </c>
      <c r="H290" s="210">
        <f>IFERROR(__xludf.DUMMYFUNCTION("""COMPUTED_VALUE"""),44705.0)</f>
        <v>44705</v>
      </c>
      <c r="I290" s="199">
        <f>IFERROR(__xludf.DUMMYFUNCTION("""COMPUTED_VALUE"""),0.0)</f>
        <v>0</v>
      </c>
      <c r="J290" s="200">
        <f>IFERROR(__xludf.DUMMYFUNCTION("""COMPUTED_VALUE"""),81.0)</f>
        <v>81</v>
      </c>
      <c r="K290" s="200">
        <f>IFERROR(__xludf.DUMMYFUNCTION("""COMPUTED_VALUE"""),8.0)</f>
        <v>8</v>
      </c>
      <c r="L290" s="201" t="str">
        <f>IFERROR(__xludf.DUMMYFUNCTION("""COMPUTED_VALUE"""),"Strategy / Card Game")</f>
        <v>Strategy / Card Game</v>
      </c>
    </row>
    <row r="291">
      <c r="A291" s="190" t="str">
        <f>IFERROR(__xludf.DUMMYFUNCTION("""COMPUTED_VALUE"""),"Lawn Mowing Simulator")</f>
        <v>Lawn Mowing Simulator</v>
      </c>
      <c r="B291" s="195" t="str">
        <f>IFERROR(__xludf.DUMMYFUNCTION("""COMPUTED_VALUE"""),"Xbox / PC")</f>
        <v>Xbox / PC</v>
      </c>
      <c r="C291" s="195" t="str">
        <f>IFERROR(__xludf.DUMMYFUNCTION("""COMPUTED_VALUE"""),"Touch Controls")</f>
        <v>Touch Controls</v>
      </c>
      <c r="D291" s="196" t="str">
        <f>IFERROR(__xludf.DUMMYFUNCTION("""COMPUTED_VALUE"""),"Removed")</f>
        <v>Removed</v>
      </c>
      <c r="E291" s="197">
        <f>IFERROR(__xludf.DUMMYFUNCTION("""COMPUTED_VALUE"""),44532.0)</f>
        <v>44532</v>
      </c>
      <c r="F291" s="198">
        <f>IFERROR(__xludf.DUMMYFUNCTION("""COMPUTED_VALUE"""),45077.0)</f>
        <v>45077</v>
      </c>
      <c r="G291" s="199">
        <f>IFERROR(__xludf.DUMMYFUNCTION("""COMPUTED_VALUE"""),17.933333333333334)</f>
        <v>17.93333333</v>
      </c>
      <c r="H291" s="210">
        <f>IFERROR(__xludf.DUMMYFUNCTION("""COMPUTED_VALUE"""),44418.0)</f>
        <v>44418</v>
      </c>
      <c r="I291" s="199">
        <f>IFERROR(__xludf.DUMMYFUNCTION("""COMPUTED_VALUE"""),0.3111111111111111)</f>
        <v>0.3111111111</v>
      </c>
      <c r="J291" s="200">
        <f>IFERROR(__xludf.DUMMYFUNCTION("""COMPUTED_VALUE"""),70.5)</f>
        <v>70.5</v>
      </c>
      <c r="K291" s="200">
        <f>IFERROR(__xludf.DUMMYFUNCTION("""COMPUTED_VALUE"""),17.0)</f>
        <v>17</v>
      </c>
      <c r="L291" s="201" t="str">
        <f>IFERROR(__xludf.DUMMYFUNCTION("""COMPUTED_VALUE"""),"Simulation")</f>
        <v>Simulation</v>
      </c>
    </row>
    <row r="292">
      <c r="A292" s="190" t="str">
        <f>IFERROR(__xludf.DUMMYFUNCTION("""COMPUTED_VALUE"""),"Evil Genius 2: World Domination")</f>
        <v>Evil Genius 2: World Domination</v>
      </c>
      <c r="B292" s="195" t="str">
        <f>IFERROR(__xludf.DUMMYFUNCTION("""COMPUTED_VALUE"""),"Xbox / PC")</f>
        <v>Xbox / PC</v>
      </c>
      <c r="C292" s="196" t="str">
        <f>IFERROR(__xludf.DUMMYFUNCTION("""COMPUTED_VALUE"""),"Yes")</f>
        <v>Yes</v>
      </c>
      <c r="D292" s="196" t="str">
        <f>IFERROR(__xludf.DUMMYFUNCTION("""COMPUTED_VALUE"""),"Removed")</f>
        <v>Removed</v>
      </c>
      <c r="E292" s="197">
        <f>IFERROR(__xludf.DUMMYFUNCTION("""COMPUTED_VALUE"""),44530.0)</f>
        <v>44530</v>
      </c>
      <c r="F292" s="198">
        <f>IFERROR(__xludf.DUMMYFUNCTION("""COMPUTED_VALUE"""),45077.0)</f>
        <v>45077</v>
      </c>
      <c r="G292" s="199">
        <f>IFERROR(__xludf.DUMMYFUNCTION("""COMPUTED_VALUE"""),18.0)</f>
        <v>18</v>
      </c>
      <c r="H292" s="210">
        <f>IFERROR(__xludf.DUMMYFUNCTION("""COMPUTED_VALUE"""),44275.0)</f>
        <v>44275</v>
      </c>
      <c r="I292" s="199">
        <f>IFERROR(__xludf.DUMMYFUNCTION("""COMPUTED_VALUE"""),0.6944444444444444)</f>
        <v>0.6944444444</v>
      </c>
      <c r="J292" s="200">
        <f>IFERROR(__xludf.DUMMYFUNCTION("""COMPUTED_VALUE"""),76.0)</f>
        <v>76</v>
      </c>
      <c r="K292" s="200">
        <f>IFERROR(__xludf.DUMMYFUNCTION("""COMPUTED_VALUE"""),28.5)</f>
        <v>28.5</v>
      </c>
      <c r="L292" s="201" t="str">
        <f>IFERROR(__xludf.DUMMYFUNCTION("""COMPUTED_VALUE"""),"Strategy / Simulation")</f>
        <v>Strategy / Simulation</v>
      </c>
    </row>
    <row r="293">
      <c r="A293" s="190" t="str">
        <f>IFERROR(__xludf.DUMMYFUNCTION("""COMPUTED_VALUE"""),"FIFA 21")</f>
        <v>FIFA 21</v>
      </c>
      <c r="B293" s="195" t="str">
        <f>IFERROR(__xludf.DUMMYFUNCTION("""COMPUTED_VALUE"""),"Xbox / PC")</f>
        <v>Xbox / PC</v>
      </c>
      <c r="C293" s="196"/>
      <c r="D293" s="196" t="str">
        <f>IFERROR(__xludf.DUMMYFUNCTION("""COMPUTED_VALUE"""),"Removed")</f>
        <v>Removed</v>
      </c>
      <c r="E293" s="197">
        <f>IFERROR(__xludf.DUMMYFUNCTION("""COMPUTED_VALUE"""),44322.0)</f>
        <v>44322</v>
      </c>
      <c r="F293" s="198">
        <f>IFERROR(__xludf.DUMMYFUNCTION("""COMPUTED_VALUE"""),45077.0)</f>
        <v>45077</v>
      </c>
      <c r="G293" s="199">
        <f>IFERROR(__xludf.DUMMYFUNCTION("""COMPUTED_VALUE"""),24.800000000000004)</f>
        <v>24.8</v>
      </c>
      <c r="H293" s="210">
        <f>IFERROR(__xludf.DUMMYFUNCTION("""COMPUTED_VALUE"""),44110.0)</f>
        <v>44110</v>
      </c>
      <c r="I293" s="199">
        <f>IFERROR(__xludf.DUMMYFUNCTION("""COMPUTED_VALUE"""),0.5833333333333334)</f>
        <v>0.5833333333</v>
      </c>
      <c r="J293" s="200">
        <f>IFERROR(__xludf.DUMMYFUNCTION("""COMPUTED_VALUE"""),77.0)</f>
        <v>77</v>
      </c>
      <c r="K293" s="200">
        <f>IFERROR(__xludf.DUMMYFUNCTION("""COMPUTED_VALUE"""),81.0)</f>
        <v>81</v>
      </c>
      <c r="L293" s="201" t="str">
        <f>IFERROR(__xludf.DUMMYFUNCTION("""COMPUTED_VALUE"""),"Sports / Soccer")</f>
        <v>Sports / Soccer</v>
      </c>
    </row>
    <row r="294">
      <c r="A294" s="190" t="str">
        <f>IFERROR(__xludf.DUMMYFUNCTION("""COMPUTED_VALUE"""),"Europa Universalis IV")</f>
        <v>Europa Universalis IV</v>
      </c>
      <c r="B294" s="195" t="str">
        <f>IFERROR(__xludf.DUMMYFUNCTION("""COMPUTED_VALUE"""),"PC")</f>
        <v>PC</v>
      </c>
      <c r="C294" s="195"/>
      <c r="D294" s="196" t="str">
        <f>IFERROR(__xludf.DUMMYFUNCTION("""COMPUTED_VALUE"""),"Removed")</f>
        <v>Removed</v>
      </c>
      <c r="E294" s="197">
        <f>IFERROR(__xludf.DUMMYFUNCTION("""COMPUTED_VALUE"""),43803.0)</f>
        <v>43803</v>
      </c>
      <c r="F294" s="198">
        <f>IFERROR(__xludf.DUMMYFUNCTION("""COMPUTED_VALUE"""),45077.0)</f>
        <v>45077</v>
      </c>
      <c r="G294" s="199">
        <f>IFERROR(__xludf.DUMMYFUNCTION("""COMPUTED_VALUE"""),41.86666666666667)</f>
        <v>41.86666667</v>
      </c>
      <c r="H294" s="210">
        <f>IFERROR(__xludf.DUMMYFUNCTION("""COMPUTED_VALUE"""),41499.0)</f>
        <v>41499</v>
      </c>
      <c r="I294" s="199">
        <f>IFERROR(__xludf.DUMMYFUNCTION("""COMPUTED_VALUE"""),6.308333333333334)</f>
        <v>6.308333333</v>
      </c>
      <c r="J294" s="200">
        <f>IFERROR(__xludf.DUMMYFUNCTION("""COMPUTED_VALUE"""),87.0)</f>
        <v>87</v>
      </c>
      <c r="K294" s="200">
        <f>IFERROR(__xludf.DUMMYFUNCTION("""COMPUTED_VALUE"""),225.0)</f>
        <v>225</v>
      </c>
      <c r="L294" s="201" t="str">
        <f>IFERROR(__xludf.DUMMYFUNCTION("""COMPUTED_VALUE"""),"Strategy")</f>
        <v>Strategy</v>
      </c>
    </row>
    <row r="295">
      <c r="A295" s="190" t="str">
        <f>IFERROR(__xludf.DUMMYFUNCTION("""COMPUTED_VALUE"""),"Her Story")</f>
        <v>Her Story</v>
      </c>
      <c r="B295" s="195" t="str">
        <f>IFERROR(__xludf.DUMMYFUNCTION("""COMPUTED_VALUE"""),"PC")</f>
        <v>PC</v>
      </c>
      <c r="C295" s="195"/>
      <c r="D295" s="196" t="str">
        <f>IFERROR(__xludf.DUMMYFUNCTION("""COMPUTED_VALUE"""),"Removed")</f>
        <v>Removed</v>
      </c>
      <c r="E295" s="197">
        <f>IFERROR(__xludf.DUMMYFUNCTION("""COMPUTED_VALUE"""),44698.0)</f>
        <v>44698</v>
      </c>
      <c r="F295" s="198">
        <f>IFERROR(__xludf.DUMMYFUNCTION("""COMPUTED_VALUE"""),45061.0)</f>
        <v>45061</v>
      </c>
      <c r="G295" s="199">
        <f>IFERROR(__xludf.DUMMYFUNCTION("""COMPUTED_VALUE"""),11.933333333333334)</f>
        <v>11.93333333</v>
      </c>
      <c r="H295" s="210">
        <f>IFERROR(__xludf.DUMMYFUNCTION("""COMPUTED_VALUE"""),42179.0)</f>
        <v>42179</v>
      </c>
      <c r="I295" s="199">
        <f>IFERROR(__xludf.DUMMYFUNCTION("""COMPUTED_VALUE"""),6.897222222222222)</f>
        <v>6.897222222</v>
      </c>
      <c r="J295" s="200">
        <f>IFERROR(__xludf.DUMMYFUNCTION("""COMPUTED_VALUE"""),86.0)</f>
        <v>86</v>
      </c>
      <c r="K295" s="200">
        <f>IFERROR(__xludf.DUMMYFUNCTION("""COMPUTED_VALUE"""),2.0)</f>
        <v>2</v>
      </c>
      <c r="L295" s="201" t="str">
        <f>IFERROR(__xludf.DUMMYFUNCTION("""COMPUTED_VALUE"""),"Adventure / Simulation / Puzzle")</f>
        <v>Adventure / Simulation / Puzzle</v>
      </c>
    </row>
    <row r="296">
      <c r="A296" s="190" t="str">
        <f>IFERROR(__xludf.DUMMYFUNCTION("""COMPUTED_VALUE"""),"Umurangi Generation - Special Edition")</f>
        <v>Umurangi Generation - Special Edition</v>
      </c>
      <c r="B296" s="195" t="str">
        <f>IFERROR(__xludf.DUMMYFUNCTION("""COMPUTED_VALUE"""),"Xbox / PC")</f>
        <v>Xbox / PC</v>
      </c>
      <c r="C296" s="195" t="str">
        <f>IFERROR(__xludf.DUMMYFUNCTION("""COMPUTED_VALUE"""),"Touch Controls")</f>
        <v>Touch Controls</v>
      </c>
      <c r="D296" s="196" t="str">
        <f>IFERROR(__xludf.DUMMYFUNCTION("""COMPUTED_VALUE"""),"Removed")</f>
        <v>Removed</v>
      </c>
      <c r="E296" s="197">
        <f>IFERROR(__xludf.DUMMYFUNCTION("""COMPUTED_VALUE"""),44698.0)</f>
        <v>44698</v>
      </c>
      <c r="F296" s="198">
        <f>IFERROR(__xludf.DUMMYFUNCTION("""COMPUTED_VALUE"""),45061.0)</f>
        <v>45061</v>
      </c>
      <c r="G296" s="199">
        <f>IFERROR(__xludf.DUMMYFUNCTION("""COMPUTED_VALUE"""),11.933333333333334)</f>
        <v>11.93333333</v>
      </c>
      <c r="H296" s="210">
        <f>IFERROR(__xludf.DUMMYFUNCTION("""COMPUTED_VALUE"""),44352.0)</f>
        <v>44352</v>
      </c>
      <c r="I296" s="199">
        <f>IFERROR(__xludf.DUMMYFUNCTION("""COMPUTED_VALUE"""),0.95)</f>
        <v>0.95</v>
      </c>
      <c r="J296" s="200">
        <f>IFERROR(__xludf.DUMMYFUNCTION("""COMPUTED_VALUE"""),84.0)</f>
        <v>84</v>
      </c>
      <c r="K296" s="200">
        <f>IFERROR(__xludf.DUMMYFUNCTION("""COMPUTED_VALUE"""),2.5)</f>
        <v>2.5</v>
      </c>
      <c r="L296" s="265" t="str">
        <f>IFERROR(__xludf.DUMMYFUNCTION("""COMPUTED_VALUE"""),"Adventure")</f>
        <v>Adventure</v>
      </c>
    </row>
    <row r="297">
      <c r="A297" s="190" t="str">
        <f>IFERROR(__xludf.DUMMYFUNCTION("""COMPUTED_VALUE"""),"Danganronpa 2: Goodbye Despair - Anniversary Edition")</f>
        <v>Danganronpa 2: Goodbye Despair - Anniversary Edition</v>
      </c>
      <c r="B297" s="195" t="str">
        <f>IFERROR(__xludf.DUMMYFUNCTION("""COMPUTED_VALUE"""),"Xbox / PC")</f>
        <v>Xbox / PC</v>
      </c>
      <c r="C297" s="195" t="str">
        <f>IFERROR(__xludf.DUMMYFUNCTION("""COMPUTED_VALUE"""),"Touch Controls")</f>
        <v>Touch Controls</v>
      </c>
      <c r="D297" s="196" t="str">
        <f>IFERROR(__xludf.DUMMYFUNCTION("""COMPUTED_VALUE"""),"Removed")</f>
        <v>Removed</v>
      </c>
      <c r="E297" s="197">
        <f>IFERROR(__xludf.DUMMYFUNCTION("""COMPUTED_VALUE"""),44691.0)</f>
        <v>44691</v>
      </c>
      <c r="F297" s="198">
        <f>IFERROR(__xludf.DUMMYFUNCTION("""COMPUTED_VALUE"""),45061.0)</f>
        <v>45061</v>
      </c>
      <c r="G297" s="199">
        <f>IFERROR(__xludf.DUMMYFUNCTION("""COMPUTED_VALUE"""),12.166666666666666)</f>
        <v>12.16666667</v>
      </c>
      <c r="H297" s="210">
        <f>IFERROR(__xludf.DUMMYFUNCTION("""COMPUTED_VALUE"""),41116.0)</f>
        <v>41116</v>
      </c>
      <c r="I297" s="199">
        <f>IFERROR(__xludf.DUMMYFUNCTION("""COMPUTED_VALUE"""),9.78888888888889)</f>
        <v>9.788888889</v>
      </c>
      <c r="J297" s="200">
        <f>IFERROR(__xludf.DUMMYFUNCTION("""COMPUTED_VALUE"""),83.0)</f>
        <v>83</v>
      </c>
      <c r="K297" s="200">
        <f>IFERROR(__xludf.DUMMYFUNCTION("""COMPUTED_VALUE"""),33.5)</f>
        <v>33.5</v>
      </c>
      <c r="L297" s="201" t="str">
        <f>IFERROR(__xludf.DUMMYFUNCTION("""COMPUTED_VALUE"""),"Adventure / Shooter / Music/Rhythm")</f>
        <v>Adventure / Shooter / Music/Rhythm</v>
      </c>
    </row>
    <row r="298">
      <c r="A298" s="190" t="str">
        <f>IFERROR(__xludf.DUMMYFUNCTION("""COMPUTED_VALUE"""),"Before We Leave")</f>
        <v>Before We Leave</v>
      </c>
      <c r="B298" s="195" t="str">
        <f>IFERROR(__xludf.DUMMYFUNCTION("""COMPUTED_VALUE"""),"Xbox / PC")</f>
        <v>Xbox / PC</v>
      </c>
      <c r="C298" s="195" t="str">
        <f>IFERROR(__xludf.DUMMYFUNCTION("""COMPUTED_VALUE"""),"Yes")</f>
        <v>Yes</v>
      </c>
      <c r="D298" s="196" t="str">
        <f>IFERROR(__xludf.DUMMYFUNCTION("""COMPUTED_VALUE"""),"Removed")</f>
        <v>Removed</v>
      </c>
      <c r="E298" s="197">
        <f>IFERROR(__xludf.DUMMYFUNCTION("""COMPUTED_VALUE"""),44531.0)</f>
        <v>44531</v>
      </c>
      <c r="F298" s="198">
        <f>IFERROR(__xludf.DUMMYFUNCTION("""COMPUTED_VALUE"""),45061.0)</f>
        <v>45061</v>
      </c>
      <c r="G298" s="199">
        <f>IFERROR(__xludf.DUMMYFUNCTION("""COMPUTED_VALUE"""),17.466666666666665)</f>
        <v>17.46666667</v>
      </c>
      <c r="H298" s="210">
        <f>IFERROR(__xludf.DUMMYFUNCTION("""COMPUTED_VALUE"""),44329.0)</f>
        <v>44329</v>
      </c>
      <c r="I298" s="199">
        <f>IFERROR(__xludf.DUMMYFUNCTION("""COMPUTED_VALUE"""),0.55)</f>
        <v>0.55</v>
      </c>
      <c r="J298" s="200">
        <f>IFERROR(__xludf.DUMMYFUNCTION("""COMPUTED_VALUE"""),72.0)</f>
        <v>72</v>
      </c>
      <c r="K298" s="200">
        <f>IFERROR(__xludf.DUMMYFUNCTION("""COMPUTED_VALUE"""),11.5)</f>
        <v>11.5</v>
      </c>
      <c r="L298" s="201" t="str">
        <f>IFERROR(__xludf.DUMMYFUNCTION("""COMPUTED_VALUE"""),"Simulation")</f>
        <v>Simulation</v>
      </c>
    </row>
    <row r="299">
      <c r="A299" s="190" t="str">
        <f>IFERROR(__xludf.DUMMYFUNCTION("""COMPUTED_VALUE"""),"My Friend Pedro")</f>
        <v>My Friend Pedro</v>
      </c>
      <c r="B299" s="195" t="str">
        <f>IFERROR(__xludf.DUMMYFUNCTION("""COMPUTED_VALUE"""),"Xbox / PC")</f>
        <v>Xbox / PC</v>
      </c>
      <c r="C299" s="196" t="str">
        <f>IFERROR(__xludf.DUMMYFUNCTION("""COMPUTED_VALUE"""),"Yes")</f>
        <v>Yes</v>
      </c>
      <c r="D299" s="196" t="str">
        <f>IFERROR(__xludf.DUMMYFUNCTION("""COMPUTED_VALUE"""),"Removed")</f>
        <v>Removed</v>
      </c>
      <c r="E299" s="197">
        <f>IFERROR(__xludf.DUMMYFUNCTION("""COMPUTED_VALUE"""),44518.0)</f>
        <v>44518</v>
      </c>
      <c r="F299" s="198">
        <f>IFERROR(__xludf.DUMMYFUNCTION("""COMPUTED_VALUE"""),45061.0)</f>
        <v>45061</v>
      </c>
      <c r="G299" s="199">
        <f>IFERROR(__xludf.DUMMYFUNCTION("""COMPUTED_VALUE"""),17.9)</f>
        <v>17.9</v>
      </c>
      <c r="H299" s="210">
        <f>IFERROR(__xludf.DUMMYFUNCTION("""COMPUTED_VALUE"""),43636.0)</f>
        <v>43636</v>
      </c>
      <c r="I299" s="199">
        <f>IFERROR(__xludf.DUMMYFUNCTION("""COMPUTED_VALUE"""),2.411111111111111)</f>
        <v>2.411111111</v>
      </c>
      <c r="J299" s="200">
        <f>IFERROR(__xludf.DUMMYFUNCTION("""COMPUTED_VALUE"""),80.0)</f>
        <v>80</v>
      </c>
      <c r="K299" s="200">
        <f>IFERROR(__xludf.DUMMYFUNCTION("""COMPUTED_VALUE"""),4.0)</f>
        <v>4</v>
      </c>
      <c r="L299" s="201" t="str">
        <f>IFERROR(__xludf.DUMMYFUNCTION("""COMPUTED_VALUE"""),"Action")</f>
        <v>Action</v>
      </c>
    </row>
    <row r="300">
      <c r="A300" s="190" t="str">
        <f>IFERROR(__xludf.DUMMYFUNCTION("""COMPUTED_VALUE"""),"Hearts of Iron IV: Cadet Edition")</f>
        <v>Hearts of Iron IV: Cadet Edition</v>
      </c>
      <c r="B300" s="195" t="str">
        <f>IFERROR(__xludf.DUMMYFUNCTION("""COMPUTED_VALUE"""),"PC")</f>
        <v>PC</v>
      </c>
      <c r="C300" s="196"/>
      <c r="D300" s="196" t="str">
        <f>IFERROR(__xludf.DUMMYFUNCTION("""COMPUTED_VALUE"""),"Removed")</f>
        <v>Removed</v>
      </c>
      <c r="E300" s="197">
        <f>IFERROR(__xludf.DUMMYFUNCTION("""COMPUTED_VALUE"""),43784.0)</f>
        <v>43784</v>
      </c>
      <c r="F300" s="198">
        <f>IFERROR(__xludf.DUMMYFUNCTION("""COMPUTED_VALUE"""),45061.0)</f>
        <v>45061</v>
      </c>
      <c r="G300" s="199">
        <f>IFERROR(__xludf.DUMMYFUNCTION("""COMPUTED_VALUE"""),42.0)</f>
        <v>42</v>
      </c>
      <c r="H300" s="210">
        <f>IFERROR(__xludf.DUMMYFUNCTION("""COMPUTED_VALUE"""),42527.0)</f>
        <v>42527</v>
      </c>
      <c r="I300" s="199">
        <f>IFERROR(__xludf.DUMMYFUNCTION("""COMPUTED_VALUE"""),3.441666666666667)</f>
        <v>3.441666667</v>
      </c>
      <c r="J300" s="200">
        <f>IFERROR(__xludf.DUMMYFUNCTION("""COMPUTED_VALUE"""),83.0)</f>
        <v>83</v>
      </c>
      <c r="K300" s="200">
        <f>IFERROR(__xludf.DUMMYFUNCTION("""COMPUTED_VALUE"""),42.5)</f>
        <v>42.5</v>
      </c>
      <c r="L300" s="201" t="str">
        <f>IFERROR(__xludf.DUMMYFUNCTION("""COMPUTED_VALUE"""),"Strategy")</f>
        <v>Strategy</v>
      </c>
    </row>
    <row r="301">
      <c r="A301" s="190" t="str">
        <f>IFERROR(__xludf.DUMMYFUNCTION("""COMPUTED_VALUE"""),"Bugsnax")</f>
        <v>Bugsnax</v>
      </c>
      <c r="B301" s="195" t="str">
        <f>IFERROR(__xludf.DUMMYFUNCTION("""COMPUTED_VALUE"""),"Xbox / PC")</f>
        <v>Xbox / PC</v>
      </c>
      <c r="C301" s="196" t="str">
        <f>IFERROR(__xludf.DUMMYFUNCTION("""COMPUTED_VALUE"""),"Touch Controls")</f>
        <v>Touch Controls</v>
      </c>
      <c r="D301" s="196" t="str">
        <f>IFERROR(__xludf.DUMMYFUNCTION("""COMPUTED_VALUE"""),"Removed")</f>
        <v>Removed</v>
      </c>
      <c r="E301" s="197">
        <f>IFERROR(__xludf.DUMMYFUNCTION("""COMPUTED_VALUE"""),44679.0)</f>
        <v>44679</v>
      </c>
      <c r="F301" s="198">
        <f>IFERROR(__xludf.DUMMYFUNCTION("""COMPUTED_VALUE"""),45046.0)</f>
        <v>45046</v>
      </c>
      <c r="G301" s="199">
        <f>IFERROR(__xludf.DUMMYFUNCTION("""COMPUTED_VALUE"""),12.066666666666666)</f>
        <v>12.06666667</v>
      </c>
      <c r="H301" s="210">
        <f>IFERROR(__xludf.DUMMYFUNCTION("""COMPUTED_VALUE"""),44147.0)</f>
        <v>44147</v>
      </c>
      <c r="I301" s="199">
        <f>IFERROR(__xludf.DUMMYFUNCTION("""COMPUTED_VALUE"""),1.461111111111111)</f>
        <v>1.461111111</v>
      </c>
      <c r="J301" s="200">
        <f>IFERROR(__xludf.DUMMYFUNCTION("""COMPUTED_VALUE"""),77.0)</f>
        <v>77</v>
      </c>
      <c r="K301" s="200">
        <f>IFERROR(__xludf.DUMMYFUNCTION("""COMPUTED_VALUE"""),7.5)</f>
        <v>7.5</v>
      </c>
      <c r="L301" s="201" t="str">
        <f>IFERROR(__xludf.DUMMYFUNCTION("""COMPUTED_VALUE"""),"Adventure")</f>
        <v>Adventure</v>
      </c>
    </row>
    <row r="302">
      <c r="A302" s="190" t="str">
        <f>IFERROR(__xludf.DUMMYFUNCTION("""COMPUTED_VALUE"""),"Unsouled")</f>
        <v>Unsouled</v>
      </c>
      <c r="B302" s="195" t="str">
        <f>IFERROR(__xludf.DUMMYFUNCTION("""COMPUTED_VALUE"""),"Xbox / PC")</f>
        <v>Xbox / PC</v>
      </c>
      <c r="C302" s="195" t="str">
        <f>IFERROR(__xludf.DUMMYFUNCTION("""COMPUTED_VALUE"""),"Yes")</f>
        <v>Yes</v>
      </c>
      <c r="D302" s="196" t="str">
        <f>IFERROR(__xludf.DUMMYFUNCTION("""COMPUTED_VALUE"""),"Removed")</f>
        <v>Removed</v>
      </c>
      <c r="E302" s="197">
        <f>IFERROR(__xludf.DUMMYFUNCTION("""COMPUTED_VALUE"""),44679.0)</f>
        <v>44679</v>
      </c>
      <c r="F302" s="198">
        <f>IFERROR(__xludf.DUMMYFUNCTION("""COMPUTED_VALUE"""),45046.0)</f>
        <v>45046</v>
      </c>
      <c r="G302" s="199">
        <f>IFERROR(__xludf.DUMMYFUNCTION("""COMPUTED_VALUE"""),12.066666666666666)</f>
        <v>12.06666667</v>
      </c>
      <c r="H302" s="210">
        <f>IFERROR(__xludf.DUMMYFUNCTION("""COMPUTED_VALUE"""),44517.0)</f>
        <v>44517</v>
      </c>
      <c r="I302" s="199">
        <f>IFERROR(__xludf.DUMMYFUNCTION("""COMPUTED_VALUE"""),0.44722222222222224)</f>
        <v>0.4472222222</v>
      </c>
      <c r="J302" s="200">
        <f>IFERROR(__xludf.DUMMYFUNCTION("""COMPUTED_VALUE"""),84.0)</f>
        <v>84</v>
      </c>
      <c r="K302" s="200">
        <f>IFERROR(__xludf.DUMMYFUNCTION("""COMPUTED_VALUE"""),2.0)</f>
        <v>2</v>
      </c>
      <c r="L302" s="201" t="str">
        <f>IFERROR(__xludf.DUMMYFUNCTION("""COMPUTED_VALUE"""),"Action / RPG")</f>
        <v>Action / RPG</v>
      </c>
    </row>
    <row r="303">
      <c r="A303" s="269" t="str">
        <f>IFERROR(__xludf.DUMMYFUNCTION("""COMPUTED_VALUE"""),"Dragon Quest Builders 2")</f>
        <v>Dragon Quest Builders 2</v>
      </c>
      <c r="B303" s="195" t="str">
        <f>IFERROR(__xludf.DUMMYFUNCTION("""COMPUTED_VALUE"""),"Xbox / PC")</f>
        <v>Xbox / PC</v>
      </c>
      <c r="C303" s="195" t="str">
        <f>IFERROR(__xludf.DUMMYFUNCTION("""COMPUTED_VALUE"""),"Yes")</f>
        <v>Yes</v>
      </c>
      <c r="D303" s="196" t="str">
        <f>IFERROR(__xludf.DUMMYFUNCTION("""COMPUTED_VALUE"""),"Removed")</f>
        <v>Removed</v>
      </c>
      <c r="E303" s="271">
        <f>IFERROR(__xludf.DUMMYFUNCTION("""COMPUTED_VALUE"""),44320.0)</f>
        <v>44320</v>
      </c>
      <c r="F303" s="198">
        <f>IFERROR(__xludf.DUMMYFUNCTION("""COMPUTED_VALUE"""),45046.0)</f>
        <v>45046</v>
      </c>
      <c r="G303" s="199">
        <f>IFERROR(__xludf.DUMMYFUNCTION("""COMPUTED_VALUE"""),23.866666666666667)</f>
        <v>23.86666667</v>
      </c>
      <c r="H303" s="210">
        <f>IFERROR(__xludf.DUMMYFUNCTION("""COMPUTED_VALUE"""),43658.0)</f>
        <v>43658</v>
      </c>
      <c r="I303" s="199">
        <f>IFERROR(__xludf.DUMMYFUNCTION("""COMPUTED_VALUE"""),1.8111111111111111)</f>
        <v>1.811111111</v>
      </c>
      <c r="J303" s="200">
        <f>IFERROR(__xludf.DUMMYFUNCTION("""COMPUTED_VALUE"""),85.0)</f>
        <v>85</v>
      </c>
      <c r="K303" s="200">
        <f>IFERROR(__xludf.DUMMYFUNCTION("""COMPUTED_VALUE"""),56.0)</f>
        <v>56</v>
      </c>
      <c r="L303" s="265" t="str">
        <f>IFERROR(__xludf.DUMMYFUNCTION("""COMPUTED_VALUE"""),"Adventure / RPG")</f>
        <v>Adventure / RPG</v>
      </c>
    </row>
    <row r="304">
      <c r="A304" s="190" t="str">
        <f>IFERROR(__xludf.DUMMYFUNCTION("""COMPUTED_VALUE"""),"Destroy All Humans! (2020)")</f>
        <v>Destroy All Humans! (2020)</v>
      </c>
      <c r="B304" s="195" t="str">
        <f>IFERROR(__xludf.DUMMYFUNCTION("""COMPUTED_VALUE"""),"Xbox / PC")</f>
        <v>Xbox / PC</v>
      </c>
      <c r="C304" s="195" t="str">
        <f>IFERROR(__xludf.DUMMYFUNCTION("""COMPUTED_VALUE"""),"Yes")</f>
        <v>Yes</v>
      </c>
      <c r="D304" s="196" t="str">
        <f>IFERROR(__xludf.DUMMYFUNCTION("""COMPUTED_VALUE"""),"Removed")</f>
        <v>Removed</v>
      </c>
      <c r="E304" s="197">
        <f>IFERROR(__xludf.DUMMYFUNCTION("""COMPUTED_VALUE"""),44315.0)</f>
        <v>44315</v>
      </c>
      <c r="F304" s="198">
        <f>IFERROR(__xludf.DUMMYFUNCTION("""COMPUTED_VALUE"""),45046.0)</f>
        <v>45046</v>
      </c>
      <c r="G304" s="199">
        <f>IFERROR(__xludf.DUMMYFUNCTION("""COMPUTED_VALUE"""),24.03333333333333)</f>
        <v>24.03333333</v>
      </c>
      <c r="H304" s="210">
        <f>IFERROR(__xludf.DUMMYFUNCTION("""COMPUTED_VALUE"""),44040.0)</f>
        <v>44040</v>
      </c>
      <c r="I304" s="199">
        <f>IFERROR(__xludf.DUMMYFUNCTION("""COMPUTED_VALUE"""),0.7527777777777778)</f>
        <v>0.7527777778</v>
      </c>
      <c r="J304" s="200">
        <f>IFERROR(__xludf.DUMMYFUNCTION("""COMPUTED_VALUE"""),69.5)</f>
        <v>69.5</v>
      </c>
      <c r="K304" s="200">
        <f>IFERROR(__xludf.DUMMYFUNCTION("""COMPUTED_VALUE"""),7.5)</f>
        <v>7.5</v>
      </c>
      <c r="L304" s="201" t="str">
        <f>IFERROR(__xludf.DUMMYFUNCTION("""COMPUTED_VALUE"""),"Action")</f>
        <v>Action</v>
      </c>
    </row>
    <row r="305">
      <c r="A305" s="190" t="str">
        <f>IFERROR(__xludf.DUMMYFUNCTION("""COMPUTED_VALUE"""),"NHL 21")</f>
        <v>NHL 21</v>
      </c>
      <c r="B305" s="195" t="str">
        <f>IFERROR(__xludf.DUMMYFUNCTION("""COMPUTED_VALUE"""),"Xbox")</f>
        <v>Xbox</v>
      </c>
      <c r="C305" s="196"/>
      <c r="D305" s="196" t="str">
        <f>IFERROR(__xludf.DUMMYFUNCTION("""COMPUTED_VALUE"""),"Removed")</f>
        <v>Removed</v>
      </c>
      <c r="E305" s="197">
        <f>IFERROR(__xludf.DUMMYFUNCTION("""COMPUTED_VALUE"""),44298.0)</f>
        <v>44298</v>
      </c>
      <c r="F305" s="198">
        <f>IFERROR(__xludf.DUMMYFUNCTION("""COMPUTED_VALUE"""),45046.0)</f>
        <v>45046</v>
      </c>
      <c r="G305" s="199">
        <f>IFERROR(__xludf.DUMMYFUNCTION("""COMPUTED_VALUE"""),24.599999999999998)</f>
        <v>24.6</v>
      </c>
      <c r="H305" s="210">
        <f>IFERROR(__xludf.DUMMYFUNCTION("""COMPUTED_VALUE"""),44120.0)</f>
        <v>44120</v>
      </c>
      <c r="I305" s="199">
        <f>IFERROR(__xludf.DUMMYFUNCTION("""COMPUTED_VALUE"""),0.4888888888888889)</f>
        <v>0.4888888889</v>
      </c>
      <c r="J305" s="200">
        <f>IFERROR(__xludf.DUMMYFUNCTION("""COMPUTED_VALUE"""),81.0)</f>
        <v>81</v>
      </c>
      <c r="K305" s="200">
        <f>IFERROR(__xludf.DUMMYFUNCTION("""COMPUTED_VALUE"""),9.0)</f>
        <v>9</v>
      </c>
      <c r="L305" s="265" t="str">
        <f>IFERROR(__xludf.DUMMYFUNCTION("""COMPUTED_VALUE"""),"Sports / Hockey")</f>
        <v>Sports / Hockey</v>
      </c>
    </row>
    <row r="306">
      <c r="A306" s="190" t="str">
        <f>IFERROR(__xludf.DUMMYFUNCTION("""COMPUTED_VALUE"""),"Tetris Effect: Connected")</f>
        <v>Tetris Effect: Connected</v>
      </c>
      <c r="B306" s="195" t="str">
        <f>IFERROR(__xludf.DUMMYFUNCTION("""COMPUTED_VALUE"""),"Xbox / PC")</f>
        <v>Xbox / PC</v>
      </c>
      <c r="C306" s="195"/>
      <c r="D306" s="196" t="str">
        <f>IFERROR(__xludf.DUMMYFUNCTION("""COMPUTED_VALUE"""),"Removed")</f>
        <v>Removed</v>
      </c>
      <c r="E306" s="197">
        <f>IFERROR(__xludf.DUMMYFUNCTION("""COMPUTED_VALUE"""),44145.0)</f>
        <v>44145</v>
      </c>
      <c r="F306" s="198">
        <f>IFERROR(__xludf.DUMMYFUNCTION("""COMPUTED_VALUE"""),45046.0)</f>
        <v>45046</v>
      </c>
      <c r="G306" s="199">
        <f>IFERROR(__xludf.DUMMYFUNCTION("""COMPUTED_VALUE"""),29.666666666666668)</f>
        <v>29.66666667</v>
      </c>
      <c r="H306" s="210">
        <f>IFERROR(__xludf.DUMMYFUNCTION("""COMPUTED_VALUE"""),44145.0)</f>
        <v>44145</v>
      </c>
      <c r="I306" s="199">
        <f>IFERROR(__xludf.DUMMYFUNCTION("""COMPUTED_VALUE"""),0.0)</f>
        <v>0</v>
      </c>
      <c r="J306" s="267">
        <f>IFERROR(__xludf.DUMMYFUNCTION("""COMPUTED_VALUE"""),84.0)</f>
        <v>84</v>
      </c>
      <c r="K306" s="200">
        <f>IFERROR(__xludf.DUMMYFUNCTION("""COMPUTED_VALUE"""),2.5)</f>
        <v>2.5</v>
      </c>
      <c r="L306" s="265" t="str">
        <f>IFERROR(__xludf.DUMMYFUNCTION("""COMPUTED_VALUE"""),"Puzzle")</f>
        <v>Puzzle</v>
      </c>
    </row>
    <row r="307">
      <c r="A307" s="190" t="str">
        <f>IFERROR(__xludf.DUMMYFUNCTION("""COMPUTED_VALUE"""),"Life Is Strange: True Colors")</f>
        <v>Life Is Strange: True Colors</v>
      </c>
      <c r="B307" s="195" t="str">
        <f>IFERROR(__xludf.DUMMYFUNCTION("""COMPUTED_VALUE"""),"Xbox / PC")</f>
        <v>Xbox / PC</v>
      </c>
      <c r="C307" s="196" t="str">
        <f>IFERROR(__xludf.DUMMYFUNCTION("""COMPUTED_VALUE"""),"Touch Controls")</f>
        <v>Touch Controls</v>
      </c>
      <c r="D307" s="196" t="str">
        <f>IFERROR(__xludf.DUMMYFUNCTION("""COMPUTED_VALUE"""),"Removed")</f>
        <v>Removed</v>
      </c>
      <c r="E307" s="197">
        <f>IFERROR(__xludf.DUMMYFUNCTION("""COMPUTED_VALUE"""),44663.0)</f>
        <v>44663</v>
      </c>
      <c r="F307" s="198">
        <f>IFERROR(__xludf.DUMMYFUNCTION("""COMPUTED_VALUE"""),45031.0)</f>
        <v>45031</v>
      </c>
      <c r="G307" s="199">
        <f>IFERROR(__xludf.DUMMYFUNCTION("""COMPUTED_VALUE"""),12.1)</f>
        <v>12.1</v>
      </c>
      <c r="H307" s="210">
        <f>IFERROR(__xludf.DUMMYFUNCTION("""COMPUTED_VALUE"""),44449.0)</f>
        <v>44449</v>
      </c>
      <c r="I307" s="199">
        <f>IFERROR(__xludf.DUMMYFUNCTION("""COMPUTED_VALUE"""),0.5888888888888889)</f>
        <v>0.5888888889</v>
      </c>
      <c r="J307" s="267">
        <f>IFERROR(__xludf.DUMMYFUNCTION("""COMPUTED_VALUE"""),79.0)</f>
        <v>79</v>
      </c>
      <c r="K307" s="200">
        <f>IFERROR(__xludf.DUMMYFUNCTION("""COMPUTED_VALUE"""),10.0)</f>
        <v>10</v>
      </c>
      <c r="L307" s="201" t="str">
        <f>IFERROR(__xludf.DUMMYFUNCTION("""COMPUTED_VALUE"""),"Adventure")</f>
        <v>Adventure</v>
      </c>
    </row>
    <row r="308">
      <c r="A308" s="269" t="str">
        <f>IFERROR(__xludf.DUMMYFUNCTION("""COMPUTED_VALUE"""),"Panzer Corps 2")</f>
        <v>Panzer Corps 2</v>
      </c>
      <c r="B308" s="195" t="str">
        <f>IFERROR(__xludf.DUMMYFUNCTION("""COMPUTED_VALUE"""),"PC")</f>
        <v>PC</v>
      </c>
      <c r="C308" s="195"/>
      <c r="D308" s="196" t="str">
        <f>IFERROR(__xludf.DUMMYFUNCTION("""COMPUTED_VALUE"""),"Removed")</f>
        <v>Removed</v>
      </c>
      <c r="E308" s="271">
        <f>IFERROR(__xludf.DUMMYFUNCTION("""COMPUTED_VALUE"""),44663.0)</f>
        <v>44663</v>
      </c>
      <c r="F308" s="198">
        <f>IFERROR(__xludf.DUMMYFUNCTION("""COMPUTED_VALUE"""),45031.0)</f>
        <v>45031</v>
      </c>
      <c r="G308" s="199">
        <f>IFERROR(__xludf.DUMMYFUNCTION("""COMPUTED_VALUE"""),12.1)</f>
        <v>12.1</v>
      </c>
      <c r="H308" s="210">
        <f>IFERROR(__xludf.DUMMYFUNCTION("""COMPUTED_VALUE"""),43909.0)</f>
        <v>43909</v>
      </c>
      <c r="I308" s="199">
        <f>IFERROR(__xludf.DUMMYFUNCTION("""COMPUTED_VALUE"""),2.063888888888889)</f>
        <v>2.063888889</v>
      </c>
      <c r="J308" s="267">
        <f>IFERROR(__xludf.DUMMYFUNCTION("""COMPUTED_VALUE"""),86.0)</f>
        <v>86</v>
      </c>
      <c r="K308" s="200">
        <f>IFERROR(__xludf.DUMMYFUNCTION("""COMPUTED_VALUE"""),59.5)</f>
        <v>59.5</v>
      </c>
      <c r="L308" s="265" t="str">
        <f>IFERROR(__xludf.DUMMYFUNCTION("""COMPUTED_VALUE"""),"Strategy")</f>
        <v>Strategy</v>
      </c>
    </row>
    <row r="309">
      <c r="A309" s="269" t="str">
        <f>IFERROR(__xludf.DUMMYFUNCTION("""COMPUTED_VALUE"""),"The Dungeon of Naheulbeuk: The Amulet of Chaos")</f>
        <v>The Dungeon of Naheulbeuk: The Amulet of Chaos</v>
      </c>
      <c r="B309" s="195" t="str">
        <f>IFERROR(__xludf.DUMMYFUNCTION("""COMPUTED_VALUE"""),"Xbox / PC")</f>
        <v>Xbox / PC</v>
      </c>
      <c r="C309" s="195" t="str">
        <f>IFERROR(__xludf.DUMMYFUNCTION("""COMPUTED_VALUE"""),"Touch Controls")</f>
        <v>Touch Controls</v>
      </c>
      <c r="D309" s="196" t="str">
        <f>IFERROR(__xludf.DUMMYFUNCTION("""COMPUTED_VALUE"""),"Removed")</f>
        <v>Removed</v>
      </c>
      <c r="E309" s="271">
        <f>IFERROR(__xludf.DUMMYFUNCTION("""COMPUTED_VALUE"""),44637.0)</f>
        <v>44637</v>
      </c>
      <c r="F309" s="198">
        <f>IFERROR(__xludf.DUMMYFUNCTION("""COMPUTED_VALUE"""),45031.0)</f>
        <v>45031</v>
      </c>
      <c r="G309" s="199">
        <f>IFERROR(__xludf.DUMMYFUNCTION("""COMPUTED_VALUE"""),12.933333333333334)</f>
        <v>12.93333333</v>
      </c>
      <c r="H309" s="210">
        <f>IFERROR(__xludf.DUMMYFUNCTION("""COMPUTED_VALUE"""),44070.0)</f>
        <v>44070</v>
      </c>
      <c r="I309" s="199">
        <f>IFERROR(__xludf.DUMMYFUNCTION("""COMPUTED_VALUE"""),1.5555555555555556)</f>
        <v>1.555555556</v>
      </c>
      <c r="J309" s="267">
        <f>IFERROR(__xludf.DUMMYFUNCTION("""COMPUTED_VALUE"""),74.5)</f>
        <v>74.5</v>
      </c>
      <c r="K309" s="200">
        <f>IFERROR(__xludf.DUMMYFUNCTION("""COMPUTED_VALUE"""),31.0)</f>
        <v>31</v>
      </c>
      <c r="L309" s="265" t="str">
        <f>IFERROR(__xludf.DUMMYFUNCTION("""COMPUTED_VALUE"""),"Strategy / RPG / Action-Adventure")</f>
        <v>Strategy / RPG / Action-Adventure</v>
      </c>
    </row>
    <row r="310">
      <c r="A310" s="269" t="str">
        <f>IFERROR(__xludf.DUMMYFUNCTION("""COMPUTED_VALUE"""),"Moonglow Bay")</f>
        <v>Moonglow Bay</v>
      </c>
      <c r="B310" s="195" t="str">
        <f>IFERROR(__xludf.DUMMYFUNCTION("""COMPUTED_VALUE"""),"Xbox / PC")</f>
        <v>Xbox / PC</v>
      </c>
      <c r="C310" s="195" t="str">
        <f>IFERROR(__xludf.DUMMYFUNCTION("""COMPUTED_VALUE"""),"Touch Controls")</f>
        <v>Touch Controls</v>
      </c>
      <c r="D310" s="196" t="str">
        <f>IFERROR(__xludf.DUMMYFUNCTION("""COMPUTED_VALUE"""),"Removed")</f>
        <v>Removed</v>
      </c>
      <c r="E310" s="271">
        <f>IFERROR(__xludf.DUMMYFUNCTION("""COMPUTED_VALUE"""),44495.0)</f>
        <v>44495</v>
      </c>
      <c r="F310" s="198">
        <f>IFERROR(__xludf.DUMMYFUNCTION("""COMPUTED_VALUE"""),45031.0)</f>
        <v>45031</v>
      </c>
      <c r="G310" s="199">
        <f>IFERROR(__xludf.DUMMYFUNCTION("""COMPUTED_VALUE"""),17.633333333333333)</f>
        <v>17.63333333</v>
      </c>
      <c r="H310" s="210">
        <f>IFERROR(__xludf.DUMMYFUNCTION("""COMPUTED_VALUE"""),44495.0)</f>
        <v>44495</v>
      </c>
      <c r="I310" s="199">
        <f>IFERROR(__xludf.DUMMYFUNCTION("""COMPUTED_VALUE"""),0.0)</f>
        <v>0</v>
      </c>
      <c r="J310" s="267">
        <f>IFERROR(__xludf.DUMMYFUNCTION("""COMPUTED_VALUE"""),75.5)</f>
        <v>75.5</v>
      </c>
      <c r="K310" s="200">
        <f>IFERROR(__xludf.DUMMYFUNCTION("""COMPUTED_VALUE"""),23.0)</f>
        <v>23</v>
      </c>
      <c r="L310" s="265" t="str">
        <f>IFERROR(__xludf.DUMMYFUNCTION("""COMPUTED_VALUE"""),"Adventure / Fishing")</f>
        <v>Adventure / Fishing</v>
      </c>
    </row>
    <row r="311">
      <c r="A311" s="269" t="str">
        <f>IFERROR(__xludf.DUMMYFUNCTION("""COMPUTED_VALUE"""),"The Riftbreaker")</f>
        <v>The Riftbreaker</v>
      </c>
      <c r="B311" s="195" t="str">
        <f>IFERROR(__xludf.DUMMYFUNCTION("""COMPUTED_VALUE"""),"Xbox / PC")</f>
        <v>Xbox / PC</v>
      </c>
      <c r="C311" s="195" t="str">
        <f>IFERROR(__xludf.DUMMYFUNCTION("""COMPUTED_VALUE"""),"Yes")</f>
        <v>Yes</v>
      </c>
      <c r="D311" s="196" t="str">
        <f>IFERROR(__xludf.DUMMYFUNCTION("""COMPUTED_VALUE"""),"Removed")</f>
        <v>Removed</v>
      </c>
      <c r="E311" s="271">
        <f>IFERROR(__xludf.DUMMYFUNCTION("""COMPUTED_VALUE"""),44483.0)</f>
        <v>44483</v>
      </c>
      <c r="F311" s="198">
        <f>IFERROR(__xludf.DUMMYFUNCTION("""COMPUTED_VALUE"""),45031.0)</f>
        <v>45031</v>
      </c>
      <c r="G311" s="199">
        <f>IFERROR(__xludf.DUMMYFUNCTION("""COMPUTED_VALUE"""),18.03333333333333)</f>
        <v>18.03333333</v>
      </c>
      <c r="H311" s="210">
        <f>IFERROR(__xludf.DUMMYFUNCTION("""COMPUTED_VALUE"""),44483.0)</f>
        <v>44483</v>
      </c>
      <c r="I311" s="199">
        <f>IFERROR(__xludf.DUMMYFUNCTION("""COMPUTED_VALUE"""),0.0)</f>
        <v>0</v>
      </c>
      <c r="J311" s="267">
        <f>IFERROR(__xludf.DUMMYFUNCTION("""COMPUTED_VALUE"""),80.5)</f>
        <v>80.5</v>
      </c>
      <c r="K311" s="200">
        <f>IFERROR(__xludf.DUMMYFUNCTION("""COMPUTED_VALUE"""),21.5)</f>
        <v>21.5</v>
      </c>
      <c r="L311" s="265" t="str">
        <f>IFERROR(__xludf.DUMMYFUNCTION("""COMPUTED_VALUE"""),"Action / Strategy")</f>
        <v>Action / Strategy</v>
      </c>
    </row>
    <row r="312">
      <c r="A312" s="269" t="str">
        <f>IFERROR(__xludf.DUMMYFUNCTION("""COMPUTED_VALUE"""),"The Long Dark")</f>
        <v>The Long Dark</v>
      </c>
      <c r="B312" s="196" t="str">
        <f>IFERROR(__xludf.DUMMYFUNCTION("""COMPUTED_VALUE"""),"Xbox / PC")</f>
        <v>Xbox / PC</v>
      </c>
      <c r="C312" s="196" t="str">
        <f>IFERROR(__xludf.DUMMYFUNCTION("""COMPUTED_VALUE"""),"Yes")</f>
        <v>Yes</v>
      </c>
      <c r="D312" s="196" t="str">
        <f>IFERROR(__xludf.DUMMYFUNCTION("""COMPUTED_VALUE"""),"Removed")</f>
        <v>Removed</v>
      </c>
      <c r="E312" s="271">
        <f>IFERROR(__xludf.DUMMYFUNCTION("""COMPUTED_VALUE"""),43937.0)</f>
        <v>43937</v>
      </c>
      <c r="F312" s="198">
        <f>IFERROR(__xludf.DUMMYFUNCTION("""COMPUTED_VALUE"""),45031.0)</f>
        <v>45031</v>
      </c>
      <c r="G312" s="199">
        <f>IFERROR(__xludf.DUMMYFUNCTION("""COMPUTED_VALUE"""),35.96666666666667)</f>
        <v>35.96666667</v>
      </c>
      <c r="H312" s="210">
        <f>IFERROR(__xludf.DUMMYFUNCTION("""COMPUTED_VALUE"""),42948.0)</f>
        <v>42948</v>
      </c>
      <c r="I312" s="199">
        <f>IFERROR(__xludf.DUMMYFUNCTION("""COMPUTED_VALUE"""),2.7083333333333335)</f>
        <v>2.708333333</v>
      </c>
      <c r="J312" s="267">
        <f>IFERROR(__xludf.DUMMYFUNCTION("""COMPUTED_VALUE"""),76.0)</f>
        <v>76</v>
      </c>
      <c r="K312" s="200">
        <f>IFERROR(__xludf.DUMMYFUNCTION("""COMPUTED_VALUE"""),17.5)</f>
        <v>17.5</v>
      </c>
      <c r="L312" s="201" t="str">
        <f>IFERROR(__xludf.DUMMYFUNCTION("""COMPUTED_VALUE"""),"Adventure")</f>
        <v>Adventure</v>
      </c>
    </row>
    <row r="313">
      <c r="A313" s="269" t="str">
        <f>IFERROR(__xludf.DUMMYFUNCTION("""COMPUTED_VALUE"""),"Chinatown Detective Agency")</f>
        <v>Chinatown Detective Agency</v>
      </c>
      <c r="B313" s="195" t="str">
        <f>IFERROR(__xludf.DUMMYFUNCTION("""COMPUTED_VALUE"""),"Xbox / PC")</f>
        <v>Xbox / PC</v>
      </c>
      <c r="C313" s="195" t="str">
        <f>IFERROR(__xludf.DUMMYFUNCTION("""COMPUTED_VALUE"""),"Touch Controls")</f>
        <v>Touch Controls</v>
      </c>
      <c r="D313" s="196" t="str">
        <f>IFERROR(__xludf.DUMMYFUNCTION("""COMPUTED_VALUE"""),"Removed")</f>
        <v>Removed</v>
      </c>
      <c r="E313" s="271">
        <f>IFERROR(__xludf.DUMMYFUNCTION("""COMPUTED_VALUE"""),44658.0)</f>
        <v>44658</v>
      </c>
      <c r="F313" s="198">
        <f>IFERROR(__xludf.DUMMYFUNCTION("""COMPUTED_VALUE"""),45016.0)</f>
        <v>45016</v>
      </c>
      <c r="G313" s="199">
        <f>IFERROR(__xludf.DUMMYFUNCTION("""COMPUTED_VALUE"""),11.766666666666666)</f>
        <v>11.76666667</v>
      </c>
      <c r="H313" s="210">
        <f>IFERROR(__xludf.DUMMYFUNCTION("""COMPUTED_VALUE"""),44658.0)</f>
        <v>44658</v>
      </c>
      <c r="I313" s="199">
        <f>IFERROR(__xludf.DUMMYFUNCTION("""COMPUTED_VALUE"""),0.0)</f>
        <v>0</v>
      </c>
      <c r="J313" s="267">
        <f>IFERROR(__xludf.DUMMYFUNCTION("""COMPUTED_VALUE"""),67.0)</f>
        <v>67</v>
      </c>
      <c r="K313" s="200">
        <f>IFERROR(__xludf.DUMMYFUNCTION("""COMPUTED_VALUE"""),7.0)</f>
        <v>7</v>
      </c>
      <c r="L313" s="265" t="str">
        <f>IFERROR(__xludf.DUMMYFUNCTION("""COMPUTED_VALUE"""),"Puzzle / Action-Adventure")</f>
        <v>Puzzle / Action-Adventure</v>
      </c>
    </row>
    <row r="314">
      <c r="A314" s="190" t="str">
        <f>IFERROR(__xludf.DUMMYFUNCTION("""COMPUTED_VALUE"""),"MLB The Show 22")</f>
        <v>MLB The Show 22</v>
      </c>
      <c r="B314" s="195" t="str">
        <f>IFERROR(__xludf.DUMMYFUNCTION("""COMPUTED_VALUE"""),"Xbox")</f>
        <v>Xbox</v>
      </c>
      <c r="C314" s="195" t="str">
        <f>IFERROR(__xludf.DUMMYFUNCTION("""COMPUTED_VALUE"""),"Touch Controls")</f>
        <v>Touch Controls</v>
      </c>
      <c r="D314" s="196" t="str">
        <f>IFERROR(__xludf.DUMMYFUNCTION("""COMPUTED_VALUE"""),"Removed")</f>
        <v>Removed</v>
      </c>
      <c r="E314" s="271">
        <f>IFERROR(__xludf.DUMMYFUNCTION("""COMPUTED_VALUE"""),44656.0)</f>
        <v>44656</v>
      </c>
      <c r="F314" s="198">
        <f>IFERROR(__xludf.DUMMYFUNCTION("""COMPUTED_VALUE"""),45016.0)</f>
        <v>45016</v>
      </c>
      <c r="G314" s="199">
        <f>IFERROR(__xludf.DUMMYFUNCTION("""COMPUTED_VALUE"""),11.833333333333334)</f>
        <v>11.83333333</v>
      </c>
      <c r="H314" s="210">
        <f>IFERROR(__xludf.DUMMYFUNCTION("""COMPUTED_VALUE"""),44656.0)</f>
        <v>44656</v>
      </c>
      <c r="I314" s="199">
        <f>IFERROR(__xludf.DUMMYFUNCTION("""COMPUTED_VALUE"""),0.0)</f>
        <v>0</v>
      </c>
      <c r="J314" s="267">
        <f>IFERROR(__xludf.DUMMYFUNCTION("""COMPUTED_VALUE"""),80.0)</f>
        <v>80</v>
      </c>
      <c r="K314" s="267">
        <f>IFERROR(__xludf.DUMMYFUNCTION("""COMPUTED_VALUE"""),214.0)</f>
        <v>214</v>
      </c>
      <c r="L314" s="265" t="str">
        <f>IFERROR(__xludf.DUMMYFUNCTION("""COMPUTED_VALUE"""),"Sports / Baseball")</f>
        <v>Sports / Baseball</v>
      </c>
    </row>
    <row r="315">
      <c r="A315" s="269" t="str">
        <f>IFERROR(__xludf.DUMMYFUNCTION("""COMPUTED_VALUE"""),"A Memoir Blue")</f>
        <v>A Memoir Blue</v>
      </c>
      <c r="B315" s="195" t="str">
        <f>IFERROR(__xludf.DUMMYFUNCTION("""COMPUTED_VALUE"""),"Xbox / PC")</f>
        <v>Xbox / PC</v>
      </c>
      <c r="C315" s="195" t="str">
        <f>IFERROR(__xludf.DUMMYFUNCTION("""COMPUTED_VALUE"""),"Touch Controls")</f>
        <v>Touch Controls</v>
      </c>
      <c r="D315" s="196" t="str">
        <f>IFERROR(__xludf.DUMMYFUNCTION("""COMPUTED_VALUE"""),"Removed")</f>
        <v>Removed</v>
      </c>
      <c r="E315" s="271">
        <f>IFERROR(__xludf.DUMMYFUNCTION("""COMPUTED_VALUE"""),44644.0)</f>
        <v>44644</v>
      </c>
      <c r="F315" s="198">
        <f>IFERROR(__xludf.DUMMYFUNCTION("""COMPUTED_VALUE"""),45016.0)</f>
        <v>45016</v>
      </c>
      <c r="G315" s="199">
        <f>IFERROR(__xludf.DUMMYFUNCTION("""COMPUTED_VALUE"""),12.2)</f>
        <v>12.2</v>
      </c>
      <c r="H315" s="210">
        <f>IFERROR(__xludf.DUMMYFUNCTION("""COMPUTED_VALUE"""),44644.0)</f>
        <v>44644</v>
      </c>
      <c r="I315" s="199">
        <f>IFERROR(__xludf.DUMMYFUNCTION("""COMPUTED_VALUE"""),0.0)</f>
        <v>0</v>
      </c>
      <c r="J315" s="267">
        <f>IFERROR(__xludf.DUMMYFUNCTION("""COMPUTED_VALUE"""),74.0)</f>
        <v>74</v>
      </c>
      <c r="K315" s="200">
        <f>IFERROR(__xludf.DUMMYFUNCTION("""COMPUTED_VALUE"""),1.0)</f>
        <v>1</v>
      </c>
      <c r="L315" s="265" t="str">
        <f>IFERROR(__xludf.DUMMYFUNCTION("""COMPUTED_VALUE"""),"Adventure")</f>
        <v>Adventure</v>
      </c>
    </row>
    <row r="316">
      <c r="A316" s="269" t="str">
        <f>IFERROR(__xludf.DUMMYFUNCTION("""COMPUTED_VALUE"""),"Kraken Academy!!")</f>
        <v>Kraken Academy!!</v>
      </c>
      <c r="B316" s="195" t="str">
        <f>IFERROR(__xludf.DUMMYFUNCTION("""COMPUTED_VALUE"""),"Xbox / PC")</f>
        <v>Xbox / PC</v>
      </c>
      <c r="C316" s="195" t="str">
        <f>IFERROR(__xludf.DUMMYFUNCTION("""COMPUTED_VALUE"""),"Touch Controls")</f>
        <v>Touch Controls</v>
      </c>
      <c r="D316" s="196" t="str">
        <f>IFERROR(__xludf.DUMMYFUNCTION("""COMPUTED_VALUE"""),"Removed")</f>
        <v>Removed</v>
      </c>
      <c r="E316" s="271">
        <f>IFERROR(__xludf.DUMMYFUNCTION("""COMPUTED_VALUE"""),44642.0)</f>
        <v>44642</v>
      </c>
      <c r="F316" s="198">
        <f>IFERROR(__xludf.DUMMYFUNCTION("""COMPUTED_VALUE"""),45016.0)</f>
        <v>45016</v>
      </c>
      <c r="G316" s="199">
        <f>IFERROR(__xludf.DUMMYFUNCTION("""COMPUTED_VALUE"""),12.266666666666666)</f>
        <v>12.26666667</v>
      </c>
      <c r="H316" s="210">
        <f>IFERROR(__xludf.DUMMYFUNCTION("""COMPUTED_VALUE"""),44642.0)</f>
        <v>44642</v>
      </c>
      <c r="I316" s="199">
        <f>IFERROR(__xludf.DUMMYFUNCTION("""COMPUTED_VALUE"""),0.0)</f>
        <v>0</v>
      </c>
      <c r="J316" s="267">
        <f>IFERROR(__xludf.DUMMYFUNCTION("""COMPUTED_VALUE"""),60.0)</f>
        <v>60</v>
      </c>
      <c r="K316" s="200">
        <f>IFERROR(__xludf.DUMMYFUNCTION("""COMPUTED_VALUE"""),7.5)</f>
        <v>7.5</v>
      </c>
      <c r="L316" s="265" t="str">
        <f>IFERROR(__xludf.DUMMYFUNCTION("""COMPUTED_VALUE"""),"Adventure")</f>
        <v>Adventure</v>
      </c>
    </row>
    <row r="317">
      <c r="A317" s="269" t="str">
        <f>IFERROR(__xludf.DUMMYFUNCTION("""COMPUTED_VALUE"""),"Power Rangers: Battle for the Grid")</f>
        <v>Power Rangers: Battle for the Grid</v>
      </c>
      <c r="B317" s="195" t="str">
        <f>IFERROR(__xludf.DUMMYFUNCTION("""COMPUTED_VALUE"""),"Xbox / PC")</f>
        <v>Xbox / PC</v>
      </c>
      <c r="C317" s="195" t="str">
        <f>IFERROR(__xludf.DUMMYFUNCTION("""COMPUTED_VALUE"""),"Yes")</f>
        <v>Yes</v>
      </c>
      <c r="D317" s="196" t="str">
        <f>IFERROR(__xludf.DUMMYFUNCTION("""COMPUTED_VALUE"""),"Removed")</f>
        <v>Removed</v>
      </c>
      <c r="E317" s="271">
        <f>IFERROR(__xludf.DUMMYFUNCTION("""COMPUTED_VALUE"""),43916.0)</f>
        <v>43916</v>
      </c>
      <c r="F317" s="198">
        <f>IFERROR(__xludf.DUMMYFUNCTION("""COMPUTED_VALUE"""),45016.0)</f>
        <v>45016</v>
      </c>
      <c r="G317" s="199">
        <f>IFERROR(__xludf.DUMMYFUNCTION("""COMPUTED_VALUE"""),36.13333333333333)</f>
        <v>36.13333333</v>
      </c>
      <c r="H317" s="210">
        <f>IFERROR(__xludf.DUMMYFUNCTION("""COMPUTED_VALUE"""),43550.0)</f>
        <v>43550</v>
      </c>
      <c r="I317" s="199">
        <f>IFERROR(__xludf.DUMMYFUNCTION("""COMPUTED_VALUE"""),1.0)</f>
        <v>1</v>
      </c>
      <c r="J317" s="267">
        <f>IFERROR(__xludf.DUMMYFUNCTION("""COMPUTED_VALUE"""),53.0)</f>
        <v>53</v>
      </c>
      <c r="K317" s="200">
        <f>IFERROR(__xludf.DUMMYFUNCTION("""COMPUTED_VALUE"""),2.0)</f>
        <v>2</v>
      </c>
      <c r="L317" s="265" t="str">
        <f>IFERROR(__xludf.DUMMYFUNCTION("""COMPUTED_VALUE"""),"Fighting")</f>
        <v>Fighting</v>
      </c>
    </row>
    <row r="318">
      <c r="A318" s="269" t="str">
        <f>IFERROR(__xludf.DUMMYFUNCTION("""COMPUTED_VALUE"""),"ClusterTruck")</f>
        <v>ClusterTruck</v>
      </c>
      <c r="B318" s="195" t="str">
        <f>IFERROR(__xludf.DUMMYFUNCTION("""COMPUTED_VALUE"""),"Xbox / PC")</f>
        <v>Xbox / PC</v>
      </c>
      <c r="C318" s="196" t="str">
        <f>IFERROR(__xludf.DUMMYFUNCTION("""COMPUTED_VALUE"""),"Yes")</f>
        <v>Yes</v>
      </c>
      <c r="D318" s="196" t="str">
        <f>IFERROR(__xludf.DUMMYFUNCTION("""COMPUTED_VALUE"""),"Removed")</f>
        <v>Removed</v>
      </c>
      <c r="E318" s="271">
        <f>IFERROR(__xludf.DUMMYFUNCTION("""COMPUTED_VALUE"""),43191.0)</f>
        <v>43191</v>
      </c>
      <c r="F318" s="198">
        <f>IFERROR(__xludf.DUMMYFUNCTION("""COMPUTED_VALUE"""),45016.0)</f>
        <v>45016</v>
      </c>
      <c r="G318" s="199">
        <f>IFERROR(__xludf.DUMMYFUNCTION("""COMPUTED_VALUE"""),59.96666666666666)</f>
        <v>59.96666667</v>
      </c>
      <c r="H318" s="210">
        <f>IFERROR(__xludf.DUMMYFUNCTION("""COMPUTED_VALUE"""),42640.0)</f>
        <v>42640</v>
      </c>
      <c r="I318" s="199">
        <f>IFERROR(__xludf.DUMMYFUNCTION("""COMPUTED_VALUE"""),1.511111111111111)</f>
        <v>1.511111111</v>
      </c>
      <c r="J318" s="267">
        <f>IFERROR(__xludf.DUMMYFUNCTION("""COMPUTED_VALUE"""),69.0)</f>
        <v>69</v>
      </c>
      <c r="K318" s="200">
        <f>IFERROR(__xludf.DUMMYFUNCTION("""COMPUTED_VALUE"""),3.5)</f>
        <v>3.5</v>
      </c>
      <c r="L318" s="265" t="str">
        <f>IFERROR(__xludf.DUMMYFUNCTION("""COMPUTED_VALUE"""),"Platformer")</f>
        <v>Platformer</v>
      </c>
    </row>
    <row r="319">
      <c r="A319" s="269" t="str">
        <f>IFERROR(__xludf.DUMMYFUNCTION("""COMPUTED_VALUE"""),"Double Dragon Neon")</f>
        <v>Double Dragon Neon</v>
      </c>
      <c r="B319" s="195" t="str">
        <f>IFERROR(__xludf.DUMMYFUNCTION("""COMPUTED_VALUE"""),"Xbox")</f>
        <v>Xbox</v>
      </c>
      <c r="C319" s="195" t="str">
        <f>IFERROR(__xludf.DUMMYFUNCTION("""COMPUTED_VALUE"""),"Touch Controls")</f>
        <v>Touch Controls</v>
      </c>
      <c r="D319" s="196" t="str">
        <f>IFERROR(__xludf.DUMMYFUNCTION("""COMPUTED_VALUE"""),"Removed")</f>
        <v>Removed</v>
      </c>
      <c r="E319" s="271">
        <f>IFERROR(__xludf.DUMMYFUNCTION("""COMPUTED_VALUE"""),42887.0)</f>
        <v>42887</v>
      </c>
      <c r="F319" s="198">
        <f>IFERROR(__xludf.DUMMYFUNCTION("""COMPUTED_VALUE"""),45016.0)</f>
        <v>45016</v>
      </c>
      <c r="G319" s="199">
        <f>IFERROR(__xludf.DUMMYFUNCTION("""COMPUTED_VALUE"""),69.96666666666667)</f>
        <v>69.96666667</v>
      </c>
      <c r="H319" s="210">
        <f>IFERROR(__xludf.DUMMYFUNCTION("""COMPUTED_VALUE"""),41163.0)</f>
        <v>41163</v>
      </c>
      <c r="I319" s="199">
        <f>IFERROR(__xludf.DUMMYFUNCTION("""COMPUTED_VALUE"""),4.722222222222222)</f>
        <v>4.722222222</v>
      </c>
      <c r="J319" s="267">
        <f>IFERROR(__xludf.DUMMYFUNCTION("""COMPUTED_VALUE"""),66.0)</f>
        <v>66</v>
      </c>
      <c r="K319" s="200">
        <f>IFERROR(__xludf.DUMMYFUNCTION("""COMPUTED_VALUE"""),3.5)</f>
        <v>3.5</v>
      </c>
      <c r="L319" s="265" t="str">
        <f>IFERROR(__xludf.DUMMYFUNCTION("""COMPUTED_VALUE"""),"Adventure")</f>
        <v>Adventure</v>
      </c>
    </row>
    <row r="320">
      <c r="A320" s="269" t="str">
        <f>IFERROR(__xludf.DUMMYFUNCTION("""COMPUTED_VALUE"""),"Zero Escape: The Nonary Games")</f>
        <v>Zero Escape: The Nonary Games</v>
      </c>
      <c r="B320" s="195" t="str">
        <f>IFERROR(__xludf.DUMMYFUNCTION("""COMPUTED_VALUE"""),"Xbox / PC")</f>
        <v>Xbox / PC</v>
      </c>
      <c r="C320" s="195" t="str">
        <f>IFERROR(__xludf.DUMMYFUNCTION("""COMPUTED_VALUE"""),"Touch Controls")</f>
        <v>Touch Controls</v>
      </c>
      <c r="D320" s="196" t="str">
        <f>IFERROR(__xludf.DUMMYFUNCTION("""COMPUTED_VALUE"""),"Removed")</f>
        <v>Removed</v>
      </c>
      <c r="E320" s="271">
        <f>IFERROR(__xludf.DUMMYFUNCTION("""COMPUTED_VALUE"""),44642.0)</f>
        <v>44642</v>
      </c>
      <c r="F320" s="198">
        <f>IFERROR(__xludf.DUMMYFUNCTION("""COMPUTED_VALUE"""),45000.0)</f>
        <v>45000</v>
      </c>
      <c r="G320" s="199">
        <f>IFERROR(__xludf.DUMMYFUNCTION("""COMPUTED_VALUE"""),11.766666666666666)</f>
        <v>11.76666667</v>
      </c>
      <c r="H320" s="210">
        <f>IFERROR(__xludf.DUMMYFUNCTION("""COMPUTED_VALUE"""),42818.0)</f>
        <v>42818</v>
      </c>
      <c r="I320" s="199">
        <f>IFERROR(__xludf.DUMMYFUNCTION("""COMPUTED_VALUE"""),4.9944444444444445)</f>
        <v>4.994444444</v>
      </c>
      <c r="J320" s="267">
        <f>IFERROR(__xludf.DUMMYFUNCTION("""COMPUTED_VALUE"""),86.0)</f>
        <v>86</v>
      </c>
      <c r="K320" s="200">
        <f>IFERROR(__xludf.DUMMYFUNCTION("""COMPUTED_VALUE"""),33.5)</f>
        <v>33.5</v>
      </c>
      <c r="L320" s="201" t="str">
        <f>IFERROR(__xludf.DUMMYFUNCTION("""COMPUTED_VALUE"""),"Adventure / Compilation / Puzzle")</f>
        <v>Adventure / Compilation / Puzzle</v>
      </c>
    </row>
    <row r="321">
      <c r="A321" s="269" t="str">
        <f>IFERROR(__xludf.DUMMYFUNCTION("""COMPUTED_VALUE"""),"Paradise Killer")</f>
        <v>Paradise Killer</v>
      </c>
      <c r="B321" s="195" t="str">
        <f>IFERROR(__xludf.DUMMYFUNCTION("""COMPUTED_VALUE"""),"Xbox / PC")</f>
        <v>Xbox / PC</v>
      </c>
      <c r="C321" s="195" t="str">
        <f>IFERROR(__xludf.DUMMYFUNCTION("""COMPUTED_VALUE"""),"Touch Controls")</f>
        <v>Touch Controls</v>
      </c>
      <c r="D321" s="196" t="str">
        <f>IFERROR(__xludf.DUMMYFUNCTION("""COMPUTED_VALUE"""),"Removed")</f>
        <v>Removed</v>
      </c>
      <c r="E321" s="271">
        <f>IFERROR(__xludf.DUMMYFUNCTION("""COMPUTED_VALUE"""),44636.0)</f>
        <v>44636</v>
      </c>
      <c r="F321" s="198">
        <f>IFERROR(__xludf.DUMMYFUNCTION("""COMPUTED_VALUE"""),45000.0)</f>
        <v>45000</v>
      </c>
      <c r="G321" s="199">
        <f>IFERROR(__xludf.DUMMYFUNCTION("""COMPUTED_VALUE"""),11.966666666666667)</f>
        <v>11.96666667</v>
      </c>
      <c r="H321" s="210">
        <f>IFERROR(__xludf.DUMMYFUNCTION("""COMPUTED_VALUE"""),44098.0)</f>
        <v>44098</v>
      </c>
      <c r="I321" s="199">
        <f>IFERROR(__xludf.DUMMYFUNCTION("""COMPUTED_VALUE"""),1.4777777777777779)</f>
        <v>1.477777778</v>
      </c>
      <c r="J321" s="267">
        <f>IFERROR(__xludf.DUMMYFUNCTION("""COMPUTED_VALUE"""),81.0)</f>
        <v>81</v>
      </c>
      <c r="K321" s="200">
        <f>IFERROR(__xludf.DUMMYFUNCTION("""COMPUTED_VALUE"""),12.0)</f>
        <v>12</v>
      </c>
      <c r="L321" s="265" t="str">
        <f>IFERROR(__xludf.DUMMYFUNCTION("""COMPUTED_VALUE"""),"Adventure")</f>
        <v>Adventure</v>
      </c>
    </row>
    <row r="322">
      <c r="A322" s="269" t="str">
        <f>IFERROR(__xludf.DUMMYFUNCTION("""COMPUTED_VALUE"""),"Kentucky Route Zero")</f>
        <v>Kentucky Route Zero</v>
      </c>
      <c r="B322" s="195" t="str">
        <f>IFERROR(__xludf.DUMMYFUNCTION("""COMPUTED_VALUE"""),"Xbox / PC")</f>
        <v>Xbox / PC</v>
      </c>
      <c r="C322" s="195" t="str">
        <f>IFERROR(__xludf.DUMMYFUNCTION("""COMPUTED_VALUE"""),"Touch Controls")</f>
        <v>Touch Controls</v>
      </c>
      <c r="D322" s="196" t="str">
        <f>IFERROR(__xludf.DUMMYFUNCTION("""COMPUTED_VALUE"""),"Removed")</f>
        <v>Removed</v>
      </c>
      <c r="E322" s="271">
        <f>IFERROR(__xludf.DUMMYFUNCTION("""COMPUTED_VALUE"""),44630.0)</f>
        <v>44630</v>
      </c>
      <c r="F322" s="198">
        <f>IFERROR(__xludf.DUMMYFUNCTION("""COMPUTED_VALUE"""),45000.0)</f>
        <v>45000</v>
      </c>
      <c r="G322" s="199">
        <f>IFERROR(__xludf.DUMMYFUNCTION("""COMPUTED_VALUE"""),12.166666666666666)</f>
        <v>12.16666667</v>
      </c>
      <c r="H322" s="210">
        <f>IFERROR(__xludf.DUMMYFUNCTION("""COMPUTED_VALUE"""),41327.0)</f>
        <v>41327</v>
      </c>
      <c r="I322" s="199">
        <f>IFERROR(__xludf.DUMMYFUNCTION("""COMPUTED_VALUE"""),9.05)</f>
        <v>9.05</v>
      </c>
      <c r="J322" s="200">
        <f>IFERROR(__xludf.DUMMYFUNCTION("""COMPUTED_VALUE"""),86.5)</f>
        <v>86.5</v>
      </c>
      <c r="K322" s="200">
        <f>IFERROR(__xludf.DUMMYFUNCTION("""COMPUTED_VALUE"""),10.0)</f>
        <v>10</v>
      </c>
      <c r="L322" s="265" t="str">
        <f>IFERROR(__xludf.DUMMYFUNCTION("""COMPUTED_VALUE"""),"Adventure")</f>
        <v>Adventure</v>
      </c>
    </row>
    <row r="323">
      <c r="A323" s="190" t="str">
        <f>IFERROR(__xludf.DUMMYFUNCTION("""COMPUTED_VALUE"""),"Marvel's Guardians of the Galaxy")</f>
        <v>Marvel's Guardians of the Galaxy</v>
      </c>
      <c r="B323" s="196" t="str">
        <f>IFERROR(__xludf.DUMMYFUNCTION("""COMPUTED_VALUE"""),"Xbox / PC")</f>
        <v>Xbox / PC</v>
      </c>
      <c r="C323" s="196" t="str">
        <f>IFERROR(__xludf.DUMMYFUNCTION("""COMPUTED_VALUE"""),"Yes")</f>
        <v>Yes</v>
      </c>
      <c r="D323" s="196" t="str">
        <f>IFERROR(__xludf.DUMMYFUNCTION("""COMPUTED_VALUE"""),"Removed")</f>
        <v>Removed</v>
      </c>
      <c r="E323" s="271">
        <f>IFERROR(__xludf.DUMMYFUNCTION("""COMPUTED_VALUE"""),44630.0)</f>
        <v>44630</v>
      </c>
      <c r="F323" s="198">
        <f>IFERROR(__xludf.DUMMYFUNCTION("""COMPUTED_VALUE"""),45000.0)</f>
        <v>45000</v>
      </c>
      <c r="G323" s="199">
        <f>IFERROR(__xludf.DUMMYFUNCTION("""COMPUTED_VALUE"""),12.166666666666666)</f>
        <v>12.16666667</v>
      </c>
      <c r="H323" s="210">
        <f>IFERROR(__xludf.DUMMYFUNCTION("""COMPUTED_VALUE"""),44495.0)</f>
        <v>44495</v>
      </c>
      <c r="I323" s="199">
        <f>IFERROR(__xludf.DUMMYFUNCTION("""COMPUTED_VALUE"""),0.37222222222222223)</f>
        <v>0.3722222222</v>
      </c>
      <c r="J323" s="200">
        <f>IFERROR(__xludf.DUMMYFUNCTION("""COMPUTED_VALUE"""),81.0)</f>
        <v>81</v>
      </c>
      <c r="K323" s="200">
        <f>IFERROR(__xludf.DUMMYFUNCTION("""COMPUTED_VALUE"""),17.0)</f>
        <v>17</v>
      </c>
      <c r="L323" s="265" t="str">
        <f>IFERROR(__xludf.DUMMYFUNCTION("""COMPUTED_VALUE"""),"Action-Adventure")</f>
        <v>Action-Adventure</v>
      </c>
    </row>
    <row r="324">
      <c r="A324" s="269" t="str">
        <f>IFERROR(__xludf.DUMMYFUNCTION("""COMPUTED_VALUE"""),"Young Souls")</f>
        <v>Young Souls</v>
      </c>
      <c r="B324" s="195" t="str">
        <f>IFERROR(__xludf.DUMMYFUNCTION("""COMPUTED_VALUE"""),"Xbox / PC")</f>
        <v>Xbox / PC</v>
      </c>
      <c r="C324" s="195" t="str">
        <f>IFERROR(__xludf.DUMMYFUNCTION("""COMPUTED_VALUE"""),"Touch Controls")</f>
        <v>Touch Controls</v>
      </c>
      <c r="D324" s="196" t="str">
        <f>IFERROR(__xludf.DUMMYFUNCTION("""COMPUTED_VALUE"""),"Removed")</f>
        <v>Removed</v>
      </c>
      <c r="E324" s="271">
        <f>IFERROR(__xludf.DUMMYFUNCTION("""COMPUTED_VALUE"""),44630.0)</f>
        <v>44630</v>
      </c>
      <c r="F324" s="198">
        <f>IFERROR(__xludf.DUMMYFUNCTION("""COMPUTED_VALUE"""),45000.0)</f>
        <v>45000</v>
      </c>
      <c r="G324" s="199">
        <f>IFERROR(__xludf.DUMMYFUNCTION("""COMPUTED_VALUE"""),12.166666666666666)</f>
        <v>12.16666667</v>
      </c>
      <c r="H324" s="210">
        <f>IFERROR(__xludf.DUMMYFUNCTION("""COMPUTED_VALUE"""),44425.0)</f>
        <v>44425</v>
      </c>
      <c r="I324" s="199">
        <f>IFERROR(__xludf.DUMMYFUNCTION("""COMPUTED_VALUE"""),0.5638888888888889)</f>
        <v>0.5638888889</v>
      </c>
      <c r="J324" s="267">
        <f>IFERROR(__xludf.DUMMYFUNCTION("""COMPUTED_VALUE"""),83.0)</f>
        <v>83</v>
      </c>
      <c r="K324" s="267">
        <f>IFERROR(__xludf.DUMMYFUNCTION("""COMPUTED_VALUE"""),21.5)</f>
        <v>21.5</v>
      </c>
      <c r="L324" s="265" t="str">
        <f>IFERROR(__xludf.DUMMYFUNCTION("""COMPUTED_VALUE"""),"Brawler / Action-Adventure")</f>
        <v>Brawler / Action-Adventure</v>
      </c>
    </row>
    <row r="325">
      <c r="A325" s="269" t="str">
        <f>IFERROR(__xludf.DUMMYFUNCTION("""COMPUTED_VALUE"""),"F1 2020")</f>
        <v>F1 2020</v>
      </c>
      <c r="B325" s="195" t="str">
        <f>IFERROR(__xludf.DUMMYFUNCTION("""COMPUTED_VALUE"""),"Xbox")</f>
        <v>Xbox</v>
      </c>
      <c r="C325" s="195"/>
      <c r="D325" s="196" t="str">
        <f>IFERROR(__xludf.DUMMYFUNCTION("""COMPUTED_VALUE"""),"Removed")</f>
        <v>Removed</v>
      </c>
      <c r="E325" s="271">
        <f>IFERROR(__xludf.DUMMYFUNCTION("""COMPUTED_VALUE"""),44418.0)</f>
        <v>44418</v>
      </c>
      <c r="F325" s="198">
        <f>IFERROR(__xludf.DUMMYFUNCTION("""COMPUTED_VALUE"""),45000.0)</f>
        <v>45000</v>
      </c>
      <c r="G325" s="199">
        <f>IFERROR(__xludf.DUMMYFUNCTION("""COMPUTED_VALUE"""),19.166666666666668)</f>
        <v>19.16666667</v>
      </c>
      <c r="H325" s="210">
        <f>IFERROR(__xludf.DUMMYFUNCTION("""COMPUTED_VALUE"""),44022.0)</f>
        <v>44022</v>
      </c>
      <c r="I325" s="199">
        <f>IFERROR(__xludf.DUMMYFUNCTION("""COMPUTED_VALUE"""),1.0833333333333333)</f>
        <v>1.083333333</v>
      </c>
      <c r="J325" s="267">
        <f>IFERROR(__xludf.DUMMYFUNCTION("""COMPUTED_VALUE"""),91.0)</f>
        <v>91</v>
      </c>
      <c r="K325" s="267">
        <f>IFERROR(__xludf.DUMMYFUNCTION("""COMPUTED_VALUE"""),31.5)</f>
        <v>31.5</v>
      </c>
      <c r="L325" s="265" t="str">
        <f>IFERROR(__xludf.DUMMYFUNCTION("""COMPUTED_VALUE"""),"Driving/Racing")</f>
        <v>Driving/Racing</v>
      </c>
    </row>
    <row r="326">
      <c r="A326" s="269" t="str">
        <f>IFERROR(__xludf.DUMMYFUNCTION("""COMPUTED_VALUE"""),"Undertale")</f>
        <v>Undertale</v>
      </c>
      <c r="B326" s="195" t="str">
        <f>IFERROR(__xludf.DUMMYFUNCTION("""COMPUTED_VALUE"""),"Xbox / PC")</f>
        <v>Xbox / PC</v>
      </c>
      <c r="C326" s="196" t="str">
        <f>IFERROR(__xludf.DUMMYFUNCTION("""COMPUTED_VALUE"""),"Yes")</f>
        <v>Yes</v>
      </c>
      <c r="D326" s="196" t="str">
        <f>IFERROR(__xludf.DUMMYFUNCTION("""COMPUTED_VALUE"""),"Removed")</f>
        <v>Removed</v>
      </c>
      <c r="E326" s="271">
        <f>IFERROR(__xludf.DUMMYFUNCTION("""COMPUTED_VALUE"""),43650.0)</f>
        <v>43650</v>
      </c>
      <c r="F326" s="198">
        <f>IFERROR(__xludf.DUMMYFUNCTION("""COMPUTED_VALUE"""),45000.0)</f>
        <v>45000</v>
      </c>
      <c r="G326" s="199">
        <f>IFERROR(__xludf.DUMMYFUNCTION("""COMPUTED_VALUE"""),44.36666666666667)</f>
        <v>44.36666667</v>
      </c>
      <c r="H326" s="210">
        <f>IFERROR(__xludf.DUMMYFUNCTION("""COMPUTED_VALUE"""),42262.0)</f>
        <v>42262</v>
      </c>
      <c r="I326" s="199">
        <f>IFERROR(__xludf.DUMMYFUNCTION("""COMPUTED_VALUE"""),3.8027777777777776)</f>
        <v>3.802777778</v>
      </c>
      <c r="J326" s="267">
        <f>IFERROR(__xludf.DUMMYFUNCTION("""COMPUTED_VALUE"""),92.0)</f>
        <v>92</v>
      </c>
      <c r="K326" s="200">
        <f>IFERROR(__xludf.DUMMYFUNCTION("""COMPUTED_VALUE"""),6.5)</f>
        <v>6.5</v>
      </c>
      <c r="L326" s="265" t="str">
        <f>IFERROR(__xludf.DUMMYFUNCTION("""COMPUTED_VALUE"""),"RPG")</f>
        <v>RPG</v>
      </c>
    </row>
    <row r="327">
      <c r="A327" s="269" t="str">
        <f>IFERROR(__xludf.DUMMYFUNCTION("""COMPUTED_VALUE"""),"Lightning Returns: Final Fantasy XIII")</f>
        <v>Lightning Returns: Final Fantasy XIII</v>
      </c>
      <c r="B327" s="195" t="str">
        <f>IFERROR(__xludf.DUMMYFUNCTION("""COMPUTED_VALUE"""),"Xbox / PC")</f>
        <v>Xbox / PC</v>
      </c>
      <c r="C327" s="195"/>
      <c r="D327" s="196" t="str">
        <f>IFERROR(__xludf.DUMMYFUNCTION("""COMPUTED_VALUE"""),"Removed")</f>
        <v>Removed</v>
      </c>
      <c r="E327" s="271">
        <f>IFERROR(__xludf.DUMMYFUNCTION("""COMPUTED_VALUE"""),44623.0)</f>
        <v>44623</v>
      </c>
      <c r="F327" s="198">
        <f>IFERROR(__xludf.DUMMYFUNCTION("""COMPUTED_VALUE"""),44985.0)</f>
        <v>44985</v>
      </c>
      <c r="G327" s="199">
        <f>IFERROR(__xludf.DUMMYFUNCTION("""COMPUTED_VALUE"""),11.833333333333334)</f>
        <v>11.83333333</v>
      </c>
      <c r="H327" s="210">
        <f>IFERROR(__xludf.DUMMYFUNCTION("""COMPUTED_VALUE"""),41599.0)</f>
        <v>41599</v>
      </c>
      <c r="I327" s="199">
        <f>IFERROR(__xludf.DUMMYFUNCTION("""COMPUTED_VALUE"""),8.283333333333333)</f>
        <v>8.283333333</v>
      </c>
      <c r="J327" s="267">
        <f>IFERROR(__xludf.DUMMYFUNCTION("""COMPUTED_VALUE"""),67.5)</f>
        <v>67.5</v>
      </c>
      <c r="K327" s="200">
        <f>IFERROR(__xludf.DUMMYFUNCTION("""COMPUTED_VALUE"""),33.5)</f>
        <v>33.5</v>
      </c>
      <c r="L327" s="265" t="str">
        <f>IFERROR(__xludf.DUMMYFUNCTION("""COMPUTED_VALUE"""),"Action / RPG")</f>
        <v>Action / RPG</v>
      </c>
    </row>
    <row r="328">
      <c r="A328" s="269" t="str">
        <f>IFERROR(__xludf.DUMMYFUNCTION("""COMPUTED_VALUE"""),"FAR: Changing Tides")</f>
        <v>FAR: Changing Tides</v>
      </c>
      <c r="B328" s="195" t="str">
        <f>IFERROR(__xludf.DUMMYFUNCTION("""COMPUTED_VALUE"""),"Xbox / PC")</f>
        <v>Xbox / PC</v>
      </c>
      <c r="C328" s="195" t="str">
        <f>IFERROR(__xludf.DUMMYFUNCTION("""COMPUTED_VALUE"""),"Touch Controls")</f>
        <v>Touch Controls</v>
      </c>
      <c r="D328" s="196" t="str">
        <f>IFERROR(__xludf.DUMMYFUNCTION("""COMPUTED_VALUE"""),"Removed")</f>
        <v>Removed</v>
      </c>
      <c r="E328" s="271">
        <f>IFERROR(__xludf.DUMMYFUNCTION("""COMPUTED_VALUE"""),44621.0)</f>
        <v>44621</v>
      </c>
      <c r="F328" s="198">
        <f>IFERROR(__xludf.DUMMYFUNCTION("""COMPUTED_VALUE"""),44985.0)</f>
        <v>44985</v>
      </c>
      <c r="G328" s="199">
        <f>IFERROR(__xludf.DUMMYFUNCTION("""COMPUTED_VALUE"""),11.9)</f>
        <v>11.9</v>
      </c>
      <c r="H328" s="210">
        <f>IFERROR(__xludf.DUMMYFUNCTION("""COMPUTED_VALUE"""),44621.0)</f>
        <v>44621</v>
      </c>
      <c r="I328" s="199">
        <f>IFERROR(__xludf.DUMMYFUNCTION("""COMPUTED_VALUE"""),0.0)</f>
        <v>0</v>
      </c>
      <c r="J328" s="267">
        <f>IFERROR(__xludf.DUMMYFUNCTION("""COMPUTED_VALUE"""),76.5)</f>
        <v>76.5</v>
      </c>
      <c r="K328" s="200">
        <f>IFERROR(__xludf.DUMMYFUNCTION("""COMPUTED_VALUE"""),5.0)</f>
        <v>5</v>
      </c>
      <c r="L328" s="265" t="str">
        <f>IFERROR(__xludf.DUMMYFUNCTION("""COMPUTED_VALUE"""),"Adventure / Puzzle")</f>
        <v>Adventure / Puzzle</v>
      </c>
    </row>
    <row r="329">
      <c r="A329" s="190" t="str">
        <f>IFERROR(__xludf.DUMMYFUNCTION("""COMPUTED_VALUE"""),"Dragon Ball FighterZ")</f>
        <v>Dragon Ball FighterZ</v>
      </c>
      <c r="B329" s="195" t="str">
        <f>IFERROR(__xludf.DUMMYFUNCTION("""COMPUTED_VALUE"""),"Xbox / PC")</f>
        <v>Xbox / PC</v>
      </c>
      <c r="C329" s="195" t="str">
        <f>IFERROR(__xludf.DUMMYFUNCTION("""COMPUTED_VALUE"""),"Yes")</f>
        <v>Yes</v>
      </c>
      <c r="D329" s="196" t="str">
        <f>IFERROR(__xludf.DUMMYFUNCTION("""COMPUTED_VALUE"""),"Removed")</f>
        <v>Removed</v>
      </c>
      <c r="E329" s="271">
        <f>IFERROR(__xludf.DUMMYFUNCTION("""COMPUTED_VALUE"""),44490.0)</f>
        <v>44490</v>
      </c>
      <c r="F329" s="198">
        <f>IFERROR(__xludf.DUMMYFUNCTION("""COMPUTED_VALUE"""),44985.0)</f>
        <v>44985</v>
      </c>
      <c r="G329" s="199">
        <f>IFERROR(__xludf.DUMMYFUNCTION("""COMPUTED_VALUE"""),16.233333333333334)</f>
        <v>16.23333333</v>
      </c>
      <c r="H329" s="210">
        <f>IFERROR(__xludf.DUMMYFUNCTION("""COMPUTED_VALUE"""),43126.0)</f>
        <v>43126</v>
      </c>
      <c r="I329" s="199">
        <f>IFERROR(__xludf.DUMMYFUNCTION("""COMPUTED_VALUE"""),3.736111111111111)</f>
        <v>3.736111111</v>
      </c>
      <c r="J329" s="200">
        <f>IFERROR(__xludf.DUMMYFUNCTION("""COMPUTED_VALUE"""),85.5)</f>
        <v>85.5</v>
      </c>
      <c r="K329" s="200">
        <f>IFERROR(__xludf.DUMMYFUNCTION("""COMPUTED_VALUE"""),12.0)</f>
        <v>12</v>
      </c>
      <c r="L329" s="265" t="str">
        <f>IFERROR(__xludf.DUMMYFUNCTION("""COMPUTED_VALUE"""),"Fighting")</f>
        <v>Fighting</v>
      </c>
    </row>
    <row r="330">
      <c r="A330" s="269" t="str">
        <f>IFERROR(__xludf.DUMMYFUNCTION("""COMPUTED_VALUE"""),"Crown Trick")</f>
        <v>Crown Trick</v>
      </c>
      <c r="B330" s="195" t="str">
        <f>IFERROR(__xludf.DUMMYFUNCTION("""COMPUTED_VALUE"""),"Xbox / PC")</f>
        <v>Xbox / PC</v>
      </c>
      <c r="C330" s="195" t="str">
        <f>IFERROR(__xludf.DUMMYFUNCTION("""COMPUTED_VALUE"""),"Touch Controls")</f>
        <v>Touch Controls</v>
      </c>
      <c r="D330" s="196" t="str">
        <f>IFERROR(__xludf.DUMMYFUNCTION("""COMPUTED_VALUE"""),"Removed")</f>
        <v>Removed</v>
      </c>
      <c r="E330" s="271">
        <f>IFERROR(__xludf.DUMMYFUNCTION("""COMPUTED_VALUE"""),44446.0)</f>
        <v>44446</v>
      </c>
      <c r="F330" s="198">
        <f>IFERROR(__xludf.DUMMYFUNCTION("""COMPUTED_VALUE"""),44985.0)</f>
        <v>44985</v>
      </c>
      <c r="G330" s="199">
        <f>IFERROR(__xludf.DUMMYFUNCTION("""COMPUTED_VALUE"""),17.700000000000003)</f>
        <v>17.7</v>
      </c>
      <c r="H330" s="210">
        <f>IFERROR(__xludf.DUMMYFUNCTION("""COMPUTED_VALUE"""),44120.0)</f>
        <v>44120</v>
      </c>
      <c r="I330" s="199">
        <f>IFERROR(__xludf.DUMMYFUNCTION("""COMPUTED_VALUE"""),0.8916666666666667)</f>
        <v>0.8916666667</v>
      </c>
      <c r="J330" s="267">
        <f>IFERROR(__xludf.DUMMYFUNCTION("""COMPUTED_VALUE"""),83.0)</f>
        <v>83</v>
      </c>
      <c r="K330" s="267">
        <f>IFERROR(__xludf.DUMMYFUNCTION("""COMPUTED_VALUE"""),17.0)</f>
        <v>17</v>
      </c>
      <c r="L330" s="265" t="str">
        <f>IFERROR(__xludf.DUMMYFUNCTION("""COMPUTED_VALUE"""),"Strategy / RPG / Action-Adventure")</f>
        <v>Strategy / RPG / Action-Adventure</v>
      </c>
    </row>
    <row r="331">
      <c r="A331" s="269" t="str">
        <f>IFERROR(__xludf.DUMMYFUNCTION("""COMPUTED_VALUE"""),"Madden NFL 21")</f>
        <v>Madden NFL 21</v>
      </c>
      <c r="B331" s="195" t="str">
        <f>IFERROR(__xludf.DUMMYFUNCTION("""COMPUTED_VALUE"""),"Xbox / PC")</f>
        <v>Xbox / PC</v>
      </c>
      <c r="C331" s="195"/>
      <c r="D331" s="196" t="str">
        <f>IFERROR(__xludf.DUMMYFUNCTION("""COMPUTED_VALUE"""),"Removed")</f>
        <v>Removed</v>
      </c>
      <c r="E331" s="271">
        <f>IFERROR(__xludf.DUMMYFUNCTION("""COMPUTED_VALUE"""),44257.0)</f>
        <v>44257</v>
      </c>
      <c r="F331" s="198">
        <f>IFERROR(__xludf.DUMMYFUNCTION("""COMPUTED_VALUE"""),44985.0)</f>
        <v>44985</v>
      </c>
      <c r="G331" s="199">
        <f>IFERROR(__xludf.DUMMYFUNCTION("""COMPUTED_VALUE"""),23.866666666666667)</f>
        <v>23.86666667</v>
      </c>
      <c r="H331" s="210">
        <f>IFERROR(__xludf.DUMMYFUNCTION("""COMPUTED_VALUE"""),44071.0)</f>
        <v>44071</v>
      </c>
      <c r="I331" s="199">
        <f>IFERROR(__xludf.DUMMYFUNCTION("""COMPUTED_VALUE"""),0.5111111111111111)</f>
        <v>0.5111111111</v>
      </c>
      <c r="J331" s="267">
        <f>IFERROR(__xludf.DUMMYFUNCTION("""COMPUTED_VALUE"""),66.0)</f>
        <v>66</v>
      </c>
      <c r="K331" s="200">
        <f>IFERROR(__xludf.DUMMYFUNCTION("""COMPUTED_VALUE"""),21.5)</f>
        <v>21.5</v>
      </c>
      <c r="L331" s="265" t="str">
        <f>IFERROR(__xludf.DUMMYFUNCTION("""COMPUTED_VALUE"""),"Sports / Football")</f>
        <v>Sports / Football</v>
      </c>
    </row>
    <row r="332">
      <c r="A332" s="269" t="str">
        <f>IFERROR(__xludf.DUMMYFUNCTION("""COMPUTED_VALUE"""),"Alien: Isolation")</f>
        <v>Alien: Isolation</v>
      </c>
      <c r="B332" s="195" t="str">
        <f>IFERROR(__xludf.DUMMYFUNCTION("""COMPUTED_VALUE"""),"Xbox / PC")</f>
        <v>Xbox / PC</v>
      </c>
      <c r="C332" s="195"/>
      <c r="D332" s="196" t="str">
        <f>IFERROR(__xludf.DUMMYFUNCTION("""COMPUTED_VALUE"""),"Removed")</f>
        <v>Removed</v>
      </c>
      <c r="E332" s="271">
        <f>IFERROR(__xludf.DUMMYFUNCTION("""COMPUTED_VALUE"""),43524.0)</f>
        <v>43524</v>
      </c>
      <c r="F332" s="198">
        <f>IFERROR(__xludf.DUMMYFUNCTION("""COMPUTED_VALUE"""),44985.0)</f>
        <v>44985</v>
      </c>
      <c r="G332" s="199">
        <f>IFERROR(__xludf.DUMMYFUNCTION("""COMPUTED_VALUE"""),48.0)</f>
        <v>48</v>
      </c>
      <c r="H332" s="210">
        <f>IFERROR(__xludf.DUMMYFUNCTION("""COMPUTED_VALUE"""),41919.0)</f>
        <v>41919</v>
      </c>
      <c r="I332" s="199">
        <f>IFERROR(__xludf.DUMMYFUNCTION("""COMPUTED_VALUE"""),4.391666666666667)</f>
        <v>4.391666667</v>
      </c>
      <c r="J332" s="267">
        <f>IFERROR(__xludf.DUMMYFUNCTION("""COMPUTED_VALUE"""),78.0)</f>
        <v>78</v>
      </c>
      <c r="K332" s="200">
        <f>IFERROR(__xludf.DUMMYFUNCTION("""COMPUTED_VALUE"""),18.5)</f>
        <v>18.5</v>
      </c>
      <c r="L332" s="265" t="str">
        <f>IFERROR(__xludf.DUMMYFUNCTION("""COMPUTED_VALUE"""),"Action-Adventure")</f>
        <v>Action-Adventure</v>
      </c>
    </row>
    <row r="333">
      <c r="A333" s="269" t="str">
        <f>IFERROR(__xludf.DUMMYFUNCTION("""COMPUTED_VALUE"""),"Infernax")</f>
        <v>Infernax</v>
      </c>
      <c r="B333" s="195" t="str">
        <f>IFERROR(__xludf.DUMMYFUNCTION("""COMPUTED_VALUE"""),"Xbox / PC")</f>
        <v>Xbox / PC</v>
      </c>
      <c r="C333" s="195" t="str">
        <f>IFERROR(__xludf.DUMMYFUNCTION("""COMPUTED_VALUE"""),"Yes")</f>
        <v>Yes</v>
      </c>
      <c r="D333" s="196" t="str">
        <f>IFERROR(__xludf.DUMMYFUNCTION("""COMPUTED_VALUE"""),"Removed")</f>
        <v>Removed</v>
      </c>
      <c r="E333" s="197">
        <f>IFERROR(__xludf.DUMMYFUNCTION("""COMPUTED_VALUE"""),44604.0)</f>
        <v>44604</v>
      </c>
      <c r="F333" s="198">
        <f>IFERROR(__xludf.DUMMYFUNCTION("""COMPUTED_VALUE"""),44972.0)</f>
        <v>44972</v>
      </c>
      <c r="G333" s="199">
        <f>IFERROR(__xludf.DUMMYFUNCTION("""COMPUTED_VALUE"""),12.1)</f>
        <v>12.1</v>
      </c>
      <c r="H333" s="210">
        <f>IFERROR(__xludf.DUMMYFUNCTION("""COMPUTED_VALUE"""),44604.0)</f>
        <v>44604</v>
      </c>
      <c r="I333" s="199">
        <f>IFERROR(__xludf.DUMMYFUNCTION("""COMPUTED_VALUE"""),0.0)</f>
        <v>0</v>
      </c>
      <c r="J333" s="267">
        <f>IFERROR(__xludf.DUMMYFUNCTION("""COMPUTED_VALUE"""),84.5)</f>
        <v>84.5</v>
      </c>
      <c r="K333" s="200">
        <f>IFERROR(__xludf.DUMMYFUNCTION("""COMPUTED_VALUE"""),7.0)</f>
        <v>7</v>
      </c>
      <c r="L333" s="201" t="str">
        <f>IFERROR(__xludf.DUMMYFUNCTION("""COMPUTED_VALUE"""),"Action-Adventure")</f>
        <v>Action-Adventure</v>
      </c>
    </row>
    <row r="334">
      <c r="A334" s="269" t="str">
        <f>IFERROR(__xludf.DUMMYFUNCTION("""COMPUTED_VALUE"""),"CrossfireX")</f>
        <v>CrossfireX</v>
      </c>
      <c r="B334" s="196" t="str">
        <f>IFERROR(__xludf.DUMMYFUNCTION("""COMPUTED_VALUE"""),"Xbox")</f>
        <v>Xbox</v>
      </c>
      <c r="C334" s="196" t="str">
        <f>IFERROR(__xludf.DUMMYFUNCTION("""COMPUTED_VALUE"""),"Yes")</f>
        <v>Yes</v>
      </c>
      <c r="D334" s="196" t="str">
        <f>IFERROR(__xludf.DUMMYFUNCTION("""COMPUTED_VALUE"""),"Removed")</f>
        <v>Removed</v>
      </c>
      <c r="E334" s="271">
        <f>IFERROR(__xludf.DUMMYFUNCTION("""COMPUTED_VALUE"""),44602.0)</f>
        <v>44602</v>
      </c>
      <c r="F334" s="266">
        <f>IFERROR(__xludf.DUMMYFUNCTION("""COMPUTED_VALUE"""),44972.0)</f>
        <v>44972</v>
      </c>
      <c r="G334" s="199">
        <f>IFERROR(__xludf.DUMMYFUNCTION("""COMPUTED_VALUE"""),12.166666666666666)</f>
        <v>12.16666667</v>
      </c>
      <c r="H334" s="210">
        <f>IFERROR(__xludf.DUMMYFUNCTION("""COMPUTED_VALUE"""),44602.0)</f>
        <v>44602</v>
      </c>
      <c r="I334" s="199">
        <f>IFERROR(__xludf.DUMMYFUNCTION("""COMPUTED_VALUE"""),0.0)</f>
        <v>0</v>
      </c>
      <c r="J334" s="267">
        <f>IFERROR(__xludf.DUMMYFUNCTION("""COMPUTED_VALUE"""),43.0)</f>
        <v>43</v>
      </c>
      <c r="K334" s="200">
        <f>IFERROR(__xludf.DUMMYFUNCTION("""COMPUTED_VALUE"""),3.0)</f>
        <v>3</v>
      </c>
      <c r="L334" s="265" t="str">
        <f>IFERROR(__xludf.DUMMYFUNCTION("""COMPUTED_VALUE"""),"Shooter")</f>
        <v>Shooter</v>
      </c>
    </row>
    <row r="335">
      <c r="A335" s="269" t="str">
        <f>IFERROR(__xludf.DUMMYFUNCTION("""COMPUTED_VALUE"""),"Skul: The Hero Slayer")</f>
        <v>Skul: The Hero Slayer</v>
      </c>
      <c r="B335" s="195" t="str">
        <f>IFERROR(__xludf.DUMMYFUNCTION("""COMPUTED_VALUE"""),"Xbox / PC")</f>
        <v>Xbox / PC</v>
      </c>
      <c r="C335" s="195" t="str">
        <f>IFERROR(__xludf.DUMMYFUNCTION("""COMPUTED_VALUE"""),"Yes")</f>
        <v>Yes</v>
      </c>
      <c r="D335" s="196" t="str">
        <f>IFERROR(__xludf.DUMMYFUNCTION("""COMPUTED_VALUE"""),"Removed")</f>
        <v>Removed</v>
      </c>
      <c r="E335" s="197">
        <f>IFERROR(__xludf.DUMMYFUNCTION("""COMPUTED_VALUE"""),44602.0)</f>
        <v>44602</v>
      </c>
      <c r="F335" s="271">
        <f>IFERROR(__xludf.DUMMYFUNCTION("""COMPUTED_VALUE"""),44972.0)</f>
        <v>44972</v>
      </c>
      <c r="G335" s="199">
        <f>IFERROR(__xludf.DUMMYFUNCTION("""COMPUTED_VALUE"""),12.166666666666666)</f>
        <v>12.16666667</v>
      </c>
      <c r="H335" s="210">
        <f>IFERROR(__xludf.DUMMYFUNCTION("""COMPUTED_VALUE"""),43880.0)</f>
        <v>43880</v>
      </c>
      <c r="I335" s="199">
        <f>IFERROR(__xludf.DUMMYFUNCTION("""COMPUTED_VALUE"""),1.975)</f>
        <v>1.975</v>
      </c>
      <c r="J335" s="200">
        <f>IFERROR(__xludf.DUMMYFUNCTION("""COMPUTED_VALUE"""),80.0)</f>
        <v>80</v>
      </c>
      <c r="K335" s="200">
        <f>IFERROR(__xludf.DUMMYFUNCTION("""COMPUTED_VALUE"""),21.5)</f>
        <v>21.5</v>
      </c>
      <c r="L335" s="265" t="str">
        <f>IFERROR(__xludf.DUMMYFUNCTION("""COMPUTED_VALUE"""),"Platformer")</f>
        <v>Platformer</v>
      </c>
    </row>
    <row r="336">
      <c r="A336" s="269" t="str">
        <f>IFERROR(__xludf.DUMMYFUNCTION("""COMPUTED_VALUE"""),"The Last Kids on Earth and the Staff of Doom")</f>
        <v>The Last Kids on Earth and the Staff of Doom</v>
      </c>
      <c r="B336" s="196" t="str">
        <f>IFERROR(__xludf.DUMMYFUNCTION("""COMPUTED_VALUE"""),"Xbox / PC")</f>
        <v>Xbox / PC</v>
      </c>
      <c r="C336" s="196" t="str">
        <f>IFERROR(__xludf.DUMMYFUNCTION("""COMPUTED_VALUE"""),"Touch Controls")</f>
        <v>Touch Controls</v>
      </c>
      <c r="D336" s="196" t="str">
        <f>IFERROR(__xludf.DUMMYFUNCTION("""COMPUTED_VALUE"""),"Removed")</f>
        <v>Removed</v>
      </c>
      <c r="E336" s="271">
        <f>IFERROR(__xludf.DUMMYFUNCTION("""COMPUTED_VALUE"""),44602.0)</f>
        <v>44602</v>
      </c>
      <c r="F336" s="198">
        <f>IFERROR(__xludf.DUMMYFUNCTION("""COMPUTED_VALUE"""),44972.0)</f>
        <v>44972</v>
      </c>
      <c r="G336" s="199">
        <f>IFERROR(__xludf.DUMMYFUNCTION("""COMPUTED_VALUE"""),12.166666666666666)</f>
        <v>12.16666667</v>
      </c>
      <c r="H336" s="210">
        <f>IFERROR(__xludf.DUMMYFUNCTION("""COMPUTED_VALUE"""),44351.0)</f>
        <v>44351</v>
      </c>
      <c r="I336" s="199">
        <f>IFERROR(__xludf.DUMMYFUNCTION("""COMPUTED_VALUE"""),0.6833333333333333)</f>
        <v>0.6833333333</v>
      </c>
      <c r="J336" s="267">
        <f>IFERROR(__xludf.DUMMYFUNCTION("""COMPUTED_VALUE"""),60.0)</f>
        <v>60</v>
      </c>
      <c r="K336" s="200">
        <f>IFERROR(__xludf.DUMMYFUNCTION("""COMPUTED_VALUE"""),6.0)</f>
        <v>6</v>
      </c>
      <c r="L336" s="265" t="str">
        <f>IFERROR(__xludf.DUMMYFUNCTION("""COMPUTED_VALUE"""),"Action / RPG")</f>
        <v>Action / RPG</v>
      </c>
    </row>
    <row r="337">
      <c r="A337" s="190" t="str">
        <f>IFERROR(__xludf.DUMMYFUNCTION("""COMPUTED_VALUE"""),"Recompile")</f>
        <v>Recompile</v>
      </c>
      <c r="B337" s="195" t="str">
        <f>IFERROR(__xludf.DUMMYFUNCTION("""COMPUTED_VALUE"""),"Xbox / PC")</f>
        <v>Xbox / PC</v>
      </c>
      <c r="C337" s="195" t="str">
        <f>IFERROR(__xludf.DUMMYFUNCTION("""COMPUTED_VALUE"""),"Yes")</f>
        <v>Yes</v>
      </c>
      <c r="D337" s="196" t="str">
        <f>IFERROR(__xludf.DUMMYFUNCTION("""COMPUTED_VALUE"""),"Removed")</f>
        <v>Removed</v>
      </c>
      <c r="E337" s="271">
        <f>IFERROR(__xludf.DUMMYFUNCTION("""COMPUTED_VALUE"""),44427.0)</f>
        <v>44427</v>
      </c>
      <c r="F337" s="198">
        <f>IFERROR(__xludf.DUMMYFUNCTION("""COMPUTED_VALUE"""),44972.0)</f>
        <v>44972</v>
      </c>
      <c r="G337" s="199">
        <f>IFERROR(__xludf.DUMMYFUNCTION("""COMPUTED_VALUE"""),17.866666666666667)</f>
        <v>17.86666667</v>
      </c>
      <c r="H337" s="210">
        <f>IFERROR(__xludf.DUMMYFUNCTION("""COMPUTED_VALUE"""),44427.0)</f>
        <v>44427</v>
      </c>
      <c r="I337" s="199">
        <f>IFERROR(__xludf.DUMMYFUNCTION("""COMPUTED_VALUE"""),0.0)</f>
        <v>0</v>
      </c>
      <c r="J337" s="200">
        <f>IFERROR(__xludf.DUMMYFUNCTION("""COMPUTED_VALUE"""),63.5)</f>
        <v>63.5</v>
      </c>
      <c r="K337" s="200">
        <f>IFERROR(__xludf.DUMMYFUNCTION("""COMPUTED_VALUE"""),4.5)</f>
        <v>4.5</v>
      </c>
      <c r="L337" s="265" t="str">
        <f>IFERROR(__xludf.DUMMYFUNCTION("""COMPUTED_VALUE"""),"Action-Adventure")</f>
        <v>Action-Adventure</v>
      </c>
    </row>
    <row r="338">
      <c r="A338" s="269" t="str">
        <f>IFERROR(__xludf.DUMMYFUNCTION("""COMPUTED_VALUE"""),"Telling Lies")</f>
        <v>Telling Lies</v>
      </c>
      <c r="B338" s="195" t="str">
        <f>IFERROR(__xludf.DUMMYFUNCTION("""COMPUTED_VALUE"""),"Xbox / PC")</f>
        <v>Xbox / PC</v>
      </c>
      <c r="C338" s="195" t="str">
        <f>IFERROR(__xludf.DUMMYFUNCTION("""COMPUTED_VALUE"""),"Touch Controls")</f>
        <v>Touch Controls</v>
      </c>
      <c r="D338" s="196" t="str">
        <f>IFERROR(__xludf.DUMMYFUNCTION("""COMPUTED_VALUE"""),"Removed")</f>
        <v>Removed</v>
      </c>
      <c r="E338" s="271">
        <f>IFERROR(__xludf.DUMMYFUNCTION("""COMPUTED_VALUE"""),44595.0)</f>
        <v>44595</v>
      </c>
      <c r="F338" s="198">
        <f>IFERROR(__xludf.DUMMYFUNCTION("""COMPUTED_VALUE"""),44957.0)</f>
        <v>44957</v>
      </c>
      <c r="G338" s="199">
        <f>IFERROR(__xludf.DUMMYFUNCTION("""COMPUTED_VALUE"""),11.9)</f>
        <v>11.9</v>
      </c>
      <c r="H338" s="210">
        <f>IFERROR(__xludf.DUMMYFUNCTION("""COMPUTED_VALUE"""),43700.0)</f>
        <v>43700</v>
      </c>
      <c r="I338" s="199">
        <f>IFERROR(__xludf.DUMMYFUNCTION("""COMPUTED_VALUE"""),2.4444444444444446)</f>
        <v>2.444444444</v>
      </c>
      <c r="J338" s="267">
        <f>IFERROR(__xludf.DUMMYFUNCTION("""COMPUTED_VALUE"""),82.0)</f>
        <v>82</v>
      </c>
      <c r="K338" s="200">
        <f>IFERROR(__xludf.DUMMYFUNCTION("""COMPUTED_VALUE"""),4.0)</f>
        <v>4</v>
      </c>
      <c r="L338" s="265" t="str">
        <f>IFERROR(__xludf.DUMMYFUNCTION("""COMPUTED_VALUE"""),"Adventure")</f>
        <v>Adventure</v>
      </c>
    </row>
    <row r="339">
      <c r="A339" s="269" t="str">
        <f>IFERROR(__xludf.DUMMYFUNCTION("""COMPUTED_VALUE"""),"Taiko no Tatsujin: The Drum Master")</f>
        <v>Taiko no Tatsujin: The Drum Master</v>
      </c>
      <c r="B339" s="195" t="str">
        <f>IFERROR(__xludf.DUMMYFUNCTION("""COMPUTED_VALUE"""),"Xbox / PC")</f>
        <v>Xbox / PC</v>
      </c>
      <c r="C339" s="195"/>
      <c r="D339" s="196" t="str">
        <f>IFERROR(__xludf.DUMMYFUNCTION("""COMPUTED_VALUE"""),"Removed")</f>
        <v>Removed</v>
      </c>
      <c r="E339" s="271">
        <f>IFERROR(__xludf.DUMMYFUNCTION("""COMPUTED_VALUE"""),44588.0)</f>
        <v>44588</v>
      </c>
      <c r="F339" s="198">
        <f>IFERROR(__xludf.DUMMYFUNCTION("""COMPUTED_VALUE"""),44957.0)</f>
        <v>44957</v>
      </c>
      <c r="G339" s="199">
        <f>IFERROR(__xludf.DUMMYFUNCTION("""COMPUTED_VALUE"""),12.1)</f>
        <v>12.1</v>
      </c>
      <c r="H339" s="210">
        <f>IFERROR(__xludf.DUMMYFUNCTION("""COMPUTED_VALUE"""),44581.0)</f>
        <v>44581</v>
      </c>
      <c r="I339" s="199">
        <f>IFERROR(__xludf.DUMMYFUNCTION("""COMPUTED_VALUE"""),0.019444444444444445)</f>
        <v>0.01944444444</v>
      </c>
      <c r="J339" s="267">
        <f>IFERROR(__xludf.DUMMYFUNCTION("""COMPUTED_VALUE"""),80.0)</f>
        <v>80</v>
      </c>
      <c r="K339" s="200">
        <f>IFERROR(__xludf.DUMMYFUNCTION("""COMPUTED_VALUE"""),2.5)</f>
        <v>2.5</v>
      </c>
      <c r="L339" s="201" t="str">
        <f>IFERROR(__xludf.DUMMYFUNCTION("""COMPUTED_VALUE"""),"Music/Rhythm")</f>
        <v>Music/Rhythm</v>
      </c>
    </row>
    <row r="340">
      <c r="A340" s="269" t="str">
        <f>IFERROR(__xludf.DUMMYFUNCTION("""COMPUTED_VALUE"""),"Worms W.M.D")</f>
        <v>Worms W.M.D</v>
      </c>
      <c r="B340" s="196" t="str">
        <f>IFERROR(__xludf.DUMMYFUNCTION("""COMPUTED_VALUE"""),"Xbox / PC")</f>
        <v>Xbox / PC</v>
      </c>
      <c r="C340" s="196" t="str">
        <f>IFERROR(__xludf.DUMMYFUNCTION("""COMPUTED_VALUE"""),"Yes")</f>
        <v>Yes</v>
      </c>
      <c r="D340" s="196" t="str">
        <f>IFERROR(__xludf.DUMMYFUNCTION("""COMPUTED_VALUE"""),"Removed")</f>
        <v>Removed</v>
      </c>
      <c r="E340" s="271">
        <f>IFERROR(__xludf.DUMMYFUNCTION("""COMPUTED_VALUE"""),43669.0)</f>
        <v>43669</v>
      </c>
      <c r="F340" s="198">
        <f>IFERROR(__xludf.DUMMYFUNCTION("""COMPUTED_VALUE"""),44957.0)</f>
        <v>44957</v>
      </c>
      <c r="G340" s="199">
        <f>IFERROR(__xludf.DUMMYFUNCTION("""COMPUTED_VALUE"""),42.233333333333334)</f>
        <v>42.23333333</v>
      </c>
      <c r="H340" s="210">
        <f>IFERROR(__xludf.DUMMYFUNCTION("""COMPUTED_VALUE"""),42605.0)</f>
        <v>42605</v>
      </c>
      <c r="I340" s="199">
        <f>IFERROR(__xludf.DUMMYFUNCTION("""COMPUTED_VALUE"""),2.9166666666666665)</f>
        <v>2.916666667</v>
      </c>
      <c r="J340" s="267">
        <f>IFERROR(__xludf.DUMMYFUNCTION("""COMPUTED_VALUE"""),75.0)</f>
        <v>75</v>
      </c>
      <c r="K340" s="200">
        <f>IFERROR(__xludf.DUMMYFUNCTION("""COMPUTED_VALUE"""),13.0)</f>
        <v>13</v>
      </c>
      <c r="L340" s="265" t="str">
        <f>IFERROR(__xludf.DUMMYFUNCTION("""COMPUTED_VALUE"""),"Action")</f>
        <v>Action</v>
      </c>
    </row>
    <row r="341">
      <c r="A341" s="269" t="str">
        <f>IFERROR(__xludf.DUMMYFUNCTION("""COMPUTED_VALUE"""),"Pupperazzi")</f>
        <v>Pupperazzi</v>
      </c>
      <c r="B341" s="196" t="str">
        <f>IFERROR(__xludf.DUMMYFUNCTION("""COMPUTED_VALUE"""),"Xbox / PC")</f>
        <v>Xbox / PC</v>
      </c>
      <c r="C341" s="195" t="str">
        <f>IFERROR(__xludf.DUMMYFUNCTION("""COMPUTED_VALUE"""),"Touch Controls")</f>
        <v>Touch Controls</v>
      </c>
      <c r="D341" s="196" t="str">
        <f>IFERROR(__xludf.DUMMYFUNCTION("""COMPUTED_VALUE"""),"Removed")</f>
        <v>Removed</v>
      </c>
      <c r="E341" s="271">
        <f>IFERROR(__xludf.DUMMYFUNCTION("""COMPUTED_VALUE"""),44581.0)</f>
        <v>44581</v>
      </c>
      <c r="F341" s="266">
        <f>IFERROR(__xludf.DUMMYFUNCTION("""COMPUTED_VALUE"""),44941.0)</f>
        <v>44941</v>
      </c>
      <c r="G341" s="199">
        <f>IFERROR(__xludf.DUMMYFUNCTION("""COMPUTED_VALUE"""),11.833333333333334)</f>
        <v>11.83333333</v>
      </c>
      <c r="H341" s="210">
        <f>IFERROR(__xludf.DUMMYFUNCTION("""COMPUTED_VALUE"""),44581.0)</f>
        <v>44581</v>
      </c>
      <c r="I341" s="199">
        <f>IFERROR(__xludf.DUMMYFUNCTION("""COMPUTED_VALUE"""),0.0)</f>
        <v>0</v>
      </c>
      <c r="J341" s="200">
        <f>IFERROR(__xludf.DUMMYFUNCTION("""COMPUTED_VALUE"""),68.0)</f>
        <v>68</v>
      </c>
      <c r="K341" s="200">
        <f>IFERROR(__xludf.DUMMYFUNCTION("""COMPUTED_VALUE"""),1.5)</f>
        <v>1.5</v>
      </c>
      <c r="L341" s="265" t="str">
        <f>IFERROR(__xludf.DUMMYFUNCTION("""COMPUTED_VALUE"""),"Adventure")</f>
        <v>Adventure</v>
      </c>
    </row>
    <row r="342">
      <c r="A342" s="269" t="str">
        <f>IFERROR(__xludf.DUMMYFUNCTION("""COMPUTED_VALUE"""),"Windjammers 2")</f>
        <v>Windjammers 2</v>
      </c>
      <c r="B342" s="195" t="str">
        <f>IFERROR(__xludf.DUMMYFUNCTION("""COMPUTED_VALUE"""),"Xbox / PC")</f>
        <v>Xbox / PC</v>
      </c>
      <c r="C342" s="195" t="str">
        <f>IFERROR(__xludf.DUMMYFUNCTION("""COMPUTED_VALUE"""),"Touch Controls")</f>
        <v>Touch Controls</v>
      </c>
      <c r="D342" s="196" t="str">
        <f>IFERROR(__xludf.DUMMYFUNCTION("""COMPUTED_VALUE"""),"Removed")</f>
        <v>Removed</v>
      </c>
      <c r="E342" s="271">
        <f>IFERROR(__xludf.DUMMYFUNCTION("""COMPUTED_VALUE"""),44581.0)</f>
        <v>44581</v>
      </c>
      <c r="F342" s="266">
        <f>IFERROR(__xludf.DUMMYFUNCTION("""COMPUTED_VALUE"""),44941.0)</f>
        <v>44941</v>
      </c>
      <c r="G342" s="199">
        <f>IFERROR(__xludf.DUMMYFUNCTION("""COMPUTED_VALUE"""),11.833333333333334)</f>
        <v>11.83333333</v>
      </c>
      <c r="H342" s="210">
        <f>IFERROR(__xludf.DUMMYFUNCTION("""COMPUTED_VALUE"""),44581.0)</f>
        <v>44581</v>
      </c>
      <c r="I342" s="199">
        <f>IFERROR(__xludf.DUMMYFUNCTION("""COMPUTED_VALUE"""),0.0)</f>
        <v>0</v>
      </c>
      <c r="J342" s="267">
        <f>IFERROR(__xludf.DUMMYFUNCTION("""COMPUTED_VALUE"""),73.5)</f>
        <v>73.5</v>
      </c>
      <c r="K342" s="200">
        <f>IFERROR(__xludf.DUMMYFUNCTION("""COMPUTED_VALUE"""),1.0)</f>
        <v>1</v>
      </c>
      <c r="L342" s="265" t="str">
        <f>IFERROR(__xludf.DUMMYFUNCTION("""COMPUTED_VALUE"""),"Action / Sports")</f>
        <v>Action / Sports</v>
      </c>
    </row>
    <row r="343">
      <c r="A343" s="269" t="str">
        <f>IFERROR(__xludf.DUMMYFUNCTION("""COMPUTED_VALUE"""),"Danganronpa: Trigger Happy Havoc - Anniversary Edition")</f>
        <v>Danganronpa: Trigger Happy Havoc - Anniversary Edition</v>
      </c>
      <c r="B343" s="196" t="str">
        <f>IFERROR(__xludf.DUMMYFUNCTION("""COMPUTED_VALUE"""),"Xbox / PC")</f>
        <v>Xbox / PC</v>
      </c>
      <c r="C343" s="196" t="str">
        <f>IFERROR(__xludf.DUMMYFUNCTION("""COMPUTED_VALUE"""),"Touch Controls")</f>
        <v>Touch Controls</v>
      </c>
      <c r="D343" s="196" t="str">
        <f>IFERROR(__xludf.DUMMYFUNCTION("""COMPUTED_VALUE"""),"Removed")</f>
        <v>Removed</v>
      </c>
      <c r="E343" s="271">
        <f>IFERROR(__xludf.DUMMYFUNCTION("""COMPUTED_VALUE"""),44579.0)</f>
        <v>44579</v>
      </c>
      <c r="F343" s="198">
        <f>IFERROR(__xludf.DUMMYFUNCTION("""COMPUTED_VALUE"""),44941.0)</f>
        <v>44941</v>
      </c>
      <c r="G343" s="199">
        <f>IFERROR(__xludf.DUMMYFUNCTION("""COMPUTED_VALUE"""),11.9)</f>
        <v>11.9</v>
      </c>
      <c r="H343" s="210">
        <f>IFERROR(__xludf.DUMMYFUNCTION("""COMPUTED_VALUE"""),40507.0)</f>
        <v>40507</v>
      </c>
      <c r="I343" s="199">
        <f>IFERROR(__xludf.DUMMYFUNCTION("""COMPUTED_VALUE"""),11.147222222222222)</f>
        <v>11.14722222</v>
      </c>
      <c r="J343" s="267">
        <f>IFERROR(__xludf.DUMMYFUNCTION("""COMPUTED_VALUE"""),82.0)</f>
        <v>82</v>
      </c>
      <c r="K343" s="200">
        <f>IFERROR(__xludf.DUMMYFUNCTION("""COMPUTED_VALUE"""),25.0)</f>
        <v>25</v>
      </c>
      <c r="L343" s="265" t="str">
        <f>IFERROR(__xludf.DUMMYFUNCTION("""COMPUTED_VALUE"""),"Adventure / Shooter / Music/Rhythm")</f>
        <v>Adventure / Shooter / Music/Rhythm</v>
      </c>
    </row>
    <row r="344">
      <c r="A344" s="269" t="str">
        <f>IFERROR(__xludf.DUMMYFUNCTION("""COMPUTED_VALUE"""),"Nobody Saves the World")</f>
        <v>Nobody Saves the World</v>
      </c>
      <c r="B344" s="196" t="str">
        <f>IFERROR(__xludf.DUMMYFUNCTION("""COMPUTED_VALUE"""),"Xbox / PC")</f>
        <v>Xbox / PC</v>
      </c>
      <c r="C344" s="196" t="str">
        <f>IFERROR(__xludf.DUMMYFUNCTION("""COMPUTED_VALUE"""),"Yes")</f>
        <v>Yes</v>
      </c>
      <c r="D344" s="196" t="str">
        <f>IFERROR(__xludf.DUMMYFUNCTION("""COMPUTED_VALUE"""),"Removed")</f>
        <v>Removed</v>
      </c>
      <c r="E344" s="271">
        <f>IFERROR(__xludf.DUMMYFUNCTION("""COMPUTED_VALUE"""),44579.0)</f>
        <v>44579</v>
      </c>
      <c r="F344" s="198">
        <f>IFERROR(__xludf.DUMMYFUNCTION("""COMPUTED_VALUE"""),44941.0)</f>
        <v>44941</v>
      </c>
      <c r="G344" s="199">
        <f>IFERROR(__xludf.DUMMYFUNCTION("""COMPUTED_VALUE"""),11.9)</f>
        <v>11.9</v>
      </c>
      <c r="H344" s="210">
        <f>IFERROR(__xludf.DUMMYFUNCTION("""COMPUTED_VALUE"""),44579.0)</f>
        <v>44579</v>
      </c>
      <c r="I344" s="199">
        <f>IFERROR(__xludf.DUMMYFUNCTION("""COMPUTED_VALUE"""),0.0)</f>
        <v>0</v>
      </c>
      <c r="J344" s="200">
        <f>IFERROR(__xludf.DUMMYFUNCTION("""COMPUTED_VALUE"""),78.5)</f>
        <v>78.5</v>
      </c>
      <c r="K344" s="200">
        <f>IFERROR(__xludf.DUMMYFUNCTION("""COMPUTED_VALUE"""),13.5)</f>
        <v>13.5</v>
      </c>
      <c r="L344" s="265" t="str">
        <f>IFERROR(__xludf.DUMMYFUNCTION("""COMPUTED_VALUE"""),"Action / RPG")</f>
        <v>Action / RPG</v>
      </c>
    </row>
    <row r="345">
      <c r="A345" s="190" t="str">
        <f>IFERROR(__xludf.DUMMYFUNCTION("""COMPUTED_VALUE"""),"The Anacrusis (Game Preview)")</f>
        <v>The Anacrusis (Game Preview)</v>
      </c>
      <c r="B345" s="195" t="str">
        <f>IFERROR(__xludf.DUMMYFUNCTION("""COMPUTED_VALUE"""),"Xbox / PC")</f>
        <v>Xbox / PC</v>
      </c>
      <c r="C345" s="195" t="str">
        <f>IFERROR(__xludf.DUMMYFUNCTION("""COMPUTED_VALUE"""),"Yes")</f>
        <v>Yes</v>
      </c>
      <c r="D345" s="196" t="str">
        <f>IFERROR(__xludf.DUMMYFUNCTION("""COMPUTED_VALUE"""),"Removed")</f>
        <v>Removed</v>
      </c>
      <c r="E345" s="271">
        <f>IFERROR(__xludf.DUMMYFUNCTION("""COMPUTED_VALUE"""),44574.0)</f>
        <v>44574</v>
      </c>
      <c r="F345" s="198">
        <f>IFERROR(__xludf.DUMMYFUNCTION("""COMPUTED_VALUE"""),44941.0)</f>
        <v>44941</v>
      </c>
      <c r="G345" s="199">
        <f>IFERROR(__xludf.DUMMYFUNCTION("""COMPUTED_VALUE"""),12.066666666666666)</f>
        <v>12.06666667</v>
      </c>
      <c r="H345" s="210">
        <f>IFERROR(__xludf.DUMMYFUNCTION("""COMPUTED_VALUE"""),44574.0)</f>
        <v>44574</v>
      </c>
      <c r="I345" s="199">
        <f>IFERROR(__xludf.DUMMYFUNCTION("""COMPUTED_VALUE"""),0.0)</f>
        <v>0</v>
      </c>
      <c r="J345" s="267">
        <f>IFERROR(__xludf.DUMMYFUNCTION("""COMPUTED_VALUE"""),55.0)</f>
        <v>55</v>
      </c>
      <c r="K345" s="200">
        <f>IFERROR(__xludf.DUMMYFUNCTION("""COMPUTED_VALUE"""),5.5)</f>
        <v>5.5</v>
      </c>
      <c r="L345" s="265" t="str">
        <f>IFERROR(__xludf.DUMMYFUNCTION("""COMPUTED_VALUE"""),"Shooter")</f>
        <v>Shooter</v>
      </c>
    </row>
    <row r="346">
      <c r="A346" s="190" t="str">
        <f>IFERROR(__xludf.DUMMYFUNCTION("""COMPUTED_VALUE"""),"Embr")</f>
        <v>Embr</v>
      </c>
      <c r="B346" s="195" t="str">
        <f>IFERROR(__xludf.DUMMYFUNCTION("""COMPUTED_VALUE"""),"Xbox / PC")</f>
        <v>Xbox / PC</v>
      </c>
      <c r="C346" s="195" t="str">
        <f>IFERROR(__xludf.DUMMYFUNCTION("""COMPUTED_VALUE"""),"Yes")</f>
        <v>Yes</v>
      </c>
      <c r="D346" s="196" t="str">
        <f>IFERROR(__xludf.DUMMYFUNCTION("""COMPUTED_VALUE"""),"Removed")</f>
        <v>Removed</v>
      </c>
      <c r="E346" s="271">
        <f>IFERROR(__xludf.DUMMYFUNCTION("""COMPUTED_VALUE"""),44567.0)</f>
        <v>44567</v>
      </c>
      <c r="F346" s="198">
        <f>IFERROR(__xludf.DUMMYFUNCTION("""COMPUTED_VALUE"""),44926.0)</f>
        <v>44926</v>
      </c>
      <c r="G346" s="199">
        <f>IFERROR(__xludf.DUMMYFUNCTION("""COMPUTED_VALUE"""),11.799999999999999)</f>
        <v>11.8</v>
      </c>
      <c r="H346" s="210">
        <f>IFERROR(__xludf.DUMMYFUNCTION("""COMPUTED_VALUE"""),43972.0)</f>
        <v>43972</v>
      </c>
      <c r="I346" s="199">
        <f>IFERROR(__xludf.DUMMYFUNCTION("""COMPUTED_VALUE"""),1.625)</f>
        <v>1.625</v>
      </c>
      <c r="J346" s="200">
        <f>IFERROR(__xludf.DUMMYFUNCTION("""COMPUTED_VALUE"""),72.0)</f>
        <v>72</v>
      </c>
      <c r="K346" s="200">
        <f>IFERROR(__xludf.DUMMYFUNCTION("""COMPUTED_VALUE"""),7.5)</f>
        <v>7.5</v>
      </c>
      <c r="L346" s="265" t="str">
        <f>IFERROR(__xludf.DUMMYFUNCTION("""COMPUTED_VALUE"""),"Action")</f>
        <v>Action</v>
      </c>
    </row>
    <row r="347">
      <c r="A347" s="269" t="str">
        <f>IFERROR(__xludf.DUMMYFUNCTION("""COMPUTED_VALUE"""),"Outer Wilds")</f>
        <v>Outer Wilds</v>
      </c>
      <c r="B347" s="195" t="str">
        <f>IFERROR(__xludf.DUMMYFUNCTION("""COMPUTED_VALUE"""),"Xbox / PC")</f>
        <v>Xbox / PC</v>
      </c>
      <c r="C347" s="195" t="str">
        <f>IFERROR(__xludf.DUMMYFUNCTION("""COMPUTED_VALUE"""),"Yes")</f>
        <v>Yes</v>
      </c>
      <c r="D347" s="196" t="str">
        <f>IFERROR(__xludf.DUMMYFUNCTION("""COMPUTED_VALUE"""),"Removed")</f>
        <v>Removed</v>
      </c>
      <c r="E347" s="271">
        <f>IFERROR(__xludf.DUMMYFUNCTION("""COMPUTED_VALUE"""),44567.0)</f>
        <v>44567</v>
      </c>
      <c r="F347" s="198">
        <f>IFERROR(__xludf.DUMMYFUNCTION("""COMPUTED_VALUE"""),44926.0)</f>
        <v>44926</v>
      </c>
      <c r="G347" s="199">
        <f>IFERROR(__xludf.DUMMYFUNCTION("""COMPUTED_VALUE"""),11.799999999999999)</f>
        <v>11.8</v>
      </c>
      <c r="H347" s="210">
        <f>IFERROR(__xludf.DUMMYFUNCTION("""COMPUTED_VALUE"""),43614.0)</f>
        <v>43614</v>
      </c>
      <c r="I347" s="199">
        <f>IFERROR(__xludf.DUMMYFUNCTION("""COMPUTED_VALUE"""),2.602777777777778)</f>
        <v>2.602777778</v>
      </c>
      <c r="J347" s="267">
        <f>IFERROR(__xludf.DUMMYFUNCTION("""COMPUTED_VALUE"""),85.0)</f>
        <v>85</v>
      </c>
      <c r="K347" s="200">
        <f>IFERROR(__xludf.DUMMYFUNCTION("""COMPUTED_VALUE"""),15.0)</f>
        <v>15</v>
      </c>
      <c r="L347" s="265" t="str">
        <f>IFERROR(__xludf.DUMMYFUNCTION("""COMPUTED_VALUE"""),"Adventure")</f>
        <v>Adventure</v>
      </c>
    </row>
    <row r="348">
      <c r="A348" s="269" t="str">
        <f>IFERROR(__xludf.DUMMYFUNCTION("""COMPUTED_VALUE"""),"Gorogoa")</f>
        <v>Gorogoa</v>
      </c>
      <c r="B348" s="195" t="str">
        <f>IFERROR(__xludf.DUMMYFUNCTION("""COMPUTED_VALUE"""),"Xbox / PC")</f>
        <v>Xbox / PC</v>
      </c>
      <c r="C348" s="195" t="str">
        <f>IFERROR(__xludf.DUMMYFUNCTION("""COMPUTED_VALUE"""),"Yes")</f>
        <v>Yes</v>
      </c>
      <c r="D348" s="196" t="str">
        <f>IFERROR(__xludf.DUMMYFUNCTION("""COMPUTED_VALUE"""),"Removed")</f>
        <v>Removed</v>
      </c>
      <c r="E348" s="271">
        <f>IFERROR(__xludf.DUMMYFUNCTION("""COMPUTED_VALUE"""),44565.0)</f>
        <v>44565</v>
      </c>
      <c r="F348" s="198">
        <f>IFERROR(__xludf.DUMMYFUNCTION("""COMPUTED_VALUE"""),44926.0)</f>
        <v>44926</v>
      </c>
      <c r="G348" s="199">
        <f>IFERROR(__xludf.DUMMYFUNCTION("""COMPUTED_VALUE"""),11.866666666666667)</f>
        <v>11.86666667</v>
      </c>
      <c r="H348" s="210">
        <f>IFERROR(__xludf.DUMMYFUNCTION("""COMPUTED_VALUE"""),43083.0)</f>
        <v>43083</v>
      </c>
      <c r="I348" s="199">
        <f>IFERROR(__xludf.DUMMYFUNCTION("""COMPUTED_VALUE"""),4.055555555555555)</f>
        <v>4.055555556</v>
      </c>
      <c r="J348" s="267">
        <f>IFERROR(__xludf.DUMMYFUNCTION("""COMPUTED_VALUE"""),82.0)</f>
        <v>82</v>
      </c>
      <c r="K348" s="200">
        <f>IFERROR(__xludf.DUMMYFUNCTION("""COMPUTED_VALUE"""),2.0)</f>
        <v>2</v>
      </c>
      <c r="L348" s="265" t="str">
        <f>IFERROR(__xludf.DUMMYFUNCTION("""COMPUTED_VALUE"""),"Adventure / Puzzle")</f>
        <v>Adventure / Puzzle</v>
      </c>
    </row>
    <row r="349">
      <c r="A349" s="190" t="str">
        <f>IFERROR(__xludf.DUMMYFUNCTION("""COMPUTED_VALUE"""),"The Pedestrian")</f>
        <v>The Pedestrian</v>
      </c>
      <c r="B349" s="195" t="str">
        <f>IFERROR(__xludf.DUMMYFUNCTION("""COMPUTED_VALUE"""),"Xbox / PC")</f>
        <v>Xbox / PC</v>
      </c>
      <c r="C349" s="195" t="str">
        <f>IFERROR(__xludf.DUMMYFUNCTION("""COMPUTED_VALUE"""),"Touch Controls")</f>
        <v>Touch Controls</v>
      </c>
      <c r="D349" s="196" t="str">
        <f>IFERROR(__xludf.DUMMYFUNCTION("""COMPUTED_VALUE"""),"Removed")</f>
        <v>Removed</v>
      </c>
      <c r="E349" s="271">
        <f>IFERROR(__xludf.DUMMYFUNCTION("""COMPUTED_VALUE"""),44565.0)</f>
        <v>44565</v>
      </c>
      <c r="F349" s="198">
        <f>IFERROR(__xludf.DUMMYFUNCTION("""COMPUTED_VALUE"""),44926.0)</f>
        <v>44926</v>
      </c>
      <c r="G349" s="199">
        <f>IFERROR(__xludf.DUMMYFUNCTION("""COMPUTED_VALUE"""),11.866666666666667)</f>
        <v>11.86666667</v>
      </c>
      <c r="H349" s="210">
        <f>IFERROR(__xludf.DUMMYFUNCTION("""COMPUTED_VALUE"""),43859.0)</f>
        <v>43859</v>
      </c>
      <c r="I349" s="199">
        <f>IFERROR(__xludf.DUMMYFUNCTION("""COMPUTED_VALUE"""),1.9305555555555556)</f>
        <v>1.930555556</v>
      </c>
      <c r="J349" s="200">
        <f>IFERROR(__xludf.DUMMYFUNCTION("""COMPUTED_VALUE"""),81.0)</f>
        <v>81</v>
      </c>
      <c r="K349" s="200">
        <f>IFERROR(__xludf.DUMMYFUNCTION("""COMPUTED_VALUE"""),4.0)</f>
        <v>4</v>
      </c>
      <c r="L349" s="265" t="str">
        <f>IFERROR(__xludf.DUMMYFUNCTION("""COMPUTED_VALUE"""),"Puzzle / Platformer")</f>
        <v>Puzzle / Platformer</v>
      </c>
    </row>
    <row r="350">
      <c r="A350" s="269" t="str">
        <f>IFERROR(__xludf.DUMMYFUNCTION("""COMPUTED_VALUE"""),"Scarlet Nexus")</f>
        <v>Scarlet Nexus</v>
      </c>
      <c r="B350" s="195" t="str">
        <f>IFERROR(__xludf.DUMMYFUNCTION("""COMPUTED_VALUE"""),"Xbox / PC")</f>
        <v>Xbox / PC</v>
      </c>
      <c r="C350" s="195" t="str">
        <f>IFERROR(__xludf.DUMMYFUNCTION("""COMPUTED_VALUE"""),"Yes")</f>
        <v>Yes</v>
      </c>
      <c r="D350" s="196" t="str">
        <f>IFERROR(__xludf.DUMMYFUNCTION("""COMPUTED_VALUE"""),"Removed")</f>
        <v>Removed</v>
      </c>
      <c r="E350" s="271">
        <f>IFERROR(__xludf.DUMMYFUNCTION("""COMPUTED_VALUE"""),44469.0)</f>
        <v>44469</v>
      </c>
      <c r="F350" s="198">
        <f>IFERROR(__xludf.DUMMYFUNCTION("""COMPUTED_VALUE"""),44926.0)</f>
        <v>44926</v>
      </c>
      <c r="G350" s="199">
        <f>IFERROR(__xludf.DUMMYFUNCTION("""COMPUTED_VALUE"""),15.0)</f>
        <v>15</v>
      </c>
      <c r="H350" s="210">
        <f>IFERROR(__xludf.DUMMYFUNCTION("""COMPUTED_VALUE"""),44372.0)</f>
        <v>44372</v>
      </c>
      <c r="I350" s="199">
        <f>IFERROR(__xludf.DUMMYFUNCTION("""COMPUTED_VALUE"""),0.2638888888888889)</f>
        <v>0.2638888889</v>
      </c>
      <c r="J350" s="267">
        <f>IFERROR(__xludf.DUMMYFUNCTION("""COMPUTED_VALUE"""),78.0)</f>
        <v>78</v>
      </c>
      <c r="K350" s="200">
        <f>IFERROR(__xludf.DUMMYFUNCTION("""COMPUTED_VALUE"""),25.0)</f>
        <v>25</v>
      </c>
      <c r="L350" s="265" t="str">
        <f>IFERROR(__xludf.DUMMYFUNCTION("""COMPUTED_VALUE"""),"Action / RPG")</f>
        <v>Action / RPG</v>
      </c>
    </row>
    <row r="351">
      <c r="A351" s="269" t="str">
        <f>IFERROR(__xludf.DUMMYFUNCTION("""COMPUTED_VALUE"""),"Immortal Realms: Vampire Wars")</f>
        <v>Immortal Realms: Vampire Wars</v>
      </c>
      <c r="B351" s="195" t="str">
        <f>IFERROR(__xludf.DUMMYFUNCTION("""COMPUTED_VALUE"""),"Xbox / PC")</f>
        <v>Xbox / PC</v>
      </c>
      <c r="C351" s="195" t="str">
        <f>IFERROR(__xludf.DUMMYFUNCTION("""COMPUTED_VALUE"""),"Yes")</f>
        <v>Yes</v>
      </c>
      <c r="D351" s="196" t="str">
        <f>IFERROR(__xludf.DUMMYFUNCTION("""COMPUTED_VALUE"""),"Removed")</f>
        <v>Removed</v>
      </c>
      <c r="E351" s="271">
        <f>IFERROR(__xludf.DUMMYFUNCTION("""COMPUTED_VALUE"""),44378.0)</f>
        <v>44378</v>
      </c>
      <c r="F351" s="198">
        <f>IFERROR(__xludf.DUMMYFUNCTION("""COMPUTED_VALUE"""),44926.0)</f>
        <v>44926</v>
      </c>
      <c r="G351" s="199">
        <f>IFERROR(__xludf.DUMMYFUNCTION("""COMPUTED_VALUE"""),17.96666666666667)</f>
        <v>17.96666667</v>
      </c>
      <c r="H351" s="210">
        <f>IFERROR(__xludf.DUMMYFUNCTION("""COMPUTED_VALUE"""),43749.0)</f>
        <v>43749</v>
      </c>
      <c r="I351" s="199">
        <f>IFERROR(__xludf.DUMMYFUNCTION("""COMPUTED_VALUE"""),1.7222222222222223)</f>
        <v>1.722222222</v>
      </c>
      <c r="J351" s="267">
        <f>IFERROR(__xludf.DUMMYFUNCTION("""COMPUTED_VALUE"""),68.5)</f>
        <v>68.5</v>
      </c>
      <c r="K351" s="267">
        <f>IFERROR(__xludf.DUMMYFUNCTION("""COMPUTED_VALUE"""),20.5)</f>
        <v>20.5</v>
      </c>
      <c r="L351" s="265" t="str">
        <f>IFERROR(__xludf.DUMMYFUNCTION("""COMPUTED_VALUE"""),"Strategy / Card Game")</f>
        <v>Strategy / Card Game</v>
      </c>
    </row>
    <row r="352">
      <c r="A352" s="269" t="str">
        <f>IFERROR(__xludf.DUMMYFUNCTION("""COMPUTED_VALUE"""),"Iron Harvest")</f>
        <v>Iron Harvest</v>
      </c>
      <c r="B352" s="195" t="str">
        <f>IFERROR(__xludf.DUMMYFUNCTION("""COMPUTED_VALUE"""),"PC")</f>
        <v>PC</v>
      </c>
      <c r="C352" s="195"/>
      <c r="D352" s="196" t="str">
        <f>IFERROR(__xludf.DUMMYFUNCTION("""COMPUTED_VALUE"""),"Removed")</f>
        <v>Removed</v>
      </c>
      <c r="E352" s="271">
        <f>IFERROR(__xludf.DUMMYFUNCTION("""COMPUTED_VALUE"""),44371.0)</f>
        <v>44371</v>
      </c>
      <c r="F352" s="198">
        <f>IFERROR(__xludf.DUMMYFUNCTION("""COMPUTED_VALUE"""),44926.0)</f>
        <v>44926</v>
      </c>
      <c r="G352" s="199">
        <f>IFERROR(__xludf.DUMMYFUNCTION("""COMPUTED_VALUE"""),18.2)</f>
        <v>18.2</v>
      </c>
      <c r="H352" s="210">
        <f>IFERROR(__xludf.DUMMYFUNCTION("""COMPUTED_VALUE"""),44075.0)</f>
        <v>44075</v>
      </c>
      <c r="I352" s="199">
        <f>IFERROR(__xludf.DUMMYFUNCTION("""COMPUTED_VALUE"""),0.8138888888888889)</f>
        <v>0.8138888889</v>
      </c>
      <c r="J352" s="267">
        <f>IFERROR(__xludf.DUMMYFUNCTION("""COMPUTED_VALUE"""),75.0)</f>
        <v>75</v>
      </c>
      <c r="K352" s="200">
        <f>IFERROR(__xludf.DUMMYFUNCTION("""COMPUTED_VALUE"""),23.0)</f>
        <v>23</v>
      </c>
      <c r="L352" s="265" t="str">
        <f>IFERROR(__xludf.DUMMYFUNCTION("""COMPUTED_VALUE"""),"Real-Time Strategy")</f>
        <v>Real-Time Strategy</v>
      </c>
    </row>
    <row r="353">
      <c r="A353" s="190" t="str">
        <f>IFERROR(__xludf.DUMMYFUNCTION("""COMPUTED_VALUE"""),"Tropico 6")</f>
        <v>Tropico 6</v>
      </c>
      <c r="B353" s="195" t="str">
        <f>IFERROR(__xludf.DUMMYFUNCTION("""COMPUTED_VALUE"""),"Xbox / PC")</f>
        <v>Xbox / PC</v>
      </c>
      <c r="C353" s="196" t="str">
        <f>IFERROR(__xludf.DUMMYFUNCTION("""COMPUTED_VALUE"""),"Touch Controls")</f>
        <v>Touch Controls</v>
      </c>
      <c r="D353" s="196" t="str">
        <f>IFERROR(__xludf.DUMMYFUNCTION("""COMPUTED_VALUE"""),"Removed")</f>
        <v>Removed</v>
      </c>
      <c r="E353" s="271">
        <f>IFERROR(__xludf.DUMMYFUNCTION("""COMPUTED_VALUE"""),44273.0)</f>
        <v>44273</v>
      </c>
      <c r="F353" s="266">
        <f>IFERROR(__xludf.DUMMYFUNCTION("""COMPUTED_VALUE"""),44926.0)</f>
        <v>44926</v>
      </c>
      <c r="G353" s="199">
        <f>IFERROR(__xludf.DUMMYFUNCTION("""COMPUTED_VALUE"""),21.400000000000002)</f>
        <v>21.4</v>
      </c>
      <c r="H353" s="210">
        <f>IFERROR(__xludf.DUMMYFUNCTION("""COMPUTED_VALUE"""),43553.0)</f>
        <v>43553</v>
      </c>
      <c r="I353" s="199">
        <f>IFERROR(__xludf.DUMMYFUNCTION("""COMPUTED_VALUE"""),1.9694444444444446)</f>
        <v>1.969444444</v>
      </c>
      <c r="J353" s="200">
        <f>IFERROR(__xludf.DUMMYFUNCTION("""COMPUTED_VALUE"""),78.0)</f>
        <v>78</v>
      </c>
      <c r="K353" s="200">
        <f>IFERROR(__xludf.DUMMYFUNCTION("""COMPUTED_VALUE"""),27.0)</f>
        <v>27</v>
      </c>
      <c r="L353" s="265" t="str">
        <f>IFERROR(__xludf.DUMMYFUNCTION("""COMPUTED_VALUE"""),"Strategy / Simulation")</f>
        <v>Strategy / Simulation</v>
      </c>
    </row>
    <row r="354">
      <c r="A354" s="269" t="str">
        <f>IFERROR(__xludf.DUMMYFUNCTION("""COMPUTED_VALUE"""),"Secret Neighbor")</f>
        <v>Secret Neighbor</v>
      </c>
      <c r="B354" s="195" t="str">
        <f>IFERROR(__xludf.DUMMYFUNCTION("""COMPUTED_VALUE"""),"Xbox / PC")</f>
        <v>Xbox / PC</v>
      </c>
      <c r="C354" s="195" t="str">
        <f>IFERROR(__xludf.DUMMYFUNCTION("""COMPUTED_VALUE"""),"Yes")</f>
        <v>Yes</v>
      </c>
      <c r="D354" s="196" t="str">
        <f>IFERROR(__xludf.DUMMYFUNCTION("""COMPUTED_VALUE"""),"Removed")</f>
        <v>Removed</v>
      </c>
      <c r="E354" s="271">
        <f>IFERROR(__xludf.DUMMYFUNCTION("""COMPUTED_VALUE"""),43761.0)</f>
        <v>43761</v>
      </c>
      <c r="F354" s="266">
        <f>IFERROR(__xludf.DUMMYFUNCTION("""COMPUTED_VALUE"""),44926.0)</f>
        <v>44926</v>
      </c>
      <c r="G354" s="199">
        <f>IFERROR(__xludf.DUMMYFUNCTION("""COMPUTED_VALUE"""),38.233333333333334)</f>
        <v>38.23333333</v>
      </c>
      <c r="H354" s="210">
        <f>IFERROR(__xludf.DUMMYFUNCTION("""COMPUTED_VALUE"""),43761.0)</f>
        <v>43761</v>
      </c>
      <c r="I354" s="199">
        <f>IFERROR(__xludf.DUMMYFUNCTION("""COMPUTED_VALUE"""),0.0)</f>
        <v>0</v>
      </c>
      <c r="J354" s="267">
        <f>IFERROR(__xludf.DUMMYFUNCTION("""COMPUTED_VALUE"""),70.0)</f>
        <v>70</v>
      </c>
      <c r="K354" s="200">
        <f>IFERROR(__xludf.DUMMYFUNCTION("""COMPUTED_VALUE"""),3.0)</f>
        <v>3</v>
      </c>
      <c r="L354" s="265" t="str">
        <f>IFERROR(__xludf.DUMMYFUNCTION("""COMPUTED_VALUE"""),"Action")</f>
        <v>Action</v>
      </c>
    </row>
    <row r="355">
      <c r="A355" s="269" t="str">
        <f>IFERROR(__xludf.DUMMYFUNCTION("""COMPUTED_VALUE"""),"Lake")</f>
        <v>Lake</v>
      </c>
      <c r="B355" s="195" t="str">
        <f>IFERROR(__xludf.DUMMYFUNCTION("""COMPUTED_VALUE"""),"Xbox / PC")</f>
        <v>Xbox / PC</v>
      </c>
      <c r="C355" s="195" t="str">
        <f>IFERROR(__xludf.DUMMYFUNCTION("""COMPUTED_VALUE"""),"Touch Controls")</f>
        <v>Touch Controls</v>
      </c>
      <c r="D355" s="196" t="str">
        <f>IFERROR(__xludf.DUMMYFUNCTION("""COMPUTED_VALUE"""),"Removed")</f>
        <v>Removed</v>
      </c>
      <c r="E355" s="271">
        <f>IFERROR(__xludf.DUMMYFUNCTION("""COMPUTED_VALUE"""),44546.0)</f>
        <v>44546</v>
      </c>
      <c r="F355" s="198">
        <f>IFERROR(__xludf.DUMMYFUNCTION("""COMPUTED_VALUE"""),44910.0)</f>
        <v>44910</v>
      </c>
      <c r="G355" s="199">
        <f>IFERROR(__xludf.DUMMYFUNCTION("""COMPUTED_VALUE"""),11.966666666666667)</f>
        <v>11.96666667</v>
      </c>
      <c r="H355" s="210">
        <f>IFERROR(__xludf.DUMMYFUNCTION("""COMPUTED_VALUE"""),44440.0)</f>
        <v>44440</v>
      </c>
      <c r="I355" s="199">
        <f>IFERROR(__xludf.DUMMYFUNCTION("""COMPUTED_VALUE"""),0.2916666666666667)</f>
        <v>0.2916666667</v>
      </c>
      <c r="J355" s="267">
        <f>IFERROR(__xludf.DUMMYFUNCTION("""COMPUTED_VALUE"""),72.5)</f>
        <v>72.5</v>
      </c>
      <c r="K355" s="200">
        <f>IFERROR(__xludf.DUMMYFUNCTION("""COMPUTED_VALUE"""),6.5)</f>
        <v>6.5</v>
      </c>
      <c r="L355" s="265" t="str">
        <f>IFERROR(__xludf.DUMMYFUNCTION("""COMPUTED_VALUE"""),"Adventure")</f>
        <v>Adventure</v>
      </c>
    </row>
    <row r="356">
      <c r="A356" s="190" t="str">
        <f>IFERROR(__xludf.DUMMYFUNCTION("""COMPUTED_VALUE"""),"Race With Ryan")</f>
        <v>Race With Ryan</v>
      </c>
      <c r="B356" s="195" t="str">
        <f>IFERROR(__xludf.DUMMYFUNCTION("""COMPUTED_VALUE"""),"Xbox / PC")</f>
        <v>Xbox / PC</v>
      </c>
      <c r="C356" s="195" t="str">
        <f>IFERROR(__xludf.DUMMYFUNCTION("""COMPUTED_VALUE"""),"Touch Controls")</f>
        <v>Touch Controls</v>
      </c>
      <c r="D356" s="196" t="str">
        <f>IFERROR(__xludf.DUMMYFUNCTION("""COMPUTED_VALUE"""),"Removed")</f>
        <v>Removed</v>
      </c>
      <c r="E356" s="197">
        <f>IFERROR(__xludf.DUMMYFUNCTION("""COMPUTED_VALUE"""),44546.0)</f>
        <v>44546</v>
      </c>
      <c r="F356" s="198">
        <f>IFERROR(__xludf.DUMMYFUNCTION("""COMPUTED_VALUE"""),44910.0)</f>
        <v>44910</v>
      </c>
      <c r="G356" s="199">
        <f>IFERROR(__xludf.DUMMYFUNCTION("""COMPUTED_VALUE"""),11.966666666666667)</f>
        <v>11.96666667</v>
      </c>
      <c r="H356" s="210">
        <f>IFERROR(__xludf.DUMMYFUNCTION("""COMPUTED_VALUE"""),43770.0)</f>
        <v>43770</v>
      </c>
      <c r="I356" s="199">
        <f>IFERROR(__xludf.DUMMYFUNCTION("""COMPUTED_VALUE"""),2.125)</f>
        <v>2.125</v>
      </c>
      <c r="J356" s="200">
        <f>IFERROR(__xludf.DUMMYFUNCTION("""COMPUTED_VALUE"""),51.0)</f>
        <v>51</v>
      </c>
      <c r="K356" s="200">
        <f>IFERROR(__xludf.DUMMYFUNCTION("""COMPUTED_VALUE"""),1.0)</f>
        <v>1</v>
      </c>
      <c r="L356" s="265" t="str">
        <f>IFERROR(__xludf.DUMMYFUNCTION("""COMPUTED_VALUE"""),"Driving/Racing")</f>
        <v>Driving/Racing</v>
      </c>
    </row>
    <row r="357">
      <c r="A357" s="269" t="str">
        <f>IFERROR(__xludf.DUMMYFUNCTION("""COMPUTED_VALUE"""),"Record of Lodoss War: Deedlit in Wonder Labyrinth")</f>
        <v>Record of Lodoss War: Deedlit in Wonder Labyrinth</v>
      </c>
      <c r="B357" s="195" t="str">
        <f>IFERROR(__xludf.DUMMYFUNCTION("""COMPUTED_VALUE"""),"Xbox / PC")</f>
        <v>Xbox / PC</v>
      </c>
      <c r="C357" s="195" t="str">
        <f>IFERROR(__xludf.DUMMYFUNCTION("""COMPUTED_VALUE"""),"Yes")</f>
        <v>Yes</v>
      </c>
      <c r="D357" s="196" t="str">
        <f>IFERROR(__xludf.DUMMYFUNCTION("""COMPUTED_VALUE"""),"Removed")</f>
        <v>Removed</v>
      </c>
      <c r="E357" s="271">
        <f>IFERROR(__xludf.DUMMYFUNCTION("""COMPUTED_VALUE"""),44546.0)</f>
        <v>44546</v>
      </c>
      <c r="F357" s="198">
        <f>IFERROR(__xludf.DUMMYFUNCTION("""COMPUTED_VALUE"""),44910.0)</f>
        <v>44910</v>
      </c>
      <c r="G357" s="199">
        <f>IFERROR(__xludf.DUMMYFUNCTION("""COMPUTED_VALUE"""),11.966666666666667)</f>
        <v>11.96666667</v>
      </c>
      <c r="H357" s="210">
        <f>IFERROR(__xludf.DUMMYFUNCTION("""COMPUTED_VALUE"""),43903.0)</f>
        <v>43903</v>
      </c>
      <c r="I357" s="199">
        <f>IFERROR(__xludf.DUMMYFUNCTION("""COMPUTED_VALUE"""),1.7583333333333333)</f>
        <v>1.758333333</v>
      </c>
      <c r="J357" s="267">
        <f>IFERROR(__xludf.DUMMYFUNCTION("""COMPUTED_VALUE"""),73.0)</f>
        <v>73</v>
      </c>
      <c r="K357" s="200">
        <f>IFERROR(__xludf.DUMMYFUNCTION("""COMPUTED_VALUE"""),5.5)</f>
        <v>5.5</v>
      </c>
      <c r="L357" s="265" t="str">
        <f>IFERROR(__xludf.DUMMYFUNCTION("""COMPUTED_VALUE"""),"Platformer / Action-Adventure")</f>
        <v>Platformer / Action-Adventure</v>
      </c>
    </row>
    <row r="358">
      <c r="A358" s="269" t="str">
        <f>IFERROR(__xludf.DUMMYFUNCTION("""COMPUTED_VALUE"""),"Transformers: Battlegrounds")</f>
        <v>Transformers: Battlegrounds</v>
      </c>
      <c r="B358" s="195" t="str">
        <f>IFERROR(__xludf.DUMMYFUNCTION("""COMPUTED_VALUE"""),"Xbox / PC")</f>
        <v>Xbox / PC</v>
      </c>
      <c r="C358" s="195" t="str">
        <f>IFERROR(__xludf.DUMMYFUNCTION("""COMPUTED_VALUE"""),"Touch Controls")</f>
        <v>Touch Controls</v>
      </c>
      <c r="D358" s="196" t="str">
        <f>IFERROR(__xludf.DUMMYFUNCTION("""COMPUTED_VALUE"""),"Removed")</f>
        <v>Removed</v>
      </c>
      <c r="E358" s="271">
        <f>IFERROR(__xludf.DUMMYFUNCTION("""COMPUTED_VALUE"""),44546.0)</f>
        <v>44546</v>
      </c>
      <c r="F358" s="198">
        <f>IFERROR(__xludf.DUMMYFUNCTION("""COMPUTED_VALUE"""),44910.0)</f>
        <v>44910</v>
      </c>
      <c r="G358" s="199">
        <f>IFERROR(__xludf.DUMMYFUNCTION("""COMPUTED_VALUE"""),11.966666666666667)</f>
        <v>11.96666667</v>
      </c>
      <c r="H358" s="210">
        <f>IFERROR(__xludf.DUMMYFUNCTION("""COMPUTED_VALUE"""),44127.0)</f>
        <v>44127</v>
      </c>
      <c r="I358" s="199">
        <f>IFERROR(__xludf.DUMMYFUNCTION("""COMPUTED_VALUE"""),1.1472222222222221)</f>
        <v>1.147222222</v>
      </c>
      <c r="J358" s="267">
        <f>IFERROR(__xludf.DUMMYFUNCTION("""COMPUTED_VALUE"""),71.0)</f>
        <v>71</v>
      </c>
      <c r="K358" s="200">
        <f>IFERROR(__xludf.DUMMYFUNCTION("""COMPUTED_VALUE"""),9.0)</f>
        <v>9</v>
      </c>
      <c r="L358" s="265" t="str">
        <f>IFERROR(__xludf.DUMMYFUNCTION("""COMPUTED_VALUE"""),"Strategy")</f>
        <v>Strategy</v>
      </c>
    </row>
    <row r="359">
      <c r="A359" s="269" t="str">
        <f>IFERROR(__xludf.DUMMYFUNCTION("""COMPUTED_VALUE"""),"Aliens: Fireteam Elite")</f>
        <v>Aliens: Fireteam Elite</v>
      </c>
      <c r="B359" s="195" t="str">
        <f>IFERROR(__xludf.DUMMYFUNCTION("""COMPUTED_VALUE"""),"Xbox / PC")</f>
        <v>Xbox / PC</v>
      </c>
      <c r="C359" s="195" t="str">
        <f>IFERROR(__xludf.DUMMYFUNCTION("""COMPUTED_VALUE"""),"Yes")</f>
        <v>Yes</v>
      </c>
      <c r="D359" s="196" t="str">
        <f>IFERROR(__xludf.DUMMYFUNCTION("""COMPUTED_VALUE"""),"Removed")</f>
        <v>Removed</v>
      </c>
      <c r="E359" s="271">
        <f>IFERROR(__xludf.DUMMYFUNCTION("""COMPUTED_VALUE"""),44544.0)</f>
        <v>44544</v>
      </c>
      <c r="F359" s="198">
        <f>IFERROR(__xludf.DUMMYFUNCTION("""COMPUTED_VALUE"""),44910.0)</f>
        <v>44910</v>
      </c>
      <c r="G359" s="199">
        <f>IFERROR(__xludf.DUMMYFUNCTION("""COMPUTED_VALUE"""),12.033333333333333)</f>
        <v>12.03333333</v>
      </c>
      <c r="H359" s="210">
        <f>IFERROR(__xludf.DUMMYFUNCTION("""COMPUTED_VALUE"""),44432.0)</f>
        <v>44432</v>
      </c>
      <c r="I359" s="199">
        <f>IFERROR(__xludf.DUMMYFUNCTION("""COMPUTED_VALUE"""),0.3055555555555556)</f>
        <v>0.3055555556</v>
      </c>
      <c r="J359" s="267">
        <f>IFERROR(__xludf.DUMMYFUNCTION("""COMPUTED_VALUE"""),69.5)</f>
        <v>69.5</v>
      </c>
      <c r="K359" s="200">
        <f>IFERROR(__xludf.DUMMYFUNCTION("""COMPUTED_VALUE"""),9.0)</f>
        <v>9</v>
      </c>
      <c r="L359" s="265" t="str">
        <f>IFERROR(__xludf.DUMMYFUNCTION("""COMPUTED_VALUE"""),"Action")</f>
        <v>Action</v>
      </c>
    </row>
    <row r="360">
      <c r="A360" s="269" t="str">
        <f>IFERROR(__xludf.DUMMYFUNCTION("""COMPUTED_VALUE"""),"One Piece: Pirate Warriors 4")</f>
        <v>One Piece: Pirate Warriors 4</v>
      </c>
      <c r="B360" s="196" t="str">
        <f>IFERROR(__xludf.DUMMYFUNCTION("""COMPUTED_VALUE"""),"Xbox / PC")</f>
        <v>Xbox / PC</v>
      </c>
      <c r="C360" s="196" t="str">
        <f>IFERROR(__xludf.DUMMYFUNCTION("""COMPUTED_VALUE"""),"Touch Controls")</f>
        <v>Touch Controls</v>
      </c>
      <c r="D360" s="196" t="str">
        <f>IFERROR(__xludf.DUMMYFUNCTION("""COMPUTED_VALUE"""),"Removed")</f>
        <v>Removed</v>
      </c>
      <c r="E360" s="271">
        <f>IFERROR(__xludf.DUMMYFUNCTION("""COMPUTED_VALUE"""),44539.0)</f>
        <v>44539</v>
      </c>
      <c r="F360" s="198">
        <f>IFERROR(__xludf.DUMMYFUNCTION("""COMPUTED_VALUE"""),44910.0)</f>
        <v>44910</v>
      </c>
      <c r="G360" s="199">
        <f>IFERROR(__xludf.DUMMYFUNCTION("""COMPUTED_VALUE"""),12.2)</f>
        <v>12.2</v>
      </c>
      <c r="H360" s="210">
        <f>IFERROR(__xludf.DUMMYFUNCTION("""COMPUTED_VALUE"""),43916.0)</f>
        <v>43916</v>
      </c>
      <c r="I360" s="199">
        <f>IFERROR(__xludf.DUMMYFUNCTION("""COMPUTED_VALUE"""),1.7027777777777777)</f>
        <v>1.702777778</v>
      </c>
      <c r="J360" s="267">
        <f>IFERROR(__xludf.DUMMYFUNCTION("""COMPUTED_VALUE"""),76.0)</f>
        <v>76</v>
      </c>
      <c r="K360" s="267">
        <f>IFERROR(__xludf.DUMMYFUNCTION("""COMPUTED_VALUE"""),16.0)</f>
        <v>16</v>
      </c>
      <c r="L360" s="265" t="str">
        <f>IFERROR(__xludf.DUMMYFUNCTION("""COMPUTED_VALUE"""),"Brawler")</f>
        <v>Brawler</v>
      </c>
    </row>
    <row r="361">
      <c r="A361" s="190" t="str">
        <f>IFERROR(__xludf.DUMMYFUNCTION("""COMPUTED_VALUE"""),"Breathedge")</f>
        <v>Breathedge</v>
      </c>
      <c r="B361" s="196" t="str">
        <f>IFERROR(__xludf.DUMMYFUNCTION("""COMPUTED_VALUE"""),"Xbox / PC")</f>
        <v>Xbox / PC</v>
      </c>
      <c r="C361" s="196" t="str">
        <f>IFERROR(__xludf.DUMMYFUNCTION("""COMPUTED_VALUE"""),"Yes")</f>
        <v>Yes</v>
      </c>
      <c r="D361" s="196" t="str">
        <f>IFERROR(__xludf.DUMMYFUNCTION("""COMPUTED_VALUE"""),"Removed")</f>
        <v>Removed</v>
      </c>
      <c r="E361" s="271">
        <f>IFERROR(__xludf.DUMMYFUNCTION("""COMPUTED_VALUE"""),44448.0)</f>
        <v>44448</v>
      </c>
      <c r="F361" s="198">
        <f>IFERROR(__xludf.DUMMYFUNCTION("""COMPUTED_VALUE"""),44910.0)</f>
        <v>44910</v>
      </c>
      <c r="G361" s="199">
        <f>IFERROR(__xludf.DUMMYFUNCTION("""COMPUTED_VALUE"""),15.2)</f>
        <v>15.2</v>
      </c>
      <c r="H361" s="210">
        <f>IFERROR(__xludf.DUMMYFUNCTION("""COMPUTED_VALUE"""),43356.0)</f>
        <v>43356</v>
      </c>
      <c r="I361" s="199">
        <f>IFERROR(__xludf.DUMMYFUNCTION("""COMPUTED_VALUE"""),2.988888888888889)</f>
        <v>2.988888889</v>
      </c>
      <c r="J361" s="267">
        <f>IFERROR(__xludf.DUMMYFUNCTION("""COMPUTED_VALUE"""),71.0)</f>
        <v>71</v>
      </c>
      <c r="K361" s="200">
        <f>IFERROR(__xludf.DUMMYFUNCTION("""COMPUTED_VALUE"""),5.5)</f>
        <v>5.5</v>
      </c>
      <c r="L361" s="265" t="str">
        <f>IFERROR(__xludf.DUMMYFUNCTION("""COMPUTED_VALUE"""),"Adventure")</f>
        <v>Adventure</v>
      </c>
    </row>
    <row r="362">
      <c r="A362" s="269" t="str">
        <f>IFERROR(__xludf.DUMMYFUNCTION("""COMPUTED_VALUE"""),"Neoverse")</f>
        <v>Neoverse</v>
      </c>
      <c r="B362" s="195" t="str">
        <f>IFERROR(__xludf.DUMMYFUNCTION("""COMPUTED_VALUE"""),"Xbox / PC")</f>
        <v>Xbox / PC</v>
      </c>
      <c r="C362" s="195" t="str">
        <f>IFERROR(__xludf.DUMMYFUNCTION("""COMPUTED_VALUE"""),"Touch Controls")</f>
        <v>Touch Controls</v>
      </c>
      <c r="D362" s="196" t="str">
        <f>IFERROR(__xludf.DUMMYFUNCTION("""COMPUTED_VALUE"""),"Removed")</f>
        <v>Removed</v>
      </c>
      <c r="E362" s="271">
        <f>IFERROR(__xludf.DUMMYFUNCTION("""COMPUTED_VALUE"""),44182.0)</f>
        <v>44182</v>
      </c>
      <c r="F362" s="198">
        <f>IFERROR(__xludf.DUMMYFUNCTION("""COMPUTED_VALUE"""),44910.0)</f>
        <v>44910</v>
      </c>
      <c r="G362" s="199">
        <f>IFERROR(__xludf.DUMMYFUNCTION("""COMPUTED_VALUE"""),23.933333333333334)</f>
        <v>23.93333333</v>
      </c>
      <c r="H362" s="210">
        <f>IFERROR(__xludf.DUMMYFUNCTION("""COMPUTED_VALUE"""),43474.0)</f>
        <v>43474</v>
      </c>
      <c r="I362" s="199">
        <f>IFERROR(__xludf.DUMMYFUNCTION("""COMPUTED_VALUE"""),1.9388888888888889)</f>
        <v>1.938888889</v>
      </c>
      <c r="J362" s="267">
        <f>IFERROR(__xludf.DUMMYFUNCTION("""COMPUTED_VALUE"""),68.0)</f>
        <v>68</v>
      </c>
      <c r="K362" s="200">
        <f>IFERROR(__xludf.DUMMYFUNCTION("""COMPUTED_VALUE"""),3.0)</f>
        <v>3</v>
      </c>
      <c r="L362" s="201" t="str">
        <f>IFERROR(__xludf.DUMMYFUNCTION("""COMPUTED_VALUE"""),"Strategy / RPG / Card Game")</f>
        <v>Strategy / RPG / Card Game</v>
      </c>
    </row>
    <row r="363">
      <c r="A363" s="269" t="str">
        <f>IFERROR(__xludf.DUMMYFUNCTION("""COMPUTED_VALUE"""),"Dragon Quest XI S: Echoes of an Elusive Age - Definitive Edition")</f>
        <v>Dragon Quest XI S: Echoes of an Elusive Age - Definitive Edition</v>
      </c>
      <c r="B363" s="195" t="str">
        <f>IFERROR(__xludf.DUMMYFUNCTION("""COMPUTED_VALUE"""),"Xbox / PC")</f>
        <v>Xbox / PC</v>
      </c>
      <c r="C363" s="196" t="str">
        <f>IFERROR(__xludf.DUMMYFUNCTION("""COMPUTED_VALUE"""),"Touch Controls")</f>
        <v>Touch Controls</v>
      </c>
      <c r="D363" s="196" t="str">
        <f>IFERROR(__xludf.DUMMYFUNCTION("""COMPUTED_VALUE"""),"Removed")</f>
        <v>Removed</v>
      </c>
      <c r="E363" s="271">
        <f>IFERROR(__xludf.DUMMYFUNCTION("""COMPUTED_VALUE"""),44169.0)</f>
        <v>44169</v>
      </c>
      <c r="F363" s="266">
        <f>IFERROR(__xludf.DUMMYFUNCTION("""COMPUTED_VALUE"""),44910.0)</f>
        <v>44910</v>
      </c>
      <c r="G363" s="199">
        <f>IFERROR(__xludf.DUMMYFUNCTION("""COMPUTED_VALUE"""),24.366666666666667)</f>
        <v>24.36666667</v>
      </c>
      <c r="H363" s="210">
        <f>IFERROR(__xludf.DUMMYFUNCTION("""COMPUTED_VALUE"""),42945.0)</f>
        <v>42945</v>
      </c>
      <c r="I363" s="199">
        <f>IFERROR(__xludf.DUMMYFUNCTION("""COMPUTED_VALUE"""),3.3472222222222223)</f>
        <v>3.347222222</v>
      </c>
      <c r="J363" s="267">
        <f>IFERROR(__xludf.DUMMYFUNCTION("""COMPUTED_VALUE"""),91.0)</f>
        <v>91</v>
      </c>
      <c r="K363" s="200">
        <f>IFERROR(__xludf.DUMMYFUNCTION("""COMPUTED_VALUE"""),56.0)</f>
        <v>56</v>
      </c>
      <c r="L363" s="265" t="str">
        <f>IFERROR(__xludf.DUMMYFUNCTION("""COMPUTED_VALUE"""),"RPG")</f>
        <v>RPG</v>
      </c>
    </row>
    <row r="364">
      <c r="A364" s="269" t="str">
        <f>IFERROR(__xludf.DUMMYFUNCTION("""COMPUTED_VALUE"""),"Rory McIlroy PGA Tour")</f>
        <v>Rory McIlroy PGA Tour</v>
      </c>
      <c r="B364" s="195" t="str">
        <f>IFERROR(__xludf.DUMMYFUNCTION("""COMPUTED_VALUE"""),"Xbox")</f>
        <v>Xbox</v>
      </c>
      <c r="C364" s="195"/>
      <c r="D364" s="196" t="str">
        <f>IFERROR(__xludf.DUMMYFUNCTION("""COMPUTED_VALUE"""),"Removed")</f>
        <v>Removed</v>
      </c>
      <c r="E364" s="271">
        <f>IFERROR(__xludf.DUMMYFUNCTION("""COMPUTED_VALUE"""),44145.0)</f>
        <v>44145</v>
      </c>
      <c r="F364" s="198">
        <f>IFERROR(__xludf.DUMMYFUNCTION("""COMPUTED_VALUE"""),44910.0)</f>
        <v>44910</v>
      </c>
      <c r="G364" s="199">
        <f>IFERROR(__xludf.DUMMYFUNCTION("""COMPUTED_VALUE"""),25.166666666666668)</f>
        <v>25.16666667</v>
      </c>
      <c r="H364" s="210">
        <f>IFERROR(__xludf.DUMMYFUNCTION("""COMPUTED_VALUE"""),42199.0)</f>
        <v>42199</v>
      </c>
      <c r="I364" s="199">
        <f>IFERROR(__xludf.DUMMYFUNCTION("""COMPUTED_VALUE"""),5.322222222222222)</f>
        <v>5.322222222</v>
      </c>
      <c r="J364" s="267">
        <f>IFERROR(__xludf.DUMMYFUNCTION("""COMPUTED_VALUE"""),60.0)</f>
        <v>60</v>
      </c>
      <c r="K364" s="200">
        <f>IFERROR(__xludf.DUMMYFUNCTION("""COMPUTED_VALUE"""),40.0)</f>
        <v>40</v>
      </c>
      <c r="L364" s="265" t="str">
        <f>IFERROR(__xludf.DUMMYFUNCTION("""COMPUTED_VALUE"""),"Sports / Golf")</f>
        <v>Sports / Golf</v>
      </c>
    </row>
    <row r="365">
      <c r="A365" s="269" t="str">
        <f>IFERROR(__xludf.DUMMYFUNCTION("""COMPUTED_VALUE"""),"Space Warlord Organ Trading Simulator")</f>
        <v>Space Warlord Organ Trading Simulator</v>
      </c>
      <c r="B365" s="195" t="str">
        <f>IFERROR(__xludf.DUMMYFUNCTION("""COMPUTED_VALUE"""),"Xbox / PC")</f>
        <v>Xbox / PC</v>
      </c>
      <c r="C365" s="195" t="str">
        <f>IFERROR(__xludf.DUMMYFUNCTION("""COMPUTED_VALUE"""),"Touch Controls")</f>
        <v>Touch Controls</v>
      </c>
      <c r="D365" s="196" t="str">
        <f>IFERROR(__xludf.DUMMYFUNCTION("""COMPUTED_VALUE"""),"Removed")</f>
        <v>Removed</v>
      </c>
      <c r="E365" s="271">
        <f>IFERROR(__xludf.DUMMYFUNCTION("""COMPUTED_VALUE"""),44537.0)</f>
        <v>44537</v>
      </c>
      <c r="F365" s="198">
        <f>IFERROR(__xludf.DUMMYFUNCTION("""COMPUTED_VALUE"""),44895.0)</f>
        <v>44895</v>
      </c>
      <c r="G365" s="199">
        <f>IFERROR(__xludf.DUMMYFUNCTION("""COMPUTED_VALUE"""),11.766666666666666)</f>
        <v>11.76666667</v>
      </c>
      <c r="H365" s="210">
        <f>IFERROR(__xludf.DUMMYFUNCTION("""COMPUTED_VALUE"""),44537.0)</f>
        <v>44537</v>
      </c>
      <c r="I365" s="199">
        <f>IFERROR(__xludf.DUMMYFUNCTION("""COMPUTED_VALUE"""),0.0)</f>
        <v>0</v>
      </c>
      <c r="J365" s="267">
        <f>IFERROR(__xludf.DUMMYFUNCTION("""COMPUTED_VALUE"""),70.0)</f>
        <v>70</v>
      </c>
      <c r="K365" s="200">
        <f>IFERROR(__xludf.DUMMYFUNCTION("""COMPUTED_VALUE"""),2.0)</f>
        <v>2</v>
      </c>
      <c r="L365" s="265" t="str">
        <f>IFERROR(__xludf.DUMMYFUNCTION("""COMPUTED_VALUE"""),"Simulation")</f>
        <v>Simulation</v>
      </c>
    </row>
    <row r="366">
      <c r="A366" s="269" t="str">
        <f>IFERROR(__xludf.DUMMYFUNCTION("""COMPUTED_VALUE"""),"Archvale")</f>
        <v>Archvale</v>
      </c>
      <c r="B366" s="196" t="str">
        <f>IFERROR(__xludf.DUMMYFUNCTION("""COMPUTED_VALUE"""),"Xbox / PC")</f>
        <v>Xbox / PC</v>
      </c>
      <c r="C366" s="196" t="str">
        <f>IFERROR(__xludf.DUMMYFUNCTION("""COMPUTED_VALUE"""),"Touch Controls")</f>
        <v>Touch Controls</v>
      </c>
      <c r="D366" s="196" t="str">
        <f>IFERROR(__xludf.DUMMYFUNCTION("""COMPUTED_VALUE"""),"Removed")</f>
        <v>Removed</v>
      </c>
      <c r="E366" s="271">
        <f>IFERROR(__xludf.DUMMYFUNCTION("""COMPUTED_VALUE"""),44532.0)</f>
        <v>44532</v>
      </c>
      <c r="F366" s="198">
        <f>IFERROR(__xludf.DUMMYFUNCTION("""COMPUTED_VALUE"""),44895.0)</f>
        <v>44895</v>
      </c>
      <c r="G366" s="199">
        <f>IFERROR(__xludf.DUMMYFUNCTION("""COMPUTED_VALUE"""),11.933333333333334)</f>
        <v>11.93333333</v>
      </c>
      <c r="H366" s="210">
        <f>IFERROR(__xludf.DUMMYFUNCTION("""COMPUTED_VALUE"""),44532.0)</f>
        <v>44532</v>
      </c>
      <c r="I366" s="199">
        <f>IFERROR(__xludf.DUMMYFUNCTION("""COMPUTED_VALUE"""),0.0)</f>
        <v>0</v>
      </c>
      <c r="J366" s="200">
        <f>IFERROR(__xludf.DUMMYFUNCTION("""COMPUTED_VALUE"""),84.0)</f>
        <v>84</v>
      </c>
      <c r="K366" s="200">
        <f>IFERROR(__xludf.DUMMYFUNCTION("""COMPUTED_VALUE"""),9.0)</f>
        <v>9</v>
      </c>
      <c r="L366" s="201" t="str">
        <f>IFERROR(__xludf.DUMMYFUNCTION("""COMPUTED_VALUE"""),"Dual-Joystick Shooter / Action-Adventure")</f>
        <v>Dual-Joystick Shooter / Action-Adventure</v>
      </c>
    </row>
    <row r="367">
      <c r="A367" s="269" t="str">
        <f>IFERROR(__xludf.DUMMYFUNCTION("""COMPUTED_VALUE"""),"Final Fantasy XIII-2")</f>
        <v>Final Fantasy XIII-2</v>
      </c>
      <c r="B367" s="195" t="str">
        <f>IFERROR(__xludf.DUMMYFUNCTION("""COMPUTED_VALUE"""),"Xbox / PC")</f>
        <v>Xbox / PC</v>
      </c>
      <c r="C367" s="196"/>
      <c r="D367" s="196" t="str">
        <f>IFERROR(__xludf.DUMMYFUNCTION("""COMPUTED_VALUE"""),"Removed")</f>
        <v>Removed</v>
      </c>
      <c r="E367" s="271">
        <f>IFERROR(__xludf.DUMMYFUNCTION("""COMPUTED_VALUE"""),44532.0)</f>
        <v>44532</v>
      </c>
      <c r="F367" s="198">
        <f>IFERROR(__xludf.DUMMYFUNCTION("""COMPUTED_VALUE"""),44895.0)</f>
        <v>44895</v>
      </c>
      <c r="G367" s="199">
        <f>IFERROR(__xludf.DUMMYFUNCTION("""COMPUTED_VALUE"""),11.933333333333334)</f>
        <v>11.93333333</v>
      </c>
      <c r="H367" s="210">
        <f>IFERROR(__xludf.DUMMYFUNCTION("""COMPUTED_VALUE"""),40892.0)</f>
        <v>40892</v>
      </c>
      <c r="I367" s="199">
        <f>IFERROR(__xludf.DUMMYFUNCTION("""COMPUTED_VALUE"""),9.963888888888889)</f>
        <v>9.963888889</v>
      </c>
      <c r="J367" s="267">
        <f>IFERROR(__xludf.DUMMYFUNCTION("""COMPUTED_VALUE"""),78.5)</f>
        <v>78.5</v>
      </c>
      <c r="K367" s="200">
        <f>IFERROR(__xludf.DUMMYFUNCTION("""COMPUTED_VALUE"""),28.0)</f>
        <v>28</v>
      </c>
      <c r="L367" s="265" t="str">
        <f>IFERROR(__xludf.DUMMYFUNCTION("""COMPUTED_VALUE"""),"RPG")</f>
        <v>RPG</v>
      </c>
    </row>
    <row r="368">
      <c r="A368" s="269" t="str">
        <f>IFERROR(__xludf.DUMMYFUNCTION("""COMPUTED_VALUE"""),"Warhammer 40,000: Battlesector")</f>
        <v>Warhammer 40,000: Battlesector</v>
      </c>
      <c r="B368" s="195" t="str">
        <f>IFERROR(__xludf.DUMMYFUNCTION("""COMPUTED_VALUE"""),"Xbox / PC")</f>
        <v>Xbox / PC</v>
      </c>
      <c r="C368" s="196" t="str">
        <f>IFERROR(__xludf.DUMMYFUNCTION("""COMPUTED_VALUE"""),"Yes")</f>
        <v>Yes</v>
      </c>
      <c r="D368" s="196" t="str">
        <f>IFERROR(__xludf.DUMMYFUNCTION("""COMPUTED_VALUE"""),"Removed")</f>
        <v>Removed</v>
      </c>
      <c r="E368" s="271">
        <f>IFERROR(__xludf.DUMMYFUNCTION("""COMPUTED_VALUE"""),44532.0)</f>
        <v>44532</v>
      </c>
      <c r="F368" s="198">
        <f>IFERROR(__xludf.DUMMYFUNCTION("""COMPUTED_VALUE"""),44895.0)</f>
        <v>44895</v>
      </c>
      <c r="G368" s="199">
        <f>IFERROR(__xludf.DUMMYFUNCTION("""COMPUTED_VALUE"""),11.933333333333334)</f>
        <v>11.93333333</v>
      </c>
      <c r="H368" s="210">
        <f>IFERROR(__xludf.DUMMYFUNCTION("""COMPUTED_VALUE"""),44392.0)</f>
        <v>44392</v>
      </c>
      <c r="I368" s="199">
        <f>IFERROR(__xludf.DUMMYFUNCTION("""COMPUTED_VALUE"""),0.38055555555555554)</f>
        <v>0.3805555556</v>
      </c>
      <c r="J368" s="200">
        <f>IFERROR(__xludf.DUMMYFUNCTION("""COMPUTED_VALUE"""),74.0)</f>
        <v>74</v>
      </c>
      <c r="K368" s="200">
        <f>IFERROR(__xludf.DUMMYFUNCTION("""COMPUTED_VALUE"""),19.5)</f>
        <v>19.5</v>
      </c>
      <c r="L368" s="265" t="str">
        <f>IFERROR(__xludf.DUMMYFUNCTION("""COMPUTED_VALUE"""),"Strategy")</f>
        <v>Strategy</v>
      </c>
    </row>
    <row r="369">
      <c r="A369" s="269" t="str">
        <f>IFERROR(__xludf.DUMMYFUNCTION("""COMPUTED_VALUE"""),"Mind Scanners")</f>
        <v>Mind Scanners</v>
      </c>
      <c r="B369" s="195" t="str">
        <f>IFERROR(__xludf.DUMMYFUNCTION("""COMPUTED_VALUE"""),"Xbox / PC")</f>
        <v>Xbox / PC</v>
      </c>
      <c r="C369" s="196" t="str">
        <f>IFERROR(__xludf.DUMMYFUNCTION("""COMPUTED_VALUE"""),"Yes")</f>
        <v>Yes</v>
      </c>
      <c r="D369" s="196" t="str">
        <f>IFERROR(__xludf.DUMMYFUNCTION("""COMPUTED_VALUE"""),"Removed")</f>
        <v>Removed</v>
      </c>
      <c r="E369" s="271">
        <f>IFERROR(__xludf.DUMMYFUNCTION("""COMPUTED_VALUE"""),44531.0)</f>
        <v>44531</v>
      </c>
      <c r="F369" s="198">
        <f>IFERROR(__xludf.DUMMYFUNCTION("""COMPUTED_VALUE"""),44895.0)</f>
        <v>44895</v>
      </c>
      <c r="G369" s="199">
        <f>IFERROR(__xludf.DUMMYFUNCTION("""COMPUTED_VALUE"""),11.966666666666667)</f>
        <v>11.96666667</v>
      </c>
      <c r="H369" s="210">
        <f>IFERROR(__xludf.DUMMYFUNCTION("""COMPUTED_VALUE"""),44336.0)</f>
        <v>44336</v>
      </c>
      <c r="I369" s="199">
        <f>IFERROR(__xludf.DUMMYFUNCTION("""COMPUTED_VALUE"""),0.5305555555555556)</f>
        <v>0.5305555556</v>
      </c>
      <c r="J369" s="200">
        <f>IFERROR(__xludf.DUMMYFUNCTION("""COMPUTED_VALUE"""),75.0)</f>
        <v>75</v>
      </c>
      <c r="K369" s="200">
        <f>IFERROR(__xludf.DUMMYFUNCTION("""COMPUTED_VALUE"""),2.5)</f>
        <v>2.5</v>
      </c>
      <c r="L369" s="265" t="str">
        <f>IFERROR(__xludf.DUMMYFUNCTION("""COMPUTED_VALUE"""),"Adventure / RPG / Strategy / Simulation")</f>
        <v>Adventure / RPG / Strategy / Simulation</v>
      </c>
    </row>
    <row r="370">
      <c r="A370" s="269" t="str">
        <f>IFERROR(__xludf.DUMMYFUNCTION("""COMPUTED_VALUE"""),"DEEEER Simulator")</f>
        <v>DEEEER Simulator</v>
      </c>
      <c r="B370" s="195" t="str">
        <f>IFERROR(__xludf.DUMMYFUNCTION("""COMPUTED_VALUE"""),"Xbox / PC")</f>
        <v>Xbox / PC</v>
      </c>
      <c r="C370" s="196" t="str">
        <f>IFERROR(__xludf.DUMMYFUNCTION("""COMPUTED_VALUE"""),"Yes")</f>
        <v>Yes</v>
      </c>
      <c r="D370" s="196" t="str">
        <f>IFERROR(__xludf.DUMMYFUNCTION("""COMPUTED_VALUE"""),"Removed")</f>
        <v>Removed</v>
      </c>
      <c r="E370" s="271">
        <f>IFERROR(__xludf.DUMMYFUNCTION("""COMPUTED_VALUE"""),44523.0)</f>
        <v>44523</v>
      </c>
      <c r="F370" s="198">
        <f>IFERROR(__xludf.DUMMYFUNCTION("""COMPUTED_VALUE"""),44895.0)</f>
        <v>44895</v>
      </c>
      <c r="G370" s="199">
        <f>IFERROR(__xludf.DUMMYFUNCTION("""COMPUTED_VALUE"""),12.233333333333333)</f>
        <v>12.23333333</v>
      </c>
      <c r="H370" s="210">
        <f>IFERROR(__xludf.DUMMYFUNCTION("""COMPUTED_VALUE"""),43851.0)</f>
        <v>43851</v>
      </c>
      <c r="I370" s="199">
        <f>IFERROR(__xludf.DUMMYFUNCTION("""COMPUTED_VALUE"""),1.8388888888888888)</f>
        <v>1.838888889</v>
      </c>
      <c r="J370" s="200">
        <f>IFERROR(__xludf.DUMMYFUNCTION("""COMPUTED_VALUE"""),46.666666666666664)</f>
        <v>46.66666667</v>
      </c>
      <c r="K370" s="200">
        <f>IFERROR(__xludf.DUMMYFUNCTION("""COMPUTED_VALUE"""),1.0)</f>
        <v>1</v>
      </c>
      <c r="L370" s="265" t="str">
        <f>IFERROR(__xludf.DUMMYFUNCTION("""COMPUTED_VALUE"""),"Action")</f>
        <v>Action</v>
      </c>
    </row>
    <row r="371">
      <c r="A371" s="269" t="str">
        <f>IFERROR(__xludf.DUMMYFUNCTION("""COMPUTED_VALUE"""),"Undungeon")</f>
        <v>Undungeon</v>
      </c>
      <c r="B371" s="195" t="str">
        <f>IFERROR(__xludf.DUMMYFUNCTION("""COMPUTED_VALUE"""),"Xbox / PC")</f>
        <v>Xbox / PC</v>
      </c>
      <c r="C371" s="195" t="str">
        <f>IFERROR(__xludf.DUMMYFUNCTION("""COMPUTED_VALUE"""),"Touch Controls")</f>
        <v>Touch Controls</v>
      </c>
      <c r="D371" s="196" t="str">
        <f>IFERROR(__xludf.DUMMYFUNCTION("""COMPUTED_VALUE"""),"Removed")</f>
        <v>Removed</v>
      </c>
      <c r="E371" s="271">
        <f>IFERROR(__xludf.DUMMYFUNCTION("""COMPUTED_VALUE"""),44518.0)</f>
        <v>44518</v>
      </c>
      <c r="F371" s="198">
        <f>IFERROR(__xludf.DUMMYFUNCTION("""COMPUTED_VALUE"""),44895.0)</f>
        <v>44895</v>
      </c>
      <c r="G371" s="199">
        <f>IFERROR(__xludf.DUMMYFUNCTION("""COMPUTED_VALUE"""),12.400000000000002)</f>
        <v>12.4</v>
      </c>
      <c r="H371" s="210">
        <f>IFERROR(__xludf.DUMMYFUNCTION("""COMPUTED_VALUE"""),44518.0)</f>
        <v>44518</v>
      </c>
      <c r="I371" s="199">
        <f>IFERROR(__xludf.DUMMYFUNCTION("""COMPUTED_VALUE"""),0.0)</f>
        <v>0</v>
      </c>
      <c r="J371" s="267">
        <f>IFERROR(__xludf.DUMMYFUNCTION("""COMPUTED_VALUE"""),69.83333333333333)</f>
        <v>69.83333333</v>
      </c>
      <c r="K371" s="267">
        <f>IFERROR(__xludf.DUMMYFUNCTION("""COMPUTED_VALUE"""),4.0)</f>
        <v>4</v>
      </c>
      <c r="L371" s="265" t="str">
        <f>IFERROR(__xludf.DUMMYFUNCTION("""COMPUTED_VALUE"""),"RPG")</f>
        <v>RPG</v>
      </c>
    </row>
    <row r="372">
      <c r="A372" s="190" t="str">
        <f>IFERROR(__xludf.DUMMYFUNCTION("""COMPUTED_VALUE"""),"Fae Tactics")</f>
        <v>Fae Tactics</v>
      </c>
      <c r="B372" s="195" t="str">
        <f>IFERROR(__xludf.DUMMYFUNCTION("""COMPUTED_VALUE"""),"Xbox / PC")</f>
        <v>Xbox / PC</v>
      </c>
      <c r="C372" s="195" t="str">
        <f>IFERROR(__xludf.DUMMYFUNCTION("""COMPUTED_VALUE"""),"Touch Controls")</f>
        <v>Touch Controls</v>
      </c>
      <c r="D372" s="196" t="str">
        <f>IFERROR(__xludf.DUMMYFUNCTION("""COMPUTED_VALUE"""),"Removed")</f>
        <v>Removed</v>
      </c>
      <c r="E372" s="271">
        <f>IFERROR(__xludf.DUMMYFUNCTION("""COMPUTED_VALUE"""),44518.0)</f>
        <v>44518</v>
      </c>
      <c r="F372" s="198">
        <f>IFERROR(__xludf.DUMMYFUNCTION("""COMPUTED_VALUE"""),44880.0)</f>
        <v>44880</v>
      </c>
      <c r="G372" s="199">
        <f>IFERROR(__xludf.DUMMYFUNCTION("""COMPUTED_VALUE"""),11.9)</f>
        <v>11.9</v>
      </c>
      <c r="H372" s="210">
        <f>IFERROR(__xludf.DUMMYFUNCTION("""COMPUTED_VALUE"""),44043.0)</f>
        <v>44043</v>
      </c>
      <c r="I372" s="199">
        <f>IFERROR(__xludf.DUMMYFUNCTION("""COMPUTED_VALUE"""),1.3)</f>
        <v>1.3</v>
      </c>
      <c r="J372" s="267">
        <f>IFERROR(__xludf.DUMMYFUNCTION("""COMPUTED_VALUE"""),77.0)</f>
        <v>77</v>
      </c>
      <c r="K372" s="200">
        <f>IFERROR(__xludf.DUMMYFUNCTION("""COMPUTED_VALUE"""),32.5)</f>
        <v>32.5</v>
      </c>
      <c r="L372" s="272" t="str">
        <f>IFERROR(__xludf.DUMMYFUNCTION("""COMPUTED_VALUE"""),"Strategy / RPG")</f>
        <v>Strategy / RPG</v>
      </c>
    </row>
    <row r="373">
      <c r="A373" s="269" t="str">
        <f>IFERROR(__xludf.DUMMYFUNCTION("""COMPUTED_VALUE"""),"Next Space Rebels")</f>
        <v>Next Space Rebels</v>
      </c>
      <c r="B373" s="195" t="str">
        <f>IFERROR(__xludf.DUMMYFUNCTION("""COMPUTED_VALUE"""),"Xbox / PC")</f>
        <v>Xbox / PC</v>
      </c>
      <c r="C373" s="195" t="str">
        <f>IFERROR(__xludf.DUMMYFUNCTION("""COMPUTED_VALUE"""),"Yes")</f>
        <v>Yes</v>
      </c>
      <c r="D373" s="196" t="str">
        <f>IFERROR(__xludf.DUMMYFUNCTION("""COMPUTED_VALUE"""),"Removed")</f>
        <v>Removed</v>
      </c>
      <c r="E373" s="271">
        <f>IFERROR(__xludf.DUMMYFUNCTION("""COMPUTED_VALUE"""),44517.0)</f>
        <v>44517</v>
      </c>
      <c r="F373" s="198">
        <f>IFERROR(__xludf.DUMMYFUNCTION("""COMPUTED_VALUE"""),44880.0)</f>
        <v>44880</v>
      </c>
      <c r="G373" s="199">
        <f>IFERROR(__xludf.DUMMYFUNCTION("""COMPUTED_VALUE"""),11.933333333333334)</f>
        <v>11.93333333</v>
      </c>
      <c r="H373" s="210">
        <f>IFERROR(__xludf.DUMMYFUNCTION("""COMPUTED_VALUE"""),44517.0)</f>
        <v>44517</v>
      </c>
      <c r="I373" s="199">
        <f>IFERROR(__xludf.DUMMYFUNCTION("""COMPUTED_VALUE"""),0.0)</f>
        <v>0</v>
      </c>
      <c r="J373" s="267">
        <f>IFERROR(__xludf.DUMMYFUNCTION("""COMPUTED_VALUE"""),71.66666666666667)</f>
        <v>71.66666667</v>
      </c>
      <c r="K373" s="200">
        <f>IFERROR(__xludf.DUMMYFUNCTION("""COMPUTED_VALUE"""),18.0)</f>
        <v>18</v>
      </c>
      <c r="L373" s="265" t="str">
        <f>IFERROR(__xludf.DUMMYFUNCTION("""COMPUTED_VALUE"""),"Simulation")</f>
        <v>Simulation</v>
      </c>
    </row>
    <row r="374">
      <c r="A374" s="269" t="str">
        <f>IFERROR(__xludf.DUMMYFUNCTION("""COMPUTED_VALUE"""),"One Step from Eden")</f>
        <v>One Step from Eden</v>
      </c>
      <c r="B374" s="195" t="str">
        <f>IFERROR(__xludf.DUMMYFUNCTION("""COMPUTED_VALUE"""),"Xbox / PC")</f>
        <v>Xbox / PC</v>
      </c>
      <c r="C374" s="195" t="str">
        <f>IFERROR(__xludf.DUMMYFUNCTION("""COMPUTED_VALUE"""),"Touch Controls")</f>
        <v>Touch Controls</v>
      </c>
      <c r="D374" s="196" t="str">
        <f>IFERROR(__xludf.DUMMYFUNCTION("""COMPUTED_VALUE"""),"Removed")</f>
        <v>Removed</v>
      </c>
      <c r="E374" s="271">
        <f>IFERROR(__xludf.DUMMYFUNCTION("""COMPUTED_VALUE"""),44511.0)</f>
        <v>44511</v>
      </c>
      <c r="F374" s="198">
        <f>IFERROR(__xludf.DUMMYFUNCTION("""COMPUTED_VALUE"""),44880.0)</f>
        <v>44880</v>
      </c>
      <c r="G374" s="199">
        <f>IFERROR(__xludf.DUMMYFUNCTION("""COMPUTED_VALUE"""),12.133333333333333)</f>
        <v>12.13333333</v>
      </c>
      <c r="H374" s="210">
        <f>IFERROR(__xludf.DUMMYFUNCTION("""COMPUTED_VALUE"""),43916.0)</f>
        <v>43916</v>
      </c>
      <c r="I374" s="199">
        <f>IFERROR(__xludf.DUMMYFUNCTION("""COMPUTED_VALUE"""),1.625)</f>
        <v>1.625</v>
      </c>
      <c r="J374" s="267">
        <f>IFERROR(__xludf.DUMMYFUNCTION("""COMPUTED_VALUE"""),82.0)</f>
        <v>82</v>
      </c>
      <c r="K374" s="267">
        <f>IFERROR(__xludf.DUMMYFUNCTION("""COMPUTED_VALUE"""),7.5)</f>
        <v>7.5</v>
      </c>
      <c r="L374" s="265" t="str">
        <f>IFERROR(__xludf.DUMMYFUNCTION("""COMPUTED_VALUE"""),"Action / Card Game")</f>
        <v>Action / Card Game</v>
      </c>
    </row>
    <row r="375">
      <c r="A375" s="269" t="str">
        <f>IFERROR(__xludf.DUMMYFUNCTION("""COMPUTED_VALUE"""),"art of rally")</f>
        <v>art of rally</v>
      </c>
      <c r="B375" s="195" t="str">
        <f>IFERROR(__xludf.DUMMYFUNCTION("""COMPUTED_VALUE"""),"Xbox / PC")</f>
        <v>Xbox / PC</v>
      </c>
      <c r="C375" s="195" t="str">
        <f>IFERROR(__xludf.DUMMYFUNCTION("""COMPUTED_VALUE"""),"Touch Controls")</f>
        <v>Touch Controls</v>
      </c>
      <c r="D375" s="196" t="str">
        <f>IFERROR(__xludf.DUMMYFUNCTION("""COMPUTED_VALUE"""),"Removed")</f>
        <v>Removed</v>
      </c>
      <c r="E375" s="271">
        <f>IFERROR(__xludf.DUMMYFUNCTION("""COMPUTED_VALUE"""),44420.0)</f>
        <v>44420</v>
      </c>
      <c r="F375" s="198">
        <f>IFERROR(__xludf.DUMMYFUNCTION("""COMPUTED_VALUE"""),44880.0)</f>
        <v>44880</v>
      </c>
      <c r="G375" s="199">
        <f>IFERROR(__xludf.DUMMYFUNCTION("""COMPUTED_VALUE"""),15.1)</f>
        <v>15.1</v>
      </c>
      <c r="H375" s="210">
        <f>IFERROR(__xludf.DUMMYFUNCTION("""COMPUTED_VALUE"""),44097.0)</f>
        <v>44097</v>
      </c>
      <c r="I375" s="199">
        <f>IFERROR(__xludf.DUMMYFUNCTION("""COMPUTED_VALUE"""),0.8861111111111111)</f>
        <v>0.8861111111</v>
      </c>
      <c r="J375" s="267">
        <f>IFERROR(__xludf.DUMMYFUNCTION("""COMPUTED_VALUE"""),80.0)</f>
        <v>80</v>
      </c>
      <c r="K375" s="200">
        <f>IFERROR(__xludf.DUMMYFUNCTION("""COMPUTED_VALUE"""),16.5)</f>
        <v>16.5</v>
      </c>
      <c r="L375" s="265" t="str">
        <f>IFERROR(__xludf.DUMMYFUNCTION("""COMPUTED_VALUE"""),"Driving/Racing")</f>
        <v>Driving/Racing</v>
      </c>
    </row>
    <row r="376">
      <c r="A376" s="269" t="str">
        <f>IFERROR(__xludf.DUMMYFUNCTION("""COMPUTED_VALUE"""),"Supraland")</f>
        <v>Supraland</v>
      </c>
      <c r="B376" s="195" t="str">
        <f>IFERROR(__xludf.DUMMYFUNCTION("""COMPUTED_VALUE"""),"Xbox / PC")</f>
        <v>Xbox / PC</v>
      </c>
      <c r="C376" s="195"/>
      <c r="D376" s="196" t="str">
        <f>IFERROR(__xludf.DUMMYFUNCTION("""COMPUTED_VALUE"""),"Removed")</f>
        <v>Removed</v>
      </c>
      <c r="E376" s="271">
        <f>IFERROR(__xludf.DUMMYFUNCTION("""COMPUTED_VALUE"""),44126.0)</f>
        <v>44126</v>
      </c>
      <c r="F376" s="266">
        <f>IFERROR(__xludf.DUMMYFUNCTION("""COMPUTED_VALUE"""),44880.0)</f>
        <v>44880</v>
      </c>
      <c r="G376" s="199">
        <f>IFERROR(__xludf.DUMMYFUNCTION("""COMPUTED_VALUE"""),24.76666666666667)</f>
        <v>24.76666667</v>
      </c>
      <c r="H376" s="210">
        <f>IFERROR(__xludf.DUMMYFUNCTION("""COMPUTED_VALUE"""),43560.0)</f>
        <v>43560</v>
      </c>
      <c r="I376" s="199">
        <f>IFERROR(__xludf.DUMMYFUNCTION("""COMPUTED_VALUE"""),1.5472222222222223)</f>
        <v>1.547222222</v>
      </c>
      <c r="J376" s="267">
        <f>IFERROR(__xludf.DUMMYFUNCTION("""COMPUTED_VALUE"""),82.0)</f>
        <v>82</v>
      </c>
      <c r="K376" s="267">
        <f>IFERROR(__xludf.DUMMYFUNCTION("""COMPUTED_VALUE"""),13.0)</f>
        <v>13</v>
      </c>
      <c r="L376" s="201" t="str">
        <f>IFERROR(__xludf.DUMMYFUNCTION("""COMPUTED_VALUE"""),"Action-Adventure")</f>
        <v>Action-Adventure</v>
      </c>
    </row>
    <row r="377">
      <c r="A377" s="190" t="str">
        <f>IFERROR(__xludf.DUMMYFUNCTION("""COMPUTED_VALUE"""),"Subnautica")</f>
        <v>Subnautica</v>
      </c>
      <c r="B377" s="195" t="str">
        <f>IFERROR(__xludf.DUMMYFUNCTION("""COMPUTED_VALUE"""),"Xbox / PC")</f>
        <v>Xbox / PC</v>
      </c>
      <c r="C377" s="195" t="str">
        <f>IFERROR(__xludf.DUMMYFUNCTION("""COMPUTED_VALUE"""),"Yes")</f>
        <v>Yes</v>
      </c>
      <c r="D377" s="196" t="str">
        <f>IFERROR(__xludf.DUMMYFUNCTION("""COMPUTED_VALUE"""),"Removed")</f>
        <v>Removed</v>
      </c>
      <c r="E377" s="271">
        <f>IFERROR(__xludf.DUMMYFUNCTION("""COMPUTED_VALUE"""),43776.0)</f>
        <v>43776</v>
      </c>
      <c r="F377" s="198">
        <f>IFERROR(__xludf.DUMMYFUNCTION("""COMPUTED_VALUE"""),44880.0)</f>
        <v>44880</v>
      </c>
      <c r="G377" s="199">
        <f>IFERROR(__xludf.DUMMYFUNCTION("""COMPUTED_VALUE"""),36.266666666666666)</f>
        <v>36.26666667</v>
      </c>
      <c r="H377" s="210">
        <f>IFERROR(__xludf.DUMMYFUNCTION("""COMPUTED_VALUE"""),43123.0)</f>
        <v>43123</v>
      </c>
      <c r="I377" s="199">
        <f>IFERROR(__xludf.DUMMYFUNCTION("""COMPUTED_VALUE"""),1.788888888888889)</f>
        <v>1.788888889</v>
      </c>
      <c r="J377" s="200">
        <f>IFERROR(__xludf.DUMMYFUNCTION("""COMPUTED_VALUE"""),81.0)</f>
        <v>81</v>
      </c>
      <c r="K377" s="200">
        <f>IFERROR(__xludf.DUMMYFUNCTION("""COMPUTED_VALUE"""),27.0)</f>
        <v>27</v>
      </c>
      <c r="L377" s="201" t="str">
        <f>IFERROR(__xludf.DUMMYFUNCTION("""COMPUTED_VALUE"""),"Adventure")</f>
        <v>Adventure</v>
      </c>
    </row>
    <row r="378">
      <c r="A378" s="269" t="str">
        <f>IFERROR(__xludf.DUMMYFUNCTION("""COMPUTED_VALUE"""),"Football Manager 2022")</f>
        <v>Football Manager 2022</v>
      </c>
      <c r="B378" s="196" t="str">
        <f>IFERROR(__xludf.DUMMYFUNCTION("""COMPUTED_VALUE"""),"Xbox / PC")</f>
        <v>Xbox / PC</v>
      </c>
      <c r="C378" s="196" t="str">
        <f>IFERROR(__xludf.DUMMYFUNCTION("""COMPUTED_VALUE"""),"Touch Controls")</f>
        <v>Touch Controls</v>
      </c>
      <c r="D378" s="196" t="str">
        <f>IFERROR(__xludf.DUMMYFUNCTION("""COMPUTED_VALUE"""),"Removed")</f>
        <v>Removed</v>
      </c>
      <c r="E378" s="271">
        <f>IFERROR(__xludf.DUMMYFUNCTION("""COMPUTED_VALUE"""),44509.0)</f>
        <v>44509</v>
      </c>
      <c r="F378" s="198">
        <f>IFERROR(__xludf.DUMMYFUNCTION("""COMPUTED_VALUE"""),44873.0)</f>
        <v>44873</v>
      </c>
      <c r="G378" s="199">
        <f>IFERROR(__xludf.DUMMYFUNCTION("""COMPUTED_VALUE"""),11.966666666666667)</f>
        <v>11.96666667</v>
      </c>
      <c r="H378" s="210">
        <f>IFERROR(__xludf.DUMMYFUNCTION("""COMPUTED_VALUE"""),44509.0)</f>
        <v>44509</v>
      </c>
      <c r="I378" s="199">
        <f>IFERROR(__xludf.DUMMYFUNCTION("""COMPUTED_VALUE"""),0.0)</f>
        <v>0</v>
      </c>
      <c r="J378" s="267">
        <f>IFERROR(__xludf.DUMMYFUNCTION("""COMPUTED_VALUE"""),86.0)</f>
        <v>86</v>
      </c>
      <c r="K378" s="200">
        <f>IFERROR(__xludf.DUMMYFUNCTION("""COMPUTED_VALUE"""),85.0)</f>
        <v>85</v>
      </c>
      <c r="L378" s="265" t="str">
        <f>IFERROR(__xludf.DUMMYFUNCTION("""COMPUTED_VALUE"""),"Sports / Simulation / Soccer")</f>
        <v>Sports / Simulation / Soccer</v>
      </c>
    </row>
    <row r="379">
      <c r="A379" s="269" t="str">
        <f>IFERROR(__xludf.DUMMYFUNCTION("""COMPUTED_VALUE"""),"Alan Wake's American Nightmare")</f>
        <v>Alan Wake's American Nightmare</v>
      </c>
      <c r="B379" s="195" t="str">
        <f>IFERROR(__xludf.DUMMYFUNCTION("""COMPUTED_VALUE"""),"Xbox / PC")</f>
        <v>Xbox / PC</v>
      </c>
      <c r="C379" s="195"/>
      <c r="D379" s="196" t="str">
        <f>IFERROR(__xludf.DUMMYFUNCTION("""COMPUTED_VALUE"""),"Removed")</f>
        <v>Removed</v>
      </c>
      <c r="E379" s="271">
        <f>IFERROR(__xludf.DUMMYFUNCTION("""COMPUTED_VALUE"""),44497.0)</f>
        <v>44497</v>
      </c>
      <c r="F379" s="198">
        <f>IFERROR(__xludf.DUMMYFUNCTION("""COMPUTED_VALUE"""),44865.0)</f>
        <v>44865</v>
      </c>
      <c r="G379" s="199">
        <f>IFERROR(__xludf.DUMMYFUNCTION("""COMPUTED_VALUE"""),12.066666666666666)</f>
        <v>12.06666667</v>
      </c>
      <c r="H379" s="210">
        <f>IFERROR(__xludf.DUMMYFUNCTION("""COMPUTED_VALUE"""),40961.0)</f>
        <v>40961</v>
      </c>
      <c r="I379" s="199">
        <f>IFERROR(__xludf.DUMMYFUNCTION("""COMPUTED_VALUE"""),9.683333333333334)</f>
        <v>9.683333333</v>
      </c>
      <c r="J379" s="200">
        <f>IFERROR(__xludf.DUMMYFUNCTION("""COMPUTED_VALUE"""),75.0)</f>
        <v>75</v>
      </c>
      <c r="K379" s="200">
        <f>IFERROR(__xludf.DUMMYFUNCTION("""COMPUTED_VALUE"""),3.5)</f>
        <v>3.5</v>
      </c>
      <c r="L379" s="265" t="str">
        <f>IFERROR(__xludf.DUMMYFUNCTION("""COMPUTED_VALUE"""),"Shooter / Action-Adventure")</f>
        <v>Shooter / Action-Adventure</v>
      </c>
    </row>
    <row r="380">
      <c r="A380" s="269" t="str">
        <f>IFERROR(__xludf.DUMMYFUNCTION("""COMPUTED_VALUE"""),"Bassmaster Fishing 2022")</f>
        <v>Bassmaster Fishing 2022</v>
      </c>
      <c r="B380" s="195" t="str">
        <f>IFERROR(__xludf.DUMMYFUNCTION("""COMPUTED_VALUE"""),"Xbox / PC")</f>
        <v>Xbox / PC</v>
      </c>
      <c r="C380" s="196" t="str">
        <f>IFERROR(__xludf.DUMMYFUNCTION("""COMPUTED_VALUE"""),"Yes")</f>
        <v>Yes</v>
      </c>
      <c r="D380" s="196" t="str">
        <f>IFERROR(__xludf.DUMMYFUNCTION("""COMPUTED_VALUE"""),"Removed")</f>
        <v>Removed</v>
      </c>
      <c r="E380" s="271">
        <f>IFERROR(__xludf.DUMMYFUNCTION("""COMPUTED_VALUE"""),44497.0)</f>
        <v>44497</v>
      </c>
      <c r="F380" s="198">
        <f>IFERROR(__xludf.DUMMYFUNCTION("""COMPUTED_VALUE"""),44865.0)</f>
        <v>44865</v>
      </c>
      <c r="G380" s="199">
        <f>IFERROR(__xludf.DUMMYFUNCTION("""COMPUTED_VALUE"""),12.066666666666666)</f>
        <v>12.06666667</v>
      </c>
      <c r="H380" s="210">
        <f>IFERROR(__xludf.DUMMYFUNCTION("""COMPUTED_VALUE"""),44497.0)</f>
        <v>44497</v>
      </c>
      <c r="I380" s="199">
        <f>IFERROR(__xludf.DUMMYFUNCTION("""COMPUTED_VALUE"""),0.0)</f>
        <v>0</v>
      </c>
      <c r="J380" s="267">
        <f>IFERROR(__xludf.DUMMYFUNCTION("""COMPUTED_VALUE"""),75.0)</f>
        <v>75</v>
      </c>
      <c r="K380" s="200"/>
      <c r="L380" s="265" t="str">
        <f>IFERROR(__xludf.DUMMYFUNCTION("""COMPUTED_VALUE"""),"Sports / Fishing")</f>
        <v>Sports / Fishing</v>
      </c>
    </row>
    <row r="381">
      <c r="A381" s="269" t="str">
        <f>IFERROR(__xludf.DUMMYFUNCTION("""COMPUTED_VALUE"""),"Nongunz: Doppelganger Edition")</f>
        <v>Nongunz: Doppelganger Edition</v>
      </c>
      <c r="B381" s="195" t="str">
        <f>IFERROR(__xludf.DUMMYFUNCTION("""COMPUTED_VALUE"""),"Xbox / PC")</f>
        <v>Xbox / PC</v>
      </c>
      <c r="C381" s="196" t="str">
        <f>IFERROR(__xludf.DUMMYFUNCTION("""COMPUTED_VALUE"""),"Yes")</f>
        <v>Yes</v>
      </c>
      <c r="D381" s="196" t="str">
        <f>IFERROR(__xludf.DUMMYFUNCTION("""COMPUTED_VALUE"""),"Removed")</f>
        <v>Removed</v>
      </c>
      <c r="E381" s="271">
        <f>IFERROR(__xludf.DUMMYFUNCTION("""COMPUTED_VALUE"""),44497.0)</f>
        <v>44497</v>
      </c>
      <c r="F381" s="198">
        <f>IFERROR(__xludf.DUMMYFUNCTION("""COMPUTED_VALUE"""),44865.0)</f>
        <v>44865</v>
      </c>
      <c r="G381" s="199">
        <f>IFERROR(__xludf.DUMMYFUNCTION("""COMPUTED_VALUE"""),12.066666666666666)</f>
        <v>12.06666667</v>
      </c>
      <c r="H381" s="210">
        <f>IFERROR(__xludf.DUMMYFUNCTION("""COMPUTED_VALUE"""),44321.0)</f>
        <v>44321</v>
      </c>
      <c r="I381" s="199">
        <f>IFERROR(__xludf.DUMMYFUNCTION("""COMPUTED_VALUE"""),0.48055555555555557)</f>
        <v>0.4805555556</v>
      </c>
      <c r="J381" s="267">
        <f>IFERROR(__xludf.DUMMYFUNCTION("""COMPUTED_VALUE"""),77.5)</f>
        <v>77.5</v>
      </c>
      <c r="K381" s="267">
        <f>IFERROR(__xludf.DUMMYFUNCTION("""COMPUTED_VALUE"""),20.0)</f>
        <v>20</v>
      </c>
      <c r="L381" s="265" t="str">
        <f>IFERROR(__xludf.DUMMYFUNCTION("""COMPUTED_VALUE"""),"Action / Action-Adventure")</f>
        <v>Action / Action-Adventure</v>
      </c>
    </row>
    <row r="382">
      <c r="A382" s="190" t="str">
        <f>IFERROR(__xludf.DUMMYFUNCTION("""COMPUTED_VALUE"""),"The Forgotten City")</f>
        <v>The Forgotten City</v>
      </c>
      <c r="B382" s="195" t="str">
        <f>IFERROR(__xludf.DUMMYFUNCTION("""COMPUTED_VALUE"""),"Xbox / PC")</f>
        <v>Xbox / PC</v>
      </c>
      <c r="C382" s="195" t="str">
        <f>IFERROR(__xludf.DUMMYFUNCTION("""COMPUTED_VALUE"""),"Touch Controls")</f>
        <v>Touch Controls</v>
      </c>
      <c r="D382" s="196" t="str">
        <f>IFERROR(__xludf.DUMMYFUNCTION("""COMPUTED_VALUE"""),"Removed")</f>
        <v>Removed</v>
      </c>
      <c r="E382" s="271">
        <f>IFERROR(__xludf.DUMMYFUNCTION("""COMPUTED_VALUE"""),44497.0)</f>
        <v>44497</v>
      </c>
      <c r="F382" s="198">
        <f>IFERROR(__xludf.DUMMYFUNCTION("""COMPUTED_VALUE"""),44865.0)</f>
        <v>44865</v>
      </c>
      <c r="G382" s="199">
        <f>IFERROR(__xludf.DUMMYFUNCTION("""COMPUTED_VALUE"""),12.066666666666666)</f>
        <v>12.06666667</v>
      </c>
      <c r="H382" s="210">
        <f>IFERROR(__xludf.DUMMYFUNCTION("""COMPUTED_VALUE"""),44405.0)</f>
        <v>44405</v>
      </c>
      <c r="I382" s="199">
        <f>IFERROR(__xludf.DUMMYFUNCTION("""COMPUTED_VALUE"""),0.25)</f>
        <v>0.25</v>
      </c>
      <c r="J382" s="200">
        <f>IFERROR(__xludf.DUMMYFUNCTION("""COMPUTED_VALUE"""),85.5)</f>
        <v>85.5</v>
      </c>
      <c r="K382" s="200">
        <f>IFERROR(__xludf.DUMMYFUNCTION("""COMPUTED_VALUE"""),5.0)</f>
        <v>5</v>
      </c>
      <c r="L382" s="201" t="str">
        <f>IFERROR(__xludf.DUMMYFUNCTION("""COMPUTED_VALUE"""),"Adventure / RPG")</f>
        <v>Adventure / RPG</v>
      </c>
    </row>
    <row r="383">
      <c r="A383" s="269" t="str">
        <f>IFERROR(__xludf.DUMMYFUNCTION("""COMPUTED_VALUE"""),"Project Wingman")</f>
        <v>Project Wingman</v>
      </c>
      <c r="B383" s="195" t="str">
        <f>IFERROR(__xludf.DUMMYFUNCTION("""COMPUTED_VALUE"""),"Xbox / PC")</f>
        <v>Xbox / PC</v>
      </c>
      <c r="C383" s="195" t="str">
        <f>IFERROR(__xludf.DUMMYFUNCTION("""COMPUTED_VALUE"""),"Yes")</f>
        <v>Yes</v>
      </c>
      <c r="D383" s="196" t="str">
        <f>IFERROR(__xludf.DUMMYFUNCTION("""COMPUTED_VALUE"""),"Removed")</f>
        <v>Removed</v>
      </c>
      <c r="E383" s="271">
        <f>IFERROR(__xludf.DUMMYFUNCTION("""COMPUTED_VALUE"""),44406.0)</f>
        <v>44406</v>
      </c>
      <c r="F383" s="266">
        <f>IFERROR(__xludf.DUMMYFUNCTION("""COMPUTED_VALUE"""),44865.0)</f>
        <v>44865</v>
      </c>
      <c r="G383" s="199">
        <f>IFERROR(__xludf.DUMMYFUNCTION("""COMPUTED_VALUE"""),15.033333333333333)</f>
        <v>15.03333333</v>
      </c>
      <c r="H383" s="210">
        <f>IFERROR(__xludf.DUMMYFUNCTION("""COMPUTED_VALUE"""),44166.0)</f>
        <v>44166</v>
      </c>
      <c r="I383" s="199">
        <f>IFERROR(__xludf.DUMMYFUNCTION("""COMPUTED_VALUE"""),0.6611111111111111)</f>
        <v>0.6611111111</v>
      </c>
      <c r="J383" s="200">
        <f>IFERROR(__xludf.DUMMYFUNCTION("""COMPUTED_VALUE"""),75.0)</f>
        <v>75</v>
      </c>
      <c r="K383" s="200">
        <f>IFERROR(__xludf.DUMMYFUNCTION("""COMPUTED_VALUE"""),11.0)</f>
        <v>11</v>
      </c>
      <c r="L383" s="265" t="str">
        <f>IFERROR(__xludf.DUMMYFUNCTION("""COMPUTED_VALUE"""),"Action / Flight Simulator")</f>
        <v>Action / Flight Simulator</v>
      </c>
    </row>
    <row r="384">
      <c r="A384" s="269" t="str">
        <f>IFERROR(__xludf.DUMMYFUNCTION("""COMPUTED_VALUE"""),"Backbone")</f>
        <v>Backbone</v>
      </c>
      <c r="B384" s="195" t="str">
        <f>IFERROR(__xludf.DUMMYFUNCTION("""COMPUTED_VALUE"""),"Xbox / PC")</f>
        <v>Xbox / PC</v>
      </c>
      <c r="C384" s="195" t="str">
        <f>IFERROR(__xludf.DUMMYFUNCTION("""COMPUTED_VALUE"""),"Yes")</f>
        <v>Yes</v>
      </c>
      <c r="D384" s="196" t="str">
        <f>IFERROR(__xludf.DUMMYFUNCTION("""COMPUTED_VALUE"""),"Removed")</f>
        <v>Removed</v>
      </c>
      <c r="E384" s="271">
        <f>IFERROR(__xludf.DUMMYFUNCTION("""COMPUTED_VALUE"""),44355.0)</f>
        <v>44355</v>
      </c>
      <c r="F384" s="198">
        <f>IFERROR(__xludf.DUMMYFUNCTION("""COMPUTED_VALUE"""),44865.0)</f>
        <v>44865</v>
      </c>
      <c r="G384" s="199">
        <f>IFERROR(__xludf.DUMMYFUNCTION("""COMPUTED_VALUE"""),16.733333333333334)</f>
        <v>16.73333333</v>
      </c>
      <c r="H384" s="210">
        <f>IFERROR(__xludf.DUMMYFUNCTION("""COMPUTED_VALUE"""),44355.0)</f>
        <v>44355</v>
      </c>
      <c r="I384" s="199">
        <f>IFERROR(__xludf.DUMMYFUNCTION("""COMPUTED_VALUE"""),0.0)</f>
        <v>0</v>
      </c>
      <c r="J384" s="267">
        <f>IFERROR(__xludf.DUMMYFUNCTION("""COMPUTED_VALUE"""),73.0)</f>
        <v>73</v>
      </c>
      <c r="K384" s="200">
        <f>IFERROR(__xludf.DUMMYFUNCTION("""COMPUTED_VALUE"""),4.5)</f>
        <v>4.5</v>
      </c>
      <c r="L384" s="265" t="str">
        <f>IFERROR(__xludf.DUMMYFUNCTION("""COMPUTED_VALUE"""),"Action / Adventure / RPG / Puzzle")</f>
        <v>Action / Adventure / RPG / Puzzle</v>
      </c>
    </row>
    <row r="385">
      <c r="A385" s="269" t="str">
        <f>IFERROR(__xludf.DUMMYFUNCTION("""COMPUTED_VALUE"""),"Second Extinction (Game Preview)")</f>
        <v>Second Extinction (Game Preview)</v>
      </c>
      <c r="B385" s="195" t="str">
        <f>IFERROR(__xludf.DUMMYFUNCTION("""COMPUTED_VALUE"""),"Xbox / PC")</f>
        <v>Xbox / PC</v>
      </c>
      <c r="C385" s="195" t="str">
        <f>IFERROR(__xludf.DUMMYFUNCTION("""COMPUTED_VALUE"""),"Yes")</f>
        <v>Yes</v>
      </c>
      <c r="D385" s="196" t="str">
        <f>IFERROR(__xludf.DUMMYFUNCTION("""COMPUTED_VALUE"""),"Removed")</f>
        <v>Removed</v>
      </c>
      <c r="E385" s="271">
        <f>IFERROR(__xludf.DUMMYFUNCTION("""COMPUTED_VALUE"""),44314.0)</f>
        <v>44314</v>
      </c>
      <c r="F385" s="198">
        <f>IFERROR(__xludf.DUMMYFUNCTION("""COMPUTED_VALUE"""),44865.0)</f>
        <v>44865</v>
      </c>
      <c r="G385" s="199">
        <f>IFERROR(__xludf.DUMMYFUNCTION("""COMPUTED_VALUE"""),18.066666666666666)</f>
        <v>18.06666667</v>
      </c>
      <c r="H385" s="210">
        <f>IFERROR(__xludf.DUMMYFUNCTION("""COMPUTED_VALUE"""),44117.0)</f>
        <v>44117</v>
      </c>
      <c r="I385" s="199">
        <f>IFERROR(__xludf.DUMMYFUNCTION("""COMPUTED_VALUE"""),0.5416666666666666)</f>
        <v>0.5416666667</v>
      </c>
      <c r="J385" s="267">
        <f>IFERROR(__xludf.DUMMYFUNCTION("""COMPUTED_VALUE"""),68.75)</f>
        <v>68.75</v>
      </c>
      <c r="K385" s="200">
        <f>IFERROR(__xludf.DUMMYFUNCTION("""COMPUTED_VALUE"""),5.5)</f>
        <v>5.5</v>
      </c>
      <c r="L385" s="265" t="str">
        <f>IFERROR(__xludf.DUMMYFUNCTION("""COMPUTED_VALUE"""),"First-Person Shooter")</f>
        <v>First-Person Shooter</v>
      </c>
    </row>
    <row r="386">
      <c r="A386" s="269" t="str">
        <f>IFERROR(__xludf.DUMMYFUNCTION("""COMPUTED_VALUE"""),"Sniper Elite 4")</f>
        <v>Sniper Elite 4</v>
      </c>
      <c r="B386" s="196" t="str">
        <f>IFERROR(__xludf.DUMMYFUNCTION("""COMPUTED_VALUE"""),"Xbox")</f>
        <v>Xbox</v>
      </c>
      <c r="C386" s="196" t="str">
        <f>IFERROR(__xludf.DUMMYFUNCTION("""COMPUTED_VALUE"""),"Yes")</f>
        <v>Yes</v>
      </c>
      <c r="D386" s="196" t="str">
        <f>IFERROR(__xludf.DUMMYFUNCTION("""COMPUTED_VALUE"""),"Removed")</f>
        <v>Removed</v>
      </c>
      <c r="E386" s="271">
        <f>IFERROR(__xludf.DUMMYFUNCTION("""COMPUTED_VALUE"""),43405.0)</f>
        <v>43405</v>
      </c>
      <c r="F386" s="198">
        <f>IFERROR(__xludf.DUMMYFUNCTION("""COMPUTED_VALUE"""),44865.0)</f>
        <v>44865</v>
      </c>
      <c r="G386" s="199">
        <f>IFERROR(__xludf.DUMMYFUNCTION("""COMPUTED_VALUE"""),47.96666666666667)</f>
        <v>47.96666667</v>
      </c>
      <c r="H386" s="210">
        <f>IFERROR(__xludf.DUMMYFUNCTION("""COMPUTED_VALUE"""),42780.0)</f>
        <v>42780</v>
      </c>
      <c r="I386" s="199">
        <f>IFERROR(__xludf.DUMMYFUNCTION("""COMPUTED_VALUE"""),1.7138888888888888)</f>
        <v>1.713888889</v>
      </c>
      <c r="J386" s="267">
        <f>IFERROR(__xludf.DUMMYFUNCTION("""COMPUTED_VALUE"""),81.0)</f>
        <v>81</v>
      </c>
      <c r="K386" s="267">
        <f>IFERROR(__xludf.DUMMYFUNCTION("""COMPUTED_VALUE"""),10.0)</f>
        <v>10</v>
      </c>
      <c r="L386" s="201" t="str">
        <f>IFERROR(__xludf.DUMMYFUNCTION("""COMPUTED_VALUE"""),"Action / Adventure / Shooter")</f>
        <v>Action / Adventure / Shooter</v>
      </c>
    </row>
    <row r="387">
      <c r="A387" s="269" t="str">
        <f>IFERROR(__xludf.DUMMYFUNCTION("""COMPUTED_VALUE"""),"Echo Generation")</f>
        <v>Echo Generation</v>
      </c>
      <c r="B387" s="195" t="str">
        <f>IFERROR(__xludf.DUMMYFUNCTION("""COMPUTED_VALUE"""),"Xbox / PC")</f>
        <v>Xbox / PC</v>
      </c>
      <c r="C387" s="195" t="str">
        <f>IFERROR(__xludf.DUMMYFUNCTION("""COMPUTED_VALUE"""),"Touch Controls")</f>
        <v>Touch Controls</v>
      </c>
      <c r="D387" s="196" t="str">
        <f>IFERROR(__xludf.DUMMYFUNCTION("""COMPUTED_VALUE"""),"Removed")</f>
        <v>Removed</v>
      </c>
      <c r="E387" s="271">
        <f>IFERROR(__xludf.DUMMYFUNCTION("""COMPUTED_VALUE"""),44490.0)</f>
        <v>44490</v>
      </c>
      <c r="F387" s="198">
        <f>IFERROR(__xludf.DUMMYFUNCTION("""COMPUTED_VALUE"""),44849.0)</f>
        <v>44849</v>
      </c>
      <c r="G387" s="199">
        <f>IFERROR(__xludf.DUMMYFUNCTION("""COMPUTED_VALUE"""),11.799999999999999)</f>
        <v>11.8</v>
      </c>
      <c r="H387" s="210">
        <f>IFERROR(__xludf.DUMMYFUNCTION("""COMPUTED_VALUE"""),44490.0)</f>
        <v>44490</v>
      </c>
      <c r="I387" s="199">
        <f>IFERROR(__xludf.DUMMYFUNCTION("""COMPUTED_VALUE"""),0.0)</f>
        <v>0</v>
      </c>
      <c r="J387" s="267">
        <f>IFERROR(__xludf.DUMMYFUNCTION("""COMPUTED_VALUE"""),75.5)</f>
        <v>75.5</v>
      </c>
      <c r="K387" s="267">
        <f>IFERROR(__xludf.DUMMYFUNCTION("""COMPUTED_VALUE"""),7.0)</f>
        <v>7</v>
      </c>
      <c r="L387" s="265" t="str">
        <f>IFERROR(__xludf.DUMMYFUNCTION("""COMPUTED_VALUE"""),"Adventure")</f>
        <v>Adventure</v>
      </c>
    </row>
    <row r="388">
      <c r="A388" s="269" t="str">
        <f>IFERROR(__xludf.DUMMYFUNCTION("""COMPUTED_VALUE"""),"Into the Pit")</f>
        <v>Into the Pit</v>
      </c>
      <c r="B388" s="196" t="str">
        <f>IFERROR(__xludf.DUMMYFUNCTION("""COMPUTED_VALUE"""),"Xbox / PC")</f>
        <v>Xbox / PC</v>
      </c>
      <c r="C388" s="196" t="str">
        <f>IFERROR(__xludf.DUMMYFUNCTION("""COMPUTED_VALUE"""),"Yes")</f>
        <v>Yes</v>
      </c>
      <c r="D388" s="196" t="str">
        <f>IFERROR(__xludf.DUMMYFUNCTION("""COMPUTED_VALUE"""),"Removed")</f>
        <v>Removed</v>
      </c>
      <c r="E388" s="271">
        <f>IFERROR(__xludf.DUMMYFUNCTION("""COMPUTED_VALUE"""),44488.0)</f>
        <v>44488</v>
      </c>
      <c r="F388" s="198">
        <f>IFERROR(__xludf.DUMMYFUNCTION("""COMPUTED_VALUE"""),44849.0)</f>
        <v>44849</v>
      </c>
      <c r="G388" s="199">
        <f>IFERROR(__xludf.DUMMYFUNCTION("""COMPUTED_VALUE"""),11.866666666666667)</f>
        <v>11.86666667</v>
      </c>
      <c r="H388" s="210">
        <f>IFERROR(__xludf.DUMMYFUNCTION("""COMPUTED_VALUE"""),44488.0)</f>
        <v>44488</v>
      </c>
      <c r="I388" s="199">
        <f>IFERROR(__xludf.DUMMYFUNCTION("""COMPUTED_VALUE"""),0.0)</f>
        <v>0</v>
      </c>
      <c r="J388" s="267">
        <f>IFERROR(__xludf.DUMMYFUNCTION("""COMPUTED_VALUE"""),70.5)</f>
        <v>70.5</v>
      </c>
      <c r="K388" s="200">
        <f>IFERROR(__xludf.DUMMYFUNCTION("""COMPUTED_VALUE"""),4.0)</f>
        <v>4</v>
      </c>
      <c r="L388" s="265" t="str">
        <f>IFERROR(__xludf.DUMMYFUNCTION("""COMPUTED_VALUE"""),"First-Person Shooter")</f>
        <v>First-Person Shooter</v>
      </c>
    </row>
    <row r="389">
      <c r="A389" s="269" t="str">
        <f>IFERROR(__xludf.DUMMYFUNCTION("""COMPUTED_VALUE"""),"The Good Life")</f>
        <v>The Good Life</v>
      </c>
      <c r="B389" s="195" t="str">
        <f>IFERROR(__xludf.DUMMYFUNCTION("""COMPUTED_VALUE"""),"Xbox / PC")</f>
        <v>Xbox / PC</v>
      </c>
      <c r="C389" s="195" t="str">
        <f>IFERROR(__xludf.DUMMYFUNCTION("""COMPUTED_VALUE"""),"Touch Controls")</f>
        <v>Touch Controls</v>
      </c>
      <c r="D389" s="196" t="str">
        <f>IFERROR(__xludf.DUMMYFUNCTION("""COMPUTED_VALUE"""),"Removed")</f>
        <v>Removed</v>
      </c>
      <c r="E389" s="271">
        <f>IFERROR(__xludf.DUMMYFUNCTION("""COMPUTED_VALUE"""),44484.0)</f>
        <v>44484</v>
      </c>
      <c r="F389" s="198">
        <f>IFERROR(__xludf.DUMMYFUNCTION("""COMPUTED_VALUE"""),44849.0)</f>
        <v>44849</v>
      </c>
      <c r="G389" s="199">
        <f>IFERROR(__xludf.DUMMYFUNCTION("""COMPUTED_VALUE"""),12.0)</f>
        <v>12</v>
      </c>
      <c r="H389" s="210">
        <f>IFERROR(__xludf.DUMMYFUNCTION("""COMPUTED_VALUE"""),44484.0)</f>
        <v>44484</v>
      </c>
      <c r="I389" s="199">
        <f>IFERROR(__xludf.DUMMYFUNCTION("""COMPUTED_VALUE"""),0.0)</f>
        <v>0</v>
      </c>
      <c r="J389" s="267">
        <f>IFERROR(__xludf.DUMMYFUNCTION("""COMPUTED_VALUE"""),61.0)</f>
        <v>61</v>
      </c>
      <c r="K389" s="200">
        <f>IFERROR(__xludf.DUMMYFUNCTION("""COMPUTED_VALUE"""),19.5)</f>
        <v>19.5</v>
      </c>
      <c r="L389" s="265" t="str">
        <f>IFERROR(__xludf.DUMMYFUNCTION("""COMPUTED_VALUE"""),"Action / Adventure / RPG / Simulation")</f>
        <v>Action / Adventure / RPG / Simulation</v>
      </c>
    </row>
    <row r="390">
      <c r="A390" s="269" t="str">
        <f>IFERROR(__xludf.DUMMYFUNCTION("""COMPUTED_VALUE"""),"Ring of Pain")</f>
        <v>Ring of Pain</v>
      </c>
      <c r="B390" s="196" t="str">
        <f>IFERROR(__xludf.DUMMYFUNCTION("""COMPUTED_VALUE"""),"Xbox / PC")</f>
        <v>Xbox / PC</v>
      </c>
      <c r="C390" s="196" t="str">
        <f>IFERROR(__xludf.DUMMYFUNCTION("""COMPUTED_VALUE"""),"Touch Controls")</f>
        <v>Touch Controls</v>
      </c>
      <c r="D390" s="196" t="str">
        <f>IFERROR(__xludf.DUMMYFUNCTION("""COMPUTED_VALUE"""),"Removed")</f>
        <v>Removed</v>
      </c>
      <c r="E390" s="271">
        <f>IFERROR(__xludf.DUMMYFUNCTION("""COMPUTED_VALUE"""),44483.0)</f>
        <v>44483</v>
      </c>
      <c r="F390" s="271">
        <f>IFERROR(__xludf.DUMMYFUNCTION("""COMPUTED_VALUE"""),44849.0)</f>
        <v>44849</v>
      </c>
      <c r="G390" s="199">
        <f>IFERROR(__xludf.DUMMYFUNCTION("""COMPUTED_VALUE"""),12.033333333333333)</f>
        <v>12.03333333</v>
      </c>
      <c r="H390" s="210">
        <f>IFERROR(__xludf.DUMMYFUNCTION("""COMPUTED_VALUE"""),44119.0)</f>
        <v>44119</v>
      </c>
      <c r="I390" s="199">
        <f>IFERROR(__xludf.DUMMYFUNCTION("""COMPUTED_VALUE"""),0.9972222222222222)</f>
        <v>0.9972222222</v>
      </c>
      <c r="J390" s="200">
        <f>IFERROR(__xludf.DUMMYFUNCTION("""COMPUTED_VALUE"""),74.0)</f>
        <v>74</v>
      </c>
      <c r="K390" s="200">
        <f>IFERROR(__xludf.DUMMYFUNCTION("""COMPUTED_VALUE"""),7.5)</f>
        <v>7.5</v>
      </c>
      <c r="L390" s="265" t="str">
        <f>IFERROR(__xludf.DUMMYFUNCTION("""COMPUTED_VALUE"""),"Strategy / Card Game")</f>
        <v>Strategy / Card Game</v>
      </c>
    </row>
    <row r="391">
      <c r="A391" s="269" t="str">
        <f>IFERROR(__xludf.DUMMYFUNCTION("""COMPUTED_VALUE"""),"Sable")</f>
        <v>Sable</v>
      </c>
      <c r="B391" s="195" t="str">
        <f>IFERROR(__xludf.DUMMYFUNCTION("""COMPUTED_VALUE"""),"Xbox / PC")</f>
        <v>Xbox / PC</v>
      </c>
      <c r="C391" s="195" t="str">
        <f>IFERROR(__xludf.DUMMYFUNCTION("""COMPUTED_VALUE"""),"Touch Controls")</f>
        <v>Touch Controls</v>
      </c>
      <c r="D391" s="196" t="str">
        <f>IFERROR(__xludf.DUMMYFUNCTION("""COMPUTED_VALUE"""),"Removed")</f>
        <v>Removed</v>
      </c>
      <c r="E391" s="271">
        <f>IFERROR(__xludf.DUMMYFUNCTION("""COMPUTED_VALUE"""),44462.0)</f>
        <v>44462</v>
      </c>
      <c r="F391" s="198">
        <f>IFERROR(__xludf.DUMMYFUNCTION("""COMPUTED_VALUE"""),44849.0)</f>
        <v>44849</v>
      </c>
      <c r="G391" s="199">
        <f>IFERROR(__xludf.DUMMYFUNCTION("""COMPUTED_VALUE"""),12.733333333333334)</f>
        <v>12.73333333</v>
      </c>
      <c r="H391" s="210">
        <f>IFERROR(__xludf.DUMMYFUNCTION("""COMPUTED_VALUE"""),44462.0)</f>
        <v>44462</v>
      </c>
      <c r="I391" s="199">
        <f>IFERROR(__xludf.DUMMYFUNCTION("""COMPUTED_VALUE"""),0.0)</f>
        <v>0</v>
      </c>
      <c r="J391" s="267">
        <f>IFERROR(__xludf.DUMMYFUNCTION("""COMPUTED_VALUE"""),73.5)</f>
        <v>73.5</v>
      </c>
      <c r="K391" s="200">
        <f>IFERROR(__xludf.DUMMYFUNCTION("""COMPUTED_VALUE"""),7.0)</f>
        <v>7</v>
      </c>
      <c r="L391" s="201" t="str">
        <f>IFERROR(__xludf.DUMMYFUNCTION("""COMPUTED_VALUE"""),"Adventure")</f>
        <v>Adventure</v>
      </c>
    </row>
    <row r="392">
      <c r="A392" s="190" t="str">
        <f>IFERROR(__xludf.DUMMYFUNCTION("""COMPUTED_VALUE"""),"Bloodroots")</f>
        <v>Bloodroots</v>
      </c>
      <c r="B392" s="195" t="str">
        <f>IFERROR(__xludf.DUMMYFUNCTION("""COMPUTED_VALUE"""),"Xbox / PC")</f>
        <v>Xbox / PC</v>
      </c>
      <c r="C392" s="196" t="str">
        <f>IFERROR(__xludf.DUMMYFUNCTION("""COMPUTED_VALUE"""),"Touch Controls")</f>
        <v>Touch Controls</v>
      </c>
      <c r="D392" s="196" t="str">
        <f>IFERROR(__xludf.DUMMYFUNCTION("""COMPUTED_VALUE"""),"Removed")</f>
        <v>Removed</v>
      </c>
      <c r="E392" s="271">
        <f>IFERROR(__xludf.DUMMYFUNCTION("""COMPUTED_VALUE"""),44392.0)</f>
        <v>44392</v>
      </c>
      <c r="F392" s="197">
        <f>IFERROR(__xludf.DUMMYFUNCTION("""COMPUTED_VALUE"""),44849.0)</f>
        <v>44849</v>
      </c>
      <c r="G392" s="199">
        <f>IFERROR(__xludf.DUMMYFUNCTION("""COMPUTED_VALUE"""),15.0)</f>
        <v>15</v>
      </c>
      <c r="H392" s="210">
        <f>IFERROR(__xludf.DUMMYFUNCTION("""COMPUTED_VALUE"""),43889.0)</f>
        <v>43889</v>
      </c>
      <c r="I392" s="199">
        <f>IFERROR(__xludf.DUMMYFUNCTION("""COMPUTED_VALUE"""),1.3805555555555555)</f>
        <v>1.380555556</v>
      </c>
      <c r="J392" s="200">
        <f>IFERROR(__xludf.DUMMYFUNCTION("""COMPUTED_VALUE"""),76.0)</f>
        <v>76</v>
      </c>
      <c r="K392" s="200">
        <f>IFERROR(__xludf.DUMMYFUNCTION("""COMPUTED_VALUE"""),5.5)</f>
        <v>5.5</v>
      </c>
      <c r="L392" s="201" t="str">
        <f>IFERROR(__xludf.DUMMYFUNCTION("""COMPUTED_VALUE"""),"Action")</f>
        <v>Action</v>
      </c>
    </row>
    <row r="393">
      <c r="A393" s="269" t="str">
        <f>IFERROR(__xludf.DUMMYFUNCTION("""COMPUTED_VALUE"""),"DiRT 4")</f>
        <v>DiRT 4</v>
      </c>
      <c r="B393" s="196" t="str">
        <f>IFERROR(__xludf.DUMMYFUNCTION("""COMPUTED_VALUE"""),"Xbox")</f>
        <v>Xbox</v>
      </c>
      <c r="C393" s="196"/>
      <c r="D393" s="196" t="str">
        <f>IFERROR(__xludf.DUMMYFUNCTION("""COMPUTED_VALUE"""),"Removed")</f>
        <v>Removed</v>
      </c>
      <c r="E393" s="271">
        <f>IFERROR(__xludf.DUMMYFUNCTION("""COMPUTED_VALUE"""),44418.0)</f>
        <v>44418</v>
      </c>
      <c r="F393" s="198">
        <f>IFERROR(__xludf.DUMMYFUNCTION("""COMPUTED_VALUE"""),44837.0)</f>
        <v>44837</v>
      </c>
      <c r="G393" s="199">
        <f>IFERROR(__xludf.DUMMYFUNCTION("""COMPUTED_VALUE"""),13.766666666666666)</f>
        <v>13.76666667</v>
      </c>
      <c r="H393" s="210">
        <f>IFERROR(__xludf.DUMMYFUNCTION("""COMPUTED_VALUE"""),42892.0)</f>
        <v>42892</v>
      </c>
      <c r="I393" s="199">
        <f>IFERROR(__xludf.DUMMYFUNCTION("""COMPUTED_VALUE"""),4.177777777777778)</f>
        <v>4.177777778</v>
      </c>
      <c r="J393" s="267">
        <f>IFERROR(__xludf.DUMMYFUNCTION("""COMPUTED_VALUE"""),86.0)</f>
        <v>86</v>
      </c>
      <c r="K393" s="200">
        <f>IFERROR(__xludf.DUMMYFUNCTION("""COMPUTED_VALUE"""),31.0)</f>
        <v>31</v>
      </c>
      <c r="L393" s="265" t="str">
        <f>IFERROR(__xludf.DUMMYFUNCTION("""COMPUTED_VALUE"""),"Sports / Driving/Racing / Simulation")</f>
        <v>Sports / Driving/Racing / Simulation</v>
      </c>
    </row>
    <row r="394">
      <c r="A394" s="269" t="str">
        <f>IFERROR(__xludf.DUMMYFUNCTION("""COMPUTED_VALUE"""),"DiRT Rally")</f>
        <v>DiRT Rally</v>
      </c>
      <c r="B394" s="195" t="str">
        <f>IFERROR(__xludf.DUMMYFUNCTION("""COMPUTED_VALUE"""),"Xbox")</f>
        <v>Xbox</v>
      </c>
      <c r="C394" s="195"/>
      <c r="D394" s="196" t="str">
        <f>IFERROR(__xludf.DUMMYFUNCTION("""COMPUTED_VALUE"""),"Removed")</f>
        <v>Removed</v>
      </c>
      <c r="E394" s="271">
        <f>IFERROR(__xludf.DUMMYFUNCTION("""COMPUTED_VALUE"""),44418.0)</f>
        <v>44418</v>
      </c>
      <c r="F394" s="266">
        <f>IFERROR(__xludf.DUMMYFUNCTION("""COMPUTED_VALUE"""),44837.0)</f>
        <v>44837</v>
      </c>
      <c r="G394" s="199">
        <f>IFERROR(__xludf.DUMMYFUNCTION("""COMPUTED_VALUE"""),13.766666666666666)</f>
        <v>13.76666667</v>
      </c>
      <c r="H394" s="210">
        <f>IFERROR(__xludf.DUMMYFUNCTION("""COMPUTED_VALUE"""),42345.0)</f>
        <v>42345</v>
      </c>
      <c r="I394" s="199">
        <f>IFERROR(__xludf.DUMMYFUNCTION("""COMPUTED_VALUE"""),5.675)</f>
        <v>5.675</v>
      </c>
      <c r="J394" s="267">
        <f>IFERROR(__xludf.DUMMYFUNCTION("""COMPUTED_VALUE"""),86.0)</f>
        <v>86</v>
      </c>
      <c r="K394" s="267">
        <f>IFERROR(__xludf.DUMMYFUNCTION("""COMPUTED_VALUE"""),27.5)</f>
        <v>27.5</v>
      </c>
      <c r="L394" s="265" t="str">
        <f>IFERROR(__xludf.DUMMYFUNCTION("""COMPUTED_VALUE"""),"Driving/Racing")</f>
        <v>Driving/Racing</v>
      </c>
    </row>
    <row r="395">
      <c r="A395" s="269" t="str">
        <f>IFERROR(__xludf.DUMMYFUNCTION("""COMPUTED_VALUE"""),"The Procession to Calvary")</f>
        <v>The Procession to Calvary</v>
      </c>
      <c r="B395" s="195" t="str">
        <f>IFERROR(__xludf.DUMMYFUNCTION("""COMPUTED_VALUE"""),"Xbox / PC")</f>
        <v>Xbox / PC</v>
      </c>
      <c r="C395" s="195" t="str">
        <f>IFERROR(__xludf.DUMMYFUNCTION("""COMPUTED_VALUE"""),"Touch Controls")</f>
        <v>Touch Controls</v>
      </c>
      <c r="D395" s="196" t="str">
        <f>IFERROR(__xludf.DUMMYFUNCTION("""COMPUTED_VALUE"""),"Removed")</f>
        <v>Removed</v>
      </c>
      <c r="E395" s="271">
        <f>IFERROR(__xludf.DUMMYFUNCTION("""COMPUTED_VALUE"""),44476.0)</f>
        <v>44476</v>
      </c>
      <c r="F395" s="198">
        <f>IFERROR(__xludf.DUMMYFUNCTION("""COMPUTED_VALUE"""),44834.0)</f>
        <v>44834</v>
      </c>
      <c r="G395" s="199">
        <f>IFERROR(__xludf.DUMMYFUNCTION("""COMPUTED_VALUE"""),11.766666666666666)</f>
        <v>11.76666667</v>
      </c>
      <c r="H395" s="210">
        <f>IFERROR(__xludf.DUMMYFUNCTION("""COMPUTED_VALUE"""),43930.0)</f>
        <v>43930</v>
      </c>
      <c r="I395" s="199">
        <f>IFERROR(__xludf.DUMMYFUNCTION("""COMPUTED_VALUE"""),1.4944444444444445)</f>
        <v>1.494444444</v>
      </c>
      <c r="J395" s="267">
        <f>IFERROR(__xludf.DUMMYFUNCTION("""COMPUTED_VALUE"""),78.0)</f>
        <v>78</v>
      </c>
      <c r="K395" s="200">
        <f>IFERROR(__xludf.DUMMYFUNCTION("""COMPUTED_VALUE"""),3.0)</f>
        <v>3</v>
      </c>
      <c r="L395" s="265" t="str">
        <f>IFERROR(__xludf.DUMMYFUNCTION("""COMPUTED_VALUE"""),"Adventure")</f>
        <v>Adventure</v>
      </c>
    </row>
    <row r="396">
      <c r="A396" s="269" t="str">
        <f>IFERROR(__xludf.DUMMYFUNCTION("""COMPUTED_VALUE"""),"Visage")</f>
        <v>Visage</v>
      </c>
      <c r="B396" s="195" t="str">
        <f>IFERROR(__xludf.DUMMYFUNCTION("""COMPUTED_VALUE"""),"Xbox / PC")</f>
        <v>Xbox / PC</v>
      </c>
      <c r="C396" s="195" t="str">
        <f>IFERROR(__xludf.DUMMYFUNCTION("""COMPUTED_VALUE"""),"Touch Controls")</f>
        <v>Touch Controls</v>
      </c>
      <c r="D396" s="196" t="str">
        <f>IFERROR(__xludf.DUMMYFUNCTION("""COMPUTED_VALUE"""),"Removed")</f>
        <v>Removed</v>
      </c>
      <c r="E396" s="271">
        <f>IFERROR(__xludf.DUMMYFUNCTION("""COMPUTED_VALUE"""),44476.0)</f>
        <v>44476</v>
      </c>
      <c r="F396" s="198">
        <f>IFERROR(__xludf.DUMMYFUNCTION("""COMPUTED_VALUE"""),44834.0)</f>
        <v>44834</v>
      </c>
      <c r="G396" s="199">
        <f>IFERROR(__xludf.DUMMYFUNCTION("""COMPUTED_VALUE"""),11.766666666666666)</f>
        <v>11.76666667</v>
      </c>
      <c r="H396" s="210">
        <f>IFERROR(__xludf.DUMMYFUNCTION("""COMPUTED_VALUE"""),43375.0)</f>
        <v>43375</v>
      </c>
      <c r="I396" s="199">
        <f>IFERROR(__xludf.DUMMYFUNCTION("""COMPUTED_VALUE"""),3.013888888888889)</f>
        <v>3.013888889</v>
      </c>
      <c r="J396" s="267">
        <f>IFERROR(__xludf.DUMMYFUNCTION("""COMPUTED_VALUE"""),79.5)</f>
        <v>79.5</v>
      </c>
      <c r="K396" s="267">
        <f>IFERROR(__xludf.DUMMYFUNCTION("""COMPUTED_VALUE"""),6.0)</f>
        <v>6</v>
      </c>
      <c r="L396" s="265" t="str">
        <f>IFERROR(__xludf.DUMMYFUNCTION("""COMPUTED_VALUE"""),"Adventure / Puzzle")</f>
        <v>Adventure / Puzzle</v>
      </c>
    </row>
    <row r="397">
      <c r="A397" s="269" t="str">
        <f>IFERROR(__xludf.DUMMYFUNCTION("""COMPUTED_VALUE"""),"AI: The Somnium Files")</f>
        <v>AI: The Somnium Files</v>
      </c>
      <c r="B397" s="195" t="str">
        <f>IFERROR(__xludf.DUMMYFUNCTION("""COMPUTED_VALUE"""),"Xbox / PC")</f>
        <v>Xbox / PC</v>
      </c>
      <c r="C397" s="196" t="str">
        <f>IFERROR(__xludf.DUMMYFUNCTION("""COMPUTED_VALUE"""),"Yes")</f>
        <v>Yes</v>
      </c>
      <c r="D397" s="196" t="str">
        <f>IFERROR(__xludf.DUMMYFUNCTION("""COMPUTED_VALUE"""),"Removed")</f>
        <v>Removed</v>
      </c>
      <c r="E397" s="271">
        <f>IFERROR(__xludf.DUMMYFUNCTION("""COMPUTED_VALUE"""),44469.0)</f>
        <v>44469</v>
      </c>
      <c r="F397" s="266">
        <f>IFERROR(__xludf.DUMMYFUNCTION("""COMPUTED_VALUE"""),44834.0)</f>
        <v>44834</v>
      </c>
      <c r="G397" s="199">
        <f>IFERROR(__xludf.DUMMYFUNCTION("""COMPUTED_VALUE"""),12.0)</f>
        <v>12</v>
      </c>
      <c r="H397" s="210">
        <f>IFERROR(__xludf.DUMMYFUNCTION("""COMPUTED_VALUE"""),43725.0)</f>
        <v>43725</v>
      </c>
      <c r="I397" s="199">
        <f>IFERROR(__xludf.DUMMYFUNCTION("""COMPUTED_VALUE"""),2.036111111111111)</f>
        <v>2.036111111</v>
      </c>
      <c r="J397" s="267">
        <f>IFERROR(__xludf.DUMMYFUNCTION("""COMPUTED_VALUE"""),86.0)</f>
        <v>86</v>
      </c>
      <c r="K397" s="267">
        <f>IFERROR(__xludf.DUMMYFUNCTION("""COMPUTED_VALUE"""),23.5)</f>
        <v>23.5</v>
      </c>
      <c r="L397" s="265" t="str">
        <f>IFERROR(__xludf.DUMMYFUNCTION("""COMPUTED_VALUE"""),"Adventure")</f>
        <v>Adventure</v>
      </c>
    </row>
    <row r="398">
      <c r="A398" s="269" t="str">
        <f>IFERROR(__xludf.DUMMYFUNCTION("""COMPUTED_VALUE"""),"Astria Ascending")</f>
        <v>Astria Ascending</v>
      </c>
      <c r="B398" s="195" t="str">
        <f>IFERROR(__xludf.DUMMYFUNCTION("""COMPUTED_VALUE"""),"Xbox / PC")</f>
        <v>Xbox / PC</v>
      </c>
      <c r="C398" s="195" t="str">
        <f>IFERROR(__xludf.DUMMYFUNCTION("""COMPUTED_VALUE"""),"Touch Controls")</f>
        <v>Touch Controls</v>
      </c>
      <c r="D398" s="196" t="str">
        <f>IFERROR(__xludf.DUMMYFUNCTION("""COMPUTED_VALUE"""),"Removed")</f>
        <v>Removed</v>
      </c>
      <c r="E398" s="271">
        <f>IFERROR(__xludf.DUMMYFUNCTION("""COMPUTED_VALUE"""),44469.0)</f>
        <v>44469</v>
      </c>
      <c r="F398" s="198">
        <f>IFERROR(__xludf.DUMMYFUNCTION("""COMPUTED_VALUE"""),44834.0)</f>
        <v>44834</v>
      </c>
      <c r="G398" s="199">
        <f>IFERROR(__xludf.DUMMYFUNCTION("""COMPUTED_VALUE"""),12.0)</f>
        <v>12</v>
      </c>
      <c r="H398" s="210">
        <f>IFERROR(__xludf.DUMMYFUNCTION("""COMPUTED_VALUE"""),44469.0)</f>
        <v>44469</v>
      </c>
      <c r="I398" s="199">
        <f>IFERROR(__xludf.DUMMYFUNCTION("""COMPUTED_VALUE"""),0.0)</f>
        <v>0</v>
      </c>
      <c r="J398" s="267">
        <f>IFERROR(__xludf.DUMMYFUNCTION("""COMPUTED_VALUE"""),68.0)</f>
        <v>68</v>
      </c>
      <c r="K398" s="200">
        <f>IFERROR(__xludf.DUMMYFUNCTION("""COMPUTED_VALUE"""),30.0)</f>
        <v>30</v>
      </c>
      <c r="L398" s="265" t="str">
        <f>IFERROR(__xludf.DUMMYFUNCTION("""COMPUTED_VALUE"""),"RPG")</f>
        <v>RPG</v>
      </c>
    </row>
    <row r="399">
      <c r="A399" s="269" t="str">
        <f>IFERROR(__xludf.DUMMYFUNCTION("""COMPUTED_VALUE"""),"Unsighted")</f>
        <v>Unsighted</v>
      </c>
      <c r="B399" s="195" t="str">
        <f>IFERROR(__xludf.DUMMYFUNCTION("""COMPUTED_VALUE"""),"Xbox / PC")</f>
        <v>Xbox / PC</v>
      </c>
      <c r="C399" s="195"/>
      <c r="D399" s="196" t="str">
        <f>IFERROR(__xludf.DUMMYFUNCTION("""COMPUTED_VALUE"""),"Removed")</f>
        <v>Removed</v>
      </c>
      <c r="E399" s="271">
        <f>IFERROR(__xludf.DUMMYFUNCTION("""COMPUTED_VALUE"""),44469.0)</f>
        <v>44469</v>
      </c>
      <c r="F399" s="198">
        <f>IFERROR(__xludf.DUMMYFUNCTION("""COMPUTED_VALUE"""),44834.0)</f>
        <v>44834</v>
      </c>
      <c r="G399" s="199">
        <f>IFERROR(__xludf.DUMMYFUNCTION("""COMPUTED_VALUE"""),12.0)</f>
        <v>12</v>
      </c>
      <c r="H399" s="210">
        <f>IFERROR(__xludf.DUMMYFUNCTION("""COMPUTED_VALUE"""),44469.0)</f>
        <v>44469</v>
      </c>
      <c r="I399" s="199">
        <f>IFERROR(__xludf.DUMMYFUNCTION("""COMPUTED_VALUE"""),0.0)</f>
        <v>0</v>
      </c>
      <c r="J399" s="267">
        <f>IFERROR(__xludf.DUMMYFUNCTION("""COMPUTED_VALUE"""),80.0)</f>
        <v>80</v>
      </c>
      <c r="K399" s="200">
        <f>IFERROR(__xludf.DUMMYFUNCTION("""COMPUTED_VALUE"""),8.0)</f>
        <v>8</v>
      </c>
      <c r="L399" s="272" t="str">
        <f>IFERROR(__xludf.DUMMYFUNCTION("""COMPUTED_VALUE"""),"Action-Adventure")</f>
        <v>Action-Adventure</v>
      </c>
    </row>
    <row r="400">
      <c r="A400" s="269" t="str">
        <f>IFERROR(__xludf.DUMMYFUNCTION("""COMPUTED_VALUE"""),"Dandy Ace")</f>
        <v>Dandy Ace</v>
      </c>
      <c r="B400" s="195" t="str">
        <f>IFERROR(__xludf.DUMMYFUNCTION("""COMPUTED_VALUE"""),"Xbox / PC")</f>
        <v>Xbox / PC</v>
      </c>
      <c r="C400" s="195" t="str">
        <f>IFERROR(__xludf.DUMMYFUNCTION("""COMPUTED_VALUE"""),"Touch Controls")</f>
        <v>Touch Controls</v>
      </c>
      <c r="D400" s="196" t="str">
        <f>IFERROR(__xludf.DUMMYFUNCTION("""COMPUTED_VALUE"""),"Removed")</f>
        <v>Removed</v>
      </c>
      <c r="E400" s="271">
        <f>IFERROR(__xludf.DUMMYFUNCTION("""COMPUTED_VALUE"""),44467.0)</f>
        <v>44467</v>
      </c>
      <c r="F400" s="198">
        <f>IFERROR(__xludf.DUMMYFUNCTION("""COMPUTED_VALUE"""),44834.0)</f>
        <v>44834</v>
      </c>
      <c r="G400" s="199">
        <f>IFERROR(__xludf.DUMMYFUNCTION("""COMPUTED_VALUE"""),12.066666666666666)</f>
        <v>12.06666667</v>
      </c>
      <c r="H400" s="210">
        <f>IFERROR(__xludf.DUMMYFUNCTION("""COMPUTED_VALUE"""),44280.0)</f>
        <v>44280</v>
      </c>
      <c r="I400" s="199">
        <f>IFERROR(__xludf.DUMMYFUNCTION("""COMPUTED_VALUE"""),0.5083333333333333)</f>
        <v>0.5083333333</v>
      </c>
      <c r="J400" s="267">
        <f>IFERROR(__xludf.DUMMYFUNCTION("""COMPUTED_VALUE"""),80.0)</f>
        <v>80</v>
      </c>
      <c r="K400" s="267">
        <f>IFERROR(__xludf.DUMMYFUNCTION("""COMPUTED_VALUE"""),8.0)</f>
        <v>8</v>
      </c>
      <c r="L400" s="265" t="str">
        <f>IFERROR(__xludf.DUMMYFUNCTION("""COMPUTED_VALUE"""),"Action")</f>
        <v>Action</v>
      </c>
    </row>
    <row r="401">
      <c r="A401" s="269" t="str">
        <f>IFERROR(__xludf.DUMMYFUNCTION("""COMPUTED_VALUE"""),"Lemnis Gate")</f>
        <v>Lemnis Gate</v>
      </c>
      <c r="B401" s="195" t="str">
        <f>IFERROR(__xludf.DUMMYFUNCTION("""COMPUTED_VALUE"""),"Xbox / PC")</f>
        <v>Xbox / PC</v>
      </c>
      <c r="C401" s="195"/>
      <c r="D401" s="196" t="str">
        <f>IFERROR(__xludf.DUMMYFUNCTION("""COMPUTED_VALUE"""),"Removed")</f>
        <v>Removed</v>
      </c>
      <c r="E401" s="271">
        <f>IFERROR(__xludf.DUMMYFUNCTION("""COMPUTED_VALUE"""),44467.0)</f>
        <v>44467</v>
      </c>
      <c r="F401" s="266">
        <f>IFERROR(__xludf.DUMMYFUNCTION("""COMPUTED_VALUE"""),44834.0)</f>
        <v>44834</v>
      </c>
      <c r="G401" s="199">
        <f>IFERROR(__xludf.DUMMYFUNCTION("""COMPUTED_VALUE"""),12.066666666666666)</f>
        <v>12.06666667</v>
      </c>
      <c r="H401" s="210">
        <f>IFERROR(__xludf.DUMMYFUNCTION("""COMPUTED_VALUE"""),44467.0)</f>
        <v>44467</v>
      </c>
      <c r="I401" s="199">
        <f>IFERROR(__xludf.DUMMYFUNCTION("""COMPUTED_VALUE"""),0.0)</f>
        <v>0</v>
      </c>
      <c r="J401" s="267">
        <f>IFERROR(__xludf.DUMMYFUNCTION("""COMPUTED_VALUE"""),78.0)</f>
        <v>78</v>
      </c>
      <c r="K401" s="200">
        <f>IFERROR(__xludf.DUMMYFUNCTION("""COMPUTED_VALUE"""),60.0)</f>
        <v>60</v>
      </c>
      <c r="L401" s="265" t="str">
        <f>IFERROR(__xludf.DUMMYFUNCTION("""COMPUTED_VALUE"""),"First-Person Shooter")</f>
        <v>First-Person Shooter</v>
      </c>
    </row>
    <row r="402">
      <c r="A402" s="269" t="str">
        <f>IFERROR(__xludf.DUMMYFUNCTION("""COMPUTED_VALUE"""),"Subnautica: Below Zero")</f>
        <v>Subnautica: Below Zero</v>
      </c>
      <c r="B402" s="195" t="str">
        <f>IFERROR(__xludf.DUMMYFUNCTION("""COMPUTED_VALUE"""),"Xbox / PC")</f>
        <v>Xbox / PC</v>
      </c>
      <c r="C402" s="195" t="str">
        <f>IFERROR(__xludf.DUMMYFUNCTION("""COMPUTED_VALUE"""),"Yes")</f>
        <v>Yes</v>
      </c>
      <c r="D402" s="196" t="str">
        <f>IFERROR(__xludf.DUMMYFUNCTION("""COMPUTED_VALUE"""),"Removed")</f>
        <v>Removed</v>
      </c>
      <c r="E402" s="271">
        <f>IFERROR(__xludf.DUMMYFUNCTION("""COMPUTED_VALUE"""),44462.0)</f>
        <v>44462</v>
      </c>
      <c r="F402" s="198">
        <f>IFERROR(__xludf.DUMMYFUNCTION("""COMPUTED_VALUE"""),44834.0)</f>
        <v>44834</v>
      </c>
      <c r="G402" s="199">
        <f>IFERROR(__xludf.DUMMYFUNCTION("""COMPUTED_VALUE"""),12.233333333333333)</f>
        <v>12.23333333</v>
      </c>
      <c r="H402" s="210">
        <f>IFERROR(__xludf.DUMMYFUNCTION("""COMPUTED_VALUE"""),43495.0)</f>
        <v>43495</v>
      </c>
      <c r="I402" s="199">
        <f>IFERROR(__xludf.DUMMYFUNCTION("""COMPUTED_VALUE"""),2.647222222222222)</f>
        <v>2.647222222</v>
      </c>
      <c r="J402" s="267">
        <f>IFERROR(__xludf.DUMMYFUNCTION("""COMPUTED_VALUE"""),82.5)</f>
        <v>82.5</v>
      </c>
      <c r="K402" s="267">
        <f>IFERROR(__xludf.DUMMYFUNCTION("""COMPUTED_VALUE"""),20.0)</f>
        <v>20</v>
      </c>
      <c r="L402" s="265" t="str">
        <f>IFERROR(__xludf.DUMMYFUNCTION("""COMPUTED_VALUE"""),"Adventure")</f>
        <v>Adventure</v>
      </c>
    </row>
    <row r="403">
      <c r="A403" s="269" t="str">
        <f>IFERROR(__xludf.DUMMYFUNCTION("""COMPUTED_VALUE"""),"Going Under")</f>
        <v>Going Under</v>
      </c>
      <c r="B403" s="195" t="str">
        <f>IFERROR(__xludf.DUMMYFUNCTION("""COMPUTED_VALUE"""),"Xbox / PC")</f>
        <v>Xbox / PC</v>
      </c>
      <c r="C403" s="195" t="str">
        <f>IFERROR(__xludf.DUMMYFUNCTION("""COMPUTED_VALUE"""),"Touch Controls")</f>
        <v>Touch Controls</v>
      </c>
      <c r="D403" s="196" t="str">
        <f>IFERROR(__xludf.DUMMYFUNCTION("""COMPUTED_VALUE"""),"Removed")</f>
        <v>Removed</v>
      </c>
      <c r="E403" s="271">
        <f>IFERROR(__xludf.DUMMYFUNCTION("""COMPUTED_VALUE"""),44376.0)</f>
        <v>44376</v>
      </c>
      <c r="F403" s="266">
        <f>IFERROR(__xludf.DUMMYFUNCTION("""COMPUTED_VALUE"""),44834.0)</f>
        <v>44834</v>
      </c>
      <c r="G403" s="199">
        <f>IFERROR(__xludf.DUMMYFUNCTION("""COMPUTED_VALUE"""),15.033333333333333)</f>
        <v>15.03333333</v>
      </c>
      <c r="H403" s="210">
        <f>IFERROR(__xludf.DUMMYFUNCTION("""COMPUTED_VALUE"""),44098.0)</f>
        <v>44098</v>
      </c>
      <c r="I403" s="199">
        <f>IFERROR(__xludf.DUMMYFUNCTION("""COMPUTED_VALUE"""),0.7638888888888888)</f>
        <v>0.7638888889</v>
      </c>
      <c r="J403" s="267">
        <f>IFERROR(__xludf.DUMMYFUNCTION("""COMPUTED_VALUE"""),75.5)</f>
        <v>75.5</v>
      </c>
      <c r="K403" s="267">
        <f>IFERROR(__xludf.DUMMYFUNCTION("""COMPUTED_VALUE"""),8.0)</f>
        <v>8</v>
      </c>
      <c r="L403" s="201" t="str">
        <f>IFERROR(__xludf.DUMMYFUNCTION("""COMPUTED_VALUE"""),"Action")</f>
        <v>Action</v>
      </c>
    </row>
    <row r="404">
      <c r="A404" s="269" t="str">
        <f>IFERROR(__xludf.DUMMYFUNCTION("""COMPUTED_VALUE"""),"Slime Rancher")</f>
        <v>Slime Rancher</v>
      </c>
      <c r="B404" s="195" t="str">
        <f>IFERROR(__xludf.DUMMYFUNCTION("""COMPUTED_VALUE"""),"Xbox / PC")</f>
        <v>Xbox / PC</v>
      </c>
      <c r="C404" s="195" t="str">
        <f>IFERROR(__xludf.DUMMYFUNCTION("""COMPUTED_VALUE"""),"Yes")</f>
        <v>Yes</v>
      </c>
      <c r="D404" s="196" t="str">
        <f>IFERROR(__xludf.DUMMYFUNCTION("""COMPUTED_VALUE"""),"Removed")</f>
        <v>Removed</v>
      </c>
      <c r="E404" s="271">
        <f>IFERROR(__xludf.DUMMYFUNCTION("""COMPUTED_VALUE"""),44168.0)</f>
        <v>44168</v>
      </c>
      <c r="F404" s="198">
        <f>IFERROR(__xludf.DUMMYFUNCTION("""COMPUTED_VALUE"""),44834.0)</f>
        <v>44834</v>
      </c>
      <c r="G404" s="199">
        <f>IFERROR(__xludf.DUMMYFUNCTION("""COMPUTED_VALUE"""),21.9)</f>
        <v>21.9</v>
      </c>
      <c r="H404" s="210">
        <f>IFERROR(__xludf.DUMMYFUNCTION("""COMPUTED_VALUE"""),42948.0)</f>
        <v>42948</v>
      </c>
      <c r="I404" s="199">
        <f>IFERROR(__xludf.DUMMYFUNCTION("""COMPUTED_VALUE"""),3.338888888888889)</f>
        <v>3.338888889</v>
      </c>
      <c r="J404" s="267">
        <f>IFERROR(__xludf.DUMMYFUNCTION("""COMPUTED_VALUE"""),80.0)</f>
        <v>80</v>
      </c>
      <c r="K404" s="267">
        <f>IFERROR(__xludf.DUMMYFUNCTION("""COMPUTED_VALUE"""),15.0)</f>
        <v>15</v>
      </c>
      <c r="L404" s="201" t="str">
        <f>IFERROR(__xludf.DUMMYFUNCTION("""COMPUTED_VALUE"""),"Adventure / First-Person Shooter")</f>
        <v>Adventure / First-Person Shooter</v>
      </c>
    </row>
    <row r="405">
      <c r="A405" s="269" t="str">
        <f>IFERROR(__xludf.DUMMYFUNCTION("""COMPUTED_VALUE"""),"Mighty Goose")</f>
        <v>Mighty Goose</v>
      </c>
      <c r="B405" s="195" t="str">
        <f>IFERROR(__xludf.DUMMYFUNCTION("""COMPUTED_VALUE"""),"Xbox / PC")</f>
        <v>Xbox / PC</v>
      </c>
      <c r="C405" s="196" t="str">
        <f>IFERROR(__xludf.DUMMYFUNCTION("""COMPUTED_VALUE"""),"Touch Controls")</f>
        <v>Touch Controls</v>
      </c>
      <c r="D405" s="196" t="str">
        <f>IFERROR(__xludf.DUMMYFUNCTION("""COMPUTED_VALUE"""),"Removed")</f>
        <v>Removed</v>
      </c>
      <c r="E405" s="271">
        <f>IFERROR(__xludf.DUMMYFUNCTION("""COMPUTED_VALUE"""),44469.0)</f>
        <v>44469</v>
      </c>
      <c r="F405" s="198">
        <f>IFERROR(__xludf.DUMMYFUNCTION("""COMPUTED_VALUE"""),44819.0)</f>
        <v>44819</v>
      </c>
      <c r="G405" s="199">
        <f>IFERROR(__xludf.DUMMYFUNCTION("""COMPUTED_VALUE"""),11.5)</f>
        <v>11.5</v>
      </c>
      <c r="H405" s="210">
        <f>IFERROR(__xludf.DUMMYFUNCTION("""COMPUTED_VALUE"""),44352.0)</f>
        <v>44352</v>
      </c>
      <c r="I405" s="199">
        <f>IFERROR(__xludf.DUMMYFUNCTION("""COMPUTED_VALUE"""),0.3194444444444444)</f>
        <v>0.3194444444</v>
      </c>
      <c r="J405" s="267">
        <f>IFERROR(__xludf.DUMMYFUNCTION("""COMPUTED_VALUE"""),71.0)</f>
        <v>71</v>
      </c>
      <c r="K405" s="200">
        <f>IFERROR(__xludf.DUMMYFUNCTION("""COMPUTED_VALUE"""),2.0)</f>
        <v>2</v>
      </c>
      <c r="L405" s="265" t="str">
        <f>IFERROR(__xludf.DUMMYFUNCTION("""COMPUTED_VALUE"""),"Action / Shooter")</f>
        <v>Action / Shooter</v>
      </c>
    </row>
    <row r="406">
      <c r="A406" s="269" t="str">
        <f>IFERROR(__xludf.DUMMYFUNCTION("""COMPUTED_VALUE"""),"Lost Words: Beyond the Page")</f>
        <v>Lost Words: Beyond the Page</v>
      </c>
      <c r="B406" s="195" t="str">
        <f>IFERROR(__xludf.DUMMYFUNCTION("""COMPUTED_VALUE"""),"Xbox / PC")</f>
        <v>Xbox / PC</v>
      </c>
      <c r="C406" s="195" t="str">
        <f>IFERROR(__xludf.DUMMYFUNCTION("""COMPUTED_VALUE"""),"Touch Controls")</f>
        <v>Touch Controls</v>
      </c>
      <c r="D406" s="196" t="str">
        <f>IFERROR(__xludf.DUMMYFUNCTION("""COMPUTED_VALUE"""),"Removed")</f>
        <v>Removed</v>
      </c>
      <c r="E406" s="271">
        <f>IFERROR(__xludf.DUMMYFUNCTION("""COMPUTED_VALUE"""),44462.0)</f>
        <v>44462</v>
      </c>
      <c r="F406" s="198">
        <f>IFERROR(__xludf.DUMMYFUNCTION("""COMPUTED_VALUE"""),44819.0)</f>
        <v>44819</v>
      </c>
      <c r="G406" s="199">
        <f>IFERROR(__xludf.DUMMYFUNCTION("""COMPUTED_VALUE"""),11.733333333333333)</f>
        <v>11.73333333</v>
      </c>
      <c r="H406" s="210">
        <f>IFERROR(__xludf.DUMMYFUNCTION("""COMPUTED_VALUE"""),43917.0)</f>
        <v>43917</v>
      </c>
      <c r="I406" s="199">
        <f>IFERROR(__xludf.DUMMYFUNCTION("""COMPUTED_VALUE"""),1.488888888888889)</f>
        <v>1.488888889</v>
      </c>
      <c r="J406" s="267">
        <f>IFERROR(__xludf.DUMMYFUNCTION("""COMPUTED_VALUE"""),77.0)</f>
        <v>77</v>
      </c>
      <c r="K406" s="200">
        <f>IFERROR(__xludf.DUMMYFUNCTION("""COMPUTED_VALUE"""),4.5)</f>
        <v>4.5</v>
      </c>
      <c r="L406" s="265" t="str">
        <f>IFERROR(__xludf.DUMMYFUNCTION("""COMPUTED_VALUE"""),"Adventure / Platformer")</f>
        <v>Adventure / Platformer</v>
      </c>
    </row>
    <row r="407">
      <c r="A407" s="269" t="str">
        <f>IFERROR(__xludf.DUMMYFUNCTION("""COMPUTED_VALUE"""),"I Am Fish")</f>
        <v>I Am Fish</v>
      </c>
      <c r="B407" s="195" t="str">
        <f>IFERROR(__xludf.DUMMYFUNCTION("""COMPUTED_VALUE"""),"Xbox / PC")</f>
        <v>Xbox / PC</v>
      </c>
      <c r="C407" s="195" t="str">
        <f>IFERROR(__xludf.DUMMYFUNCTION("""COMPUTED_VALUE"""),"Touch Controls")</f>
        <v>Touch Controls</v>
      </c>
      <c r="D407" s="196" t="str">
        <f>IFERROR(__xludf.DUMMYFUNCTION("""COMPUTED_VALUE"""),"Removed")</f>
        <v>Removed</v>
      </c>
      <c r="E407" s="271">
        <f>IFERROR(__xludf.DUMMYFUNCTION("""COMPUTED_VALUE"""),44455.0)</f>
        <v>44455</v>
      </c>
      <c r="F407" s="271">
        <f>IFERROR(__xludf.DUMMYFUNCTION("""COMPUTED_VALUE"""),44819.0)</f>
        <v>44819</v>
      </c>
      <c r="G407" s="199">
        <f>IFERROR(__xludf.DUMMYFUNCTION("""COMPUTED_VALUE"""),11.966666666666667)</f>
        <v>11.96666667</v>
      </c>
      <c r="H407" s="210">
        <f>IFERROR(__xludf.DUMMYFUNCTION("""COMPUTED_VALUE"""),44455.0)</f>
        <v>44455</v>
      </c>
      <c r="I407" s="199">
        <f>IFERROR(__xludf.DUMMYFUNCTION("""COMPUTED_VALUE"""),0.0)</f>
        <v>0</v>
      </c>
      <c r="J407" s="267">
        <f>IFERROR(__xludf.DUMMYFUNCTION("""COMPUTED_VALUE"""),68.5)</f>
        <v>68.5</v>
      </c>
      <c r="K407" s="200">
        <f>IFERROR(__xludf.DUMMYFUNCTION("""COMPUTED_VALUE"""),5.0)</f>
        <v>5</v>
      </c>
      <c r="L407" s="265" t="str">
        <f>IFERROR(__xludf.DUMMYFUNCTION("""COMPUTED_VALUE"""),"Adventure / Simulation")</f>
        <v>Adventure / Simulation</v>
      </c>
    </row>
    <row r="408">
      <c r="A408" s="269" t="str">
        <f>IFERROR(__xludf.DUMMYFUNCTION("""COMPUTED_VALUE"""),"SkateBird")</f>
        <v>SkateBird</v>
      </c>
      <c r="B408" s="195" t="str">
        <f>IFERROR(__xludf.DUMMYFUNCTION("""COMPUTED_VALUE"""),"Xbox / PC")</f>
        <v>Xbox / PC</v>
      </c>
      <c r="C408" s="196" t="str">
        <f>IFERROR(__xludf.DUMMYFUNCTION("""COMPUTED_VALUE"""),"Touch Controls")</f>
        <v>Touch Controls</v>
      </c>
      <c r="D408" s="196" t="str">
        <f>IFERROR(__xludf.DUMMYFUNCTION("""COMPUTED_VALUE"""),"Removed")</f>
        <v>Removed</v>
      </c>
      <c r="E408" s="271">
        <f>IFERROR(__xludf.DUMMYFUNCTION("""COMPUTED_VALUE"""),44455.0)</f>
        <v>44455</v>
      </c>
      <c r="F408" s="198">
        <f>IFERROR(__xludf.DUMMYFUNCTION("""COMPUTED_VALUE"""),44819.0)</f>
        <v>44819</v>
      </c>
      <c r="G408" s="199">
        <f>IFERROR(__xludf.DUMMYFUNCTION("""COMPUTED_VALUE"""),11.966666666666667)</f>
        <v>11.96666667</v>
      </c>
      <c r="H408" s="210">
        <f>IFERROR(__xludf.DUMMYFUNCTION("""COMPUTED_VALUE"""),44455.0)</f>
        <v>44455</v>
      </c>
      <c r="I408" s="199">
        <f>IFERROR(__xludf.DUMMYFUNCTION("""COMPUTED_VALUE"""),0.0)</f>
        <v>0</v>
      </c>
      <c r="J408" s="267">
        <f>IFERROR(__xludf.DUMMYFUNCTION("""COMPUTED_VALUE"""),62.0)</f>
        <v>62</v>
      </c>
      <c r="K408" s="200">
        <f>IFERROR(__xludf.DUMMYFUNCTION("""COMPUTED_VALUE"""),5.5)</f>
        <v>5.5</v>
      </c>
      <c r="L408" s="265" t="str">
        <f>IFERROR(__xludf.DUMMYFUNCTION("""COMPUTED_VALUE"""),"Skateboarding")</f>
        <v>Skateboarding</v>
      </c>
    </row>
    <row r="409">
      <c r="A409" s="269" t="str">
        <f>IFERROR(__xludf.DUMMYFUNCTION("""COMPUTED_VALUE"""),"Flynn: Son of Crimson")</f>
        <v>Flynn: Son of Crimson</v>
      </c>
      <c r="B409" s="195" t="str">
        <f>IFERROR(__xludf.DUMMYFUNCTION("""COMPUTED_VALUE"""),"Xbox / PC")</f>
        <v>Xbox / PC</v>
      </c>
      <c r="C409" s="195" t="str">
        <f>IFERROR(__xludf.DUMMYFUNCTION("""COMPUTED_VALUE"""),"Touch Controls")</f>
        <v>Touch Controls</v>
      </c>
      <c r="D409" s="196" t="str">
        <f>IFERROR(__xludf.DUMMYFUNCTION("""COMPUTED_VALUE"""),"Removed")</f>
        <v>Removed</v>
      </c>
      <c r="E409" s="271">
        <f>IFERROR(__xludf.DUMMYFUNCTION("""COMPUTED_VALUE"""),44454.0)</f>
        <v>44454</v>
      </c>
      <c r="F409" s="198">
        <f>IFERROR(__xludf.DUMMYFUNCTION("""COMPUTED_VALUE"""),44819.0)</f>
        <v>44819</v>
      </c>
      <c r="G409" s="199">
        <f>IFERROR(__xludf.DUMMYFUNCTION("""COMPUTED_VALUE"""),12.0)</f>
        <v>12</v>
      </c>
      <c r="H409" s="210">
        <f>IFERROR(__xludf.DUMMYFUNCTION("""COMPUTED_VALUE"""),44454.0)</f>
        <v>44454</v>
      </c>
      <c r="I409" s="199">
        <f>IFERROR(__xludf.DUMMYFUNCTION("""COMPUTED_VALUE"""),0.0)</f>
        <v>0</v>
      </c>
      <c r="J409" s="267">
        <f>IFERROR(__xludf.DUMMYFUNCTION("""COMPUTED_VALUE"""),85.0)</f>
        <v>85</v>
      </c>
      <c r="K409" s="267">
        <f>IFERROR(__xludf.DUMMYFUNCTION("""COMPUTED_VALUE"""),6.0)</f>
        <v>6</v>
      </c>
      <c r="L409" s="265" t="str">
        <f>IFERROR(__xludf.DUMMYFUNCTION("""COMPUTED_VALUE"""),"Action / Platformer")</f>
        <v>Action / Platformer</v>
      </c>
    </row>
    <row r="410">
      <c r="A410" s="269" t="str">
        <f>IFERROR(__xludf.DUMMYFUNCTION("""COMPUTED_VALUE"""),"The Artful Escape")</f>
        <v>The Artful Escape</v>
      </c>
      <c r="B410" s="195" t="str">
        <f>IFERROR(__xludf.DUMMYFUNCTION("""COMPUTED_VALUE"""),"Xbox / PC")</f>
        <v>Xbox / PC</v>
      </c>
      <c r="C410" s="195" t="str">
        <f>IFERROR(__xludf.DUMMYFUNCTION("""COMPUTED_VALUE"""),"Touch Controls")</f>
        <v>Touch Controls</v>
      </c>
      <c r="D410" s="196" t="str">
        <f>IFERROR(__xludf.DUMMYFUNCTION("""COMPUTED_VALUE"""),"Removed")</f>
        <v>Removed</v>
      </c>
      <c r="E410" s="271">
        <f>IFERROR(__xludf.DUMMYFUNCTION("""COMPUTED_VALUE"""),44448.0)</f>
        <v>44448</v>
      </c>
      <c r="F410" s="198">
        <f>IFERROR(__xludf.DUMMYFUNCTION("""COMPUTED_VALUE"""),44819.0)</f>
        <v>44819</v>
      </c>
      <c r="G410" s="199">
        <f>IFERROR(__xludf.DUMMYFUNCTION("""COMPUTED_VALUE"""),12.2)</f>
        <v>12.2</v>
      </c>
      <c r="H410" s="210">
        <f>IFERROR(__xludf.DUMMYFUNCTION("""COMPUTED_VALUE"""),44448.0)</f>
        <v>44448</v>
      </c>
      <c r="I410" s="199">
        <f>IFERROR(__xludf.DUMMYFUNCTION("""COMPUTED_VALUE"""),0.0)</f>
        <v>0</v>
      </c>
      <c r="J410" s="267">
        <f>IFERROR(__xludf.DUMMYFUNCTION("""COMPUTED_VALUE"""),81.0)</f>
        <v>81</v>
      </c>
      <c r="K410" s="200">
        <f>IFERROR(__xludf.DUMMYFUNCTION("""COMPUTED_VALUE"""),4.5)</f>
        <v>4.5</v>
      </c>
      <c r="L410" s="265" t="str">
        <f>IFERROR(__xludf.DUMMYFUNCTION("""COMPUTED_VALUE"""),"Platformer")</f>
        <v>Platformer</v>
      </c>
    </row>
    <row r="411">
      <c r="A411" s="269" t="str">
        <f>IFERROR(__xludf.DUMMYFUNCTION("""COMPUTED_VALUE"""),"Craftopia")</f>
        <v>Craftopia</v>
      </c>
      <c r="B411" s="195" t="str">
        <f>IFERROR(__xludf.DUMMYFUNCTION("""COMPUTED_VALUE"""),"Xbox / PC")</f>
        <v>Xbox / PC</v>
      </c>
      <c r="C411" s="196" t="str">
        <f>IFERROR(__xludf.DUMMYFUNCTION("""COMPUTED_VALUE"""),"Yes")</f>
        <v>Yes</v>
      </c>
      <c r="D411" s="196" t="str">
        <f>IFERROR(__xludf.DUMMYFUNCTION("""COMPUTED_VALUE"""),"Removed")</f>
        <v>Removed</v>
      </c>
      <c r="E411" s="271">
        <f>IFERROR(__xludf.DUMMYFUNCTION("""COMPUTED_VALUE"""),44441.0)</f>
        <v>44441</v>
      </c>
      <c r="F411" s="271">
        <f>IFERROR(__xludf.DUMMYFUNCTION("""COMPUTED_VALUE"""),44819.0)</f>
        <v>44819</v>
      </c>
      <c r="G411" s="199">
        <f>IFERROR(__xludf.DUMMYFUNCTION("""COMPUTED_VALUE"""),12.433333333333334)</f>
        <v>12.43333333</v>
      </c>
      <c r="H411" s="210">
        <f>IFERROR(__xludf.DUMMYFUNCTION("""COMPUTED_VALUE"""),44078.0)</f>
        <v>44078</v>
      </c>
      <c r="I411" s="199">
        <f>IFERROR(__xludf.DUMMYFUNCTION("""COMPUTED_VALUE"""),0.9944444444444445)</f>
        <v>0.9944444444</v>
      </c>
      <c r="J411" s="267">
        <f>IFERROR(__xludf.DUMMYFUNCTION("""COMPUTED_VALUE"""),70.0)</f>
        <v>70</v>
      </c>
      <c r="K411" s="200">
        <f>IFERROR(__xludf.DUMMYFUNCTION("""COMPUTED_VALUE"""),27.0)</f>
        <v>27</v>
      </c>
      <c r="L411" s="265" t="str">
        <f>IFERROR(__xludf.DUMMYFUNCTION("""COMPUTED_VALUE"""),"Action-Adventure")</f>
        <v>Action-Adventure</v>
      </c>
    </row>
    <row r="412">
      <c r="A412" s="269" t="str">
        <f>IFERROR(__xludf.DUMMYFUNCTION("""COMPUTED_VALUE"""),"Final Fantasy XIII")</f>
        <v>Final Fantasy XIII</v>
      </c>
      <c r="B412" s="195" t="str">
        <f>IFERROR(__xludf.DUMMYFUNCTION("""COMPUTED_VALUE"""),"Xbox / PC")</f>
        <v>Xbox / PC</v>
      </c>
      <c r="C412" s="195"/>
      <c r="D412" s="196" t="str">
        <f>IFERROR(__xludf.DUMMYFUNCTION("""COMPUTED_VALUE"""),"Removed")</f>
        <v>Removed</v>
      </c>
      <c r="E412" s="271">
        <f>IFERROR(__xludf.DUMMYFUNCTION("""COMPUTED_VALUE"""),44441.0)</f>
        <v>44441</v>
      </c>
      <c r="F412" s="198">
        <f>IFERROR(__xludf.DUMMYFUNCTION("""COMPUTED_VALUE"""),44819.0)</f>
        <v>44819</v>
      </c>
      <c r="G412" s="199">
        <f>IFERROR(__xludf.DUMMYFUNCTION("""COMPUTED_VALUE"""),12.433333333333334)</f>
        <v>12.43333333</v>
      </c>
      <c r="H412" s="210">
        <f>IFERROR(__xludf.DUMMYFUNCTION("""COMPUTED_VALUE"""),40246.0)</f>
        <v>40246</v>
      </c>
      <c r="I412" s="199">
        <f>IFERROR(__xludf.DUMMYFUNCTION("""COMPUTED_VALUE"""),11.480555555555556)</f>
        <v>11.48055556</v>
      </c>
      <c r="J412" s="267">
        <f>IFERROR(__xludf.DUMMYFUNCTION("""COMPUTED_VALUE"""),73.5)</f>
        <v>73.5</v>
      </c>
      <c r="K412" s="267">
        <f>IFERROR(__xludf.DUMMYFUNCTION("""COMPUTED_VALUE"""),48.5)</f>
        <v>48.5</v>
      </c>
      <c r="L412" s="265" t="str">
        <f>IFERROR(__xludf.DUMMYFUNCTION("""COMPUTED_VALUE"""),"RPG")</f>
        <v>RPG</v>
      </c>
    </row>
    <row r="413">
      <c r="A413" s="269" t="str">
        <f>IFERROR(__xludf.DUMMYFUNCTION("""COMPUTED_VALUE"""),"Bug Fables: The Everlasting Sapling")</f>
        <v>Bug Fables: The Everlasting Sapling</v>
      </c>
      <c r="B413" s="195" t="str">
        <f>IFERROR(__xludf.DUMMYFUNCTION("""COMPUTED_VALUE"""),"Xbox / PC")</f>
        <v>Xbox / PC</v>
      </c>
      <c r="C413" s="195" t="str">
        <f>IFERROR(__xludf.DUMMYFUNCTION("""COMPUTED_VALUE"""),"Touch Controls")</f>
        <v>Touch Controls</v>
      </c>
      <c r="D413" s="196" t="str">
        <f>IFERROR(__xludf.DUMMYFUNCTION("""COMPUTED_VALUE"""),"Removed")</f>
        <v>Removed</v>
      </c>
      <c r="E413" s="271">
        <f>IFERROR(__xludf.DUMMYFUNCTION("""COMPUTED_VALUE"""),44378.0)</f>
        <v>44378</v>
      </c>
      <c r="F413" s="198">
        <f>IFERROR(__xludf.DUMMYFUNCTION("""COMPUTED_VALUE"""),44819.0)</f>
        <v>44819</v>
      </c>
      <c r="G413" s="199">
        <f>IFERROR(__xludf.DUMMYFUNCTION("""COMPUTED_VALUE"""),14.466666666666665)</f>
        <v>14.46666667</v>
      </c>
      <c r="H413" s="210">
        <f>IFERROR(__xludf.DUMMYFUNCTION("""COMPUTED_VALUE"""),43790.0)</f>
        <v>43790</v>
      </c>
      <c r="I413" s="199">
        <f>IFERROR(__xludf.DUMMYFUNCTION("""COMPUTED_VALUE"""),1.6111111111111112)</f>
        <v>1.611111111</v>
      </c>
      <c r="J413" s="267">
        <f>IFERROR(__xludf.DUMMYFUNCTION("""COMPUTED_VALUE"""),86.0)</f>
        <v>86</v>
      </c>
      <c r="K413" s="200">
        <f>IFERROR(__xludf.DUMMYFUNCTION("""COMPUTED_VALUE"""),25.5)</f>
        <v>25.5</v>
      </c>
      <c r="L413" s="265" t="str">
        <f>IFERROR(__xludf.DUMMYFUNCTION("""COMPUTED_VALUE"""),"RPG")</f>
        <v>RPG</v>
      </c>
    </row>
    <row r="414">
      <c r="A414" s="269" t="str">
        <f>IFERROR(__xludf.DUMMYFUNCTION("""COMPUTED_VALUE"""),"A Plague Tale: Innocence")</f>
        <v>A Plague Tale: Innocence</v>
      </c>
      <c r="B414" s="195" t="str">
        <f>IFERROR(__xludf.DUMMYFUNCTION("""COMPUTED_VALUE"""),"Xbox / PC")</f>
        <v>Xbox / PC</v>
      </c>
      <c r="C414" s="195" t="str">
        <f>IFERROR(__xludf.DUMMYFUNCTION("""COMPUTED_VALUE"""),"Yes")</f>
        <v>Yes</v>
      </c>
      <c r="D414" s="196" t="str">
        <f>IFERROR(__xludf.DUMMYFUNCTION("""COMPUTED_VALUE"""),"Removed")</f>
        <v>Removed</v>
      </c>
      <c r="E414" s="271">
        <f>IFERROR(__xludf.DUMMYFUNCTION("""COMPUTED_VALUE"""),43853.0)</f>
        <v>43853</v>
      </c>
      <c r="F414" s="271">
        <f>IFERROR(__xludf.DUMMYFUNCTION("""COMPUTED_VALUE"""),44819.0)</f>
        <v>44819</v>
      </c>
      <c r="G414" s="199">
        <f>IFERROR(__xludf.DUMMYFUNCTION("""COMPUTED_VALUE"""),31.733333333333334)</f>
        <v>31.73333333</v>
      </c>
      <c r="H414" s="210">
        <f>IFERROR(__xludf.DUMMYFUNCTION("""COMPUTED_VALUE"""),43599.0)</f>
        <v>43599</v>
      </c>
      <c r="I414" s="199">
        <f>IFERROR(__xludf.DUMMYFUNCTION("""COMPUTED_VALUE"""),0.6916666666666667)</f>
        <v>0.6916666667</v>
      </c>
      <c r="J414" s="200">
        <f>IFERROR(__xludf.DUMMYFUNCTION("""COMPUTED_VALUE"""),83.0)</f>
        <v>83</v>
      </c>
      <c r="K414" s="200">
        <f>IFERROR(__xludf.DUMMYFUNCTION("""COMPUTED_VALUE"""),10.5)</f>
        <v>10.5</v>
      </c>
      <c r="L414" s="265" t="str">
        <f>IFERROR(__xludf.DUMMYFUNCTION("""COMPUTED_VALUE"""),"Action-Adventure")</f>
        <v>Action-Adventure</v>
      </c>
    </row>
    <row r="415">
      <c r="A415" s="269" t="str">
        <f>IFERROR(__xludf.DUMMYFUNCTION("""COMPUTED_VALUE"""),"NBA 2K22")</f>
        <v>NBA 2K22</v>
      </c>
      <c r="B415" s="195" t="str">
        <f>IFERROR(__xludf.DUMMYFUNCTION("""COMPUTED_VALUE"""),"Xbox")</f>
        <v>Xbox</v>
      </c>
      <c r="C415" s="196" t="str">
        <f>IFERROR(__xludf.DUMMYFUNCTION("""COMPUTED_VALUE"""),"Yes")</f>
        <v>Yes</v>
      </c>
      <c r="D415" s="196" t="str">
        <f>IFERROR(__xludf.DUMMYFUNCTION("""COMPUTED_VALUE"""),"Removed")</f>
        <v>Removed</v>
      </c>
      <c r="E415" s="271">
        <f>IFERROR(__xludf.DUMMYFUNCTION("""COMPUTED_VALUE"""),44679.0)</f>
        <v>44679</v>
      </c>
      <c r="F415" s="198">
        <f>IFERROR(__xludf.DUMMYFUNCTION("""COMPUTED_VALUE"""),44804.0)</f>
        <v>44804</v>
      </c>
      <c r="G415" s="199">
        <f>IFERROR(__xludf.DUMMYFUNCTION("""COMPUTED_VALUE"""),4.066666666666666)</f>
        <v>4.066666667</v>
      </c>
      <c r="H415" s="210">
        <f>IFERROR(__xludf.DUMMYFUNCTION("""COMPUTED_VALUE"""),44449.0)</f>
        <v>44449</v>
      </c>
      <c r="I415" s="199">
        <f>IFERROR(__xludf.DUMMYFUNCTION("""COMPUTED_VALUE"""),0.6333333333333333)</f>
        <v>0.6333333333</v>
      </c>
      <c r="J415" s="267">
        <f>IFERROR(__xludf.DUMMYFUNCTION("""COMPUTED_VALUE"""),76.0)</f>
        <v>76</v>
      </c>
      <c r="K415" s="200">
        <f>IFERROR(__xludf.DUMMYFUNCTION("""COMPUTED_VALUE"""),125.0)</f>
        <v>125</v>
      </c>
      <c r="L415" s="265" t="str">
        <f>IFERROR(__xludf.DUMMYFUNCTION("""COMPUTED_VALUE"""),"Sports / Basketball")</f>
        <v>Sports / Basketball</v>
      </c>
    </row>
    <row r="416">
      <c r="A416" s="269" t="str">
        <f>IFERROR(__xludf.DUMMYFUNCTION("""COMPUTED_VALUE"""),"Signs of the Sojourner")</f>
        <v>Signs of the Sojourner</v>
      </c>
      <c r="B416" s="195" t="str">
        <f>IFERROR(__xludf.DUMMYFUNCTION("""COMPUTED_VALUE"""),"Xbox / PC")</f>
        <v>Xbox / PC</v>
      </c>
      <c r="C416" s="195" t="str">
        <f>IFERROR(__xludf.DUMMYFUNCTION("""COMPUTED_VALUE"""),"Touch Controls")</f>
        <v>Touch Controls</v>
      </c>
      <c r="D416" s="196" t="str">
        <f>IFERROR(__xludf.DUMMYFUNCTION("""COMPUTED_VALUE"""),"Removed")</f>
        <v>Removed</v>
      </c>
      <c r="E416" s="271">
        <f>IFERROR(__xludf.DUMMYFUNCTION("""COMPUTED_VALUE"""),44441.0)</f>
        <v>44441</v>
      </c>
      <c r="F416" s="198">
        <f>IFERROR(__xludf.DUMMYFUNCTION("""COMPUTED_VALUE"""),44804.0)</f>
        <v>44804</v>
      </c>
      <c r="G416" s="199">
        <f>IFERROR(__xludf.DUMMYFUNCTION("""COMPUTED_VALUE"""),11.933333333333334)</f>
        <v>11.93333333</v>
      </c>
      <c r="H416" s="210">
        <f>IFERROR(__xludf.DUMMYFUNCTION("""COMPUTED_VALUE"""),43965.0)</f>
        <v>43965</v>
      </c>
      <c r="I416" s="199">
        <f>IFERROR(__xludf.DUMMYFUNCTION("""COMPUTED_VALUE"""),1.3)</f>
        <v>1.3</v>
      </c>
      <c r="J416" s="267">
        <f>IFERROR(__xludf.DUMMYFUNCTION("""COMPUTED_VALUE"""),77.0)</f>
        <v>77</v>
      </c>
      <c r="K416" s="200">
        <f>IFERROR(__xludf.DUMMYFUNCTION("""COMPUTED_VALUE"""),4.0)</f>
        <v>4</v>
      </c>
      <c r="L416" s="265" t="str">
        <f>IFERROR(__xludf.DUMMYFUNCTION("""COMPUTED_VALUE"""),"Card Game")</f>
        <v>Card Game</v>
      </c>
    </row>
    <row r="417">
      <c r="A417" s="190" t="str">
        <f>IFERROR(__xludf.DUMMYFUNCTION("""COMPUTED_VALUE"""),"Myst (2021)")</f>
        <v>Myst (2021)</v>
      </c>
      <c r="B417" s="195" t="str">
        <f>IFERROR(__xludf.DUMMYFUNCTION("""COMPUTED_VALUE"""),"Xbox / PC")</f>
        <v>Xbox / PC</v>
      </c>
      <c r="C417" s="195" t="str">
        <f>IFERROR(__xludf.DUMMYFUNCTION("""COMPUTED_VALUE"""),"Yes")</f>
        <v>Yes</v>
      </c>
      <c r="D417" s="196" t="str">
        <f>IFERROR(__xludf.DUMMYFUNCTION("""COMPUTED_VALUE"""),"Removed")</f>
        <v>Removed</v>
      </c>
      <c r="E417" s="271">
        <f>IFERROR(__xludf.DUMMYFUNCTION("""COMPUTED_VALUE"""),44434.0)</f>
        <v>44434</v>
      </c>
      <c r="F417" s="198">
        <f>IFERROR(__xludf.DUMMYFUNCTION("""COMPUTED_VALUE"""),44804.0)</f>
        <v>44804</v>
      </c>
      <c r="G417" s="199">
        <f>IFERROR(__xludf.DUMMYFUNCTION("""COMPUTED_VALUE"""),12.133333333333333)</f>
        <v>12.13333333</v>
      </c>
      <c r="H417" s="210">
        <f>IFERROR(__xludf.DUMMYFUNCTION("""COMPUTED_VALUE"""),44434.0)</f>
        <v>44434</v>
      </c>
      <c r="I417" s="199">
        <f>IFERROR(__xludf.DUMMYFUNCTION("""COMPUTED_VALUE"""),0.0)</f>
        <v>0</v>
      </c>
      <c r="J417" s="200">
        <f>IFERROR(__xludf.DUMMYFUNCTION("""COMPUTED_VALUE"""),79.0)</f>
        <v>79</v>
      </c>
      <c r="K417" s="200">
        <f>IFERROR(__xludf.DUMMYFUNCTION("""COMPUTED_VALUE"""),5.5)</f>
        <v>5.5</v>
      </c>
      <c r="L417" s="265" t="str">
        <f>IFERROR(__xludf.DUMMYFUNCTION("""COMPUTED_VALUE"""),"Adventure / Puzzle")</f>
        <v>Adventure / Puzzle</v>
      </c>
    </row>
    <row r="418">
      <c r="A418" s="269" t="str">
        <f>IFERROR(__xludf.DUMMYFUNCTION("""COMPUTED_VALUE"""),"Twelve Minutes")</f>
        <v>Twelve Minutes</v>
      </c>
      <c r="B418" s="195" t="str">
        <f>IFERROR(__xludf.DUMMYFUNCTION("""COMPUTED_VALUE"""),"Xbox / PC")</f>
        <v>Xbox / PC</v>
      </c>
      <c r="C418" s="195" t="str">
        <f>IFERROR(__xludf.DUMMYFUNCTION("""COMPUTED_VALUE"""),"Yes")</f>
        <v>Yes</v>
      </c>
      <c r="D418" s="196" t="str">
        <f>IFERROR(__xludf.DUMMYFUNCTION("""COMPUTED_VALUE"""),"Removed")</f>
        <v>Removed</v>
      </c>
      <c r="E418" s="271">
        <f>IFERROR(__xludf.DUMMYFUNCTION("""COMPUTED_VALUE"""),44427.0)</f>
        <v>44427</v>
      </c>
      <c r="F418" s="198">
        <f>IFERROR(__xludf.DUMMYFUNCTION("""COMPUTED_VALUE"""),44804.0)</f>
        <v>44804</v>
      </c>
      <c r="G418" s="199">
        <f>IFERROR(__xludf.DUMMYFUNCTION("""COMPUTED_VALUE"""),12.366666666666665)</f>
        <v>12.36666667</v>
      </c>
      <c r="H418" s="210">
        <f>IFERROR(__xludf.DUMMYFUNCTION("""COMPUTED_VALUE"""),44427.0)</f>
        <v>44427</v>
      </c>
      <c r="I418" s="199">
        <f>IFERROR(__xludf.DUMMYFUNCTION("""COMPUTED_VALUE"""),0.0)</f>
        <v>0</v>
      </c>
      <c r="J418" s="267">
        <f>IFERROR(__xludf.DUMMYFUNCTION("""COMPUTED_VALUE"""),74.0)</f>
        <v>74</v>
      </c>
      <c r="K418" s="200">
        <f>IFERROR(__xludf.DUMMYFUNCTION("""COMPUTED_VALUE"""),4.5)</f>
        <v>4.5</v>
      </c>
      <c r="L418" s="265" t="str">
        <f>IFERROR(__xludf.DUMMYFUNCTION("""COMPUTED_VALUE"""),"Adventure")</f>
        <v>Adventure</v>
      </c>
    </row>
    <row r="419">
      <c r="A419" s="190" t="str">
        <f>IFERROR(__xludf.DUMMYFUNCTION("""COMPUTED_VALUE"""),"Elite Dangerous")</f>
        <v>Elite Dangerous</v>
      </c>
      <c r="B419" s="195" t="str">
        <f>IFERROR(__xludf.DUMMYFUNCTION("""COMPUTED_VALUE"""),"Xbox")</f>
        <v>Xbox</v>
      </c>
      <c r="C419" s="195" t="str">
        <f>IFERROR(__xludf.DUMMYFUNCTION("""COMPUTED_VALUE"""),"Yes")</f>
        <v>Yes</v>
      </c>
      <c r="D419" s="196" t="str">
        <f>IFERROR(__xludf.DUMMYFUNCTION("""COMPUTED_VALUE"""),"Removed")</f>
        <v>Removed</v>
      </c>
      <c r="E419" s="271">
        <f>IFERROR(__xludf.DUMMYFUNCTION("""COMPUTED_VALUE"""),44252.0)</f>
        <v>44252</v>
      </c>
      <c r="F419" s="198">
        <f>IFERROR(__xludf.DUMMYFUNCTION("""COMPUTED_VALUE"""),44804.0)</f>
        <v>44804</v>
      </c>
      <c r="G419" s="199">
        <f>IFERROR(__xludf.DUMMYFUNCTION("""COMPUTED_VALUE"""),18.166666666666664)</f>
        <v>18.16666667</v>
      </c>
      <c r="H419" s="210">
        <f>IFERROR(__xludf.DUMMYFUNCTION("""COMPUTED_VALUE"""),41989.0)</f>
        <v>41989</v>
      </c>
      <c r="I419" s="199">
        <f>IFERROR(__xludf.DUMMYFUNCTION("""COMPUTED_VALUE"""),6.191666666666666)</f>
        <v>6.191666667</v>
      </c>
      <c r="J419" s="267">
        <f>IFERROR(__xludf.DUMMYFUNCTION("""COMPUTED_VALUE"""),80.0)</f>
        <v>80</v>
      </c>
      <c r="K419" s="200">
        <f>IFERROR(__xludf.DUMMYFUNCTION("""COMPUTED_VALUE"""),89.5)</f>
        <v>89.5</v>
      </c>
      <c r="L419" s="265" t="str">
        <f>IFERROR(__xludf.DUMMYFUNCTION("""COMPUTED_VALUE"""),"Action / Strategy / Simulation / Flight Simulator")</f>
        <v>Action / Strategy / Simulation / Flight Simulator</v>
      </c>
    </row>
    <row r="420">
      <c r="A420" s="269" t="str">
        <f>IFERROR(__xludf.DUMMYFUNCTION("""COMPUTED_VALUE"""),"Two Point Hospital")</f>
        <v>Two Point Hospital</v>
      </c>
      <c r="B420" s="195" t="str">
        <f>IFERROR(__xludf.DUMMYFUNCTION("""COMPUTED_VALUE"""),"Xbox / PC")</f>
        <v>Xbox / PC</v>
      </c>
      <c r="C420" s="195" t="str">
        <f>IFERROR(__xludf.DUMMYFUNCTION("""COMPUTED_VALUE"""),"Touch Controls")</f>
        <v>Touch Controls</v>
      </c>
      <c r="D420" s="196" t="str">
        <f>IFERROR(__xludf.DUMMYFUNCTION("""COMPUTED_VALUE"""),"Removed")</f>
        <v>Removed</v>
      </c>
      <c r="E420" s="271">
        <f>IFERROR(__xludf.DUMMYFUNCTION("""COMPUTED_VALUE"""),43886.0)</f>
        <v>43886</v>
      </c>
      <c r="F420" s="198">
        <f>IFERROR(__xludf.DUMMYFUNCTION("""COMPUTED_VALUE"""),44804.0)</f>
        <v>44804</v>
      </c>
      <c r="G420" s="199">
        <f>IFERROR(__xludf.DUMMYFUNCTION("""COMPUTED_VALUE"""),30.166666666666664)</f>
        <v>30.16666667</v>
      </c>
      <c r="H420" s="210">
        <f>IFERROR(__xludf.DUMMYFUNCTION("""COMPUTED_VALUE"""),43220.0)</f>
        <v>43220</v>
      </c>
      <c r="I420" s="199">
        <f>IFERROR(__xludf.DUMMYFUNCTION("""COMPUTED_VALUE"""),1.8194444444444444)</f>
        <v>1.819444444</v>
      </c>
      <c r="J420" s="267">
        <f>IFERROR(__xludf.DUMMYFUNCTION("""COMPUTED_VALUE"""),83.0)</f>
        <v>83</v>
      </c>
      <c r="K420" s="267">
        <f>IFERROR(__xludf.DUMMYFUNCTION("""COMPUTED_VALUE"""),30.5)</f>
        <v>30.5</v>
      </c>
      <c r="L420" s="265" t="str">
        <f>IFERROR(__xludf.DUMMYFUNCTION("""COMPUTED_VALUE"""),"Simulation")</f>
        <v>Simulation</v>
      </c>
    </row>
    <row r="421">
      <c r="A421" s="269" t="str">
        <f>IFERROR(__xludf.DUMMYFUNCTION("""COMPUTED_VALUE"""),"What Remains of Edith Finch")</f>
        <v>What Remains of Edith Finch</v>
      </c>
      <c r="B421" s="195" t="str">
        <f>IFERROR(__xludf.DUMMYFUNCTION("""COMPUTED_VALUE"""),"Xbox / PC")</f>
        <v>Xbox / PC</v>
      </c>
      <c r="C421" s="195" t="str">
        <f>IFERROR(__xludf.DUMMYFUNCTION("""COMPUTED_VALUE"""),"Touch Controls")</f>
        <v>Touch Controls</v>
      </c>
      <c r="D421" s="196" t="str">
        <f>IFERROR(__xludf.DUMMYFUNCTION("""COMPUTED_VALUE"""),"Removed")</f>
        <v>Removed</v>
      </c>
      <c r="E421" s="271">
        <f>IFERROR(__xludf.DUMMYFUNCTION("""COMPUTED_VALUE"""),43545.0)</f>
        <v>43545</v>
      </c>
      <c r="F421" s="198">
        <f>IFERROR(__xludf.DUMMYFUNCTION("""COMPUTED_VALUE"""),44804.0)</f>
        <v>44804</v>
      </c>
      <c r="G421" s="199">
        <f>IFERROR(__xludf.DUMMYFUNCTION("""COMPUTED_VALUE"""),41.300000000000004)</f>
        <v>41.3</v>
      </c>
      <c r="H421" s="210">
        <f>IFERROR(__xludf.DUMMYFUNCTION("""COMPUTED_VALUE"""),42850.0)</f>
        <v>42850</v>
      </c>
      <c r="I421" s="199">
        <f>IFERROR(__xludf.DUMMYFUNCTION("""COMPUTED_VALUE"""),1.9055555555555554)</f>
        <v>1.905555556</v>
      </c>
      <c r="J421" s="267">
        <f>IFERROR(__xludf.DUMMYFUNCTION("""COMPUTED_VALUE"""),92.0)</f>
        <v>92</v>
      </c>
      <c r="K421" s="200">
        <f>IFERROR(__xludf.DUMMYFUNCTION("""COMPUTED_VALUE"""),2.0)</f>
        <v>2</v>
      </c>
      <c r="L421" s="265" t="str">
        <f>IFERROR(__xludf.DUMMYFUNCTION("""COMPUTED_VALUE"""),"Adventure / Puzzle")</f>
        <v>Adventure / Puzzle</v>
      </c>
    </row>
    <row r="422">
      <c r="A422" s="269" t="str">
        <f>IFERROR(__xludf.DUMMYFUNCTION("""COMPUTED_VALUE"""),"Train Sim World 2")</f>
        <v>Train Sim World 2</v>
      </c>
      <c r="B422" s="195" t="str">
        <f>IFERROR(__xludf.DUMMYFUNCTION("""COMPUTED_VALUE"""),"Xbox / PC")</f>
        <v>Xbox / PC</v>
      </c>
      <c r="C422" s="195" t="str">
        <f>IFERROR(__xludf.DUMMYFUNCTION("""COMPUTED_VALUE"""),"Touch Controls")</f>
        <v>Touch Controls</v>
      </c>
      <c r="D422" s="196" t="str">
        <f>IFERROR(__xludf.DUMMYFUNCTION("""COMPUTED_VALUE"""),"Removed")</f>
        <v>Removed</v>
      </c>
      <c r="E422" s="271">
        <f>IFERROR(__xludf.DUMMYFUNCTION("""COMPUTED_VALUE"""),44427.0)</f>
        <v>44427</v>
      </c>
      <c r="F422" s="198">
        <f>IFERROR(__xludf.DUMMYFUNCTION("""COMPUTED_VALUE"""),44788.0)</f>
        <v>44788</v>
      </c>
      <c r="G422" s="199">
        <f>IFERROR(__xludf.DUMMYFUNCTION("""COMPUTED_VALUE"""),11.866666666666667)</f>
        <v>11.86666667</v>
      </c>
      <c r="H422" s="210">
        <f>IFERROR(__xludf.DUMMYFUNCTION("""COMPUTED_VALUE"""),44063.0)</f>
        <v>44063</v>
      </c>
      <c r="I422" s="199">
        <f>IFERROR(__xludf.DUMMYFUNCTION("""COMPUTED_VALUE"""),0.9972222222222222)</f>
        <v>0.9972222222</v>
      </c>
      <c r="J422" s="267">
        <f>IFERROR(__xludf.DUMMYFUNCTION("""COMPUTED_VALUE"""),80.0)</f>
        <v>80</v>
      </c>
      <c r="K422" s="200"/>
      <c r="L422" s="265" t="str">
        <f>IFERROR(__xludf.DUMMYFUNCTION("""COMPUTED_VALUE"""),"Simulation")</f>
        <v>Simulation</v>
      </c>
    </row>
    <row r="423">
      <c r="A423" s="269" t="str">
        <f>IFERROR(__xludf.DUMMYFUNCTION("""COMPUTED_VALUE"""),"Boyfriend Dungeon")</f>
        <v>Boyfriend Dungeon</v>
      </c>
      <c r="B423" s="195" t="str">
        <f>IFERROR(__xludf.DUMMYFUNCTION("""COMPUTED_VALUE"""),"Xbox / PC")</f>
        <v>Xbox / PC</v>
      </c>
      <c r="C423" s="195" t="str">
        <f>IFERROR(__xludf.DUMMYFUNCTION("""COMPUTED_VALUE"""),"Touch Controls")</f>
        <v>Touch Controls</v>
      </c>
      <c r="D423" s="196" t="str">
        <f>IFERROR(__xludf.DUMMYFUNCTION("""COMPUTED_VALUE"""),"Removed")</f>
        <v>Removed</v>
      </c>
      <c r="E423" s="271">
        <f>IFERROR(__xludf.DUMMYFUNCTION("""COMPUTED_VALUE"""),44419.0)</f>
        <v>44419</v>
      </c>
      <c r="F423" s="198">
        <f>IFERROR(__xludf.DUMMYFUNCTION("""COMPUTED_VALUE"""),44788.0)</f>
        <v>44788</v>
      </c>
      <c r="G423" s="199">
        <f>IFERROR(__xludf.DUMMYFUNCTION("""COMPUTED_VALUE"""),12.133333333333333)</f>
        <v>12.13333333</v>
      </c>
      <c r="H423" s="210">
        <f>IFERROR(__xludf.DUMMYFUNCTION("""COMPUTED_VALUE"""),44419.0)</f>
        <v>44419</v>
      </c>
      <c r="I423" s="199">
        <f>IFERROR(__xludf.DUMMYFUNCTION("""COMPUTED_VALUE"""),0.0)</f>
        <v>0</v>
      </c>
      <c r="J423" s="267">
        <f>IFERROR(__xludf.DUMMYFUNCTION("""COMPUTED_VALUE"""),71.5)</f>
        <v>71.5</v>
      </c>
      <c r="K423" s="200">
        <f>IFERROR(__xludf.DUMMYFUNCTION("""COMPUTED_VALUE"""),5.0)</f>
        <v>5</v>
      </c>
      <c r="L423" s="265" t="str">
        <f>IFERROR(__xludf.DUMMYFUNCTION("""COMPUTED_VALUE"""),"Action")</f>
        <v>Action</v>
      </c>
    </row>
    <row r="424">
      <c r="A424" s="269" t="str">
        <f>IFERROR(__xludf.DUMMYFUNCTION("""COMPUTED_VALUE"""),"Library of Ruina")</f>
        <v>Library of Ruina</v>
      </c>
      <c r="B424" s="195" t="str">
        <f>IFERROR(__xludf.DUMMYFUNCTION("""COMPUTED_VALUE"""),"Xbox / PC")</f>
        <v>Xbox / PC</v>
      </c>
      <c r="C424" s="195" t="str">
        <f>IFERROR(__xludf.DUMMYFUNCTION("""COMPUTED_VALUE"""),"Yes")</f>
        <v>Yes</v>
      </c>
      <c r="D424" s="196" t="str">
        <f>IFERROR(__xludf.DUMMYFUNCTION("""COMPUTED_VALUE"""),"Removed")</f>
        <v>Removed</v>
      </c>
      <c r="E424" s="271">
        <f>IFERROR(__xludf.DUMMYFUNCTION("""COMPUTED_VALUE"""),44419.0)</f>
        <v>44419</v>
      </c>
      <c r="F424" s="198">
        <f>IFERROR(__xludf.DUMMYFUNCTION("""COMPUTED_VALUE"""),44788.0)</f>
        <v>44788</v>
      </c>
      <c r="G424" s="199">
        <f>IFERROR(__xludf.DUMMYFUNCTION("""COMPUTED_VALUE"""),12.133333333333333)</f>
        <v>12.13333333</v>
      </c>
      <c r="H424" s="210">
        <f>IFERROR(__xludf.DUMMYFUNCTION("""COMPUTED_VALUE"""),43966.0)</f>
        <v>43966</v>
      </c>
      <c r="I424" s="199">
        <f>IFERROR(__xludf.DUMMYFUNCTION("""COMPUTED_VALUE"""),1.238888888888889)</f>
        <v>1.238888889</v>
      </c>
      <c r="J424" s="267">
        <f>IFERROR(__xludf.DUMMYFUNCTION("""COMPUTED_VALUE"""),95.0)</f>
        <v>95</v>
      </c>
      <c r="K424" s="200">
        <f>IFERROR(__xludf.DUMMYFUNCTION("""COMPUTED_VALUE"""),96.5)</f>
        <v>96.5</v>
      </c>
      <c r="L424" s="265" t="str">
        <f>IFERROR(__xludf.DUMMYFUNCTION("""COMPUTED_VALUE"""),"RPG")</f>
        <v>RPG</v>
      </c>
    </row>
    <row r="425">
      <c r="A425" s="269" t="str">
        <f>IFERROR(__xludf.DUMMYFUNCTION("""COMPUTED_VALUE"""),"Curse of the Dead Gods")</f>
        <v>Curse of the Dead Gods</v>
      </c>
      <c r="B425" s="195" t="str">
        <f>IFERROR(__xludf.DUMMYFUNCTION("""COMPUTED_VALUE"""),"Xbox / PC")</f>
        <v>Xbox / PC</v>
      </c>
      <c r="C425" s="195" t="str">
        <f>IFERROR(__xludf.DUMMYFUNCTION("""COMPUTED_VALUE"""),"Touch Controls")</f>
        <v>Touch Controls</v>
      </c>
      <c r="D425" s="196" t="str">
        <f>IFERROR(__xludf.DUMMYFUNCTION("""COMPUTED_VALUE"""),"Removed")</f>
        <v>Removed</v>
      </c>
      <c r="E425" s="271">
        <f>IFERROR(__xludf.DUMMYFUNCTION("""COMPUTED_VALUE"""),44413.0)</f>
        <v>44413</v>
      </c>
      <c r="F425" s="198">
        <f>IFERROR(__xludf.DUMMYFUNCTION("""COMPUTED_VALUE"""),44788.0)</f>
        <v>44788</v>
      </c>
      <c r="G425" s="199">
        <f>IFERROR(__xludf.DUMMYFUNCTION("""COMPUTED_VALUE"""),12.333333333333332)</f>
        <v>12.33333333</v>
      </c>
      <c r="H425" s="210">
        <f>IFERROR(__xludf.DUMMYFUNCTION("""COMPUTED_VALUE"""),44249.0)</f>
        <v>44249</v>
      </c>
      <c r="I425" s="199">
        <f>IFERROR(__xludf.DUMMYFUNCTION("""COMPUTED_VALUE"""),0.4527777777777778)</f>
        <v>0.4527777778</v>
      </c>
      <c r="J425" s="267">
        <f>IFERROR(__xludf.DUMMYFUNCTION("""COMPUTED_VALUE"""),84.0)</f>
        <v>84</v>
      </c>
      <c r="K425" s="267">
        <f>IFERROR(__xludf.DUMMYFUNCTION("""COMPUTED_VALUE"""),25.0)</f>
        <v>25</v>
      </c>
      <c r="L425" s="265" t="str">
        <f>IFERROR(__xludf.DUMMYFUNCTION("""COMPUTED_VALUE"""),"Action-Adventure")</f>
        <v>Action-Adventure</v>
      </c>
    </row>
    <row r="426">
      <c r="A426" s="269" t="str">
        <f>IFERROR(__xludf.DUMMYFUNCTION("""COMPUTED_VALUE"""),"Starmancer (Game Preview)")</f>
        <v>Starmancer (Game Preview)</v>
      </c>
      <c r="B426" s="195" t="str">
        <f>IFERROR(__xludf.DUMMYFUNCTION("""COMPUTED_VALUE"""),"Xbox / PC")</f>
        <v>Xbox / PC</v>
      </c>
      <c r="C426" s="195" t="str">
        <f>IFERROR(__xludf.DUMMYFUNCTION("""COMPUTED_VALUE"""),"Yes")</f>
        <v>Yes</v>
      </c>
      <c r="D426" s="196" t="str">
        <f>IFERROR(__xludf.DUMMYFUNCTION("""COMPUTED_VALUE"""),"Removed")</f>
        <v>Removed</v>
      </c>
      <c r="E426" s="271">
        <f>IFERROR(__xludf.DUMMYFUNCTION("""COMPUTED_VALUE"""),44413.0)</f>
        <v>44413</v>
      </c>
      <c r="F426" s="198">
        <f>IFERROR(__xludf.DUMMYFUNCTION("""COMPUTED_VALUE"""),44788.0)</f>
        <v>44788</v>
      </c>
      <c r="G426" s="199">
        <f>IFERROR(__xludf.DUMMYFUNCTION("""COMPUTED_VALUE"""),12.333333333333332)</f>
        <v>12.33333333</v>
      </c>
      <c r="H426" s="210">
        <f>IFERROR(__xludf.DUMMYFUNCTION("""COMPUTED_VALUE"""),44413.0)</f>
        <v>44413</v>
      </c>
      <c r="I426" s="199">
        <f>IFERROR(__xludf.DUMMYFUNCTION("""COMPUTED_VALUE"""),0.0)</f>
        <v>0</v>
      </c>
      <c r="J426" s="267">
        <f>IFERROR(__xludf.DUMMYFUNCTION("""COMPUTED_VALUE"""),62.0)</f>
        <v>62</v>
      </c>
      <c r="K426" s="200"/>
      <c r="L426" s="265" t="str">
        <f>IFERROR(__xludf.DUMMYFUNCTION("""COMPUTED_VALUE"""),"Simulation")</f>
        <v>Simulation</v>
      </c>
    </row>
    <row r="427">
      <c r="A427" s="190" t="str">
        <f>IFERROR(__xludf.DUMMYFUNCTION("""COMPUTED_VALUE"""),"Dodgeball Academia")</f>
        <v>Dodgeball Academia</v>
      </c>
      <c r="B427" s="195" t="str">
        <f>IFERROR(__xludf.DUMMYFUNCTION("""COMPUTED_VALUE"""),"Xbox / PC")</f>
        <v>Xbox / PC</v>
      </c>
      <c r="C427" s="196" t="str">
        <f>IFERROR(__xludf.DUMMYFUNCTION("""COMPUTED_VALUE"""),"Yes")</f>
        <v>Yes</v>
      </c>
      <c r="D427" s="196" t="str">
        <f>IFERROR(__xludf.DUMMYFUNCTION("""COMPUTED_VALUE"""),"Removed")</f>
        <v>Removed</v>
      </c>
      <c r="E427" s="271">
        <f>IFERROR(__xludf.DUMMYFUNCTION("""COMPUTED_VALUE"""),44413.0)</f>
        <v>44413</v>
      </c>
      <c r="F427" s="271">
        <f>IFERROR(__xludf.DUMMYFUNCTION("""COMPUTED_VALUE"""),44773.0)</f>
        <v>44773</v>
      </c>
      <c r="G427" s="199">
        <f>IFERROR(__xludf.DUMMYFUNCTION("""COMPUTED_VALUE"""),11.833333333333334)</f>
        <v>11.83333333</v>
      </c>
      <c r="H427" s="210">
        <f>IFERROR(__xludf.DUMMYFUNCTION("""COMPUTED_VALUE"""),44413.0)</f>
        <v>44413</v>
      </c>
      <c r="I427" s="199">
        <f>IFERROR(__xludf.DUMMYFUNCTION("""COMPUTED_VALUE"""),0.0)</f>
        <v>0</v>
      </c>
      <c r="J427" s="200">
        <f>IFERROR(__xludf.DUMMYFUNCTION("""COMPUTED_VALUE"""),77.0)</f>
        <v>77</v>
      </c>
      <c r="K427" s="200">
        <f>IFERROR(__xludf.DUMMYFUNCTION("""COMPUTED_VALUE"""),8.0)</f>
        <v>8</v>
      </c>
      <c r="L427" s="265" t="str">
        <f>IFERROR(__xludf.DUMMYFUNCTION("""COMPUTED_VALUE"""),"Sports")</f>
        <v>Sports</v>
      </c>
    </row>
    <row r="428">
      <c r="A428" s="273" t="str">
        <f>IFERROR(__xludf.DUMMYFUNCTION("""COMPUTED_VALUE"""),"Katamari Damacy Reroll")</f>
        <v>Katamari Damacy Reroll</v>
      </c>
      <c r="B428" s="195" t="str">
        <f>IFERROR(__xludf.DUMMYFUNCTION("""COMPUTED_VALUE"""),"Xbox / PC")</f>
        <v>Xbox / PC</v>
      </c>
      <c r="C428" s="195" t="str">
        <f>IFERROR(__xludf.DUMMYFUNCTION("""COMPUTED_VALUE"""),"Touch Controls")</f>
        <v>Touch Controls</v>
      </c>
      <c r="D428" s="196" t="str">
        <f>IFERROR(__xludf.DUMMYFUNCTION("""COMPUTED_VALUE"""),"Removed")</f>
        <v>Removed</v>
      </c>
      <c r="E428" s="271">
        <f>IFERROR(__xludf.DUMMYFUNCTION("""COMPUTED_VALUE"""),44413.0)</f>
        <v>44413</v>
      </c>
      <c r="F428" s="198">
        <f>IFERROR(__xludf.DUMMYFUNCTION("""COMPUTED_VALUE"""),44773.0)</f>
        <v>44773</v>
      </c>
      <c r="G428" s="199">
        <f>IFERROR(__xludf.DUMMYFUNCTION("""COMPUTED_VALUE"""),11.833333333333334)</f>
        <v>11.83333333</v>
      </c>
      <c r="H428" s="210">
        <f>IFERROR(__xludf.DUMMYFUNCTION("""COMPUTED_VALUE"""),43441.0)</f>
        <v>43441</v>
      </c>
      <c r="I428" s="199">
        <f>IFERROR(__xludf.DUMMYFUNCTION("""COMPUTED_VALUE"""),2.661111111111111)</f>
        <v>2.661111111</v>
      </c>
      <c r="J428" s="267">
        <f>IFERROR(__xludf.DUMMYFUNCTION("""COMPUTED_VALUE"""),77.0)</f>
        <v>77</v>
      </c>
      <c r="K428" s="200">
        <f>IFERROR(__xludf.DUMMYFUNCTION("""COMPUTED_VALUE"""),4.5)</f>
        <v>4.5</v>
      </c>
      <c r="L428" s="265" t="str">
        <f>IFERROR(__xludf.DUMMYFUNCTION("""COMPUTED_VALUE"""),"Action / Puzzle")</f>
        <v>Action / Puzzle</v>
      </c>
    </row>
    <row r="429">
      <c r="A429" s="269" t="str">
        <f>IFERROR(__xludf.DUMMYFUNCTION("""COMPUTED_VALUE"""),"Lumines: Remastered")</f>
        <v>Lumines: Remastered</v>
      </c>
      <c r="B429" s="195" t="str">
        <f>IFERROR(__xludf.DUMMYFUNCTION("""COMPUTED_VALUE"""),"Xbox / PC")</f>
        <v>Xbox / PC</v>
      </c>
      <c r="C429" s="196" t="str">
        <f>IFERROR(__xludf.DUMMYFUNCTION("""COMPUTED_VALUE"""),"Touch Controls")</f>
        <v>Touch Controls</v>
      </c>
      <c r="D429" s="196" t="str">
        <f>IFERROR(__xludf.DUMMYFUNCTION("""COMPUTED_VALUE"""),"Removed")</f>
        <v>Removed</v>
      </c>
      <c r="E429" s="271">
        <f>IFERROR(__xludf.DUMMYFUNCTION("""COMPUTED_VALUE"""),44413.0)</f>
        <v>44413</v>
      </c>
      <c r="F429" s="271">
        <f>IFERROR(__xludf.DUMMYFUNCTION("""COMPUTED_VALUE"""),44773.0)</f>
        <v>44773</v>
      </c>
      <c r="G429" s="199">
        <f>IFERROR(__xludf.DUMMYFUNCTION("""COMPUTED_VALUE"""),11.833333333333334)</f>
        <v>11.83333333</v>
      </c>
      <c r="H429" s="210">
        <f>IFERROR(__xludf.DUMMYFUNCTION("""COMPUTED_VALUE"""),43277.0)</f>
        <v>43277</v>
      </c>
      <c r="I429" s="199">
        <f>IFERROR(__xludf.DUMMYFUNCTION("""COMPUTED_VALUE"""),3.1083333333333334)</f>
        <v>3.108333333</v>
      </c>
      <c r="J429" s="200">
        <f>IFERROR(__xludf.DUMMYFUNCTION("""COMPUTED_VALUE"""),81.0)</f>
        <v>81</v>
      </c>
      <c r="K429" s="200">
        <f>IFERROR(__xludf.DUMMYFUNCTION("""COMPUTED_VALUE"""),5.0)</f>
        <v>5</v>
      </c>
      <c r="L429" s="265" t="str">
        <f>IFERROR(__xludf.DUMMYFUNCTION("""COMPUTED_VALUE"""),"Strategy / Puzzle / Music/Rhythm")</f>
        <v>Strategy / Puzzle / Music/Rhythm</v>
      </c>
    </row>
    <row r="430">
      <c r="A430" s="269" t="str">
        <f>IFERROR(__xludf.DUMMYFUNCTION("""COMPUTED_VALUE"""),"OMNO")</f>
        <v>OMNO</v>
      </c>
      <c r="B430" s="195" t="str">
        <f>IFERROR(__xludf.DUMMYFUNCTION("""COMPUTED_VALUE"""),"Xbox / PC")</f>
        <v>Xbox / PC</v>
      </c>
      <c r="C430" s="195" t="str">
        <f>IFERROR(__xludf.DUMMYFUNCTION("""COMPUTED_VALUE"""),"Touch Controls")</f>
        <v>Touch Controls</v>
      </c>
      <c r="D430" s="196" t="str">
        <f>IFERROR(__xludf.DUMMYFUNCTION("""COMPUTED_VALUE"""),"Removed")</f>
        <v>Removed</v>
      </c>
      <c r="E430" s="271">
        <f>IFERROR(__xludf.DUMMYFUNCTION("""COMPUTED_VALUE"""),44406.0)</f>
        <v>44406</v>
      </c>
      <c r="F430" s="271">
        <f>IFERROR(__xludf.DUMMYFUNCTION("""COMPUTED_VALUE"""),44773.0)</f>
        <v>44773</v>
      </c>
      <c r="G430" s="199">
        <f>IFERROR(__xludf.DUMMYFUNCTION("""COMPUTED_VALUE"""),12.033333333333333)</f>
        <v>12.03333333</v>
      </c>
      <c r="H430" s="210">
        <f>IFERROR(__xludf.DUMMYFUNCTION("""COMPUTED_VALUE"""),43430.0)</f>
        <v>43430</v>
      </c>
      <c r="I430" s="199">
        <f>IFERROR(__xludf.DUMMYFUNCTION("""COMPUTED_VALUE"""),2.675)</f>
        <v>2.675</v>
      </c>
      <c r="J430" s="267">
        <f>IFERROR(__xludf.DUMMYFUNCTION("""COMPUTED_VALUE"""),77.0)</f>
        <v>77</v>
      </c>
      <c r="K430" s="200">
        <f>IFERROR(__xludf.DUMMYFUNCTION("""COMPUTED_VALUE"""),3.0)</f>
        <v>3</v>
      </c>
      <c r="L430" s="265" t="str">
        <f>IFERROR(__xludf.DUMMYFUNCTION("""COMPUTED_VALUE"""),"Adventure / Puzzle / Platformer")</f>
        <v>Adventure / Puzzle / Platformer</v>
      </c>
    </row>
    <row r="431">
      <c r="A431" s="269" t="str">
        <f>IFERROR(__xludf.DUMMYFUNCTION("""COMPUTED_VALUE"""),"Raji: An Ancient Epic")</f>
        <v>Raji: An Ancient Epic</v>
      </c>
      <c r="B431" s="195" t="str">
        <f>IFERROR(__xludf.DUMMYFUNCTION("""COMPUTED_VALUE"""),"Xbox / PC")</f>
        <v>Xbox / PC</v>
      </c>
      <c r="C431" s="195" t="str">
        <f>IFERROR(__xludf.DUMMYFUNCTION("""COMPUTED_VALUE"""),"Touch Controls")</f>
        <v>Touch Controls</v>
      </c>
      <c r="D431" s="196" t="str">
        <f>IFERROR(__xludf.DUMMYFUNCTION("""COMPUTED_VALUE"""),"Removed")</f>
        <v>Removed</v>
      </c>
      <c r="E431" s="271">
        <f>IFERROR(__xludf.DUMMYFUNCTION("""COMPUTED_VALUE"""),44399.0)</f>
        <v>44399</v>
      </c>
      <c r="F431" s="198">
        <f>IFERROR(__xludf.DUMMYFUNCTION("""COMPUTED_VALUE"""),44773.0)</f>
        <v>44773</v>
      </c>
      <c r="G431" s="199">
        <f>IFERROR(__xludf.DUMMYFUNCTION("""COMPUTED_VALUE"""),12.266666666666666)</f>
        <v>12.26666667</v>
      </c>
      <c r="H431" s="210">
        <f>IFERROR(__xludf.DUMMYFUNCTION("""COMPUTED_VALUE"""),44119.0)</f>
        <v>44119</v>
      </c>
      <c r="I431" s="199">
        <f>IFERROR(__xludf.DUMMYFUNCTION("""COMPUTED_VALUE"""),0.7694444444444445)</f>
        <v>0.7694444444</v>
      </c>
      <c r="J431" s="267">
        <f>IFERROR(__xludf.DUMMYFUNCTION("""COMPUTED_VALUE"""),70.0)</f>
        <v>70</v>
      </c>
      <c r="K431" s="200">
        <f>IFERROR(__xludf.DUMMYFUNCTION("""COMPUTED_VALUE"""),5.0)</f>
        <v>5</v>
      </c>
      <c r="L431" s="265" t="str">
        <f>IFERROR(__xludf.DUMMYFUNCTION("""COMPUTED_VALUE"""),"Action-Adventure")</f>
        <v>Action-Adventure</v>
      </c>
    </row>
    <row r="432">
      <c r="A432" s="269" t="str">
        <f>IFERROR(__xludf.DUMMYFUNCTION("""COMPUTED_VALUE"""),"Lethal League Blaze")</f>
        <v>Lethal League Blaze</v>
      </c>
      <c r="B432" s="195" t="str">
        <f>IFERROR(__xludf.DUMMYFUNCTION("""COMPUTED_VALUE"""),"Xbox / PC")</f>
        <v>Xbox / PC</v>
      </c>
      <c r="C432" s="196" t="str">
        <f>IFERROR(__xludf.DUMMYFUNCTION("""COMPUTED_VALUE"""),"Touch Controls")</f>
        <v>Touch Controls</v>
      </c>
      <c r="D432" s="196" t="str">
        <f>IFERROR(__xludf.DUMMYFUNCTION("""COMPUTED_VALUE"""),"Removed")</f>
        <v>Removed</v>
      </c>
      <c r="E432" s="271">
        <f>IFERROR(__xludf.DUMMYFUNCTION("""COMPUTED_VALUE"""),44406.0)</f>
        <v>44406</v>
      </c>
      <c r="F432" s="198">
        <f>IFERROR(__xludf.DUMMYFUNCTION("""COMPUTED_VALUE"""),44757.0)</f>
        <v>44757</v>
      </c>
      <c r="G432" s="199">
        <f>IFERROR(__xludf.DUMMYFUNCTION("""COMPUTED_VALUE"""),11.533333333333333)</f>
        <v>11.53333333</v>
      </c>
      <c r="H432" s="210">
        <f>IFERROR(__xludf.DUMMYFUNCTION("""COMPUTED_VALUE"""),43397.0)</f>
        <v>43397</v>
      </c>
      <c r="I432" s="199">
        <f>IFERROR(__xludf.DUMMYFUNCTION("""COMPUTED_VALUE"""),2.763888888888889)</f>
        <v>2.763888889</v>
      </c>
      <c r="J432" s="267">
        <f>IFERROR(__xludf.DUMMYFUNCTION("""COMPUTED_VALUE"""),82.0)</f>
        <v>82</v>
      </c>
      <c r="K432" s="267">
        <f>IFERROR(__xludf.DUMMYFUNCTION("""COMPUTED_VALUE"""),2.0)</f>
        <v>2</v>
      </c>
      <c r="L432" s="265" t="str">
        <f>IFERROR(__xludf.DUMMYFUNCTION("""COMPUTED_VALUE"""),"Fighting / Baseball")</f>
        <v>Fighting / Baseball</v>
      </c>
    </row>
    <row r="433">
      <c r="A433" s="269" t="str">
        <f>IFERROR(__xludf.DUMMYFUNCTION("""COMPUTED_VALUE"""),"Atomicrops")</f>
        <v>Atomicrops</v>
      </c>
      <c r="B433" s="195" t="str">
        <f>IFERROR(__xludf.DUMMYFUNCTION("""COMPUTED_VALUE"""),"Xbox / PC")</f>
        <v>Xbox / PC</v>
      </c>
      <c r="C433" s="196" t="str">
        <f>IFERROR(__xludf.DUMMYFUNCTION("""COMPUTED_VALUE"""),"Yes")</f>
        <v>Yes</v>
      </c>
      <c r="D433" s="196" t="str">
        <f>IFERROR(__xludf.DUMMYFUNCTION("""COMPUTED_VALUE"""),"Removed")</f>
        <v>Removed</v>
      </c>
      <c r="E433" s="271">
        <f>IFERROR(__xludf.DUMMYFUNCTION("""COMPUTED_VALUE"""),44399.0)</f>
        <v>44399</v>
      </c>
      <c r="F433" s="271">
        <f>IFERROR(__xludf.DUMMYFUNCTION("""COMPUTED_VALUE"""),44757.0)</f>
        <v>44757</v>
      </c>
      <c r="G433" s="199">
        <f>IFERROR(__xludf.DUMMYFUNCTION("""COMPUTED_VALUE"""),11.766666666666666)</f>
        <v>11.76666667</v>
      </c>
      <c r="H433" s="210">
        <f>IFERROR(__xludf.DUMMYFUNCTION("""COMPUTED_VALUE"""),43713.0)</f>
        <v>43713</v>
      </c>
      <c r="I433" s="199">
        <f>IFERROR(__xludf.DUMMYFUNCTION("""COMPUTED_VALUE"""),1.8805555555555555)</f>
        <v>1.880555556</v>
      </c>
      <c r="J433" s="267">
        <f>IFERROR(__xludf.DUMMYFUNCTION("""COMPUTED_VALUE"""),78.0)</f>
        <v>78</v>
      </c>
      <c r="K433" s="200">
        <f>IFERROR(__xludf.DUMMYFUNCTION("""COMPUTED_VALUE"""),7.0)</f>
        <v>7</v>
      </c>
      <c r="L433" s="265" t="str">
        <f>IFERROR(__xludf.DUMMYFUNCTION("""COMPUTED_VALUE"""),"Action")</f>
        <v>Action</v>
      </c>
    </row>
    <row r="434">
      <c r="A434" s="190" t="str">
        <f>IFERROR(__xludf.DUMMYFUNCTION("""COMPUTED_VALUE"""),"Cris Tales")</f>
        <v>Cris Tales</v>
      </c>
      <c r="B434" s="195" t="str">
        <f>IFERROR(__xludf.DUMMYFUNCTION("""COMPUTED_VALUE"""),"Xbox / PC")</f>
        <v>Xbox / PC</v>
      </c>
      <c r="C434" s="195" t="str">
        <f>IFERROR(__xludf.DUMMYFUNCTION("""COMPUTED_VALUE"""),"Touch Controls")</f>
        <v>Touch Controls</v>
      </c>
      <c r="D434" s="196" t="str">
        <f>IFERROR(__xludf.DUMMYFUNCTION("""COMPUTED_VALUE"""),"Removed")</f>
        <v>Removed</v>
      </c>
      <c r="E434" s="271">
        <f>IFERROR(__xludf.DUMMYFUNCTION("""COMPUTED_VALUE"""),44397.0)</f>
        <v>44397</v>
      </c>
      <c r="F434" s="198">
        <f>IFERROR(__xludf.DUMMYFUNCTION("""COMPUTED_VALUE"""),44757.0)</f>
        <v>44757</v>
      </c>
      <c r="G434" s="199">
        <f>IFERROR(__xludf.DUMMYFUNCTION("""COMPUTED_VALUE"""),11.833333333333334)</f>
        <v>11.83333333</v>
      </c>
      <c r="H434" s="210">
        <f>IFERROR(__xludf.DUMMYFUNCTION("""COMPUTED_VALUE"""),44397.0)</f>
        <v>44397</v>
      </c>
      <c r="I434" s="199">
        <f>IFERROR(__xludf.DUMMYFUNCTION("""COMPUTED_VALUE"""),0.0)</f>
        <v>0</v>
      </c>
      <c r="J434" s="267">
        <f>IFERROR(__xludf.DUMMYFUNCTION("""COMPUTED_VALUE"""),75.0)</f>
        <v>75</v>
      </c>
      <c r="K434" s="200">
        <f>IFERROR(__xludf.DUMMYFUNCTION("""COMPUTED_VALUE"""),21.0)</f>
        <v>21</v>
      </c>
      <c r="L434" s="265" t="str">
        <f>IFERROR(__xludf.DUMMYFUNCTION("""COMPUTED_VALUE"""),"RPG")</f>
        <v>RPG</v>
      </c>
    </row>
    <row r="435">
      <c r="A435" s="269" t="str">
        <f>IFERROR(__xludf.DUMMYFUNCTION("""COMPUTED_VALUE"""),"Children of Morta")</f>
        <v>Children of Morta</v>
      </c>
      <c r="B435" s="195" t="str">
        <f>IFERROR(__xludf.DUMMYFUNCTION("""COMPUTED_VALUE"""),"Xbox / PC")</f>
        <v>Xbox / PC</v>
      </c>
      <c r="C435" s="196" t="str">
        <f>IFERROR(__xludf.DUMMYFUNCTION("""COMPUTED_VALUE"""),"Yes")</f>
        <v>Yes</v>
      </c>
      <c r="D435" s="196" t="str">
        <f>IFERROR(__xludf.DUMMYFUNCTION("""COMPUTED_VALUE"""),"Removed")</f>
        <v>Removed</v>
      </c>
      <c r="E435" s="271">
        <f>IFERROR(__xludf.DUMMYFUNCTION("""COMPUTED_VALUE"""),43846.0)</f>
        <v>43846</v>
      </c>
      <c r="F435" s="198">
        <f>IFERROR(__xludf.DUMMYFUNCTION("""COMPUTED_VALUE"""),44757.0)</f>
        <v>44757</v>
      </c>
      <c r="G435" s="199">
        <f>IFERROR(__xludf.DUMMYFUNCTION("""COMPUTED_VALUE"""),29.96666666666667)</f>
        <v>29.96666667</v>
      </c>
      <c r="H435" s="210">
        <f>IFERROR(__xludf.DUMMYFUNCTION("""COMPUTED_VALUE"""),43711.0)</f>
        <v>43711</v>
      </c>
      <c r="I435" s="199">
        <f>IFERROR(__xludf.DUMMYFUNCTION("""COMPUTED_VALUE"""),0.36944444444444446)</f>
        <v>0.3694444444</v>
      </c>
      <c r="J435" s="267">
        <f>IFERROR(__xludf.DUMMYFUNCTION("""COMPUTED_VALUE"""),77.0)</f>
        <v>77</v>
      </c>
      <c r="K435" s="200">
        <f>IFERROR(__xludf.DUMMYFUNCTION("""COMPUTED_VALUE"""),13.5)</f>
        <v>13.5</v>
      </c>
      <c r="L435" s="265" t="str">
        <f>IFERROR(__xludf.DUMMYFUNCTION("""COMPUTED_VALUE"""),"RPG / Action-Adventure")</f>
        <v>RPG / Action-Adventure</v>
      </c>
    </row>
    <row r="436">
      <c r="A436" s="269" t="str">
        <f>IFERROR(__xludf.DUMMYFUNCTION("""COMPUTED_VALUE"""),"FIFA 20")</f>
        <v>FIFA 20</v>
      </c>
      <c r="B436" s="195" t="str">
        <f>IFERROR(__xludf.DUMMYFUNCTION("""COMPUTED_VALUE"""),"Xbox / PC")</f>
        <v>Xbox / PC</v>
      </c>
      <c r="C436" s="196"/>
      <c r="D436" s="196" t="str">
        <f>IFERROR(__xludf.DUMMYFUNCTION("""COMPUTED_VALUE"""),"Removed")</f>
        <v>Removed</v>
      </c>
      <c r="E436" s="271">
        <f>IFERROR(__xludf.DUMMYFUNCTION("""COMPUTED_VALUE"""),44145.0)</f>
        <v>44145</v>
      </c>
      <c r="F436" s="271">
        <f>IFERROR(__xludf.DUMMYFUNCTION("""COMPUTED_VALUE"""),44743.0)</f>
        <v>44743</v>
      </c>
      <c r="G436" s="199">
        <f>IFERROR(__xludf.DUMMYFUNCTION("""COMPUTED_VALUE"""),19.7)</f>
        <v>19.7</v>
      </c>
      <c r="H436" s="210">
        <f>IFERROR(__xludf.DUMMYFUNCTION("""COMPUTED_VALUE"""),43735.0)</f>
        <v>43735</v>
      </c>
      <c r="I436" s="199">
        <f>IFERROR(__xludf.DUMMYFUNCTION("""COMPUTED_VALUE"""),1.1194444444444445)</f>
        <v>1.119444444</v>
      </c>
      <c r="J436" s="267">
        <f>IFERROR(__xludf.DUMMYFUNCTION("""COMPUTED_VALUE"""),79.0)</f>
        <v>79</v>
      </c>
      <c r="K436" s="200">
        <f>IFERROR(__xludf.DUMMYFUNCTION("""COMPUTED_VALUE"""),23.5)</f>
        <v>23.5</v>
      </c>
      <c r="L436" s="265" t="str">
        <f>IFERROR(__xludf.DUMMYFUNCTION("""COMPUTED_VALUE"""),"Sports / Soccer")</f>
        <v>Sports / Soccer</v>
      </c>
    </row>
    <row r="437">
      <c r="A437" s="269" t="str">
        <f>IFERROR(__xludf.DUMMYFUNCTION("""COMPUTED_VALUE"""),"Last Stop")</f>
        <v>Last Stop</v>
      </c>
      <c r="B437" s="195" t="str">
        <f>IFERROR(__xludf.DUMMYFUNCTION("""COMPUTED_VALUE"""),"Xbox / PC")</f>
        <v>Xbox / PC</v>
      </c>
      <c r="C437" s="195" t="str">
        <f>IFERROR(__xludf.DUMMYFUNCTION("""COMPUTED_VALUE"""),"Touch Controls")</f>
        <v>Touch Controls</v>
      </c>
      <c r="D437" s="196" t="str">
        <f>IFERROR(__xludf.DUMMYFUNCTION("""COMPUTED_VALUE"""),"Removed")</f>
        <v>Removed</v>
      </c>
      <c r="E437" s="271">
        <f>IFERROR(__xludf.DUMMYFUNCTION("""COMPUTED_VALUE"""),44399.0)</f>
        <v>44399</v>
      </c>
      <c r="F437" s="198">
        <f>IFERROR(__xludf.DUMMYFUNCTION("""COMPUTED_VALUE"""),44742.0)</f>
        <v>44742</v>
      </c>
      <c r="G437" s="199">
        <f>IFERROR(__xludf.DUMMYFUNCTION("""COMPUTED_VALUE"""),11.266666666666666)</f>
        <v>11.26666667</v>
      </c>
      <c r="H437" s="210">
        <f>IFERROR(__xludf.DUMMYFUNCTION("""COMPUTED_VALUE"""),44399.0)</f>
        <v>44399</v>
      </c>
      <c r="I437" s="199">
        <f>IFERROR(__xludf.DUMMYFUNCTION("""COMPUTED_VALUE"""),0.0)</f>
        <v>0</v>
      </c>
      <c r="J437" s="267">
        <f>IFERROR(__xludf.DUMMYFUNCTION("""COMPUTED_VALUE"""),67.0)</f>
        <v>67</v>
      </c>
      <c r="K437" s="200">
        <f>IFERROR(__xludf.DUMMYFUNCTION("""COMPUTED_VALUE"""),6.0)</f>
        <v>6</v>
      </c>
      <c r="L437" s="265" t="str">
        <f>IFERROR(__xludf.DUMMYFUNCTION("""COMPUTED_VALUE"""),"Adventure")</f>
        <v>Adventure</v>
      </c>
    </row>
    <row r="438">
      <c r="A438" s="269" t="str">
        <f>IFERROR(__xludf.DUMMYFUNCTION("""COMPUTED_VALUE"""),"Jurassic World Evolution")</f>
        <v>Jurassic World Evolution</v>
      </c>
      <c r="B438" s="195" t="str">
        <f>IFERROR(__xludf.DUMMYFUNCTION("""COMPUTED_VALUE"""),"Xbox")</f>
        <v>Xbox</v>
      </c>
      <c r="C438" s="195" t="str">
        <f>IFERROR(__xludf.DUMMYFUNCTION("""COMPUTED_VALUE"""),"Yes")</f>
        <v>Yes</v>
      </c>
      <c r="D438" s="196" t="str">
        <f>IFERROR(__xludf.DUMMYFUNCTION("""COMPUTED_VALUE"""),"Removed")</f>
        <v>Removed</v>
      </c>
      <c r="E438" s="271">
        <f>IFERROR(__xludf.DUMMYFUNCTION("""COMPUTED_VALUE"""),44238.0)</f>
        <v>44238</v>
      </c>
      <c r="F438" s="271">
        <f>IFERROR(__xludf.DUMMYFUNCTION("""COMPUTED_VALUE"""),44742.0)</f>
        <v>44742</v>
      </c>
      <c r="G438" s="199">
        <f>IFERROR(__xludf.DUMMYFUNCTION("""COMPUTED_VALUE"""),16.633333333333333)</f>
        <v>16.63333333</v>
      </c>
      <c r="H438" s="210">
        <f>IFERROR(__xludf.DUMMYFUNCTION("""COMPUTED_VALUE"""),43263.0)</f>
        <v>43263</v>
      </c>
      <c r="I438" s="199">
        <f>IFERROR(__xludf.DUMMYFUNCTION("""COMPUTED_VALUE"""),2.6638888888888888)</f>
        <v>2.663888889</v>
      </c>
      <c r="J438" s="200">
        <f>IFERROR(__xludf.DUMMYFUNCTION("""COMPUTED_VALUE"""),76.0)</f>
        <v>76</v>
      </c>
      <c r="K438" s="200">
        <f>IFERROR(__xludf.DUMMYFUNCTION("""COMPUTED_VALUE"""),24.5)</f>
        <v>24.5</v>
      </c>
      <c r="L438" s="265" t="str">
        <f>IFERROR(__xludf.DUMMYFUNCTION("""COMPUTED_VALUE"""),"Strategy / Simulation")</f>
        <v>Strategy / Simulation</v>
      </c>
    </row>
    <row r="439">
      <c r="A439" s="269" t="str">
        <f>IFERROR(__xludf.DUMMYFUNCTION("""COMPUTED_VALUE"""),"MotoGP 20")</f>
        <v>MotoGP 20</v>
      </c>
      <c r="B439" s="195" t="str">
        <f>IFERROR(__xludf.DUMMYFUNCTION("""COMPUTED_VALUE"""),"Xbox / PC")</f>
        <v>Xbox / PC</v>
      </c>
      <c r="C439" s="195" t="str">
        <f>IFERROR(__xludf.DUMMYFUNCTION("""COMPUTED_VALUE"""),"Yes")</f>
        <v>Yes</v>
      </c>
      <c r="D439" s="196" t="str">
        <f>IFERROR(__xludf.DUMMYFUNCTION("""COMPUTED_VALUE"""),"Removed")</f>
        <v>Removed</v>
      </c>
      <c r="E439" s="271">
        <f>IFERROR(__xludf.DUMMYFUNCTION("""COMPUTED_VALUE"""),44182.0)</f>
        <v>44182</v>
      </c>
      <c r="F439" s="198">
        <f>IFERROR(__xludf.DUMMYFUNCTION("""COMPUTED_VALUE"""),44742.0)</f>
        <v>44742</v>
      </c>
      <c r="G439" s="199">
        <f>IFERROR(__xludf.DUMMYFUNCTION("""COMPUTED_VALUE"""),18.433333333333334)</f>
        <v>18.43333333</v>
      </c>
      <c r="H439" s="210">
        <f>IFERROR(__xludf.DUMMYFUNCTION("""COMPUTED_VALUE"""),43944.0)</f>
        <v>43944</v>
      </c>
      <c r="I439" s="199">
        <f>IFERROR(__xludf.DUMMYFUNCTION("""COMPUTED_VALUE"""),0.65)</f>
        <v>0.65</v>
      </c>
      <c r="J439" s="267">
        <f>IFERROR(__xludf.DUMMYFUNCTION("""COMPUTED_VALUE"""),81.5)</f>
        <v>81.5</v>
      </c>
      <c r="K439" s="200">
        <f>IFERROR(__xludf.DUMMYFUNCTION("""COMPUTED_VALUE"""),61.5)</f>
        <v>61.5</v>
      </c>
      <c r="L439" s="265" t="str">
        <f>IFERROR(__xludf.DUMMYFUNCTION("""COMPUTED_VALUE"""),"Driving/Racing")</f>
        <v>Driving/Racing</v>
      </c>
    </row>
    <row r="440">
      <c r="A440" s="269" t="str">
        <f>IFERROR(__xludf.DUMMYFUNCTION("""COMPUTED_VALUE"""),"Worms Rumble")</f>
        <v>Worms Rumble</v>
      </c>
      <c r="B440" s="195" t="str">
        <f>IFERROR(__xludf.DUMMYFUNCTION("""COMPUTED_VALUE"""),"Xbox / PC")</f>
        <v>Xbox / PC</v>
      </c>
      <c r="C440" s="195" t="str">
        <f>IFERROR(__xludf.DUMMYFUNCTION("""COMPUTED_VALUE"""),"Yes")</f>
        <v>Yes</v>
      </c>
      <c r="D440" s="196" t="str">
        <f>IFERROR(__xludf.DUMMYFUNCTION("""COMPUTED_VALUE"""),"Removed")</f>
        <v>Removed</v>
      </c>
      <c r="E440" s="271">
        <f>IFERROR(__xludf.DUMMYFUNCTION("""COMPUTED_VALUE"""),44370.0)</f>
        <v>44370</v>
      </c>
      <c r="F440" s="198">
        <f>IFERROR(__xludf.DUMMYFUNCTION("""COMPUTED_VALUE"""),44727.0)</f>
        <v>44727</v>
      </c>
      <c r="G440" s="199">
        <f>IFERROR(__xludf.DUMMYFUNCTION("""COMPUTED_VALUE"""),11.733333333333333)</f>
        <v>11.73333333</v>
      </c>
      <c r="H440" s="210">
        <f>IFERROR(__xludf.DUMMYFUNCTION("""COMPUTED_VALUE"""),44166.0)</f>
        <v>44166</v>
      </c>
      <c r="I440" s="199">
        <f>IFERROR(__xludf.DUMMYFUNCTION("""COMPUTED_VALUE"""),0.5611111111111111)</f>
        <v>0.5611111111</v>
      </c>
      <c r="J440" s="267">
        <f>IFERROR(__xludf.DUMMYFUNCTION("""COMPUTED_VALUE"""),68.0)</f>
        <v>68</v>
      </c>
      <c r="K440" s="200">
        <f>IFERROR(__xludf.DUMMYFUNCTION("""COMPUTED_VALUE"""),10.5)</f>
        <v>10.5</v>
      </c>
      <c r="L440" s="265" t="str">
        <f>IFERROR(__xludf.DUMMYFUNCTION("""COMPUTED_VALUE"""),"Action")</f>
        <v>Action</v>
      </c>
    </row>
    <row r="441">
      <c r="A441" s="269" t="str">
        <f>IFERROR(__xludf.DUMMYFUNCTION("""COMPUTED_VALUE"""),"Dungeons &amp; Dragons: Dark Alliance")</f>
        <v>Dungeons &amp; Dragons: Dark Alliance</v>
      </c>
      <c r="B441" s="195" t="str">
        <f>IFERROR(__xludf.DUMMYFUNCTION("""COMPUTED_VALUE"""),"Xbox / PC")</f>
        <v>Xbox / PC</v>
      </c>
      <c r="C441" s="195" t="str">
        <f>IFERROR(__xludf.DUMMYFUNCTION("""COMPUTED_VALUE"""),"Yes")</f>
        <v>Yes</v>
      </c>
      <c r="D441" s="196" t="str">
        <f>IFERROR(__xludf.DUMMYFUNCTION("""COMPUTED_VALUE"""),"Removed")</f>
        <v>Removed</v>
      </c>
      <c r="E441" s="271">
        <f>IFERROR(__xludf.DUMMYFUNCTION("""COMPUTED_VALUE"""),44369.0)</f>
        <v>44369</v>
      </c>
      <c r="F441" s="198">
        <f>IFERROR(__xludf.DUMMYFUNCTION("""COMPUTED_VALUE"""),44727.0)</f>
        <v>44727</v>
      </c>
      <c r="G441" s="199">
        <f>IFERROR(__xludf.DUMMYFUNCTION("""COMPUTED_VALUE"""),11.766666666666666)</f>
        <v>11.76666667</v>
      </c>
      <c r="H441" s="210">
        <f>IFERROR(__xludf.DUMMYFUNCTION("""COMPUTED_VALUE"""),44369.0)</f>
        <v>44369</v>
      </c>
      <c r="I441" s="199">
        <f>IFERROR(__xludf.DUMMYFUNCTION("""COMPUTED_VALUE"""),0.0)</f>
        <v>0</v>
      </c>
      <c r="J441" s="267">
        <f>IFERROR(__xludf.DUMMYFUNCTION("""COMPUTED_VALUE"""),55.5)</f>
        <v>55.5</v>
      </c>
      <c r="K441" s="267">
        <f>IFERROR(__xludf.DUMMYFUNCTION("""COMPUTED_VALUE"""),10.5)</f>
        <v>10.5</v>
      </c>
      <c r="L441" s="265" t="str">
        <f>IFERROR(__xludf.DUMMYFUNCTION("""COMPUTED_VALUE"""),"Action / RPG")</f>
        <v>Action / RPG</v>
      </c>
    </row>
    <row r="442">
      <c r="A442" s="269" t="str">
        <f>IFERROR(__xludf.DUMMYFUNCTION("""COMPUTED_VALUE"""),"GreedFall")</f>
        <v>GreedFall</v>
      </c>
      <c r="B442" s="195" t="str">
        <f>IFERROR(__xludf.DUMMYFUNCTION("""COMPUTED_VALUE"""),"Xbox / PC")</f>
        <v>Xbox / PC</v>
      </c>
      <c r="C442" s="195" t="str">
        <f>IFERROR(__xludf.DUMMYFUNCTION("""COMPUTED_VALUE"""),"Yes")</f>
        <v>Yes</v>
      </c>
      <c r="D442" s="196" t="str">
        <f>IFERROR(__xludf.DUMMYFUNCTION("""COMPUTED_VALUE"""),"Removed")</f>
        <v>Removed</v>
      </c>
      <c r="E442" s="271">
        <f>IFERROR(__xludf.DUMMYFUNCTION("""COMPUTED_VALUE"""),44175.0)</f>
        <v>44175</v>
      </c>
      <c r="F442" s="198">
        <f>IFERROR(__xludf.DUMMYFUNCTION("""COMPUTED_VALUE"""),44727.0)</f>
        <v>44727</v>
      </c>
      <c r="G442" s="199">
        <f>IFERROR(__xludf.DUMMYFUNCTION("""COMPUTED_VALUE"""),18.166666666666664)</f>
        <v>18.16666667</v>
      </c>
      <c r="H442" s="210">
        <f>IFERROR(__xludf.DUMMYFUNCTION("""COMPUTED_VALUE"""),43718.0)</f>
        <v>43718</v>
      </c>
      <c r="I442" s="199">
        <f>IFERROR(__xludf.DUMMYFUNCTION("""COMPUTED_VALUE"""),1.25)</f>
        <v>1.25</v>
      </c>
      <c r="J442" s="267">
        <f>IFERROR(__xludf.DUMMYFUNCTION("""COMPUTED_VALUE"""),78.0)</f>
        <v>78</v>
      </c>
      <c r="K442" s="267">
        <f>IFERROR(__xludf.DUMMYFUNCTION("""COMPUTED_VALUE"""),22.0)</f>
        <v>22</v>
      </c>
      <c r="L442" s="265" t="str">
        <f>IFERROR(__xludf.DUMMYFUNCTION("""COMPUTED_VALUE"""),"Action / RPG")</f>
        <v>Action / RPG</v>
      </c>
    </row>
    <row r="443">
      <c r="A443" s="190" t="str">
        <f>IFERROR(__xludf.DUMMYFUNCTION("""COMPUTED_VALUE"""),"Capsized")</f>
        <v>Capsized</v>
      </c>
      <c r="B443" s="195" t="str">
        <f>IFERROR(__xludf.DUMMYFUNCTION("""COMPUTED_VALUE"""),"PC")</f>
        <v>PC</v>
      </c>
      <c r="C443" s="195"/>
      <c r="D443" s="196" t="str">
        <f>IFERROR(__xludf.DUMMYFUNCTION("""COMPUTED_VALUE"""),"Removed")</f>
        <v>Removed</v>
      </c>
      <c r="E443" s="271">
        <f>IFERROR(__xludf.DUMMYFUNCTION("""COMPUTED_VALUE"""),44273.0)</f>
        <v>44273</v>
      </c>
      <c r="F443" s="271">
        <f>IFERROR(__xludf.DUMMYFUNCTION("""COMPUTED_VALUE"""),44725.0)</f>
        <v>44725</v>
      </c>
      <c r="G443" s="199">
        <f>IFERROR(__xludf.DUMMYFUNCTION("""COMPUTED_VALUE"""),14.833333333333334)</f>
        <v>14.83333333</v>
      </c>
      <c r="H443" s="210">
        <f>IFERROR(__xludf.DUMMYFUNCTION("""COMPUTED_VALUE"""),40662.0)</f>
        <v>40662</v>
      </c>
      <c r="I443" s="199">
        <f>IFERROR(__xludf.DUMMYFUNCTION("""COMPUTED_VALUE"""),9.886111111111111)</f>
        <v>9.886111111</v>
      </c>
      <c r="J443" s="267">
        <f>IFERROR(__xludf.DUMMYFUNCTION("""COMPUTED_VALUE"""),80.0)</f>
        <v>80</v>
      </c>
      <c r="K443" s="200">
        <f>IFERROR(__xludf.DUMMYFUNCTION("""COMPUTED_VALUE"""),4.0)</f>
        <v>4</v>
      </c>
      <c r="L443" s="265" t="str">
        <f>IFERROR(__xludf.DUMMYFUNCTION("""COMPUTED_VALUE"""),"Action / Platformer")</f>
        <v>Action / Platformer</v>
      </c>
    </row>
    <row r="444">
      <c r="A444" s="269" t="str">
        <f>IFERROR(__xludf.DUMMYFUNCTION("""COMPUTED_VALUE"""),"Cryptark")</f>
        <v>Cryptark</v>
      </c>
      <c r="B444" s="195" t="str">
        <f>IFERROR(__xludf.DUMMYFUNCTION("""COMPUTED_VALUE"""),"PC")</f>
        <v>PC</v>
      </c>
      <c r="C444" s="195"/>
      <c r="D444" s="196" t="str">
        <f>IFERROR(__xludf.DUMMYFUNCTION("""COMPUTED_VALUE"""),"Removed")</f>
        <v>Removed</v>
      </c>
      <c r="E444" s="271">
        <f>IFERROR(__xludf.DUMMYFUNCTION("""COMPUTED_VALUE"""),44273.0)</f>
        <v>44273</v>
      </c>
      <c r="F444" s="198">
        <f>IFERROR(__xludf.DUMMYFUNCTION("""COMPUTED_VALUE"""),44725.0)</f>
        <v>44725</v>
      </c>
      <c r="G444" s="199">
        <f>IFERROR(__xludf.DUMMYFUNCTION("""COMPUTED_VALUE"""),14.833333333333334)</f>
        <v>14.83333333</v>
      </c>
      <c r="H444" s="210">
        <f>IFERROR(__xludf.DUMMYFUNCTION("""COMPUTED_VALUE"""),42906.0)</f>
        <v>42906</v>
      </c>
      <c r="I444" s="199">
        <f>IFERROR(__xludf.DUMMYFUNCTION("""COMPUTED_VALUE"""),3.7444444444444445)</f>
        <v>3.744444444</v>
      </c>
      <c r="J444" s="267">
        <f>IFERROR(__xludf.DUMMYFUNCTION("""COMPUTED_VALUE"""),80.0)</f>
        <v>80</v>
      </c>
      <c r="K444" s="200">
        <f>IFERROR(__xludf.DUMMYFUNCTION("""COMPUTED_VALUE"""),4.5)</f>
        <v>4.5</v>
      </c>
      <c r="L444" s="265" t="str">
        <f>IFERROR(__xludf.DUMMYFUNCTION("""COMPUTED_VALUE"""),"Action / Dual-Joystick Shooter")</f>
        <v>Action / Dual-Joystick Shooter</v>
      </c>
    </row>
    <row r="445">
      <c r="A445" s="269" t="str">
        <f>IFERROR(__xludf.DUMMYFUNCTION("""COMPUTED_VALUE"""),"Diluvion: Resubmerged")</f>
        <v>Diluvion: Resubmerged</v>
      </c>
      <c r="B445" s="195" t="str">
        <f>IFERROR(__xludf.DUMMYFUNCTION("""COMPUTED_VALUE"""),"PC")</f>
        <v>PC</v>
      </c>
      <c r="C445" s="195"/>
      <c r="D445" s="196" t="str">
        <f>IFERROR(__xludf.DUMMYFUNCTION("""COMPUTED_VALUE"""),"Removed")</f>
        <v>Removed</v>
      </c>
      <c r="E445" s="271">
        <f>IFERROR(__xludf.DUMMYFUNCTION("""COMPUTED_VALUE"""),44273.0)</f>
        <v>44273</v>
      </c>
      <c r="F445" s="198">
        <f>IFERROR(__xludf.DUMMYFUNCTION("""COMPUTED_VALUE"""),44725.0)</f>
        <v>44725</v>
      </c>
      <c r="G445" s="199">
        <f>IFERROR(__xludf.DUMMYFUNCTION("""COMPUTED_VALUE"""),14.833333333333334)</f>
        <v>14.83333333</v>
      </c>
      <c r="H445" s="210">
        <f>IFERROR(__xludf.DUMMYFUNCTION("""COMPUTED_VALUE"""),42747.0)</f>
        <v>42747</v>
      </c>
      <c r="I445" s="199">
        <f>IFERROR(__xludf.DUMMYFUNCTION("""COMPUTED_VALUE"""),4.183333333333334)</f>
        <v>4.183333333</v>
      </c>
      <c r="J445" s="200">
        <f>IFERROR(__xludf.DUMMYFUNCTION("""COMPUTED_VALUE"""),66.0)</f>
        <v>66</v>
      </c>
      <c r="K445" s="200">
        <f>IFERROR(__xludf.DUMMYFUNCTION("""COMPUTED_VALUE"""),13.0)</f>
        <v>13</v>
      </c>
      <c r="L445" s="265" t="str">
        <f>IFERROR(__xludf.DUMMYFUNCTION("""COMPUTED_VALUE"""),"Adventure / Puzzle")</f>
        <v>Adventure / Puzzle</v>
      </c>
    </row>
    <row r="446">
      <c r="A446" s="269" t="str">
        <f>IFERROR(__xludf.DUMMYFUNCTION("""COMPUTED_VALUE"""),"Dungeons of Dredmor: Complete")</f>
        <v>Dungeons of Dredmor: Complete</v>
      </c>
      <c r="B446" s="195" t="str">
        <f>IFERROR(__xludf.DUMMYFUNCTION("""COMPUTED_VALUE"""),"PC")</f>
        <v>PC</v>
      </c>
      <c r="C446" s="195"/>
      <c r="D446" s="196" t="str">
        <f>IFERROR(__xludf.DUMMYFUNCTION("""COMPUTED_VALUE"""),"Removed")</f>
        <v>Removed</v>
      </c>
      <c r="E446" s="271">
        <f>IFERROR(__xludf.DUMMYFUNCTION("""COMPUTED_VALUE"""),44273.0)</f>
        <v>44273</v>
      </c>
      <c r="F446" s="266">
        <f>IFERROR(__xludf.DUMMYFUNCTION("""COMPUTED_VALUE"""),44725.0)</f>
        <v>44725</v>
      </c>
      <c r="G446" s="199">
        <f>IFERROR(__xludf.DUMMYFUNCTION("""COMPUTED_VALUE"""),14.833333333333334)</f>
        <v>14.83333333</v>
      </c>
      <c r="H446" s="210">
        <f>IFERROR(__xludf.DUMMYFUNCTION("""COMPUTED_VALUE"""),40737.0)</f>
        <v>40737</v>
      </c>
      <c r="I446" s="199">
        <f>IFERROR(__xludf.DUMMYFUNCTION("""COMPUTED_VALUE"""),9.680555555555555)</f>
        <v>9.680555556</v>
      </c>
      <c r="J446" s="267">
        <f>IFERROR(__xludf.DUMMYFUNCTION("""COMPUTED_VALUE"""),79.0)</f>
        <v>79</v>
      </c>
      <c r="K446" s="267">
        <f>IFERROR(__xludf.DUMMYFUNCTION("""COMPUTED_VALUE"""),17.0)</f>
        <v>17</v>
      </c>
      <c r="L446" s="201" t="str">
        <f>IFERROR(__xludf.DUMMYFUNCTION("""COMPUTED_VALUE"""),"Strategy / RPG")</f>
        <v>Strategy / RPG</v>
      </c>
    </row>
    <row r="447">
      <c r="A447" s="269" t="str">
        <f>IFERROR(__xludf.DUMMYFUNCTION("""COMPUTED_VALUE"""),"Epistory: Typing Chronicles")</f>
        <v>Epistory: Typing Chronicles</v>
      </c>
      <c r="B447" s="195" t="str">
        <f>IFERROR(__xludf.DUMMYFUNCTION("""COMPUTED_VALUE"""),"PC")</f>
        <v>PC</v>
      </c>
      <c r="C447" s="196"/>
      <c r="D447" s="196" t="str">
        <f>IFERROR(__xludf.DUMMYFUNCTION("""COMPUTED_VALUE"""),"Removed")</f>
        <v>Removed</v>
      </c>
      <c r="E447" s="271">
        <f>IFERROR(__xludf.DUMMYFUNCTION("""COMPUTED_VALUE"""),44273.0)</f>
        <v>44273</v>
      </c>
      <c r="F447" s="198">
        <f>IFERROR(__xludf.DUMMYFUNCTION("""COMPUTED_VALUE"""),44725.0)</f>
        <v>44725</v>
      </c>
      <c r="G447" s="199">
        <f>IFERROR(__xludf.DUMMYFUNCTION("""COMPUTED_VALUE"""),14.833333333333334)</f>
        <v>14.83333333</v>
      </c>
      <c r="H447" s="210">
        <f>IFERROR(__xludf.DUMMYFUNCTION("""COMPUTED_VALUE"""),42459.0)</f>
        <v>42459</v>
      </c>
      <c r="I447" s="199">
        <f>IFERROR(__xludf.DUMMYFUNCTION("""COMPUTED_VALUE"""),4.966666666666667)</f>
        <v>4.966666667</v>
      </c>
      <c r="J447" s="267">
        <f>IFERROR(__xludf.DUMMYFUNCTION("""COMPUTED_VALUE"""),74.0)</f>
        <v>74</v>
      </c>
      <c r="K447" s="200">
        <f>IFERROR(__xludf.DUMMYFUNCTION("""COMPUTED_VALUE"""),5.5)</f>
        <v>5.5</v>
      </c>
      <c r="L447" s="265" t="str">
        <f>IFERROR(__xludf.DUMMYFUNCTION("""COMPUTED_VALUE"""),"Adventure / Educational / Text Adventure")</f>
        <v>Adventure / Educational / Text Adventure</v>
      </c>
    </row>
    <row r="448">
      <c r="A448" s="269" t="str">
        <f>IFERROR(__xludf.DUMMYFUNCTION("""COMPUTED_VALUE"""),"HIVESWAP: Act 1")</f>
        <v>HIVESWAP: Act 1</v>
      </c>
      <c r="B448" s="195" t="str">
        <f>IFERROR(__xludf.DUMMYFUNCTION("""COMPUTED_VALUE"""),"PC")</f>
        <v>PC</v>
      </c>
      <c r="C448" s="195"/>
      <c r="D448" s="196" t="str">
        <f>IFERROR(__xludf.DUMMYFUNCTION("""COMPUTED_VALUE"""),"Removed")</f>
        <v>Removed</v>
      </c>
      <c r="E448" s="271">
        <f>IFERROR(__xludf.DUMMYFUNCTION("""COMPUTED_VALUE"""),44273.0)</f>
        <v>44273</v>
      </c>
      <c r="F448" s="198">
        <f>IFERROR(__xludf.DUMMYFUNCTION("""COMPUTED_VALUE"""),44725.0)</f>
        <v>44725</v>
      </c>
      <c r="G448" s="199">
        <f>IFERROR(__xludf.DUMMYFUNCTION("""COMPUTED_VALUE"""),14.833333333333334)</f>
        <v>14.83333333</v>
      </c>
      <c r="H448" s="210">
        <f>IFERROR(__xludf.DUMMYFUNCTION("""COMPUTED_VALUE"""),42992.0)</f>
        <v>42992</v>
      </c>
      <c r="I448" s="199">
        <f>IFERROR(__xludf.DUMMYFUNCTION("""COMPUTED_VALUE"""),3.511111111111111)</f>
        <v>3.511111111</v>
      </c>
      <c r="J448" s="267">
        <f>IFERROR(__xludf.DUMMYFUNCTION("""COMPUTED_VALUE"""),77.5)</f>
        <v>77.5</v>
      </c>
      <c r="K448" s="200">
        <f>IFERROR(__xludf.DUMMYFUNCTION("""COMPUTED_VALUE"""),2.5)</f>
        <v>2.5</v>
      </c>
      <c r="L448" s="265" t="str">
        <f>IFERROR(__xludf.DUMMYFUNCTION("""COMPUTED_VALUE"""),"Adventure")</f>
        <v>Adventure</v>
      </c>
    </row>
    <row r="449">
      <c r="A449" s="269" t="str">
        <f>IFERROR(__xludf.DUMMYFUNCTION("""COMPUTED_VALUE"""),"Stealth Bastard Deluxe")</f>
        <v>Stealth Bastard Deluxe</v>
      </c>
      <c r="B449" s="195" t="str">
        <f>IFERROR(__xludf.DUMMYFUNCTION("""COMPUTED_VALUE"""),"PC")</f>
        <v>PC</v>
      </c>
      <c r="C449" s="195"/>
      <c r="D449" s="196" t="str">
        <f>IFERROR(__xludf.DUMMYFUNCTION("""COMPUTED_VALUE"""),"Removed")</f>
        <v>Removed</v>
      </c>
      <c r="E449" s="271">
        <f>IFERROR(__xludf.DUMMYFUNCTION("""COMPUTED_VALUE"""),44273.0)</f>
        <v>44273</v>
      </c>
      <c r="F449" s="198">
        <f>IFERROR(__xludf.DUMMYFUNCTION("""COMPUTED_VALUE"""),44725.0)</f>
        <v>44725</v>
      </c>
      <c r="G449" s="199">
        <f>IFERROR(__xludf.DUMMYFUNCTION("""COMPUTED_VALUE"""),14.833333333333334)</f>
        <v>14.83333333</v>
      </c>
      <c r="H449" s="210">
        <f>IFERROR(__xludf.DUMMYFUNCTION("""COMPUTED_VALUE"""),41241.0)</f>
        <v>41241</v>
      </c>
      <c r="I449" s="199">
        <f>IFERROR(__xludf.DUMMYFUNCTION("""COMPUTED_VALUE"""),8.305555555555555)</f>
        <v>8.305555556</v>
      </c>
      <c r="J449" s="267">
        <f>IFERROR(__xludf.DUMMYFUNCTION("""COMPUTED_VALUE"""),80.0)</f>
        <v>80</v>
      </c>
      <c r="K449" s="267">
        <f>IFERROR(__xludf.DUMMYFUNCTION("""COMPUTED_VALUE"""),6.0)</f>
        <v>6</v>
      </c>
      <c r="L449" s="265" t="str">
        <f>IFERROR(__xludf.DUMMYFUNCTION("""COMPUTED_VALUE"""),"Puzzle / Platformer")</f>
        <v>Puzzle / Platformer</v>
      </c>
    </row>
    <row r="450">
      <c r="A450" s="269" t="str">
        <f>IFERROR(__xludf.DUMMYFUNCTION("""COMPUTED_VALUE"""),"Farming Simulator 19")</f>
        <v>Farming Simulator 19</v>
      </c>
      <c r="B450" s="195" t="str">
        <f>IFERROR(__xludf.DUMMYFUNCTION("""COMPUTED_VALUE"""),"Xbox / PC")</f>
        <v>Xbox / PC</v>
      </c>
      <c r="C450" s="196" t="str">
        <f>IFERROR(__xludf.DUMMYFUNCTION("""COMPUTED_VALUE"""),"Touch Controls")</f>
        <v>Touch Controls</v>
      </c>
      <c r="D450" s="196" t="str">
        <f>IFERROR(__xludf.DUMMYFUNCTION("""COMPUTED_VALUE"""),"Removed")</f>
        <v>Removed</v>
      </c>
      <c r="E450" s="271">
        <f>IFERROR(__xludf.DUMMYFUNCTION("""COMPUTED_VALUE"""),44392.0)</f>
        <v>44392</v>
      </c>
      <c r="F450" s="198">
        <f>IFERROR(__xludf.DUMMYFUNCTION("""COMPUTED_VALUE"""),44712.0)</f>
        <v>44712</v>
      </c>
      <c r="G450" s="199">
        <f>IFERROR(__xludf.DUMMYFUNCTION("""COMPUTED_VALUE"""),10.5)</f>
        <v>10.5</v>
      </c>
      <c r="H450" s="210">
        <f>IFERROR(__xludf.DUMMYFUNCTION("""COMPUTED_VALUE"""),43424.0)</f>
        <v>43424</v>
      </c>
      <c r="I450" s="199">
        <f>IFERROR(__xludf.DUMMYFUNCTION("""COMPUTED_VALUE"""),2.6527777777777777)</f>
        <v>2.652777778</v>
      </c>
      <c r="J450" s="267">
        <f>IFERROR(__xludf.DUMMYFUNCTION("""COMPUTED_VALUE"""),75.0)</f>
        <v>75</v>
      </c>
      <c r="K450" s="200">
        <f>IFERROR(__xludf.DUMMYFUNCTION("""COMPUTED_VALUE"""),159.0)</f>
        <v>159</v>
      </c>
      <c r="L450" s="265" t="str">
        <f>IFERROR(__xludf.DUMMYFUNCTION("""COMPUTED_VALUE"""),"Simulation")</f>
        <v>Simulation</v>
      </c>
    </row>
    <row r="451">
      <c r="A451" s="269" t="str">
        <f>IFERROR(__xludf.DUMMYFUNCTION("""COMPUTED_VALUE"""),"SpellForce 3: Soul Harvest")</f>
        <v>SpellForce 3: Soul Harvest</v>
      </c>
      <c r="B451" s="195" t="str">
        <f>IFERROR(__xludf.DUMMYFUNCTION("""COMPUTED_VALUE"""),"PC")</f>
        <v>PC</v>
      </c>
      <c r="C451" s="195"/>
      <c r="D451" s="196" t="str">
        <f>IFERROR(__xludf.DUMMYFUNCTION("""COMPUTED_VALUE"""),"Removed")</f>
        <v>Removed</v>
      </c>
      <c r="E451" s="271">
        <f>IFERROR(__xludf.DUMMYFUNCTION("""COMPUTED_VALUE"""),44343.0)</f>
        <v>44343</v>
      </c>
      <c r="F451" s="198">
        <f>IFERROR(__xludf.DUMMYFUNCTION("""COMPUTED_VALUE"""),44712.0)</f>
        <v>44712</v>
      </c>
      <c r="G451" s="199">
        <f>IFERROR(__xludf.DUMMYFUNCTION("""COMPUTED_VALUE"""),12.1)</f>
        <v>12.1</v>
      </c>
      <c r="H451" s="210">
        <f>IFERROR(__xludf.DUMMYFUNCTION("""COMPUTED_VALUE"""),43613.0)</f>
        <v>43613</v>
      </c>
      <c r="I451" s="199">
        <f>IFERROR(__xludf.DUMMYFUNCTION("""COMPUTED_VALUE"""),1.9972222222222222)</f>
        <v>1.997222222</v>
      </c>
      <c r="J451" s="267">
        <f>IFERROR(__xludf.DUMMYFUNCTION("""COMPUTED_VALUE"""),75.0)</f>
        <v>75</v>
      </c>
      <c r="K451" s="267">
        <f>IFERROR(__xludf.DUMMYFUNCTION("""COMPUTED_VALUE"""),21.5)</f>
        <v>21.5</v>
      </c>
      <c r="L451" s="265" t="str">
        <f>IFERROR(__xludf.DUMMYFUNCTION("""COMPUTED_VALUE"""),"Strategy / RPG / Real-Time Strategy")</f>
        <v>Strategy / RPG / Real-Time Strategy</v>
      </c>
    </row>
    <row r="452">
      <c r="A452" s="269" t="str">
        <f>IFERROR(__xludf.DUMMYFUNCTION("""COMPUTED_VALUE"""),"Knockout City")</f>
        <v>Knockout City</v>
      </c>
      <c r="B452" s="195" t="str">
        <f>IFERROR(__xludf.DUMMYFUNCTION("""COMPUTED_VALUE"""),"Xbox / PC")</f>
        <v>Xbox / PC</v>
      </c>
      <c r="C452" s="196"/>
      <c r="D452" s="196" t="str">
        <f>IFERROR(__xludf.DUMMYFUNCTION("""COMPUTED_VALUE"""),"Removed")</f>
        <v>Removed</v>
      </c>
      <c r="E452" s="271">
        <f>IFERROR(__xludf.DUMMYFUNCTION("""COMPUTED_VALUE"""),44337.0)</f>
        <v>44337</v>
      </c>
      <c r="F452" s="198">
        <f>IFERROR(__xludf.DUMMYFUNCTION("""COMPUTED_VALUE"""),44712.0)</f>
        <v>44712</v>
      </c>
      <c r="G452" s="199">
        <f>IFERROR(__xludf.DUMMYFUNCTION("""COMPUTED_VALUE"""),12.299999999999999)</f>
        <v>12.3</v>
      </c>
      <c r="H452" s="210">
        <f>IFERROR(__xludf.DUMMYFUNCTION("""COMPUTED_VALUE"""),44337.0)</f>
        <v>44337</v>
      </c>
      <c r="I452" s="199">
        <f>IFERROR(__xludf.DUMMYFUNCTION("""COMPUTED_VALUE"""),0.0)</f>
        <v>0</v>
      </c>
      <c r="J452" s="267">
        <f>IFERROR(__xludf.DUMMYFUNCTION("""COMPUTED_VALUE"""),81.66666666666667)</f>
        <v>81.66666667</v>
      </c>
      <c r="K452" s="267">
        <f>IFERROR(__xludf.DUMMYFUNCTION("""COMPUTED_VALUE"""),33.5)</f>
        <v>33.5</v>
      </c>
      <c r="L452" s="265" t="str">
        <f>IFERROR(__xludf.DUMMYFUNCTION("""COMPUTED_VALUE"""),"Action / Sports")</f>
        <v>Action / Sports</v>
      </c>
    </row>
    <row r="453">
      <c r="A453" s="269" t="str">
        <f>IFERROR(__xludf.DUMMYFUNCTION("""COMPUTED_VALUE"""),"Yes, Your Grace")</f>
        <v>Yes, Your Grace</v>
      </c>
      <c r="B453" s="195" t="str">
        <f>IFERROR(__xludf.DUMMYFUNCTION("""COMPUTED_VALUE"""),"Xbox / PC")</f>
        <v>Xbox / PC</v>
      </c>
      <c r="C453" s="195" t="str">
        <f>IFERROR(__xludf.DUMMYFUNCTION("""COMPUTED_VALUE"""),"Touch Controls")</f>
        <v>Touch Controls</v>
      </c>
      <c r="D453" s="196" t="str">
        <f>IFERROR(__xludf.DUMMYFUNCTION("""COMPUTED_VALUE"""),"Removed")</f>
        <v>Removed</v>
      </c>
      <c r="E453" s="271">
        <f>IFERROR(__xludf.DUMMYFUNCTION("""COMPUTED_VALUE"""),44168.0)</f>
        <v>44168</v>
      </c>
      <c r="F453" s="198">
        <f>IFERROR(__xludf.DUMMYFUNCTION("""COMPUTED_VALUE"""),44712.0)</f>
        <v>44712</v>
      </c>
      <c r="G453" s="199">
        <f>IFERROR(__xludf.DUMMYFUNCTION("""COMPUTED_VALUE"""),17.9)</f>
        <v>17.9</v>
      </c>
      <c r="H453" s="210">
        <f>IFERROR(__xludf.DUMMYFUNCTION("""COMPUTED_VALUE"""),43896.0)</f>
        <v>43896</v>
      </c>
      <c r="I453" s="199">
        <f>IFERROR(__xludf.DUMMYFUNCTION("""COMPUTED_VALUE"""),0.7416666666666667)</f>
        <v>0.7416666667</v>
      </c>
      <c r="J453" s="200">
        <f>IFERROR(__xludf.DUMMYFUNCTION("""COMPUTED_VALUE"""),75.0)</f>
        <v>75</v>
      </c>
      <c r="K453" s="200">
        <f>IFERROR(__xludf.DUMMYFUNCTION("""COMPUTED_VALUE"""),5.5)</f>
        <v>5.5</v>
      </c>
      <c r="L453" s="265" t="str">
        <f>IFERROR(__xludf.DUMMYFUNCTION("""COMPUTED_VALUE"""),"Adventure / RPG / Simulation")</f>
        <v>Adventure / RPG / Simulation</v>
      </c>
    </row>
    <row r="454">
      <c r="A454" s="269" t="str">
        <f>IFERROR(__xludf.DUMMYFUNCTION("""COMPUTED_VALUE"""),"NHL 20")</f>
        <v>NHL 20</v>
      </c>
      <c r="B454" s="195" t="str">
        <f>IFERROR(__xludf.DUMMYFUNCTION("""COMPUTED_VALUE"""),"Xbox")</f>
        <v>Xbox</v>
      </c>
      <c r="C454" s="196"/>
      <c r="D454" s="196" t="str">
        <f>IFERROR(__xludf.DUMMYFUNCTION("""COMPUTED_VALUE"""),"Removed")</f>
        <v>Removed</v>
      </c>
      <c r="E454" s="271">
        <f>IFERROR(__xludf.DUMMYFUNCTION("""COMPUTED_VALUE"""),44145.0)</f>
        <v>44145</v>
      </c>
      <c r="F454" s="198">
        <f>IFERROR(__xludf.DUMMYFUNCTION("""COMPUTED_VALUE"""),44712.0)</f>
        <v>44712</v>
      </c>
      <c r="G454" s="199">
        <f>IFERROR(__xludf.DUMMYFUNCTION("""COMPUTED_VALUE"""),18.666666666666668)</f>
        <v>18.66666667</v>
      </c>
      <c r="H454" s="210">
        <f>IFERROR(__xludf.DUMMYFUNCTION("""COMPUTED_VALUE"""),43721.0)</f>
        <v>43721</v>
      </c>
      <c r="I454" s="199">
        <f>IFERROR(__xludf.DUMMYFUNCTION("""COMPUTED_VALUE"""),1.1583333333333334)</f>
        <v>1.158333333</v>
      </c>
      <c r="J454" s="267">
        <f>IFERROR(__xludf.DUMMYFUNCTION("""COMPUTED_VALUE"""),85.0)</f>
        <v>85</v>
      </c>
      <c r="K454" s="200">
        <f>IFERROR(__xludf.DUMMYFUNCTION("""COMPUTED_VALUE"""),44.5)</f>
        <v>44.5</v>
      </c>
      <c r="L454" s="265" t="str">
        <f>IFERROR(__xludf.DUMMYFUNCTION("""COMPUTED_VALUE"""),"Sports / Hockey")</f>
        <v>Sports / Hockey</v>
      </c>
    </row>
    <row r="455">
      <c r="A455" s="269" t="str">
        <f>IFERROR(__xludf.DUMMYFUNCTION("""COMPUTED_VALUE"""),"Resident Evil 7: Biohazard")</f>
        <v>Resident Evil 7: Biohazard</v>
      </c>
      <c r="B455" s="195" t="str">
        <f>IFERROR(__xludf.DUMMYFUNCTION("""COMPUTED_VALUE"""),"Xbox / PC")</f>
        <v>Xbox / PC</v>
      </c>
      <c r="C455" s="196" t="str">
        <f>IFERROR(__xludf.DUMMYFUNCTION("""COMPUTED_VALUE"""),"Yes")</f>
        <v>Yes</v>
      </c>
      <c r="D455" s="196" t="str">
        <f>IFERROR(__xludf.DUMMYFUNCTION("""COMPUTED_VALUE"""),"Removed")</f>
        <v>Removed</v>
      </c>
      <c r="E455" s="271">
        <f>IFERROR(__xludf.DUMMYFUNCTION("""COMPUTED_VALUE"""),44077.0)</f>
        <v>44077</v>
      </c>
      <c r="F455" s="198">
        <f>IFERROR(__xludf.DUMMYFUNCTION("""COMPUTED_VALUE"""),44712.0)</f>
        <v>44712</v>
      </c>
      <c r="G455" s="199">
        <f>IFERROR(__xludf.DUMMYFUNCTION("""COMPUTED_VALUE"""),20.9)</f>
        <v>20.9</v>
      </c>
      <c r="H455" s="210">
        <f>IFERROR(__xludf.DUMMYFUNCTION("""COMPUTED_VALUE"""),42759.0)</f>
        <v>42759</v>
      </c>
      <c r="I455" s="199">
        <f>IFERROR(__xludf.DUMMYFUNCTION("""COMPUTED_VALUE"""),3.6083333333333334)</f>
        <v>3.608333333</v>
      </c>
      <c r="J455" s="267">
        <f>IFERROR(__xludf.DUMMYFUNCTION("""COMPUTED_VALUE"""),84.5)</f>
        <v>84.5</v>
      </c>
      <c r="K455" s="200">
        <f>IFERROR(__xludf.DUMMYFUNCTION("""COMPUTED_VALUE"""),9.5)</f>
        <v>9.5</v>
      </c>
      <c r="L455" s="265" t="str">
        <f>IFERROR(__xludf.DUMMYFUNCTION("""COMPUTED_VALUE"""),"Action-Adventure")</f>
        <v>Action-Adventure</v>
      </c>
    </row>
    <row r="456">
      <c r="A456" s="269" t="str">
        <f>IFERROR(__xludf.DUMMYFUNCTION("""COMPUTED_VALUE"""),"The Catch: Carp &amp; Coarse Fishing")</f>
        <v>The Catch: Carp &amp; Coarse Fishing</v>
      </c>
      <c r="B456" s="195" t="str">
        <f>IFERROR(__xludf.DUMMYFUNCTION("""COMPUTED_VALUE"""),"Xbox / PC")</f>
        <v>Xbox / PC</v>
      </c>
      <c r="C456" s="195" t="str">
        <f>IFERROR(__xludf.DUMMYFUNCTION("""COMPUTED_VALUE"""),"Yes")</f>
        <v>Yes</v>
      </c>
      <c r="D456" s="196" t="str">
        <f>IFERROR(__xludf.DUMMYFUNCTION("""COMPUTED_VALUE"""),"Removed")</f>
        <v>Removed</v>
      </c>
      <c r="E456" s="271">
        <f>IFERROR(__xludf.DUMMYFUNCTION("""COMPUTED_VALUE"""),44336.0)</f>
        <v>44336</v>
      </c>
      <c r="F456" s="198">
        <f>IFERROR(__xludf.DUMMYFUNCTION("""COMPUTED_VALUE"""),44696.0)</f>
        <v>44696</v>
      </c>
      <c r="G456" s="199">
        <f>IFERROR(__xludf.DUMMYFUNCTION("""COMPUTED_VALUE"""),11.833333333333334)</f>
        <v>11.83333333</v>
      </c>
      <c r="H456" s="210">
        <f>IFERROR(__xludf.DUMMYFUNCTION("""COMPUTED_VALUE"""),44012.0)</f>
        <v>44012</v>
      </c>
      <c r="I456" s="199">
        <f>IFERROR(__xludf.DUMMYFUNCTION("""COMPUTED_VALUE"""),0.8888888888888888)</f>
        <v>0.8888888889</v>
      </c>
      <c r="J456" s="200">
        <f>IFERROR(__xludf.DUMMYFUNCTION("""COMPUTED_VALUE"""),90.0)</f>
        <v>90</v>
      </c>
      <c r="K456" s="200"/>
      <c r="L456" s="265" t="str">
        <f>IFERROR(__xludf.DUMMYFUNCTION("""COMPUTED_VALUE"""),"Sports / Fishing")</f>
        <v>Sports / Fishing</v>
      </c>
    </row>
    <row r="457">
      <c r="A457" s="269" t="str">
        <f>IFERROR(__xludf.DUMMYFUNCTION("""COMPUTED_VALUE"""),"The Wild at Heart")</f>
        <v>The Wild at Heart</v>
      </c>
      <c r="B457" s="195" t="str">
        <f>IFERROR(__xludf.DUMMYFUNCTION("""COMPUTED_VALUE"""),"Xbox / PC")</f>
        <v>Xbox / PC</v>
      </c>
      <c r="C457" s="196" t="str">
        <f>IFERROR(__xludf.DUMMYFUNCTION("""COMPUTED_VALUE"""),"Touch Controls")</f>
        <v>Touch Controls</v>
      </c>
      <c r="D457" s="196" t="str">
        <f>IFERROR(__xludf.DUMMYFUNCTION("""COMPUTED_VALUE"""),"Removed")</f>
        <v>Removed</v>
      </c>
      <c r="E457" s="271">
        <f>IFERROR(__xludf.DUMMYFUNCTION("""COMPUTED_VALUE"""),44336.0)</f>
        <v>44336</v>
      </c>
      <c r="F457" s="271">
        <f>IFERROR(__xludf.DUMMYFUNCTION("""COMPUTED_VALUE"""),44696.0)</f>
        <v>44696</v>
      </c>
      <c r="G457" s="199">
        <f>IFERROR(__xludf.DUMMYFUNCTION("""COMPUTED_VALUE"""),11.833333333333334)</f>
        <v>11.83333333</v>
      </c>
      <c r="H457" s="210">
        <f>IFERROR(__xludf.DUMMYFUNCTION("""COMPUTED_VALUE"""),44336.0)</f>
        <v>44336</v>
      </c>
      <c r="I457" s="199">
        <f>IFERROR(__xludf.DUMMYFUNCTION("""COMPUTED_VALUE"""),0.0)</f>
        <v>0</v>
      </c>
      <c r="J457" s="200">
        <f>IFERROR(__xludf.DUMMYFUNCTION("""COMPUTED_VALUE"""),76.0)</f>
        <v>76</v>
      </c>
      <c r="K457" s="200">
        <f>IFERROR(__xludf.DUMMYFUNCTION("""COMPUTED_VALUE"""),11.5)</f>
        <v>11.5</v>
      </c>
      <c r="L457" s="265" t="str">
        <f>IFERROR(__xludf.DUMMYFUNCTION("""COMPUTED_VALUE"""),"Strategy / Adventure")</f>
        <v>Strategy / Adventure</v>
      </c>
    </row>
    <row r="458">
      <c r="A458" s="190" t="str">
        <f>IFERROR(__xludf.DUMMYFUNCTION("""COMPUTED_VALUE"""),"Final Fantasy X/X-2 HD Remaster")</f>
        <v>Final Fantasy X/X-2 HD Remaster</v>
      </c>
      <c r="B458" s="195" t="str">
        <f>IFERROR(__xludf.DUMMYFUNCTION("""COMPUTED_VALUE"""),"Xbox / PC")</f>
        <v>Xbox / PC</v>
      </c>
      <c r="C458" s="195"/>
      <c r="D458" s="196" t="str">
        <f>IFERROR(__xludf.DUMMYFUNCTION("""COMPUTED_VALUE"""),"Removed")</f>
        <v>Removed</v>
      </c>
      <c r="E458" s="271">
        <f>IFERROR(__xludf.DUMMYFUNCTION("""COMPUTED_VALUE"""),44329.0)</f>
        <v>44329</v>
      </c>
      <c r="F458" s="198">
        <f>IFERROR(__xludf.DUMMYFUNCTION("""COMPUTED_VALUE"""),44696.0)</f>
        <v>44696</v>
      </c>
      <c r="G458" s="199">
        <f>IFERROR(__xludf.DUMMYFUNCTION("""COMPUTED_VALUE"""),12.066666666666666)</f>
        <v>12.06666667</v>
      </c>
      <c r="H458" s="210">
        <f>IFERROR(__xludf.DUMMYFUNCTION("""COMPUTED_VALUE"""),41634.0)</f>
        <v>41634</v>
      </c>
      <c r="I458" s="199">
        <f>IFERROR(__xludf.DUMMYFUNCTION("""COMPUTED_VALUE"""),7.3805555555555555)</f>
        <v>7.380555556</v>
      </c>
      <c r="J458" s="267">
        <f>IFERROR(__xludf.DUMMYFUNCTION("""COMPUTED_VALUE"""),84.0)</f>
        <v>84</v>
      </c>
      <c r="K458" s="200">
        <f>IFERROR(__xludf.DUMMYFUNCTION("""COMPUTED_VALUE"""),78.5)</f>
        <v>78.5</v>
      </c>
      <c r="L458" s="265" t="str">
        <f>IFERROR(__xludf.DUMMYFUNCTION("""COMPUTED_VALUE"""),"RPG / Compilation")</f>
        <v>RPG / Compilation</v>
      </c>
    </row>
    <row r="459">
      <c r="A459" s="269" t="str">
        <f>IFERROR(__xludf.DUMMYFUNCTION("""COMPUTED_VALUE"""),"Steep")</f>
        <v>Steep</v>
      </c>
      <c r="B459" s="195" t="str">
        <f>IFERROR(__xludf.DUMMYFUNCTION("""COMPUTED_VALUE"""),"Xbox")</f>
        <v>Xbox</v>
      </c>
      <c r="C459" s="195" t="str">
        <f>IFERROR(__xludf.DUMMYFUNCTION("""COMPUTED_VALUE"""),"Touch Controls")</f>
        <v>Touch Controls</v>
      </c>
      <c r="D459" s="196" t="str">
        <f>IFERROR(__xludf.DUMMYFUNCTION("""COMPUTED_VALUE"""),"Removed")</f>
        <v>Removed</v>
      </c>
      <c r="E459" s="271">
        <f>IFERROR(__xludf.DUMMYFUNCTION("""COMPUTED_VALUE"""),44322.0)</f>
        <v>44322</v>
      </c>
      <c r="F459" s="198">
        <f>IFERROR(__xludf.DUMMYFUNCTION("""COMPUTED_VALUE"""),44696.0)</f>
        <v>44696</v>
      </c>
      <c r="G459" s="199">
        <f>IFERROR(__xludf.DUMMYFUNCTION("""COMPUTED_VALUE"""),12.299999999999999)</f>
        <v>12.3</v>
      </c>
      <c r="H459" s="210">
        <f>IFERROR(__xludf.DUMMYFUNCTION("""COMPUTED_VALUE"""),42705.0)</f>
        <v>42705</v>
      </c>
      <c r="I459" s="199">
        <f>IFERROR(__xludf.DUMMYFUNCTION("""COMPUTED_VALUE"""),4.430555555555555)</f>
        <v>4.430555556</v>
      </c>
      <c r="J459" s="267">
        <f>IFERROR(__xludf.DUMMYFUNCTION("""COMPUTED_VALUE"""),72.0)</f>
        <v>72</v>
      </c>
      <c r="K459" s="267">
        <f>IFERROR(__xludf.DUMMYFUNCTION("""COMPUTED_VALUE"""),12.0)</f>
        <v>12</v>
      </c>
      <c r="L459" s="265" t="str">
        <f>IFERROR(__xludf.DUMMYFUNCTION("""COMPUTED_VALUE"""),"Sports / Snowboarding/Skiing")</f>
        <v>Sports / Snowboarding/Skiing</v>
      </c>
    </row>
    <row r="460">
      <c r="A460" s="269" t="str">
        <f>IFERROR(__xludf.DUMMYFUNCTION("""COMPUTED_VALUE"""),"Grand Theft Auto: San Andreas - The Definitive Edition")</f>
        <v>Grand Theft Auto: San Andreas - The Definitive Edition</v>
      </c>
      <c r="B460" s="195" t="str">
        <f>IFERROR(__xludf.DUMMYFUNCTION("""COMPUTED_VALUE"""),"Xbox")</f>
        <v>Xbox</v>
      </c>
      <c r="C460" s="196" t="str">
        <f>IFERROR(__xludf.DUMMYFUNCTION("""COMPUTED_VALUE"""),"Yes")</f>
        <v>Yes</v>
      </c>
      <c r="D460" s="196" t="str">
        <f>IFERROR(__xludf.DUMMYFUNCTION("""COMPUTED_VALUE"""),"Removed")</f>
        <v>Removed</v>
      </c>
      <c r="E460" s="271">
        <f>IFERROR(__xludf.DUMMYFUNCTION("""COMPUTED_VALUE"""),44511.0)</f>
        <v>44511</v>
      </c>
      <c r="F460" s="198">
        <f>IFERROR(__xludf.DUMMYFUNCTION("""COMPUTED_VALUE"""),44691.0)</f>
        <v>44691</v>
      </c>
      <c r="G460" s="199">
        <f>IFERROR(__xludf.DUMMYFUNCTION("""COMPUTED_VALUE"""),5.966666666666667)</f>
        <v>5.966666667</v>
      </c>
      <c r="H460" s="210">
        <f>IFERROR(__xludf.DUMMYFUNCTION("""COMPUTED_VALUE"""),44511.0)</f>
        <v>44511</v>
      </c>
      <c r="I460" s="199">
        <f>IFERROR(__xludf.DUMMYFUNCTION("""COMPUTED_VALUE"""),0.0)</f>
        <v>0</v>
      </c>
      <c r="J460" s="267">
        <f>IFERROR(__xludf.DUMMYFUNCTION("""COMPUTED_VALUE"""),52.5)</f>
        <v>52.5</v>
      </c>
      <c r="K460" s="267">
        <f>IFERROR(__xludf.DUMMYFUNCTION("""COMPUTED_VALUE"""),31.0)</f>
        <v>31</v>
      </c>
      <c r="L460" s="265" t="str">
        <f>IFERROR(__xludf.DUMMYFUNCTION("""COMPUTED_VALUE"""),"Driving/Racing / Compilation / Action-Adventure")</f>
        <v>Driving/Racing / Compilation / Action-Adventure</v>
      </c>
    </row>
    <row r="461">
      <c r="A461" s="269" t="str">
        <f>IFERROR(__xludf.DUMMYFUNCTION("""COMPUTED_VALUE"""),"Outlast 2")</f>
        <v>Outlast 2</v>
      </c>
      <c r="B461" s="195" t="str">
        <f>IFERROR(__xludf.DUMMYFUNCTION("""COMPUTED_VALUE"""),"Xbox / PC")</f>
        <v>Xbox / PC</v>
      </c>
      <c r="C461" s="195" t="str">
        <f>IFERROR(__xludf.DUMMYFUNCTION("""COMPUTED_VALUE"""),"Touch Controls")</f>
        <v>Touch Controls</v>
      </c>
      <c r="D461" s="196" t="str">
        <f>IFERROR(__xludf.DUMMYFUNCTION("""COMPUTED_VALUE"""),"Removed")</f>
        <v>Removed</v>
      </c>
      <c r="E461" s="271">
        <f>IFERROR(__xludf.DUMMYFUNCTION("""COMPUTED_VALUE"""),44322.0)</f>
        <v>44322</v>
      </c>
      <c r="F461" s="198">
        <f>IFERROR(__xludf.DUMMYFUNCTION("""COMPUTED_VALUE"""),44681.0)</f>
        <v>44681</v>
      </c>
      <c r="G461" s="199">
        <f>IFERROR(__xludf.DUMMYFUNCTION("""COMPUTED_VALUE"""),11.799999999999999)</f>
        <v>11.8</v>
      </c>
      <c r="H461" s="210">
        <f>IFERROR(__xludf.DUMMYFUNCTION("""COMPUTED_VALUE"""),42850.0)</f>
        <v>42850</v>
      </c>
      <c r="I461" s="199">
        <f>IFERROR(__xludf.DUMMYFUNCTION("""COMPUTED_VALUE"""),4.030555555555556)</f>
        <v>4.030555556</v>
      </c>
      <c r="J461" s="267">
        <f>IFERROR(__xludf.DUMMYFUNCTION("""COMPUTED_VALUE"""),76.0)</f>
        <v>76</v>
      </c>
      <c r="K461" s="200">
        <f>IFERROR(__xludf.DUMMYFUNCTION("""COMPUTED_VALUE"""),7.5)</f>
        <v>7.5</v>
      </c>
      <c r="L461" s="265" t="str">
        <f>IFERROR(__xludf.DUMMYFUNCTION("""COMPUTED_VALUE"""),"Adventure")</f>
        <v>Adventure</v>
      </c>
    </row>
    <row r="462">
      <c r="A462" s="269" t="str">
        <f>IFERROR(__xludf.DUMMYFUNCTION("""COMPUTED_VALUE"""),"Cricket 19")</f>
        <v>Cricket 19</v>
      </c>
      <c r="B462" s="195" t="str">
        <f>IFERROR(__xludf.DUMMYFUNCTION("""COMPUTED_VALUE"""),"Xbox / PC")</f>
        <v>Xbox / PC</v>
      </c>
      <c r="C462" s="195" t="str">
        <f>IFERROR(__xludf.DUMMYFUNCTION("""COMPUTED_VALUE"""),"Yes")</f>
        <v>Yes</v>
      </c>
      <c r="D462" s="196" t="str">
        <f>IFERROR(__xludf.DUMMYFUNCTION("""COMPUTED_VALUE"""),"Removed")</f>
        <v>Removed</v>
      </c>
      <c r="E462" s="271">
        <f>IFERROR(__xludf.DUMMYFUNCTION("""COMPUTED_VALUE"""),44126.0)</f>
        <v>44126</v>
      </c>
      <c r="F462" s="198">
        <f>IFERROR(__xludf.DUMMYFUNCTION("""COMPUTED_VALUE"""),44681.0)</f>
        <v>44681</v>
      </c>
      <c r="G462" s="199">
        <f>IFERROR(__xludf.DUMMYFUNCTION("""COMPUTED_VALUE"""),18.266666666666666)</f>
        <v>18.26666667</v>
      </c>
      <c r="H462" s="210">
        <f>IFERROR(__xludf.DUMMYFUNCTION("""COMPUTED_VALUE"""),43613.0)</f>
        <v>43613</v>
      </c>
      <c r="I462" s="199">
        <f>IFERROR(__xludf.DUMMYFUNCTION("""COMPUTED_VALUE"""),1.4)</f>
        <v>1.4</v>
      </c>
      <c r="J462" s="267">
        <f>IFERROR(__xludf.DUMMYFUNCTION("""COMPUTED_VALUE"""),73.0)</f>
        <v>73</v>
      </c>
      <c r="K462" s="200">
        <f>IFERROR(__xludf.DUMMYFUNCTION("""COMPUTED_VALUE"""),20.0)</f>
        <v>20</v>
      </c>
      <c r="L462" s="265" t="str">
        <f>IFERROR(__xludf.DUMMYFUNCTION("""COMPUTED_VALUE"""),"Sports")</f>
        <v>Sports</v>
      </c>
    </row>
    <row r="463">
      <c r="A463" s="269" t="str">
        <f>IFERROR(__xludf.DUMMYFUNCTION("""COMPUTED_VALUE"""),"Streets of Rage 4")</f>
        <v>Streets of Rage 4</v>
      </c>
      <c r="B463" s="195" t="str">
        <f>IFERROR(__xludf.DUMMYFUNCTION("""COMPUTED_VALUE"""),"Xbox / PC")</f>
        <v>Xbox / PC</v>
      </c>
      <c r="C463" s="195" t="str">
        <f>IFERROR(__xludf.DUMMYFUNCTION("""COMPUTED_VALUE"""),"Touch Controls")</f>
        <v>Touch Controls</v>
      </c>
      <c r="D463" s="196" t="str">
        <f>IFERROR(__xludf.DUMMYFUNCTION("""COMPUTED_VALUE"""),"Removed")</f>
        <v>Removed</v>
      </c>
      <c r="E463" s="271">
        <f>IFERROR(__xludf.DUMMYFUNCTION("""COMPUTED_VALUE"""),43951.0)</f>
        <v>43951</v>
      </c>
      <c r="F463" s="198">
        <f>IFERROR(__xludf.DUMMYFUNCTION("""COMPUTED_VALUE"""),44681.0)</f>
        <v>44681</v>
      </c>
      <c r="G463" s="199">
        <f>IFERROR(__xludf.DUMMYFUNCTION("""COMPUTED_VALUE"""),24.0)</f>
        <v>24</v>
      </c>
      <c r="H463" s="210">
        <f>IFERROR(__xludf.DUMMYFUNCTION("""COMPUTED_VALUE"""),43951.0)</f>
        <v>43951</v>
      </c>
      <c r="I463" s="199">
        <f>IFERROR(__xludf.DUMMYFUNCTION("""COMPUTED_VALUE"""),0.0)</f>
        <v>0</v>
      </c>
      <c r="J463" s="200">
        <f>IFERROR(__xludf.DUMMYFUNCTION("""COMPUTED_VALUE"""),81.0)</f>
        <v>81</v>
      </c>
      <c r="K463" s="200">
        <f>IFERROR(__xludf.DUMMYFUNCTION("""COMPUTED_VALUE"""),3.0)</f>
        <v>3</v>
      </c>
      <c r="L463" s="265" t="str">
        <f>IFERROR(__xludf.DUMMYFUNCTION("""COMPUTED_VALUE"""),"Brawler")</f>
        <v>Brawler</v>
      </c>
    </row>
    <row r="464">
      <c r="A464" s="269" t="str">
        <f>IFERROR(__xludf.DUMMYFUNCTION("""COMPUTED_VALUE"""),"F1 2019")</f>
        <v>F1 2019</v>
      </c>
      <c r="B464" s="195" t="str">
        <f>IFERROR(__xludf.DUMMYFUNCTION("""COMPUTED_VALUE"""),"Xbox / PC")</f>
        <v>Xbox / PC</v>
      </c>
      <c r="C464" s="196" t="str">
        <f>IFERROR(__xludf.DUMMYFUNCTION("""COMPUTED_VALUE"""),"Yes")</f>
        <v>Yes</v>
      </c>
      <c r="D464" s="196" t="str">
        <f>IFERROR(__xludf.DUMMYFUNCTION("""COMPUTED_VALUE"""),"Removed")</f>
        <v>Removed</v>
      </c>
      <c r="E464" s="271">
        <f>IFERROR(__xludf.DUMMYFUNCTION("""COMPUTED_VALUE"""),44042.0)</f>
        <v>44042</v>
      </c>
      <c r="F464" s="198">
        <f>IFERROR(__xludf.DUMMYFUNCTION("""COMPUTED_VALUE"""),44669.0)</f>
        <v>44669</v>
      </c>
      <c r="G464" s="199">
        <f>IFERROR(__xludf.DUMMYFUNCTION("""COMPUTED_VALUE"""),20.599999999999998)</f>
        <v>20.6</v>
      </c>
      <c r="H464" s="210">
        <f>IFERROR(__xludf.DUMMYFUNCTION("""COMPUTED_VALUE"""),43644.0)</f>
        <v>43644</v>
      </c>
      <c r="I464" s="199">
        <f>IFERROR(__xludf.DUMMYFUNCTION("""COMPUTED_VALUE"""),1.0888888888888888)</f>
        <v>1.088888889</v>
      </c>
      <c r="J464" s="267">
        <f>IFERROR(__xludf.DUMMYFUNCTION("""COMPUTED_VALUE"""),88.0)</f>
        <v>88</v>
      </c>
      <c r="K464" s="200">
        <f>IFERROR(__xludf.DUMMYFUNCTION("""COMPUTED_VALUE"""),15.0)</f>
        <v>15</v>
      </c>
      <c r="L464" s="265" t="str">
        <f>IFERROR(__xludf.DUMMYFUNCTION("""COMPUTED_VALUE"""),"Driving/Racing")</f>
        <v>Driving/Racing</v>
      </c>
    </row>
    <row r="465">
      <c r="A465" s="269" t="str">
        <f>IFERROR(__xludf.DUMMYFUNCTION("""COMPUTED_VALUE"""),"MLB The Show 21")</f>
        <v>MLB The Show 21</v>
      </c>
      <c r="B465" s="195" t="str">
        <f>IFERROR(__xludf.DUMMYFUNCTION("""COMPUTED_VALUE"""),"Xbox")</f>
        <v>Xbox</v>
      </c>
      <c r="C465" s="196" t="str">
        <f>IFERROR(__xludf.DUMMYFUNCTION("""COMPUTED_VALUE"""),"Yes")</f>
        <v>Yes</v>
      </c>
      <c r="D465" s="196" t="str">
        <f>IFERROR(__xludf.DUMMYFUNCTION("""COMPUTED_VALUE"""),"Removed")</f>
        <v>Removed</v>
      </c>
      <c r="E465" s="271">
        <f>IFERROR(__xludf.DUMMYFUNCTION("""COMPUTED_VALUE"""),44306.0)</f>
        <v>44306</v>
      </c>
      <c r="F465" s="198">
        <f>IFERROR(__xludf.DUMMYFUNCTION("""COMPUTED_VALUE"""),44666.0)</f>
        <v>44666</v>
      </c>
      <c r="G465" s="199">
        <f>IFERROR(__xludf.DUMMYFUNCTION("""COMPUTED_VALUE"""),11.833333333333334)</f>
        <v>11.83333333</v>
      </c>
      <c r="H465" s="210">
        <f>IFERROR(__xludf.DUMMYFUNCTION("""COMPUTED_VALUE"""),44306.0)</f>
        <v>44306</v>
      </c>
      <c r="I465" s="199">
        <f>IFERROR(__xludf.DUMMYFUNCTION("""COMPUTED_VALUE"""),0.0)</f>
        <v>0</v>
      </c>
      <c r="J465" s="267">
        <f>IFERROR(__xludf.DUMMYFUNCTION("""COMPUTED_VALUE"""),80.0)</f>
        <v>80</v>
      </c>
      <c r="K465" s="267">
        <f>IFERROR(__xludf.DUMMYFUNCTION("""COMPUTED_VALUE"""),80.0)</f>
        <v>80</v>
      </c>
      <c r="L465" s="265" t="str">
        <f>IFERROR(__xludf.DUMMYFUNCTION("""COMPUTED_VALUE"""),"Sports / Baseball")</f>
        <v>Sports / Baseball</v>
      </c>
    </row>
    <row r="466">
      <c r="A466" s="269" t="str">
        <f>IFERROR(__xludf.DUMMYFUNCTION("""COMPUTED_VALUE"""),"Pathway")</f>
        <v>Pathway</v>
      </c>
      <c r="B466" s="195" t="str">
        <f>IFERROR(__xludf.DUMMYFUNCTION("""COMPUTED_VALUE"""),"PC")</f>
        <v>PC</v>
      </c>
      <c r="C466" s="195"/>
      <c r="D466" s="196" t="str">
        <f>IFERROR(__xludf.DUMMYFUNCTION("""COMPUTED_VALUE"""),"Removed")</f>
        <v>Removed</v>
      </c>
      <c r="E466" s="271">
        <f>IFERROR(__xludf.DUMMYFUNCTION("""COMPUTED_VALUE"""),44301.0)</f>
        <v>44301</v>
      </c>
      <c r="F466" s="198">
        <f>IFERROR(__xludf.DUMMYFUNCTION("""COMPUTED_VALUE"""),44666.0)</f>
        <v>44666</v>
      </c>
      <c r="G466" s="199">
        <f>IFERROR(__xludf.DUMMYFUNCTION("""COMPUTED_VALUE"""),12.0)</f>
        <v>12</v>
      </c>
      <c r="H466" s="210">
        <f>IFERROR(__xludf.DUMMYFUNCTION("""COMPUTED_VALUE"""),43566.0)</f>
        <v>43566</v>
      </c>
      <c r="I466" s="199">
        <f>IFERROR(__xludf.DUMMYFUNCTION("""COMPUTED_VALUE"""),2.011111111111111)</f>
        <v>2.011111111</v>
      </c>
      <c r="J466" s="267">
        <f>IFERROR(__xludf.DUMMYFUNCTION("""COMPUTED_VALUE"""),68.0)</f>
        <v>68</v>
      </c>
      <c r="K466" s="267">
        <f>IFERROR(__xludf.DUMMYFUNCTION("""COMPUTED_VALUE"""),10.0)</f>
        <v>10</v>
      </c>
      <c r="L466" s="265" t="str">
        <f>IFERROR(__xludf.DUMMYFUNCTION("""COMPUTED_VALUE"""),"Strategy / RPG")</f>
        <v>Strategy / RPG</v>
      </c>
    </row>
    <row r="467">
      <c r="A467" s="269" t="str">
        <f>IFERROR(__xludf.DUMMYFUNCTION("""COMPUTED_VALUE"""),"Rain on Your Parade")</f>
        <v>Rain on Your Parade</v>
      </c>
      <c r="B467" s="195" t="str">
        <f>IFERROR(__xludf.DUMMYFUNCTION("""COMPUTED_VALUE"""),"Xbox / PC")</f>
        <v>Xbox / PC</v>
      </c>
      <c r="C467" s="195" t="str">
        <f>IFERROR(__xludf.DUMMYFUNCTION("""COMPUTED_VALUE"""),"Touch Controls")</f>
        <v>Touch Controls</v>
      </c>
      <c r="D467" s="196" t="str">
        <f>IFERROR(__xludf.DUMMYFUNCTION("""COMPUTED_VALUE"""),"Removed")</f>
        <v>Removed</v>
      </c>
      <c r="E467" s="271">
        <f>IFERROR(__xludf.DUMMYFUNCTION("""COMPUTED_VALUE"""),44301.0)</f>
        <v>44301</v>
      </c>
      <c r="F467" s="198">
        <f>IFERROR(__xludf.DUMMYFUNCTION("""COMPUTED_VALUE"""),44666.0)</f>
        <v>44666</v>
      </c>
      <c r="G467" s="199">
        <f>IFERROR(__xludf.DUMMYFUNCTION("""COMPUTED_VALUE"""),12.0)</f>
        <v>12</v>
      </c>
      <c r="H467" s="210">
        <f>IFERROR(__xludf.DUMMYFUNCTION("""COMPUTED_VALUE"""),44301.0)</f>
        <v>44301</v>
      </c>
      <c r="I467" s="199">
        <f>IFERROR(__xludf.DUMMYFUNCTION("""COMPUTED_VALUE"""),0.0)</f>
        <v>0</v>
      </c>
      <c r="J467" s="267">
        <f>IFERROR(__xludf.DUMMYFUNCTION("""COMPUTED_VALUE"""),78.0)</f>
        <v>78</v>
      </c>
      <c r="K467" s="267">
        <f>IFERROR(__xludf.DUMMYFUNCTION("""COMPUTED_VALUE"""),2.5)</f>
        <v>2.5</v>
      </c>
      <c r="L467" s="265" t="str">
        <f>IFERROR(__xludf.DUMMYFUNCTION("""COMPUTED_VALUE"""),"Adventure")</f>
        <v>Adventure</v>
      </c>
    </row>
    <row r="468">
      <c r="A468" s="269" t="str">
        <f>IFERROR(__xludf.DUMMYFUNCTION("""COMPUTED_VALUE"""),"Destiny 2: Forsaken, Shadowkeep, Beyond Light")</f>
        <v>Destiny 2: Forsaken, Shadowkeep, Beyond Light</v>
      </c>
      <c r="B468" s="195" t="str">
        <f>IFERROR(__xludf.DUMMYFUNCTION("""COMPUTED_VALUE"""),"PC")</f>
        <v>PC</v>
      </c>
      <c r="C468" s="195"/>
      <c r="D468" s="196" t="str">
        <f>IFERROR(__xludf.DUMMYFUNCTION("""COMPUTED_VALUE"""),"Removed")</f>
        <v>Removed</v>
      </c>
      <c r="E468" s="271">
        <f>IFERROR(__xludf.DUMMYFUNCTION("""COMPUTED_VALUE"""),44096.0)</f>
        <v>44096</v>
      </c>
      <c r="F468" s="198">
        <f>IFERROR(__xludf.DUMMYFUNCTION("""COMPUTED_VALUE"""),44662.0)</f>
        <v>44662</v>
      </c>
      <c r="G468" s="199">
        <f>IFERROR(__xludf.DUMMYFUNCTION("""COMPUTED_VALUE"""),18.633333333333333)</f>
        <v>18.63333333</v>
      </c>
      <c r="H468" s="210">
        <f>IFERROR(__xludf.DUMMYFUNCTION("""COMPUTED_VALUE"""),42984.0)</f>
        <v>42984</v>
      </c>
      <c r="I468" s="199">
        <f>IFERROR(__xludf.DUMMYFUNCTION("""COMPUTED_VALUE"""),3.0444444444444443)</f>
        <v>3.044444444</v>
      </c>
      <c r="J468" s="267">
        <f>IFERROR(__xludf.DUMMYFUNCTION("""COMPUTED_VALUE"""),87.0)</f>
        <v>87</v>
      </c>
      <c r="K468" s="267">
        <f>IFERROR(__xludf.DUMMYFUNCTION("""COMPUTED_VALUE"""),12.0)</f>
        <v>12</v>
      </c>
      <c r="L468" s="265" t="str">
        <f>IFERROR(__xludf.DUMMYFUNCTION("""COMPUTED_VALUE"""),"RPG / First-Person Shooter")</f>
        <v>RPG / First-Person Shooter</v>
      </c>
    </row>
    <row r="469">
      <c r="A469" s="269" t="str">
        <f>IFERROR(__xludf.DUMMYFUNCTION("""COMPUTED_VALUE"""),"Narita Boy")</f>
        <v>Narita Boy</v>
      </c>
      <c r="B469" s="195" t="str">
        <f>IFERROR(__xludf.DUMMYFUNCTION("""COMPUTED_VALUE"""),"Xbox / PC")</f>
        <v>Xbox / PC</v>
      </c>
      <c r="C469" s="195" t="str">
        <f>IFERROR(__xludf.DUMMYFUNCTION("""COMPUTED_VALUE"""),"Touch Controls")</f>
        <v>Touch Controls</v>
      </c>
      <c r="D469" s="196" t="str">
        <f>IFERROR(__xludf.DUMMYFUNCTION("""COMPUTED_VALUE"""),"Removed")</f>
        <v>Removed</v>
      </c>
      <c r="E469" s="271">
        <f>IFERROR(__xludf.DUMMYFUNCTION("""COMPUTED_VALUE"""),44285.0)</f>
        <v>44285</v>
      </c>
      <c r="F469" s="198">
        <f>IFERROR(__xludf.DUMMYFUNCTION("""COMPUTED_VALUE"""),44651.0)</f>
        <v>44651</v>
      </c>
      <c r="G469" s="199">
        <f>IFERROR(__xludf.DUMMYFUNCTION("""COMPUTED_VALUE"""),12.0)</f>
        <v>12</v>
      </c>
      <c r="H469" s="210">
        <f>IFERROR(__xludf.DUMMYFUNCTION("""COMPUTED_VALUE"""),44285.0)</f>
        <v>44285</v>
      </c>
      <c r="I469" s="199">
        <f>IFERROR(__xludf.DUMMYFUNCTION("""COMPUTED_VALUE"""),0.0)</f>
        <v>0</v>
      </c>
      <c r="J469" s="267">
        <f>IFERROR(__xludf.DUMMYFUNCTION("""COMPUTED_VALUE"""),73.0)</f>
        <v>73</v>
      </c>
      <c r="K469" s="267">
        <f>IFERROR(__xludf.DUMMYFUNCTION("""COMPUTED_VALUE"""),7.0)</f>
        <v>7</v>
      </c>
      <c r="L469" s="265" t="str">
        <f>IFERROR(__xludf.DUMMYFUNCTION("""COMPUTED_VALUE"""),"Fighting / Puzzle / Platformer")</f>
        <v>Fighting / Puzzle / Platformer</v>
      </c>
    </row>
    <row r="470">
      <c r="A470" s="269" t="str">
        <f>IFERROR(__xludf.DUMMYFUNCTION("""COMPUTED_VALUE"""),"Madden NFL 20")</f>
        <v>Madden NFL 20</v>
      </c>
      <c r="B470" s="195" t="str">
        <f>IFERROR(__xludf.DUMMYFUNCTION("""COMPUTED_VALUE"""),"Xbox / PC")</f>
        <v>Xbox / PC</v>
      </c>
      <c r="C470" s="195" t="str">
        <f>IFERROR(__xludf.DUMMYFUNCTION("""COMPUTED_VALUE"""),"Yes")</f>
        <v>Yes</v>
      </c>
      <c r="D470" s="196" t="str">
        <f>IFERROR(__xludf.DUMMYFUNCTION("""COMPUTED_VALUE"""),"Removed")</f>
        <v>Removed</v>
      </c>
      <c r="E470" s="271">
        <f>IFERROR(__xludf.DUMMYFUNCTION("""COMPUTED_VALUE"""),44145.0)</f>
        <v>44145</v>
      </c>
      <c r="F470" s="198">
        <f>IFERROR(__xludf.DUMMYFUNCTION("""COMPUTED_VALUE"""),44651.0)</f>
        <v>44651</v>
      </c>
      <c r="G470" s="199">
        <f>IFERROR(__xludf.DUMMYFUNCTION("""COMPUTED_VALUE"""),16.666666666666664)</f>
        <v>16.66666667</v>
      </c>
      <c r="H470" s="210">
        <f>IFERROR(__xludf.DUMMYFUNCTION("""COMPUTED_VALUE"""),43676.0)</f>
        <v>43676</v>
      </c>
      <c r="I470" s="199">
        <f>IFERROR(__xludf.DUMMYFUNCTION("""COMPUTED_VALUE"""),1.2777777777777777)</f>
        <v>1.277777778</v>
      </c>
      <c r="J470" s="267">
        <f>IFERROR(__xludf.DUMMYFUNCTION("""COMPUTED_VALUE"""),79.0)</f>
        <v>79</v>
      </c>
      <c r="K470" s="267">
        <f>IFERROR(__xludf.DUMMYFUNCTION("""COMPUTED_VALUE"""),53.5)</f>
        <v>53.5</v>
      </c>
      <c r="L470" s="265" t="str">
        <f>IFERROR(__xludf.DUMMYFUNCTION("""COMPUTED_VALUE"""),"Sports / Football")</f>
        <v>Sports / Football</v>
      </c>
    </row>
    <row r="471">
      <c r="A471" s="269" t="str">
        <f>IFERROR(__xludf.DUMMYFUNCTION("""COMPUTED_VALUE"""),"Shadow Warrior 2")</f>
        <v>Shadow Warrior 2</v>
      </c>
      <c r="B471" s="195" t="str">
        <f>IFERROR(__xludf.DUMMYFUNCTION("""COMPUTED_VALUE"""),"Xbox / PC")</f>
        <v>Xbox / PC</v>
      </c>
      <c r="C471" s="195" t="str">
        <f>IFERROR(__xludf.DUMMYFUNCTION("""COMPUTED_VALUE"""),"Yes")</f>
        <v>Yes</v>
      </c>
      <c r="D471" s="196" t="str">
        <f>IFERROR(__xludf.DUMMYFUNCTION("""COMPUTED_VALUE"""),"Removed")</f>
        <v>Removed</v>
      </c>
      <c r="E471" s="271">
        <f>IFERROR(__xludf.DUMMYFUNCTION("""COMPUTED_VALUE"""),43454.0)</f>
        <v>43454</v>
      </c>
      <c r="F471" s="198">
        <f>IFERROR(__xludf.DUMMYFUNCTION("""COMPUTED_VALUE"""),44651.0)</f>
        <v>44651</v>
      </c>
      <c r="G471" s="199">
        <f>IFERROR(__xludf.DUMMYFUNCTION("""COMPUTED_VALUE"""),39.33333333333333)</f>
        <v>39.33333333</v>
      </c>
      <c r="H471" s="210">
        <f>IFERROR(__xludf.DUMMYFUNCTION("""COMPUTED_VALUE"""),42656.0)</f>
        <v>42656</v>
      </c>
      <c r="I471" s="199">
        <f>IFERROR(__xludf.DUMMYFUNCTION("""COMPUTED_VALUE"""),2.186111111111111)</f>
        <v>2.186111111</v>
      </c>
      <c r="J471" s="267">
        <f>IFERROR(__xludf.DUMMYFUNCTION("""COMPUTED_VALUE"""),78.0)</f>
        <v>78</v>
      </c>
      <c r="K471" s="200">
        <f>IFERROR(__xludf.DUMMYFUNCTION("""COMPUTED_VALUE"""),7.5)</f>
        <v>7.5</v>
      </c>
      <c r="L471" s="265" t="str">
        <f>IFERROR(__xludf.DUMMYFUNCTION("""COMPUTED_VALUE"""),"RPG / First-Person Shooter")</f>
        <v>RPG / First-Person Shooter</v>
      </c>
    </row>
    <row r="472">
      <c r="A472" s="190" t="str">
        <f>IFERROR(__xludf.DUMMYFUNCTION("""COMPUTED_VALUE"""),"Aragami")</f>
        <v>Aragami</v>
      </c>
      <c r="B472" s="195" t="str">
        <f>IFERROR(__xludf.DUMMYFUNCTION("""COMPUTED_VALUE"""),"PC")</f>
        <v>PC</v>
      </c>
      <c r="C472" s="195"/>
      <c r="D472" s="196" t="str">
        <f>IFERROR(__xludf.DUMMYFUNCTION("""COMPUTED_VALUE"""),"Removed")</f>
        <v>Removed</v>
      </c>
      <c r="E472" s="271">
        <f>IFERROR(__xludf.DUMMYFUNCTION("""COMPUTED_VALUE"""),44273.0)</f>
        <v>44273</v>
      </c>
      <c r="F472" s="198">
        <f>IFERROR(__xludf.DUMMYFUNCTION("""COMPUTED_VALUE"""),44648.0)</f>
        <v>44648</v>
      </c>
      <c r="G472" s="167">
        <f>IFERROR(__xludf.DUMMYFUNCTION("""COMPUTED_VALUE"""),12.333333333333332)</f>
        <v>12.33333333</v>
      </c>
      <c r="H472" s="210">
        <f>IFERROR(__xludf.DUMMYFUNCTION("""COMPUTED_VALUE"""),42647.0)</f>
        <v>42647</v>
      </c>
      <c r="I472" s="199">
        <f>IFERROR(__xludf.DUMMYFUNCTION("""COMPUTED_VALUE"""),4.455555555555556)</f>
        <v>4.455555556</v>
      </c>
      <c r="J472" s="267">
        <f>IFERROR(__xludf.DUMMYFUNCTION("""COMPUTED_VALUE"""),71.0)</f>
        <v>71</v>
      </c>
      <c r="K472" s="200">
        <f>IFERROR(__xludf.DUMMYFUNCTION("""COMPUTED_VALUE"""),6.5)</f>
        <v>6.5</v>
      </c>
      <c r="L472" s="265" t="str">
        <f>IFERROR(__xludf.DUMMYFUNCTION("""COMPUTED_VALUE"""),"Action")</f>
        <v>Action</v>
      </c>
    </row>
    <row r="473">
      <c r="A473" s="269" t="str">
        <f>IFERROR(__xludf.DUMMYFUNCTION("""COMPUTED_VALUE"""),"Lost Castle")</f>
        <v>Lost Castle</v>
      </c>
      <c r="B473" s="195" t="str">
        <f>IFERROR(__xludf.DUMMYFUNCTION("""COMPUTED_VALUE"""),"PC")</f>
        <v>PC</v>
      </c>
      <c r="C473" s="195"/>
      <c r="D473" s="196" t="str">
        <f>IFERROR(__xludf.DUMMYFUNCTION("""COMPUTED_VALUE"""),"Removed")</f>
        <v>Removed</v>
      </c>
      <c r="E473" s="271">
        <f>IFERROR(__xludf.DUMMYFUNCTION("""COMPUTED_VALUE"""),44273.0)</f>
        <v>44273</v>
      </c>
      <c r="F473" s="198">
        <f>IFERROR(__xludf.DUMMYFUNCTION("""COMPUTED_VALUE"""),44648.0)</f>
        <v>44648</v>
      </c>
      <c r="G473" s="199">
        <f>IFERROR(__xludf.DUMMYFUNCTION("""COMPUTED_VALUE"""),12.333333333333332)</f>
        <v>12.33333333</v>
      </c>
      <c r="H473" s="210">
        <f>IFERROR(__xludf.DUMMYFUNCTION("""COMPUTED_VALUE"""),43124.0)</f>
        <v>43124</v>
      </c>
      <c r="I473" s="199">
        <f>IFERROR(__xludf.DUMMYFUNCTION("""COMPUTED_VALUE"""),3.15)</f>
        <v>3.15</v>
      </c>
      <c r="J473" s="267">
        <f>IFERROR(__xludf.DUMMYFUNCTION("""COMPUTED_VALUE"""),65.0)</f>
        <v>65</v>
      </c>
      <c r="K473" s="267">
        <f>IFERROR(__xludf.DUMMYFUNCTION("""COMPUTED_VALUE"""),12.0)</f>
        <v>12</v>
      </c>
      <c r="L473" s="265" t="str">
        <f>IFERROR(__xludf.DUMMYFUNCTION("""COMPUTED_VALUE"""),"RPG")</f>
        <v>RPG</v>
      </c>
    </row>
    <row r="474">
      <c r="A474" s="269" t="str">
        <f>IFERROR(__xludf.DUMMYFUNCTION("""COMPUTED_VALUE"""),"The Sexy Brutale")</f>
        <v>The Sexy Brutale</v>
      </c>
      <c r="B474" s="195" t="str">
        <f>IFERROR(__xludf.DUMMYFUNCTION("""COMPUTED_VALUE"""),"PC")</f>
        <v>PC</v>
      </c>
      <c r="C474" s="196"/>
      <c r="D474" s="196" t="str">
        <f>IFERROR(__xludf.DUMMYFUNCTION("""COMPUTED_VALUE"""),"Removed")</f>
        <v>Removed</v>
      </c>
      <c r="E474" s="271">
        <f>IFERROR(__xludf.DUMMYFUNCTION("""COMPUTED_VALUE"""),44273.0)</f>
        <v>44273</v>
      </c>
      <c r="F474" s="198">
        <f>IFERROR(__xludf.DUMMYFUNCTION("""COMPUTED_VALUE"""),44648.0)</f>
        <v>44648</v>
      </c>
      <c r="G474" s="199">
        <f>IFERROR(__xludf.DUMMYFUNCTION("""COMPUTED_VALUE"""),12.333333333333332)</f>
        <v>12.33333333</v>
      </c>
      <c r="H474" s="210">
        <f>IFERROR(__xludf.DUMMYFUNCTION("""COMPUTED_VALUE"""),42836.0)</f>
        <v>42836</v>
      </c>
      <c r="I474" s="199">
        <f>IFERROR(__xludf.DUMMYFUNCTION("""COMPUTED_VALUE"""),3.936111111111111)</f>
        <v>3.936111111</v>
      </c>
      <c r="J474" s="267">
        <f>IFERROR(__xludf.DUMMYFUNCTION("""COMPUTED_VALUE"""),83.0)</f>
        <v>83</v>
      </c>
      <c r="K474" s="200">
        <f>IFERROR(__xludf.DUMMYFUNCTION("""COMPUTED_VALUE"""),6.0)</f>
        <v>6</v>
      </c>
      <c r="L474" s="265" t="str">
        <f>IFERROR(__xludf.DUMMYFUNCTION("""COMPUTED_VALUE"""),"Adventure")</f>
        <v>Adventure</v>
      </c>
    </row>
    <row r="475">
      <c r="A475" s="269" t="str">
        <f>IFERROR(__xludf.DUMMYFUNCTION("""COMPUTED_VALUE"""),"Torchlight III")</f>
        <v>Torchlight III</v>
      </c>
      <c r="B475" s="195" t="str">
        <f>IFERROR(__xludf.DUMMYFUNCTION("""COMPUTED_VALUE"""),"Xbox / PC")</f>
        <v>Xbox / PC</v>
      </c>
      <c r="C475" s="196" t="str">
        <f>IFERROR(__xludf.DUMMYFUNCTION("""COMPUTED_VALUE"""),"Touch Controls")</f>
        <v>Touch Controls</v>
      </c>
      <c r="D475" s="196" t="str">
        <f>IFERROR(__xludf.DUMMYFUNCTION("""COMPUTED_VALUE"""),"Removed")</f>
        <v>Removed</v>
      </c>
      <c r="E475" s="271">
        <f>IFERROR(__xludf.DUMMYFUNCTION("""COMPUTED_VALUE"""),44210.0)</f>
        <v>44210</v>
      </c>
      <c r="F475" s="198">
        <f>IFERROR(__xludf.DUMMYFUNCTION("""COMPUTED_VALUE"""),44635.0)</f>
        <v>44635</v>
      </c>
      <c r="G475" s="199">
        <f>IFERROR(__xludf.DUMMYFUNCTION("""COMPUTED_VALUE"""),14.033333333333335)</f>
        <v>14.03333333</v>
      </c>
      <c r="H475" s="210">
        <f>IFERROR(__xludf.DUMMYFUNCTION("""COMPUTED_VALUE"""),43995.0)</f>
        <v>43995</v>
      </c>
      <c r="I475" s="199">
        <f>IFERROR(__xludf.DUMMYFUNCTION("""COMPUTED_VALUE"""),0.5861111111111111)</f>
        <v>0.5861111111</v>
      </c>
      <c r="J475" s="267">
        <f>IFERROR(__xludf.DUMMYFUNCTION("""COMPUTED_VALUE"""),66.5)</f>
        <v>66.5</v>
      </c>
      <c r="K475" s="200">
        <f>IFERROR(__xludf.DUMMYFUNCTION("""COMPUTED_VALUE"""),15.5)</f>
        <v>15.5</v>
      </c>
      <c r="L475" s="265" t="str">
        <f>IFERROR(__xludf.DUMMYFUNCTION("""COMPUTED_VALUE"""),"Adventure / RPG")</f>
        <v>Adventure / RPG</v>
      </c>
    </row>
    <row r="476">
      <c r="A476" s="269" t="str">
        <f>IFERROR(__xludf.DUMMYFUNCTION("""COMPUTED_VALUE"""),"PHOGS!")</f>
        <v>PHOGS!</v>
      </c>
      <c r="B476" s="195" t="str">
        <f>IFERROR(__xludf.DUMMYFUNCTION("""COMPUTED_VALUE"""),"Xbox / PC")</f>
        <v>Xbox / PC</v>
      </c>
      <c r="C476" s="195" t="str">
        <f>IFERROR(__xludf.DUMMYFUNCTION("""COMPUTED_VALUE"""),"Yes")</f>
        <v>Yes</v>
      </c>
      <c r="D476" s="196" t="str">
        <f>IFERROR(__xludf.DUMMYFUNCTION("""COMPUTED_VALUE"""),"Removed")</f>
        <v>Removed</v>
      </c>
      <c r="E476" s="271">
        <f>IFERROR(__xludf.DUMMYFUNCTION("""COMPUTED_VALUE"""),44168.0)</f>
        <v>44168</v>
      </c>
      <c r="F476" s="198">
        <f>IFERROR(__xludf.DUMMYFUNCTION("""COMPUTED_VALUE"""),44635.0)</f>
        <v>44635</v>
      </c>
      <c r="G476" s="199">
        <f>IFERROR(__xludf.DUMMYFUNCTION("""COMPUTED_VALUE"""),15.400000000000002)</f>
        <v>15.4</v>
      </c>
      <c r="H476" s="210">
        <f>IFERROR(__xludf.DUMMYFUNCTION("""COMPUTED_VALUE"""),44168.0)</f>
        <v>44168</v>
      </c>
      <c r="I476" s="199">
        <f>IFERROR(__xludf.DUMMYFUNCTION("""COMPUTED_VALUE"""),0.0)</f>
        <v>0</v>
      </c>
      <c r="J476" s="267">
        <f>IFERROR(__xludf.DUMMYFUNCTION("""COMPUTED_VALUE"""),81.0)</f>
        <v>81</v>
      </c>
      <c r="K476" s="267">
        <f>IFERROR(__xludf.DUMMYFUNCTION("""COMPUTED_VALUE"""),7.5)</f>
        <v>7.5</v>
      </c>
      <c r="L476" s="265" t="str">
        <f>IFERROR(__xludf.DUMMYFUNCTION("""COMPUTED_VALUE"""),"Puzzle")</f>
        <v>Puzzle</v>
      </c>
    </row>
    <row r="477">
      <c r="A477" s="269" t="str">
        <f>IFERROR(__xludf.DUMMYFUNCTION("""COMPUTED_VALUE"""),"NieR Automata: Become as Gods Edition")</f>
        <v>NieR Automata: Become as Gods Edition</v>
      </c>
      <c r="B477" s="195" t="str">
        <f>IFERROR(__xludf.DUMMYFUNCTION("""COMPUTED_VALUE"""),"Xbox / PC")</f>
        <v>Xbox / PC</v>
      </c>
      <c r="C477" s="196" t="str">
        <f>IFERROR(__xludf.DUMMYFUNCTION("""COMPUTED_VALUE"""),"Touch Controls")</f>
        <v>Touch Controls</v>
      </c>
      <c r="D477" s="196" t="str">
        <f>IFERROR(__xludf.DUMMYFUNCTION("""COMPUTED_VALUE"""),"Removed")</f>
        <v>Removed</v>
      </c>
      <c r="E477" s="271">
        <f>IFERROR(__xludf.DUMMYFUNCTION("""COMPUTED_VALUE"""),43923.0)</f>
        <v>43923</v>
      </c>
      <c r="F477" s="266">
        <f>IFERROR(__xludf.DUMMYFUNCTION("""COMPUTED_VALUE"""),44635.0)</f>
        <v>44635</v>
      </c>
      <c r="G477" s="199">
        <f>IFERROR(__xludf.DUMMYFUNCTION("""COMPUTED_VALUE"""),23.433333333333334)</f>
        <v>23.43333333</v>
      </c>
      <c r="H477" s="210">
        <f>IFERROR(__xludf.DUMMYFUNCTION("""COMPUTED_VALUE"""),42789.0)</f>
        <v>42789</v>
      </c>
      <c r="I477" s="199">
        <f>IFERROR(__xludf.DUMMYFUNCTION("""COMPUTED_VALUE"""),3.1083333333333334)</f>
        <v>3.108333333</v>
      </c>
      <c r="J477" s="267">
        <f>IFERROR(__xludf.DUMMYFUNCTION("""COMPUTED_VALUE"""),90.0)</f>
        <v>90</v>
      </c>
      <c r="K477" s="200">
        <f>IFERROR(__xludf.DUMMYFUNCTION("""COMPUTED_VALUE"""),20.5)</f>
        <v>20.5</v>
      </c>
      <c r="L477" s="265" t="str">
        <f>IFERROR(__xludf.DUMMYFUNCTION("""COMPUTED_VALUE"""),"Action / RPG")</f>
        <v>Action / RPG</v>
      </c>
    </row>
    <row r="478">
      <c r="A478" s="269" t="str">
        <f>IFERROR(__xludf.DUMMYFUNCTION("""COMPUTED_VALUE"""),"The Surge 2")</f>
        <v>The Surge 2</v>
      </c>
      <c r="B478" s="195" t="str">
        <f>IFERROR(__xludf.DUMMYFUNCTION("""COMPUTED_VALUE"""),"Xbox / PC")</f>
        <v>Xbox / PC</v>
      </c>
      <c r="C478" s="196" t="str">
        <f>IFERROR(__xludf.DUMMYFUNCTION("""COMPUTED_VALUE"""),"Yes")</f>
        <v>Yes</v>
      </c>
      <c r="D478" s="196" t="str">
        <f>IFERROR(__xludf.DUMMYFUNCTION("""COMPUTED_VALUE"""),"Removed")</f>
        <v>Removed</v>
      </c>
      <c r="E478" s="271">
        <f>IFERROR(__xludf.DUMMYFUNCTION("""COMPUTED_VALUE"""),43909.0)</f>
        <v>43909</v>
      </c>
      <c r="F478" s="198">
        <f>IFERROR(__xludf.DUMMYFUNCTION("""COMPUTED_VALUE"""),44635.0)</f>
        <v>44635</v>
      </c>
      <c r="G478" s="199">
        <f>IFERROR(__xludf.DUMMYFUNCTION("""COMPUTED_VALUE"""),23.866666666666667)</f>
        <v>23.86666667</v>
      </c>
      <c r="H478" s="210">
        <f>IFERROR(__xludf.DUMMYFUNCTION("""COMPUTED_VALUE"""),43732.0)</f>
        <v>43732</v>
      </c>
      <c r="I478" s="199">
        <f>IFERROR(__xludf.DUMMYFUNCTION("""COMPUTED_VALUE"""),0.4861111111111111)</f>
        <v>0.4861111111</v>
      </c>
      <c r="J478" s="267">
        <f>IFERROR(__xludf.DUMMYFUNCTION("""COMPUTED_VALUE"""),78.0)</f>
        <v>78</v>
      </c>
      <c r="K478" s="267">
        <f>IFERROR(__xludf.DUMMYFUNCTION("""COMPUTED_VALUE"""),21.5)</f>
        <v>21.5</v>
      </c>
      <c r="L478" s="265" t="str">
        <f>IFERROR(__xludf.DUMMYFUNCTION("""COMPUTED_VALUE"""),"Action / RPG")</f>
        <v>Action / RPG</v>
      </c>
    </row>
    <row r="479">
      <c r="A479" s="269" t="str">
        <f>IFERROR(__xludf.DUMMYFUNCTION("""COMPUTED_VALUE"""),"Titanfall: Deluxe Edition")</f>
        <v>Titanfall: Deluxe Edition</v>
      </c>
      <c r="B479" s="195" t="str">
        <f>IFERROR(__xludf.DUMMYFUNCTION("""COMPUTED_VALUE"""),"Xbox / PC")</f>
        <v>Xbox / PC</v>
      </c>
      <c r="C479" s="195"/>
      <c r="D479" s="196" t="str">
        <f>IFERROR(__xludf.DUMMYFUNCTION("""COMPUTED_VALUE"""),"Removed")</f>
        <v>Removed</v>
      </c>
      <c r="E479" s="271">
        <f>IFERROR(__xludf.DUMMYFUNCTION("""COMPUTED_VALUE"""),44145.0)</f>
        <v>44145</v>
      </c>
      <c r="F479" s="198">
        <f>IFERROR(__xludf.DUMMYFUNCTION("""COMPUTED_VALUE"""),44621.0)</f>
        <v>44621</v>
      </c>
      <c r="G479" s="199">
        <f>IFERROR(__xludf.DUMMYFUNCTION("""COMPUTED_VALUE"""),15.7)</f>
        <v>15.7</v>
      </c>
      <c r="H479" s="210">
        <f>IFERROR(__xludf.DUMMYFUNCTION("""COMPUTED_VALUE"""),41709.0)</f>
        <v>41709</v>
      </c>
      <c r="I479" s="199">
        <f>IFERROR(__xludf.DUMMYFUNCTION("""COMPUTED_VALUE"""),6.663888888888889)</f>
        <v>6.663888889</v>
      </c>
      <c r="J479" s="267">
        <f>IFERROR(__xludf.DUMMYFUNCTION("""COMPUTED_VALUE"""),83.0)</f>
        <v>83</v>
      </c>
      <c r="K479" s="200">
        <f>IFERROR(__xludf.DUMMYFUNCTION("""COMPUTED_VALUE"""),12.0)</f>
        <v>12</v>
      </c>
      <c r="L479" s="265" t="str">
        <f>IFERROR(__xludf.DUMMYFUNCTION("""COMPUTED_VALUE"""),"First-Person Shooter")</f>
        <v>First-Person Shooter</v>
      </c>
    </row>
    <row r="480">
      <c r="A480" s="269" t="str">
        <f>IFERROR(__xludf.DUMMYFUNCTION("""COMPUTED_VALUE"""),"Killer Queen Black")</f>
        <v>Killer Queen Black</v>
      </c>
      <c r="B480" s="195" t="str">
        <f>IFERROR(__xludf.DUMMYFUNCTION("""COMPUTED_VALUE"""),"Xbox")</f>
        <v>Xbox</v>
      </c>
      <c r="C480" s="195" t="str">
        <f>IFERROR(__xludf.DUMMYFUNCTION("""COMPUTED_VALUE"""),"Touch Controls")</f>
        <v>Touch Controls</v>
      </c>
      <c r="D480" s="196" t="str">
        <f>IFERROR(__xludf.DUMMYFUNCTION("""COMPUTED_VALUE"""),"Removed")</f>
        <v>Removed</v>
      </c>
      <c r="E480" s="271">
        <f>IFERROR(__xludf.DUMMYFUNCTION("""COMPUTED_VALUE"""),44250.0)</f>
        <v>44250</v>
      </c>
      <c r="F480" s="198">
        <f>IFERROR(__xludf.DUMMYFUNCTION("""COMPUTED_VALUE"""),44620.0)</f>
        <v>44620</v>
      </c>
      <c r="G480" s="199">
        <f>IFERROR(__xludf.DUMMYFUNCTION("""COMPUTED_VALUE"""),12.166666666666666)</f>
        <v>12.16666667</v>
      </c>
      <c r="H480" s="210">
        <f>IFERROR(__xludf.DUMMYFUNCTION("""COMPUTED_VALUE"""),43749.0)</f>
        <v>43749</v>
      </c>
      <c r="I480" s="199">
        <f>IFERROR(__xludf.DUMMYFUNCTION("""COMPUTED_VALUE"""),1.3666666666666667)</f>
        <v>1.366666667</v>
      </c>
      <c r="J480" s="267">
        <f>IFERROR(__xludf.DUMMYFUNCTION("""COMPUTED_VALUE"""),83.0)</f>
        <v>83</v>
      </c>
      <c r="K480" s="267">
        <f>IFERROR(__xludf.DUMMYFUNCTION("""COMPUTED_VALUE"""),9.0)</f>
        <v>9</v>
      </c>
      <c r="L480" s="265" t="str">
        <f>IFERROR(__xludf.DUMMYFUNCTION("""COMPUTED_VALUE"""),"Action / Strategy / Platformer")</f>
        <v>Action / Strategy / Platformer</v>
      </c>
    </row>
    <row r="481">
      <c r="A481" s="269" t="str">
        <f>IFERROR(__xludf.DUMMYFUNCTION("""COMPUTED_VALUE"""),"Touhou Luna Nights")</f>
        <v>Touhou Luna Nights</v>
      </c>
      <c r="B481" s="195" t="str">
        <f>IFERROR(__xludf.DUMMYFUNCTION("""COMPUTED_VALUE"""),"Xbox / PC")</f>
        <v>Xbox / PC</v>
      </c>
      <c r="C481" s="195" t="str">
        <f>IFERROR(__xludf.DUMMYFUNCTION("""COMPUTED_VALUE"""),"Touch Controls")</f>
        <v>Touch Controls</v>
      </c>
      <c r="D481" s="196" t="str">
        <f>IFERROR(__xludf.DUMMYFUNCTION("""COMPUTED_VALUE"""),"Removed")</f>
        <v>Removed</v>
      </c>
      <c r="E481" s="271">
        <f>IFERROR(__xludf.DUMMYFUNCTION("""COMPUTED_VALUE"""),44077.0)</f>
        <v>44077</v>
      </c>
      <c r="F481" s="198">
        <f>IFERROR(__xludf.DUMMYFUNCTION("""COMPUTED_VALUE"""),44620.0)</f>
        <v>44620</v>
      </c>
      <c r="G481" s="199">
        <f>IFERROR(__xludf.DUMMYFUNCTION("""COMPUTED_VALUE"""),17.833333333333336)</f>
        <v>17.83333333</v>
      </c>
      <c r="H481" s="210">
        <f>IFERROR(__xludf.DUMMYFUNCTION("""COMPUTED_VALUE"""),43522.0)</f>
        <v>43522</v>
      </c>
      <c r="I481" s="199">
        <f>IFERROR(__xludf.DUMMYFUNCTION("""COMPUTED_VALUE"""),1.5194444444444444)</f>
        <v>1.519444444</v>
      </c>
      <c r="J481" s="267">
        <f>IFERROR(__xludf.DUMMYFUNCTION("""COMPUTED_VALUE"""),77.0)</f>
        <v>77</v>
      </c>
      <c r="K481" s="200">
        <f>IFERROR(__xludf.DUMMYFUNCTION("""COMPUTED_VALUE"""),5.0)</f>
        <v>5</v>
      </c>
      <c r="L481" s="265" t="str">
        <f>IFERROR(__xludf.DUMMYFUNCTION("""COMPUTED_VALUE"""),"Action")</f>
        <v>Action</v>
      </c>
    </row>
    <row r="482">
      <c r="A482" s="190" t="str">
        <f>IFERROR(__xludf.DUMMYFUNCTION("""COMPUTED_VALUE"""),"Kingdom Hearts III")</f>
        <v>Kingdom Hearts III</v>
      </c>
      <c r="B482" s="195" t="str">
        <f>IFERROR(__xludf.DUMMYFUNCTION("""COMPUTED_VALUE"""),"Xbox")</f>
        <v>Xbox</v>
      </c>
      <c r="C482" s="195"/>
      <c r="D482" s="196" t="str">
        <f>IFERROR(__xludf.DUMMYFUNCTION("""COMPUTED_VALUE"""),"Removed")</f>
        <v>Removed</v>
      </c>
      <c r="E482" s="209">
        <f>IFERROR(__xludf.DUMMYFUNCTION("""COMPUTED_VALUE"""),43886.0)</f>
        <v>43886</v>
      </c>
      <c r="F482" s="266">
        <f>IFERROR(__xludf.DUMMYFUNCTION("""COMPUTED_VALUE"""),44620.0)</f>
        <v>44620</v>
      </c>
      <c r="G482" s="199">
        <f>IFERROR(__xludf.DUMMYFUNCTION("""COMPUTED_VALUE"""),24.1)</f>
        <v>24.1</v>
      </c>
      <c r="H482" s="210">
        <f>IFERROR(__xludf.DUMMYFUNCTION("""COMPUTED_VALUE"""),43490.0)</f>
        <v>43490</v>
      </c>
      <c r="I482" s="199">
        <f>IFERROR(__xludf.DUMMYFUNCTION("""COMPUTED_VALUE"""),1.0833333333333333)</f>
        <v>1.083333333</v>
      </c>
      <c r="J482" s="200">
        <f>IFERROR(__xludf.DUMMYFUNCTION("""COMPUTED_VALUE"""),80.0)</f>
        <v>80</v>
      </c>
      <c r="K482" s="200">
        <f>IFERROR(__xludf.DUMMYFUNCTION("""COMPUTED_VALUE"""),29.0)</f>
        <v>29</v>
      </c>
      <c r="L482" s="201" t="str">
        <f>IFERROR(__xludf.DUMMYFUNCTION("""COMPUTED_VALUE"""),"Action / RPG")</f>
        <v>Action / RPG</v>
      </c>
    </row>
    <row r="483">
      <c r="A483" s="190" t="str">
        <f>IFERROR(__xludf.DUMMYFUNCTION("""COMPUTED_VALUE"""),"Stealth Inc 2: A Game of Clones")</f>
        <v>Stealth Inc 2: A Game of Clones</v>
      </c>
      <c r="B483" s="195" t="str">
        <f>IFERROR(__xludf.DUMMYFUNCTION("""COMPUTED_VALUE"""),"Xbox")</f>
        <v>Xbox</v>
      </c>
      <c r="C483" s="196" t="str">
        <f>IFERROR(__xludf.DUMMYFUNCTION("""COMPUTED_VALUE"""),"Yes")</f>
        <v>Yes</v>
      </c>
      <c r="D483" s="196" t="str">
        <f>IFERROR(__xludf.DUMMYFUNCTION("""COMPUTED_VALUE"""),"Removed")</f>
        <v>Removed</v>
      </c>
      <c r="E483" s="197">
        <f>IFERROR(__xludf.DUMMYFUNCTION("""COMPUTED_VALUE"""),43625.0)</f>
        <v>43625</v>
      </c>
      <c r="F483" s="266">
        <f>IFERROR(__xludf.DUMMYFUNCTION("""COMPUTED_VALUE"""),44620.0)</f>
        <v>44620</v>
      </c>
      <c r="G483" s="199">
        <f>IFERROR(__xludf.DUMMYFUNCTION("""COMPUTED_VALUE"""),32.63333333333333)</f>
        <v>32.63333333</v>
      </c>
      <c r="H483" s="210">
        <f>IFERROR(__xludf.DUMMYFUNCTION("""COMPUTED_VALUE"""),41942.0)</f>
        <v>41942</v>
      </c>
      <c r="I483" s="199">
        <f>IFERROR(__xludf.DUMMYFUNCTION("""COMPUTED_VALUE"""),4.608333333333333)</f>
        <v>4.608333333</v>
      </c>
      <c r="J483" s="200">
        <f>IFERROR(__xludf.DUMMYFUNCTION("""COMPUTED_VALUE"""),77.0)</f>
        <v>77</v>
      </c>
      <c r="K483" s="200">
        <f>IFERROR(__xludf.DUMMYFUNCTION("""COMPUTED_VALUE"""),9.0)</f>
        <v>9</v>
      </c>
      <c r="L483" s="201" t="str">
        <f>IFERROR(__xludf.DUMMYFUNCTION("""COMPUTED_VALUE"""),"Platformer / Action-Adventure")</f>
        <v>Platformer / Action-Adventure</v>
      </c>
    </row>
    <row r="484">
      <c r="A484" s="190" t="str">
        <f>IFERROR(__xludf.DUMMYFUNCTION("""COMPUTED_VALUE"""),"Final Fantasy XII: The Zodiac Age")</f>
        <v>Final Fantasy XII: The Zodiac Age</v>
      </c>
      <c r="B484" s="195" t="str">
        <f>IFERROR(__xludf.DUMMYFUNCTION("""COMPUTED_VALUE"""),"Xbox / PC")</f>
        <v>Xbox / PC</v>
      </c>
      <c r="C484" s="195"/>
      <c r="D484" s="196" t="str">
        <f>IFERROR(__xludf.DUMMYFUNCTION("""COMPUTED_VALUE"""),"Removed")</f>
        <v>Removed</v>
      </c>
      <c r="E484" s="197">
        <f>IFERROR(__xludf.DUMMYFUNCTION("""COMPUTED_VALUE"""),44238.0)</f>
        <v>44238</v>
      </c>
      <c r="F484" s="266">
        <f>IFERROR(__xludf.DUMMYFUNCTION("""COMPUTED_VALUE"""),44607.0)</f>
        <v>44607</v>
      </c>
      <c r="G484" s="199">
        <f>IFERROR(__xludf.DUMMYFUNCTION("""COMPUTED_VALUE"""),12.133333333333333)</f>
        <v>12.13333333</v>
      </c>
      <c r="H484" s="210">
        <f>IFERROR(__xludf.DUMMYFUNCTION("""COMPUTED_VALUE"""),42927.0)</f>
        <v>42927</v>
      </c>
      <c r="I484" s="199">
        <f>IFERROR(__xludf.DUMMYFUNCTION("""COMPUTED_VALUE"""),3.5833333333333335)</f>
        <v>3.583333333</v>
      </c>
      <c r="J484" s="200">
        <f>IFERROR(__xludf.DUMMYFUNCTION("""COMPUTED_VALUE"""),81.5)</f>
        <v>81.5</v>
      </c>
      <c r="K484" s="200">
        <f>IFERROR(__xludf.DUMMYFUNCTION("""COMPUTED_VALUE"""),40.5)</f>
        <v>40.5</v>
      </c>
      <c r="L484" s="201" t="str">
        <f>IFERROR(__xludf.DUMMYFUNCTION("""COMPUTED_VALUE"""),"RPG")</f>
        <v>RPG</v>
      </c>
    </row>
    <row r="485">
      <c r="A485" s="190" t="str">
        <f>IFERROR(__xludf.DUMMYFUNCTION("""COMPUTED_VALUE"""),"Project Winter")</f>
        <v>Project Winter</v>
      </c>
      <c r="B485" s="195" t="str">
        <f>IFERROR(__xludf.DUMMYFUNCTION("""COMPUTED_VALUE"""),"Xbox / PC")</f>
        <v>Xbox / PC</v>
      </c>
      <c r="C485" s="196" t="str">
        <f>IFERROR(__xludf.DUMMYFUNCTION("""COMPUTED_VALUE"""),"Touch Controls")</f>
        <v>Touch Controls</v>
      </c>
      <c r="D485" s="196" t="str">
        <f>IFERROR(__xludf.DUMMYFUNCTION("""COMPUTED_VALUE"""),"Removed")</f>
        <v>Removed</v>
      </c>
      <c r="E485" s="197">
        <f>IFERROR(__xludf.DUMMYFUNCTION("""COMPUTED_VALUE"""),44231.0)</f>
        <v>44231</v>
      </c>
      <c r="F485" s="266">
        <f>IFERROR(__xludf.DUMMYFUNCTION("""COMPUTED_VALUE"""),44607.0)</f>
        <v>44607</v>
      </c>
      <c r="G485" s="199">
        <f>IFERROR(__xludf.DUMMYFUNCTION("""COMPUTED_VALUE"""),12.366666666666665)</f>
        <v>12.36666667</v>
      </c>
      <c r="H485" s="210">
        <f>IFERROR(__xludf.DUMMYFUNCTION("""COMPUTED_VALUE"""),43503.0)</f>
        <v>43503</v>
      </c>
      <c r="I485" s="199">
        <f>IFERROR(__xludf.DUMMYFUNCTION("""COMPUTED_VALUE"""),1.9916666666666667)</f>
        <v>1.991666667</v>
      </c>
      <c r="J485" s="200">
        <f>IFERROR(__xludf.DUMMYFUNCTION("""COMPUTED_VALUE"""),75.0)</f>
        <v>75</v>
      </c>
      <c r="K485" s="200">
        <f>IFERROR(__xludf.DUMMYFUNCTION("""COMPUTED_VALUE"""),9.5)</f>
        <v>9.5</v>
      </c>
      <c r="L485" s="201" t="str">
        <f>IFERROR(__xludf.DUMMYFUNCTION("""COMPUTED_VALUE"""),"Action / Strategy")</f>
        <v>Action / Strategy</v>
      </c>
    </row>
    <row r="486">
      <c r="A486" s="190" t="str">
        <f>IFERROR(__xludf.DUMMYFUNCTION("""COMPUTED_VALUE"""),"The Falconeer")</f>
        <v>The Falconeer</v>
      </c>
      <c r="B486" s="195" t="str">
        <f>IFERROR(__xludf.DUMMYFUNCTION("""COMPUTED_VALUE"""),"Xbox / PC")</f>
        <v>Xbox / PC</v>
      </c>
      <c r="C486" s="196" t="str">
        <f>IFERROR(__xludf.DUMMYFUNCTION("""COMPUTED_VALUE"""),"Yes")</f>
        <v>Yes</v>
      </c>
      <c r="D486" s="196" t="str">
        <f>IFERROR(__xludf.DUMMYFUNCTION("""COMPUTED_VALUE"""),"Removed")</f>
        <v>Removed</v>
      </c>
      <c r="E486" s="197">
        <f>IFERROR(__xludf.DUMMYFUNCTION("""COMPUTED_VALUE"""),44231.0)</f>
        <v>44231</v>
      </c>
      <c r="F486" s="266">
        <f>IFERROR(__xludf.DUMMYFUNCTION("""COMPUTED_VALUE"""),44607.0)</f>
        <v>44607</v>
      </c>
      <c r="G486" s="199">
        <f>IFERROR(__xludf.DUMMYFUNCTION("""COMPUTED_VALUE"""),12.366666666666665)</f>
        <v>12.36666667</v>
      </c>
      <c r="H486" s="210">
        <f>IFERROR(__xludf.DUMMYFUNCTION("""COMPUTED_VALUE"""),44145.0)</f>
        <v>44145</v>
      </c>
      <c r="I486" s="199">
        <f>IFERROR(__xludf.DUMMYFUNCTION("""COMPUTED_VALUE"""),0.23333333333333334)</f>
        <v>0.2333333333</v>
      </c>
      <c r="J486" s="267">
        <f>IFERROR(__xludf.DUMMYFUNCTION("""COMPUTED_VALUE"""),64.5)</f>
        <v>64.5</v>
      </c>
      <c r="K486" s="200">
        <f>IFERROR(__xludf.DUMMYFUNCTION("""COMPUTED_VALUE"""),10.0)</f>
        <v>10</v>
      </c>
      <c r="L486" s="265" t="str">
        <f>IFERROR(__xludf.DUMMYFUNCTION("""COMPUTED_VALUE"""),"Action-Adventure")</f>
        <v>Action-Adventure</v>
      </c>
    </row>
    <row r="487">
      <c r="A487" s="190" t="str">
        <f>IFERROR(__xludf.DUMMYFUNCTION("""COMPUTED_VALUE"""),"The Medium")</f>
        <v>The Medium</v>
      </c>
      <c r="B487" s="195" t="str">
        <f>IFERROR(__xludf.DUMMYFUNCTION("""COMPUTED_VALUE"""),"Xbox / PC")</f>
        <v>Xbox / PC</v>
      </c>
      <c r="C487" s="196" t="str">
        <f>IFERROR(__xludf.DUMMYFUNCTION("""COMPUTED_VALUE"""),"Touch Controls")</f>
        <v>Touch Controls</v>
      </c>
      <c r="D487" s="196" t="str">
        <f>IFERROR(__xludf.DUMMYFUNCTION("""COMPUTED_VALUE"""),"Removed")</f>
        <v>Removed</v>
      </c>
      <c r="E487" s="197">
        <f>IFERROR(__xludf.DUMMYFUNCTION("""COMPUTED_VALUE"""),44224.0)</f>
        <v>44224</v>
      </c>
      <c r="F487" s="266">
        <f>IFERROR(__xludf.DUMMYFUNCTION("""COMPUTED_VALUE"""),44607.0)</f>
        <v>44607</v>
      </c>
      <c r="G487" s="199">
        <f>IFERROR(__xludf.DUMMYFUNCTION("""COMPUTED_VALUE"""),12.566666666666666)</f>
        <v>12.56666667</v>
      </c>
      <c r="H487" s="210">
        <f>IFERROR(__xludf.DUMMYFUNCTION("""COMPUTED_VALUE"""),44224.0)</f>
        <v>44224</v>
      </c>
      <c r="I487" s="199">
        <f>IFERROR(__xludf.DUMMYFUNCTION("""COMPUTED_VALUE"""),0.0)</f>
        <v>0</v>
      </c>
      <c r="J487" s="267">
        <f>IFERROR(__xludf.DUMMYFUNCTION("""COMPUTED_VALUE"""),73.5)</f>
        <v>73.5</v>
      </c>
      <c r="K487" s="267">
        <f>IFERROR(__xludf.DUMMYFUNCTION("""COMPUTED_VALUE"""),7.5)</f>
        <v>7.5</v>
      </c>
      <c r="L487" s="265" t="str">
        <f>IFERROR(__xludf.DUMMYFUNCTION("""COMPUTED_VALUE"""),"Adventure")</f>
        <v>Adventure</v>
      </c>
    </row>
    <row r="488">
      <c r="A488" s="269" t="str">
        <f>IFERROR(__xludf.DUMMYFUNCTION("""COMPUTED_VALUE"""),"Code Vein")</f>
        <v>Code Vein</v>
      </c>
      <c r="B488" s="196" t="str">
        <f>IFERROR(__xludf.DUMMYFUNCTION("""COMPUTED_VALUE"""),"Xbox / PC")</f>
        <v>Xbox / PC</v>
      </c>
      <c r="C488" s="196" t="str">
        <f>IFERROR(__xludf.DUMMYFUNCTION("""COMPUTED_VALUE"""),"Yes")</f>
        <v>Yes</v>
      </c>
      <c r="D488" s="196" t="str">
        <f>IFERROR(__xludf.DUMMYFUNCTION("""COMPUTED_VALUE"""),"Removed")</f>
        <v>Removed</v>
      </c>
      <c r="E488" s="271">
        <f>IFERROR(__xludf.DUMMYFUNCTION("""COMPUTED_VALUE"""),44182.0)</f>
        <v>44182</v>
      </c>
      <c r="F488" s="266">
        <f>IFERROR(__xludf.DUMMYFUNCTION("""COMPUTED_VALUE"""),44607.0)</f>
        <v>44607</v>
      </c>
      <c r="G488" s="199">
        <f>IFERROR(__xludf.DUMMYFUNCTION("""COMPUTED_VALUE"""),13.933333333333334)</f>
        <v>13.93333333</v>
      </c>
      <c r="H488" s="210">
        <f>IFERROR(__xludf.DUMMYFUNCTION("""COMPUTED_VALUE"""),43734.0)</f>
        <v>43734</v>
      </c>
      <c r="I488" s="199">
        <f>IFERROR(__xludf.DUMMYFUNCTION("""COMPUTED_VALUE"""),1.225)</f>
        <v>1.225</v>
      </c>
      <c r="J488" s="267">
        <f>IFERROR(__xludf.DUMMYFUNCTION("""COMPUTED_VALUE"""),75.0)</f>
        <v>75</v>
      </c>
      <c r="K488" s="267">
        <f>IFERROR(__xludf.DUMMYFUNCTION("""COMPUTED_VALUE"""),25.0)</f>
        <v>25</v>
      </c>
      <c r="L488" s="265" t="str">
        <f>IFERROR(__xludf.DUMMYFUNCTION("""COMPUTED_VALUE"""),"Action / RPG / Action-Adventure")</f>
        <v>Action / RPG / Action-Adventure</v>
      </c>
    </row>
    <row r="489">
      <c r="A489" s="190" t="str">
        <f>IFERROR(__xludf.DUMMYFUNCTION("""COMPUTED_VALUE"""),"Control")</f>
        <v>Control</v>
      </c>
      <c r="B489" s="195" t="str">
        <f>IFERROR(__xludf.DUMMYFUNCTION("""COMPUTED_VALUE"""),"Xbox / PC")</f>
        <v>Xbox / PC</v>
      </c>
      <c r="C489" s="195" t="str">
        <f>IFERROR(__xludf.DUMMYFUNCTION("""COMPUTED_VALUE"""),"Yes")</f>
        <v>Yes</v>
      </c>
      <c r="D489" s="196" t="str">
        <f>IFERROR(__xludf.DUMMYFUNCTION("""COMPUTED_VALUE"""),"Removed")</f>
        <v>Removed</v>
      </c>
      <c r="E489" s="210">
        <f>IFERROR(__xludf.DUMMYFUNCTION("""COMPUTED_VALUE"""),44168.0)</f>
        <v>44168</v>
      </c>
      <c r="F489" s="266">
        <f>IFERROR(__xludf.DUMMYFUNCTION("""COMPUTED_VALUE"""),44607.0)</f>
        <v>44607</v>
      </c>
      <c r="G489" s="199">
        <f>IFERROR(__xludf.DUMMYFUNCTION("""COMPUTED_VALUE"""),14.399999999999999)</f>
        <v>14.4</v>
      </c>
      <c r="H489" s="210">
        <f>IFERROR(__xludf.DUMMYFUNCTION("""COMPUTED_VALUE"""),43704.0)</f>
        <v>43704</v>
      </c>
      <c r="I489" s="199">
        <f>IFERROR(__xludf.DUMMYFUNCTION("""COMPUTED_VALUE"""),1.2666666666666666)</f>
        <v>1.266666667</v>
      </c>
      <c r="J489" s="200">
        <f>IFERROR(__xludf.DUMMYFUNCTION("""COMPUTED_VALUE"""),84.0)</f>
        <v>84</v>
      </c>
      <c r="K489" s="200">
        <f>IFERROR(__xludf.DUMMYFUNCTION("""COMPUTED_VALUE"""),11.5)</f>
        <v>11.5</v>
      </c>
      <c r="L489" s="201" t="str">
        <f>IFERROR(__xludf.DUMMYFUNCTION("""COMPUTED_VALUE"""),"Shooter / Action-Adventure")</f>
        <v>Shooter / Action-Adventure</v>
      </c>
    </row>
    <row r="490">
      <c r="A490" s="190" t="str">
        <f>IFERROR(__xludf.DUMMYFUNCTION("""COMPUTED_VALUE"""),"Furi")</f>
        <v>Furi</v>
      </c>
      <c r="B490" s="195" t="str">
        <f>IFERROR(__xludf.DUMMYFUNCTION("""COMPUTED_VALUE"""),"PC")</f>
        <v>PC</v>
      </c>
      <c r="C490" s="195"/>
      <c r="D490" s="196" t="str">
        <f>IFERROR(__xludf.DUMMYFUNCTION("""COMPUTED_VALUE"""),"Removed")</f>
        <v>Removed</v>
      </c>
      <c r="E490" s="210">
        <f>IFERROR(__xludf.DUMMYFUNCTION("""COMPUTED_VALUE"""),44273.0)</f>
        <v>44273</v>
      </c>
      <c r="F490" s="266">
        <f>IFERROR(__xludf.DUMMYFUNCTION("""COMPUTED_VALUE"""),44602.0)</f>
        <v>44602</v>
      </c>
      <c r="G490" s="199">
        <f>IFERROR(__xludf.DUMMYFUNCTION("""COMPUTED_VALUE"""),10.733333333333334)</f>
        <v>10.73333333</v>
      </c>
      <c r="H490" s="210">
        <f>IFERROR(__xludf.DUMMYFUNCTION("""COMPUTED_VALUE"""),42556.0)</f>
        <v>42556</v>
      </c>
      <c r="I490" s="199">
        <f>IFERROR(__xludf.DUMMYFUNCTION("""COMPUTED_VALUE"""),4.7027777777777775)</f>
        <v>4.702777778</v>
      </c>
      <c r="J490" s="200">
        <f>IFERROR(__xludf.DUMMYFUNCTION("""COMPUTED_VALUE"""),76.0)</f>
        <v>76</v>
      </c>
      <c r="K490" s="200">
        <f>IFERROR(__xludf.DUMMYFUNCTION("""COMPUTED_VALUE"""),5.5)</f>
        <v>5.5</v>
      </c>
      <c r="L490" s="201" t="str">
        <f>IFERROR(__xludf.DUMMYFUNCTION("""COMPUTED_VALUE"""),"Action / Dual-Joystick Shooter")</f>
        <v>Action / Dual-Joystick Shooter</v>
      </c>
    </row>
    <row r="491">
      <c r="A491" s="190" t="str">
        <f>IFERROR(__xludf.DUMMYFUNCTION("""COMPUTED_VALUE"""),"Prison Architect")</f>
        <v>Prison Architect</v>
      </c>
      <c r="B491" s="195" t="str">
        <f>IFERROR(__xludf.DUMMYFUNCTION("""COMPUTED_VALUE"""),"PC")</f>
        <v>PC</v>
      </c>
      <c r="C491" s="195"/>
      <c r="D491" s="196" t="str">
        <f>IFERROR(__xludf.DUMMYFUNCTION("""COMPUTED_VALUE"""),"Removed")</f>
        <v>Removed</v>
      </c>
      <c r="E491" s="210">
        <f>IFERROR(__xludf.DUMMYFUNCTION("""COMPUTED_VALUE"""),44224.0)</f>
        <v>44224</v>
      </c>
      <c r="F491" s="266">
        <f>IFERROR(__xludf.DUMMYFUNCTION("""COMPUTED_VALUE"""),44592.0)</f>
        <v>44592</v>
      </c>
      <c r="G491" s="199">
        <f>IFERROR(__xludf.DUMMYFUNCTION("""COMPUTED_VALUE"""),12.066666666666666)</f>
        <v>12.06666667</v>
      </c>
      <c r="H491" s="210">
        <f>IFERROR(__xludf.DUMMYFUNCTION("""COMPUTED_VALUE"""),42283.0)</f>
        <v>42283</v>
      </c>
      <c r="I491" s="199">
        <f>IFERROR(__xludf.DUMMYFUNCTION("""COMPUTED_VALUE"""),5.311111111111111)</f>
        <v>5.311111111</v>
      </c>
      <c r="J491" s="200">
        <f>IFERROR(__xludf.DUMMYFUNCTION("""COMPUTED_VALUE"""),83.0)</f>
        <v>83</v>
      </c>
      <c r="K491" s="200">
        <f>IFERROR(__xludf.DUMMYFUNCTION("""COMPUTED_VALUE"""),15.5)</f>
        <v>15.5</v>
      </c>
      <c r="L491" s="201" t="str">
        <f>IFERROR(__xludf.DUMMYFUNCTION("""COMPUTED_VALUE"""),"Strategy / Simulation")</f>
        <v>Strategy / Simulation</v>
      </c>
    </row>
    <row r="492">
      <c r="A492" s="190" t="str">
        <f>IFERROR(__xludf.DUMMYFUNCTION("""COMPUTED_VALUE"""),"Cyber Shadow")</f>
        <v>Cyber Shadow</v>
      </c>
      <c r="B492" s="195" t="str">
        <f>IFERROR(__xludf.DUMMYFUNCTION("""COMPUTED_VALUE"""),"Xbox / PC")</f>
        <v>Xbox / PC</v>
      </c>
      <c r="C492" s="195" t="str">
        <f>IFERROR(__xludf.DUMMYFUNCTION("""COMPUTED_VALUE"""),"Yes")</f>
        <v>Yes</v>
      </c>
      <c r="D492" s="196" t="str">
        <f>IFERROR(__xludf.DUMMYFUNCTION("""COMPUTED_VALUE"""),"Removed")</f>
        <v>Removed</v>
      </c>
      <c r="E492" s="210">
        <f>IFERROR(__xludf.DUMMYFUNCTION("""COMPUTED_VALUE"""),44222.0)</f>
        <v>44222</v>
      </c>
      <c r="F492" s="266">
        <f>IFERROR(__xludf.DUMMYFUNCTION("""COMPUTED_VALUE"""),44592.0)</f>
        <v>44592</v>
      </c>
      <c r="G492" s="199">
        <f>IFERROR(__xludf.DUMMYFUNCTION("""COMPUTED_VALUE"""),12.133333333333333)</f>
        <v>12.13333333</v>
      </c>
      <c r="H492" s="210">
        <f>IFERROR(__xludf.DUMMYFUNCTION("""COMPUTED_VALUE"""),44222.0)</f>
        <v>44222</v>
      </c>
      <c r="I492" s="199">
        <f>IFERROR(__xludf.DUMMYFUNCTION("""COMPUTED_VALUE"""),0.0)</f>
        <v>0</v>
      </c>
      <c r="J492" s="200">
        <f>IFERROR(__xludf.DUMMYFUNCTION("""COMPUTED_VALUE"""),82.5)</f>
        <v>82.5</v>
      </c>
      <c r="K492" s="200">
        <f>IFERROR(__xludf.DUMMYFUNCTION("""COMPUTED_VALUE"""),7.5)</f>
        <v>7.5</v>
      </c>
      <c r="L492" s="201" t="str">
        <f>IFERROR(__xludf.DUMMYFUNCTION("""COMPUTED_VALUE"""),"Action / Platformer")</f>
        <v>Action / Platformer</v>
      </c>
    </row>
    <row r="493">
      <c r="A493" s="190" t="str">
        <f>IFERROR(__xludf.DUMMYFUNCTION("""COMPUTED_VALUE"""),"Xeno Crisis")</f>
        <v>Xeno Crisis</v>
      </c>
      <c r="B493" s="195" t="str">
        <f>IFERROR(__xludf.DUMMYFUNCTION("""COMPUTED_VALUE"""),"Xbox / PC")</f>
        <v>Xbox / PC</v>
      </c>
      <c r="C493" s="195" t="str">
        <f>IFERROR(__xludf.DUMMYFUNCTION("""COMPUTED_VALUE"""),"Touch Controls")</f>
        <v>Touch Controls</v>
      </c>
      <c r="D493" s="196" t="str">
        <f>IFERROR(__xludf.DUMMYFUNCTION("""COMPUTED_VALUE"""),"Removed")</f>
        <v>Removed</v>
      </c>
      <c r="E493" s="210">
        <f>IFERROR(__xludf.DUMMYFUNCTION("""COMPUTED_VALUE"""),44049.0)</f>
        <v>44049</v>
      </c>
      <c r="F493" s="266">
        <f>IFERROR(__xludf.DUMMYFUNCTION("""COMPUTED_VALUE"""),44592.0)</f>
        <v>44592</v>
      </c>
      <c r="G493" s="199">
        <f>IFERROR(__xludf.DUMMYFUNCTION("""COMPUTED_VALUE"""),17.8)</f>
        <v>17.8</v>
      </c>
      <c r="H493" s="210">
        <f>IFERROR(__xludf.DUMMYFUNCTION("""COMPUTED_VALUE"""),43766.0)</f>
        <v>43766</v>
      </c>
      <c r="I493" s="199">
        <f>IFERROR(__xludf.DUMMYFUNCTION("""COMPUTED_VALUE"""),0.7722222222222223)</f>
        <v>0.7722222222</v>
      </c>
      <c r="J493" s="200">
        <f>IFERROR(__xludf.DUMMYFUNCTION("""COMPUTED_VALUE"""),74.0)</f>
        <v>74</v>
      </c>
      <c r="K493" s="200">
        <f>IFERROR(__xludf.DUMMYFUNCTION("""COMPUTED_VALUE"""),5.0)</f>
        <v>5</v>
      </c>
      <c r="L493" s="201" t="str">
        <f>IFERROR(__xludf.DUMMYFUNCTION("""COMPUTED_VALUE"""),"Dual-Joystick Shooter")</f>
        <v>Dual-Joystick Shooter</v>
      </c>
    </row>
    <row r="494">
      <c r="A494" s="190" t="str">
        <f>IFERROR(__xludf.DUMMYFUNCTION("""COMPUTED_VALUE"""),"Nowhere Prophet")</f>
        <v>Nowhere Prophet</v>
      </c>
      <c r="B494" s="195" t="str">
        <f>IFERROR(__xludf.DUMMYFUNCTION("""COMPUTED_VALUE"""),"Xbox / PC")</f>
        <v>Xbox / PC</v>
      </c>
      <c r="C494" s="195" t="str">
        <f>IFERROR(__xludf.DUMMYFUNCTION("""COMPUTED_VALUE"""),"Touch Controls")</f>
        <v>Touch Controls</v>
      </c>
      <c r="D494" s="196" t="str">
        <f>IFERROR(__xludf.DUMMYFUNCTION("""COMPUTED_VALUE"""),"Removed")</f>
        <v>Removed</v>
      </c>
      <c r="E494" s="210">
        <f>IFERROR(__xludf.DUMMYFUNCTION("""COMPUTED_VALUE"""),44041.0)</f>
        <v>44041</v>
      </c>
      <c r="F494" s="266">
        <f>IFERROR(__xludf.DUMMYFUNCTION("""COMPUTED_VALUE"""),44592.0)</f>
        <v>44592</v>
      </c>
      <c r="G494" s="199">
        <f>IFERROR(__xludf.DUMMYFUNCTION("""COMPUTED_VALUE"""),18.03333333333333)</f>
        <v>18.03333333</v>
      </c>
      <c r="H494" s="210">
        <f>IFERROR(__xludf.DUMMYFUNCTION("""COMPUTED_VALUE"""),43018.0)</f>
        <v>43018</v>
      </c>
      <c r="I494" s="199">
        <f>IFERROR(__xludf.DUMMYFUNCTION("""COMPUTED_VALUE"""),2.8027777777777776)</f>
        <v>2.802777778</v>
      </c>
      <c r="J494" s="200">
        <f>IFERROR(__xludf.DUMMYFUNCTION("""COMPUTED_VALUE"""),73.0)</f>
        <v>73</v>
      </c>
      <c r="K494" s="200">
        <f>IFERROR(__xludf.DUMMYFUNCTION("""COMPUTED_VALUE"""),12.0)</f>
        <v>12</v>
      </c>
      <c r="L494" s="201" t="str">
        <f>IFERROR(__xludf.DUMMYFUNCTION("""COMPUTED_VALUE"""),"Strategy")</f>
        <v>Strategy</v>
      </c>
    </row>
    <row r="495">
      <c r="A495" s="190" t="str">
        <f>IFERROR(__xludf.DUMMYFUNCTION("""COMPUTED_VALUE"""),"LEGRAND LEGACY: Tale of the Fatebounds")</f>
        <v>LEGRAND LEGACY: Tale of the Fatebounds</v>
      </c>
      <c r="B495" s="195" t="str">
        <f>IFERROR(__xludf.DUMMYFUNCTION("""COMPUTED_VALUE"""),"PC")</f>
        <v>PC</v>
      </c>
      <c r="C495" s="195"/>
      <c r="D495" s="196" t="str">
        <f>IFERROR(__xludf.DUMMYFUNCTION("""COMPUTED_VALUE"""),"Removed")</f>
        <v>Removed</v>
      </c>
      <c r="E495" s="197">
        <f>IFERROR(__xludf.DUMMYFUNCTION("""COMPUTED_VALUE"""),44273.0)</f>
        <v>44273</v>
      </c>
      <c r="F495" s="266">
        <f>IFERROR(__xludf.DUMMYFUNCTION("""COMPUTED_VALUE"""),44578.0)</f>
        <v>44578</v>
      </c>
      <c r="G495" s="199">
        <f>IFERROR(__xludf.DUMMYFUNCTION("""COMPUTED_VALUE"""),9.966666666666667)</f>
        <v>9.966666667</v>
      </c>
      <c r="H495" s="210">
        <f>IFERROR(__xludf.DUMMYFUNCTION("""COMPUTED_VALUE"""),43124.0)</f>
        <v>43124</v>
      </c>
      <c r="I495" s="199">
        <f>IFERROR(__xludf.DUMMYFUNCTION("""COMPUTED_VALUE"""),3.15)</f>
        <v>3.15</v>
      </c>
      <c r="J495" s="200">
        <f>IFERROR(__xludf.DUMMYFUNCTION("""COMPUTED_VALUE"""),67.0)</f>
        <v>67</v>
      </c>
      <c r="K495" s="200">
        <f>IFERROR(__xludf.DUMMYFUNCTION("""COMPUTED_VALUE"""),43.5)</f>
        <v>43.5</v>
      </c>
      <c r="L495" s="265" t="str">
        <f>IFERROR(__xludf.DUMMYFUNCTION("""COMPUTED_VALUE"""),"RPG")</f>
        <v>RPG</v>
      </c>
    </row>
    <row r="496">
      <c r="A496" s="190" t="str">
        <f>IFERROR(__xludf.DUMMYFUNCTION("""COMPUTED_VALUE"""),"This War of Mine")</f>
        <v>This War of Mine</v>
      </c>
      <c r="B496" s="195" t="str">
        <f>IFERROR(__xludf.DUMMYFUNCTION("""COMPUTED_VALUE"""),"PC")</f>
        <v>PC</v>
      </c>
      <c r="C496" s="196"/>
      <c r="D496" s="196" t="str">
        <f>IFERROR(__xludf.DUMMYFUNCTION("""COMPUTED_VALUE"""),"Removed")</f>
        <v>Removed</v>
      </c>
      <c r="E496" s="197">
        <f>IFERROR(__xludf.DUMMYFUNCTION("""COMPUTED_VALUE"""),44273.0)</f>
        <v>44273</v>
      </c>
      <c r="F496" s="266">
        <f>IFERROR(__xludf.DUMMYFUNCTION("""COMPUTED_VALUE"""),44578.0)</f>
        <v>44578</v>
      </c>
      <c r="G496" s="199">
        <f>IFERROR(__xludf.DUMMYFUNCTION("""COMPUTED_VALUE"""),9.966666666666667)</f>
        <v>9.966666667</v>
      </c>
      <c r="H496" s="210">
        <f>IFERROR(__xludf.DUMMYFUNCTION("""COMPUTED_VALUE"""),41957.0)</f>
        <v>41957</v>
      </c>
      <c r="I496" s="199">
        <f>IFERROR(__xludf.DUMMYFUNCTION("""COMPUTED_VALUE"""),6.344444444444444)</f>
        <v>6.344444444</v>
      </c>
      <c r="J496" s="267">
        <f>IFERROR(__xludf.DUMMYFUNCTION("""COMPUTED_VALUE"""),83.0)</f>
        <v>83</v>
      </c>
      <c r="K496" s="267">
        <f>IFERROR(__xludf.DUMMYFUNCTION("""COMPUTED_VALUE"""),10.5)</f>
        <v>10.5</v>
      </c>
      <c r="L496" s="265" t="str">
        <f>IFERROR(__xludf.DUMMYFUNCTION("""COMPUTED_VALUE"""),"Strategy / Adventure")</f>
        <v>Strategy / Adventure</v>
      </c>
    </row>
    <row r="497">
      <c r="A497" s="269" t="str">
        <f>IFERROR(__xludf.DUMMYFUNCTION("""COMPUTED_VALUE"""),"Torchlight II")</f>
        <v>Torchlight II</v>
      </c>
      <c r="B497" s="195" t="str">
        <f>IFERROR(__xludf.DUMMYFUNCTION("""COMPUTED_VALUE"""),"PC")</f>
        <v>PC</v>
      </c>
      <c r="C497" s="195"/>
      <c r="D497" s="196" t="str">
        <f>IFERROR(__xludf.DUMMYFUNCTION("""COMPUTED_VALUE"""),"Removed")</f>
        <v>Removed</v>
      </c>
      <c r="E497" s="271">
        <f>IFERROR(__xludf.DUMMYFUNCTION("""COMPUTED_VALUE"""),44273.0)</f>
        <v>44273</v>
      </c>
      <c r="F497" s="266">
        <f>IFERROR(__xludf.DUMMYFUNCTION("""COMPUTED_VALUE"""),44578.0)</f>
        <v>44578</v>
      </c>
      <c r="G497" s="199">
        <f>IFERROR(__xludf.DUMMYFUNCTION("""COMPUTED_VALUE"""),9.966666666666667)</f>
        <v>9.966666667</v>
      </c>
      <c r="H497" s="210">
        <f>IFERROR(__xludf.DUMMYFUNCTION("""COMPUTED_VALUE"""),41172.0)</f>
        <v>41172</v>
      </c>
      <c r="I497" s="199">
        <f>IFERROR(__xludf.DUMMYFUNCTION("""COMPUTED_VALUE"""),8.494444444444444)</f>
        <v>8.494444444</v>
      </c>
      <c r="J497" s="200">
        <f>IFERROR(__xludf.DUMMYFUNCTION("""COMPUTED_VALUE"""),88.0)</f>
        <v>88</v>
      </c>
      <c r="K497" s="200">
        <f>IFERROR(__xludf.DUMMYFUNCTION("""COMPUTED_VALUE"""),20.5)</f>
        <v>20.5</v>
      </c>
      <c r="L497" s="201" t="str">
        <f>IFERROR(__xludf.DUMMYFUNCTION("""COMPUTED_VALUE"""),"Action / RPG")</f>
        <v>Action / RPG</v>
      </c>
    </row>
    <row r="498">
      <c r="A498" s="269" t="str">
        <f>IFERROR(__xludf.DUMMYFUNCTION("""COMPUTED_VALUE"""),"Trine 2: Complete Story")</f>
        <v>Trine 2: Complete Story</v>
      </c>
      <c r="B498" s="195" t="str">
        <f>IFERROR(__xludf.DUMMYFUNCTION("""COMPUTED_VALUE"""),"PC")</f>
        <v>PC</v>
      </c>
      <c r="C498" s="195"/>
      <c r="D498" s="196" t="str">
        <f>IFERROR(__xludf.DUMMYFUNCTION("""COMPUTED_VALUE"""),"Removed")</f>
        <v>Removed</v>
      </c>
      <c r="E498" s="271">
        <f>IFERROR(__xludf.DUMMYFUNCTION("""COMPUTED_VALUE"""),44273.0)</f>
        <v>44273</v>
      </c>
      <c r="F498" s="266">
        <f>IFERROR(__xludf.DUMMYFUNCTION("""COMPUTED_VALUE"""),44578.0)</f>
        <v>44578</v>
      </c>
      <c r="G498" s="199">
        <f>IFERROR(__xludf.DUMMYFUNCTION("""COMPUTED_VALUE"""),9.966666666666667)</f>
        <v>9.966666667</v>
      </c>
      <c r="H498" s="210">
        <f>IFERROR(__xludf.DUMMYFUNCTION("""COMPUTED_VALUE"""),40884.0)</f>
        <v>40884</v>
      </c>
      <c r="I498" s="199">
        <f>IFERROR(__xludf.DUMMYFUNCTION("""COMPUTED_VALUE"""),9.280555555555555)</f>
        <v>9.280555556</v>
      </c>
      <c r="J498" s="267">
        <f>IFERROR(__xludf.DUMMYFUNCTION("""COMPUTED_VALUE"""),84.0)</f>
        <v>84</v>
      </c>
      <c r="K498" s="200">
        <f>IFERROR(__xludf.DUMMYFUNCTION("""COMPUTED_VALUE"""),9.0)</f>
        <v>9</v>
      </c>
      <c r="L498" s="265" t="str">
        <f>IFERROR(__xludf.DUMMYFUNCTION("""COMPUTED_VALUE"""),"Puzzle / Platformer")</f>
        <v>Puzzle / Platformer</v>
      </c>
    </row>
    <row r="499">
      <c r="A499" s="269" t="str">
        <f>IFERROR(__xludf.DUMMYFUNCTION("""COMPUTED_VALUE"""),"Trine: Enchanted Edition")</f>
        <v>Trine: Enchanted Edition</v>
      </c>
      <c r="B499" s="196" t="str">
        <f>IFERROR(__xludf.DUMMYFUNCTION("""COMPUTED_VALUE"""),"PC")</f>
        <v>PC</v>
      </c>
      <c r="C499" s="196"/>
      <c r="D499" s="196" t="str">
        <f>IFERROR(__xludf.DUMMYFUNCTION("""COMPUTED_VALUE"""),"Removed")</f>
        <v>Removed</v>
      </c>
      <c r="E499" s="271">
        <f>IFERROR(__xludf.DUMMYFUNCTION("""COMPUTED_VALUE"""),44273.0)</f>
        <v>44273</v>
      </c>
      <c r="F499" s="266">
        <f>IFERROR(__xludf.DUMMYFUNCTION("""COMPUTED_VALUE"""),44578.0)</f>
        <v>44578</v>
      </c>
      <c r="G499" s="199">
        <f>IFERROR(__xludf.DUMMYFUNCTION("""COMPUTED_VALUE"""),9.966666666666667)</f>
        <v>9.966666667</v>
      </c>
      <c r="H499" s="210">
        <f>IFERROR(__xludf.DUMMYFUNCTION("""COMPUTED_VALUE"""),43070.0)</f>
        <v>43070</v>
      </c>
      <c r="I499" s="199">
        <f>IFERROR(__xludf.DUMMYFUNCTION("""COMPUTED_VALUE"""),3.297222222222222)</f>
        <v>3.297222222</v>
      </c>
      <c r="J499" s="200">
        <f>IFERROR(__xludf.DUMMYFUNCTION("""COMPUTED_VALUE"""),80.0)</f>
        <v>80</v>
      </c>
      <c r="K499" s="200">
        <f>IFERROR(__xludf.DUMMYFUNCTION("""COMPUTED_VALUE"""),4.5)</f>
        <v>4.5</v>
      </c>
      <c r="L499" s="201" t="str">
        <f>IFERROR(__xludf.DUMMYFUNCTION("""COMPUTED_VALUE"""),"RPG / Action-Adventure")</f>
        <v>RPG / Action-Adventure</v>
      </c>
    </row>
    <row r="500">
      <c r="A500" s="269" t="str">
        <f>IFERROR(__xludf.DUMMYFUNCTION("""COMPUTED_VALUE"""),"Ghost of a Tale")</f>
        <v>Ghost of a Tale</v>
      </c>
      <c r="B500" s="195" t="str">
        <f>IFERROR(__xludf.DUMMYFUNCTION("""COMPUTED_VALUE"""),"PC")</f>
        <v>PC</v>
      </c>
      <c r="C500" s="195"/>
      <c r="D500" s="196" t="str">
        <f>IFERROR(__xludf.DUMMYFUNCTION("""COMPUTED_VALUE"""),"Removed")</f>
        <v>Removed</v>
      </c>
      <c r="E500" s="271">
        <f>IFERROR(__xludf.DUMMYFUNCTION("""COMPUTED_VALUE"""),44231.0)</f>
        <v>44231</v>
      </c>
      <c r="F500" s="266">
        <f>IFERROR(__xludf.DUMMYFUNCTION("""COMPUTED_VALUE"""),44576.0)</f>
        <v>44576</v>
      </c>
      <c r="G500" s="199">
        <f>IFERROR(__xludf.DUMMYFUNCTION("""COMPUTED_VALUE"""),11.366666666666667)</f>
        <v>11.36666667</v>
      </c>
      <c r="H500" s="210">
        <f>IFERROR(__xludf.DUMMYFUNCTION("""COMPUTED_VALUE"""),43172.0)</f>
        <v>43172</v>
      </c>
      <c r="I500" s="199">
        <f>IFERROR(__xludf.DUMMYFUNCTION("""COMPUTED_VALUE"""),2.8916666666666666)</f>
        <v>2.891666667</v>
      </c>
      <c r="J500" s="267">
        <f>IFERROR(__xludf.DUMMYFUNCTION("""COMPUTED_VALUE"""),75.0)</f>
        <v>75</v>
      </c>
      <c r="K500" s="200">
        <f>IFERROR(__xludf.DUMMYFUNCTION("""COMPUTED_VALUE"""),10.5)</f>
        <v>10.5</v>
      </c>
      <c r="L500" s="265" t="str">
        <f>IFERROR(__xludf.DUMMYFUNCTION("""COMPUTED_VALUE"""),"RPG / Action-Adventure")</f>
        <v>RPG / Action-Adventure</v>
      </c>
    </row>
    <row r="501">
      <c r="A501" s="190" t="str">
        <f>IFERROR(__xludf.DUMMYFUNCTION("""COMPUTED_VALUE"""),"Desperados III")</f>
        <v>Desperados III</v>
      </c>
      <c r="B501" s="195" t="str">
        <f>IFERROR(__xludf.DUMMYFUNCTION("""COMPUTED_VALUE"""),"Xbox / PC")</f>
        <v>Xbox / PC</v>
      </c>
      <c r="C501" s="195" t="str">
        <f>IFERROR(__xludf.DUMMYFUNCTION("""COMPUTED_VALUE"""),"Touch Controls")</f>
        <v>Touch Controls</v>
      </c>
      <c r="D501" s="196" t="str">
        <f>IFERROR(__xludf.DUMMYFUNCTION("""COMPUTED_VALUE"""),"Removed")</f>
        <v>Removed</v>
      </c>
      <c r="E501" s="210">
        <f>IFERROR(__xludf.DUMMYFUNCTION("""COMPUTED_VALUE"""),44217.0)</f>
        <v>44217</v>
      </c>
      <c r="F501" s="266">
        <f>IFERROR(__xludf.DUMMYFUNCTION("""COMPUTED_VALUE"""),44576.0)</f>
        <v>44576</v>
      </c>
      <c r="G501" s="199">
        <f>IFERROR(__xludf.DUMMYFUNCTION("""COMPUTED_VALUE"""),11.799999999999999)</f>
        <v>11.8</v>
      </c>
      <c r="H501" s="210">
        <f>IFERROR(__xludf.DUMMYFUNCTION("""COMPUTED_VALUE"""),43998.0)</f>
        <v>43998</v>
      </c>
      <c r="I501" s="199">
        <f>IFERROR(__xludf.DUMMYFUNCTION("""COMPUTED_VALUE"""),0.5972222222222222)</f>
        <v>0.5972222222</v>
      </c>
      <c r="J501" s="200">
        <f>IFERROR(__xludf.DUMMYFUNCTION("""COMPUTED_VALUE"""),85.5)</f>
        <v>85.5</v>
      </c>
      <c r="K501" s="200">
        <f>IFERROR(__xludf.DUMMYFUNCTION("""COMPUTED_VALUE"""),26.5)</f>
        <v>26.5</v>
      </c>
      <c r="L501" s="201" t="str">
        <f>IFERROR(__xludf.DUMMYFUNCTION("""COMPUTED_VALUE"""),"Action / Strategy / Real-Time Strategy")</f>
        <v>Action / Strategy / Real-Time Strategy</v>
      </c>
    </row>
    <row r="502">
      <c r="A502" s="190" t="str">
        <f>IFERROR(__xludf.DUMMYFUNCTION("""COMPUTED_VALUE"""),"YIIK: A Postmodern RPG")</f>
        <v>YIIK: A Postmodern RPG</v>
      </c>
      <c r="B502" s="195" t="str">
        <f>IFERROR(__xludf.DUMMYFUNCTION("""COMPUTED_VALUE"""),"PC")</f>
        <v>PC</v>
      </c>
      <c r="C502" s="195"/>
      <c r="D502" s="196" t="str">
        <f>IFERROR(__xludf.DUMMYFUNCTION("""COMPUTED_VALUE"""),"Removed")</f>
        <v>Removed</v>
      </c>
      <c r="E502" s="210">
        <f>IFERROR(__xludf.DUMMYFUNCTION("""COMPUTED_VALUE"""),44210.0)</f>
        <v>44210</v>
      </c>
      <c r="F502" s="266">
        <f>IFERROR(__xludf.DUMMYFUNCTION("""COMPUTED_VALUE"""),44576.0)</f>
        <v>44576</v>
      </c>
      <c r="G502" s="199">
        <f>IFERROR(__xludf.DUMMYFUNCTION("""COMPUTED_VALUE"""),12.033333333333333)</f>
        <v>12.03333333</v>
      </c>
      <c r="H502" s="210">
        <f>IFERROR(__xludf.DUMMYFUNCTION("""COMPUTED_VALUE"""),43482.0)</f>
        <v>43482</v>
      </c>
      <c r="I502" s="199">
        <f>IFERROR(__xludf.DUMMYFUNCTION("""COMPUTED_VALUE"""),1.9916666666666667)</f>
        <v>1.991666667</v>
      </c>
      <c r="J502" s="200">
        <f>IFERROR(__xludf.DUMMYFUNCTION("""COMPUTED_VALUE"""),64.0)</f>
        <v>64</v>
      </c>
      <c r="K502" s="200">
        <f>IFERROR(__xludf.DUMMYFUNCTION("""COMPUTED_VALUE"""),56.0)</f>
        <v>56</v>
      </c>
      <c r="L502" s="201" t="str">
        <f>IFERROR(__xludf.DUMMYFUNCTION("""COMPUTED_VALUE"""),"RPG")</f>
        <v>RPG</v>
      </c>
    </row>
    <row r="503">
      <c r="A503" s="190" t="str">
        <f>IFERROR(__xludf.DUMMYFUNCTION("""COMPUTED_VALUE"""),"Mount &amp; Blade: Warband")</f>
        <v>Mount &amp; Blade: Warband</v>
      </c>
      <c r="B503" s="195" t="str">
        <f>IFERROR(__xludf.DUMMYFUNCTION("""COMPUTED_VALUE"""),"Xbox / PC")</f>
        <v>Xbox / PC</v>
      </c>
      <c r="C503" s="195" t="str">
        <f>IFERROR(__xludf.DUMMYFUNCTION("""COMPUTED_VALUE"""),"Yes")</f>
        <v>Yes</v>
      </c>
      <c r="D503" s="196" t="str">
        <f>IFERROR(__xludf.DUMMYFUNCTION("""COMPUTED_VALUE"""),"Removed")</f>
        <v>Removed</v>
      </c>
      <c r="E503" s="210">
        <f>IFERROR(__xludf.DUMMYFUNCTION("""COMPUTED_VALUE"""),44028.0)</f>
        <v>44028</v>
      </c>
      <c r="F503" s="266">
        <f>IFERROR(__xludf.DUMMYFUNCTION("""COMPUTED_VALUE"""),44576.0)</f>
        <v>44576</v>
      </c>
      <c r="G503" s="199">
        <f>IFERROR(__xludf.DUMMYFUNCTION("""COMPUTED_VALUE"""),17.96666666666667)</f>
        <v>17.96666667</v>
      </c>
      <c r="H503" s="210">
        <f>IFERROR(__xludf.DUMMYFUNCTION("""COMPUTED_VALUE"""),40267.0)</f>
        <v>40267</v>
      </c>
      <c r="I503" s="199">
        <f>IFERROR(__xludf.DUMMYFUNCTION("""COMPUTED_VALUE"""),10.294444444444444)</f>
        <v>10.29444444</v>
      </c>
      <c r="J503" s="200">
        <f>IFERROR(__xludf.DUMMYFUNCTION("""COMPUTED_VALUE"""),59.0)</f>
        <v>59</v>
      </c>
      <c r="K503" s="200">
        <f>IFERROR(__xludf.DUMMYFUNCTION("""COMPUTED_VALUE"""),120.0)</f>
        <v>120</v>
      </c>
      <c r="L503" s="201" t="str">
        <f>IFERROR(__xludf.DUMMYFUNCTION("""COMPUTED_VALUE"""),"Action / Strategy / RPG / Simulation")</f>
        <v>Action / Strategy / RPG / Simulation</v>
      </c>
    </row>
    <row r="504">
      <c r="A504" s="190" t="str">
        <f>IFERROR(__xludf.DUMMYFUNCTION("""COMPUTED_VALUE"""),"Pandemic: The Board Game")</f>
        <v>Pandemic: The Board Game</v>
      </c>
      <c r="B504" s="195" t="str">
        <f>IFERROR(__xludf.DUMMYFUNCTION("""COMPUTED_VALUE"""),"Xbox / PC")</f>
        <v>Xbox / PC</v>
      </c>
      <c r="C504" s="195"/>
      <c r="D504" s="196" t="str">
        <f>IFERROR(__xludf.DUMMYFUNCTION("""COMPUTED_VALUE"""),"Removed")</f>
        <v>Removed</v>
      </c>
      <c r="E504" s="210">
        <f>IFERROR(__xludf.DUMMYFUNCTION("""COMPUTED_VALUE"""),43678.0)</f>
        <v>43678</v>
      </c>
      <c r="F504" s="266">
        <f>IFERROR(__xludf.DUMMYFUNCTION("""COMPUTED_VALUE"""),44576.0)</f>
        <v>44576</v>
      </c>
      <c r="G504" s="199">
        <f>IFERROR(__xludf.DUMMYFUNCTION("""COMPUTED_VALUE"""),29.46666666666667)</f>
        <v>29.46666667</v>
      </c>
      <c r="H504" s="210">
        <f>IFERROR(__xludf.DUMMYFUNCTION("""COMPUTED_VALUE"""),43336.0)</f>
        <v>43336</v>
      </c>
      <c r="I504" s="199">
        <f>IFERROR(__xludf.DUMMYFUNCTION("""COMPUTED_VALUE"""),0.9361111111111111)</f>
        <v>0.9361111111</v>
      </c>
      <c r="J504" s="200">
        <f>IFERROR(__xludf.DUMMYFUNCTION("""COMPUTED_VALUE"""),60.0)</f>
        <v>60</v>
      </c>
      <c r="K504" s="200">
        <f>IFERROR(__xludf.DUMMYFUNCTION("""COMPUTED_VALUE"""),1.0)</f>
        <v>1</v>
      </c>
      <c r="L504" s="201" t="str">
        <f>IFERROR(__xludf.DUMMYFUNCTION("""COMPUTED_VALUE"""),"Trivia/Board Game")</f>
        <v>Trivia/Board Game</v>
      </c>
    </row>
    <row r="505">
      <c r="A505" s="190" t="str">
        <f>IFERROR(__xludf.DUMMYFUNCTION("""COMPUTED_VALUE"""),"PlayerUnknown's Battlegrounds")</f>
        <v>PlayerUnknown's Battlegrounds</v>
      </c>
      <c r="B505" s="195" t="str">
        <f>IFERROR(__xludf.DUMMYFUNCTION("""COMPUTED_VALUE"""),"Xbox")</f>
        <v>Xbox</v>
      </c>
      <c r="C505" s="195" t="str">
        <f>IFERROR(__xludf.DUMMYFUNCTION("""COMPUTED_VALUE"""),"Yes")</f>
        <v>Yes</v>
      </c>
      <c r="D505" s="196" t="str">
        <f>IFERROR(__xludf.DUMMYFUNCTION("""COMPUTED_VALUE"""),"Removed")</f>
        <v>Removed</v>
      </c>
      <c r="E505" s="210">
        <f>IFERROR(__xludf.DUMMYFUNCTION("""COMPUTED_VALUE"""),43416.0)</f>
        <v>43416</v>
      </c>
      <c r="F505" s="266">
        <f>IFERROR(__xludf.DUMMYFUNCTION("""COMPUTED_VALUE"""),44571.0)</f>
        <v>44571</v>
      </c>
      <c r="G505" s="199">
        <f>IFERROR(__xludf.DUMMYFUNCTION("""COMPUTED_VALUE"""),37.93333333333333)</f>
        <v>37.93333333</v>
      </c>
      <c r="H505" s="210">
        <f>IFERROR(__xludf.DUMMYFUNCTION("""COMPUTED_VALUE"""),42817.0)</f>
        <v>42817</v>
      </c>
      <c r="I505" s="199">
        <f>IFERROR(__xludf.DUMMYFUNCTION("""COMPUTED_VALUE"""),1.636111111111111)</f>
        <v>1.636111111</v>
      </c>
      <c r="J505" s="200">
        <f>IFERROR(__xludf.DUMMYFUNCTION("""COMPUTED_VALUE"""),85.0)</f>
        <v>85</v>
      </c>
      <c r="K505" s="200">
        <f>IFERROR(__xludf.DUMMYFUNCTION("""COMPUTED_VALUE"""),142.0)</f>
        <v>142</v>
      </c>
      <c r="L505" s="201" t="str">
        <f>IFERROR(__xludf.DUMMYFUNCTION("""COMPUTED_VALUE"""),"Shooter / First-Person Shooter")</f>
        <v>Shooter / First-Person Shooter</v>
      </c>
    </row>
    <row r="506">
      <c r="A506" s="190" t="str">
        <f>IFERROR(__xludf.DUMMYFUNCTION("""COMPUTED_VALUE"""),"eFootball PES 2021")</f>
        <v>eFootball PES 2021</v>
      </c>
      <c r="B506" s="195" t="str">
        <f>IFERROR(__xludf.DUMMYFUNCTION("""COMPUTED_VALUE"""),"Xbox")</f>
        <v>Xbox</v>
      </c>
      <c r="C506" s="195" t="str">
        <f>IFERROR(__xludf.DUMMYFUNCTION("""COMPUTED_VALUE"""),"Yes")</f>
        <v>Yes</v>
      </c>
      <c r="D506" s="196" t="str">
        <f>IFERROR(__xludf.DUMMYFUNCTION("""COMPUTED_VALUE"""),"Removed")</f>
        <v>Removed</v>
      </c>
      <c r="E506" s="210">
        <f>IFERROR(__xludf.DUMMYFUNCTION("""COMPUTED_VALUE"""),44203.0)</f>
        <v>44203</v>
      </c>
      <c r="F506" s="266">
        <f>IFERROR(__xludf.DUMMYFUNCTION("""COMPUTED_VALUE"""),44561.0)</f>
        <v>44561</v>
      </c>
      <c r="G506" s="199">
        <f>IFERROR(__xludf.DUMMYFUNCTION("""COMPUTED_VALUE"""),11.766666666666666)</f>
        <v>11.76666667</v>
      </c>
      <c r="H506" s="210">
        <f>IFERROR(__xludf.DUMMYFUNCTION("""COMPUTED_VALUE"""),44089.0)</f>
        <v>44089</v>
      </c>
      <c r="I506" s="199">
        <f>IFERROR(__xludf.DUMMYFUNCTION("""COMPUTED_VALUE"""),0.3111111111111111)</f>
        <v>0.3111111111</v>
      </c>
      <c r="J506" s="200">
        <f>IFERROR(__xludf.DUMMYFUNCTION("""COMPUTED_VALUE"""),73.0)</f>
        <v>73</v>
      </c>
      <c r="K506" s="200">
        <f>IFERROR(__xludf.DUMMYFUNCTION("""COMPUTED_VALUE"""),15.0)</f>
        <v>15</v>
      </c>
      <c r="L506" s="201" t="str">
        <f>IFERROR(__xludf.DUMMYFUNCTION("""COMPUTED_VALUE"""),"Soccer")</f>
        <v>Soccer</v>
      </c>
    </row>
    <row r="507">
      <c r="A507" s="190" t="str">
        <f>IFERROR(__xludf.DUMMYFUNCTION("""COMPUTED_VALUE"""),"The Little Acre")</f>
        <v>The Little Acre</v>
      </c>
      <c r="B507" s="195" t="str">
        <f>IFERROR(__xludf.DUMMYFUNCTION("""COMPUTED_VALUE"""),"Xbox")</f>
        <v>Xbox</v>
      </c>
      <c r="C507" s="195" t="str">
        <f>IFERROR(__xludf.DUMMYFUNCTION("""COMPUTED_VALUE"""),"Touch Controls")</f>
        <v>Touch Controls</v>
      </c>
      <c r="D507" s="196" t="str">
        <f>IFERROR(__xludf.DUMMYFUNCTION("""COMPUTED_VALUE"""),"Removed")</f>
        <v>Removed</v>
      </c>
      <c r="E507" s="210">
        <f>IFERROR(__xludf.DUMMYFUNCTION("""COMPUTED_VALUE"""),44203.0)</f>
        <v>44203</v>
      </c>
      <c r="F507" s="266">
        <f>IFERROR(__xludf.DUMMYFUNCTION("""COMPUTED_VALUE"""),44561.0)</f>
        <v>44561</v>
      </c>
      <c r="G507" s="199">
        <f>IFERROR(__xludf.DUMMYFUNCTION("""COMPUTED_VALUE"""),11.766666666666666)</f>
        <v>11.76666667</v>
      </c>
      <c r="H507" s="210">
        <f>IFERROR(__xludf.DUMMYFUNCTION("""COMPUTED_VALUE"""),42717.0)</f>
        <v>42717</v>
      </c>
      <c r="I507" s="199">
        <f>IFERROR(__xludf.DUMMYFUNCTION("""COMPUTED_VALUE"""),4.066666666666666)</f>
        <v>4.066666667</v>
      </c>
      <c r="J507" s="200">
        <f>IFERROR(__xludf.DUMMYFUNCTION("""COMPUTED_VALUE"""),75.0)</f>
        <v>75</v>
      </c>
      <c r="K507" s="200">
        <f>IFERROR(__xludf.DUMMYFUNCTION("""COMPUTED_VALUE"""),2.0)</f>
        <v>2</v>
      </c>
      <c r="L507" s="201" t="str">
        <f>IFERROR(__xludf.DUMMYFUNCTION("""COMPUTED_VALUE"""),"Adventure")</f>
        <v>Adventure</v>
      </c>
    </row>
    <row r="508">
      <c r="A508" s="269" t="str">
        <f>IFERROR(__xludf.DUMMYFUNCTION("""COMPUTED_VALUE"""),"Beholder: Complete Edition")</f>
        <v>Beholder: Complete Edition</v>
      </c>
      <c r="B508" s="195" t="str">
        <f>IFERROR(__xludf.DUMMYFUNCTION("""COMPUTED_VALUE"""),"Xbox / PC")</f>
        <v>Xbox / PC</v>
      </c>
      <c r="C508" s="195" t="str">
        <f>IFERROR(__xludf.DUMMYFUNCTION("""COMPUTED_VALUE"""),"Touch Controls")</f>
        <v>Touch Controls</v>
      </c>
      <c r="D508" s="196" t="str">
        <f>IFERROR(__xludf.DUMMYFUNCTION("""COMPUTED_VALUE"""),"Removed")</f>
        <v>Removed</v>
      </c>
      <c r="E508" s="271">
        <f>IFERROR(__xludf.DUMMYFUNCTION("""COMPUTED_VALUE"""),44182.0)</f>
        <v>44182</v>
      </c>
      <c r="F508" s="266">
        <f>IFERROR(__xludf.DUMMYFUNCTION("""COMPUTED_VALUE"""),44545.0)</f>
        <v>44545</v>
      </c>
      <c r="G508" s="199">
        <f>IFERROR(__xludf.DUMMYFUNCTION("""COMPUTED_VALUE"""),11.933333333333334)</f>
        <v>11.93333333</v>
      </c>
      <c r="H508" s="210">
        <f>IFERROR(__xludf.DUMMYFUNCTION("""COMPUTED_VALUE"""),43116.0)</f>
        <v>43116</v>
      </c>
      <c r="I508" s="199">
        <f>IFERROR(__xludf.DUMMYFUNCTION("""COMPUTED_VALUE"""),2.9194444444444443)</f>
        <v>2.919444444</v>
      </c>
      <c r="J508" s="267">
        <f>IFERROR(__xludf.DUMMYFUNCTION("""COMPUTED_VALUE"""),74.0)</f>
        <v>74</v>
      </c>
      <c r="K508" s="200">
        <f>IFERROR(__xludf.DUMMYFUNCTION("""COMPUTED_VALUE"""),5.5)</f>
        <v>5.5</v>
      </c>
      <c r="L508" s="265" t="str">
        <f>IFERROR(__xludf.DUMMYFUNCTION("""COMPUTED_VALUE"""),"Strategy / Simulation")</f>
        <v>Strategy / Simulation</v>
      </c>
    </row>
    <row r="509">
      <c r="A509" s="269" t="str">
        <f>IFERROR(__xludf.DUMMYFUNCTION("""COMPUTED_VALUE"""),"Wilmot's Warehouse")</f>
        <v>Wilmot's Warehouse</v>
      </c>
      <c r="B509" s="195" t="str">
        <f>IFERROR(__xludf.DUMMYFUNCTION("""COMPUTED_VALUE"""),"Xbox / PC")</f>
        <v>Xbox / PC</v>
      </c>
      <c r="C509" s="195"/>
      <c r="D509" s="196" t="str">
        <f>IFERROR(__xludf.DUMMYFUNCTION("""COMPUTED_VALUE"""),"Removed")</f>
        <v>Removed</v>
      </c>
      <c r="E509" s="271">
        <f>IFERROR(__xludf.DUMMYFUNCTION("""COMPUTED_VALUE"""),44182.0)</f>
        <v>44182</v>
      </c>
      <c r="F509" s="266">
        <f>IFERROR(__xludf.DUMMYFUNCTION("""COMPUTED_VALUE"""),44545.0)</f>
        <v>44545</v>
      </c>
      <c r="G509" s="199">
        <f>IFERROR(__xludf.DUMMYFUNCTION("""COMPUTED_VALUE"""),11.933333333333334)</f>
        <v>11.93333333</v>
      </c>
      <c r="H509" s="210">
        <f>IFERROR(__xludf.DUMMYFUNCTION("""COMPUTED_VALUE"""),43706.0)</f>
        <v>43706</v>
      </c>
      <c r="I509" s="199">
        <f>IFERROR(__xludf.DUMMYFUNCTION("""COMPUTED_VALUE"""),1.3)</f>
        <v>1.3</v>
      </c>
      <c r="J509" s="267">
        <f>IFERROR(__xludf.DUMMYFUNCTION("""COMPUTED_VALUE"""),85.0)</f>
        <v>85</v>
      </c>
      <c r="K509" s="200">
        <f>IFERROR(__xludf.DUMMYFUNCTION("""COMPUTED_VALUE"""),8.5)</f>
        <v>8.5</v>
      </c>
      <c r="L509" s="265" t="str">
        <f>IFERROR(__xludf.DUMMYFUNCTION("""COMPUTED_VALUE"""),"Puzzle")</f>
        <v>Puzzle</v>
      </c>
    </row>
    <row r="510">
      <c r="A510" s="269" t="str">
        <f>IFERROR(__xludf.DUMMYFUNCTION("""COMPUTED_VALUE"""),"Yooka-Laylee and the Impossible Lair")</f>
        <v>Yooka-Laylee and the Impossible Lair</v>
      </c>
      <c r="B510" s="195" t="str">
        <f>IFERROR(__xludf.DUMMYFUNCTION("""COMPUTED_VALUE"""),"Xbox / PC")</f>
        <v>Xbox / PC</v>
      </c>
      <c r="C510" s="196" t="str">
        <f>IFERROR(__xludf.DUMMYFUNCTION("""COMPUTED_VALUE"""),"Touch Controls")</f>
        <v>Touch Controls</v>
      </c>
      <c r="D510" s="196" t="str">
        <f>IFERROR(__xludf.DUMMYFUNCTION("""COMPUTED_VALUE"""),"Removed")</f>
        <v>Removed</v>
      </c>
      <c r="E510" s="271">
        <f>IFERROR(__xludf.DUMMYFUNCTION("""COMPUTED_VALUE"""),44175.0)</f>
        <v>44175</v>
      </c>
      <c r="F510" s="266">
        <f>IFERROR(__xludf.DUMMYFUNCTION("""COMPUTED_VALUE"""),44545.0)</f>
        <v>44545</v>
      </c>
      <c r="G510" s="199">
        <f>IFERROR(__xludf.DUMMYFUNCTION("""COMPUTED_VALUE"""),12.166666666666666)</f>
        <v>12.16666667</v>
      </c>
      <c r="H510" s="210">
        <f>IFERROR(__xludf.DUMMYFUNCTION("""COMPUTED_VALUE"""),43746.0)</f>
        <v>43746</v>
      </c>
      <c r="I510" s="199">
        <f>IFERROR(__xludf.DUMMYFUNCTION("""COMPUTED_VALUE"""),1.1722222222222223)</f>
        <v>1.172222222</v>
      </c>
      <c r="J510" s="267">
        <f>IFERROR(__xludf.DUMMYFUNCTION("""COMPUTED_VALUE"""),82.5)</f>
        <v>82.5</v>
      </c>
      <c r="K510" s="200">
        <f>IFERROR(__xludf.DUMMYFUNCTION("""COMPUTED_VALUE"""),13.0)</f>
        <v>13</v>
      </c>
      <c r="L510" s="201" t="str">
        <f>IFERROR(__xludf.DUMMYFUNCTION("""COMPUTED_VALUE"""),"Platformer")</f>
        <v>Platformer</v>
      </c>
    </row>
    <row r="511">
      <c r="A511" s="190" t="str">
        <f>IFERROR(__xludf.DUMMYFUNCTION("""COMPUTED_VALUE"""),"Unto the End")</f>
        <v>Unto the End</v>
      </c>
      <c r="B511" s="195" t="str">
        <f>IFERROR(__xludf.DUMMYFUNCTION("""COMPUTED_VALUE"""),"Xbox / PC")</f>
        <v>Xbox / PC</v>
      </c>
      <c r="C511" s="195"/>
      <c r="D511" s="196" t="str">
        <f>IFERROR(__xludf.DUMMYFUNCTION("""COMPUTED_VALUE"""),"Removed")</f>
        <v>Removed</v>
      </c>
      <c r="E511" s="271">
        <f>IFERROR(__xludf.DUMMYFUNCTION("""COMPUTED_VALUE"""),44174.0)</f>
        <v>44174</v>
      </c>
      <c r="F511" s="266">
        <f>IFERROR(__xludf.DUMMYFUNCTION("""COMPUTED_VALUE"""),44545.0)</f>
        <v>44545</v>
      </c>
      <c r="G511" s="199">
        <f>IFERROR(__xludf.DUMMYFUNCTION("""COMPUTED_VALUE"""),12.2)</f>
        <v>12.2</v>
      </c>
      <c r="H511" s="210">
        <f>IFERROR(__xludf.DUMMYFUNCTION("""COMPUTED_VALUE"""),44174.0)</f>
        <v>44174</v>
      </c>
      <c r="I511" s="199">
        <f>IFERROR(__xludf.DUMMYFUNCTION("""COMPUTED_VALUE"""),0.0)</f>
        <v>0</v>
      </c>
      <c r="J511" s="200">
        <f>IFERROR(__xludf.DUMMYFUNCTION("""COMPUTED_VALUE"""),65.5)</f>
        <v>65.5</v>
      </c>
      <c r="K511" s="200">
        <f>IFERROR(__xludf.DUMMYFUNCTION("""COMPUTED_VALUE"""),4.5)</f>
        <v>4.5</v>
      </c>
      <c r="L511" s="265" t="str">
        <f>IFERROR(__xludf.DUMMYFUNCTION("""COMPUTED_VALUE"""),"Action-Adventure")</f>
        <v>Action-Adventure</v>
      </c>
    </row>
    <row r="512">
      <c r="A512" s="269" t="str">
        <f>IFERROR(__xludf.DUMMYFUNCTION("""COMPUTED_VALUE"""),"The Dark Pictures Anthology: Man Of Medan")</f>
        <v>The Dark Pictures Anthology: Man Of Medan</v>
      </c>
      <c r="B512" s="196" t="str">
        <f>IFERROR(__xludf.DUMMYFUNCTION("""COMPUTED_VALUE"""),"Xbox / PC")</f>
        <v>Xbox / PC</v>
      </c>
      <c r="C512" s="196"/>
      <c r="D512" s="196" t="str">
        <f>IFERROR(__xludf.DUMMYFUNCTION("""COMPUTED_VALUE"""),"Removed")</f>
        <v>Removed</v>
      </c>
      <c r="E512" s="271">
        <f>IFERROR(__xludf.DUMMYFUNCTION("""COMPUTED_VALUE"""),44049.0)</f>
        <v>44049</v>
      </c>
      <c r="F512" s="266">
        <f>IFERROR(__xludf.DUMMYFUNCTION("""COMPUTED_VALUE"""),44545.0)</f>
        <v>44545</v>
      </c>
      <c r="G512" s="199">
        <f>IFERROR(__xludf.DUMMYFUNCTION("""COMPUTED_VALUE"""),16.3)</f>
        <v>16.3</v>
      </c>
      <c r="H512" s="210">
        <f>IFERROR(__xludf.DUMMYFUNCTION("""COMPUTED_VALUE"""),43707.0)</f>
        <v>43707</v>
      </c>
      <c r="I512" s="199">
        <f>IFERROR(__xludf.DUMMYFUNCTION("""COMPUTED_VALUE"""),0.9333333333333333)</f>
        <v>0.9333333333</v>
      </c>
      <c r="J512" s="200">
        <f>IFERROR(__xludf.DUMMYFUNCTION("""COMPUTED_VALUE"""),69.0)</f>
        <v>69</v>
      </c>
      <c r="K512" s="200">
        <f>IFERROR(__xludf.DUMMYFUNCTION("""COMPUTED_VALUE"""),4.0)</f>
        <v>4</v>
      </c>
      <c r="L512" s="201" t="str">
        <f>IFERROR(__xludf.DUMMYFUNCTION("""COMPUTED_VALUE"""),"Adventure")</f>
        <v>Adventure</v>
      </c>
    </row>
    <row r="513">
      <c r="A513" s="269" t="str">
        <f>IFERROR(__xludf.DUMMYFUNCTION("""COMPUTED_VALUE"""),"Guacamelee! 2")</f>
        <v>Guacamelee! 2</v>
      </c>
      <c r="B513" s="195" t="str">
        <f>IFERROR(__xludf.DUMMYFUNCTION("""COMPUTED_VALUE"""),"Xbox / PC")</f>
        <v>Xbox / PC</v>
      </c>
      <c r="C513" s="195" t="str">
        <f>IFERROR(__xludf.DUMMYFUNCTION("""COMPUTED_VALUE"""),"Touch Controls")</f>
        <v>Touch Controls</v>
      </c>
      <c r="D513" s="196" t="str">
        <f>IFERROR(__xludf.DUMMYFUNCTION("""COMPUTED_VALUE"""),"Removed")</f>
        <v>Removed</v>
      </c>
      <c r="E513" s="271">
        <f>IFERROR(__xludf.DUMMYFUNCTION("""COMPUTED_VALUE"""),43625.0)</f>
        <v>43625</v>
      </c>
      <c r="F513" s="266">
        <f>IFERROR(__xludf.DUMMYFUNCTION("""COMPUTED_VALUE"""),44545.0)</f>
        <v>44545</v>
      </c>
      <c r="G513" s="199">
        <f>IFERROR(__xludf.DUMMYFUNCTION("""COMPUTED_VALUE"""),30.2)</f>
        <v>30.2</v>
      </c>
      <c r="H513" s="210">
        <f>IFERROR(__xludf.DUMMYFUNCTION("""COMPUTED_VALUE"""),43333.0)</f>
        <v>43333</v>
      </c>
      <c r="I513" s="199">
        <f>IFERROR(__xludf.DUMMYFUNCTION("""COMPUTED_VALUE"""),0.8)</f>
        <v>0.8</v>
      </c>
      <c r="J513" s="267">
        <f>IFERROR(__xludf.DUMMYFUNCTION("""COMPUTED_VALUE"""),85.0)</f>
        <v>85</v>
      </c>
      <c r="K513" s="200">
        <f>IFERROR(__xludf.DUMMYFUNCTION("""COMPUTED_VALUE"""),8.5)</f>
        <v>8.5</v>
      </c>
      <c r="L513" s="265" t="str">
        <f>IFERROR(__xludf.DUMMYFUNCTION("""COMPUTED_VALUE"""),"Brawler / Platformer / Action-Adventure")</f>
        <v>Brawler / Platformer / Action-Adventure</v>
      </c>
    </row>
    <row r="514">
      <c r="A514" s="269" t="str">
        <f>IFERROR(__xludf.DUMMYFUNCTION("""COMPUTED_VALUE"""),"SUPERHOT")</f>
        <v>SUPERHOT</v>
      </c>
      <c r="B514" s="195" t="str">
        <f>IFERROR(__xludf.DUMMYFUNCTION("""COMPUTED_VALUE"""),"PC")</f>
        <v>PC</v>
      </c>
      <c r="C514" s="196"/>
      <c r="D514" s="196" t="str">
        <f>IFERROR(__xludf.DUMMYFUNCTION("""COMPUTED_VALUE"""),"Removed")</f>
        <v>Removed</v>
      </c>
      <c r="E514" s="271">
        <f>IFERROR(__xludf.DUMMYFUNCTION("""COMPUTED_VALUE"""),43622.0)</f>
        <v>43622</v>
      </c>
      <c r="F514" s="266">
        <f>IFERROR(__xludf.DUMMYFUNCTION("""COMPUTED_VALUE"""),44540.0)</f>
        <v>44540</v>
      </c>
      <c r="G514" s="199">
        <f>IFERROR(__xludf.DUMMYFUNCTION("""COMPUTED_VALUE"""),30.133333333333333)</f>
        <v>30.13333333</v>
      </c>
      <c r="H514" s="210">
        <f>IFERROR(__xludf.DUMMYFUNCTION("""COMPUTED_VALUE"""),42425.0)</f>
        <v>42425</v>
      </c>
      <c r="I514" s="199">
        <f>IFERROR(__xludf.DUMMYFUNCTION("""COMPUTED_VALUE"""),3.2805555555555554)</f>
        <v>3.280555556</v>
      </c>
      <c r="J514" s="267">
        <f>IFERROR(__xludf.DUMMYFUNCTION("""COMPUTED_VALUE"""),83.0)</f>
        <v>83</v>
      </c>
      <c r="K514" s="200">
        <f>IFERROR(__xludf.DUMMYFUNCTION("""COMPUTED_VALUE"""),2.5)</f>
        <v>2.5</v>
      </c>
      <c r="L514" s="265" t="str">
        <f>IFERROR(__xludf.DUMMYFUNCTION("""COMPUTED_VALUE"""),"First-Person Shooter")</f>
        <v>First-Person Shooter</v>
      </c>
    </row>
    <row r="515">
      <c r="A515" s="269" t="str">
        <f>IFERROR(__xludf.DUMMYFUNCTION("""COMPUTED_VALUE"""),"Football Manager 2021")</f>
        <v>Football Manager 2021</v>
      </c>
      <c r="B515" s="196" t="str">
        <f>IFERROR(__xludf.DUMMYFUNCTION("""COMPUTED_VALUE"""),"Xbox / PC")</f>
        <v>Xbox / PC</v>
      </c>
      <c r="C515" s="196" t="str">
        <f>IFERROR(__xludf.DUMMYFUNCTION("""COMPUTED_VALUE"""),"Yes")</f>
        <v>Yes</v>
      </c>
      <c r="D515" s="196" t="str">
        <f>IFERROR(__xludf.DUMMYFUNCTION("""COMPUTED_VALUE"""),"Removed")</f>
        <v>Removed</v>
      </c>
      <c r="E515" s="271">
        <f>IFERROR(__xludf.DUMMYFUNCTION("""COMPUTED_VALUE"""),44259.0)</f>
        <v>44259</v>
      </c>
      <c r="F515" s="266">
        <f>IFERROR(__xludf.DUMMYFUNCTION("""COMPUTED_VALUE"""),44530.0)</f>
        <v>44530</v>
      </c>
      <c r="G515" s="199">
        <f>IFERROR(__xludf.DUMMYFUNCTION("""COMPUTED_VALUE"""),8.866666666666667)</f>
        <v>8.866666667</v>
      </c>
      <c r="H515" s="210">
        <f>IFERROR(__xludf.DUMMYFUNCTION("""COMPUTED_VALUE"""),44159.0)</f>
        <v>44159</v>
      </c>
      <c r="I515" s="199">
        <f>IFERROR(__xludf.DUMMYFUNCTION("""COMPUTED_VALUE"""),0.2777777777777778)</f>
        <v>0.2777777778</v>
      </c>
      <c r="J515" s="267">
        <f>IFERROR(__xludf.DUMMYFUNCTION("""COMPUTED_VALUE"""),81.5)</f>
        <v>81.5</v>
      </c>
      <c r="K515" s="200">
        <f>IFERROR(__xludf.DUMMYFUNCTION("""COMPUTED_VALUE"""),117.0)</f>
        <v>117</v>
      </c>
      <c r="L515" s="201" t="str">
        <f>IFERROR(__xludf.DUMMYFUNCTION("""COMPUTED_VALUE"""),"Simulation")</f>
        <v>Simulation</v>
      </c>
    </row>
    <row r="516">
      <c r="A516" s="269" t="str">
        <f>IFERROR(__xludf.DUMMYFUNCTION("""COMPUTED_VALUE"""),"Mørkredd")</f>
        <v>Mørkredd</v>
      </c>
      <c r="B516" s="195" t="str">
        <f>IFERROR(__xludf.DUMMYFUNCTION("""COMPUTED_VALUE"""),"Xbox / PC")</f>
        <v>Xbox / PC</v>
      </c>
      <c r="C516" s="195" t="str">
        <f>IFERROR(__xludf.DUMMYFUNCTION("""COMPUTED_VALUE"""),"Touch Controls")</f>
        <v>Touch Controls</v>
      </c>
      <c r="D516" s="196" t="str">
        <f>IFERROR(__xludf.DUMMYFUNCTION("""COMPUTED_VALUE"""),"Removed")</f>
        <v>Removed</v>
      </c>
      <c r="E516" s="271">
        <f>IFERROR(__xludf.DUMMYFUNCTION("""COMPUTED_VALUE"""),44176.0)</f>
        <v>44176</v>
      </c>
      <c r="F516" s="266">
        <f>IFERROR(__xludf.DUMMYFUNCTION("""COMPUTED_VALUE"""),44530.0)</f>
        <v>44530</v>
      </c>
      <c r="G516" s="199">
        <f>IFERROR(__xludf.DUMMYFUNCTION("""COMPUTED_VALUE"""),11.633333333333333)</f>
        <v>11.63333333</v>
      </c>
      <c r="H516" s="210">
        <f>IFERROR(__xludf.DUMMYFUNCTION("""COMPUTED_VALUE"""),44176.0)</f>
        <v>44176</v>
      </c>
      <c r="I516" s="199">
        <f>IFERROR(__xludf.DUMMYFUNCTION("""COMPUTED_VALUE"""),0.0)</f>
        <v>0</v>
      </c>
      <c r="J516" s="267">
        <f>IFERROR(__xludf.DUMMYFUNCTION("""COMPUTED_VALUE"""),66.5)</f>
        <v>66.5</v>
      </c>
      <c r="K516" s="200">
        <f>IFERROR(__xludf.DUMMYFUNCTION("""COMPUTED_VALUE"""),2.5)</f>
        <v>2.5</v>
      </c>
      <c r="L516" s="201" t="str">
        <f>IFERROR(__xludf.DUMMYFUNCTION("""COMPUTED_VALUE"""),"Puzzle")</f>
        <v>Puzzle</v>
      </c>
    </row>
    <row r="517">
      <c r="A517" s="269" t="str">
        <f>IFERROR(__xludf.DUMMYFUNCTION("""COMPUTED_VALUE"""),"Call of the Sea")</f>
        <v>Call of the Sea</v>
      </c>
      <c r="B517" s="195" t="str">
        <f>IFERROR(__xludf.DUMMYFUNCTION("""COMPUTED_VALUE"""),"Xbox / PC")</f>
        <v>Xbox / PC</v>
      </c>
      <c r="C517" s="195" t="str">
        <f>IFERROR(__xludf.DUMMYFUNCTION("""COMPUTED_VALUE"""),"Touch Controls")</f>
        <v>Touch Controls</v>
      </c>
      <c r="D517" s="196" t="str">
        <f>IFERROR(__xludf.DUMMYFUNCTION("""COMPUTED_VALUE"""),"Removed")</f>
        <v>Removed</v>
      </c>
      <c r="E517" s="271">
        <f>IFERROR(__xludf.DUMMYFUNCTION("""COMPUTED_VALUE"""),44173.0)</f>
        <v>44173</v>
      </c>
      <c r="F517" s="266">
        <f>IFERROR(__xludf.DUMMYFUNCTION("""COMPUTED_VALUE"""),44530.0)</f>
        <v>44530</v>
      </c>
      <c r="G517" s="199">
        <f>IFERROR(__xludf.DUMMYFUNCTION("""COMPUTED_VALUE"""),11.733333333333333)</f>
        <v>11.73333333</v>
      </c>
      <c r="H517" s="210">
        <f>IFERROR(__xludf.DUMMYFUNCTION("""COMPUTED_VALUE"""),44173.0)</f>
        <v>44173</v>
      </c>
      <c r="I517" s="199">
        <f>IFERROR(__xludf.DUMMYFUNCTION("""COMPUTED_VALUE"""),0.0)</f>
        <v>0</v>
      </c>
      <c r="J517" s="267">
        <f>IFERROR(__xludf.DUMMYFUNCTION("""COMPUTED_VALUE"""),78.66666666666667)</f>
        <v>78.66666667</v>
      </c>
      <c r="K517" s="267">
        <f>IFERROR(__xludf.DUMMYFUNCTION("""COMPUTED_VALUE"""),6.0)</f>
        <v>6</v>
      </c>
      <c r="L517" s="265" t="str">
        <f>IFERROR(__xludf.DUMMYFUNCTION("""COMPUTED_VALUE"""),"Adventure / RPG")</f>
        <v>Adventure / RPG</v>
      </c>
    </row>
    <row r="518">
      <c r="A518" s="269" t="str">
        <f>IFERROR(__xludf.DUMMYFUNCTION("""COMPUTED_VALUE"""),"Haven")</f>
        <v>Haven</v>
      </c>
      <c r="B518" s="195" t="str">
        <f>IFERROR(__xludf.DUMMYFUNCTION("""COMPUTED_VALUE"""),"Xbox / PC")</f>
        <v>Xbox / PC</v>
      </c>
      <c r="C518" s="195" t="str">
        <f>IFERROR(__xludf.DUMMYFUNCTION("""COMPUTED_VALUE"""),"Touch Controls")</f>
        <v>Touch Controls</v>
      </c>
      <c r="D518" s="196" t="str">
        <f>IFERROR(__xludf.DUMMYFUNCTION("""COMPUTED_VALUE"""),"Removed")</f>
        <v>Removed</v>
      </c>
      <c r="E518" s="271">
        <f>IFERROR(__xludf.DUMMYFUNCTION("""COMPUTED_VALUE"""),44168.0)</f>
        <v>44168</v>
      </c>
      <c r="F518" s="266">
        <f>IFERROR(__xludf.DUMMYFUNCTION("""COMPUTED_VALUE"""),44530.0)</f>
        <v>44530</v>
      </c>
      <c r="G518" s="199">
        <f>IFERROR(__xludf.DUMMYFUNCTION("""COMPUTED_VALUE"""),11.9)</f>
        <v>11.9</v>
      </c>
      <c r="H518" s="210">
        <f>IFERROR(__xludf.DUMMYFUNCTION("""COMPUTED_VALUE"""),44168.0)</f>
        <v>44168</v>
      </c>
      <c r="I518" s="199">
        <f>IFERROR(__xludf.DUMMYFUNCTION("""COMPUTED_VALUE"""),0.0)</f>
        <v>0</v>
      </c>
      <c r="J518" s="267">
        <f>IFERROR(__xludf.DUMMYFUNCTION("""COMPUTED_VALUE"""),75.0)</f>
        <v>75</v>
      </c>
      <c r="K518" s="200">
        <f>IFERROR(__xludf.DUMMYFUNCTION("""COMPUTED_VALUE"""),10.0)</f>
        <v>10</v>
      </c>
      <c r="L518" s="265" t="str">
        <f>IFERROR(__xludf.DUMMYFUNCTION("""COMPUTED_VALUE"""),"Adventure / RPG")</f>
        <v>Adventure / RPG</v>
      </c>
    </row>
    <row r="519">
      <c r="A519" s="190" t="str">
        <f>IFERROR(__xludf.DUMMYFUNCTION("""COMPUTED_VALUE"""),"Va-11 Hall-A: Cyberpunk Bartender Action")</f>
        <v>Va-11 Hall-A: Cyberpunk Bartender Action</v>
      </c>
      <c r="B519" s="195" t="str">
        <f>IFERROR(__xludf.DUMMYFUNCTION("""COMPUTED_VALUE"""),"PC")</f>
        <v>PC</v>
      </c>
      <c r="C519" s="195"/>
      <c r="D519" s="196" t="str">
        <f>IFERROR(__xludf.DUMMYFUNCTION("""COMPUTED_VALUE"""),"Removed")</f>
        <v>Removed</v>
      </c>
      <c r="E519" s="197">
        <f>IFERROR(__xludf.DUMMYFUNCTION("""COMPUTED_VALUE"""),44168.0)</f>
        <v>44168</v>
      </c>
      <c r="F519" s="266">
        <f>IFERROR(__xludf.DUMMYFUNCTION("""COMPUTED_VALUE"""),44530.0)</f>
        <v>44530</v>
      </c>
      <c r="G519" s="199">
        <f>IFERROR(__xludf.DUMMYFUNCTION("""COMPUTED_VALUE"""),11.9)</f>
        <v>11.9</v>
      </c>
      <c r="H519" s="210">
        <f>IFERROR(__xludf.DUMMYFUNCTION("""COMPUTED_VALUE"""),42542.0)</f>
        <v>42542</v>
      </c>
      <c r="I519" s="199">
        <f>IFERROR(__xludf.DUMMYFUNCTION("""COMPUTED_VALUE"""),4.45)</f>
        <v>4.45</v>
      </c>
      <c r="J519" s="200">
        <f>IFERROR(__xludf.DUMMYFUNCTION("""COMPUTED_VALUE"""),77.0)</f>
        <v>77</v>
      </c>
      <c r="K519" s="200">
        <f>IFERROR(__xludf.DUMMYFUNCTION("""COMPUTED_VALUE"""),11.0)</f>
        <v>11</v>
      </c>
      <c r="L519" s="201" t="str">
        <f>IFERROR(__xludf.DUMMYFUNCTION("""COMPUTED_VALUE"""),"Adventure / Simulation")</f>
        <v>Adventure / Simulation</v>
      </c>
    </row>
    <row r="520">
      <c r="A520" s="269" t="str">
        <f>IFERROR(__xludf.DUMMYFUNCTION("""COMPUTED_VALUE"""),"FIFA 19")</f>
        <v>FIFA 19</v>
      </c>
      <c r="B520" s="196" t="str">
        <f>IFERROR(__xludf.DUMMYFUNCTION("""COMPUTED_VALUE"""),"Xbox / PC")</f>
        <v>Xbox / PC</v>
      </c>
      <c r="C520" s="196"/>
      <c r="D520" s="196" t="str">
        <f>IFERROR(__xludf.DUMMYFUNCTION("""COMPUTED_VALUE"""),"Removed")</f>
        <v>Removed</v>
      </c>
      <c r="E520" s="271">
        <f>IFERROR(__xludf.DUMMYFUNCTION("""COMPUTED_VALUE"""),44145.0)</f>
        <v>44145</v>
      </c>
      <c r="F520" s="266">
        <f>IFERROR(__xludf.DUMMYFUNCTION("""COMPUTED_VALUE"""),44530.0)</f>
        <v>44530</v>
      </c>
      <c r="G520" s="199">
        <f>IFERROR(__xludf.DUMMYFUNCTION("""COMPUTED_VALUE"""),12.666666666666668)</f>
        <v>12.66666667</v>
      </c>
      <c r="H520" s="210">
        <f>IFERROR(__xludf.DUMMYFUNCTION("""COMPUTED_VALUE"""),43371.0)</f>
        <v>43371</v>
      </c>
      <c r="I520" s="199">
        <f>IFERROR(__xludf.DUMMYFUNCTION("""COMPUTED_VALUE"""),2.1166666666666667)</f>
        <v>2.116666667</v>
      </c>
      <c r="J520" s="267">
        <f>IFERROR(__xludf.DUMMYFUNCTION("""COMPUTED_VALUE"""),83.0)</f>
        <v>83</v>
      </c>
      <c r="K520" s="200">
        <f>IFERROR(__xludf.DUMMYFUNCTION("""COMPUTED_VALUE"""),48.5)</f>
        <v>48.5</v>
      </c>
      <c r="L520" s="265" t="str">
        <f>IFERROR(__xludf.DUMMYFUNCTION("""COMPUTED_VALUE"""),"Sports / Soccer")</f>
        <v>Sports / Soccer</v>
      </c>
    </row>
    <row r="521">
      <c r="A521" s="269" t="str">
        <f>IFERROR(__xludf.DUMMYFUNCTION("""COMPUTED_VALUE"""),"Hello Neighbor")</f>
        <v>Hello Neighbor</v>
      </c>
      <c r="B521" s="195" t="str">
        <f>IFERROR(__xludf.DUMMYFUNCTION("""COMPUTED_VALUE"""),"Xbox / PC")</f>
        <v>Xbox / PC</v>
      </c>
      <c r="C521" s="195" t="str">
        <f>IFERROR(__xludf.DUMMYFUNCTION("""COMPUTED_VALUE"""),"Touch Controls")</f>
        <v>Touch Controls</v>
      </c>
      <c r="D521" s="196" t="str">
        <f>IFERROR(__xludf.DUMMYFUNCTION("""COMPUTED_VALUE"""),"Removed")</f>
        <v>Removed</v>
      </c>
      <c r="E521" s="271">
        <f>IFERROR(__xludf.DUMMYFUNCTION("""COMPUTED_VALUE"""),43394.0)</f>
        <v>43394</v>
      </c>
      <c r="F521" s="266">
        <f>IFERROR(__xludf.DUMMYFUNCTION("""COMPUTED_VALUE"""),44530.0)</f>
        <v>44530</v>
      </c>
      <c r="G521" s="199">
        <f>IFERROR(__xludf.DUMMYFUNCTION("""COMPUTED_VALUE"""),37.3)</f>
        <v>37.3</v>
      </c>
      <c r="H521" s="210">
        <f>IFERROR(__xludf.DUMMYFUNCTION("""COMPUTED_VALUE"""),43077.0)</f>
        <v>43077</v>
      </c>
      <c r="I521" s="199">
        <f>IFERROR(__xludf.DUMMYFUNCTION("""COMPUTED_VALUE"""),0.8694444444444445)</f>
        <v>0.8694444444</v>
      </c>
      <c r="J521" s="267">
        <f>IFERROR(__xludf.DUMMYFUNCTION("""COMPUTED_VALUE"""),42.0)</f>
        <v>42</v>
      </c>
      <c r="K521" s="200">
        <f>IFERROR(__xludf.DUMMYFUNCTION("""COMPUTED_VALUE"""),9.0)</f>
        <v>9</v>
      </c>
      <c r="L521" s="265" t="str">
        <f>IFERROR(__xludf.DUMMYFUNCTION("""COMPUTED_VALUE"""),"Strategy / Puzzle")</f>
        <v>Strategy / Puzzle</v>
      </c>
    </row>
    <row r="522">
      <c r="A522" s="190" t="str">
        <f>IFERROR(__xludf.DUMMYFUNCTION("""COMPUTED_VALUE"""),"SINNER: Sacrifice for Redemption")</f>
        <v>SINNER: Sacrifice for Redemption</v>
      </c>
      <c r="B522" s="195" t="str">
        <f>IFERROR(__xludf.DUMMYFUNCTION("""COMPUTED_VALUE"""),"PC")</f>
        <v>PC</v>
      </c>
      <c r="C522" s="195"/>
      <c r="D522" s="196" t="str">
        <f>IFERROR(__xludf.DUMMYFUNCTION("""COMPUTED_VALUE"""),"Removed")</f>
        <v>Removed</v>
      </c>
      <c r="E522" s="210">
        <f>IFERROR(__xludf.DUMMYFUNCTION("""COMPUTED_VALUE"""),43391.0)</f>
        <v>43391</v>
      </c>
      <c r="F522" s="266">
        <f>IFERROR(__xludf.DUMMYFUNCTION("""COMPUTED_VALUE"""),44522.0)</f>
        <v>44522</v>
      </c>
      <c r="G522" s="199">
        <f>IFERROR(__xludf.DUMMYFUNCTION("""COMPUTED_VALUE"""),37.13333333333333)</f>
        <v>37.13333333</v>
      </c>
      <c r="H522" s="210">
        <f>IFERROR(__xludf.DUMMYFUNCTION("""COMPUTED_VALUE"""),43391.0)</f>
        <v>43391</v>
      </c>
      <c r="I522" s="199">
        <f>IFERROR(__xludf.DUMMYFUNCTION("""COMPUTED_VALUE"""),0.0)</f>
        <v>0</v>
      </c>
      <c r="J522" s="200">
        <f>IFERROR(__xludf.DUMMYFUNCTION("""COMPUTED_VALUE"""),63.0)</f>
        <v>63</v>
      </c>
      <c r="K522" s="200">
        <f>IFERROR(__xludf.DUMMYFUNCTION("""COMPUTED_VALUE"""),4.5)</f>
        <v>4.5</v>
      </c>
      <c r="L522" s="201" t="str">
        <f>IFERROR(__xludf.DUMMYFUNCTION("""COMPUTED_VALUE"""),"RPG / Action-Adventure")</f>
        <v>RPG / Action-Adventure</v>
      </c>
    </row>
    <row r="523">
      <c r="A523" s="269" t="str">
        <f>IFERROR(__xludf.DUMMYFUNCTION("""COMPUTED_VALUE"""),"Oxenfree")</f>
        <v>Oxenfree</v>
      </c>
      <c r="B523" s="195" t="str">
        <f>IFERROR(__xludf.DUMMYFUNCTION("""COMPUTED_VALUE"""),"PC")</f>
        <v>PC</v>
      </c>
      <c r="C523" s="196" t="str">
        <f>IFERROR(__xludf.DUMMYFUNCTION("""COMPUTED_VALUE"""),"Yes")</f>
        <v>Yes</v>
      </c>
      <c r="D523" s="196" t="str">
        <f>IFERROR(__xludf.DUMMYFUNCTION("""COMPUTED_VALUE"""),"Removed")</f>
        <v>Removed</v>
      </c>
      <c r="E523" s="271">
        <f>IFERROR(__xludf.DUMMYFUNCTION("""COMPUTED_VALUE"""),43160.0)</f>
        <v>43160</v>
      </c>
      <c r="F523" s="266">
        <f>IFERROR(__xludf.DUMMYFUNCTION("""COMPUTED_VALUE"""),44522.0)</f>
        <v>44522</v>
      </c>
      <c r="G523" s="199">
        <f>IFERROR(__xludf.DUMMYFUNCTION("""COMPUTED_VALUE"""),44.7)</f>
        <v>44.7</v>
      </c>
      <c r="H523" s="210">
        <f>IFERROR(__xludf.DUMMYFUNCTION("""COMPUTED_VALUE"""),42384.0)</f>
        <v>42384</v>
      </c>
      <c r="I523" s="199">
        <f>IFERROR(__xludf.DUMMYFUNCTION("""COMPUTED_VALUE"""),2.1277777777777778)</f>
        <v>2.127777778</v>
      </c>
      <c r="J523" s="267">
        <f>IFERROR(__xludf.DUMMYFUNCTION("""COMPUTED_VALUE"""),78.0)</f>
        <v>78</v>
      </c>
      <c r="K523" s="200">
        <f>IFERROR(__xludf.DUMMYFUNCTION("""COMPUTED_VALUE"""),4.5)</f>
        <v>4.5</v>
      </c>
      <c r="L523" s="265" t="str">
        <f>IFERROR(__xludf.DUMMYFUNCTION("""COMPUTED_VALUE"""),"Adventure")</f>
        <v>Adventure</v>
      </c>
    </row>
    <row r="524">
      <c r="A524" s="190" t="str">
        <f>IFERROR(__xludf.DUMMYFUNCTION("""COMPUTED_VALUE"""),"River City Girls")</f>
        <v>River City Girls</v>
      </c>
      <c r="B524" s="196" t="str">
        <f>IFERROR(__xludf.DUMMYFUNCTION("""COMPUTED_VALUE"""),"Xbox / PC")</f>
        <v>Xbox / PC</v>
      </c>
      <c r="C524" s="196" t="str">
        <f>IFERROR(__xludf.DUMMYFUNCTION("""COMPUTED_VALUE"""),"Touch Controls")</f>
        <v>Touch Controls</v>
      </c>
      <c r="D524" s="196" t="str">
        <f>IFERROR(__xludf.DUMMYFUNCTION("""COMPUTED_VALUE"""),"Removed")</f>
        <v>Removed</v>
      </c>
      <c r="E524" s="271">
        <f>IFERROR(__xludf.DUMMYFUNCTION("""COMPUTED_VALUE"""),44154.0)</f>
        <v>44154</v>
      </c>
      <c r="F524" s="266">
        <f>IFERROR(__xludf.DUMMYFUNCTION("""COMPUTED_VALUE"""),44515.0)</f>
        <v>44515</v>
      </c>
      <c r="G524" s="199">
        <f>IFERROR(__xludf.DUMMYFUNCTION("""COMPUTED_VALUE"""),11.866666666666667)</f>
        <v>11.86666667</v>
      </c>
      <c r="H524" s="210">
        <f>IFERROR(__xludf.DUMMYFUNCTION("""COMPUTED_VALUE"""),43713.0)</f>
        <v>43713</v>
      </c>
      <c r="I524" s="199">
        <f>IFERROR(__xludf.DUMMYFUNCTION("""COMPUTED_VALUE"""),1.2055555555555555)</f>
        <v>1.205555556</v>
      </c>
      <c r="J524" s="200">
        <f>IFERROR(__xludf.DUMMYFUNCTION("""COMPUTED_VALUE"""),80.0)</f>
        <v>80</v>
      </c>
      <c r="K524" s="200">
        <f>IFERROR(__xludf.DUMMYFUNCTION("""COMPUTED_VALUE"""),7.0)</f>
        <v>7</v>
      </c>
      <c r="L524" s="265" t="str">
        <f>IFERROR(__xludf.DUMMYFUNCTION("""COMPUTED_VALUE"""),"Brawler")</f>
        <v>Brawler</v>
      </c>
    </row>
    <row r="525">
      <c r="A525" s="269" t="str">
        <f>IFERROR(__xludf.DUMMYFUNCTION("""COMPUTED_VALUE"""),"Star Renegades")</f>
        <v>Star Renegades</v>
      </c>
      <c r="B525" s="195" t="str">
        <f>IFERROR(__xludf.DUMMYFUNCTION("""COMPUTED_VALUE"""),"Xbox / PC")</f>
        <v>Xbox / PC</v>
      </c>
      <c r="C525" s="196" t="str">
        <f>IFERROR(__xludf.DUMMYFUNCTION("""COMPUTED_VALUE"""),"Touch Controls")</f>
        <v>Touch Controls</v>
      </c>
      <c r="D525" s="196" t="str">
        <f>IFERROR(__xludf.DUMMYFUNCTION("""COMPUTED_VALUE"""),"Removed")</f>
        <v>Removed</v>
      </c>
      <c r="E525" s="271">
        <f>IFERROR(__xludf.DUMMYFUNCTION("""COMPUTED_VALUE"""),44154.0)</f>
        <v>44154</v>
      </c>
      <c r="F525" s="266">
        <f>IFERROR(__xludf.DUMMYFUNCTION("""COMPUTED_VALUE"""),44515.0)</f>
        <v>44515</v>
      </c>
      <c r="G525" s="199">
        <f>IFERROR(__xludf.DUMMYFUNCTION("""COMPUTED_VALUE"""),11.866666666666667)</f>
        <v>11.86666667</v>
      </c>
      <c r="H525" s="210">
        <f>IFERROR(__xludf.DUMMYFUNCTION("""COMPUTED_VALUE"""),44082.0)</f>
        <v>44082</v>
      </c>
      <c r="I525" s="199">
        <f>IFERROR(__xludf.DUMMYFUNCTION("""COMPUTED_VALUE"""),0.19722222222222222)</f>
        <v>0.1972222222</v>
      </c>
      <c r="J525" s="267">
        <f>IFERROR(__xludf.DUMMYFUNCTION("""COMPUTED_VALUE"""),79.0)</f>
        <v>79</v>
      </c>
      <c r="K525" s="200">
        <f>IFERROR(__xludf.DUMMYFUNCTION("""COMPUTED_VALUE"""),8.5)</f>
        <v>8.5</v>
      </c>
      <c r="L525" s="265" t="str">
        <f>IFERROR(__xludf.DUMMYFUNCTION("""COMPUTED_VALUE"""),"RPG")</f>
        <v>RPG</v>
      </c>
    </row>
    <row r="526">
      <c r="A526" s="269" t="str">
        <f>IFERROR(__xludf.DUMMYFUNCTION("""COMPUTED_VALUE"""),"Final Fantasy VIII: Remastered")</f>
        <v>Final Fantasy VIII: Remastered</v>
      </c>
      <c r="B526" s="195" t="str">
        <f>IFERROR(__xludf.DUMMYFUNCTION("""COMPUTED_VALUE"""),"Xbox / PC")</f>
        <v>Xbox / PC</v>
      </c>
      <c r="C526" s="195"/>
      <c r="D526" s="196" t="str">
        <f>IFERROR(__xludf.DUMMYFUNCTION("""COMPUTED_VALUE"""),"Removed")</f>
        <v>Removed</v>
      </c>
      <c r="E526" s="271">
        <f>IFERROR(__xludf.DUMMYFUNCTION("""COMPUTED_VALUE"""),44147.0)</f>
        <v>44147</v>
      </c>
      <c r="F526" s="266">
        <f>IFERROR(__xludf.DUMMYFUNCTION("""COMPUTED_VALUE"""),44515.0)</f>
        <v>44515</v>
      </c>
      <c r="G526" s="199">
        <f>IFERROR(__xludf.DUMMYFUNCTION("""COMPUTED_VALUE"""),12.1)</f>
        <v>12.1</v>
      </c>
      <c r="H526" s="210">
        <f>IFERROR(__xludf.DUMMYFUNCTION("""COMPUTED_VALUE"""),43711.0)</f>
        <v>43711</v>
      </c>
      <c r="I526" s="199">
        <f>IFERROR(__xludf.DUMMYFUNCTION("""COMPUTED_VALUE"""),1.1916666666666667)</f>
        <v>1.191666667</v>
      </c>
      <c r="J526" s="267">
        <f>IFERROR(__xludf.DUMMYFUNCTION("""COMPUTED_VALUE"""),77.5)</f>
        <v>77.5</v>
      </c>
      <c r="K526" s="200">
        <f>IFERROR(__xludf.DUMMYFUNCTION("""COMPUTED_VALUE"""),41.5)</f>
        <v>41.5</v>
      </c>
      <c r="L526" s="265" t="str">
        <f>IFERROR(__xludf.DUMMYFUNCTION("""COMPUTED_VALUE"""),"Action / RPG")</f>
        <v>Action / RPG</v>
      </c>
    </row>
    <row r="527">
      <c r="A527" s="269" t="str">
        <f>IFERROR(__xludf.DUMMYFUNCTION("""COMPUTED_VALUE"""),"Planet Coaster")</f>
        <v>Planet Coaster</v>
      </c>
      <c r="B527" s="196" t="str">
        <f>IFERROR(__xludf.DUMMYFUNCTION("""COMPUTED_VALUE"""),"Xbox")</f>
        <v>Xbox</v>
      </c>
      <c r="C527" s="196" t="str">
        <f>IFERROR(__xludf.DUMMYFUNCTION("""COMPUTED_VALUE"""),"Yes")</f>
        <v>Yes</v>
      </c>
      <c r="D527" s="196" t="str">
        <f>IFERROR(__xludf.DUMMYFUNCTION("""COMPUTED_VALUE"""),"Removed")</f>
        <v>Removed</v>
      </c>
      <c r="E527" s="271">
        <f>IFERROR(__xludf.DUMMYFUNCTION("""COMPUTED_VALUE"""),44145.0)</f>
        <v>44145</v>
      </c>
      <c r="F527" s="266">
        <f>IFERROR(__xludf.DUMMYFUNCTION("""COMPUTED_VALUE"""),44515.0)</f>
        <v>44515</v>
      </c>
      <c r="G527" s="199">
        <f>IFERROR(__xludf.DUMMYFUNCTION("""COMPUTED_VALUE"""),12.166666666666666)</f>
        <v>12.16666667</v>
      </c>
      <c r="H527" s="210">
        <f>IFERROR(__xludf.DUMMYFUNCTION("""COMPUTED_VALUE"""),42691.0)</f>
        <v>42691</v>
      </c>
      <c r="I527" s="199">
        <f>IFERROR(__xludf.DUMMYFUNCTION("""COMPUTED_VALUE"""),3.9805555555555556)</f>
        <v>3.980555556</v>
      </c>
      <c r="J527" s="267">
        <f>IFERROR(__xludf.DUMMYFUNCTION("""COMPUTED_VALUE"""),85.0)</f>
        <v>85</v>
      </c>
      <c r="K527" s="200">
        <f>IFERROR(__xludf.DUMMYFUNCTION("""COMPUTED_VALUE"""),25.0)</f>
        <v>25</v>
      </c>
      <c r="L527" s="265" t="str">
        <f>IFERROR(__xludf.DUMMYFUNCTION("""COMPUTED_VALUE"""),"Simulation")</f>
        <v>Simulation</v>
      </c>
    </row>
    <row r="528">
      <c r="A528" s="269" t="str">
        <f>IFERROR(__xludf.DUMMYFUNCTION("""COMPUTED_VALUE"""),"Streets of Rogue")</f>
        <v>Streets of Rogue</v>
      </c>
      <c r="B528" s="195" t="str">
        <f>IFERROR(__xludf.DUMMYFUNCTION("""COMPUTED_VALUE"""),"Xbox / PC")</f>
        <v>Xbox / PC</v>
      </c>
      <c r="C528" s="195" t="str">
        <f>IFERROR(__xludf.DUMMYFUNCTION("""COMPUTED_VALUE"""),"Yes")</f>
        <v>Yes</v>
      </c>
      <c r="D528" s="196" t="str">
        <f>IFERROR(__xludf.DUMMYFUNCTION("""COMPUTED_VALUE"""),"Removed")</f>
        <v>Removed</v>
      </c>
      <c r="E528" s="271">
        <f>IFERROR(__xludf.DUMMYFUNCTION("""COMPUTED_VALUE"""),44007.0)</f>
        <v>44007</v>
      </c>
      <c r="F528" s="266">
        <f>IFERROR(__xludf.DUMMYFUNCTION("""COMPUTED_VALUE"""),44515.0)</f>
        <v>44515</v>
      </c>
      <c r="G528" s="199">
        <f>IFERROR(__xludf.DUMMYFUNCTION("""COMPUTED_VALUE"""),16.666666666666664)</f>
        <v>16.66666667</v>
      </c>
      <c r="H528" s="210">
        <f>IFERROR(__xludf.DUMMYFUNCTION("""COMPUTED_VALUE"""),43658.0)</f>
        <v>43658</v>
      </c>
      <c r="I528" s="199">
        <f>IFERROR(__xludf.DUMMYFUNCTION("""COMPUTED_VALUE"""),0.9527777777777777)</f>
        <v>0.9527777778</v>
      </c>
      <c r="J528" s="267">
        <f>IFERROR(__xludf.DUMMYFUNCTION("""COMPUTED_VALUE"""),82.0)</f>
        <v>82</v>
      </c>
      <c r="K528" s="267">
        <f>IFERROR(__xludf.DUMMYFUNCTION("""COMPUTED_VALUE"""),12.0)</f>
        <v>12</v>
      </c>
      <c r="L528" s="265" t="str">
        <f>IFERROR(__xludf.DUMMYFUNCTION("""COMPUTED_VALUE"""),"RPG / Shooter / Action-Adventure")</f>
        <v>RPG / Shooter / Action-Adventure</v>
      </c>
    </row>
    <row r="529">
      <c r="A529" s="269" t="str">
        <f>IFERROR(__xludf.DUMMYFUNCTION("""COMPUTED_VALUE"""),"The Gardens Between")</f>
        <v>The Gardens Between</v>
      </c>
      <c r="B529" s="196" t="str">
        <f>IFERROR(__xludf.DUMMYFUNCTION("""COMPUTED_VALUE"""),"Xbox / PC")</f>
        <v>Xbox / PC</v>
      </c>
      <c r="C529" s="196" t="str">
        <f>IFERROR(__xludf.DUMMYFUNCTION("""COMPUTED_VALUE"""),"Yes")</f>
        <v>Yes</v>
      </c>
      <c r="D529" s="196" t="str">
        <f>IFERROR(__xludf.DUMMYFUNCTION("""COMPUTED_VALUE"""),"Removed")</f>
        <v>Removed</v>
      </c>
      <c r="E529" s="271">
        <f>IFERROR(__xludf.DUMMYFUNCTION("""COMPUTED_VALUE"""),43433.0)</f>
        <v>43433</v>
      </c>
      <c r="F529" s="266">
        <f>IFERROR(__xludf.DUMMYFUNCTION("""COMPUTED_VALUE"""),44515.0)</f>
        <v>44515</v>
      </c>
      <c r="G529" s="199">
        <f>IFERROR(__xludf.DUMMYFUNCTION("""COMPUTED_VALUE"""),35.53333333333333)</f>
        <v>35.53333333</v>
      </c>
      <c r="H529" s="210">
        <f>IFERROR(__xludf.DUMMYFUNCTION("""COMPUTED_VALUE"""),43363.0)</f>
        <v>43363</v>
      </c>
      <c r="I529" s="199">
        <f>IFERROR(__xludf.DUMMYFUNCTION("""COMPUTED_VALUE"""),0.19166666666666668)</f>
        <v>0.1916666667</v>
      </c>
      <c r="J529" s="267">
        <f>IFERROR(__xludf.DUMMYFUNCTION("""COMPUTED_VALUE"""),82.0)</f>
        <v>82</v>
      </c>
      <c r="K529" s="200">
        <f>IFERROR(__xludf.DUMMYFUNCTION("""COMPUTED_VALUE"""),2.5)</f>
        <v>2.5</v>
      </c>
      <c r="L529" s="265" t="str">
        <f>IFERROR(__xludf.DUMMYFUNCTION("""COMPUTED_VALUE"""),"Adventure / Puzzle")</f>
        <v>Adventure / Puzzle</v>
      </c>
    </row>
    <row r="530">
      <c r="A530" s="269" t="str">
        <f>IFERROR(__xludf.DUMMYFUNCTION("""COMPUTED_VALUE"""),"Comanche")</f>
        <v>Comanche</v>
      </c>
      <c r="B530" s="195" t="str">
        <f>IFERROR(__xludf.DUMMYFUNCTION("""COMPUTED_VALUE"""),"PC")</f>
        <v>PC</v>
      </c>
      <c r="C530" s="196"/>
      <c r="D530" s="196" t="str">
        <f>IFERROR(__xludf.DUMMYFUNCTION("""COMPUTED_VALUE"""),"Removed")</f>
        <v>Removed</v>
      </c>
      <c r="E530" s="271">
        <f>IFERROR(__xludf.DUMMYFUNCTION("""COMPUTED_VALUE"""),44140.0)</f>
        <v>44140</v>
      </c>
      <c r="F530" s="266">
        <f>IFERROR(__xludf.DUMMYFUNCTION("""COMPUTED_VALUE"""),44500.0)</f>
        <v>44500</v>
      </c>
      <c r="G530" s="199">
        <f>IFERROR(__xludf.DUMMYFUNCTION("""COMPUTED_VALUE"""),11.833333333333334)</f>
        <v>11.83333333</v>
      </c>
      <c r="H530" s="210">
        <f>IFERROR(__xludf.DUMMYFUNCTION("""COMPUTED_VALUE"""),43902.0)</f>
        <v>43902</v>
      </c>
      <c r="I530" s="199">
        <f>IFERROR(__xludf.DUMMYFUNCTION("""COMPUTED_VALUE"""),0.6472222222222223)</f>
        <v>0.6472222222</v>
      </c>
      <c r="J530" s="267">
        <f>IFERROR(__xludf.DUMMYFUNCTION("""COMPUTED_VALUE"""),45.0)</f>
        <v>45</v>
      </c>
      <c r="K530" s="267">
        <f>IFERROR(__xludf.DUMMYFUNCTION("""COMPUTED_VALUE"""),5.0)</f>
        <v>5</v>
      </c>
      <c r="L530" s="265" t="str">
        <f>IFERROR(__xludf.DUMMYFUNCTION("""COMPUTED_VALUE"""),"Action / Shooter / First-Person Shooter / Vehicular Combat")</f>
        <v>Action / Shooter / First-Person Shooter / Vehicular Combat</v>
      </c>
    </row>
    <row r="531">
      <c r="A531" s="269" t="str">
        <f>IFERROR(__xludf.DUMMYFUNCTION("""COMPUTED_VALUE"""),"Eastshade")</f>
        <v>Eastshade</v>
      </c>
      <c r="B531" s="195" t="str">
        <f>IFERROR(__xludf.DUMMYFUNCTION("""COMPUTED_VALUE"""),"Xbox / PC")</f>
        <v>Xbox / PC</v>
      </c>
      <c r="C531" s="195" t="str">
        <f>IFERROR(__xludf.DUMMYFUNCTION("""COMPUTED_VALUE"""),"Touch Controls")</f>
        <v>Touch Controls</v>
      </c>
      <c r="D531" s="196" t="str">
        <f>IFERROR(__xludf.DUMMYFUNCTION("""COMPUTED_VALUE"""),"Removed")</f>
        <v>Removed</v>
      </c>
      <c r="E531" s="271">
        <f>IFERROR(__xludf.DUMMYFUNCTION("""COMPUTED_VALUE"""),44140.0)</f>
        <v>44140</v>
      </c>
      <c r="F531" s="266">
        <f>IFERROR(__xludf.DUMMYFUNCTION("""COMPUTED_VALUE"""),44500.0)</f>
        <v>44500</v>
      </c>
      <c r="G531" s="199">
        <f>IFERROR(__xludf.DUMMYFUNCTION("""COMPUTED_VALUE"""),11.833333333333334)</f>
        <v>11.83333333</v>
      </c>
      <c r="H531" s="210">
        <f>IFERROR(__xludf.DUMMYFUNCTION("""COMPUTED_VALUE"""),43509.0)</f>
        <v>43509</v>
      </c>
      <c r="I531" s="199">
        <f>IFERROR(__xludf.DUMMYFUNCTION("""COMPUTED_VALUE"""),1.7277777777777779)</f>
        <v>1.727777778</v>
      </c>
      <c r="J531" s="200">
        <f>IFERROR(__xludf.DUMMYFUNCTION("""COMPUTED_VALUE"""),78.0)</f>
        <v>78</v>
      </c>
      <c r="K531" s="200">
        <f>IFERROR(__xludf.DUMMYFUNCTION("""COMPUTED_VALUE"""),11.5)</f>
        <v>11.5</v>
      </c>
      <c r="L531" s="265" t="str">
        <f>IFERROR(__xludf.DUMMYFUNCTION("""COMPUTED_VALUE"""),"Adventure")</f>
        <v>Adventure</v>
      </c>
    </row>
    <row r="532">
      <c r="A532" s="269" t="str">
        <f>IFERROR(__xludf.DUMMYFUNCTION("""COMPUTED_VALUE"""),"Knights and Bikes")</f>
        <v>Knights and Bikes</v>
      </c>
      <c r="B532" s="195" t="str">
        <f>IFERROR(__xludf.DUMMYFUNCTION("""COMPUTED_VALUE"""),"Xbox / PC")</f>
        <v>Xbox / PC</v>
      </c>
      <c r="C532" s="195"/>
      <c r="D532" s="196" t="str">
        <f>IFERROR(__xludf.DUMMYFUNCTION("""COMPUTED_VALUE"""),"Removed")</f>
        <v>Removed</v>
      </c>
      <c r="E532" s="271">
        <f>IFERROR(__xludf.DUMMYFUNCTION("""COMPUTED_VALUE"""),44140.0)</f>
        <v>44140</v>
      </c>
      <c r="F532" s="266">
        <f>IFERROR(__xludf.DUMMYFUNCTION("""COMPUTED_VALUE"""),44500.0)</f>
        <v>44500</v>
      </c>
      <c r="G532" s="199">
        <f>IFERROR(__xludf.DUMMYFUNCTION("""COMPUTED_VALUE"""),11.833333333333334)</f>
        <v>11.83333333</v>
      </c>
      <c r="H532" s="210">
        <f>IFERROR(__xludf.DUMMYFUNCTION("""COMPUTED_VALUE"""),43704.0)</f>
        <v>43704</v>
      </c>
      <c r="I532" s="199">
        <f>IFERROR(__xludf.DUMMYFUNCTION("""COMPUTED_VALUE"""),1.1888888888888889)</f>
        <v>1.188888889</v>
      </c>
      <c r="J532" s="267">
        <f>IFERROR(__xludf.DUMMYFUNCTION("""COMPUTED_VALUE"""),79.0)</f>
        <v>79</v>
      </c>
      <c r="K532" s="200">
        <f>IFERROR(__xludf.DUMMYFUNCTION("""COMPUTED_VALUE"""),7.5)</f>
        <v>7.5</v>
      </c>
      <c r="L532" s="265" t="str">
        <f>IFERROR(__xludf.DUMMYFUNCTION("""COMPUTED_VALUE"""),"RPG / Action-Adventure")</f>
        <v>RPG / Action-Adventure</v>
      </c>
    </row>
    <row r="533">
      <c r="A533" s="269" t="str">
        <f>IFERROR(__xludf.DUMMYFUNCTION("""COMPUTED_VALUE"""),"Five Nights at Freddy's")</f>
        <v>Five Nights at Freddy's</v>
      </c>
      <c r="B533" s="195" t="str">
        <f>IFERROR(__xludf.DUMMYFUNCTION("""COMPUTED_VALUE"""),"Xbox / PC")</f>
        <v>Xbox / PC</v>
      </c>
      <c r="C533" s="195" t="str">
        <f>IFERROR(__xludf.DUMMYFUNCTION("""COMPUTED_VALUE"""),"Yes")</f>
        <v>Yes</v>
      </c>
      <c r="D533" s="196" t="str">
        <f>IFERROR(__xludf.DUMMYFUNCTION("""COMPUTED_VALUE"""),"Removed")</f>
        <v>Removed</v>
      </c>
      <c r="E533" s="271">
        <f>IFERROR(__xludf.DUMMYFUNCTION("""COMPUTED_VALUE"""),44133.0)</f>
        <v>44133</v>
      </c>
      <c r="F533" s="266">
        <f>IFERROR(__xludf.DUMMYFUNCTION("""COMPUTED_VALUE"""),44500.0)</f>
        <v>44500</v>
      </c>
      <c r="G533" s="199">
        <f>IFERROR(__xludf.DUMMYFUNCTION("""COMPUTED_VALUE"""),12.033333333333333)</f>
        <v>12.03333333</v>
      </c>
      <c r="H533" s="210">
        <f>IFERROR(__xludf.DUMMYFUNCTION("""COMPUTED_VALUE"""),41869.0)</f>
        <v>41869</v>
      </c>
      <c r="I533" s="199">
        <f>IFERROR(__xludf.DUMMYFUNCTION("""COMPUTED_VALUE"""),6.197222222222222)</f>
        <v>6.197222222</v>
      </c>
      <c r="J533" s="267">
        <f>IFERROR(__xludf.DUMMYFUNCTION("""COMPUTED_VALUE"""),78.0)</f>
        <v>78</v>
      </c>
      <c r="K533" s="200">
        <f>IFERROR(__xludf.DUMMYFUNCTION("""COMPUTED_VALUE"""),2.0)</f>
        <v>2</v>
      </c>
      <c r="L533" s="201" t="str">
        <f>IFERROR(__xludf.DUMMYFUNCTION("""COMPUTED_VALUE"""),"Strategy / Adventure")</f>
        <v>Strategy / Adventure</v>
      </c>
    </row>
    <row r="534">
      <c r="A534" s="269" t="str">
        <f>IFERROR(__xludf.DUMMYFUNCTION("""COMPUTED_VALUE"""),"Five Nights at Freddy's 2")</f>
        <v>Five Nights at Freddy's 2</v>
      </c>
      <c r="B534" s="196" t="str">
        <f>IFERROR(__xludf.DUMMYFUNCTION("""COMPUTED_VALUE"""),"Xbox / PC")</f>
        <v>Xbox / PC</v>
      </c>
      <c r="C534" s="196" t="str">
        <f>IFERROR(__xludf.DUMMYFUNCTION("""COMPUTED_VALUE"""),"Yes")</f>
        <v>Yes</v>
      </c>
      <c r="D534" s="196" t="str">
        <f>IFERROR(__xludf.DUMMYFUNCTION("""COMPUTED_VALUE"""),"Removed")</f>
        <v>Removed</v>
      </c>
      <c r="E534" s="271">
        <f>IFERROR(__xludf.DUMMYFUNCTION("""COMPUTED_VALUE"""),44133.0)</f>
        <v>44133</v>
      </c>
      <c r="F534" s="266">
        <f>IFERROR(__xludf.DUMMYFUNCTION("""COMPUTED_VALUE"""),44500.0)</f>
        <v>44500</v>
      </c>
      <c r="G534" s="199">
        <f>IFERROR(__xludf.DUMMYFUNCTION("""COMPUTED_VALUE"""),12.033333333333333)</f>
        <v>12.03333333</v>
      </c>
      <c r="H534" s="210">
        <f>IFERROR(__xludf.DUMMYFUNCTION("""COMPUTED_VALUE"""),41953.0)</f>
        <v>41953</v>
      </c>
      <c r="I534" s="199">
        <f>IFERROR(__xludf.DUMMYFUNCTION("""COMPUTED_VALUE"""),5.969444444444444)</f>
        <v>5.969444444</v>
      </c>
      <c r="J534" s="200">
        <f>IFERROR(__xludf.DUMMYFUNCTION("""COMPUTED_VALUE"""),62.0)</f>
        <v>62</v>
      </c>
      <c r="K534" s="200">
        <f>IFERROR(__xludf.DUMMYFUNCTION("""COMPUTED_VALUE"""),2.5)</f>
        <v>2.5</v>
      </c>
      <c r="L534" s="201" t="str">
        <f>IFERROR(__xludf.DUMMYFUNCTION("""COMPUTED_VALUE"""),"Strategy / Adventure")</f>
        <v>Strategy / Adventure</v>
      </c>
    </row>
    <row r="535">
      <c r="A535" s="269" t="str">
        <f>IFERROR(__xludf.DUMMYFUNCTION("""COMPUTED_VALUE"""),"Five Nights at Freddy's 3")</f>
        <v>Five Nights at Freddy's 3</v>
      </c>
      <c r="B535" s="195" t="str">
        <f>IFERROR(__xludf.DUMMYFUNCTION("""COMPUTED_VALUE"""),"Xbox / PC")</f>
        <v>Xbox / PC</v>
      </c>
      <c r="C535" s="196" t="str">
        <f>IFERROR(__xludf.DUMMYFUNCTION("""COMPUTED_VALUE"""),"Yes")</f>
        <v>Yes</v>
      </c>
      <c r="D535" s="196" t="str">
        <f>IFERROR(__xludf.DUMMYFUNCTION("""COMPUTED_VALUE"""),"Removed")</f>
        <v>Removed</v>
      </c>
      <c r="E535" s="197">
        <f>IFERROR(__xludf.DUMMYFUNCTION("""COMPUTED_VALUE"""),44133.0)</f>
        <v>44133</v>
      </c>
      <c r="F535" s="266">
        <f>IFERROR(__xludf.DUMMYFUNCTION("""COMPUTED_VALUE"""),44500.0)</f>
        <v>44500</v>
      </c>
      <c r="G535" s="199">
        <f>IFERROR(__xludf.DUMMYFUNCTION("""COMPUTED_VALUE"""),12.033333333333333)</f>
        <v>12.03333333</v>
      </c>
      <c r="H535" s="210">
        <f>IFERROR(__xludf.DUMMYFUNCTION("""COMPUTED_VALUE"""),42065.0)</f>
        <v>42065</v>
      </c>
      <c r="I535" s="199">
        <f>IFERROR(__xludf.DUMMYFUNCTION("""COMPUTED_VALUE"""),5.658333333333333)</f>
        <v>5.658333333</v>
      </c>
      <c r="J535" s="267">
        <f>IFERROR(__xludf.DUMMYFUNCTION("""COMPUTED_VALUE"""),68.0)</f>
        <v>68</v>
      </c>
      <c r="K535" s="200">
        <f>IFERROR(__xludf.DUMMYFUNCTION("""COMPUTED_VALUE"""),2.0)</f>
        <v>2</v>
      </c>
      <c r="L535" s="265" t="str">
        <f>IFERROR(__xludf.DUMMYFUNCTION("""COMPUTED_VALUE"""),"Adventure")</f>
        <v>Adventure</v>
      </c>
    </row>
    <row r="536">
      <c r="A536" s="269" t="str">
        <f>IFERROR(__xludf.DUMMYFUNCTION("""COMPUTED_VALUE"""),"Five Nights at Freddy's 4")</f>
        <v>Five Nights at Freddy's 4</v>
      </c>
      <c r="B536" s="195" t="str">
        <f>IFERROR(__xludf.DUMMYFUNCTION("""COMPUTED_VALUE"""),"Xbox / PC")</f>
        <v>Xbox / PC</v>
      </c>
      <c r="C536" s="196" t="str">
        <f>IFERROR(__xludf.DUMMYFUNCTION("""COMPUTED_VALUE"""),"Yes")</f>
        <v>Yes</v>
      </c>
      <c r="D536" s="196" t="str">
        <f>IFERROR(__xludf.DUMMYFUNCTION("""COMPUTED_VALUE"""),"Removed")</f>
        <v>Removed</v>
      </c>
      <c r="E536" s="197">
        <f>IFERROR(__xludf.DUMMYFUNCTION("""COMPUTED_VALUE"""),44133.0)</f>
        <v>44133</v>
      </c>
      <c r="F536" s="266">
        <f>IFERROR(__xludf.DUMMYFUNCTION("""COMPUTED_VALUE"""),44500.0)</f>
        <v>44500</v>
      </c>
      <c r="G536" s="199">
        <f>IFERROR(__xludf.DUMMYFUNCTION("""COMPUTED_VALUE"""),12.033333333333333)</f>
        <v>12.03333333</v>
      </c>
      <c r="H536" s="210">
        <f>IFERROR(__xludf.DUMMYFUNCTION("""COMPUTED_VALUE"""),42208.0)</f>
        <v>42208</v>
      </c>
      <c r="I536" s="199">
        <f>IFERROR(__xludf.DUMMYFUNCTION("""COMPUTED_VALUE"""),5.266666666666667)</f>
        <v>5.266666667</v>
      </c>
      <c r="J536" s="267">
        <f>IFERROR(__xludf.DUMMYFUNCTION("""COMPUTED_VALUE"""),51.0)</f>
        <v>51</v>
      </c>
      <c r="K536" s="200">
        <f>IFERROR(__xludf.DUMMYFUNCTION("""COMPUTED_VALUE"""),2.0)</f>
        <v>2</v>
      </c>
      <c r="L536" s="265" t="str">
        <f>IFERROR(__xludf.DUMMYFUNCTION("""COMPUTED_VALUE"""),"Adventure")</f>
        <v>Adventure</v>
      </c>
    </row>
    <row r="537">
      <c r="A537" s="269" t="str">
        <f>IFERROR(__xludf.DUMMYFUNCTION("""COMPUTED_VALUE"""),"Unruly Heroes")</f>
        <v>Unruly Heroes</v>
      </c>
      <c r="B537" s="195" t="str">
        <f>IFERROR(__xludf.DUMMYFUNCTION("""COMPUTED_VALUE"""),"Xbox / PC")</f>
        <v>Xbox / PC</v>
      </c>
      <c r="C537" s="195" t="str">
        <f>IFERROR(__xludf.DUMMYFUNCTION("""COMPUTED_VALUE"""),"Yes")</f>
        <v>Yes</v>
      </c>
      <c r="D537" s="196" t="str">
        <f>IFERROR(__xludf.DUMMYFUNCTION("""COMPUTED_VALUE"""),"Removed")</f>
        <v>Removed</v>
      </c>
      <c r="E537" s="271">
        <f>IFERROR(__xludf.DUMMYFUNCTION("""COMPUTED_VALUE"""),44133.0)</f>
        <v>44133</v>
      </c>
      <c r="F537" s="266">
        <f>IFERROR(__xludf.DUMMYFUNCTION("""COMPUTED_VALUE"""),44500.0)</f>
        <v>44500</v>
      </c>
      <c r="G537" s="199">
        <f>IFERROR(__xludf.DUMMYFUNCTION("""COMPUTED_VALUE"""),12.033333333333333)</f>
        <v>12.03333333</v>
      </c>
      <c r="H537" s="210">
        <f>IFERROR(__xludf.DUMMYFUNCTION("""COMPUTED_VALUE"""),43488.0)</f>
        <v>43488</v>
      </c>
      <c r="I537" s="199">
        <f>IFERROR(__xludf.DUMMYFUNCTION("""COMPUTED_VALUE"""),1.7666666666666666)</f>
        <v>1.766666667</v>
      </c>
      <c r="J537" s="267">
        <f>IFERROR(__xludf.DUMMYFUNCTION("""COMPUTED_VALUE"""),79.0)</f>
        <v>79</v>
      </c>
      <c r="K537" s="200">
        <f>IFERROR(__xludf.DUMMYFUNCTION("""COMPUTED_VALUE"""),8.0)</f>
        <v>8</v>
      </c>
      <c r="L537" s="265" t="str">
        <f>IFERROR(__xludf.DUMMYFUNCTION("""COMPUTED_VALUE"""),"Brawler / Platformer / Action-Adventure")</f>
        <v>Brawler / Platformer / Action-Adventure</v>
      </c>
    </row>
    <row r="538">
      <c r="A538" s="269" t="str">
        <f>IFERROR(__xludf.DUMMYFUNCTION("""COMPUTED_VALUE"""),"Carto")</f>
        <v>Carto</v>
      </c>
      <c r="B538" s="196" t="str">
        <f>IFERROR(__xludf.DUMMYFUNCTION("""COMPUTED_VALUE"""),"Xbox / PC")</f>
        <v>Xbox / PC</v>
      </c>
      <c r="C538" s="196"/>
      <c r="D538" s="196" t="str">
        <f>IFERROR(__xludf.DUMMYFUNCTION("""COMPUTED_VALUE"""),"Removed")</f>
        <v>Removed</v>
      </c>
      <c r="E538" s="271">
        <f>IFERROR(__xludf.DUMMYFUNCTION("""COMPUTED_VALUE"""),44131.0)</f>
        <v>44131</v>
      </c>
      <c r="F538" s="266">
        <f>IFERROR(__xludf.DUMMYFUNCTION("""COMPUTED_VALUE"""),44500.0)</f>
        <v>44500</v>
      </c>
      <c r="G538" s="199">
        <f>IFERROR(__xludf.DUMMYFUNCTION("""COMPUTED_VALUE"""),12.1)</f>
        <v>12.1</v>
      </c>
      <c r="H538" s="210">
        <f>IFERROR(__xludf.DUMMYFUNCTION("""COMPUTED_VALUE"""),44131.0)</f>
        <v>44131</v>
      </c>
      <c r="I538" s="199">
        <f>IFERROR(__xludf.DUMMYFUNCTION("""COMPUTED_VALUE"""),0.0)</f>
        <v>0</v>
      </c>
      <c r="J538" s="267">
        <f>IFERROR(__xludf.DUMMYFUNCTION("""COMPUTED_VALUE"""),73.0)</f>
        <v>73</v>
      </c>
      <c r="K538" s="200">
        <f>IFERROR(__xludf.DUMMYFUNCTION("""COMPUTED_VALUE"""),6.0)</f>
        <v>6</v>
      </c>
      <c r="L538" s="265" t="str">
        <f>IFERROR(__xludf.DUMMYFUNCTION("""COMPUTED_VALUE"""),"Adventure / Puzzle")</f>
        <v>Adventure / Puzzle</v>
      </c>
    </row>
    <row r="539">
      <c r="A539" s="269" t="str">
        <f>IFERROR(__xludf.DUMMYFUNCTION("""COMPUTED_VALUE"""),"Home Behind")</f>
        <v>Home Behind</v>
      </c>
      <c r="B539" s="195" t="str">
        <f>IFERROR(__xludf.DUMMYFUNCTION("""COMPUTED_VALUE"""),"PC")</f>
        <v>PC</v>
      </c>
      <c r="C539" s="195"/>
      <c r="D539" s="196" t="str">
        <f>IFERROR(__xludf.DUMMYFUNCTION("""COMPUTED_VALUE"""),"Removed")</f>
        <v>Removed</v>
      </c>
      <c r="E539" s="271">
        <f>IFERROR(__xludf.DUMMYFUNCTION("""COMPUTED_VALUE"""),44273.0)</f>
        <v>44273</v>
      </c>
      <c r="F539" s="266">
        <f>IFERROR(__xludf.DUMMYFUNCTION("""COMPUTED_VALUE"""),44492.0)</f>
        <v>44492</v>
      </c>
      <c r="G539" s="199">
        <f>IFERROR(__xludf.DUMMYFUNCTION("""COMPUTED_VALUE"""),7.166666666666666)</f>
        <v>7.166666667</v>
      </c>
      <c r="H539" s="210">
        <f>IFERROR(__xludf.DUMMYFUNCTION("""COMPUTED_VALUE"""),42992.0)</f>
        <v>42992</v>
      </c>
      <c r="I539" s="199">
        <f>IFERROR(__xludf.DUMMYFUNCTION("""COMPUTED_VALUE"""),3.511111111111111)</f>
        <v>3.511111111</v>
      </c>
      <c r="J539" s="267">
        <f>IFERROR(__xludf.DUMMYFUNCTION("""COMPUTED_VALUE"""),83.0)</f>
        <v>83</v>
      </c>
      <c r="K539" s="200">
        <f>IFERROR(__xludf.DUMMYFUNCTION("""COMPUTED_VALUE"""),7.5)</f>
        <v>7.5</v>
      </c>
      <c r="L539" s="265" t="str">
        <f>IFERROR(__xludf.DUMMYFUNCTION("""COMPUTED_VALUE"""),"Adventure")</f>
        <v>Adventure</v>
      </c>
    </row>
    <row r="540">
      <c r="A540" s="269" t="str">
        <f>IFERROR(__xludf.DUMMYFUNCTION("""COMPUTED_VALUE"""),"Shio")</f>
        <v>Shio</v>
      </c>
      <c r="B540" s="195" t="str">
        <f>IFERROR(__xludf.DUMMYFUNCTION("""COMPUTED_VALUE"""),"PC")</f>
        <v>PC</v>
      </c>
      <c r="C540" s="195"/>
      <c r="D540" s="196" t="str">
        <f>IFERROR(__xludf.DUMMYFUNCTION("""COMPUTED_VALUE"""),"Removed")</f>
        <v>Removed</v>
      </c>
      <c r="E540" s="271">
        <f>IFERROR(__xludf.DUMMYFUNCTION("""COMPUTED_VALUE"""),44273.0)</f>
        <v>44273</v>
      </c>
      <c r="F540" s="266">
        <f>IFERROR(__xludf.DUMMYFUNCTION("""COMPUTED_VALUE"""),44492.0)</f>
        <v>44492</v>
      </c>
      <c r="G540" s="199">
        <f>IFERROR(__xludf.DUMMYFUNCTION("""COMPUTED_VALUE"""),7.166666666666666)</f>
        <v>7.166666667</v>
      </c>
      <c r="H540" s="210">
        <f>IFERROR(__xludf.DUMMYFUNCTION("""COMPUTED_VALUE"""),43242.0)</f>
        <v>43242</v>
      </c>
      <c r="I540" s="199">
        <f>IFERROR(__xludf.DUMMYFUNCTION("""COMPUTED_VALUE"""),2.8222222222222224)</f>
        <v>2.822222222</v>
      </c>
      <c r="J540" s="267">
        <f>IFERROR(__xludf.DUMMYFUNCTION("""COMPUTED_VALUE"""),73.0)</f>
        <v>73</v>
      </c>
      <c r="K540" s="200">
        <f>IFERROR(__xludf.DUMMYFUNCTION("""COMPUTED_VALUE"""),4.0)</f>
        <v>4</v>
      </c>
      <c r="L540" s="265" t="str">
        <f>IFERROR(__xludf.DUMMYFUNCTION("""COMPUTED_VALUE"""),"Platformer")</f>
        <v>Platformer</v>
      </c>
    </row>
    <row r="541">
      <c r="A541" s="269" t="str">
        <f>IFERROR(__xludf.DUMMYFUNCTION("""COMPUTED_VALUE"""),"Shantae: Half-Genie Hero")</f>
        <v>Shantae: Half-Genie Hero</v>
      </c>
      <c r="B541" s="196" t="str">
        <f>IFERROR(__xludf.DUMMYFUNCTION("""COMPUTED_VALUE"""),"PC")</f>
        <v>PC</v>
      </c>
      <c r="C541" s="196"/>
      <c r="D541" s="196" t="str">
        <f>IFERROR(__xludf.DUMMYFUNCTION("""COMPUTED_VALUE"""),"Removed")</f>
        <v>Removed</v>
      </c>
      <c r="E541" s="271">
        <f>IFERROR(__xludf.DUMMYFUNCTION("""COMPUTED_VALUE"""),43374.0)</f>
        <v>43374</v>
      </c>
      <c r="F541" s="266">
        <f>IFERROR(__xludf.DUMMYFUNCTION("""COMPUTED_VALUE"""),44492.0)</f>
        <v>44492</v>
      </c>
      <c r="G541" s="199">
        <f>IFERROR(__xludf.DUMMYFUNCTION("""COMPUTED_VALUE"""),36.733333333333334)</f>
        <v>36.73333333</v>
      </c>
      <c r="H541" s="210">
        <f>IFERROR(__xludf.DUMMYFUNCTION("""COMPUTED_VALUE"""),42724.0)</f>
        <v>42724</v>
      </c>
      <c r="I541" s="199">
        <f>IFERROR(__xludf.DUMMYFUNCTION("""COMPUTED_VALUE"""),1.7805555555555554)</f>
        <v>1.780555556</v>
      </c>
      <c r="J541" s="267">
        <f>IFERROR(__xludf.DUMMYFUNCTION("""COMPUTED_VALUE"""),76.0)</f>
        <v>76</v>
      </c>
      <c r="K541" s="200">
        <f>IFERROR(__xludf.DUMMYFUNCTION("""COMPUTED_VALUE"""),6.0)</f>
        <v>6</v>
      </c>
      <c r="L541" s="201" t="str">
        <f>IFERROR(__xludf.DUMMYFUNCTION("""COMPUTED_VALUE"""),"Platformer")</f>
        <v>Platformer</v>
      </c>
    </row>
    <row r="542">
      <c r="A542" s="269" t="str">
        <f>IFERROR(__xludf.DUMMYFUNCTION("""COMPUTED_VALUE"""),"GoNNER2")</f>
        <v>GoNNER2</v>
      </c>
      <c r="B542" s="195" t="str">
        <f>IFERROR(__xludf.DUMMYFUNCTION("""COMPUTED_VALUE"""),"Xbox / PC")</f>
        <v>Xbox / PC</v>
      </c>
      <c r="C542" s="195" t="str">
        <f>IFERROR(__xludf.DUMMYFUNCTION("""COMPUTED_VALUE"""),"Touch Controls")</f>
        <v>Touch Controls</v>
      </c>
      <c r="D542" s="196" t="str">
        <f>IFERROR(__xludf.DUMMYFUNCTION("""COMPUTED_VALUE"""),"Removed")</f>
        <v>Removed</v>
      </c>
      <c r="E542" s="271">
        <f>IFERROR(__xludf.DUMMYFUNCTION("""COMPUTED_VALUE"""),44127.0)</f>
        <v>44127</v>
      </c>
      <c r="F542" s="266">
        <f>IFERROR(__xludf.DUMMYFUNCTION("""COMPUTED_VALUE"""),44484.0)</f>
        <v>44484</v>
      </c>
      <c r="G542" s="199">
        <f>IFERROR(__xludf.DUMMYFUNCTION("""COMPUTED_VALUE"""),11.733333333333333)</f>
        <v>11.73333333</v>
      </c>
      <c r="H542" s="210">
        <f>IFERROR(__xludf.DUMMYFUNCTION("""COMPUTED_VALUE"""),44126.0)</f>
        <v>44126</v>
      </c>
      <c r="I542" s="199">
        <f>IFERROR(__xludf.DUMMYFUNCTION("""COMPUTED_VALUE"""),0.002777777777777778)</f>
        <v>0.002777777778</v>
      </c>
      <c r="J542" s="267">
        <f>IFERROR(__xludf.DUMMYFUNCTION("""COMPUTED_VALUE"""),75.0)</f>
        <v>75</v>
      </c>
      <c r="K542" s="200">
        <f>IFERROR(__xludf.DUMMYFUNCTION("""COMPUTED_VALUE"""),7.0)</f>
        <v>7</v>
      </c>
      <c r="L542" s="265" t="str">
        <f>IFERROR(__xludf.DUMMYFUNCTION("""COMPUTED_VALUE"""),"Action / Platformer")</f>
        <v>Action / Platformer</v>
      </c>
    </row>
    <row r="543">
      <c r="A543" s="269" t="str">
        <f>IFERROR(__xludf.DUMMYFUNCTION("""COMPUTED_VALUE"""),"Heave Ho")</f>
        <v>Heave Ho</v>
      </c>
      <c r="B543" s="195" t="str">
        <f>IFERROR(__xludf.DUMMYFUNCTION("""COMPUTED_VALUE"""),"PC")</f>
        <v>PC</v>
      </c>
      <c r="C543" s="195"/>
      <c r="D543" s="196" t="str">
        <f>IFERROR(__xludf.DUMMYFUNCTION("""COMPUTED_VALUE"""),"Removed")</f>
        <v>Removed</v>
      </c>
      <c r="E543" s="271">
        <f>IFERROR(__xludf.DUMMYFUNCTION("""COMPUTED_VALUE"""),44119.0)</f>
        <v>44119</v>
      </c>
      <c r="F543" s="266">
        <f>IFERROR(__xludf.DUMMYFUNCTION("""COMPUTED_VALUE"""),44484.0)</f>
        <v>44484</v>
      </c>
      <c r="G543" s="199">
        <f>IFERROR(__xludf.DUMMYFUNCTION("""COMPUTED_VALUE"""),12.0)</f>
        <v>12</v>
      </c>
      <c r="H543" s="210">
        <f>IFERROR(__xludf.DUMMYFUNCTION("""COMPUTED_VALUE"""),43706.0)</f>
        <v>43706</v>
      </c>
      <c r="I543" s="199">
        <f>IFERROR(__xludf.DUMMYFUNCTION("""COMPUTED_VALUE"""),1.1277777777777778)</f>
        <v>1.127777778</v>
      </c>
      <c r="J543" s="267">
        <f>IFERROR(__xludf.DUMMYFUNCTION("""COMPUTED_VALUE"""),76.0)</f>
        <v>76</v>
      </c>
      <c r="K543" s="200">
        <f>IFERROR(__xludf.DUMMYFUNCTION("""COMPUTED_VALUE"""),3.5)</f>
        <v>3.5</v>
      </c>
      <c r="L543" s="265" t="str">
        <f>IFERROR(__xludf.DUMMYFUNCTION("""COMPUTED_VALUE"""),"Platformer")</f>
        <v>Platformer</v>
      </c>
    </row>
    <row r="544">
      <c r="A544" s="269" t="str">
        <f>IFERROR(__xludf.DUMMYFUNCTION("""COMPUTED_VALUE"""),"Katana Zero")</f>
        <v>Katana Zero</v>
      </c>
      <c r="B544" s="195" t="str">
        <f>IFERROR(__xludf.DUMMYFUNCTION("""COMPUTED_VALUE"""),"Xbox / PC")</f>
        <v>Xbox / PC</v>
      </c>
      <c r="C544" s="196" t="str">
        <f>IFERROR(__xludf.DUMMYFUNCTION("""COMPUTED_VALUE"""),"Yes")</f>
        <v>Yes</v>
      </c>
      <c r="D544" s="196" t="str">
        <f>IFERROR(__xludf.DUMMYFUNCTION("""COMPUTED_VALUE"""),"Removed")</f>
        <v>Removed</v>
      </c>
      <c r="E544" s="271">
        <f>IFERROR(__xludf.DUMMYFUNCTION("""COMPUTED_VALUE"""),44119.0)</f>
        <v>44119</v>
      </c>
      <c r="F544" s="266">
        <f>IFERROR(__xludf.DUMMYFUNCTION("""COMPUTED_VALUE"""),44484.0)</f>
        <v>44484</v>
      </c>
      <c r="G544" s="199">
        <f>IFERROR(__xludf.DUMMYFUNCTION("""COMPUTED_VALUE"""),12.0)</f>
        <v>12</v>
      </c>
      <c r="H544" s="210">
        <f>IFERROR(__xludf.DUMMYFUNCTION("""COMPUTED_VALUE"""),43572.0)</f>
        <v>43572</v>
      </c>
      <c r="I544" s="199">
        <f>IFERROR(__xludf.DUMMYFUNCTION("""COMPUTED_VALUE"""),1.4944444444444445)</f>
        <v>1.494444444</v>
      </c>
      <c r="J544" s="200">
        <f>IFERROR(__xludf.DUMMYFUNCTION("""COMPUTED_VALUE"""),83.0)</f>
        <v>83</v>
      </c>
      <c r="K544" s="200">
        <f>IFERROR(__xludf.DUMMYFUNCTION("""COMPUTED_VALUE"""),4.5)</f>
        <v>4.5</v>
      </c>
      <c r="L544" s="265" t="str">
        <f>IFERROR(__xludf.DUMMYFUNCTION("""COMPUTED_VALUE"""),"Action / Platformer")</f>
        <v>Action / Platformer</v>
      </c>
    </row>
    <row r="545">
      <c r="A545" s="269" t="str">
        <f>IFERROR(__xludf.DUMMYFUNCTION("""COMPUTED_VALUE"""),"Tales of Vesperia: Definitive Edition")</f>
        <v>Tales of Vesperia: Definitive Edition</v>
      </c>
      <c r="B545" s="195" t="str">
        <f>IFERROR(__xludf.DUMMYFUNCTION("""COMPUTED_VALUE"""),"Xbox / PC")</f>
        <v>Xbox / PC</v>
      </c>
      <c r="C545" s="196"/>
      <c r="D545" s="196" t="str">
        <f>IFERROR(__xludf.DUMMYFUNCTION("""COMPUTED_VALUE"""),"Removed")</f>
        <v>Removed</v>
      </c>
      <c r="E545" s="271">
        <f>IFERROR(__xludf.DUMMYFUNCTION("""COMPUTED_VALUE"""),44119.0)</f>
        <v>44119</v>
      </c>
      <c r="F545" s="266">
        <f>IFERROR(__xludf.DUMMYFUNCTION("""COMPUTED_VALUE"""),44484.0)</f>
        <v>44484</v>
      </c>
      <c r="G545" s="199">
        <f>IFERROR(__xludf.DUMMYFUNCTION("""COMPUTED_VALUE"""),12.0)</f>
        <v>12</v>
      </c>
      <c r="H545" s="210">
        <f>IFERROR(__xludf.DUMMYFUNCTION("""COMPUTED_VALUE"""),43476.0)</f>
        <v>43476</v>
      </c>
      <c r="I545" s="199">
        <f>IFERROR(__xludf.DUMMYFUNCTION("""COMPUTED_VALUE"""),1.761111111111111)</f>
        <v>1.761111111</v>
      </c>
      <c r="J545" s="267">
        <f>IFERROR(__xludf.DUMMYFUNCTION("""COMPUTED_VALUE"""),80.0)</f>
        <v>80</v>
      </c>
      <c r="K545" s="200">
        <f>IFERROR(__xludf.DUMMYFUNCTION("""COMPUTED_VALUE"""),46.0)</f>
        <v>46</v>
      </c>
      <c r="L545" s="265" t="str">
        <f>IFERROR(__xludf.DUMMYFUNCTION("""COMPUTED_VALUE"""),"RPG / Action-Adventure")</f>
        <v>RPG / Action-Adventure</v>
      </c>
    </row>
    <row r="546">
      <c r="A546" s="269" t="str">
        <f>IFERROR(__xludf.DUMMYFUNCTION("""COMPUTED_VALUE"""),"The Swords of Ditto: Mormo's Curse")</f>
        <v>The Swords of Ditto: Mormo's Curse</v>
      </c>
      <c r="B546" s="195" t="str">
        <f>IFERROR(__xludf.DUMMYFUNCTION("""COMPUTED_VALUE"""),"PC")</f>
        <v>PC</v>
      </c>
      <c r="C546" s="195"/>
      <c r="D546" s="196" t="str">
        <f>IFERROR(__xludf.DUMMYFUNCTION("""COMPUTED_VALUE"""),"Removed")</f>
        <v>Removed</v>
      </c>
      <c r="E546" s="271">
        <f>IFERROR(__xludf.DUMMYFUNCTION("""COMPUTED_VALUE"""),44119.0)</f>
        <v>44119</v>
      </c>
      <c r="F546" s="266">
        <f>IFERROR(__xludf.DUMMYFUNCTION("""COMPUTED_VALUE"""),44484.0)</f>
        <v>44484</v>
      </c>
      <c r="G546" s="199">
        <f>IFERROR(__xludf.DUMMYFUNCTION("""COMPUTED_VALUE"""),12.0)</f>
        <v>12</v>
      </c>
      <c r="H546" s="210">
        <f>IFERROR(__xludf.DUMMYFUNCTION("""COMPUTED_VALUE"""),43214.0)</f>
        <v>43214</v>
      </c>
      <c r="I546" s="199">
        <f>IFERROR(__xludf.DUMMYFUNCTION("""COMPUTED_VALUE"""),2.475)</f>
        <v>2.475</v>
      </c>
      <c r="J546" s="267">
        <f>IFERROR(__xludf.DUMMYFUNCTION("""COMPUTED_VALUE"""),76.0)</f>
        <v>76</v>
      </c>
      <c r="K546" s="267">
        <f>IFERROR(__xludf.DUMMYFUNCTION("""COMPUTED_VALUE"""),7.0)</f>
        <v>7</v>
      </c>
      <c r="L546" s="265" t="str">
        <f>IFERROR(__xludf.DUMMYFUNCTION("""COMPUTED_VALUE"""),"Action / RPG")</f>
        <v>Action / RPG</v>
      </c>
    </row>
    <row r="547">
      <c r="A547" s="269" t="str">
        <f>IFERROR(__xludf.DUMMYFUNCTION("""COMPUTED_VALUE"""),"ScourgeBringer")</f>
        <v>ScourgeBringer</v>
      </c>
      <c r="B547" s="195" t="str">
        <f>IFERROR(__xludf.DUMMYFUNCTION("""COMPUTED_VALUE"""),"Xbox / PC")</f>
        <v>Xbox / PC</v>
      </c>
      <c r="C547" s="195" t="str">
        <f>IFERROR(__xludf.DUMMYFUNCTION("""COMPUTED_VALUE"""),"Touch Controls")</f>
        <v>Touch Controls</v>
      </c>
      <c r="D547" s="196" t="str">
        <f>IFERROR(__xludf.DUMMYFUNCTION("""COMPUTED_VALUE"""),"Removed")</f>
        <v>Removed</v>
      </c>
      <c r="E547" s="271">
        <f>IFERROR(__xludf.DUMMYFUNCTION("""COMPUTED_VALUE"""),43867.0)</f>
        <v>43867</v>
      </c>
      <c r="F547" s="266">
        <f>IFERROR(__xludf.DUMMYFUNCTION("""COMPUTED_VALUE"""),44484.0)</f>
        <v>44484</v>
      </c>
      <c r="G547" s="199">
        <f>IFERROR(__xludf.DUMMYFUNCTION("""COMPUTED_VALUE"""),20.3)</f>
        <v>20.3</v>
      </c>
      <c r="H547" s="210">
        <f>IFERROR(__xludf.DUMMYFUNCTION("""COMPUTED_VALUE"""),43867.0)</f>
        <v>43867</v>
      </c>
      <c r="I547" s="199">
        <f>IFERROR(__xludf.DUMMYFUNCTION("""COMPUTED_VALUE"""),0.0)</f>
        <v>0</v>
      </c>
      <c r="J547" s="267">
        <f>IFERROR(__xludf.DUMMYFUNCTION("""COMPUTED_VALUE"""),75.5)</f>
        <v>75.5</v>
      </c>
      <c r="K547" s="267">
        <f>IFERROR(__xludf.DUMMYFUNCTION("""COMPUTED_VALUE"""),2.0)</f>
        <v>2</v>
      </c>
      <c r="L547" s="265" t="str">
        <f>IFERROR(__xludf.DUMMYFUNCTION("""COMPUTED_VALUE"""),"Platformer")</f>
        <v>Platformer</v>
      </c>
    </row>
    <row r="548">
      <c r="A548" s="190" t="str">
        <f>IFERROR(__xludf.DUMMYFUNCTION("""COMPUTED_VALUE"""),"Ikenfell")</f>
        <v>Ikenfell</v>
      </c>
      <c r="B548" s="195" t="str">
        <f>IFERROR(__xludf.DUMMYFUNCTION("""COMPUTED_VALUE"""),"Xbox / PC")</f>
        <v>Xbox / PC</v>
      </c>
      <c r="C548" s="195" t="str">
        <f>IFERROR(__xludf.DUMMYFUNCTION("""COMPUTED_VALUE"""),"Touch Controls")</f>
        <v>Touch Controls</v>
      </c>
      <c r="D548" s="196" t="str">
        <f>IFERROR(__xludf.DUMMYFUNCTION("""COMPUTED_VALUE"""),"Removed")</f>
        <v>Removed</v>
      </c>
      <c r="E548" s="271">
        <f>IFERROR(__xludf.DUMMYFUNCTION("""COMPUTED_VALUE"""),44112.0)</f>
        <v>44112</v>
      </c>
      <c r="F548" s="266">
        <f>IFERROR(__xludf.DUMMYFUNCTION("""COMPUTED_VALUE"""),44469.0)</f>
        <v>44469</v>
      </c>
      <c r="G548" s="199">
        <f>IFERROR(__xludf.DUMMYFUNCTION("""COMPUTED_VALUE"""),11.733333333333333)</f>
        <v>11.73333333</v>
      </c>
      <c r="H548" s="210">
        <f>IFERROR(__xludf.DUMMYFUNCTION("""COMPUTED_VALUE"""),44112.0)</f>
        <v>44112</v>
      </c>
      <c r="I548" s="199">
        <f>IFERROR(__xludf.DUMMYFUNCTION("""COMPUTED_VALUE"""),0.0)</f>
        <v>0</v>
      </c>
      <c r="J548" s="267">
        <f>IFERROR(__xludf.DUMMYFUNCTION("""COMPUTED_VALUE"""),74.0)</f>
        <v>74</v>
      </c>
      <c r="K548" s="200">
        <f>IFERROR(__xludf.DUMMYFUNCTION("""COMPUTED_VALUE"""),19.0)</f>
        <v>19</v>
      </c>
      <c r="L548" s="265" t="str">
        <f>IFERROR(__xludf.DUMMYFUNCTION("""COMPUTED_VALUE"""),"RPG")</f>
        <v>RPG</v>
      </c>
    </row>
    <row r="549">
      <c r="A549" s="269" t="str">
        <f>IFERROR(__xludf.DUMMYFUNCTION("""COMPUTED_VALUE"""),"Kathy Rain")</f>
        <v>Kathy Rain</v>
      </c>
      <c r="B549" s="195" t="str">
        <f>IFERROR(__xludf.DUMMYFUNCTION("""COMPUTED_VALUE"""),"PC")</f>
        <v>PC</v>
      </c>
      <c r="C549" s="196"/>
      <c r="D549" s="196" t="str">
        <f>IFERROR(__xludf.DUMMYFUNCTION("""COMPUTED_VALUE"""),"Removed")</f>
        <v>Removed</v>
      </c>
      <c r="E549" s="271">
        <f>IFERROR(__xludf.DUMMYFUNCTION("""COMPUTED_VALUE"""),44098.0)</f>
        <v>44098</v>
      </c>
      <c r="F549" s="266">
        <f>IFERROR(__xludf.DUMMYFUNCTION("""COMPUTED_VALUE"""),44469.0)</f>
        <v>44469</v>
      </c>
      <c r="G549" s="199">
        <f>IFERROR(__xludf.DUMMYFUNCTION("""COMPUTED_VALUE"""),12.2)</f>
        <v>12.2</v>
      </c>
      <c r="H549" s="210">
        <f>IFERROR(__xludf.DUMMYFUNCTION("""COMPUTED_VALUE"""),42495.0)</f>
        <v>42495</v>
      </c>
      <c r="I549" s="199">
        <f>IFERROR(__xludf.DUMMYFUNCTION("""COMPUTED_VALUE"""),4.386111111111111)</f>
        <v>4.386111111</v>
      </c>
      <c r="J549" s="267">
        <f>IFERROR(__xludf.DUMMYFUNCTION("""COMPUTED_VALUE"""),77.0)</f>
        <v>77</v>
      </c>
      <c r="K549" s="267">
        <f>IFERROR(__xludf.DUMMYFUNCTION("""COMPUTED_VALUE"""),5.5)</f>
        <v>5.5</v>
      </c>
      <c r="L549" s="265" t="str">
        <f>IFERROR(__xludf.DUMMYFUNCTION("""COMPUTED_VALUE"""),"Adventure")</f>
        <v>Adventure</v>
      </c>
    </row>
    <row r="550">
      <c r="A550" s="269" t="str">
        <f>IFERROR(__xludf.DUMMYFUNCTION("""COMPUTED_VALUE"""),"Night in the Woods")</f>
        <v>Night in the Woods</v>
      </c>
      <c r="B550" s="195" t="str">
        <f>IFERROR(__xludf.DUMMYFUNCTION("""COMPUTED_VALUE"""),"Xbox / PC")</f>
        <v>Xbox / PC</v>
      </c>
      <c r="C550" s="196" t="str">
        <f>IFERROR(__xludf.DUMMYFUNCTION("""COMPUTED_VALUE"""),"Yes")</f>
        <v>Yes</v>
      </c>
      <c r="D550" s="196" t="str">
        <f>IFERROR(__xludf.DUMMYFUNCTION("""COMPUTED_VALUE"""),"Removed")</f>
        <v>Removed</v>
      </c>
      <c r="E550" s="271">
        <f>IFERROR(__xludf.DUMMYFUNCTION("""COMPUTED_VALUE"""),44098.0)</f>
        <v>44098</v>
      </c>
      <c r="F550" s="266">
        <f>IFERROR(__xludf.DUMMYFUNCTION("""COMPUTED_VALUE"""),44469.0)</f>
        <v>44469</v>
      </c>
      <c r="G550" s="199">
        <f>IFERROR(__xludf.DUMMYFUNCTION("""COMPUTED_VALUE"""),12.2)</f>
        <v>12.2</v>
      </c>
      <c r="H550" s="210">
        <f>IFERROR(__xludf.DUMMYFUNCTION("""COMPUTED_VALUE"""),42787.0)</f>
        <v>42787</v>
      </c>
      <c r="I550" s="199">
        <f>IFERROR(__xludf.DUMMYFUNCTION("""COMPUTED_VALUE"""),3.591666666666667)</f>
        <v>3.591666667</v>
      </c>
      <c r="J550" s="267">
        <f>IFERROR(__xludf.DUMMYFUNCTION("""COMPUTED_VALUE"""),81.5)</f>
        <v>81.5</v>
      </c>
      <c r="K550" s="200">
        <f>IFERROR(__xludf.DUMMYFUNCTION("""COMPUTED_VALUE"""),8.5)</f>
        <v>8.5</v>
      </c>
      <c r="L550" s="265" t="str">
        <f>IFERROR(__xludf.DUMMYFUNCTION("""COMPUTED_VALUE"""),"Adventure / Platformer")</f>
        <v>Adventure / Platformer</v>
      </c>
    </row>
    <row r="551">
      <c r="A551" s="269" t="str">
        <f>IFERROR(__xludf.DUMMYFUNCTION("""COMPUTED_VALUE"""),"Drake Hollow")</f>
        <v>Drake Hollow</v>
      </c>
      <c r="B551" s="195" t="str">
        <f>IFERROR(__xludf.DUMMYFUNCTION("""COMPUTED_VALUE"""),"Xbox / PC")</f>
        <v>Xbox / PC</v>
      </c>
      <c r="C551" s="195" t="str">
        <f>IFERROR(__xludf.DUMMYFUNCTION("""COMPUTED_VALUE"""),"Yes")</f>
        <v>Yes</v>
      </c>
      <c r="D551" s="196" t="str">
        <f>IFERROR(__xludf.DUMMYFUNCTION("""COMPUTED_VALUE"""),"Removed")</f>
        <v>Removed</v>
      </c>
      <c r="E551" s="271">
        <f>IFERROR(__xludf.DUMMYFUNCTION("""COMPUTED_VALUE"""),44071.0)</f>
        <v>44071</v>
      </c>
      <c r="F551" s="266">
        <f>IFERROR(__xludf.DUMMYFUNCTION("""COMPUTED_VALUE"""),44469.0)</f>
        <v>44469</v>
      </c>
      <c r="G551" s="199">
        <f>IFERROR(__xludf.DUMMYFUNCTION("""COMPUTED_VALUE"""),13.066666666666666)</f>
        <v>13.06666667</v>
      </c>
      <c r="H551" s="210">
        <f>IFERROR(__xludf.DUMMYFUNCTION("""COMPUTED_VALUE"""),44071.0)</f>
        <v>44071</v>
      </c>
      <c r="I551" s="199">
        <f>IFERROR(__xludf.DUMMYFUNCTION("""COMPUTED_VALUE"""),0.0)</f>
        <v>0</v>
      </c>
      <c r="J551" s="200">
        <f>IFERROR(__xludf.DUMMYFUNCTION("""COMPUTED_VALUE"""),78.0)</f>
        <v>78</v>
      </c>
      <c r="K551" s="200">
        <f>IFERROR(__xludf.DUMMYFUNCTION("""COMPUTED_VALUE"""),10.0)</f>
        <v>10</v>
      </c>
      <c r="L551" s="265" t="str">
        <f>IFERROR(__xludf.DUMMYFUNCTION("""COMPUTED_VALUE"""),"Action-Adventure")</f>
        <v>Action-Adventure</v>
      </c>
    </row>
    <row r="552">
      <c r="A552" s="269" t="str">
        <f>IFERROR(__xludf.DUMMYFUNCTION("""COMPUTED_VALUE"""),"Forza Motorsport 7")</f>
        <v>Forza Motorsport 7</v>
      </c>
      <c r="B552" s="196" t="str">
        <f>IFERROR(__xludf.DUMMYFUNCTION("""COMPUTED_VALUE"""),"Xbox / PC")</f>
        <v>Xbox / PC</v>
      </c>
      <c r="C552" s="196" t="str">
        <f>IFERROR(__xludf.DUMMYFUNCTION("""COMPUTED_VALUE"""),"Yes")</f>
        <v>Yes</v>
      </c>
      <c r="D552" s="196" t="str">
        <f>IFERROR(__xludf.DUMMYFUNCTION("""COMPUTED_VALUE"""),"Removed")</f>
        <v>Removed</v>
      </c>
      <c r="E552" s="271">
        <f>IFERROR(__xludf.DUMMYFUNCTION("""COMPUTED_VALUE"""),44112.0)</f>
        <v>44112</v>
      </c>
      <c r="F552" s="266">
        <f>IFERROR(__xludf.DUMMYFUNCTION("""COMPUTED_VALUE"""),44454.0)</f>
        <v>44454</v>
      </c>
      <c r="G552" s="199">
        <f>IFERROR(__xludf.DUMMYFUNCTION("""COMPUTED_VALUE"""),11.233333333333334)</f>
        <v>11.23333333</v>
      </c>
      <c r="H552" s="210">
        <f>IFERROR(__xludf.DUMMYFUNCTION("""COMPUTED_VALUE"""),43021.0)</f>
        <v>43021</v>
      </c>
      <c r="I552" s="199">
        <f>IFERROR(__xludf.DUMMYFUNCTION("""COMPUTED_VALUE"""),2.986111111111111)</f>
        <v>2.986111111</v>
      </c>
      <c r="J552" s="267">
        <f>IFERROR(__xludf.DUMMYFUNCTION("""COMPUTED_VALUE"""),84.0)</f>
        <v>84</v>
      </c>
      <c r="K552" s="200">
        <f>IFERROR(__xludf.DUMMYFUNCTION("""COMPUTED_VALUE"""),29.5)</f>
        <v>29.5</v>
      </c>
      <c r="L552" s="201" t="str">
        <f>IFERROR(__xludf.DUMMYFUNCTION("""COMPUTED_VALUE"""),"Driving/Racing")</f>
        <v>Driving/Racing</v>
      </c>
    </row>
    <row r="553">
      <c r="A553" s="269" t="str">
        <f>IFERROR(__xludf.DUMMYFUNCTION("""COMPUTED_VALUE"""),"Company of Heroes 2: Complete Edition")</f>
        <v>Company of Heroes 2: Complete Edition</v>
      </c>
      <c r="B553" s="195" t="str">
        <f>IFERROR(__xludf.DUMMYFUNCTION("""COMPUTED_VALUE"""),"PC")</f>
        <v>PC</v>
      </c>
      <c r="C553" s="195"/>
      <c r="D553" s="196" t="str">
        <f>IFERROR(__xludf.DUMMYFUNCTION("""COMPUTED_VALUE"""),"Removed")</f>
        <v>Removed</v>
      </c>
      <c r="E553" s="271">
        <f>IFERROR(__xludf.DUMMYFUNCTION("""COMPUTED_VALUE"""),44091.0)</f>
        <v>44091</v>
      </c>
      <c r="F553" s="266">
        <f>IFERROR(__xludf.DUMMYFUNCTION("""COMPUTED_VALUE"""),44454.0)</f>
        <v>44454</v>
      </c>
      <c r="G553" s="199">
        <f>IFERROR(__xludf.DUMMYFUNCTION("""COMPUTED_VALUE"""),11.933333333333334)</f>
        <v>11.93333333</v>
      </c>
      <c r="H553" s="210">
        <f>IFERROR(__xludf.DUMMYFUNCTION("""COMPUTED_VALUE"""),41450.0)</f>
        <v>41450</v>
      </c>
      <c r="I553" s="199">
        <f>IFERROR(__xludf.DUMMYFUNCTION("""COMPUTED_VALUE"""),7.227777777777778)</f>
        <v>7.227777778</v>
      </c>
      <c r="J553" s="267">
        <f>IFERROR(__xludf.DUMMYFUNCTION("""COMPUTED_VALUE"""),80.0)</f>
        <v>80</v>
      </c>
      <c r="K553" s="267">
        <f>IFERROR(__xludf.DUMMYFUNCTION("""COMPUTED_VALUE"""),15.0)</f>
        <v>15</v>
      </c>
      <c r="L553" s="201" t="str">
        <f>IFERROR(__xludf.DUMMYFUNCTION("""COMPUTED_VALUE"""),"Real-Time Strategy")</f>
        <v>Real-Time Strategy</v>
      </c>
    </row>
    <row r="554">
      <c r="A554" s="269" t="str">
        <f>IFERROR(__xludf.DUMMYFUNCTION("""COMPUTED_VALUE"""),"Disgaea 4 Complete+")</f>
        <v>Disgaea 4 Complete+</v>
      </c>
      <c r="B554" s="195" t="str">
        <f>IFERROR(__xludf.DUMMYFUNCTION("""COMPUTED_VALUE"""),"PC")</f>
        <v>PC</v>
      </c>
      <c r="C554" s="195"/>
      <c r="D554" s="196" t="str">
        <f>IFERROR(__xludf.DUMMYFUNCTION("""COMPUTED_VALUE"""),"Removed")</f>
        <v>Removed</v>
      </c>
      <c r="E554" s="271">
        <f>IFERROR(__xludf.DUMMYFUNCTION("""COMPUTED_VALUE"""),44084.0)</f>
        <v>44084</v>
      </c>
      <c r="F554" s="266">
        <f>IFERROR(__xludf.DUMMYFUNCTION("""COMPUTED_VALUE"""),44454.0)</f>
        <v>44454</v>
      </c>
      <c r="G554" s="199">
        <f>IFERROR(__xludf.DUMMYFUNCTION("""COMPUTED_VALUE"""),12.166666666666666)</f>
        <v>12.16666667</v>
      </c>
      <c r="H554" s="210">
        <f>IFERROR(__xludf.DUMMYFUNCTION("""COMPUTED_VALUE"""),43767.0)</f>
        <v>43767</v>
      </c>
      <c r="I554" s="199">
        <f>IFERROR(__xludf.DUMMYFUNCTION("""COMPUTED_VALUE"""),0.8638888888888889)</f>
        <v>0.8638888889</v>
      </c>
      <c r="J554" s="267">
        <f>IFERROR(__xludf.DUMMYFUNCTION("""COMPUTED_VALUE"""),84.0)</f>
        <v>84</v>
      </c>
      <c r="K554" s="200">
        <f>IFERROR(__xludf.DUMMYFUNCTION("""COMPUTED_VALUE"""),35.5)</f>
        <v>35.5</v>
      </c>
      <c r="L554" s="201" t="str">
        <f>IFERROR(__xludf.DUMMYFUNCTION("""COMPUTED_VALUE"""),"Strategy / RPG")</f>
        <v>Strategy / RPG</v>
      </c>
    </row>
    <row r="555">
      <c r="A555" s="269" t="str">
        <f>IFERROR(__xludf.DUMMYFUNCTION("""COMPUTED_VALUE"""),"Hotshot Racing")</f>
        <v>Hotshot Racing</v>
      </c>
      <c r="B555" s="196" t="str">
        <f>IFERROR(__xludf.DUMMYFUNCTION("""COMPUTED_VALUE"""),"Xbox")</f>
        <v>Xbox</v>
      </c>
      <c r="C555" s="196" t="str">
        <f>IFERROR(__xludf.DUMMYFUNCTION("""COMPUTED_VALUE"""),"Touch Controls")</f>
        <v>Touch Controls</v>
      </c>
      <c r="D555" s="196" t="str">
        <f>IFERROR(__xludf.DUMMYFUNCTION("""COMPUTED_VALUE"""),"Removed")</f>
        <v>Removed</v>
      </c>
      <c r="E555" s="271">
        <f>IFERROR(__xludf.DUMMYFUNCTION("""COMPUTED_VALUE"""),44084.0)</f>
        <v>44084</v>
      </c>
      <c r="F555" s="266">
        <f>IFERROR(__xludf.DUMMYFUNCTION("""COMPUTED_VALUE"""),44454.0)</f>
        <v>44454</v>
      </c>
      <c r="G555" s="199">
        <f>IFERROR(__xludf.DUMMYFUNCTION("""COMPUTED_VALUE"""),12.166666666666666)</f>
        <v>12.16666667</v>
      </c>
      <c r="H555" s="210">
        <f>IFERROR(__xludf.DUMMYFUNCTION("""COMPUTED_VALUE"""),44084.0)</f>
        <v>44084</v>
      </c>
      <c r="I555" s="199">
        <f>IFERROR(__xludf.DUMMYFUNCTION("""COMPUTED_VALUE"""),0.0)</f>
        <v>0</v>
      </c>
      <c r="J555" s="267">
        <f>IFERROR(__xludf.DUMMYFUNCTION("""COMPUTED_VALUE"""),77.0)</f>
        <v>77</v>
      </c>
      <c r="K555" s="200">
        <f>IFERROR(__xludf.DUMMYFUNCTION("""COMPUTED_VALUE"""),1.0)</f>
        <v>1</v>
      </c>
      <c r="L555" s="265" t="str">
        <f>IFERROR(__xludf.DUMMYFUNCTION("""COMPUTED_VALUE"""),"Driving/Racing")</f>
        <v>Driving/Racing</v>
      </c>
    </row>
    <row r="556">
      <c r="A556" s="269" t="str">
        <f>IFERROR(__xludf.DUMMYFUNCTION("""COMPUTED_VALUE"""),"The Dark Crystal: Age of Resistance Tactics")</f>
        <v>The Dark Crystal: Age of Resistance Tactics</v>
      </c>
      <c r="B556" s="195" t="str">
        <f>IFERROR(__xludf.DUMMYFUNCTION("""COMPUTED_VALUE"""),"Xbox / PC")</f>
        <v>Xbox / PC</v>
      </c>
      <c r="C556" s="195" t="str">
        <f>IFERROR(__xludf.DUMMYFUNCTION("""COMPUTED_VALUE"""),"Touch Controls")</f>
        <v>Touch Controls</v>
      </c>
      <c r="D556" s="196" t="str">
        <f>IFERROR(__xludf.DUMMYFUNCTION("""COMPUTED_VALUE"""),"Removed")</f>
        <v>Removed</v>
      </c>
      <c r="E556" s="271">
        <f>IFERROR(__xludf.DUMMYFUNCTION("""COMPUTED_VALUE"""),44084.0)</f>
        <v>44084</v>
      </c>
      <c r="F556" s="266">
        <f>IFERROR(__xludf.DUMMYFUNCTION("""COMPUTED_VALUE"""),44454.0)</f>
        <v>44454</v>
      </c>
      <c r="G556" s="199">
        <f>IFERROR(__xludf.DUMMYFUNCTION("""COMPUTED_VALUE"""),12.166666666666666)</f>
        <v>12.16666667</v>
      </c>
      <c r="H556" s="210">
        <f>IFERROR(__xludf.DUMMYFUNCTION("""COMPUTED_VALUE"""),43865.0)</f>
        <v>43865</v>
      </c>
      <c r="I556" s="199">
        <f>IFERROR(__xludf.DUMMYFUNCTION("""COMPUTED_VALUE"""),0.6)</f>
        <v>0.6</v>
      </c>
      <c r="J556" s="267">
        <f>IFERROR(__xludf.DUMMYFUNCTION("""COMPUTED_VALUE"""),62.5)</f>
        <v>62.5</v>
      </c>
      <c r="K556" s="267">
        <f>IFERROR(__xludf.DUMMYFUNCTION("""COMPUTED_VALUE"""),19.0)</f>
        <v>19</v>
      </c>
      <c r="L556" s="265" t="str">
        <f>IFERROR(__xludf.DUMMYFUNCTION("""COMPUTED_VALUE"""),"Strategy")</f>
        <v>Strategy</v>
      </c>
    </row>
    <row r="557">
      <c r="A557" s="190" t="str">
        <f>IFERROR(__xludf.DUMMYFUNCTION("""COMPUTED_VALUE"""),"Thronebreaker: The Witcher Tales")</f>
        <v>Thronebreaker: The Witcher Tales</v>
      </c>
      <c r="B557" s="195" t="str">
        <f>IFERROR(__xludf.DUMMYFUNCTION("""COMPUTED_VALUE"""),"Xbox")</f>
        <v>Xbox</v>
      </c>
      <c r="C557" s="195" t="str">
        <f>IFERROR(__xludf.DUMMYFUNCTION("""COMPUTED_VALUE"""),"Yes")</f>
        <v>Yes</v>
      </c>
      <c r="D557" s="196" t="str">
        <f>IFERROR(__xludf.DUMMYFUNCTION("""COMPUTED_VALUE"""),"Removed")</f>
        <v>Removed</v>
      </c>
      <c r="E557" s="271">
        <f>IFERROR(__xludf.DUMMYFUNCTION("""COMPUTED_VALUE"""),44000.0)</f>
        <v>44000</v>
      </c>
      <c r="F557" s="266">
        <f>IFERROR(__xludf.DUMMYFUNCTION("""COMPUTED_VALUE"""),44454.0)</f>
        <v>44454</v>
      </c>
      <c r="G557" s="199">
        <f>IFERROR(__xludf.DUMMYFUNCTION("""COMPUTED_VALUE"""),14.9)</f>
        <v>14.9</v>
      </c>
      <c r="H557" s="210">
        <f>IFERROR(__xludf.DUMMYFUNCTION("""COMPUTED_VALUE"""),43396.0)</f>
        <v>43396</v>
      </c>
      <c r="I557" s="199">
        <f>IFERROR(__xludf.DUMMYFUNCTION("""COMPUTED_VALUE"""),1.6527777777777777)</f>
        <v>1.652777778</v>
      </c>
      <c r="J557" s="267">
        <f>IFERROR(__xludf.DUMMYFUNCTION("""COMPUTED_VALUE"""),85.0)</f>
        <v>85</v>
      </c>
      <c r="K557" s="200">
        <f>IFERROR(__xludf.DUMMYFUNCTION("""COMPUTED_VALUE"""),26.0)</f>
        <v>26</v>
      </c>
      <c r="L557" s="265" t="str">
        <f>IFERROR(__xludf.DUMMYFUNCTION("""COMPUTED_VALUE"""),"Card Game")</f>
        <v>Card Game</v>
      </c>
    </row>
    <row r="558">
      <c r="A558" s="269" t="str">
        <f>IFERROR(__xludf.DUMMYFUNCTION("""COMPUTED_VALUE"""),"Red Dead Online")</f>
        <v>Red Dead Online</v>
      </c>
      <c r="B558" s="195" t="str">
        <f>IFERROR(__xludf.DUMMYFUNCTION("""COMPUTED_VALUE"""),"Xbox")</f>
        <v>Xbox</v>
      </c>
      <c r="C558" s="195" t="str">
        <f>IFERROR(__xludf.DUMMYFUNCTION("""COMPUTED_VALUE"""),"Yes")</f>
        <v>Yes</v>
      </c>
      <c r="D558" s="196" t="str">
        <f>IFERROR(__xludf.DUMMYFUNCTION("""COMPUTED_VALUE"""),"Removed")</f>
        <v>Removed</v>
      </c>
      <c r="E558" s="271">
        <f>IFERROR(__xludf.DUMMYFUNCTION("""COMPUTED_VALUE"""),44329.0)</f>
        <v>44329</v>
      </c>
      <c r="F558" s="266">
        <f>IFERROR(__xludf.DUMMYFUNCTION("""COMPUTED_VALUE"""),44452.0)</f>
        <v>44452</v>
      </c>
      <c r="G558" s="199">
        <f>IFERROR(__xludf.DUMMYFUNCTION("""COMPUTED_VALUE"""),4.0)</f>
        <v>4</v>
      </c>
      <c r="H558" s="210">
        <f>IFERROR(__xludf.DUMMYFUNCTION("""COMPUTED_VALUE"""),43431.0)</f>
        <v>43431</v>
      </c>
      <c r="I558" s="199">
        <f>IFERROR(__xludf.DUMMYFUNCTION("""COMPUTED_VALUE"""),2.4611111111111112)</f>
        <v>2.461111111</v>
      </c>
      <c r="J558" s="267">
        <f>IFERROR(__xludf.DUMMYFUNCTION("""COMPUTED_VALUE"""),85.0)</f>
        <v>85</v>
      </c>
      <c r="K558" s="200">
        <f>IFERROR(__xludf.DUMMYFUNCTION("""COMPUTED_VALUE"""),8.0)</f>
        <v>8</v>
      </c>
      <c r="L558" s="265" t="str">
        <f>IFERROR(__xludf.DUMMYFUNCTION("""COMPUTED_VALUE"""),"Action / Action-Adventure")</f>
        <v>Action / Action-Adventure</v>
      </c>
    </row>
    <row r="559">
      <c r="A559" s="269" t="str">
        <f>IFERROR(__xludf.DUMMYFUNCTION("""COMPUTED_VALUE"""),"Star Wars Battlefront (Classic)")</f>
        <v>Star Wars Battlefront (Classic)</v>
      </c>
      <c r="B559" s="195" t="str">
        <f>IFERROR(__xludf.DUMMYFUNCTION("""COMPUTED_VALUE"""),"PC")</f>
        <v>PC</v>
      </c>
      <c r="C559" s="195"/>
      <c r="D559" s="196" t="str">
        <f>IFERROR(__xludf.DUMMYFUNCTION("""COMPUTED_VALUE"""),"Removed")</f>
        <v>Removed</v>
      </c>
      <c r="E559" s="271">
        <f>IFERROR(__xludf.DUMMYFUNCTION("""COMPUTED_VALUE"""),44273.0)</f>
        <v>44273</v>
      </c>
      <c r="F559" s="266">
        <f>IFERROR(__xludf.DUMMYFUNCTION("""COMPUTED_VALUE"""),44448.0)</f>
        <v>44448</v>
      </c>
      <c r="G559" s="199">
        <f>IFERROR(__xludf.DUMMYFUNCTION("""COMPUTED_VALUE"""),5.699999999999999)</f>
        <v>5.7</v>
      </c>
      <c r="H559" s="210">
        <f>IFERROR(__xludf.DUMMYFUNCTION("""COMPUTED_VALUE"""),43056.0)</f>
        <v>43056</v>
      </c>
      <c r="I559" s="199">
        <f>IFERROR(__xludf.DUMMYFUNCTION("""COMPUTED_VALUE"""),3.3361111111111112)</f>
        <v>3.336111111</v>
      </c>
      <c r="J559" s="267">
        <f>IFERROR(__xludf.DUMMYFUNCTION("""COMPUTED_VALUE"""),76.0)</f>
        <v>76</v>
      </c>
      <c r="K559" s="200">
        <f>IFERROR(__xludf.DUMMYFUNCTION("""COMPUTED_VALUE"""),9.5)</f>
        <v>9.5</v>
      </c>
      <c r="L559" s="265" t="str">
        <f>IFERROR(__xludf.DUMMYFUNCTION("""COMPUTED_VALUE"""),"Action / First-Person Shooter")</f>
        <v>Action / First-Person Shooter</v>
      </c>
    </row>
    <row r="560">
      <c r="A560" s="190" t="str">
        <f>IFERROR(__xludf.DUMMYFUNCTION("""COMPUTED_VALUE"""),"Star Wars Battlefront II (Classic)")</f>
        <v>Star Wars Battlefront II (Classic)</v>
      </c>
      <c r="B560" s="195" t="str">
        <f>IFERROR(__xludf.DUMMYFUNCTION("""COMPUTED_VALUE"""),"PC")</f>
        <v>PC</v>
      </c>
      <c r="C560" s="195"/>
      <c r="D560" s="196" t="str">
        <f>IFERROR(__xludf.DUMMYFUNCTION("""COMPUTED_VALUE"""),"Removed")</f>
        <v>Removed</v>
      </c>
      <c r="E560" s="271">
        <f>IFERROR(__xludf.DUMMYFUNCTION("""COMPUTED_VALUE"""),44273.0)</f>
        <v>44273</v>
      </c>
      <c r="F560" s="266">
        <f>IFERROR(__xludf.DUMMYFUNCTION("""COMPUTED_VALUE"""),44448.0)</f>
        <v>44448</v>
      </c>
      <c r="G560" s="199">
        <f>IFERROR(__xludf.DUMMYFUNCTION("""COMPUTED_VALUE"""),5.699999999999999)</f>
        <v>5.7</v>
      </c>
      <c r="H560" s="210">
        <f>IFERROR(__xludf.DUMMYFUNCTION("""COMPUTED_VALUE"""),38657.0)</f>
        <v>38657</v>
      </c>
      <c r="I560" s="199">
        <f>IFERROR(__xludf.DUMMYFUNCTION("""COMPUTED_VALUE"""),15.380555555555556)</f>
        <v>15.38055556</v>
      </c>
      <c r="J560" s="200">
        <f>IFERROR(__xludf.DUMMYFUNCTION("""COMPUTED_VALUE"""),78.0)</f>
        <v>78</v>
      </c>
      <c r="K560" s="200">
        <f>IFERROR(__xludf.DUMMYFUNCTION("""COMPUTED_VALUE"""),7.5)</f>
        <v>7.5</v>
      </c>
      <c r="L560" s="265" t="str">
        <f>IFERROR(__xludf.DUMMYFUNCTION("""COMPUTED_VALUE"""),"Action / Shooter")</f>
        <v>Action / Shooter</v>
      </c>
    </row>
    <row r="561">
      <c r="A561" s="269" t="str">
        <f>IFERROR(__xludf.DUMMYFUNCTION("""COMPUTED_VALUE"""),"Star Wars Republic Commando")</f>
        <v>Star Wars Republic Commando</v>
      </c>
      <c r="B561" s="195" t="str">
        <f>IFERROR(__xludf.DUMMYFUNCTION("""COMPUTED_VALUE"""),"PC")</f>
        <v>PC</v>
      </c>
      <c r="C561" s="195"/>
      <c r="D561" s="196" t="str">
        <f>IFERROR(__xludf.DUMMYFUNCTION("""COMPUTED_VALUE"""),"Removed")</f>
        <v>Removed</v>
      </c>
      <c r="E561" s="197">
        <f>IFERROR(__xludf.DUMMYFUNCTION("""COMPUTED_VALUE"""),44273.0)</f>
        <v>44273</v>
      </c>
      <c r="F561" s="266">
        <f>IFERROR(__xludf.DUMMYFUNCTION("""COMPUTED_VALUE"""),44448.0)</f>
        <v>44448</v>
      </c>
      <c r="G561" s="199">
        <f>IFERROR(__xludf.DUMMYFUNCTION("""COMPUTED_VALUE"""),5.699999999999999)</f>
        <v>5.7</v>
      </c>
      <c r="H561" s="210">
        <f>IFERROR(__xludf.DUMMYFUNCTION("""COMPUTED_VALUE"""),38411.0)</f>
        <v>38411</v>
      </c>
      <c r="I561" s="199">
        <f>IFERROR(__xludf.DUMMYFUNCTION("""COMPUTED_VALUE"""),16.055555555555557)</f>
        <v>16.05555556</v>
      </c>
      <c r="J561" s="267">
        <f>IFERROR(__xludf.DUMMYFUNCTION("""COMPUTED_VALUE"""),78.0)</f>
        <v>78</v>
      </c>
      <c r="K561" s="200">
        <f>IFERROR(__xludf.DUMMYFUNCTION("""COMPUTED_VALUE"""),9.0)</f>
        <v>9</v>
      </c>
      <c r="L561" s="265" t="str">
        <f>IFERROR(__xludf.DUMMYFUNCTION("""COMPUTED_VALUE"""),"First-Person Shooter")</f>
        <v>First-Person Shooter</v>
      </c>
    </row>
    <row r="562">
      <c r="A562" s="269" t="str">
        <f>IFERROR(__xludf.DUMMYFUNCTION("""COMPUTED_VALUE"""),"The Escapists 2")</f>
        <v>The Escapists 2</v>
      </c>
      <c r="B562" s="195" t="str">
        <f>IFERROR(__xludf.DUMMYFUNCTION("""COMPUTED_VALUE"""),"PC")</f>
        <v>PC</v>
      </c>
      <c r="C562" s="195" t="str">
        <f>IFERROR(__xludf.DUMMYFUNCTION("""COMPUTED_VALUE"""),"Yes")</f>
        <v>Yes</v>
      </c>
      <c r="D562" s="196" t="str">
        <f>IFERROR(__xludf.DUMMYFUNCTION("""COMPUTED_VALUE"""),"Removed")</f>
        <v>Removed</v>
      </c>
      <c r="E562" s="271">
        <f>IFERROR(__xludf.DUMMYFUNCTION("""COMPUTED_VALUE"""),43795.0)</f>
        <v>43795</v>
      </c>
      <c r="F562" s="266">
        <f>IFERROR(__xludf.DUMMYFUNCTION("""COMPUTED_VALUE"""),44448.0)</f>
        <v>44448</v>
      </c>
      <c r="G562" s="199">
        <f>IFERROR(__xludf.DUMMYFUNCTION("""COMPUTED_VALUE"""),21.433333333333334)</f>
        <v>21.43333333</v>
      </c>
      <c r="H562" s="210">
        <f>IFERROR(__xludf.DUMMYFUNCTION("""COMPUTED_VALUE"""),42968.0)</f>
        <v>42968</v>
      </c>
      <c r="I562" s="199">
        <f>IFERROR(__xludf.DUMMYFUNCTION("""COMPUTED_VALUE"""),2.263888888888889)</f>
        <v>2.263888889</v>
      </c>
      <c r="J562" s="267">
        <f>IFERROR(__xludf.DUMMYFUNCTION("""COMPUTED_VALUE"""),75.0)</f>
        <v>75</v>
      </c>
      <c r="K562" s="200">
        <f>IFERROR(__xludf.DUMMYFUNCTION("""COMPUTED_VALUE"""),33.0)</f>
        <v>33</v>
      </c>
      <c r="L562" s="265" t="str">
        <f>IFERROR(__xludf.DUMMYFUNCTION("""COMPUTED_VALUE"""),"Strategy / Simulation")</f>
        <v>Strategy / Simulation</v>
      </c>
    </row>
    <row r="563">
      <c r="A563" s="269" t="str">
        <f>IFERROR(__xludf.DUMMYFUNCTION("""COMPUTED_VALUE"""),"Vambrace: Cold Soul")</f>
        <v>Vambrace: Cold Soul</v>
      </c>
      <c r="B563" s="195" t="str">
        <f>IFERROR(__xludf.DUMMYFUNCTION("""COMPUTED_VALUE"""),"PC")</f>
        <v>PC</v>
      </c>
      <c r="C563" s="196" t="str">
        <f>IFERROR(__xludf.DUMMYFUNCTION("""COMPUTED_VALUE"""),"Yes")</f>
        <v>Yes</v>
      </c>
      <c r="D563" s="196" t="str">
        <f>IFERROR(__xludf.DUMMYFUNCTION("""COMPUTED_VALUE"""),"Removed")</f>
        <v>Removed</v>
      </c>
      <c r="E563" s="271">
        <f>IFERROR(__xludf.DUMMYFUNCTION("""COMPUTED_VALUE"""),43790.0)</f>
        <v>43790</v>
      </c>
      <c r="F563" s="266">
        <f>IFERROR(__xludf.DUMMYFUNCTION("""COMPUTED_VALUE"""),44448.0)</f>
        <v>44448</v>
      </c>
      <c r="G563" s="199">
        <f>IFERROR(__xludf.DUMMYFUNCTION("""COMPUTED_VALUE"""),21.6)</f>
        <v>21.6</v>
      </c>
      <c r="H563" s="210">
        <f>IFERROR(__xludf.DUMMYFUNCTION("""COMPUTED_VALUE"""),43613.0)</f>
        <v>43613</v>
      </c>
      <c r="I563" s="199">
        <f>IFERROR(__xludf.DUMMYFUNCTION("""COMPUTED_VALUE"""),0.48055555555555557)</f>
        <v>0.4805555556</v>
      </c>
      <c r="J563" s="267">
        <f>IFERROR(__xludf.DUMMYFUNCTION("""COMPUTED_VALUE"""),66.0)</f>
        <v>66</v>
      </c>
      <c r="K563" s="200">
        <f>IFERROR(__xludf.DUMMYFUNCTION("""COMPUTED_VALUE"""),19.0)</f>
        <v>19</v>
      </c>
      <c r="L563" s="265" t="str">
        <f>IFERROR(__xludf.DUMMYFUNCTION("""COMPUTED_VALUE"""),"Action-Adventure")</f>
        <v>Action-Adventure</v>
      </c>
    </row>
    <row r="564">
      <c r="A564" s="269" t="str">
        <f>IFERROR(__xludf.DUMMYFUNCTION("""COMPUTED_VALUE"""),"Yooka-Laylee")</f>
        <v>Yooka-Laylee</v>
      </c>
      <c r="B564" s="195" t="str">
        <f>IFERROR(__xludf.DUMMYFUNCTION("""COMPUTED_VALUE"""),"PC")</f>
        <v>PC</v>
      </c>
      <c r="C564" s="195"/>
      <c r="D564" s="196" t="str">
        <f>IFERROR(__xludf.DUMMYFUNCTION("""COMPUTED_VALUE"""),"Removed")</f>
        <v>Removed</v>
      </c>
      <c r="E564" s="271">
        <f>IFERROR(__xludf.DUMMYFUNCTION("""COMPUTED_VALUE"""),43748.0)</f>
        <v>43748</v>
      </c>
      <c r="F564" s="266">
        <f>IFERROR(__xludf.DUMMYFUNCTION("""COMPUTED_VALUE"""),44448.0)</f>
        <v>44448</v>
      </c>
      <c r="G564" s="199">
        <f>IFERROR(__xludf.DUMMYFUNCTION("""COMPUTED_VALUE"""),22.96666666666667)</f>
        <v>22.96666667</v>
      </c>
      <c r="H564" s="210">
        <f>IFERROR(__xludf.DUMMYFUNCTION("""COMPUTED_VALUE"""),42836.0)</f>
        <v>42836</v>
      </c>
      <c r="I564" s="199">
        <f>IFERROR(__xludf.DUMMYFUNCTION("""COMPUTED_VALUE"""),2.4972222222222222)</f>
        <v>2.497222222</v>
      </c>
      <c r="J564" s="267">
        <f>IFERROR(__xludf.DUMMYFUNCTION("""COMPUTED_VALUE"""),75.0)</f>
        <v>75</v>
      </c>
      <c r="K564" s="200">
        <f>IFERROR(__xludf.DUMMYFUNCTION("""COMPUTED_VALUE"""),15.0)</f>
        <v>15</v>
      </c>
      <c r="L564" s="201" t="str">
        <f>IFERROR(__xludf.DUMMYFUNCTION("""COMPUTED_VALUE"""),"Adventure / Platformer")</f>
        <v>Adventure / Platformer</v>
      </c>
    </row>
    <row r="565">
      <c r="A565" s="269" t="str">
        <f>IFERROR(__xludf.DUMMYFUNCTION("""COMPUTED_VALUE"""),"NBA 2K21")</f>
        <v>NBA 2K21</v>
      </c>
      <c r="B565" s="196" t="str">
        <f>IFERROR(__xludf.DUMMYFUNCTION("""COMPUTED_VALUE"""),"Xbox")</f>
        <v>Xbox</v>
      </c>
      <c r="C565" s="196" t="str">
        <f>IFERROR(__xludf.DUMMYFUNCTION("""COMPUTED_VALUE"""),"Yes")</f>
        <v>Yes</v>
      </c>
      <c r="D565" s="196" t="str">
        <f>IFERROR(__xludf.DUMMYFUNCTION("""COMPUTED_VALUE"""),"Removed")</f>
        <v>Removed</v>
      </c>
      <c r="E565" s="271">
        <f>IFERROR(__xludf.DUMMYFUNCTION("""COMPUTED_VALUE"""),44259.0)</f>
        <v>44259</v>
      </c>
      <c r="F565" s="266">
        <f>IFERROR(__xludf.DUMMYFUNCTION("""COMPUTED_VALUE"""),44439.0)</f>
        <v>44439</v>
      </c>
      <c r="G565" s="199">
        <f>IFERROR(__xludf.DUMMYFUNCTION("""COMPUTED_VALUE"""),5.866666666666666)</f>
        <v>5.866666667</v>
      </c>
      <c r="H565" s="210">
        <f>IFERROR(__xludf.DUMMYFUNCTION("""COMPUTED_VALUE"""),44078.0)</f>
        <v>44078</v>
      </c>
      <c r="I565" s="199">
        <f>IFERROR(__xludf.DUMMYFUNCTION("""COMPUTED_VALUE"""),0.5)</f>
        <v>0.5</v>
      </c>
      <c r="J565" s="267">
        <f>IFERROR(__xludf.DUMMYFUNCTION("""COMPUTED_VALUE"""),73.5)</f>
        <v>73.5</v>
      </c>
      <c r="K565" s="200">
        <f>IFERROR(__xludf.DUMMYFUNCTION("""COMPUTED_VALUE"""),50.5)</f>
        <v>50.5</v>
      </c>
      <c r="L565" s="265" t="str">
        <f>IFERROR(__xludf.DUMMYFUNCTION("""COMPUTED_VALUE"""),"Sports / Basketball")</f>
        <v>Sports / Basketball</v>
      </c>
    </row>
    <row r="566">
      <c r="A566" s="269" t="str">
        <f>IFERROR(__xludf.DUMMYFUNCTION("""COMPUTED_VALUE"""),"Double Kick Heroes")</f>
        <v>Double Kick Heroes</v>
      </c>
      <c r="B566" s="195" t="str">
        <f>IFERROR(__xludf.DUMMYFUNCTION("""COMPUTED_VALUE"""),"Xbox / PC")</f>
        <v>Xbox / PC</v>
      </c>
      <c r="C566" s="195" t="str">
        <f>IFERROR(__xludf.DUMMYFUNCTION("""COMPUTED_VALUE"""),"Touch Controls")</f>
        <v>Touch Controls</v>
      </c>
      <c r="D566" s="196" t="str">
        <f>IFERROR(__xludf.DUMMYFUNCTION("""COMPUTED_VALUE"""),"Removed")</f>
        <v>Removed</v>
      </c>
      <c r="E566" s="271">
        <f>IFERROR(__xludf.DUMMYFUNCTION("""COMPUTED_VALUE"""),44070.0)</f>
        <v>44070</v>
      </c>
      <c r="F566" s="266">
        <f>IFERROR(__xludf.DUMMYFUNCTION("""COMPUTED_VALUE"""),44439.0)</f>
        <v>44439</v>
      </c>
      <c r="G566" s="199">
        <f>IFERROR(__xludf.DUMMYFUNCTION("""COMPUTED_VALUE"""),12.1)</f>
        <v>12.1</v>
      </c>
      <c r="H566" s="210">
        <f>IFERROR(__xludf.DUMMYFUNCTION("""COMPUTED_VALUE"""),44056.0)</f>
        <v>44056</v>
      </c>
      <c r="I566" s="199">
        <f>IFERROR(__xludf.DUMMYFUNCTION("""COMPUTED_VALUE"""),0.03888888888888889)</f>
        <v>0.03888888889</v>
      </c>
      <c r="J566" s="267">
        <f>IFERROR(__xludf.DUMMYFUNCTION("""COMPUTED_VALUE"""),76.0)</f>
        <v>76</v>
      </c>
      <c r="K566" s="200">
        <f>IFERROR(__xludf.DUMMYFUNCTION("""COMPUTED_VALUE"""),3.0)</f>
        <v>3</v>
      </c>
      <c r="L566" s="265" t="str">
        <f>IFERROR(__xludf.DUMMYFUNCTION("""COMPUTED_VALUE"""),"Shooter / Music/Rhythm")</f>
        <v>Shooter / Music/Rhythm</v>
      </c>
    </row>
    <row r="567">
      <c r="A567" s="269" t="str">
        <f>IFERROR(__xludf.DUMMYFUNCTION("""COMPUTED_VALUE"""),"Stranger Things 3: The Game")</f>
        <v>Stranger Things 3: The Game</v>
      </c>
      <c r="B567" s="196" t="str">
        <f>IFERROR(__xludf.DUMMYFUNCTION("""COMPUTED_VALUE"""),"Xbox / PC")</f>
        <v>Xbox / PC</v>
      </c>
      <c r="C567" s="196" t="str">
        <f>IFERROR(__xludf.DUMMYFUNCTION("""COMPUTED_VALUE"""),"Touch Controls")</f>
        <v>Touch Controls</v>
      </c>
      <c r="D567" s="196" t="str">
        <f>IFERROR(__xludf.DUMMYFUNCTION("""COMPUTED_VALUE"""),"Removed")</f>
        <v>Removed</v>
      </c>
      <c r="E567" s="271">
        <f>IFERROR(__xludf.DUMMYFUNCTION("""COMPUTED_VALUE"""),43928.0)</f>
        <v>43928</v>
      </c>
      <c r="F567" s="266">
        <f>IFERROR(__xludf.DUMMYFUNCTION("""COMPUTED_VALUE"""),44439.0)</f>
        <v>44439</v>
      </c>
      <c r="G567" s="199">
        <f>IFERROR(__xludf.DUMMYFUNCTION("""COMPUTED_VALUE"""),16.766666666666666)</f>
        <v>16.76666667</v>
      </c>
      <c r="H567" s="210">
        <f>IFERROR(__xludf.DUMMYFUNCTION("""COMPUTED_VALUE"""),43650.0)</f>
        <v>43650</v>
      </c>
      <c r="I567" s="199">
        <f>IFERROR(__xludf.DUMMYFUNCTION("""COMPUTED_VALUE"""),0.7583333333333333)</f>
        <v>0.7583333333</v>
      </c>
      <c r="J567" s="267">
        <f>IFERROR(__xludf.DUMMYFUNCTION("""COMPUTED_VALUE"""),62.0)</f>
        <v>62</v>
      </c>
      <c r="K567" s="200">
        <f>IFERROR(__xludf.DUMMYFUNCTION("""COMPUTED_VALUE"""),8.5)</f>
        <v>8.5</v>
      </c>
      <c r="L567" s="265" t="str">
        <f>IFERROR(__xludf.DUMMYFUNCTION("""COMPUTED_VALUE"""),"Action / Adventure")</f>
        <v>Action / Adventure</v>
      </c>
    </row>
    <row r="568">
      <c r="A568" s="269" t="str">
        <f>IFERROR(__xludf.DUMMYFUNCTION("""COMPUTED_VALUE"""),"Blair Witch")</f>
        <v>Blair Witch</v>
      </c>
      <c r="B568" s="195" t="str">
        <f>IFERROR(__xludf.DUMMYFUNCTION("""COMPUTED_VALUE"""),"Xbox / PC")</f>
        <v>Xbox / PC</v>
      </c>
      <c r="C568" s="195" t="str">
        <f>IFERROR(__xludf.DUMMYFUNCTION("""COMPUTED_VALUE"""),"Yes")</f>
        <v>Yes</v>
      </c>
      <c r="D568" s="196" t="str">
        <f>IFERROR(__xludf.DUMMYFUNCTION("""COMPUTED_VALUE"""),"Removed")</f>
        <v>Removed</v>
      </c>
      <c r="E568" s="271">
        <f>IFERROR(__xludf.DUMMYFUNCTION("""COMPUTED_VALUE"""),43707.0)</f>
        <v>43707</v>
      </c>
      <c r="F568" s="266">
        <f>IFERROR(__xludf.DUMMYFUNCTION("""COMPUTED_VALUE"""),44439.0)</f>
        <v>44439</v>
      </c>
      <c r="G568" s="199">
        <f>IFERROR(__xludf.DUMMYFUNCTION("""COMPUTED_VALUE"""),24.0)</f>
        <v>24</v>
      </c>
      <c r="H568" s="210">
        <f>IFERROR(__xludf.DUMMYFUNCTION("""COMPUTED_VALUE"""),43707.0)</f>
        <v>43707</v>
      </c>
      <c r="I568" s="199">
        <f>IFERROR(__xludf.DUMMYFUNCTION("""COMPUTED_VALUE"""),0.0)</f>
        <v>0</v>
      </c>
      <c r="J568" s="267">
        <f>IFERROR(__xludf.DUMMYFUNCTION("""COMPUTED_VALUE"""),66.0)</f>
        <v>66</v>
      </c>
      <c r="K568" s="200">
        <f>IFERROR(__xludf.DUMMYFUNCTION("""COMPUTED_VALUE"""),5.0)</f>
        <v>5</v>
      </c>
      <c r="L568" s="201" t="str">
        <f>IFERROR(__xludf.DUMMYFUNCTION("""COMPUTED_VALUE"""),"Adventure")</f>
        <v>Adventure</v>
      </c>
    </row>
    <row r="569">
      <c r="A569" s="269" t="str">
        <f>IFERROR(__xludf.DUMMYFUNCTION("""COMPUTED_VALUE"""),"Pyre")</f>
        <v>Pyre</v>
      </c>
      <c r="B569" s="195" t="str">
        <f>IFERROR(__xludf.DUMMYFUNCTION("""COMPUTED_VALUE"""),"PC")</f>
        <v>PC</v>
      </c>
      <c r="C569" s="195"/>
      <c r="D569" s="196" t="str">
        <f>IFERROR(__xludf.DUMMYFUNCTION("""COMPUTED_VALUE"""),"Removed")</f>
        <v>Removed</v>
      </c>
      <c r="E569" s="271">
        <f>IFERROR(__xludf.DUMMYFUNCTION("""COMPUTED_VALUE"""),44273.0)</f>
        <v>44273</v>
      </c>
      <c r="F569" s="266">
        <f>IFERROR(__xludf.DUMMYFUNCTION("""COMPUTED_VALUE"""),44428.0)</f>
        <v>44428</v>
      </c>
      <c r="G569" s="199">
        <f>IFERROR(__xludf.DUMMYFUNCTION("""COMPUTED_VALUE"""),5.066666666666666)</f>
        <v>5.066666667</v>
      </c>
      <c r="H569" s="210">
        <f>IFERROR(__xludf.DUMMYFUNCTION("""COMPUTED_VALUE"""),42941.0)</f>
        <v>42941</v>
      </c>
      <c r="I569" s="199">
        <f>IFERROR(__xludf.DUMMYFUNCTION("""COMPUTED_VALUE"""),3.647222222222222)</f>
        <v>3.647222222</v>
      </c>
      <c r="J569" s="267">
        <f>IFERROR(__xludf.DUMMYFUNCTION("""COMPUTED_VALUE"""),82.0)</f>
        <v>82</v>
      </c>
      <c r="K569" s="200">
        <f>IFERROR(__xludf.DUMMYFUNCTION("""COMPUTED_VALUE"""),11.0)</f>
        <v>11</v>
      </c>
      <c r="L569" s="265" t="str">
        <f>IFERROR(__xludf.DUMMYFUNCTION("""COMPUTED_VALUE"""),"RPG")</f>
        <v>RPG</v>
      </c>
    </row>
    <row r="570">
      <c r="A570" s="269" t="str">
        <f>IFERROR(__xludf.DUMMYFUNCTION("""COMPUTED_VALUE"""),"Dear Esther: Landmark Edition")</f>
        <v>Dear Esther: Landmark Edition</v>
      </c>
      <c r="B570" s="195" t="str">
        <f>IFERROR(__xludf.DUMMYFUNCTION("""COMPUTED_VALUE"""),"PC")</f>
        <v>PC</v>
      </c>
      <c r="C570" s="195"/>
      <c r="D570" s="196" t="str">
        <f>IFERROR(__xludf.DUMMYFUNCTION("""COMPUTED_VALUE"""),"Removed")</f>
        <v>Removed</v>
      </c>
      <c r="E570" s="271">
        <f>IFERROR(__xludf.DUMMYFUNCTION("""COMPUTED_VALUE"""),44273.0)</f>
        <v>44273</v>
      </c>
      <c r="F570" s="266">
        <f>IFERROR(__xludf.DUMMYFUNCTION("""COMPUTED_VALUE"""),44428.0)</f>
        <v>44428</v>
      </c>
      <c r="G570" s="199">
        <f>IFERROR(__xludf.DUMMYFUNCTION("""COMPUTED_VALUE"""),5.066666666666666)</f>
        <v>5.066666667</v>
      </c>
      <c r="H570" s="210">
        <f>IFERROR(__xludf.DUMMYFUNCTION("""COMPUTED_VALUE"""),40953.0)</f>
        <v>40953</v>
      </c>
      <c r="I570" s="199">
        <f>IFERROR(__xludf.DUMMYFUNCTION("""COMPUTED_VALUE"""),9.094444444444445)</f>
        <v>9.094444444</v>
      </c>
      <c r="J570" s="267">
        <f>IFERROR(__xludf.DUMMYFUNCTION("""COMPUTED_VALUE"""),68.0)</f>
        <v>68</v>
      </c>
      <c r="K570" s="267">
        <f>IFERROR(__xludf.DUMMYFUNCTION("""COMPUTED_VALUE"""),1.5)</f>
        <v>1.5</v>
      </c>
      <c r="L570" s="265" t="str">
        <f>IFERROR(__xludf.DUMMYFUNCTION("""COMPUTED_VALUE"""),"Adventure")</f>
        <v>Adventure</v>
      </c>
    </row>
    <row r="571">
      <c r="A571" s="269" t="str">
        <f>IFERROR(__xludf.DUMMYFUNCTION("""COMPUTED_VALUE"""),"Mugsters")</f>
        <v>Mugsters</v>
      </c>
      <c r="B571" s="196" t="str">
        <f>IFERROR(__xludf.DUMMYFUNCTION("""COMPUTED_VALUE"""),"PC")</f>
        <v>PC</v>
      </c>
      <c r="C571" s="196"/>
      <c r="D571" s="196" t="str">
        <f>IFERROR(__xludf.DUMMYFUNCTION("""COMPUTED_VALUE"""),"Removed")</f>
        <v>Removed</v>
      </c>
      <c r="E571" s="197">
        <f>IFERROR(__xludf.DUMMYFUNCTION("""COMPUTED_VALUE"""),44273.0)</f>
        <v>44273</v>
      </c>
      <c r="F571" s="266">
        <f>IFERROR(__xludf.DUMMYFUNCTION("""COMPUTED_VALUE"""),44428.0)</f>
        <v>44428</v>
      </c>
      <c r="G571" s="199">
        <f>IFERROR(__xludf.DUMMYFUNCTION("""COMPUTED_VALUE"""),5.066666666666666)</f>
        <v>5.066666667</v>
      </c>
      <c r="H571" s="210">
        <f>IFERROR(__xludf.DUMMYFUNCTION("""COMPUTED_VALUE"""),43298.0)</f>
        <v>43298</v>
      </c>
      <c r="I571" s="199">
        <f>IFERROR(__xludf.DUMMYFUNCTION("""COMPUTED_VALUE"""),2.6694444444444443)</f>
        <v>2.669444444</v>
      </c>
      <c r="J571" s="267">
        <f>IFERROR(__xludf.DUMMYFUNCTION("""COMPUTED_VALUE"""),75.0)</f>
        <v>75</v>
      </c>
      <c r="K571" s="200">
        <f>IFERROR(__xludf.DUMMYFUNCTION("""COMPUTED_VALUE"""),15.0)</f>
        <v>15</v>
      </c>
      <c r="L571" s="265" t="str">
        <f>IFERROR(__xludf.DUMMYFUNCTION("""COMPUTED_VALUE"""),"Action / Puzzle / Platformer")</f>
        <v>Action / Puzzle / Platformer</v>
      </c>
    </row>
    <row r="572">
      <c r="A572" s="269" t="str">
        <f>IFERROR(__xludf.DUMMYFUNCTION("""COMPUTED_VALUE"""),"Nex Machina")</f>
        <v>Nex Machina</v>
      </c>
      <c r="B572" s="195" t="str">
        <f>IFERROR(__xludf.DUMMYFUNCTION("""COMPUTED_VALUE"""),"PC")</f>
        <v>PC</v>
      </c>
      <c r="C572" s="196"/>
      <c r="D572" s="196" t="str">
        <f>IFERROR(__xludf.DUMMYFUNCTION("""COMPUTED_VALUE"""),"Removed")</f>
        <v>Removed</v>
      </c>
      <c r="E572" s="271">
        <f>IFERROR(__xludf.DUMMYFUNCTION("""COMPUTED_VALUE"""),44273.0)</f>
        <v>44273</v>
      </c>
      <c r="F572" s="266">
        <f>IFERROR(__xludf.DUMMYFUNCTION("""COMPUTED_VALUE"""),44428.0)</f>
        <v>44428</v>
      </c>
      <c r="G572" s="199">
        <f>IFERROR(__xludf.DUMMYFUNCTION("""COMPUTED_VALUE"""),5.066666666666666)</f>
        <v>5.066666667</v>
      </c>
      <c r="H572" s="210">
        <f>IFERROR(__xludf.DUMMYFUNCTION("""COMPUTED_VALUE"""),42906.0)</f>
        <v>42906</v>
      </c>
      <c r="I572" s="199">
        <f>IFERROR(__xludf.DUMMYFUNCTION("""COMPUTED_VALUE"""),3.7444444444444445)</f>
        <v>3.744444444</v>
      </c>
      <c r="J572" s="267">
        <f>IFERROR(__xludf.DUMMYFUNCTION("""COMPUTED_VALUE"""),84.0)</f>
        <v>84</v>
      </c>
      <c r="K572" s="200">
        <f>IFERROR(__xludf.DUMMYFUNCTION("""COMPUTED_VALUE"""),1.5)</f>
        <v>1.5</v>
      </c>
      <c r="L572" s="265" t="str">
        <f>IFERROR(__xludf.DUMMYFUNCTION("""COMPUTED_VALUE"""),"Shoot 'Em Up")</f>
        <v>Shoot 'Em Up</v>
      </c>
    </row>
    <row r="573">
      <c r="A573" s="269" t="str">
        <f>IFERROR(__xludf.DUMMYFUNCTION("""COMPUTED_VALUE"""),"Overcooked: Gourmet Edition")</f>
        <v>Overcooked: Gourmet Edition</v>
      </c>
      <c r="B573" s="195" t="str">
        <f>IFERROR(__xludf.DUMMYFUNCTION("""COMPUTED_VALUE"""),"PC")</f>
        <v>PC</v>
      </c>
      <c r="C573" s="196"/>
      <c r="D573" s="196" t="str">
        <f>IFERROR(__xludf.DUMMYFUNCTION("""COMPUTED_VALUE"""),"Removed")</f>
        <v>Removed</v>
      </c>
      <c r="E573" s="271">
        <f>IFERROR(__xludf.DUMMYFUNCTION("""COMPUTED_VALUE"""),44273.0)</f>
        <v>44273</v>
      </c>
      <c r="F573" s="266">
        <f>IFERROR(__xludf.DUMMYFUNCTION("""COMPUTED_VALUE"""),44428.0)</f>
        <v>44428</v>
      </c>
      <c r="G573" s="199">
        <f>IFERROR(__xludf.DUMMYFUNCTION("""COMPUTED_VALUE"""),5.066666666666666)</f>
        <v>5.066666667</v>
      </c>
      <c r="H573" s="210">
        <f>IFERROR(__xludf.DUMMYFUNCTION("""COMPUTED_VALUE"""),42906.0)</f>
        <v>42906</v>
      </c>
      <c r="I573" s="199">
        <f>IFERROR(__xludf.DUMMYFUNCTION("""COMPUTED_VALUE"""),3.7444444444444445)</f>
        <v>3.744444444</v>
      </c>
      <c r="J573" s="267">
        <f>IFERROR(__xludf.DUMMYFUNCTION("""COMPUTED_VALUE"""),81.0)</f>
        <v>81</v>
      </c>
      <c r="K573" s="200">
        <f>IFERROR(__xludf.DUMMYFUNCTION("""COMPUTED_VALUE"""),8.0)</f>
        <v>8</v>
      </c>
      <c r="L573" s="265" t="str">
        <f>IFERROR(__xludf.DUMMYFUNCTION("""COMPUTED_VALUE"""),"Shoot 'Em Up")</f>
        <v>Shoot 'Em Up</v>
      </c>
    </row>
    <row r="574">
      <c r="A574" s="269" t="str">
        <f>IFERROR(__xludf.DUMMYFUNCTION("""COMPUTED_VALUE"""),"Renowned Explorers: International Society")</f>
        <v>Renowned Explorers: International Society</v>
      </c>
      <c r="B574" s="195" t="str">
        <f>IFERROR(__xludf.DUMMYFUNCTION("""COMPUTED_VALUE"""),"PC")</f>
        <v>PC</v>
      </c>
      <c r="C574" s="196"/>
      <c r="D574" s="196" t="str">
        <f>IFERROR(__xludf.DUMMYFUNCTION("""COMPUTED_VALUE"""),"Removed")</f>
        <v>Removed</v>
      </c>
      <c r="E574" s="271">
        <f>IFERROR(__xludf.DUMMYFUNCTION("""COMPUTED_VALUE"""),44273.0)</f>
        <v>44273</v>
      </c>
      <c r="F574" s="266">
        <f>IFERROR(__xludf.DUMMYFUNCTION("""COMPUTED_VALUE"""),44428.0)</f>
        <v>44428</v>
      </c>
      <c r="G574" s="199">
        <f>IFERROR(__xludf.DUMMYFUNCTION("""COMPUTED_VALUE"""),5.066666666666666)</f>
        <v>5.066666667</v>
      </c>
      <c r="H574" s="210">
        <f>IFERROR(__xludf.DUMMYFUNCTION("""COMPUTED_VALUE"""),42249.0)</f>
        <v>42249</v>
      </c>
      <c r="I574" s="199">
        <f>IFERROR(__xludf.DUMMYFUNCTION("""COMPUTED_VALUE"""),5.544444444444444)</f>
        <v>5.544444444</v>
      </c>
      <c r="J574" s="267">
        <f>IFERROR(__xludf.DUMMYFUNCTION("""COMPUTED_VALUE"""),72.0)</f>
        <v>72</v>
      </c>
      <c r="K574" s="200">
        <f>IFERROR(__xludf.DUMMYFUNCTION("""COMPUTED_VALUE"""),5.5)</f>
        <v>5.5</v>
      </c>
      <c r="L574" s="265" t="str">
        <f>IFERROR(__xludf.DUMMYFUNCTION("""COMPUTED_VALUE"""),"Strategy")</f>
        <v>Strategy</v>
      </c>
    </row>
    <row r="575">
      <c r="A575" s="269" t="str">
        <f>IFERROR(__xludf.DUMMYFUNCTION("""COMPUTED_VALUE"""),"The Escapists")</f>
        <v>The Escapists</v>
      </c>
      <c r="B575" s="195" t="str">
        <f>IFERROR(__xludf.DUMMYFUNCTION("""COMPUTED_VALUE"""),"PC")</f>
        <v>PC</v>
      </c>
      <c r="C575" s="196"/>
      <c r="D575" s="196" t="str">
        <f>IFERROR(__xludf.DUMMYFUNCTION("""COMPUTED_VALUE"""),"Removed")</f>
        <v>Removed</v>
      </c>
      <c r="E575" s="271">
        <f>IFERROR(__xludf.DUMMYFUNCTION("""COMPUTED_VALUE"""),44273.0)</f>
        <v>44273</v>
      </c>
      <c r="F575" s="266">
        <f>IFERROR(__xludf.DUMMYFUNCTION("""COMPUTED_VALUE"""),44428.0)</f>
        <v>44428</v>
      </c>
      <c r="G575" s="199">
        <f>IFERROR(__xludf.DUMMYFUNCTION("""COMPUTED_VALUE"""),5.066666666666666)</f>
        <v>5.066666667</v>
      </c>
      <c r="H575" s="210">
        <f>IFERROR(__xludf.DUMMYFUNCTION("""COMPUTED_VALUE"""),42048.0)</f>
        <v>42048</v>
      </c>
      <c r="I575" s="199">
        <f>IFERROR(__xludf.DUMMYFUNCTION("""COMPUTED_VALUE"""),6.097222222222222)</f>
        <v>6.097222222</v>
      </c>
      <c r="J575" s="267">
        <f>IFERROR(__xludf.DUMMYFUNCTION("""COMPUTED_VALUE"""),71.0)</f>
        <v>71</v>
      </c>
      <c r="K575" s="200">
        <f>IFERROR(__xludf.DUMMYFUNCTION("""COMPUTED_VALUE"""),19.0)</f>
        <v>19</v>
      </c>
      <c r="L575" s="265" t="str">
        <f>IFERROR(__xludf.DUMMYFUNCTION("""COMPUTED_VALUE"""),"Strategy / Simulation")</f>
        <v>Strategy / Simulation</v>
      </c>
    </row>
    <row r="576">
      <c r="A576" s="269" t="str">
        <f>IFERROR(__xludf.DUMMYFUNCTION("""COMPUTED_VALUE"""),"Madden NFL 19")</f>
        <v>Madden NFL 19</v>
      </c>
      <c r="B576" s="195" t="str">
        <f>IFERROR(__xludf.DUMMYFUNCTION("""COMPUTED_VALUE"""),"Xbox / PC")</f>
        <v>Xbox / PC</v>
      </c>
      <c r="C576" s="196"/>
      <c r="D576" s="196" t="str">
        <f>IFERROR(__xludf.DUMMYFUNCTION("""COMPUTED_VALUE"""),"Removed")</f>
        <v>Removed</v>
      </c>
      <c r="E576" s="271">
        <f>IFERROR(__xludf.DUMMYFUNCTION("""COMPUTED_VALUE"""),44145.0)</f>
        <v>44145</v>
      </c>
      <c r="F576" s="266">
        <f>IFERROR(__xludf.DUMMYFUNCTION("""COMPUTED_VALUE"""),44428.0)</f>
        <v>44428</v>
      </c>
      <c r="G576" s="199">
        <f>IFERROR(__xludf.DUMMYFUNCTION("""COMPUTED_VALUE"""),9.333333333333334)</f>
        <v>9.333333333</v>
      </c>
      <c r="H576" s="210">
        <f>IFERROR(__xludf.DUMMYFUNCTION("""COMPUTED_VALUE"""),43319.0)</f>
        <v>43319</v>
      </c>
      <c r="I576" s="199">
        <f>IFERROR(__xludf.DUMMYFUNCTION("""COMPUTED_VALUE"""),2.2583333333333333)</f>
        <v>2.258333333</v>
      </c>
      <c r="J576" s="267">
        <f>IFERROR(__xludf.DUMMYFUNCTION("""COMPUTED_VALUE"""),81.0)</f>
        <v>81</v>
      </c>
      <c r="K576" s="267">
        <f>IFERROR(__xludf.DUMMYFUNCTION("""COMPUTED_VALUE"""),12.5)</f>
        <v>12.5</v>
      </c>
      <c r="L576" s="265" t="str">
        <f>IFERROR(__xludf.DUMMYFUNCTION("""COMPUTED_VALUE"""),"Sports / Football")</f>
        <v>Sports / Football</v>
      </c>
    </row>
    <row r="577">
      <c r="A577" s="269" t="str">
        <f>IFERROR(__xludf.DUMMYFUNCTION("""COMPUTED_VALUE"""),"Yoku's Island Express")</f>
        <v>Yoku's Island Express</v>
      </c>
      <c r="B577" s="195" t="str">
        <f>IFERROR(__xludf.DUMMYFUNCTION("""COMPUTED_VALUE"""),"PC")</f>
        <v>PC</v>
      </c>
      <c r="C577" s="196"/>
      <c r="D577" s="196" t="str">
        <f>IFERROR(__xludf.DUMMYFUNCTION("""COMPUTED_VALUE"""),"Removed")</f>
        <v>Removed</v>
      </c>
      <c r="E577" s="271">
        <f>IFERROR(__xludf.DUMMYFUNCTION("""COMPUTED_VALUE"""),43692.0)</f>
        <v>43692</v>
      </c>
      <c r="F577" s="266">
        <f>IFERROR(__xludf.DUMMYFUNCTION("""COMPUTED_VALUE"""),44428.0)</f>
        <v>44428</v>
      </c>
      <c r="G577" s="199">
        <f>IFERROR(__xludf.DUMMYFUNCTION("""COMPUTED_VALUE"""),24.166666666666664)</f>
        <v>24.16666667</v>
      </c>
      <c r="H577" s="210">
        <f>IFERROR(__xludf.DUMMYFUNCTION("""COMPUTED_VALUE"""),43249.0)</f>
        <v>43249</v>
      </c>
      <c r="I577" s="199">
        <f>IFERROR(__xludf.DUMMYFUNCTION("""COMPUTED_VALUE"""),1.211111111111111)</f>
        <v>1.211111111</v>
      </c>
      <c r="J577" s="267">
        <f>IFERROR(__xludf.DUMMYFUNCTION("""COMPUTED_VALUE"""),83.0)</f>
        <v>83</v>
      </c>
      <c r="K577" s="200">
        <f>IFERROR(__xludf.DUMMYFUNCTION("""COMPUTED_VALUE"""),5.5)</f>
        <v>5.5</v>
      </c>
      <c r="L577" s="201" t="str">
        <f>IFERROR(__xludf.DUMMYFUNCTION("""COMPUTED_VALUE"""),"Pinball / Platformer")</f>
        <v>Pinball / Platformer</v>
      </c>
    </row>
    <row r="578">
      <c r="A578" s="269" t="str">
        <f>IFERROR(__xludf.DUMMYFUNCTION("""COMPUTED_VALUE"""),"Vampyr")</f>
        <v>Vampyr</v>
      </c>
      <c r="B578" s="195" t="str">
        <f>IFERROR(__xludf.DUMMYFUNCTION("""COMPUTED_VALUE"""),"PC")</f>
        <v>PC</v>
      </c>
      <c r="C578" s="196"/>
      <c r="D578" s="196" t="str">
        <f>IFERROR(__xludf.DUMMYFUNCTION("""COMPUTED_VALUE"""),"Removed")</f>
        <v>Removed</v>
      </c>
      <c r="E578" s="271">
        <f>IFERROR(__xludf.DUMMYFUNCTION("""COMPUTED_VALUE"""),43552.0)</f>
        <v>43552</v>
      </c>
      <c r="F578" s="266">
        <f>IFERROR(__xludf.DUMMYFUNCTION("""COMPUTED_VALUE"""),44428.0)</f>
        <v>44428</v>
      </c>
      <c r="G578" s="199">
        <f>IFERROR(__xludf.DUMMYFUNCTION("""COMPUTED_VALUE"""),28.733333333333334)</f>
        <v>28.73333333</v>
      </c>
      <c r="H578" s="210">
        <f>IFERROR(__xludf.DUMMYFUNCTION("""COMPUTED_VALUE"""),43256.0)</f>
        <v>43256</v>
      </c>
      <c r="I578" s="199">
        <f>IFERROR(__xludf.DUMMYFUNCTION("""COMPUTED_VALUE"""),0.8138888888888889)</f>
        <v>0.8138888889</v>
      </c>
      <c r="J578" s="267">
        <f>IFERROR(__xludf.DUMMYFUNCTION("""COMPUTED_VALUE"""),71.0)</f>
        <v>71</v>
      </c>
      <c r="K578" s="200">
        <f>IFERROR(__xludf.DUMMYFUNCTION("""COMPUTED_VALUE"""),16.5)</f>
        <v>16.5</v>
      </c>
      <c r="L578" s="265" t="str">
        <f>IFERROR(__xludf.DUMMYFUNCTION("""COMPUTED_VALUE"""),"Action / RPG")</f>
        <v>Action / RPG</v>
      </c>
    </row>
    <row r="579">
      <c r="A579" s="190" t="str">
        <f>IFERROR(__xludf.DUMMYFUNCTION("""COMPUTED_VALUE"""),"Don't Starve: Giant Edition")</f>
        <v>Don't Starve: Giant Edition</v>
      </c>
      <c r="B579" s="195" t="str">
        <f>IFERROR(__xludf.DUMMYFUNCTION("""COMPUTED_VALUE"""),"Xbox / PC")</f>
        <v>Xbox / PC</v>
      </c>
      <c r="C579" s="196" t="str">
        <f>IFERROR(__xludf.DUMMYFUNCTION("""COMPUTED_VALUE"""),"Touch Controls")</f>
        <v>Touch Controls</v>
      </c>
      <c r="D579" s="196" t="str">
        <f>IFERROR(__xludf.DUMMYFUNCTION("""COMPUTED_VALUE"""),"Removed")</f>
        <v>Removed</v>
      </c>
      <c r="E579" s="271">
        <f>IFERROR(__xludf.DUMMYFUNCTION("""COMPUTED_VALUE"""),44063.0)</f>
        <v>44063</v>
      </c>
      <c r="F579" s="266">
        <f>IFERROR(__xludf.DUMMYFUNCTION("""COMPUTED_VALUE"""),44423.0)</f>
        <v>44423</v>
      </c>
      <c r="G579" s="199">
        <f>IFERROR(__xludf.DUMMYFUNCTION("""COMPUTED_VALUE"""),11.833333333333334)</f>
        <v>11.83333333</v>
      </c>
      <c r="H579" s="210">
        <f>IFERROR(__xludf.DUMMYFUNCTION("""COMPUTED_VALUE"""),41884.0)</f>
        <v>41884</v>
      </c>
      <c r="I579" s="199">
        <f>IFERROR(__xludf.DUMMYFUNCTION("""COMPUTED_VALUE"""),5.966666666666667)</f>
        <v>5.966666667</v>
      </c>
      <c r="J579" s="267">
        <f>IFERROR(__xludf.DUMMYFUNCTION("""COMPUTED_VALUE"""),75.0)</f>
        <v>75</v>
      </c>
      <c r="K579" s="200">
        <f>IFERROR(__xludf.DUMMYFUNCTION("""COMPUTED_VALUE"""),35.5)</f>
        <v>35.5</v>
      </c>
      <c r="L579" s="265" t="str">
        <f>IFERROR(__xludf.DUMMYFUNCTION("""COMPUTED_VALUE"""),"Simulation")</f>
        <v>Simulation</v>
      </c>
    </row>
    <row r="580">
      <c r="A580" s="269" t="str">
        <f>IFERROR(__xludf.DUMMYFUNCTION("""COMPUTED_VALUE"""),"Crossing Souls")</f>
        <v>Crossing Souls</v>
      </c>
      <c r="B580" s="195" t="str">
        <f>IFERROR(__xludf.DUMMYFUNCTION("""COMPUTED_VALUE"""),"PC")</f>
        <v>PC</v>
      </c>
      <c r="C580" s="196"/>
      <c r="D580" s="196" t="str">
        <f>IFERROR(__xludf.DUMMYFUNCTION("""COMPUTED_VALUE"""),"Removed")</f>
        <v>Removed</v>
      </c>
      <c r="E580" s="271">
        <f>IFERROR(__xludf.DUMMYFUNCTION("""COMPUTED_VALUE"""),44063.0)</f>
        <v>44063</v>
      </c>
      <c r="F580" s="266">
        <f>IFERROR(__xludf.DUMMYFUNCTION("""COMPUTED_VALUE"""),44423.0)</f>
        <v>44423</v>
      </c>
      <c r="G580" s="199">
        <f>IFERROR(__xludf.DUMMYFUNCTION("""COMPUTED_VALUE"""),11.833333333333334)</f>
        <v>11.83333333</v>
      </c>
      <c r="H580" s="210">
        <f>IFERROR(__xludf.DUMMYFUNCTION("""COMPUTED_VALUE"""),43144.0)</f>
        <v>43144</v>
      </c>
      <c r="I580" s="199">
        <f>IFERROR(__xludf.DUMMYFUNCTION("""COMPUTED_VALUE"""),2.5194444444444444)</f>
        <v>2.519444444</v>
      </c>
      <c r="J580" s="267">
        <f>IFERROR(__xludf.DUMMYFUNCTION("""COMPUTED_VALUE"""),70.0)</f>
        <v>70</v>
      </c>
      <c r="K580" s="267">
        <f>IFERROR(__xludf.DUMMYFUNCTION("""COMPUTED_VALUE"""),9.0)</f>
        <v>9</v>
      </c>
      <c r="L580" s="265" t="str">
        <f>IFERROR(__xludf.DUMMYFUNCTION("""COMPUTED_VALUE"""),"Action-Adventure")</f>
        <v>Action-Adventure</v>
      </c>
    </row>
    <row r="581">
      <c r="A581" s="190" t="str">
        <f>IFERROR(__xludf.DUMMYFUNCTION("""COMPUTED_VALUE"""),"Final Fantasy VII")</f>
        <v>Final Fantasy VII</v>
      </c>
      <c r="B581" s="195" t="str">
        <f>IFERROR(__xludf.DUMMYFUNCTION("""COMPUTED_VALUE"""),"Xbox / PC")</f>
        <v>Xbox / PC</v>
      </c>
      <c r="C581" s="196"/>
      <c r="D581" s="196" t="str">
        <f>IFERROR(__xludf.DUMMYFUNCTION("""COMPUTED_VALUE"""),"Removed")</f>
        <v>Removed</v>
      </c>
      <c r="E581" s="271">
        <f>IFERROR(__xludf.DUMMYFUNCTION("""COMPUTED_VALUE"""),44056.0)</f>
        <v>44056</v>
      </c>
      <c r="F581" s="266">
        <f>IFERROR(__xludf.DUMMYFUNCTION("""COMPUTED_VALUE"""),44423.0)</f>
        <v>44423</v>
      </c>
      <c r="G581" s="199">
        <f>IFERROR(__xludf.DUMMYFUNCTION("""COMPUTED_VALUE"""),12.066666666666666)</f>
        <v>12.06666667</v>
      </c>
      <c r="H581" s="210">
        <f>IFERROR(__xludf.DUMMYFUNCTION("""COMPUTED_VALUE"""),35461.0)</f>
        <v>35461</v>
      </c>
      <c r="I581" s="199">
        <f>IFERROR(__xludf.DUMMYFUNCTION("""COMPUTED_VALUE"""),23.53611111111111)</f>
        <v>23.53611111</v>
      </c>
      <c r="J581" s="200">
        <f>IFERROR(__xludf.DUMMYFUNCTION("""COMPUTED_VALUE"""),92.0)</f>
        <v>92</v>
      </c>
      <c r="K581" s="200">
        <f>IFERROR(__xludf.DUMMYFUNCTION("""COMPUTED_VALUE"""),37.5)</f>
        <v>37.5</v>
      </c>
      <c r="L581" s="265" t="str">
        <f>IFERROR(__xludf.DUMMYFUNCTION("""COMPUTED_VALUE"""),"Fantasy / Post-Apocalyptic")</f>
        <v>Fantasy / Post-Apocalyptic</v>
      </c>
    </row>
    <row r="582">
      <c r="A582" s="269" t="str">
        <f>IFERROR(__xludf.DUMMYFUNCTION("""COMPUTED_VALUE"""),"Darksiders Genesis")</f>
        <v>Darksiders Genesis</v>
      </c>
      <c r="B582" s="195" t="str">
        <f>IFERROR(__xludf.DUMMYFUNCTION("""COMPUTED_VALUE"""),"Xbox / PC")</f>
        <v>Xbox / PC</v>
      </c>
      <c r="C582" s="196" t="str">
        <f>IFERROR(__xludf.DUMMYFUNCTION("""COMPUTED_VALUE"""),"Yes")</f>
        <v>Yes</v>
      </c>
      <c r="D582" s="196" t="str">
        <f>IFERROR(__xludf.DUMMYFUNCTION("""COMPUTED_VALUE"""),"Removed")</f>
        <v>Removed</v>
      </c>
      <c r="E582" s="271">
        <f>IFERROR(__xludf.DUMMYFUNCTION("""COMPUTED_VALUE"""),44049.0)</f>
        <v>44049</v>
      </c>
      <c r="F582" s="266">
        <f>IFERROR(__xludf.DUMMYFUNCTION("""COMPUTED_VALUE"""),44423.0)</f>
        <v>44423</v>
      </c>
      <c r="G582" s="199">
        <f>IFERROR(__xludf.DUMMYFUNCTION("""COMPUTED_VALUE"""),12.299999999999999)</f>
        <v>12.3</v>
      </c>
      <c r="H582" s="210">
        <f>IFERROR(__xludf.DUMMYFUNCTION("""COMPUTED_VALUE"""),43804.0)</f>
        <v>43804</v>
      </c>
      <c r="I582" s="199">
        <f>IFERROR(__xludf.DUMMYFUNCTION("""COMPUTED_VALUE"""),0.6694444444444444)</f>
        <v>0.6694444444</v>
      </c>
      <c r="J582" s="267">
        <f>IFERROR(__xludf.DUMMYFUNCTION("""COMPUTED_VALUE"""),77.0)</f>
        <v>77</v>
      </c>
      <c r="K582" s="200">
        <f>IFERROR(__xludf.DUMMYFUNCTION("""COMPUTED_VALUE"""),14.0)</f>
        <v>14</v>
      </c>
      <c r="L582" s="265" t="str">
        <f>IFERROR(__xludf.DUMMYFUNCTION("""COMPUTED_VALUE"""),"RPG / Action-Adventure")</f>
        <v>RPG / Action-Adventure</v>
      </c>
    </row>
    <row r="583">
      <c r="A583" s="269" t="str">
        <f>IFERROR(__xludf.DUMMYFUNCTION("""COMPUTED_VALUE"""),"Train Sim World 2020")</f>
        <v>Train Sim World 2020</v>
      </c>
      <c r="B583" s="195" t="str">
        <f>IFERROR(__xludf.DUMMYFUNCTION("""COMPUTED_VALUE"""),"Xbox / PC")</f>
        <v>Xbox / PC</v>
      </c>
      <c r="C583" s="196" t="str">
        <f>IFERROR(__xludf.DUMMYFUNCTION("""COMPUTED_VALUE"""),"Yes")</f>
        <v>Yes</v>
      </c>
      <c r="D583" s="196" t="str">
        <f>IFERROR(__xludf.DUMMYFUNCTION("""COMPUTED_VALUE"""),"Removed")</f>
        <v>Removed</v>
      </c>
      <c r="E583" s="271">
        <f>IFERROR(__xludf.DUMMYFUNCTION("""COMPUTED_VALUE"""),43895.0)</f>
        <v>43895</v>
      </c>
      <c r="F583" s="266">
        <f>IFERROR(__xludf.DUMMYFUNCTION("""COMPUTED_VALUE"""),44423.0)</f>
        <v>44423</v>
      </c>
      <c r="G583" s="199">
        <f>IFERROR(__xludf.DUMMYFUNCTION("""COMPUTED_VALUE"""),17.333333333333332)</f>
        <v>17.33333333</v>
      </c>
      <c r="H583" s="210">
        <f>IFERROR(__xludf.DUMMYFUNCTION("""COMPUTED_VALUE"""),43305.0)</f>
        <v>43305</v>
      </c>
      <c r="I583" s="199">
        <f>IFERROR(__xludf.DUMMYFUNCTION("""COMPUTED_VALUE"""),1.613888888888889)</f>
        <v>1.613888889</v>
      </c>
      <c r="J583" s="267">
        <f>IFERROR(__xludf.DUMMYFUNCTION("""COMPUTED_VALUE"""),76.0)</f>
        <v>76</v>
      </c>
      <c r="K583" s="200">
        <f>IFERROR(__xludf.DUMMYFUNCTION("""COMPUTED_VALUE"""),13.0)</f>
        <v>13</v>
      </c>
      <c r="L583" s="265" t="str">
        <f>IFERROR(__xludf.DUMMYFUNCTION("""COMPUTED_VALUE"""),"Simulation")</f>
        <v>Simulation</v>
      </c>
    </row>
    <row r="584">
      <c r="A584" s="269" t="str">
        <f>IFERROR(__xludf.DUMMYFUNCTION("""COMPUTED_VALUE"""),"Ape Out")</f>
        <v>Ape Out</v>
      </c>
      <c r="B584" s="195" t="str">
        <f>IFERROR(__xludf.DUMMYFUNCTION("""COMPUTED_VALUE"""),"PC")</f>
        <v>PC</v>
      </c>
      <c r="C584" s="196"/>
      <c r="D584" s="196" t="str">
        <f>IFERROR(__xludf.DUMMYFUNCTION("""COMPUTED_VALUE"""),"Removed")</f>
        <v>Removed</v>
      </c>
      <c r="E584" s="271">
        <f>IFERROR(__xludf.DUMMYFUNCTION("""COMPUTED_VALUE"""),43699.0)</f>
        <v>43699</v>
      </c>
      <c r="F584" s="266">
        <f>IFERROR(__xludf.DUMMYFUNCTION("""COMPUTED_VALUE"""),44423.0)</f>
        <v>44423</v>
      </c>
      <c r="G584" s="199">
        <f>IFERROR(__xludf.DUMMYFUNCTION("""COMPUTED_VALUE"""),23.766666666666666)</f>
        <v>23.76666667</v>
      </c>
      <c r="H584" s="210">
        <f>IFERROR(__xludf.DUMMYFUNCTION("""COMPUTED_VALUE"""),43524.0)</f>
        <v>43524</v>
      </c>
      <c r="I584" s="199">
        <f>IFERROR(__xludf.DUMMYFUNCTION("""COMPUTED_VALUE"""),0.48333333333333334)</f>
        <v>0.4833333333</v>
      </c>
      <c r="J584" s="267">
        <f>IFERROR(__xludf.DUMMYFUNCTION("""COMPUTED_VALUE"""),83.0)</f>
        <v>83</v>
      </c>
      <c r="K584" s="200">
        <f>IFERROR(__xludf.DUMMYFUNCTION("""COMPUTED_VALUE"""),2.5)</f>
        <v>2.5</v>
      </c>
      <c r="L584" s="265" t="str">
        <f>IFERROR(__xludf.DUMMYFUNCTION("""COMPUTED_VALUE"""),"Action")</f>
        <v>Action</v>
      </c>
    </row>
    <row r="585">
      <c r="A585" s="269" t="str">
        <f>IFERROR(__xludf.DUMMYFUNCTION("""COMPUTED_VALUE"""),"It Lurks Below")</f>
        <v>It Lurks Below</v>
      </c>
      <c r="B585" s="195" t="str">
        <f>IFERROR(__xludf.DUMMYFUNCTION("""COMPUTED_VALUE"""),"Xbox / PC")</f>
        <v>Xbox / PC</v>
      </c>
      <c r="C585" s="196"/>
      <c r="D585" s="196" t="str">
        <f>IFERROR(__xludf.DUMMYFUNCTION("""COMPUTED_VALUE"""),"Removed")</f>
        <v>Removed</v>
      </c>
      <c r="E585" s="271">
        <f>IFERROR(__xludf.DUMMYFUNCTION("""COMPUTED_VALUE"""),44049.0)</f>
        <v>44049</v>
      </c>
      <c r="F585" s="266">
        <f>IFERROR(__xludf.DUMMYFUNCTION("""COMPUTED_VALUE"""),44408.0)</f>
        <v>44408</v>
      </c>
      <c r="G585" s="199">
        <f>IFERROR(__xludf.DUMMYFUNCTION("""COMPUTED_VALUE"""),11.799999999999999)</f>
        <v>11.8</v>
      </c>
      <c r="H585" s="210">
        <f>IFERROR(__xludf.DUMMYFUNCTION("""COMPUTED_VALUE"""),43614.0)</f>
        <v>43614</v>
      </c>
      <c r="I585" s="199">
        <f>IFERROR(__xludf.DUMMYFUNCTION("""COMPUTED_VALUE"""),1.1861111111111111)</f>
        <v>1.186111111</v>
      </c>
      <c r="J585" s="267">
        <f>IFERROR(__xludf.DUMMYFUNCTION("""COMPUTED_VALUE"""),45.0)</f>
        <v>45</v>
      </c>
      <c r="K585" s="200">
        <f>IFERROR(__xludf.DUMMYFUNCTION("""COMPUTED_VALUE"""),8.0)</f>
        <v>8</v>
      </c>
      <c r="L585" s="265" t="str">
        <f>IFERROR(__xludf.DUMMYFUNCTION("""COMPUTED_VALUE"""),"Action / RPG")</f>
        <v>Action / RPG</v>
      </c>
    </row>
    <row r="586">
      <c r="A586" s="269" t="str">
        <f>IFERROR(__xludf.DUMMYFUNCTION("""COMPUTED_VALUE"""),"UnderMine")</f>
        <v>UnderMine</v>
      </c>
      <c r="B586" s="195" t="str">
        <f>IFERROR(__xludf.DUMMYFUNCTION("""COMPUTED_VALUE"""),"Xbox / PC")</f>
        <v>Xbox / PC</v>
      </c>
      <c r="C586" s="196" t="str">
        <f>IFERROR(__xludf.DUMMYFUNCTION("""COMPUTED_VALUE"""),"Touch Controls")</f>
        <v>Touch Controls</v>
      </c>
      <c r="D586" s="196" t="str">
        <f>IFERROR(__xludf.DUMMYFUNCTION("""COMPUTED_VALUE"""),"Removed")</f>
        <v>Removed</v>
      </c>
      <c r="E586" s="271">
        <f>IFERROR(__xludf.DUMMYFUNCTION("""COMPUTED_VALUE"""),44049.0)</f>
        <v>44049</v>
      </c>
      <c r="F586" s="266">
        <f>IFERROR(__xludf.DUMMYFUNCTION("""COMPUTED_VALUE"""),44408.0)</f>
        <v>44408</v>
      </c>
      <c r="G586" s="274">
        <f>IFERROR(__xludf.DUMMYFUNCTION("""COMPUTED_VALUE"""),11.799999999999999)</f>
        <v>11.8</v>
      </c>
      <c r="H586" s="210">
        <f>IFERROR(__xludf.DUMMYFUNCTION("""COMPUTED_VALUE"""),43697.0)</f>
        <v>43697</v>
      </c>
      <c r="I586" s="199">
        <f>IFERROR(__xludf.DUMMYFUNCTION("""COMPUTED_VALUE"""),0.9611111111111111)</f>
        <v>0.9611111111</v>
      </c>
      <c r="J586" s="267">
        <f>IFERROR(__xludf.DUMMYFUNCTION("""COMPUTED_VALUE"""),80.0)</f>
        <v>80</v>
      </c>
      <c r="K586" s="267">
        <f>IFERROR(__xludf.DUMMYFUNCTION("""COMPUTED_VALUE"""),4.5)</f>
        <v>4.5</v>
      </c>
      <c r="L586" s="265" t="str">
        <f>IFERROR(__xludf.DUMMYFUNCTION("""COMPUTED_VALUE"""),"RPG / Action-Adventure")</f>
        <v>RPG / Action-Adventure</v>
      </c>
    </row>
    <row r="587">
      <c r="A587" s="269" t="str">
        <f>IFERROR(__xludf.DUMMYFUNCTION("""COMPUTED_VALUE"""),"The Touryst")</f>
        <v>The Touryst</v>
      </c>
      <c r="B587" s="196" t="str">
        <f>IFERROR(__xludf.DUMMYFUNCTION("""COMPUTED_VALUE"""),"Xbox / PC")</f>
        <v>Xbox / PC</v>
      </c>
      <c r="C587" s="196" t="str">
        <f>IFERROR(__xludf.DUMMYFUNCTION("""COMPUTED_VALUE"""),"Touch Controls")</f>
        <v>Touch Controls</v>
      </c>
      <c r="D587" s="196" t="str">
        <f>IFERROR(__xludf.DUMMYFUNCTION("""COMPUTED_VALUE"""),"Removed")</f>
        <v>Removed</v>
      </c>
      <c r="E587" s="271">
        <f>IFERROR(__xludf.DUMMYFUNCTION("""COMPUTED_VALUE"""),44042.0)</f>
        <v>44042</v>
      </c>
      <c r="F587" s="266">
        <f>IFERROR(__xludf.DUMMYFUNCTION("""COMPUTED_VALUE"""),44408.0)</f>
        <v>44408</v>
      </c>
      <c r="G587" s="199">
        <f>IFERROR(__xludf.DUMMYFUNCTION("""COMPUTED_VALUE"""),12.0)</f>
        <v>12</v>
      </c>
      <c r="H587" s="210">
        <f>IFERROR(__xludf.DUMMYFUNCTION("""COMPUTED_VALUE"""),43790.0)</f>
        <v>43790</v>
      </c>
      <c r="I587" s="199">
        <f>IFERROR(__xludf.DUMMYFUNCTION("""COMPUTED_VALUE"""),0.6916666666666667)</f>
        <v>0.6916666667</v>
      </c>
      <c r="J587" s="267">
        <f>IFERROR(__xludf.DUMMYFUNCTION("""COMPUTED_VALUE"""),79.0)</f>
        <v>79</v>
      </c>
      <c r="K587" s="200">
        <f>IFERROR(__xludf.DUMMYFUNCTION("""COMPUTED_VALUE"""),5.0)</f>
        <v>5</v>
      </c>
      <c r="L587" s="265" t="str">
        <f>IFERROR(__xludf.DUMMYFUNCTION("""COMPUTED_VALUE"""),"Puzzle / Action-Adventure")</f>
        <v>Puzzle / Action-Adventure</v>
      </c>
    </row>
    <row r="588">
      <c r="A588" s="269" t="str">
        <f>IFERROR(__xludf.DUMMYFUNCTION("""COMPUTED_VALUE"""),"Endless Space 2: Deluxe Edition")</f>
        <v>Endless Space 2: Deluxe Edition</v>
      </c>
      <c r="B588" s="196" t="str">
        <f>IFERROR(__xludf.DUMMYFUNCTION("""COMPUTED_VALUE"""),"PC")</f>
        <v>PC</v>
      </c>
      <c r="C588" s="196"/>
      <c r="D588" s="196" t="str">
        <f>IFERROR(__xludf.DUMMYFUNCTION("""COMPUTED_VALUE"""),"Removed")</f>
        <v>Removed</v>
      </c>
      <c r="E588" s="271">
        <f>IFERROR(__xludf.DUMMYFUNCTION("""COMPUTED_VALUE"""),44021.0)</f>
        <v>44021</v>
      </c>
      <c r="F588" s="266">
        <f>IFERROR(__xludf.DUMMYFUNCTION("""COMPUTED_VALUE"""),44392.0)</f>
        <v>44392</v>
      </c>
      <c r="G588" s="199">
        <f>IFERROR(__xludf.DUMMYFUNCTION("""COMPUTED_VALUE"""),12.2)</f>
        <v>12.2</v>
      </c>
      <c r="H588" s="210">
        <f>IFERROR(__xludf.DUMMYFUNCTION("""COMPUTED_VALUE"""),42874.0)</f>
        <v>42874</v>
      </c>
      <c r="I588" s="199">
        <f>IFERROR(__xludf.DUMMYFUNCTION("""COMPUTED_VALUE"""),3.138888888888889)</f>
        <v>3.138888889</v>
      </c>
      <c r="J588" s="267">
        <f>IFERROR(__xludf.DUMMYFUNCTION("""COMPUTED_VALUE"""),80.0)</f>
        <v>80</v>
      </c>
      <c r="K588" s="200">
        <f>IFERROR(__xludf.DUMMYFUNCTION("""COMPUTED_VALUE"""),13.0)</f>
        <v>13</v>
      </c>
      <c r="L588" s="265" t="str">
        <f>IFERROR(__xludf.DUMMYFUNCTION("""COMPUTED_VALUE"""),"Strategy")</f>
        <v>Strategy</v>
      </c>
    </row>
    <row r="589">
      <c r="A589" s="269" t="str">
        <f>IFERROR(__xludf.DUMMYFUNCTION("""COMPUTED_VALUE"""),"Downwell")</f>
        <v>Downwell</v>
      </c>
      <c r="B589" s="195" t="str">
        <f>IFERROR(__xludf.DUMMYFUNCTION("""COMPUTED_VALUE"""),"PC")</f>
        <v>PC</v>
      </c>
      <c r="C589" s="196"/>
      <c r="D589" s="196" t="str">
        <f>IFERROR(__xludf.DUMMYFUNCTION("""COMPUTED_VALUE"""),"Removed")</f>
        <v>Removed</v>
      </c>
      <c r="E589" s="271">
        <f>IFERROR(__xludf.DUMMYFUNCTION("""COMPUTED_VALUE"""),43678.0)</f>
        <v>43678</v>
      </c>
      <c r="F589" s="266">
        <f>IFERROR(__xludf.DUMMYFUNCTION("""COMPUTED_VALUE"""),44392.0)</f>
        <v>44392</v>
      </c>
      <c r="G589" s="199">
        <f>IFERROR(__xludf.DUMMYFUNCTION("""COMPUTED_VALUE"""),23.466666666666665)</f>
        <v>23.46666667</v>
      </c>
      <c r="H589" s="210">
        <f>IFERROR(__xludf.DUMMYFUNCTION("""COMPUTED_VALUE"""),42292.0)</f>
        <v>42292</v>
      </c>
      <c r="I589" s="199">
        <f>IFERROR(__xludf.DUMMYFUNCTION("""COMPUTED_VALUE"""),3.7944444444444443)</f>
        <v>3.794444444</v>
      </c>
      <c r="J589" s="267">
        <f>IFERROR(__xludf.DUMMYFUNCTION("""COMPUTED_VALUE"""),81.0)</f>
        <v>81</v>
      </c>
      <c r="K589" s="200">
        <f>IFERROR(__xludf.DUMMYFUNCTION("""COMPUTED_VALUE"""),7.5)</f>
        <v>7.5</v>
      </c>
      <c r="L589" s="265" t="str">
        <f>IFERROR(__xludf.DUMMYFUNCTION("""COMPUTED_VALUE"""),"Platformer / Shoot 'Em Up")</f>
        <v>Platformer / Shoot 'Em Up</v>
      </c>
    </row>
    <row r="590">
      <c r="A590" s="269" t="str">
        <f>IFERROR(__xludf.DUMMYFUNCTION("""COMPUTED_VALUE"""),"CrossCode")</f>
        <v>CrossCode</v>
      </c>
      <c r="B590" s="195" t="str">
        <f>IFERROR(__xludf.DUMMYFUNCTION("""COMPUTED_VALUE"""),"Xbox / PC")</f>
        <v>Xbox / PC</v>
      </c>
      <c r="C590" s="196"/>
      <c r="D590" s="196" t="str">
        <f>IFERROR(__xludf.DUMMYFUNCTION("""COMPUTED_VALUE"""),"Removed")</f>
        <v>Removed</v>
      </c>
      <c r="E590" s="271">
        <f>IFERROR(__xludf.DUMMYFUNCTION("""COMPUTED_VALUE"""),43626.0)</f>
        <v>43626</v>
      </c>
      <c r="F590" s="266">
        <f>IFERROR(__xludf.DUMMYFUNCTION("""COMPUTED_VALUE"""),44392.0)</f>
        <v>44392</v>
      </c>
      <c r="G590" s="199">
        <f>IFERROR(__xludf.DUMMYFUNCTION("""COMPUTED_VALUE"""),25.166666666666668)</f>
        <v>25.16666667</v>
      </c>
      <c r="H590" s="210">
        <f>IFERROR(__xludf.DUMMYFUNCTION("""COMPUTED_VALUE"""),42139.0)</f>
        <v>42139</v>
      </c>
      <c r="I590" s="199">
        <f>IFERROR(__xludf.DUMMYFUNCTION("""COMPUTED_VALUE"""),4.069444444444445)</f>
        <v>4.069444444</v>
      </c>
      <c r="J590" s="267">
        <f>IFERROR(__xludf.DUMMYFUNCTION("""COMPUTED_VALUE"""),86.0)</f>
        <v>86</v>
      </c>
      <c r="K590" s="200">
        <f>IFERROR(__xludf.DUMMYFUNCTION("""COMPUTED_VALUE"""),31.5)</f>
        <v>31.5</v>
      </c>
      <c r="L590" s="265" t="str">
        <f>IFERROR(__xludf.DUMMYFUNCTION("""COMPUTED_VALUE"""),"RPG / Dual-Joystick Shooter / Action-Adventure")</f>
        <v>RPG / Dual-Joystick Shooter / Action-Adventure</v>
      </c>
    </row>
    <row r="591">
      <c r="A591" s="269" t="str">
        <f>IFERROR(__xludf.DUMMYFUNCTION("""COMPUTED_VALUE"""),"EA Sports UFC")</f>
        <v>EA Sports UFC</v>
      </c>
      <c r="B591" s="195" t="str">
        <f>IFERROR(__xludf.DUMMYFUNCTION("""COMPUTED_VALUE"""),"Xbox")</f>
        <v>Xbox</v>
      </c>
      <c r="C591" s="196"/>
      <c r="D591" s="196" t="str">
        <f>IFERROR(__xludf.DUMMYFUNCTION("""COMPUTED_VALUE"""),"Removed")</f>
        <v>Removed</v>
      </c>
      <c r="E591" s="271">
        <f>IFERROR(__xludf.DUMMYFUNCTION("""COMPUTED_VALUE"""),44145.0)</f>
        <v>44145</v>
      </c>
      <c r="F591" s="266">
        <f>IFERROR(__xludf.DUMMYFUNCTION("""COMPUTED_VALUE"""),44391.0)</f>
        <v>44391</v>
      </c>
      <c r="G591" s="199">
        <f>IFERROR(__xludf.DUMMYFUNCTION("""COMPUTED_VALUE"""),8.133333333333333)</f>
        <v>8.133333333</v>
      </c>
      <c r="H591" s="210">
        <f>IFERROR(__xludf.DUMMYFUNCTION("""COMPUTED_VALUE"""),41807.0)</f>
        <v>41807</v>
      </c>
      <c r="I591" s="199">
        <f>IFERROR(__xludf.DUMMYFUNCTION("""COMPUTED_VALUE"""),6.397222222222222)</f>
        <v>6.397222222</v>
      </c>
      <c r="J591" s="267">
        <f>IFERROR(__xludf.DUMMYFUNCTION("""COMPUTED_VALUE"""),70.0)</f>
        <v>70</v>
      </c>
      <c r="K591" s="267">
        <f>IFERROR(__xludf.DUMMYFUNCTION("""COMPUTED_VALUE"""),11.0)</f>
        <v>11</v>
      </c>
      <c r="L591" s="265" t="str">
        <f>IFERROR(__xludf.DUMMYFUNCTION("""COMPUTED_VALUE"""),"Sports / Fighting")</f>
        <v>Sports / Fighting</v>
      </c>
    </row>
    <row r="592">
      <c r="A592" s="269" t="str">
        <f>IFERROR(__xludf.DUMMYFUNCTION("""COMPUTED_VALUE"""),"EA Sports UFC 2")</f>
        <v>EA Sports UFC 2</v>
      </c>
      <c r="B592" s="195" t="str">
        <f>IFERROR(__xludf.DUMMYFUNCTION("""COMPUTED_VALUE"""),"Xbox")</f>
        <v>Xbox</v>
      </c>
      <c r="C592" s="196"/>
      <c r="D592" s="196" t="str">
        <f>IFERROR(__xludf.DUMMYFUNCTION("""COMPUTED_VALUE"""),"Removed")</f>
        <v>Removed</v>
      </c>
      <c r="E592" s="271">
        <f>IFERROR(__xludf.DUMMYFUNCTION("""COMPUTED_VALUE"""),44145.0)</f>
        <v>44145</v>
      </c>
      <c r="F592" s="266">
        <f>IFERROR(__xludf.DUMMYFUNCTION("""COMPUTED_VALUE"""),44391.0)</f>
        <v>44391</v>
      </c>
      <c r="G592" s="199">
        <f>IFERROR(__xludf.DUMMYFUNCTION("""COMPUTED_VALUE"""),8.133333333333333)</f>
        <v>8.133333333</v>
      </c>
      <c r="H592" s="210">
        <f>IFERROR(__xludf.DUMMYFUNCTION("""COMPUTED_VALUE"""),42444.0)</f>
        <v>42444</v>
      </c>
      <c r="I592" s="199">
        <f>IFERROR(__xludf.DUMMYFUNCTION("""COMPUTED_VALUE"""),4.652777777777778)</f>
        <v>4.652777778</v>
      </c>
      <c r="J592" s="267">
        <f>IFERROR(__xludf.DUMMYFUNCTION("""COMPUTED_VALUE"""),76.0)</f>
        <v>76</v>
      </c>
      <c r="K592" s="267">
        <f>IFERROR(__xludf.DUMMYFUNCTION("""COMPUTED_VALUE"""),6.0)</f>
        <v>6</v>
      </c>
      <c r="L592" s="265" t="str">
        <f>IFERROR(__xludf.DUMMYFUNCTION("""COMPUTED_VALUE"""),"Sports / Fighting")</f>
        <v>Sports / Fighting</v>
      </c>
    </row>
    <row r="593">
      <c r="A593" s="269" t="str">
        <f>IFERROR(__xludf.DUMMYFUNCTION("""COMPUTED_VALUE"""),"Out of the Park Baseball 21")</f>
        <v>Out of the Park Baseball 21</v>
      </c>
      <c r="B593" s="195" t="str">
        <f>IFERROR(__xludf.DUMMYFUNCTION("""COMPUTED_VALUE"""),"PC")</f>
        <v>PC</v>
      </c>
      <c r="C593" s="196"/>
      <c r="D593" s="196" t="str">
        <f>IFERROR(__xludf.DUMMYFUNCTION("""COMPUTED_VALUE"""),"Removed")</f>
        <v>Removed</v>
      </c>
      <c r="E593" s="271">
        <f>IFERROR(__xludf.DUMMYFUNCTION("""COMPUTED_VALUE"""),44013.0)</f>
        <v>44013</v>
      </c>
      <c r="F593" s="266">
        <f>IFERROR(__xludf.DUMMYFUNCTION("""COMPUTED_VALUE"""),44377.0)</f>
        <v>44377</v>
      </c>
      <c r="G593" s="199">
        <f>IFERROR(__xludf.DUMMYFUNCTION("""COMPUTED_VALUE"""),11.966666666666667)</f>
        <v>11.96666667</v>
      </c>
      <c r="H593" s="210">
        <f>IFERROR(__xludf.DUMMYFUNCTION("""COMPUTED_VALUE"""),43910.0)</f>
        <v>43910</v>
      </c>
      <c r="I593" s="199">
        <f>IFERROR(__xludf.DUMMYFUNCTION("""COMPUTED_VALUE"""),0.28055555555555556)</f>
        <v>0.2805555556</v>
      </c>
      <c r="J593" s="267">
        <f>IFERROR(__xludf.DUMMYFUNCTION("""COMPUTED_VALUE"""),87.0)</f>
        <v>87</v>
      </c>
      <c r="K593" s="267">
        <f>IFERROR(__xludf.DUMMYFUNCTION("""COMPUTED_VALUE"""),34.0)</f>
        <v>34</v>
      </c>
      <c r="L593" s="265" t="str">
        <f>IFERROR(__xludf.DUMMYFUNCTION("""COMPUTED_VALUE"""),"Strategy / Sports / Simulation / Baseball")</f>
        <v>Strategy / Sports / Simulation / Baseball</v>
      </c>
    </row>
    <row r="594">
      <c r="A594" s="269" t="str">
        <f>IFERROR(__xludf.DUMMYFUNCTION("""COMPUTED_VALUE"""),"SoulCalibur VI")</f>
        <v>SoulCalibur VI</v>
      </c>
      <c r="B594" s="195" t="str">
        <f>IFERROR(__xludf.DUMMYFUNCTION("""COMPUTED_VALUE"""),"Xbox")</f>
        <v>Xbox</v>
      </c>
      <c r="C594" s="196"/>
      <c r="D594" s="196" t="str">
        <f>IFERROR(__xludf.DUMMYFUNCTION("""COMPUTED_VALUE"""),"Removed")</f>
        <v>Removed</v>
      </c>
      <c r="E594" s="271">
        <f>IFERROR(__xludf.DUMMYFUNCTION("""COMPUTED_VALUE"""),44013.0)</f>
        <v>44013</v>
      </c>
      <c r="F594" s="266">
        <f>IFERROR(__xludf.DUMMYFUNCTION("""COMPUTED_VALUE"""),44377.0)</f>
        <v>44377</v>
      </c>
      <c r="G594" s="199">
        <f>IFERROR(__xludf.DUMMYFUNCTION("""COMPUTED_VALUE"""),11.966666666666667)</f>
        <v>11.96666667</v>
      </c>
      <c r="H594" s="210">
        <f>IFERROR(__xludf.DUMMYFUNCTION("""COMPUTED_VALUE"""),43392.0)</f>
        <v>43392</v>
      </c>
      <c r="I594" s="199">
        <f>IFERROR(__xludf.DUMMYFUNCTION("""COMPUTED_VALUE"""),1.7)</f>
        <v>1.7</v>
      </c>
      <c r="J594" s="267">
        <f>IFERROR(__xludf.DUMMYFUNCTION("""COMPUTED_VALUE"""),84.0)</f>
        <v>84</v>
      </c>
      <c r="K594" s="200">
        <f>IFERROR(__xludf.DUMMYFUNCTION("""COMPUTED_VALUE"""),7.0)</f>
        <v>7</v>
      </c>
      <c r="L594" s="265" t="str">
        <f>IFERROR(__xludf.DUMMYFUNCTION("""COMPUTED_VALUE"""),"Fighting")</f>
        <v>Fighting</v>
      </c>
    </row>
    <row r="595">
      <c r="A595" s="269" t="str">
        <f>IFERROR(__xludf.DUMMYFUNCTION("""COMPUTED_VALUE"""),"MISTOVER")</f>
        <v>MISTOVER</v>
      </c>
      <c r="B595" s="195" t="str">
        <f>IFERROR(__xludf.DUMMYFUNCTION("""COMPUTED_VALUE"""),"PC")</f>
        <v>PC</v>
      </c>
      <c r="C595" s="196"/>
      <c r="D595" s="196" t="str">
        <f>IFERROR(__xludf.DUMMYFUNCTION("""COMPUTED_VALUE"""),"Removed")</f>
        <v>Removed</v>
      </c>
      <c r="E595" s="271">
        <f>IFERROR(__xludf.DUMMYFUNCTION("""COMPUTED_VALUE"""),43930.0)</f>
        <v>43930</v>
      </c>
      <c r="F595" s="266">
        <f>IFERROR(__xludf.DUMMYFUNCTION("""COMPUTED_VALUE"""),44377.0)</f>
        <v>44377</v>
      </c>
      <c r="G595" s="199">
        <f>IFERROR(__xludf.DUMMYFUNCTION("""COMPUTED_VALUE"""),14.700000000000001)</f>
        <v>14.7</v>
      </c>
      <c r="H595" s="210">
        <f>IFERROR(__xludf.DUMMYFUNCTION("""COMPUTED_VALUE"""),43748.0)</f>
        <v>43748</v>
      </c>
      <c r="I595" s="199">
        <f>IFERROR(__xludf.DUMMYFUNCTION("""COMPUTED_VALUE"""),0.49722222222222223)</f>
        <v>0.4972222222</v>
      </c>
      <c r="J595" s="267">
        <f>IFERROR(__xludf.DUMMYFUNCTION("""COMPUTED_VALUE"""),60.0)</f>
        <v>60</v>
      </c>
      <c r="K595" s="200">
        <f>IFERROR(__xludf.DUMMYFUNCTION("""COMPUTED_VALUE"""),33.5)</f>
        <v>33.5</v>
      </c>
      <c r="L595" s="265" t="str">
        <f>IFERROR(__xludf.DUMMYFUNCTION("""COMPUTED_VALUE"""),"Strategy / RPG")</f>
        <v>Strategy / RPG</v>
      </c>
    </row>
    <row r="596">
      <c r="A596" s="269" t="str">
        <f>IFERROR(__xludf.DUMMYFUNCTION("""COMPUTED_VALUE"""),"Battle Chasers: Nightwar")</f>
        <v>Battle Chasers: Nightwar</v>
      </c>
      <c r="B596" s="195" t="str">
        <f>IFERROR(__xludf.DUMMYFUNCTION("""COMPUTED_VALUE"""),"Xbox / PC")</f>
        <v>Xbox / PC</v>
      </c>
      <c r="C596" s="196" t="str">
        <f>IFERROR(__xludf.DUMMYFUNCTION("""COMPUTED_VALUE"""),"Yes")</f>
        <v>Yes</v>
      </c>
      <c r="D596" s="196" t="str">
        <f>IFERROR(__xludf.DUMMYFUNCTION("""COMPUTED_VALUE"""),"Removed")</f>
        <v>Removed</v>
      </c>
      <c r="E596" s="271">
        <f>IFERROR(__xludf.DUMMYFUNCTION("""COMPUTED_VALUE"""),43625.0)</f>
        <v>43625</v>
      </c>
      <c r="F596" s="266">
        <f>IFERROR(__xludf.DUMMYFUNCTION("""COMPUTED_VALUE"""),44377.0)</f>
        <v>44377</v>
      </c>
      <c r="G596" s="199">
        <f>IFERROR(__xludf.DUMMYFUNCTION("""COMPUTED_VALUE"""),24.699999999999996)</f>
        <v>24.7</v>
      </c>
      <c r="H596" s="210">
        <f>IFERROR(__xludf.DUMMYFUNCTION("""COMPUTED_VALUE"""),43011.0)</f>
        <v>43011</v>
      </c>
      <c r="I596" s="199">
        <f>IFERROR(__xludf.DUMMYFUNCTION("""COMPUTED_VALUE"""),1.6833333333333333)</f>
        <v>1.683333333</v>
      </c>
      <c r="J596" s="200">
        <f>IFERROR(__xludf.DUMMYFUNCTION("""COMPUTED_VALUE"""),84.0)</f>
        <v>84</v>
      </c>
      <c r="K596" s="200">
        <f>IFERROR(__xludf.DUMMYFUNCTION("""COMPUTED_VALUE"""),28.5)</f>
        <v>28.5</v>
      </c>
      <c r="L596" s="201" t="str">
        <f>IFERROR(__xludf.DUMMYFUNCTION("""COMPUTED_VALUE"""),"Action / RPG")</f>
        <v>Action / RPG</v>
      </c>
    </row>
    <row r="597">
      <c r="A597" s="269" t="str">
        <f>IFERROR(__xludf.DUMMYFUNCTION("""COMPUTED_VALUE"""),"The Messenger")</f>
        <v>The Messenger</v>
      </c>
      <c r="B597" s="196" t="str">
        <f>IFERROR(__xludf.DUMMYFUNCTION("""COMPUTED_VALUE"""),"Xbox / PC")</f>
        <v>Xbox / PC</v>
      </c>
      <c r="C597" s="196" t="str">
        <f>IFERROR(__xludf.DUMMYFUNCTION("""COMPUTED_VALUE"""),"Yes")</f>
        <v>Yes</v>
      </c>
      <c r="D597" s="196" t="str">
        <f>IFERROR(__xludf.DUMMYFUNCTION("""COMPUTED_VALUE"""),"Removed")</f>
        <v>Removed</v>
      </c>
      <c r="E597" s="271">
        <f>IFERROR(__xludf.DUMMYFUNCTION("""COMPUTED_VALUE"""),43625.0)</f>
        <v>43625</v>
      </c>
      <c r="F597" s="266">
        <f>IFERROR(__xludf.DUMMYFUNCTION("""COMPUTED_VALUE"""),44377.0)</f>
        <v>44377</v>
      </c>
      <c r="G597" s="199">
        <f>IFERROR(__xludf.DUMMYFUNCTION("""COMPUTED_VALUE"""),24.699999999999996)</f>
        <v>24.7</v>
      </c>
      <c r="H597" s="210">
        <f>IFERROR(__xludf.DUMMYFUNCTION("""COMPUTED_VALUE"""),43342.0)</f>
        <v>43342</v>
      </c>
      <c r="I597" s="199">
        <f>IFERROR(__xludf.DUMMYFUNCTION("""COMPUTED_VALUE"""),0.775)</f>
        <v>0.775</v>
      </c>
      <c r="J597" s="267">
        <f>IFERROR(__xludf.DUMMYFUNCTION("""COMPUTED_VALUE"""),83.0)</f>
        <v>83</v>
      </c>
      <c r="K597" s="267">
        <f>IFERROR(__xludf.DUMMYFUNCTION("""COMPUTED_VALUE"""),11.0)</f>
        <v>11</v>
      </c>
      <c r="L597" s="201" t="str">
        <f>IFERROR(__xludf.DUMMYFUNCTION("""COMPUTED_VALUE"""),"Action / Platformer / Action-Adventure")</f>
        <v>Action / Platformer / Action-Adventure</v>
      </c>
    </row>
    <row r="598">
      <c r="A598" s="269" t="str">
        <f>IFERROR(__xludf.DUMMYFUNCTION("""COMPUTED_VALUE"""),"Monster Hunter: World")</f>
        <v>Monster Hunter: World</v>
      </c>
      <c r="B598" s="196" t="str">
        <f>IFERROR(__xludf.DUMMYFUNCTION("""COMPUTED_VALUE"""),"Xbox")</f>
        <v>Xbox</v>
      </c>
      <c r="C598" s="196" t="str">
        <f>IFERROR(__xludf.DUMMYFUNCTION("""COMPUTED_VALUE"""),"Yes")</f>
        <v>Yes</v>
      </c>
      <c r="D598" s="196" t="str">
        <f>IFERROR(__xludf.DUMMYFUNCTION("""COMPUTED_VALUE"""),"Removed")</f>
        <v>Removed</v>
      </c>
      <c r="E598" s="271">
        <f>IFERROR(__xludf.DUMMYFUNCTION("""COMPUTED_VALUE"""),43573.0)</f>
        <v>43573</v>
      </c>
      <c r="F598" s="266">
        <f>IFERROR(__xludf.DUMMYFUNCTION("""COMPUTED_VALUE"""),44377.0)</f>
        <v>44377</v>
      </c>
      <c r="G598" s="199">
        <f>IFERROR(__xludf.DUMMYFUNCTION("""COMPUTED_VALUE"""),26.400000000000002)</f>
        <v>26.4</v>
      </c>
      <c r="H598" s="210">
        <f>IFERROR(__xludf.DUMMYFUNCTION("""COMPUTED_VALUE"""),43126.0)</f>
        <v>43126</v>
      </c>
      <c r="I598" s="199">
        <f>IFERROR(__xludf.DUMMYFUNCTION("""COMPUTED_VALUE"""),1.2277777777777779)</f>
        <v>1.227777778</v>
      </c>
      <c r="J598" s="267">
        <f>IFERROR(__xludf.DUMMYFUNCTION("""COMPUTED_VALUE"""),90.0)</f>
        <v>90</v>
      </c>
      <c r="K598" s="200">
        <f>IFERROR(__xludf.DUMMYFUNCTION("""COMPUTED_VALUE"""),49.0)</f>
        <v>49</v>
      </c>
      <c r="L598" s="265" t="str">
        <f>IFERROR(__xludf.DUMMYFUNCTION("""COMPUTED_VALUE"""),"Action / RPG")</f>
        <v>Action / RPG</v>
      </c>
    </row>
    <row r="599">
      <c r="A599" s="190" t="str">
        <f>IFERROR(__xludf.DUMMYFUNCTION("""COMPUTED_VALUE"""),"Marvel vs. Capcom: Infinite")</f>
        <v>Marvel vs. Capcom: Infinite</v>
      </c>
      <c r="B599" s="195" t="str">
        <f>IFERROR(__xludf.DUMMYFUNCTION("""COMPUTED_VALUE"""),"Xbox / PC")</f>
        <v>Xbox / PC</v>
      </c>
      <c r="C599" s="196" t="str">
        <f>IFERROR(__xludf.DUMMYFUNCTION("""COMPUTED_VALUE"""),"Yes")</f>
        <v>Yes</v>
      </c>
      <c r="D599" s="196" t="str">
        <f>IFERROR(__xludf.DUMMYFUNCTION("""COMPUTED_VALUE"""),"Removed")</f>
        <v>Removed</v>
      </c>
      <c r="E599" s="271">
        <f>IFERROR(__xludf.DUMMYFUNCTION("""COMPUTED_VALUE"""),43556.0)</f>
        <v>43556</v>
      </c>
      <c r="F599" s="266">
        <f>IFERROR(__xludf.DUMMYFUNCTION("""COMPUTED_VALUE"""),44377.0)</f>
        <v>44377</v>
      </c>
      <c r="G599" s="199">
        <f>IFERROR(__xludf.DUMMYFUNCTION("""COMPUTED_VALUE"""),26.96666666666667)</f>
        <v>26.96666667</v>
      </c>
      <c r="H599" s="210">
        <f>IFERROR(__xludf.DUMMYFUNCTION("""COMPUTED_VALUE"""),42997.0)</f>
        <v>42997</v>
      </c>
      <c r="I599" s="199">
        <f>IFERROR(__xludf.DUMMYFUNCTION("""COMPUTED_VALUE"""),1.5333333333333334)</f>
        <v>1.533333333</v>
      </c>
      <c r="J599" s="200">
        <f>IFERROR(__xludf.DUMMYFUNCTION("""COMPUTED_VALUE"""),77.0)</f>
        <v>77</v>
      </c>
      <c r="K599" s="200">
        <f>IFERROR(__xludf.DUMMYFUNCTION("""COMPUTED_VALUE"""),3.5)</f>
        <v>3.5</v>
      </c>
      <c r="L599" s="265" t="str">
        <f>IFERROR(__xludf.DUMMYFUNCTION("""COMPUTED_VALUE"""),"Fighting")</f>
        <v>Fighting</v>
      </c>
    </row>
    <row r="600">
      <c r="A600" s="269" t="str">
        <f>IFERROR(__xludf.DUMMYFUNCTION("""COMPUTED_VALUE"""),"Observation")</f>
        <v>Observation</v>
      </c>
      <c r="B600" s="195" t="str">
        <f>IFERROR(__xludf.DUMMYFUNCTION("""COMPUTED_VALUE"""),"Xbox / PC")</f>
        <v>Xbox / PC</v>
      </c>
      <c r="C600" s="196" t="str">
        <f>IFERROR(__xludf.DUMMYFUNCTION("""COMPUTED_VALUE"""),"Yes")</f>
        <v>Yes</v>
      </c>
      <c r="D600" s="196" t="str">
        <f>IFERROR(__xludf.DUMMYFUNCTION("""COMPUTED_VALUE"""),"Removed")</f>
        <v>Removed</v>
      </c>
      <c r="E600" s="271">
        <f>IFERROR(__xludf.DUMMYFUNCTION("""COMPUTED_VALUE"""),44007.0)</f>
        <v>44007</v>
      </c>
      <c r="F600" s="266">
        <f>IFERROR(__xludf.DUMMYFUNCTION("""COMPUTED_VALUE"""),44362.0)</f>
        <v>44362</v>
      </c>
      <c r="G600" s="199">
        <f>IFERROR(__xludf.DUMMYFUNCTION("""COMPUTED_VALUE"""),11.666666666666666)</f>
        <v>11.66666667</v>
      </c>
      <c r="H600" s="210">
        <f>IFERROR(__xludf.DUMMYFUNCTION("""COMPUTED_VALUE"""),43606.0)</f>
        <v>43606</v>
      </c>
      <c r="I600" s="199">
        <f>IFERROR(__xludf.DUMMYFUNCTION("""COMPUTED_VALUE"""),1.0944444444444446)</f>
        <v>1.094444444</v>
      </c>
      <c r="J600" s="267">
        <f>IFERROR(__xludf.DUMMYFUNCTION("""COMPUTED_VALUE"""),79.0)</f>
        <v>79</v>
      </c>
      <c r="K600" s="267">
        <f>IFERROR(__xludf.DUMMYFUNCTION("""COMPUTED_VALUE"""),6.0)</f>
        <v>6</v>
      </c>
      <c r="L600" s="265" t="str">
        <f>IFERROR(__xludf.DUMMYFUNCTION("""COMPUTED_VALUE"""),"Action-Adventure")</f>
        <v>Action-Adventure</v>
      </c>
    </row>
    <row r="601">
      <c r="A601" s="269" t="str">
        <f>IFERROR(__xludf.DUMMYFUNCTION("""COMPUTED_VALUE"""),"West of Dead")</f>
        <v>West of Dead</v>
      </c>
      <c r="B601" s="195" t="str">
        <f>IFERROR(__xludf.DUMMYFUNCTION("""COMPUTED_VALUE"""),"Xbox / PC")</f>
        <v>Xbox / PC</v>
      </c>
      <c r="C601" s="196" t="str">
        <f>IFERROR(__xludf.DUMMYFUNCTION("""COMPUTED_VALUE"""),"Yes")</f>
        <v>Yes</v>
      </c>
      <c r="D601" s="196" t="str">
        <f>IFERROR(__xludf.DUMMYFUNCTION("""COMPUTED_VALUE"""),"Removed")</f>
        <v>Removed</v>
      </c>
      <c r="E601" s="271">
        <f>IFERROR(__xludf.DUMMYFUNCTION("""COMPUTED_VALUE"""),44000.0)</f>
        <v>44000</v>
      </c>
      <c r="F601" s="266">
        <f>IFERROR(__xludf.DUMMYFUNCTION("""COMPUTED_VALUE"""),44362.0)</f>
        <v>44362</v>
      </c>
      <c r="G601" s="199">
        <f>IFERROR(__xludf.DUMMYFUNCTION("""COMPUTED_VALUE"""),11.9)</f>
        <v>11.9</v>
      </c>
      <c r="H601" s="210">
        <f>IFERROR(__xludf.DUMMYFUNCTION("""COMPUTED_VALUE"""),44000.0)</f>
        <v>44000</v>
      </c>
      <c r="I601" s="199">
        <f>IFERROR(__xludf.DUMMYFUNCTION("""COMPUTED_VALUE"""),0.0)</f>
        <v>0</v>
      </c>
      <c r="J601" s="267">
        <f>IFERROR(__xludf.DUMMYFUNCTION("""COMPUTED_VALUE"""),71.0)</f>
        <v>71</v>
      </c>
      <c r="K601" s="200">
        <f>IFERROR(__xludf.DUMMYFUNCTION("""COMPUTED_VALUE"""),11.5)</f>
        <v>11.5</v>
      </c>
      <c r="L601" s="265" t="str">
        <f>IFERROR(__xludf.DUMMYFUNCTION("""COMPUTED_VALUE"""),"Action / Shooter / Dual-Joystick Shooter")</f>
        <v>Action / Shooter / Dual-Joystick Shooter</v>
      </c>
    </row>
    <row r="602">
      <c r="A602" s="190" t="str">
        <f>IFERROR(__xludf.DUMMYFUNCTION("""COMPUTED_VALUE"""),"Ace Combat 7: Skies Unknown")</f>
        <v>Ace Combat 7: Skies Unknown</v>
      </c>
      <c r="B602" s="195" t="str">
        <f>IFERROR(__xludf.DUMMYFUNCTION("""COMPUTED_VALUE"""),"Xbox")</f>
        <v>Xbox</v>
      </c>
      <c r="C602" s="196"/>
      <c r="D602" s="196" t="str">
        <f>IFERROR(__xludf.DUMMYFUNCTION("""COMPUTED_VALUE"""),"Removed")</f>
        <v>Removed</v>
      </c>
      <c r="E602" s="271">
        <f>IFERROR(__xludf.DUMMYFUNCTION("""COMPUTED_VALUE"""),43909.0)</f>
        <v>43909</v>
      </c>
      <c r="F602" s="266">
        <f>IFERROR(__xludf.DUMMYFUNCTION("""COMPUTED_VALUE"""),44362.0)</f>
        <v>44362</v>
      </c>
      <c r="G602" s="199">
        <f>IFERROR(__xludf.DUMMYFUNCTION("""COMPUTED_VALUE"""),14.866666666666667)</f>
        <v>14.86666667</v>
      </c>
      <c r="H602" s="210">
        <f>IFERROR(__xludf.DUMMYFUNCTION("""COMPUTED_VALUE"""),43480.0)</f>
        <v>43480</v>
      </c>
      <c r="I602" s="199">
        <f>IFERROR(__xludf.DUMMYFUNCTION("""COMPUTED_VALUE"""),1.1777777777777778)</f>
        <v>1.177777778</v>
      </c>
      <c r="J602" s="267">
        <f>IFERROR(__xludf.DUMMYFUNCTION("""COMPUTED_VALUE"""),79.0)</f>
        <v>79</v>
      </c>
      <c r="K602" s="267">
        <f>IFERROR(__xludf.DUMMYFUNCTION("""COMPUTED_VALUE"""),10.5)</f>
        <v>10.5</v>
      </c>
      <c r="L602" s="265" t="str">
        <f>IFERROR(__xludf.DUMMYFUNCTION("""COMPUTED_VALUE"""),"Flight Simulator")</f>
        <v>Flight Simulator</v>
      </c>
    </row>
    <row r="603">
      <c r="A603" s="269" t="str">
        <f>IFERROR(__xludf.DUMMYFUNCTION("""COMPUTED_VALUE"""),"Night Call")</f>
        <v>Night Call</v>
      </c>
      <c r="B603" s="195" t="str">
        <f>IFERROR(__xludf.DUMMYFUNCTION("""COMPUTED_VALUE"""),"Xbox / PC")</f>
        <v>Xbox / PC</v>
      </c>
      <c r="C603" s="196" t="str">
        <f>IFERROR(__xludf.DUMMYFUNCTION("""COMPUTED_VALUE"""),"Yes")</f>
        <v>Yes</v>
      </c>
      <c r="D603" s="196" t="str">
        <f>IFERROR(__xludf.DUMMYFUNCTION("""COMPUTED_VALUE"""),"Removed")</f>
        <v>Removed</v>
      </c>
      <c r="E603" s="271">
        <f>IFERROR(__xludf.DUMMYFUNCTION("""COMPUTED_VALUE"""),43663.0)</f>
        <v>43663</v>
      </c>
      <c r="F603" s="266">
        <f>IFERROR(__xludf.DUMMYFUNCTION("""COMPUTED_VALUE"""),44362.0)</f>
        <v>44362</v>
      </c>
      <c r="G603" s="199">
        <f>IFERROR(__xludf.DUMMYFUNCTION("""COMPUTED_VALUE"""),22.933333333333334)</f>
        <v>22.93333333</v>
      </c>
      <c r="H603" s="210">
        <f>IFERROR(__xludf.DUMMYFUNCTION("""COMPUTED_VALUE"""),43663.0)</f>
        <v>43663</v>
      </c>
      <c r="I603" s="199">
        <f>IFERROR(__xludf.DUMMYFUNCTION("""COMPUTED_VALUE"""),0.0)</f>
        <v>0</v>
      </c>
      <c r="J603" s="267">
        <f>IFERROR(__xludf.DUMMYFUNCTION("""COMPUTED_VALUE"""),68.0)</f>
        <v>68</v>
      </c>
      <c r="K603" s="267">
        <f>IFERROR(__xludf.DUMMYFUNCTION("""COMPUTED_VALUE"""),4.0)</f>
        <v>4</v>
      </c>
      <c r="L603" s="265" t="str">
        <f>IFERROR(__xludf.DUMMYFUNCTION("""COMPUTED_VALUE"""),"Adventure")</f>
        <v>Adventure</v>
      </c>
    </row>
    <row r="604">
      <c r="A604" s="269" t="str">
        <f>IFERROR(__xludf.DUMMYFUNCTION("""COMPUTED_VALUE"""),"Wizard of Legend")</f>
        <v>Wizard of Legend</v>
      </c>
      <c r="B604" s="195" t="str">
        <f>IFERROR(__xludf.DUMMYFUNCTION("""COMPUTED_VALUE"""),"Xbox / PC")</f>
        <v>Xbox / PC</v>
      </c>
      <c r="C604" s="196" t="str">
        <f>IFERROR(__xludf.DUMMYFUNCTION("""COMPUTED_VALUE"""),"Yes")</f>
        <v>Yes</v>
      </c>
      <c r="D604" s="196" t="str">
        <f>IFERROR(__xludf.DUMMYFUNCTION("""COMPUTED_VALUE"""),"Removed")</f>
        <v>Removed</v>
      </c>
      <c r="E604" s="271">
        <f>IFERROR(__xludf.DUMMYFUNCTION("""COMPUTED_VALUE"""),43625.0)</f>
        <v>43625</v>
      </c>
      <c r="F604" s="266">
        <f>IFERROR(__xludf.DUMMYFUNCTION("""COMPUTED_VALUE"""),44362.0)</f>
        <v>44362</v>
      </c>
      <c r="G604" s="199">
        <f>IFERROR(__xludf.DUMMYFUNCTION("""COMPUTED_VALUE"""),24.2)</f>
        <v>24.2</v>
      </c>
      <c r="H604" s="210">
        <f>IFERROR(__xludf.DUMMYFUNCTION("""COMPUTED_VALUE"""),43235.0)</f>
        <v>43235</v>
      </c>
      <c r="I604" s="199">
        <f>IFERROR(__xludf.DUMMYFUNCTION("""COMPUTED_VALUE"""),1.0666666666666667)</f>
        <v>1.066666667</v>
      </c>
      <c r="J604" s="267">
        <f>IFERROR(__xludf.DUMMYFUNCTION("""COMPUTED_VALUE"""),79.0)</f>
        <v>79</v>
      </c>
      <c r="K604" s="200">
        <f>IFERROR(__xludf.DUMMYFUNCTION("""COMPUTED_VALUE"""),6.0)</f>
        <v>6</v>
      </c>
      <c r="L604" s="265" t="str">
        <f>IFERROR(__xludf.DUMMYFUNCTION("""COMPUTED_VALUE"""),"Action / RPG")</f>
        <v>Action / RPG</v>
      </c>
    </row>
    <row r="605">
      <c r="A605" s="269" t="str">
        <f>IFERROR(__xludf.DUMMYFUNCTION("""COMPUTED_VALUE"""),"Kingdom Hearts HD I.5 + II.5 ReMix")</f>
        <v>Kingdom Hearts HD I.5 + II.5 ReMix</v>
      </c>
      <c r="B605" s="196" t="str">
        <f>IFERROR(__xludf.DUMMYFUNCTION("""COMPUTED_VALUE"""),"Xbox")</f>
        <v>Xbox</v>
      </c>
      <c r="C605" s="196"/>
      <c r="D605" s="196" t="str">
        <f>IFERROR(__xludf.DUMMYFUNCTION("""COMPUTED_VALUE"""),"Removed")</f>
        <v>Removed</v>
      </c>
      <c r="E605" s="271">
        <f>IFERROR(__xludf.DUMMYFUNCTION("""COMPUTED_VALUE"""),43993.0)</f>
        <v>43993</v>
      </c>
      <c r="F605" s="266">
        <f>IFERROR(__xludf.DUMMYFUNCTION("""COMPUTED_VALUE"""),44347.0)</f>
        <v>44347</v>
      </c>
      <c r="G605" s="199">
        <f>IFERROR(__xludf.DUMMYFUNCTION("""COMPUTED_VALUE"""),11.633333333333333)</f>
        <v>11.63333333</v>
      </c>
      <c r="H605" s="210">
        <f>IFERROR(__xludf.DUMMYFUNCTION("""COMPUTED_VALUE"""),42803.0)</f>
        <v>42803</v>
      </c>
      <c r="I605" s="199">
        <f>IFERROR(__xludf.DUMMYFUNCTION("""COMPUTED_VALUE"""),3.2555555555555555)</f>
        <v>3.255555556</v>
      </c>
      <c r="J605" s="267">
        <f>IFERROR(__xludf.DUMMYFUNCTION("""COMPUTED_VALUE"""),88.0)</f>
        <v>88</v>
      </c>
      <c r="K605" s="200">
        <f>IFERROR(__xludf.DUMMYFUNCTION("""COMPUTED_VALUE"""),115.0)</f>
        <v>115</v>
      </c>
      <c r="L605" s="265" t="str">
        <f>IFERROR(__xludf.DUMMYFUNCTION("""COMPUTED_VALUE"""),"Action / RPG / Compilation")</f>
        <v>Action / RPG / Compilation</v>
      </c>
    </row>
    <row r="606">
      <c r="A606" s="269" t="str">
        <f>IFERROR(__xludf.DUMMYFUNCTION("""COMPUTED_VALUE"""),"Kingdom Hearts HD II.8 Final Chapter Prologue")</f>
        <v>Kingdom Hearts HD II.8 Final Chapter Prologue</v>
      </c>
      <c r="B606" s="195" t="str">
        <f>IFERROR(__xludf.DUMMYFUNCTION("""COMPUTED_VALUE"""),"Xbox")</f>
        <v>Xbox</v>
      </c>
      <c r="C606" s="196"/>
      <c r="D606" s="196" t="str">
        <f>IFERROR(__xludf.DUMMYFUNCTION("""COMPUTED_VALUE"""),"Removed")</f>
        <v>Removed</v>
      </c>
      <c r="E606" s="271">
        <f>IFERROR(__xludf.DUMMYFUNCTION("""COMPUTED_VALUE"""),43993.0)</f>
        <v>43993</v>
      </c>
      <c r="F606" s="266">
        <f>IFERROR(__xludf.DUMMYFUNCTION("""COMPUTED_VALUE"""),44347.0)</f>
        <v>44347</v>
      </c>
      <c r="G606" s="199">
        <f>IFERROR(__xludf.DUMMYFUNCTION("""COMPUTED_VALUE"""),11.633333333333333)</f>
        <v>11.63333333</v>
      </c>
      <c r="H606" s="210">
        <f>IFERROR(__xludf.DUMMYFUNCTION("""COMPUTED_VALUE"""),42759.0)</f>
        <v>42759</v>
      </c>
      <c r="I606" s="199">
        <f>IFERROR(__xludf.DUMMYFUNCTION("""COMPUTED_VALUE"""),3.3805555555555555)</f>
        <v>3.380555556</v>
      </c>
      <c r="J606" s="267">
        <f>IFERROR(__xludf.DUMMYFUNCTION("""COMPUTED_VALUE"""),82.0)</f>
        <v>82</v>
      </c>
      <c r="K606" s="200">
        <f>IFERROR(__xludf.DUMMYFUNCTION("""COMPUTED_VALUE"""),17.0)</f>
        <v>17</v>
      </c>
      <c r="L606" s="265" t="str">
        <f>IFERROR(__xludf.DUMMYFUNCTION("""COMPUTED_VALUE"""),"Action / RPG / Compilation")</f>
        <v>Action / RPG / Compilation</v>
      </c>
    </row>
    <row r="607">
      <c r="A607" s="269" t="str">
        <f>IFERROR(__xludf.DUMMYFUNCTION("""COMPUTED_VALUE"""),"Broforce")</f>
        <v>Broforce</v>
      </c>
      <c r="B607" s="196" t="str">
        <f>IFERROR(__xludf.DUMMYFUNCTION("""COMPUTED_VALUE"""),"PC")</f>
        <v>PC</v>
      </c>
      <c r="C607" s="196"/>
      <c r="D607" s="196" t="str">
        <f>IFERROR(__xludf.DUMMYFUNCTION("""COMPUTED_VALUE"""),"Removed")</f>
        <v>Removed</v>
      </c>
      <c r="E607" s="271">
        <f>IFERROR(__xludf.DUMMYFUNCTION("""COMPUTED_VALUE"""),43625.0)</f>
        <v>43625</v>
      </c>
      <c r="F607" s="266">
        <f>IFERROR(__xludf.DUMMYFUNCTION("""COMPUTED_VALUE"""),44347.0)</f>
        <v>44347</v>
      </c>
      <c r="G607" s="199">
        <f>IFERROR(__xludf.DUMMYFUNCTION("""COMPUTED_VALUE"""),23.700000000000003)</f>
        <v>23.7</v>
      </c>
      <c r="H607" s="210">
        <f>IFERROR(__xludf.DUMMYFUNCTION("""COMPUTED_VALUE"""),42292.0)</f>
        <v>42292</v>
      </c>
      <c r="I607" s="199">
        <f>IFERROR(__xludf.DUMMYFUNCTION("""COMPUTED_VALUE"""),3.65)</f>
        <v>3.65</v>
      </c>
      <c r="J607" s="267">
        <f>IFERROR(__xludf.DUMMYFUNCTION("""COMPUTED_VALUE"""),83.0)</f>
        <v>83</v>
      </c>
      <c r="K607" s="200">
        <f>IFERROR(__xludf.DUMMYFUNCTION("""COMPUTED_VALUE"""),6.5)</f>
        <v>6.5</v>
      </c>
      <c r="L607" s="265" t="str">
        <f>IFERROR(__xludf.DUMMYFUNCTION("""COMPUTED_VALUE"""),"Action / Shooter / Platformer")</f>
        <v>Action / Shooter / Platformer</v>
      </c>
    </row>
    <row r="608">
      <c r="A608" s="269" t="str">
        <f>IFERROR(__xludf.DUMMYFUNCTION("""COMPUTED_VALUE"""),"Void Bastards")</f>
        <v>Void Bastards</v>
      </c>
      <c r="B608" s="195" t="str">
        <f>IFERROR(__xludf.DUMMYFUNCTION("""COMPUTED_VALUE"""),"Xbox / PC")</f>
        <v>Xbox / PC</v>
      </c>
      <c r="C608" s="196" t="str">
        <f>IFERROR(__xludf.DUMMYFUNCTION("""COMPUTED_VALUE"""),"Yes")</f>
        <v>Yes</v>
      </c>
      <c r="D608" s="196" t="str">
        <f>IFERROR(__xludf.DUMMYFUNCTION("""COMPUTED_VALUE"""),"Removed")</f>
        <v>Removed</v>
      </c>
      <c r="E608" s="271">
        <f>IFERROR(__xludf.DUMMYFUNCTION("""COMPUTED_VALUE"""),43614.0)</f>
        <v>43614</v>
      </c>
      <c r="F608" s="266">
        <f>IFERROR(__xludf.DUMMYFUNCTION("""COMPUTED_VALUE"""),44347.0)</f>
        <v>44347</v>
      </c>
      <c r="G608" s="199">
        <f>IFERROR(__xludf.DUMMYFUNCTION("""COMPUTED_VALUE"""),24.03333333333333)</f>
        <v>24.03333333</v>
      </c>
      <c r="H608" s="210">
        <f>IFERROR(__xludf.DUMMYFUNCTION("""COMPUTED_VALUE"""),43614.0)</f>
        <v>43614</v>
      </c>
      <c r="I608" s="199">
        <f>IFERROR(__xludf.DUMMYFUNCTION("""COMPUTED_VALUE"""),0.0)</f>
        <v>0</v>
      </c>
      <c r="J608" s="267">
        <f>IFERROR(__xludf.DUMMYFUNCTION("""COMPUTED_VALUE"""),75.0)</f>
        <v>75</v>
      </c>
      <c r="K608" s="200">
        <f>IFERROR(__xludf.DUMMYFUNCTION("""COMPUTED_VALUE"""),8.0)</f>
        <v>8</v>
      </c>
      <c r="L608" s="265" t="str">
        <f>IFERROR(__xludf.DUMMYFUNCTION("""COMPUTED_VALUE"""),"Action / Strategy")</f>
        <v>Action / Strategy</v>
      </c>
    </row>
    <row r="609">
      <c r="A609" s="269" t="str">
        <f>IFERROR(__xludf.DUMMYFUNCTION("""COMPUTED_VALUE"""),"Surviving Mars")</f>
        <v>Surviving Mars</v>
      </c>
      <c r="B609" s="195" t="str">
        <f>IFERROR(__xludf.DUMMYFUNCTION("""COMPUTED_VALUE"""),"Xbox / PC")</f>
        <v>Xbox / PC</v>
      </c>
      <c r="C609" s="196" t="str">
        <f>IFERROR(__xludf.DUMMYFUNCTION("""COMPUTED_VALUE"""),"Yes")</f>
        <v>Yes</v>
      </c>
      <c r="D609" s="196" t="str">
        <f>IFERROR(__xludf.DUMMYFUNCTION("""COMPUTED_VALUE"""),"Removed")</f>
        <v>Removed</v>
      </c>
      <c r="E609" s="271">
        <f>IFERROR(__xludf.DUMMYFUNCTION("""COMPUTED_VALUE"""),43594.0)</f>
        <v>43594</v>
      </c>
      <c r="F609" s="266">
        <f>IFERROR(__xludf.DUMMYFUNCTION("""COMPUTED_VALUE"""),44347.0)</f>
        <v>44347</v>
      </c>
      <c r="G609" s="199">
        <f>IFERROR(__xludf.DUMMYFUNCTION("""COMPUTED_VALUE"""),24.699999999999996)</f>
        <v>24.7</v>
      </c>
      <c r="H609" s="210">
        <f>IFERROR(__xludf.DUMMYFUNCTION("""COMPUTED_VALUE"""),43174.0)</f>
        <v>43174</v>
      </c>
      <c r="I609" s="199">
        <f>IFERROR(__xludf.DUMMYFUNCTION("""COMPUTED_VALUE"""),1.15)</f>
        <v>1.15</v>
      </c>
      <c r="J609" s="267">
        <f>IFERROR(__xludf.DUMMYFUNCTION("""COMPUTED_VALUE"""),76.0)</f>
        <v>76</v>
      </c>
      <c r="K609" s="267">
        <f>IFERROR(__xludf.DUMMYFUNCTION("""COMPUTED_VALUE"""),18.5)</f>
        <v>18.5</v>
      </c>
      <c r="L609" s="265" t="str">
        <f>IFERROR(__xludf.DUMMYFUNCTION("""COMPUTED_VALUE"""),"Strategy / Simulation")</f>
        <v>Strategy / Simulation</v>
      </c>
    </row>
    <row r="610">
      <c r="A610" s="269" t="str">
        <f>IFERROR(__xludf.DUMMYFUNCTION("""COMPUTED_VALUE"""),"Assetto Corsa")</f>
        <v>Assetto Corsa</v>
      </c>
      <c r="B610" s="195" t="str">
        <f>IFERROR(__xludf.DUMMYFUNCTION("""COMPUTED_VALUE"""),"Xbox")</f>
        <v>Xbox</v>
      </c>
      <c r="C610" s="196" t="str">
        <f>IFERROR(__xludf.DUMMYFUNCTION("""COMPUTED_VALUE"""),"Yes")</f>
        <v>Yes</v>
      </c>
      <c r="D610" s="196" t="str">
        <f>IFERROR(__xludf.DUMMYFUNCTION("""COMPUTED_VALUE"""),"Removed")</f>
        <v>Removed</v>
      </c>
      <c r="E610" s="271">
        <f>IFERROR(__xludf.DUMMYFUNCTION("""COMPUTED_VALUE"""),44175.0)</f>
        <v>44175</v>
      </c>
      <c r="F610" s="266">
        <f>IFERROR(__xludf.DUMMYFUNCTION("""COMPUTED_VALUE"""),44346.0)</f>
        <v>44346</v>
      </c>
      <c r="G610" s="199">
        <f>IFERROR(__xludf.DUMMYFUNCTION("""COMPUTED_VALUE"""),5.666666666666666)</f>
        <v>5.666666667</v>
      </c>
      <c r="H610" s="210">
        <f>IFERROR(__xludf.DUMMYFUNCTION("""COMPUTED_VALUE"""),41992.0)</f>
        <v>41992</v>
      </c>
      <c r="I610" s="199">
        <f>IFERROR(__xludf.DUMMYFUNCTION("""COMPUTED_VALUE"""),5.975)</f>
        <v>5.975</v>
      </c>
      <c r="J610" s="267">
        <f>IFERROR(__xludf.DUMMYFUNCTION("""COMPUTED_VALUE"""),63.0)</f>
        <v>63</v>
      </c>
      <c r="K610" s="200">
        <f>IFERROR(__xludf.DUMMYFUNCTION("""COMPUTED_VALUE"""),40.5)</f>
        <v>40.5</v>
      </c>
      <c r="L610" s="201" t="str">
        <f>IFERROR(__xludf.DUMMYFUNCTION("""COMPUTED_VALUE"""),"Driving/Racing / Simulation")</f>
        <v>Driving/Racing / Simulation</v>
      </c>
    </row>
    <row r="611">
      <c r="A611" s="269" t="str">
        <f>IFERROR(__xludf.DUMMYFUNCTION("""COMPUTED_VALUE"""),"Detention")</f>
        <v>Detention</v>
      </c>
      <c r="B611" s="196" t="str">
        <f>IFERROR(__xludf.DUMMYFUNCTION("""COMPUTED_VALUE"""),"PC")</f>
        <v>PC</v>
      </c>
      <c r="C611" s="196"/>
      <c r="D611" s="196" t="str">
        <f>IFERROR(__xludf.DUMMYFUNCTION("""COMPUTED_VALUE"""),"Removed")</f>
        <v>Removed</v>
      </c>
      <c r="E611" s="271">
        <f>IFERROR(__xludf.DUMMYFUNCTION("""COMPUTED_VALUE"""),44273.0)</f>
        <v>44273</v>
      </c>
      <c r="F611" s="266">
        <f>IFERROR(__xludf.DUMMYFUNCTION("""COMPUTED_VALUE"""),44336.0)</f>
        <v>44336</v>
      </c>
      <c r="G611" s="199">
        <f>IFERROR(__xludf.DUMMYFUNCTION("""COMPUTED_VALUE"""),2.0666666666666664)</f>
        <v>2.066666667</v>
      </c>
      <c r="H611" s="210">
        <f>IFERROR(__xludf.DUMMYFUNCTION("""COMPUTED_VALUE"""),42747.0)</f>
        <v>42747</v>
      </c>
      <c r="I611" s="199">
        <f>IFERROR(__xludf.DUMMYFUNCTION("""COMPUTED_VALUE"""),4.183333333333334)</f>
        <v>4.183333333</v>
      </c>
      <c r="J611" s="267">
        <f>IFERROR(__xludf.DUMMYFUNCTION("""COMPUTED_VALUE"""),83.0)</f>
        <v>83</v>
      </c>
      <c r="K611" s="267">
        <f>IFERROR(__xludf.DUMMYFUNCTION("""COMPUTED_VALUE"""),3.0)</f>
        <v>3</v>
      </c>
      <c r="L611" s="265" t="str">
        <f>IFERROR(__xludf.DUMMYFUNCTION("""COMPUTED_VALUE"""),"Adventure / Puzzle")</f>
        <v>Adventure / Puzzle</v>
      </c>
    </row>
    <row r="612">
      <c r="A612" s="269" t="str">
        <f>IFERROR(__xludf.DUMMYFUNCTION("""COMPUTED_VALUE"""),"Battlefleet Gothic: Armada II")</f>
        <v>Battlefleet Gothic: Armada II</v>
      </c>
      <c r="B612" s="195" t="str">
        <f>IFERROR(__xludf.DUMMYFUNCTION("""COMPUTED_VALUE"""),"PC")</f>
        <v>PC</v>
      </c>
      <c r="C612" s="196"/>
      <c r="D612" s="196" t="str">
        <f>IFERROR(__xludf.DUMMYFUNCTION("""COMPUTED_VALUE"""),"Removed")</f>
        <v>Removed</v>
      </c>
      <c r="E612" s="271">
        <f>IFERROR(__xludf.DUMMYFUNCTION("""COMPUTED_VALUE"""),43993.0)</f>
        <v>43993</v>
      </c>
      <c r="F612" s="266">
        <f>IFERROR(__xludf.DUMMYFUNCTION("""COMPUTED_VALUE"""),44331.0)</f>
        <v>44331</v>
      </c>
      <c r="G612" s="199">
        <f>IFERROR(__xludf.DUMMYFUNCTION("""COMPUTED_VALUE"""),11.133333333333333)</f>
        <v>11.13333333</v>
      </c>
      <c r="H612" s="210">
        <f>IFERROR(__xludf.DUMMYFUNCTION("""COMPUTED_VALUE"""),43489.0)</f>
        <v>43489</v>
      </c>
      <c r="I612" s="199">
        <f>IFERROR(__xludf.DUMMYFUNCTION("""COMPUTED_VALUE"""),1.3805555555555555)</f>
        <v>1.380555556</v>
      </c>
      <c r="J612" s="267">
        <f>IFERROR(__xludf.DUMMYFUNCTION("""COMPUTED_VALUE"""),77.0)</f>
        <v>77</v>
      </c>
      <c r="K612" s="267">
        <f>IFERROR(__xludf.DUMMYFUNCTION("""COMPUTED_VALUE"""),120.0)</f>
        <v>120</v>
      </c>
      <c r="L612" s="265" t="str">
        <f>IFERROR(__xludf.DUMMYFUNCTION("""COMPUTED_VALUE"""),"Real-Time Strategy")</f>
        <v>Real-Time Strategy</v>
      </c>
    </row>
    <row r="613">
      <c r="A613" s="190" t="str">
        <f>IFERROR(__xludf.DUMMYFUNCTION("""COMPUTED_VALUE"""),"Dungeon of the Endless")</f>
        <v>Dungeon of the Endless</v>
      </c>
      <c r="B613" s="196" t="str">
        <f>IFERROR(__xludf.DUMMYFUNCTION("""COMPUTED_VALUE"""),"Xbox / PC")</f>
        <v>Xbox / PC</v>
      </c>
      <c r="C613" s="196" t="str">
        <f>IFERROR(__xludf.DUMMYFUNCTION("""COMPUTED_VALUE"""),"Yes")</f>
        <v>Yes</v>
      </c>
      <c r="D613" s="196" t="str">
        <f>IFERROR(__xludf.DUMMYFUNCTION("""COMPUTED_VALUE"""),"Removed")</f>
        <v>Removed</v>
      </c>
      <c r="E613" s="271">
        <f>IFERROR(__xludf.DUMMYFUNCTION("""COMPUTED_VALUE"""),43993.0)</f>
        <v>43993</v>
      </c>
      <c r="F613" s="266">
        <f>IFERROR(__xludf.DUMMYFUNCTION("""COMPUTED_VALUE"""),44331.0)</f>
        <v>44331</v>
      </c>
      <c r="G613" s="199">
        <f>IFERROR(__xludf.DUMMYFUNCTION("""COMPUTED_VALUE"""),11.133333333333333)</f>
        <v>11.13333333</v>
      </c>
      <c r="H613" s="210">
        <f>IFERROR(__xludf.DUMMYFUNCTION("""COMPUTED_VALUE"""),41939.0)</f>
        <v>41939</v>
      </c>
      <c r="I613" s="199">
        <f>IFERROR(__xludf.DUMMYFUNCTION("""COMPUTED_VALUE"""),5.622222222222222)</f>
        <v>5.622222222</v>
      </c>
      <c r="J613" s="267">
        <f>IFERROR(__xludf.DUMMYFUNCTION("""COMPUTED_VALUE"""),78.5)</f>
        <v>78.5</v>
      </c>
      <c r="K613" s="267">
        <f>IFERROR(__xludf.DUMMYFUNCTION("""COMPUTED_VALUE"""),7.0)</f>
        <v>7</v>
      </c>
      <c r="L613" s="265" t="str">
        <f>IFERROR(__xludf.DUMMYFUNCTION("""COMPUTED_VALUE"""),"Strategy / RPG")</f>
        <v>Strategy / RPG</v>
      </c>
    </row>
    <row r="614">
      <c r="A614" s="269" t="str">
        <f>IFERROR(__xludf.DUMMYFUNCTION("""COMPUTED_VALUE"""),"Plebby Quest: The Crusades")</f>
        <v>Plebby Quest: The Crusades</v>
      </c>
      <c r="B614" s="196" t="str">
        <f>IFERROR(__xludf.DUMMYFUNCTION("""COMPUTED_VALUE"""),"PC")</f>
        <v>PC</v>
      </c>
      <c r="C614" s="196"/>
      <c r="D614" s="196" t="str">
        <f>IFERROR(__xludf.DUMMYFUNCTION("""COMPUTED_VALUE"""),"Removed")</f>
        <v>Removed</v>
      </c>
      <c r="E614" s="271">
        <f>IFERROR(__xludf.DUMMYFUNCTION("""COMPUTED_VALUE"""),43977.0)</f>
        <v>43977</v>
      </c>
      <c r="F614" s="266">
        <f>IFERROR(__xludf.DUMMYFUNCTION("""COMPUTED_VALUE"""),44331.0)</f>
        <v>44331</v>
      </c>
      <c r="G614" s="199">
        <f>IFERROR(__xludf.DUMMYFUNCTION("""COMPUTED_VALUE"""),11.633333333333333)</f>
        <v>11.63333333</v>
      </c>
      <c r="H614" s="210">
        <f>IFERROR(__xludf.DUMMYFUNCTION("""COMPUTED_VALUE"""),43929.0)</f>
        <v>43929</v>
      </c>
      <c r="I614" s="199">
        <f>IFERROR(__xludf.DUMMYFUNCTION("""COMPUTED_VALUE"""),0.13333333333333333)</f>
        <v>0.1333333333</v>
      </c>
      <c r="J614" s="267">
        <f>IFERROR(__xludf.DUMMYFUNCTION("""COMPUTED_VALUE"""),84.0)</f>
        <v>84</v>
      </c>
      <c r="K614" s="200">
        <f>IFERROR(__xludf.DUMMYFUNCTION("""COMPUTED_VALUE"""),5.0)</f>
        <v>5</v>
      </c>
      <c r="L614" s="265" t="str">
        <f>IFERROR(__xludf.DUMMYFUNCTION("""COMPUTED_VALUE"""),"Strategy / RPG")</f>
        <v>Strategy / RPG</v>
      </c>
    </row>
    <row r="615">
      <c r="A615" s="269" t="str">
        <f>IFERROR(__xludf.DUMMYFUNCTION("""COMPUTED_VALUE"""),"Alan Wake")</f>
        <v>Alan Wake</v>
      </c>
      <c r="B615" s="195" t="str">
        <f>IFERROR(__xludf.DUMMYFUNCTION("""COMPUTED_VALUE"""),"Xbox / PC")</f>
        <v>Xbox / PC</v>
      </c>
      <c r="C615" s="196"/>
      <c r="D615" s="196" t="str">
        <f>IFERROR(__xludf.DUMMYFUNCTION("""COMPUTED_VALUE"""),"Removed")</f>
        <v>Removed</v>
      </c>
      <c r="E615" s="271">
        <f>IFERROR(__xludf.DUMMYFUNCTION("""COMPUTED_VALUE"""),43972.0)</f>
        <v>43972</v>
      </c>
      <c r="F615" s="266">
        <f>IFERROR(__xludf.DUMMYFUNCTION("""COMPUTED_VALUE"""),44331.0)</f>
        <v>44331</v>
      </c>
      <c r="G615" s="199">
        <f>IFERROR(__xludf.DUMMYFUNCTION("""COMPUTED_VALUE"""),11.799999999999999)</f>
        <v>11.8</v>
      </c>
      <c r="H615" s="210">
        <f>IFERROR(__xludf.DUMMYFUNCTION("""COMPUTED_VALUE"""),40312.0)</f>
        <v>40312</v>
      </c>
      <c r="I615" s="199">
        <f>IFERROR(__xludf.DUMMYFUNCTION("""COMPUTED_VALUE"""),10.019444444444444)</f>
        <v>10.01944444</v>
      </c>
      <c r="J615" s="267">
        <f>IFERROR(__xludf.DUMMYFUNCTION("""COMPUTED_VALUE"""),83.0)</f>
        <v>83</v>
      </c>
      <c r="K615" s="267">
        <f>IFERROR(__xludf.DUMMYFUNCTION("""COMPUTED_VALUE"""),11.0)</f>
        <v>11</v>
      </c>
      <c r="L615" s="265" t="str">
        <f>IFERROR(__xludf.DUMMYFUNCTION("""COMPUTED_VALUE"""),"Shooter / Action-Adventure")</f>
        <v>Shooter / Action-Adventure</v>
      </c>
    </row>
    <row r="616">
      <c r="A616" s="269" t="str">
        <f>IFERROR(__xludf.DUMMYFUNCTION("""COMPUTED_VALUE"""),"Final Fantasy IX")</f>
        <v>Final Fantasy IX</v>
      </c>
      <c r="B616" s="195" t="str">
        <f>IFERROR(__xludf.DUMMYFUNCTION("""COMPUTED_VALUE"""),"Xbox / PC")</f>
        <v>Xbox / PC</v>
      </c>
      <c r="C616" s="196"/>
      <c r="D616" s="196" t="str">
        <f>IFERROR(__xludf.DUMMYFUNCTION("""COMPUTED_VALUE"""),"Removed")</f>
        <v>Removed</v>
      </c>
      <c r="E616" s="271">
        <f>IFERROR(__xludf.DUMMYFUNCTION("""COMPUTED_VALUE"""),43965.0)</f>
        <v>43965</v>
      </c>
      <c r="F616" s="266">
        <f>IFERROR(__xludf.DUMMYFUNCTION("""COMPUTED_VALUE"""),44331.0)</f>
        <v>44331</v>
      </c>
      <c r="G616" s="199">
        <f>IFERROR(__xludf.DUMMYFUNCTION("""COMPUTED_VALUE"""),12.033333333333333)</f>
        <v>12.03333333</v>
      </c>
      <c r="H616" s="210">
        <f>IFERROR(__xludf.DUMMYFUNCTION("""COMPUTED_VALUE"""),36714.0)</f>
        <v>36714</v>
      </c>
      <c r="I616" s="199">
        <f>IFERROR(__xludf.DUMMYFUNCTION("""COMPUTED_VALUE"""),19.852777777777778)</f>
        <v>19.85277778</v>
      </c>
      <c r="J616" s="267">
        <f>IFERROR(__xludf.DUMMYFUNCTION("""COMPUTED_VALUE"""),85.0)</f>
        <v>85</v>
      </c>
      <c r="K616" s="267">
        <f>IFERROR(__xludf.DUMMYFUNCTION("""COMPUTED_VALUE"""),40.0)</f>
        <v>40</v>
      </c>
      <c r="L616" s="265" t="str">
        <f>IFERROR(__xludf.DUMMYFUNCTION("""COMPUTED_VALUE"""),"RPG / Card Game")</f>
        <v>RPG / Card Game</v>
      </c>
    </row>
    <row r="617">
      <c r="A617" s="269" t="str">
        <f>IFERROR(__xludf.DUMMYFUNCTION("""COMPUTED_VALUE"""),"Hotline Miami")</f>
        <v>Hotline Miami</v>
      </c>
      <c r="B617" s="196" t="str">
        <f>IFERROR(__xludf.DUMMYFUNCTION("""COMPUTED_VALUE"""),"PC")</f>
        <v>PC</v>
      </c>
      <c r="C617" s="196"/>
      <c r="D617" s="196" t="str">
        <f>IFERROR(__xludf.DUMMYFUNCTION("""COMPUTED_VALUE"""),"Removed")</f>
        <v>Removed</v>
      </c>
      <c r="E617" s="271">
        <f>IFERROR(__xludf.DUMMYFUNCTION("""COMPUTED_VALUE"""),43625.0)</f>
        <v>43625</v>
      </c>
      <c r="F617" s="266">
        <f>IFERROR(__xludf.DUMMYFUNCTION("""COMPUTED_VALUE"""),44331.0)</f>
        <v>44331</v>
      </c>
      <c r="G617" s="199">
        <f>IFERROR(__xludf.DUMMYFUNCTION("""COMPUTED_VALUE"""),23.2)</f>
        <v>23.2</v>
      </c>
      <c r="H617" s="210">
        <f>IFERROR(__xludf.DUMMYFUNCTION("""COMPUTED_VALUE"""),41205.0)</f>
        <v>41205</v>
      </c>
      <c r="I617" s="199">
        <f>IFERROR(__xludf.DUMMYFUNCTION("""COMPUTED_VALUE"""),6.627777777777778)</f>
        <v>6.627777778</v>
      </c>
      <c r="J617" s="267">
        <f>IFERROR(__xludf.DUMMYFUNCTION("""COMPUTED_VALUE"""),85.0)</f>
        <v>85</v>
      </c>
      <c r="K617" s="267">
        <f>IFERROR(__xludf.DUMMYFUNCTION("""COMPUTED_VALUE"""),5.0)</f>
        <v>5</v>
      </c>
      <c r="L617" s="265" t="str">
        <f>IFERROR(__xludf.DUMMYFUNCTION("""COMPUTED_VALUE"""),"Action")</f>
        <v>Action</v>
      </c>
    </row>
    <row r="618">
      <c r="A618" s="190" t="str">
        <f>IFERROR(__xludf.DUMMYFUNCTION("""COMPUTED_VALUE"""),"FIFA 15")</f>
        <v>FIFA 15</v>
      </c>
      <c r="B618" s="195" t="str">
        <f>IFERROR(__xludf.DUMMYFUNCTION("""COMPUTED_VALUE"""),"Xbox / PC")</f>
        <v>Xbox / PC</v>
      </c>
      <c r="C618" s="196"/>
      <c r="D618" s="196" t="str">
        <f>IFERROR(__xludf.DUMMYFUNCTION("""COMPUTED_VALUE"""),"Removed")</f>
        <v>Removed</v>
      </c>
      <c r="E618" s="271">
        <f>IFERROR(__xludf.DUMMYFUNCTION("""COMPUTED_VALUE"""),44145.0)</f>
        <v>44145</v>
      </c>
      <c r="F618" s="266">
        <f>IFERROR(__xludf.DUMMYFUNCTION("""COMPUTED_VALUE"""),44322.0)</f>
        <v>44322</v>
      </c>
      <c r="G618" s="199">
        <f>IFERROR(__xludf.DUMMYFUNCTION("""COMPUTED_VALUE"""),5.866666666666666)</f>
        <v>5.866666667</v>
      </c>
      <c r="H618" s="210">
        <f>IFERROR(__xludf.DUMMYFUNCTION("""COMPUTED_VALUE"""),41905.0)</f>
        <v>41905</v>
      </c>
      <c r="I618" s="199">
        <f>IFERROR(__xludf.DUMMYFUNCTION("""COMPUTED_VALUE"""),6.1305555555555555)</f>
        <v>6.130555556</v>
      </c>
      <c r="J618" s="267">
        <f>IFERROR(__xludf.DUMMYFUNCTION("""COMPUTED_VALUE"""),82.0)</f>
        <v>82</v>
      </c>
      <c r="K618" s="267">
        <f>IFERROR(__xludf.DUMMYFUNCTION("""COMPUTED_VALUE"""),128.0)</f>
        <v>128</v>
      </c>
      <c r="L618" s="265" t="str">
        <f>IFERROR(__xludf.DUMMYFUNCTION("""COMPUTED_VALUE"""),"Sports / Soccer")</f>
        <v>Sports / Soccer</v>
      </c>
    </row>
    <row r="619">
      <c r="A619" s="269" t="str">
        <f>IFERROR(__xludf.DUMMYFUNCTION("""COMPUTED_VALUE"""),"FIFA 16")</f>
        <v>FIFA 16</v>
      </c>
      <c r="B619" s="195" t="str">
        <f>IFERROR(__xludf.DUMMYFUNCTION("""COMPUTED_VALUE"""),"Xbox / PC")</f>
        <v>Xbox / PC</v>
      </c>
      <c r="C619" s="196"/>
      <c r="D619" s="196" t="str">
        <f>IFERROR(__xludf.DUMMYFUNCTION("""COMPUTED_VALUE"""),"Removed")</f>
        <v>Removed</v>
      </c>
      <c r="E619" s="271">
        <f>IFERROR(__xludf.DUMMYFUNCTION("""COMPUTED_VALUE"""),44145.0)</f>
        <v>44145</v>
      </c>
      <c r="F619" s="266">
        <f>IFERROR(__xludf.DUMMYFUNCTION("""COMPUTED_VALUE"""),44322.0)</f>
        <v>44322</v>
      </c>
      <c r="G619" s="199">
        <f>IFERROR(__xludf.DUMMYFUNCTION("""COMPUTED_VALUE"""),5.866666666666666)</f>
        <v>5.866666667</v>
      </c>
      <c r="H619" s="210">
        <f>IFERROR(__xludf.DUMMYFUNCTION("""COMPUTED_VALUE"""),42269.0)</f>
        <v>42269</v>
      </c>
      <c r="I619" s="199">
        <f>IFERROR(__xludf.DUMMYFUNCTION("""COMPUTED_VALUE"""),5.133333333333334)</f>
        <v>5.133333333</v>
      </c>
      <c r="J619" s="267">
        <f>IFERROR(__xludf.DUMMYFUNCTION("""COMPUTED_VALUE"""),84.0)</f>
        <v>84</v>
      </c>
      <c r="K619" s="267">
        <f>IFERROR(__xludf.DUMMYFUNCTION("""COMPUTED_VALUE"""),108.0)</f>
        <v>108</v>
      </c>
      <c r="L619" s="265" t="str">
        <f>IFERROR(__xludf.DUMMYFUNCTION("""COMPUTED_VALUE"""),"Sports / Soccer")</f>
        <v>Sports / Soccer</v>
      </c>
    </row>
    <row r="620">
      <c r="A620" s="190" t="str">
        <f>IFERROR(__xludf.DUMMYFUNCTION("""COMPUTED_VALUE"""),"FIFA 17")</f>
        <v>FIFA 17</v>
      </c>
      <c r="B620" s="195" t="str">
        <f>IFERROR(__xludf.DUMMYFUNCTION("""COMPUTED_VALUE"""),"Xbox / PC")</f>
        <v>Xbox / PC</v>
      </c>
      <c r="C620" s="196"/>
      <c r="D620" s="196" t="str">
        <f>IFERROR(__xludf.DUMMYFUNCTION("""COMPUTED_VALUE"""),"Removed")</f>
        <v>Removed</v>
      </c>
      <c r="E620" s="197">
        <f>IFERROR(__xludf.DUMMYFUNCTION("""COMPUTED_VALUE"""),44145.0)</f>
        <v>44145</v>
      </c>
      <c r="F620" s="266">
        <f>IFERROR(__xludf.DUMMYFUNCTION("""COMPUTED_VALUE"""),44322.0)</f>
        <v>44322</v>
      </c>
      <c r="G620" s="199">
        <f>IFERROR(__xludf.DUMMYFUNCTION("""COMPUTED_VALUE"""),5.866666666666666)</f>
        <v>5.866666667</v>
      </c>
      <c r="H620" s="210">
        <f>IFERROR(__xludf.DUMMYFUNCTION("""COMPUTED_VALUE"""),42640.0)</f>
        <v>42640</v>
      </c>
      <c r="I620" s="199">
        <f>IFERROR(__xludf.DUMMYFUNCTION("""COMPUTED_VALUE"""),4.1194444444444445)</f>
        <v>4.119444444</v>
      </c>
      <c r="J620" s="267">
        <f>IFERROR(__xludf.DUMMYFUNCTION("""COMPUTED_VALUE"""),84.0)</f>
        <v>84</v>
      </c>
      <c r="K620" s="267">
        <f>IFERROR(__xludf.DUMMYFUNCTION("""COMPUTED_VALUE"""),52.0)</f>
        <v>52</v>
      </c>
      <c r="L620" s="265" t="str">
        <f>IFERROR(__xludf.DUMMYFUNCTION("""COMPUTED_VALUE"""),"Sports / Soccer")</f>
        <v>Sports / Soccer</v>
      </c>
    </row>
    <row r="621">
      <c r="A621" s="269" t="str">
        <f>IFERROR(__xludf.DUMMYFUNCTION("""COMPUTED_VALUE"""),"FIFA 18")</f>
        <v>FIFA 18</v>
      </c>
      <c r="B621" s="195" t="str">
        <f>IFERROR(__xludf.DUMMYFUNCTION("""COMPUTED_VALUE"""),"Xbox / PC")</f>
        <v>Xbox / PC</v>
      </c>
      <c r="C621" s="196"/>
      <c r="D621" s="196" t="str">
        <f>IFERROR(__xludf.DUMMYFUNCTION("""COMPUTED_VALUE"""),"Removed")</f>
        <v>Removed</v>
      </c>
      <c r="E621" s="271">
        <f>IFERROR(__xludf.DUMMYFUNCTION("""COMPUTED_VALUE"""),44145.0)</f>
        <v>44145</v>
      </c>
      <c r="F621" s="266">
        <f>IFERROR(__xludf.DUMMYFUNCTION("""COMPUTED_VALUE"""),44322.0)</f>
        <v>44322</v>
      </c>
      <c r="G621" s="199">
        <f>IFERROR(__xludf.DUMMYFUNCTION("""COMPUTED_VALUE"""),5.866666666666666)</f>
        <v>5.866666667</v>
      </c>
      <c r="H621" s="210">
        <f>IFERROR(__xludf.DUMMYFUNCTION("""COMPUTED_VALUE"""),43007.0)</f>
        <v>43007</v>
      </c>
      <c r="I621" s="199">
        <f>IFERROR(__xludf.DUMMYFUNCTION("""COMPUTED_VALUE"""),3.113888888888889)</f>
        <v>3.113888889</v>
      </c>
      <c r="J621" s="267">
        <f>IFERROR(__xludf.DUMMYFUNCTION("""COMPUTED_VALUE"""),83.0)</f>
        <v>83</v>
      </c>
      <c r="K621" s="200">
        <f>IFERROR(__xludf.DUMMYFUNCTION("""COMPUTED_VALUE"""),36.5)</f>
        <v>36.5</v>
      </c>
      <c r="L621" s="265" t="str">
        <f>IFERROR(__xludf.DUMMYFUNCTION("""COMPUTED_VALUE"""),"Sports / Soccer")</f>
        <v>Sports / Soccer</v>
      </c>
    </row>
    <row r="622">
      <c r="A622" s="269" t="str">
        <f>IFERROR(__xludf.DUMMYFUNCTION("""COMPUTED_VALUE"""),"NBA LIVE 15")</f>
        <v>NBA LIVE 15</v>
      </c>
      <c r="B622" s="195" t="str">
        <f>IFERROR(__xludf.DUMMYFUNCTION("""COMPUTED_VALUE"""),"Xbox")</f>
        <v>Xbox</v>
      </c>
      <c r="C622" s="196"/>
      <c r="D622" s="196" t="str">
        <f>IFERROR(__xludf.DUMMYFUNCTION("""COMPUTED_VALUE"""),"Removed")</f>
        <v>Removed</v>
      </c>
      <c r="E622" s="271">
        <f>IFERROR(__xludf.DUMMYFUNCTION("""COMPUTED_VALUE"""),44145.0)</f>
        <v>44145</v>
      </c>
      <c r="F622" s="266">
        <f>IFERROR(__xludf.DUMMYFUNCTION("""COMPUTED_VALUE"""),44322.0)</f>
        <v>44322</v>
      </c>
      <c r="G622" s="199">
        <f>IFERROR(__xludf.DUMMYFUNCTION("""COMPUTED_VALUE"""),5.866666666666666)</f>
        <v>5.866666667</v>
      </c>
      <c r="H622" s="210">
        <f>IFERROR(__xludf.DUMMYFUNCTION("""COMPUTED_VALUE"""),41940.0)</f>
        <v>41940</v>
      </c>
      <c r="I622" s="199">
        <f>IFERROR(__xludf.DUMMYFUNCTION("""COMPUTED_VALUE"""),6.033333333333333)</f>
        <v>6.033333333</v>
      </c>
      <c r="J622" s="267">
        <f>IFERROR(__xludf.DUMMYFUNCTION("""COMPUTED_VALUE"""),53.0)</f>
        <v>53</v>
      </c>
      <c r="K622" s="200">
        <f>IFERROR(__xludf.DUMMYFUNCTION("""COMPUTED_VALUE"""),39.0)</f>
        <v>39</v>
      </c>
      <c r="L622" s="265" t="str">
        <f>IFERROR(__xludf.DUMMYFUNCTION("""COMPUTED_VALUE"""),"Sports / Basketball")</f>
        <v>Sports / Basketball</v>
      </c>
    </row>
    <row r="623">
      <c r="A623" s="269" t="str">
        <f>IFERROR(__xludf.DUMMYFUNCTION("""COMPUTED_VALUE"""),"NBA LIVE 18: The One Edition")</f>
        <v>NBA LIVE 18: The One Edition</v>
      </c>
      <c r="B623" s="196" t="str">
        <f>IFERROR(__xludf.DUMMYFUNCTION("""COMPUTED_VALUE"""),"Xbox")</f>
        <v>Xbox</v>
      </c>
      <c r="C623" s="196"/>
      <c r="D623" s="196" t="str">
        <f>IFERROR(__xludf.DUMMYFUNCTION("""COMPUTED_VALUE"""),"Removed")</f>
        <v>Removed</v>
      </c>
      <c r="E623" s="271">
        <f>IFERROR(__xludf.DUMMYFUNCTION("""COMPUTED_VALUE"""),44145.0)</f>
        <v>44145</v>
      </c>
      <c r="F623" s="266">
        <f>IFERROR(__xludf.DUMMYFUNCTION("""COMPUTED_VALUE"""),44322.0)</f>
        <v>44322</v>
      </c>
      <c r="G623" s="199">
        <f>IFERROR(__xludf.DUMMYFUNCTION("""COMPUTED_VALUE"""),5.866666666666666)</f>
        <v>5.866666667</v>
      </c>
      <c r="H623" s="210">
        <f>IFERROR(__xludf.DUMMYFUNCTION("""COMPUTED_VALUE"""),42993.0)</f>
        <v>42993</v>
      </c>
      <c r="I623" s="199">
        <f>IFERROR(__xludf.DUMMYFUNCTION("""COMPUTED_VALUE"""),3.1527777777777777)</f>
        <v>3.152777778</v>
      </c>
      <c r="J623" s="267">
        <f>IFERROR(__xludf.DUMMYFUNCTION("""COMPUTED_VALUE"""),72.0)</f>
        <v>72</v>
      </c>
      <c r="K623" s="200">
        <f>IFERROR(__xludf.DUMMYFUNCTION("""COMPUTED_VALUE"""),158.0)</f>
        <v>158</v>
      </c>
      <c r="L623" s="265" t="str">
        <f>IFERROR(__xludf.DUMMYFUNCTION("""COMPUTED_VALUE"""),"Sports / Basketball")</f>
        <v>Sports / Basketball</v>
      </c>
    </row>
    <row r="624">
      <c r="A624" s="269" t="str">
        <f>IFERROR(__xludf.DUMMYFUNCTION("""COMPUTED_VALUE"""),"Fractured Minds")</f>
        <v>Fractured Minds</v>
      </c>
      <c r="B624" s="196" t="str">
        <f>IFERROR(__xludf.DUMMYFUNCTION("""COMPUTED_VALUE"""),"Xbox")</f>
        <v>Xbox</v>
      </c>
      <c r="C624" s="196" t="str">
        <f>IFERROR(__xludf.DUMMYFUNCTION("""COMPUTED_VALUE"""),"Yes")</f>
        <v>Yes</v>
      </c>
      <c r="D624" s="196" t="str">
        <f>IFERROR(__xludf.DUMMYFUNCTION("""COMPUTED_VALUE"""),"Removed")</f>
        <v>Removed</v>
      </c>
      <c r="E624" s="271">
        <f>IFERROR(__xludf.DUMMYFUNCTION("""COMPUTED_VALUE"""),43970.0)</f>
        <v>43970</v>
      </c>
      <c r="F624" s="266">
        <f>IFERROR(__xludf.DUMMYFUNCTION("""COMPUTED_VALUE"""),44316.0)</f>
        <v>44316</v>
      </c>
      <c r="G624" s="199">
        <f>IFERROR(__xludf.DUMMYFUNCTION("""COMPUTED_VALUE"""),11.366666666666667)</f>
        <v>11.36666667</v>
      </c>
      <c r="H624" s="210">
        <f>IFERROR(__xludf.DUMMYFUNCTION("""COMPUTED_VALUE"""),43783.0)</f>
        <v>43783</v>
      </c>
      <c r="I624" s="199">
        <f>IFERROR(__xludf.DUMMYFUNCTION("""COMPUTED_VALUE"""),0.5138888888888888)</f>
        <v>0.5138888889</v>
      </c>
      <c r="J624" s="267">
        <f>IFERROR(__xludf.DUMMYFUNCTION("""COMPUTED_VALUE"""),86.0)</f>
        <v>86</v>
      </c>
      <c r="K624" s="200">
        <f>IFERROR(__xludf.DUMMYFUNCTION("""COMPUTED_VALUE"""),0.5)</f>
        <v>0.5</v>
      </c>
      <c r="L624" s="265" t="str">
        <f>IFERROR(__xludf.DUMMYFUNCTION("""COMPUTED_VALUE"""),"Adventure")</f>
        <v>Adventure</v>
      </c>
    </row>
    <row r="625">
      <c r="A625" s="269" t="str">
        <f>IFERROR(__xludf.DUMMYFUNCTION("""COMPUTED_VALUE"""),"Endless Legend")</f>
        <v>Endless Legend</v>
      </c>
      <c r="B625" s="195" t="str">
        <f>IFERROR(__xludf.DUMMYFUNCTION("""COMPUTED_VALUE"""),"PC")</f>
        <v>PC</v>
      </c>
      <c r="C625" s="196"/>
      <c r="D625" s="196" t="str">
        <f>IFERROR(__xludf.DUMMYFUNCTION("""COMPUTED_VALUE"""),"Removed")</f>
        <v>Removed</v>
      </c>
      <c r="E625" s="271">
        <f>IFERROR(__xludf.DUMMYFUNCTION("""COMPUTED_VALUE"""),43965.0)</f>
        <v>43965</v>
      </c>
      <c r="F625" s="266">
        <f>IFERROR(__xludf.DUMMYFUNCTION("""COMPUTED_VALUE"""),44316.0)</f>
        <v>44316</v>
      </c>
      <c r="G625" s="199">
        <f>IFERROR(__xludf.DUMMYFUNCTION("""COMPUTED_VALUE"""),11.533333333333333)</f>
        <v>11.53333333</v>
      </c>
      <c r="H625" s="210">
        <f>IFERROR(__xludf.DUMMYFUNCTION("""COMPUTED_VALUE"""),41900.0)</f>
        <v>41900</v>
      </c>
      <c r="I625" s="199">
        <f>IFERROR(__xludf.DUMMYFUNCTION("""COMPUTED_VALUE"""),5.655555555555556)</f>
        <v>5.655555556</v>
      </c>
      <c r="J625" s="267">
        <f>IFERROR(__xludf.DUMMYFUNCTION("""COMPUTED_VALUE"""),82.0)</f>
        <v>82</v>
      </c>
      <c r="K625" s="200">
        <f>IFERROR(__xludf.DUMMYFUNCTION("""COMPUTED_VALUE"""),14.0)</f>
        <v>14</v>
      </c>
      <c r="L625" s="265" t="str">
        <f>IFERROR(__xludf.DUMMYFUNCTION("""COMPUTED_VALUE"""),"Strategy")</f>
        <v>Strategy</v>
      </c>
    </row>
    <row r="626">
      <c r="A626" s="269" t="str">
        <f>IFERROR(__xludf.DUMMYFUNCTION("""COMPUTED_VALUE"""),"Levelhead")</f>
        <v>Levelhead</v>
      </c>
      <c r="B626" s="195" t="str">
        <f>IFERROR(__xludf.DUMMYFUNCTION("""COMPUTED_VALUE"""),"Xbox / PC")</f>
        <v>Xbox / PC</v>
      </c>
      <c r="C626" s="196" t="str">
        <f>IFERROR(__xludf.DUMMYFUNCTION("""COMPUTED_VALUE"""),"Yes")</f>
        <v>Yes</v>
      </c>
      <c r="D626" s="196" t="str">
        <f>IFERROR(__xludf.DUMMYFUNCTION("""COMPUTED_VALUE"""),"Removed")</f>
        <v>Removed</v>
      </c>
      <c r="E626" s="271">
        <f>IFERROR(__xludf.DUMMYFUNCTION("""COMPUTED_VALUE"""),43951.0)</f>
        <v>43951</v>
      </c>
      <c r="F626" s="266">
        <f>IFERROR(__xludf.DUMMYFUNCTION("""COMPUTED_VALUE"""),44316.0)</f>
        <v>44316</v>
      </c>
      <c r="G626" s="199">
        <f>IFERROR(__xludf.DUMMYFUNCTION("""COMPUTED_VALUE"""),12.0)</f>
        <v>12</v>
      </c>
      <c r="H626" s="210">
        <f>IFERROR(__xludf.DUMMYFUNCTION("""COMPUTED_VALUE"""),43573.0)</f>
        <v>43573</v>
      </c>
      <c r="I626" s="199">
        <f>IFERROR(__xludf.DUMMYFUNCTION("""COMPUTED_VALUE"""),1.0333333333333334)</f>
        <v>1.033333333</v>
      </c>
      <c r="J626" s="267">
        <f>IFERROR(__xludf.DUMMYFUNCTION("""COMPUTED_VALUE"""),82.0)</f>
        <v>82</v>
      </c>
      <c r="K626" s="267">
        <f>IFERROR(__xludf.DUMMYFUNCTION("""COMPUTED_VALUE"""),66.0)</f>
        <v>66</v>
      </c>
      <c r="L626" s="265" t="str">
        <f>IFERROR(__xludf.DUMMYFUNCTION("""COMPUTED_VALUE"""),"Action / Platformer")</f>
        <v>Action / Platformer</v>
      </c>
    </row>
    <row r="627">
      <c r="A627" s="269" t="str">
        <f>IFERROR(__xludf.DUMMYFUNCTION("""COMPUTED_VALUE"""),"Moving Out")</f>
        <v>Moving Out</v>
      </c>
      <c r="B627" s="195" t="str">
        <f>IFERROR(__xludf.DUMMYFUNCTION("""COMPUTED_VALUE"""),"Xbox / PC")</f>
        <v>Xbox / PC</v>
      </c>
      <c r="C627" s="196" t="str">
        <f>IFERROR(__xludf.DUMMYFUNCTION("""COMPUTED_VALUE"""),"Yes")</f>
        <v>Yes</v>
      </c>
      <c r="D627" s="196" t="str">
        <f>IFERROR(__xludf.DUMMYFUNCTION("""COMPUTED_VALUE"""),"Removed")</f>
        <v>Removed</v>
      </c>
      <c r="E627" s="271">
        <f>IFERROR(__xludf.DUMMYFUNCTION("""COMPUTED_VALUE"""),43949.0)</f>
        <v>43949</v>
      </c>
      <c r="F627" s="266">
        <f>IFERROR(__xludf.DUMMYFUNCTION("""COMPUTED_VALUE"""),44316.0)</f>
        <v>44316</v>
      </c>
      <c r="G627" s="199">
        <f>IFERROR(__xludf.DUMMYFUNCTION("""COMPUTED_VALUE"""),12.066666666666666)</f>
        <v>12.06666667</v>
      </c>
      <c r="H627" s="210">
        <f>IFERROR(__xludf.DUMMYFUNCTION("""COMPUTED_VALUE"""),43941.0)</f>
        <v>43941</v>
      </c>
      <c r="I627" s="199">
        <f>IFERROR(__xludf.DUMMYFUNCTION("""COMPUTED_VALUE"""),0.022222222222222223)</f>
        <v>0.02222222222</v>
      </c>
      <c r="J627" s="267">
        <f>IFERROR(__xludf.DUMMYFUNCTION("""COMPUTED_VALUE"""),78.0)</f>
        <v>78</v>
      </c>
      <c r="K627" s="267">
        <f>IFERROR(__xludf.DUMMYFUNCTION("""COMPUTED_VALUE"""),4.0)</f>
        <v>4</v>
      </c>
      <c r="L627" s="265" t="str">
        <f>IFERROR(__xludf.DUMMYFUNCTION("""COMPUTED_VALUE"""),"Action / Simulation")</f>
        <v>Action / Simulation</v>
      </c>
    </row>
    <row r="628">
      <c r="A628" s="190" t="str">
        <f>IFERROR(__xludf.DUMMYFUNCTION("""COMPUTED_VALUE"""),"Thumper")</f>
        <v>Thumper</v>
      </c>
      <c r="B628" s="195" t="str">
        <f>IFERROR(__xludf.DUMMYFUNCTION("""COMPUTED_VALUE"""),"PC")</f>
        <v>PC</v>
      </c>
      <c r="C628" s="196"/>
      <c r="D628" s="196" t="str">
        <f>IFERROR(__xludf.DUMMYFUNCTION("""COMPUTED_VALUE"""),"Removed")</f>
        <v>Removed</v>
      </c>
      <c r="E628" s="271">
        <f>IFERROR(__xludf.DUMMYFUNCTION("""COMPUTED_VALUE"""),43625.0)</f>
        <v>43625</v>
      </c>
      <c r="F628" s="266">
        <f>IFERROR(__xludf.DUMMYFUNCTION("""COMPUTED_VALUE"""),44316.0)</f>
        <v>44316</v>
      </c>
      <c r="G628" s="199">
        <f>IFERROR(__xludf.DUMMYFUNCTION("""COMPUTED_VALUE"""),22.7)</f>
        <v>22.7</v>
      </c>
      <c r="H628" s="210">
        <f>IFERROR(__xludf.DUMMYFUNCTION("""COMPUTED_VALUE"""),42653.0)</f>
        <v>42653</v>
      </c>
      <c r="I628" s="199">
        <f>IFERROR(__xludf.DUMMYFUNCTION("""COMPUTED_VALUE"""),2.6638888888888888)</f>
        <v>2.663888889</v>
      </c>
      <c r="J628" s="267">
        <f>IFERROR(__xludf.DUMMYFUNCTION("""COMPUTED_VALUE"""),86.0)</f>
        <v>86</v>
      </c>
      <c r="K628" s="267">
        <f>IFERROR(__xludf.DUMMYFUNCTION("""COMPUTED_VALUE"""),7.5)</f>
        <v>7.5</v>
      </c>
      <c r="L628" s="265" t="str">
        <f>IFERROR(__xludf.DUMMYFUNCTION("""COMPUTED_VALUE"""),"Music/Rhythm")</f>
        <v>Music/Rhythm</v>
      </c>
    </row>
    <row r="629">
      <c r="A629" s="269" t="str">
        <f>IFERROR(__xludf.DUMMYFUNCTION("""COMPUTED_VALUE"""),"For The King")</f>
        <v>For The King</v>
      </c>
      <c r="B629" s="195" t="str">
        <f>IFERROR(__xludf.DUMMYFUNCTION("""COMPUTED_VALUE"""),"Xbox / PC")</f>
        <v>Xbox / PC</v>
      </c>
      <c r="C629" s="196" t="str">
        <f>IFERROR(__xludf.DUMMYFUNCTION("""COMPUTED_VALUE"""),"Yes")</f>
        <v>Yes</v>
      </c>
      <c r="D629" s="196" t="str">
        <f>IFERROR(__xludf.DUMMYFUNCTION("""COMPUTED_VALUE"""),"Removed")</f>
        <v>Removed</v>
      </c>
      <c r="E629" s="271">
        <f>IFERROR(__xludf.DUMMYFUNCTION("""COMPUTED_VALUE"""),43595.0)</f>
        <v>43595</v>
      </c>
      <c r="F629" s="266">
        <f>IFERROR(__xludf.DUMMYFUNCTION("""COMPUTED_VALUE"""),44316.0)</f>
        <v>44316</v>
      </c>
      <c r="G629" s="199">
        <f>IFERROR(__xludf.DUMMYFUNCTION("""COMPUTED_VALUE"""),23.666666666666668)</f>
        <v>23.66666667</v>
      </c>
      <c r="H629" s="210">
        <f>IFERROR(__xludf.DUMMYFUNCTION("""COMPUTED_VALUE"""),43158.0)</f>
        <v>43158</v>
      </c>
      <c r="I629" s="199">
        <f>IFERROR(__xludf.DUMMYFUNCTION("""COMPUTED_VALUE"""),1.2027777777777777)</f>
        <v>1.202777778</v>
      </c>
      <c r="J629" s="267">
        <f>IFERROR(__xludf.DUMMYFUNCTION("""COMPUTED_VALUE"""),87.0)</f>
        <v>87</v>
      </c>
      <c r="K629" s="200">
        <f>IFERROR(__xludf.DUMMYFUNCTION("""COMPUTED_VALUE"""),10.0)</f>
        <v>10</v>
      </c>
      <c r="L629" s="265" t="str">
        <f>IFERROR(__xludf.DUMMYFUNCTION("""COMPUTED_VALUE"""),"Strategy / RPG")</f>
        <v>Strategy / RPG</v>
      </c>
    </row>
    <row r="630">
      <c r="A630" s="269" t="str">
        <f>IFERROR(__xludf.DUMMYFUNCTION("""COMPUTED_VALUE"""),"Bomber Crew")</f>
        <v>Bomber Crew</v>
      </c>
      <c r="B630" s="196" t="str">
        <f>IFERROR(__xludf.DUMMYFUNCTION("""COMPUTED_VALUE"""),"Xbox / PC")</f>
        <v>Xbox / PC</v>
      </c>
      <c r="C630" s="196"/>
      <c r="D630" s="196" t="str">
        <f>IFERROR(__xludf.DUMMYFUNCTION("""COMPUTED_VALUE"""),"Removed")</f>
        <v>Removed</v>
      </c>
      <c r="E630" s="271">
        <f>IFERROR(__xludf.DUMMYFUNCTION("""COMPUTED_VALUE"""),43291.0)</f>
        <v>43291</v>
      </c>
      <c r="F630" s="266">
        <f>IFERROR(__xludf.DUMMYFUNCTION("""COMPUTED_VALUE"""),44316.0)</f>
        <v>44316</v>
      </c>
      <c r="G630" s="199">
        <f>IFERROR(__xludf.DUMMYFUNCTION("""COMPUTED_VALUE"""),33.666666666666664)</f>
        <v>33.66666667</v>
      </c>
      <c r="H630" s="210">
        <f>IFERROR(__xludf.DUMMYFUNCTION("""COMPUTED_VALUE"""),43027.0)</f>
        <v>43027</v>
      </c>
      <c r="I630" s="199">
        <f>IFERROR(__xludf.DUMMYFUNCTION("""COMPUTED_VALUE"""),0.725)</f>
        <v>0.725</v>
      </c>
      <c r="J630" s="267">
        <f>IFERROR(__xludf.DUMMYFUNCTION("""COMPUTED_VALUE"""),75.0)</f>
        <v>75</v>
      </c>
      <c r="K630" s="267">
        <f>IFERROR(__xludf.DUMMYFUNCTION("""COMPUTED_VALUE"""),17.0)</f>
        <v>17</v>
      </c>
      <c r="L630" s="265" t="str">
        <f>IFERROR(__xludf.DUMMYFUNCTION("""COMPUTED_VALUE"""),"Strategy")</f>
        <v>Strategy</v>
      </c>
    </row>
    <row r="631">
      <c r="A631" s="269" t="str">
        <f>IFERROR(__xludf.DUMMYFUNCTION("""COMPUTED_VALUE"""),"Madden NFL 15")</f>
        <v>Madden NFL 15</v>
      </c>
      <c r="B631" s="195" t="str">
        <f>IFERROR(__xludf.DUMMYFUNCTION("""COMPUTED_VALUE"""),"Xbox")</f>
        <v>Xbox</v>
      </c>
      <c r="C631" s="196"/>
      <c r="D631" s="196" t="str">
        <f>IFERROR(__xludf.DUMMYFUNCTION("""COMPUTED_VALUE"""),"Removed")</f>
        <v>Removed</v>
      </c>
      <c r="E631" s="271">
        <f>IFERROR(__xludf.DUMMYFUNCTION("""COMPUTED_VALUE"""),44145.0)</f>
        <v>44145</v>
      </c>
      <c r="F631" s="271">
        <f>IFERROR(__xludf.DUMMYFUNCTION("""COMPUTED_VALUE"""),44302.0)</f>
        <v>44302</v>
      </c>
      <c r="G631" s="199">
        <f>IFERROR(__xludf.DUMMYFUNCTION("""COMPUTED_VALUE"""),5.2)</f>
        <v>5.2</v>
      </c>
      <c r="H631" s="210">
        <f>IFERROR(__xludf.DUMMYFUNCTION("""COMPUTED_VALUE"""),41877.0)</f>
        <v>41877</v>
      </c>
      <c r="I631" s="199">
        <f>IFERROR(__xludf.DUMMYFUNCTION("""COMPUTED_VALUE"""),6.205555555555556)</f>
        <v>6.205555556</v>
      </c>
      <c r="J631" s="267">
        <f>IFERROR(__xludf.DUMMYFUNCTION("""COMPUTED_VALUE"""),80.0)</f>
        <v>80</v>
      </c>
      <c r="K631" s="200">
        <f>IFERROR(__xludf.DUMMYFUNCTION("""COMPUTED_VALUE"""),41.0)</f>
        <v>41</v>
      </c>
      <c r="L631" s="265" t="str">
        <f>IFERROR(__xludf.DUMMYFUNCTION("""COMPUTED_VALUE"""),"Sports / Football")</f>
        <v>Sports / Football</v>
      </c>
    </row>
    <row r="632">
      <c r="A632" s="269" t="str">
        <f>IFERROR(__xludf.DUMMYFUNCTION("""COMPUTED_VALUE"""),"Madden NFL 16")</f>
        <v>Madden NFL 16</v>
      </c>
      <c r="B632" s="195" t="str">
        <f>IFERROR(__xludf.DUMMYFUNCTION("""COMPUTED_VALUE"""),"Xbox")</f>
        <v>Xbox</v>
      </c>
      <c r="C632" s="196"/>
      <c r="D632" s="196" t="str">
        <f>IFERROR(__xludf.DUMMYFUNCTION("""COMPUTED_VALUE"""),"Removed")</f>
        <v>Removed</v>
      </c>
      <c r="E632" s="271">
        <f>IFERROR(__xludf.DUMMYFUNCTION("""COMPUTED_VALUE"""),44145.0)</f>
        <v>44145</v>
      </c>
      <c r="F632" s="271">
        <f>IFERROR(__xludf.DUMMYFUNCTION("""COMPUTED_VALUE"""),44302.0)</f>
        <v>44302</v>
      </c>
      <c r="G632" s="199">
        <f>IFERROR(__xludf.DUMMYFUNCTION("""COMPUTED_VALUE"""),5.2)</f>
        <v>5.2</v>
      </c>
      <c r="H632" s="210">
        <f>IFERROR(__xludf.DUMMYFUNCTION("""COMPUTED_VALUE"""),42241.0)</f>
        <v>42241</v>
      </c>
      <c r="I632" s="199">
        <f>IFERROR(__xludf.DUMMYFUNCTION("""COMPUTED_VALUE"""),5.208333333333333)</f>
        <v>5.208333333</v>
      </c>
      <c r="J632" s="200">
        <f>IFERROR(__xludf.DUMMYFUNCTION("""COMPUTED_VALUE"""),84.0)</f>
        <v>84</v>
      </c>
      <c r="K632" s="200">
        <f>IFERROR(__xludf.DUMMYFUNCTION("""COMPUTED_VALUE"""),43.0)</f>
        <v>43</v>
      </c>
      <c r="L632" s="265" t="str">
        <f>IFERROR(__xludf.DUMMYFUNCTION("""COMPUTED_VALUE"""),"Sports / Football")</f>
        <v>Sports / Football</v>
      </c>
    </row>
    <row r="633">
      <c r="A633" s="269" t="str">
        <f>IFERROR(__xludf.DUMMYFUNCTION("""COMPUTED_VALUE"""),"Madden NFL 17")</f>
        <v>Madden NFL 17</v>
      </c>
      <c r="B633" s="195" t="str">
        <f>IFERROR(__xludf.DUMMYFUNCTION("""COMPUTED_VALUE"""),"Xbox")</f>
        <v>Xbox</v>
      </c>
      <c r="C633" s="196"/>
      <c r="D633" s="196" t="str">
        <f>IFERROR(__xludf.DUMMYFUNCTION("""COMPUTED_VALUE"""),"Removed")</f>
        <v>Removed</v>
      </c>
      <c r="E633" s="271">
        <f>IFERROR(__xludf.DUMMYFUNCTION("""COMPUTED_VALUE"""),44145.0)</f>
        <v>44145</v>
      </c>
      <c r="F633" s="271">
        <f>IFERROR(__xludf.DUMMYFUNCTION("""COMPUTED_VALUE"""),44302.0)</f>
        <v>44302</v>
      </c>
      <c r="G633" s="199">
        <f>IFERROR(__xludf.DUMMYFUNCTION("""COMPUTED_VALUE"""),5.2)</f>
        <v>5.2</v>
      </c>
      <c r="H633" s="210">
        <f>IFERROR(__xludf.DUMMYFUNCTION("""COMPUTED_VALUE"""),42605.0)</f>
        <v>42605</v>
      </c>
      <c r="I633" s="199">
        <f>IFERROR(__xludf.DUMMYFUNCTION("""COMPUTED_VALUE"""),4.213888888888889)</f>
        <v>4.213888889</v>
      </c>
      <c r="J633" s="267">
        <f>IFERROR(__xludf.DUMMYFUNCTION("""COMPUTED_VALUE"""),83.0)</f>
        <v>83</v>
      </c>
      <c r="K633" s="200">
        <f>IFERROR(__xludf.DUMMYFUNCTION("""COMPUTED_VALUE"""),40.5)</f>
        <v>40.5</v>
      </c>
      <c r="L633" s="265" t="str">
        <f>IFERROR(__xludf.DUMMYFUNCTION("""COMPUTED_VALUE"""),"Sports / Football")</f>
        <v>Sports / Football</v>
      </c>
    </row>
    <row r="634">
      <c r="A634" s="269" t="str">
        <f>IFERROR(__xludf.DUMMYFUNCTION("""COMPUTED_VALUE"""),"Madden NFL 18")</f>
        <v>Madden NFL 18</v>
      </c>
      <c r="B634" s="195" t="str">
        <f>IFERROR(__xludf.DUMMYFUNCTION("""COMPUTED_VALUE"""),"Xbox")</f>
        <v>Xbox</v>
      </c>
      <c r="C634" s="196"/>
      <c r="D634" s="196" t="str">
        <f>IFERROR(__xludf.DUMMYFUNCTION("""COMPUTED_VALUE"""),"Removed")</f>
        <v>Removed</v>
      </c>
      <c r="E634" s="271">
        <f>IFERROR(__xludf.DUMMYFUNCTION("""COMPUTED_VALUE"""),44145.0)</f>
        <v>44145</v>
      </c>
      <c r="F634" s="271">
        <f>IFERROR(__xludf.DUMMYFUNCTION("""COMPUTED_VALUE"""),44302.0)</f>
        <v>44302</v>
      </c>
      <c r="G634" s="199">
        <f>IFERROR(__xludf.DUMMYFUNCTION("""COMPUTED_VALUE"""),5.2)</f>
        <v>5.2</v>
      </c>
      <c r="H634" s="210">
        <f>IFERROR(__xludf.DUMMYFUNCTION("""COMPUTED_VALUE"""),42972.0)</f>
        <v>42972</v>
      </c>
      <c r="I634" s="199">
        <f>IFERROR(__xludf.DUMMYFUNCTION("""COMPUTED_VALUE"""),3.2083333333333335)</f>
        <v>3.208333333</v>
      </c>
      <c r="J634" s="267">
        <f>IFERROR(__xludf.DUMMYFUNCTION("""COMPUTED_VALUE"""),82.0)</f>
        <v>82</v>
      </c>
      <c r="K634" s="267">
        <f>IFERROR(__xludf.DUMMYFUNCTION("""COMPUTED_VALUE"""),15.5)</f>
        <v>15.5</v>
      </c>
      <c r="L634" s="265" t="str">
        <f>IFERROR(__xludf.DUMMYFUNCTION("""COMPUTED_VALUE"""),"Sports / Football")</f>
        <v>Sports / Football</v>
      </c>
    </row>
    <row r="635">
      <c r="A635" s="190" t="str">
        <f>IFERROR(__xludf.DUMMYFUNCTION("""COMPUTED_VALUE"""),"Madden NFL 25")</f>
        <v>Madden NFL 25</v>
      </c>
      <c r="B635" s="195" t="str">
        <f>IFERROR(__xludf.DUMMYFUNCTION("""COMPUTED_VALUE"""),"Xbox")</f>
        <v>Xbox</v>
      </c>
      <c r="C635" s="196"/>
      <c r="D635" s="196" t="str">
        <f>IFERROR(__xludf.DUMMYFUNCTION("""COMPUTED_VALUE"""),"Removed")</f>
        <v>Removed</v>
      </c>
      <c r="E635" s="271">
        <f>IFERROR(__xludf.DUMMYFUNCTION("""COMPUTED_VALUE"""),44145.0)</f>
        <v>44145</v>
      </c>
      <c r="F635" s="271">
        <f>IFERROR(__xludf.DUMMYFUNCTION("""COMPUTED_VALUE"""),44302.0)</f>
        <v>44302</v>
      </c>
      <c r="G635" s="199">
        <f>IFERROR(__xludf.DUMMYFUNCTION("""COMPUTED_VALUE"""),5.2)</f>
        <v>5.2</v>
      </c>
      <c r="H635" s="210">
        <f>IFERROR(__xludf.DUMMYFUNCTION("""COMPUTED_VALUE"""),41513.0)</f>
        <v>41513</v>
      </c>
      <c r="I635" s="199">
        <f>IFERROR(__xludf.DUMMYFUNCTION("""COMPUTED_VALUE"""),7.2027777777777775)</f>
        <v>7.202777778</v>
      </c>
      <c r="J635" s="267">
        <f>IFERROR(__xludf.DUMMYFUNCTION("""COMPUTED_VALUE"""),73.0)</f>
        <v>73</v>
      </c>
      <c r="K635" s="267">
        <f>IFERROR(__xludf.DUMMYFUNCTION("""COMPUTED_VALUE"""),45.0)</f>
        <v>45</v>
      </c>
      <c r="L635" s="265" t="str">
        <f>IFERROR(__xludf.DUMMYFUNCTION("""COMPUTED_VALUE"""),"Sports / Football")</f>
        <v>Sports / Football</v>
      </c>
    </row>
    <row r="636">
      <c r="A636" s="269" t="str">
        <f>IFERROR(__xludf.DUMMYFUNCTION("""COMPUTED_VALUE"""),"NHL 18")</f>
        <v>NHL 18</v>
      </c>
      <c r="B636" s="195" t="str">
        <f>IFERROR(__xludf.DUMMYFUNCTION("""COMPUTED_VALUE"""),"Xbox")</f>
        <v>Xbox</v>
      </c>
      <c r="C636" s="196"/>
      <c r="D636" s="196" t="str">
        <f>IFERROR(__xludf.DUMMYFUNCTION("""COMPUTED_VALUE"""),"Removed")</f>
        <v>Removed</v>
      </c>
      <c r="E636" s="271">
        <f>IFERROR(__xludf.DUMMYFUNCTION("""COMPUTED_VALUE"""),44145.0)</f>
        <v>44145</v>
      </c>
      <c r="F636" s="271">
        <f>IFERROR(__xludf.DUMMYFUNCTION("""COMPUTED_VALUE"""),44302.0)</f>
        <v>44302</v>
      </c>
      <c r="G636" s="199">
        <f>IFERROR(__xludf.DUMMYFUNCTION("""COMPUTED_VALUE"""),5.2)</f>
        <v>5.2</v>
      </c>
      <c r="H636" s="210">
        <f>IFERROR(__xludf.DUMMYFUNCTION("""COMPUTED_VALUE"""),42993.0)</f>
        <v>42993</v>
      </c>
      <c r="I636" s="199">
        <f>IFERROR(__xludf.DUMMYFUNCTION("""COMPUTED_VALUE"""),3.1527777777777777)</f>
        <v>3.152777778</v>
      </c>
      <c r="J636" s="200">
        <f>IFERROR(__xludf.DUMMYFUNCTION("""COMPUTED_VALUE"""),77.0)</f>
        <v>77</v>
      </c>
      <c r="K636" s="200">
        <f>IFERROR(__xludf.DUMMYFUNCTION("""COMPUTED_VALUE"""),40.0)</f>
        <v>40</v>
      </c>
      <c r="L636" s="201" t="str">
        <f>IFERROR(__xludf.DUMMYFUNCTION("""COMPUTED_VALUE"""),"Sports / Hockey")</f>
        <v>Sports / Hockey</v>
      </c>
    </row>
    <row r="637">
      <c r="A637" s="269" t="str">
        <f>IFERROR(__xludf.DUMMYFUNCTION("""COMPUTED_VALUE"""),"NHL 19")</f>
        <v>NHL 19</v>
      </c>
      <c r="B637" s="195" t="str">
        <f>IFERROR(__xludf.DUMMYFUNCTION("""COMPUTED_VALUE"""),"Xbox")</f>
        <v>Xbox</v>
      </c>
      <c r="C637" s="196"/>
      <c r="D637" s="196" t="str">
        <f>IFERROR(__xludf.DUMMYFUNCTION("""COMPUTED_VALUE"""),"Removed")</f>
        <v>Removed</v>
      </c>
      <c r="E637" s="271">
        <f>IFERROR(__xludf.DUMMYFUNCTION("""COMPUTED_VALUE"""),44145.0)</f>
        <v>44145</v>
      </c>
      <c r="F637" s="271">
        <f>IFERROR(__xludf.DUMMYFUNCTION("""COMPUTED_VALUE"""),44302.0)</f>
        <v>44302</v>
      </c>
      <c r="G637" s="199">
        <f>IFERROR(__xludf.DUMMYFUNCTION("""COMPUTED_VALUE"""),5.2)</f>
        <v>5.2</v>
      </c>
      <c r="H637" s="210">
        <f>IFERROR(__xludf.DUMMYFUNCTION("""COMPUTED_VALUE"""),43357.0)</f>
        <v>43357</v>
      </c>
      <c r="I637" s="199">
        <f>IFERROR(__xludf.DUMMYFUNCTION("""COMPUTED_VALUE"""),2.1555555555555554)</f>
        <v>2.155555556</v>
      </c>
      <c r="J637" s="200">
        <f>IFERROR(__xludf.DUMMYFUNCTION("""COMPUTED_VALUE"""),82.0)</f>
        <v>82</v>
      </c>
      <c r="K637" s="200">
        <f>IFERROR(__xludf.DUMMYFUNCTION("""COMPUTED_VALUE"""),39.5)</f>
        <v>39.5</v>
      </c>
      <c r="L637" s="265" t="str">
        <f>IFERROR(__xludf.DUMMYFUNCTION("""COMPUTED_VALUE"""),"Sports / Hockey")</f>
        <v>Sports / Hockey</v>
      </c>
    </row>
    <row r="638">
      <c r="A638" s="269" t="str">
        <f>IFERROR(__xludf.DUMMYFUNCTION("""COMPUTED_VALUE"""),"Deliver Us the Moon")</f>
        <v>Deliver Us the Moon</v>
      </c>
      <c r="B638" s="195" t="str">
        <f>IFERROR(__xludf.DUMMYFUNCTION("""COMPUTED_VALUE"""),"Xbox / PC")</f>
        <v>Xbox / PC</v>
      </c>
      <c r="C638" s="196" t="str">
        <f>IFERROR(__xludf.DUMMYFUNCTION("""COMPUTED_VALUE"""),"Yes")</f>
        <v>Yes</v>
      </c>
      <c r="D638" s="196" t="str">
        <f>IFERROR(__xludf.DUMMYFUNCTION("""COMPUTED_VALUE"""),"Removed")</f>
        <v>Removed</v>
      </c>
      <c r="E638" s="271">
        <f>IFERROR(__xludf.DUMMYFUNCTION("""COMPUTED_VALUE"""),43944.0)</f>
        <v>43944</v>
      </c>
      <c r="F638" s="271">
        <f>IFERROR(__xludf.DUMMYFUNCTION("""COMPUTED_VALUE"""),44301.0)</f>
        <v>44301</v>
      </c>
      <c r="G638" s="199">
        <f>IFERROR(__xludf.DUMMYFUNCTION("""COMPUTED_VALUE"""),11.733333333333333)</f>
        <v>11.73333333</v>
      </c>
      <c r="H638" s="210">
        <f>IFERROR(__xludf.DUMMYFUNCTION("""COMPUTED_VALUE"""),43748.0)</f>
        <v>43748</v>
      </c>
      <c r="I638" s="199">
        <f>IFERROR(__xludf.DUMMYFUNCTION("""COMPUTED_VALUE"""),0.5361111111111111)</f>
        <v>0.5361111111</v>
      </c>
      <c r="J638" s="200">
        <f>IFERROR(__xludf.DUMMYFUNCTION("""COMPUTED_VALUE"""),75.0)</f>
        <v>75</v>
      </c>
      <c r="K638" s="200">
        <f>IFERROR(__xludf.DUMMYFUNCTION("""COMPUTED_VALUE"""),5.0)</f>
        <v>5</v>
      </c>
      <c r="L638" s="265" t="str">
        <f>IFERROR(__xludf.DUMMYFUNCTION("""COMPUTED_VALUE"""),"Action-Adventure")</f>
        <v>Action-Adventure</v>
      </c>
    </row>
    <row r="639">
      <c r="A639" s="269" t="str">
        <f>IFERROR(__xludf.DUMMYFUNCTION("""COMPUTED_VALUE"""),"Gato Roboto")</f>
        <v>Gato Roboto</v>
      </c>
      <c r="B639" s="196" t="str">
        <f>IFERROR(__xludf.DUMMYFUNCTION("""COMPUTED_VALUE"""),"Xbox / PC")</f>
        <v>Xbox / PC</v>
      </c>
      <c r="C639" s="196" t="str">
        <f>IFERROR(__xludf.DUMMYFUNCTION("""COMPUTED_VALUE"""),"Yes")</f>
        <v>Yes</v>
      </c>
      <c r="D639" s="196" t="str">
        <f>IFERROR(__xludf.DUMMYFUNCTION("""COMPUTED_VALUE"""),"Removed")</f>
        <v>Removed</v>
      </c>
      <c r="E639" s="271">
        <f>IFERROR(__xludf.DUMMYFUNCTION("""COMPUTED_VALUE"""),43942.0)</f>
        <v>43942</v>
      </c>
      <c r="F639" s="271">
        <f>IFERROR(__xludf.DUMMYFUNCTION("""COMPUTED_VALUE"""),44301.0)</f>
        <v>44301</v>
      </c>
      <c r="G639" s="199">
        <f>IFERROR(__xludf.DUMMYFUNCTION("""COMPUTED_VALUE"""),11.799999999999999)</f>
        <v>11.8</v>
      </c>
      <c r="H639" s="210">
        <f>IFERROR(__xludf.DUMMYFUNCTION("""COMPUTED_VALUE"""),43615.0)</f>
        <v>43615</v>
      </c>
      <c r="I639" s="199">
        <f>IFERROR(__xludf.DUMMYFUNCTION("""COMPUTED_VALUE"""),0.8916666666666667)</f>
        <v>0.8916666667</v>
      </c>
      <c r="J639" s="200">
        <f>IFERROR(__xludf.DUMMYFUNCTION("""COMPUTED_VALUE"""),79.0)</f>
        <v>79</v>
      </c>
      <c r="K639" s="200">
        <f>IFERROR(__xludf.DUMMYFUNCTION("""COMPUTED_VALUE"""),3.0)</f>
        <v>3</v>
      </c>
      <c r="L639" s="265" t="str">
        <f>IFERROR(__xludf.DUMMYFUNCTION("""COMPUTED_VALUE"""),"Platformer / Action-Adventure")</f>
        <v>Platformer / Action-Adventure</v>
      </c>
    </row>
    <row r="640">
      <c r="A640" s="269" t="str">
        <f>IFERROR(__xludf.DUMMYFUNCTION("""COMPUTED_VALUE"""),"Wargroove")</f>
        <v>Wargroove</v>
      </c>
      <c r="B640" s="196" t="str">
        <f>IFERROR(__xludf.DUMMYFUNCTION("""COMPUTED_VALUE"""),"Xbox / PC")</f>
        <v>Xbox / PC</v>
      </c>
      <c r="C640" s="196"/>
      <c r="D640" s="196" t="str">
        <f>IFERROR(__xludf.DUMMYFUNCTION("""COMPUTED_VALUE"""),"Removed")</f>
        <v>Removed</v>
      </c>
      <c r="E640" s="271">
        <f>IFERROR(__xludf.DUMMYFUNCTION("""COMPUTED_VALUE"""),43587.0)</f>
        <v>43587</v>
      </c>
      <c r="F640" s="271">
        <f>IFERROR(__xludf.DUMMYFUNCTION("""COMPUTED_VALUE"""),44301.0)</f>
        <v>44301</v>
      </c>
      <c r="G640" s="199">
        <f>IFERROR(__xludf.DUMMYFUNCTION("""COMPUTED_VALUE"""),23.433333333333334)</f>
        <v>23.43333333</v>
      </c>
      <c r="H640" s="210">
        <f>IFERROR(__xludf.DUMMYFUNCTION("""COMPUTED_VALUE"""),43497.0)</f>
        <v>43497</v>
      </c>
      <c r="I640" s="199">
        <f>IFERROR(__xludf.DUMMYFUNCTION("""COMPUTED_VALUE"""),0.25277777777777777)</f>
        <v>0.2527777778</v>
      </c>
      <c r="J640" s="200">
        <f>IFERROR(__xludf.DUMMYFUNCTION("""COMPUTED_VALUE"""),81.0)</f>
        <v>81</v>
      </c>
      <c r="K640" s="200">
        <f>IFERROR(__xludf.DUMMYFUNCTION("""COMPUTED_VALUE"""),20.5)</f>
        <v>20.5</v>
      </c>
      <c r="L640" s="265" t="str">
        <f>IFERROR(__xludf.DUMMYFUNCTION("""COMPUTED_VALUE"""),"Strategy")</f>
        <v>Strategy</v>
      </c>
    </row>
    <row r="641">
      <c r="A641" s="269" t="str">
        <f>IFERROR(__xludf.DUMMYFUNCTION("""COMPUTED_VALUE"""),"HyperDot")</f>
        <v>HyperDot</v>
      </c>
      <c r="B641" s="195" t="str">
        <f>IFERROR(__xludf.DUMMYFUNCTION("""COMPUTED_VALUE"""),"Xbox / PC")</f>
        <v>Xbox / PC</v>
      </c>
      <c r="C641" s="196" t="str">
        <f>IFERROR(__xludf.DUMMYFUNCTION("""COMPUTED_VALUE"""),"Yes")</f>
        <v>Yes</v>
      </c>
      <c r="D641" s="196" t="str">
        <f>IFERROR(__xludf.DUMMYFUNCTION("""COMPUTED_VALUE"""),"Removed")</f>
        <v>Removed</v>
      </c>
      <c r="E641" s="271">
        <f>IFERROR(__xludf.DUMMYFUNCTION("""COMPUTED_VALUE"""),43951.0)</f>
        <v>43951</v>
      </c>
      <c r="F641" s="271">
        <f>IFERROR(__xludf.DUMMYFUNCTION("""COMPUTED_VALUE"""),44286.0)</f>
        <v>44286</v>
      </c>
      <c r="G641" s="199">
        <f>IFERROR(__xludf.DUMMYFUNCTION("""COMPUTED_VALUE"""),11.0)</f>
        <v>11</v>
      </c>
      <c r="H641" s="210">
        <f>IFERROR(__xludf.DUMMYFUNCTION("""COMPUTED_VALUE"""),43861.0)</f>
        <v>43861</v>
      </c>
      <c r="I641" s="199">
        <f>IFERROR(__xludf.DUMMYFUNCTION("""COMPUTED_VALUE"""),0.25)</f>
        <v>0.25</v>
      </c>
      <c r="J641" s="200">
        <f>IFERROR(__xludf.DUMMYFUNCTION("""COMPUTED_VALUE"""),73.0)</f>
        <v>73</v>
      </c>
      <c r="K641" s="200">
        <f>IFERROR(__xludf.DUMMYFUNCTION("""COMPUTED_VALUE"""),2.0)</f>
        <v>2</v>
      </c>
      <c r="L641" s="265" t="str">
        <f>IFERROR(__xludf.DUMMYFUNCTION("""COMPUTED_VALUE"""),"Action")</f>
        <v>Action</v>
      </c>
    </row>
    <row r="642">
      <c r="A642" s="269" t="str">
        <f>IFERROR(__xludf.DUMMYFUNCTION("""COMPUTED_VALUE"""),"Machinarium")</f>
        <v>Machinarium</v>
      </c>
      <c r="B642" s="195" t="str">
        <f>IFERROR(__xludf.DUMMYFUNCTION("""COMPUTED_VALUE"""),"PC")</f>
        <v>PC</v>
      </c>
      <c r="C642" s="196"/>
      <c r="D642" s="196" t="str">
        <f>IFERROR(__xludf.DUMMYFUNCTION("""COMPUTED_VALUE"""),"Removed")</f>
        <v>Removed</v>
      </c>
      <c r="E642" s="271">
        <f>IFERROR(__xludf.DUMMYFUNCTION("""COMPUTED_VALUE"""),43938.0)</f>
        <v>43938</v>
      </c>
      <c r="F642" s="271">
        <f>IFERROR(__xludf.DUMMYFUNCTION("""COMPUTED_VALUE"""),44286.0)</f>
        <v>44286</v>
      </c>
      <c r="G642" s="199">
        <f>IFERROR(__xludf.DUMMYFUNCTION("""COMPUTED_VALUE"""),11.433333333333334)</f>
        <v>11.43333333</v>
      </c>
      <c r="H642" s="210">
        <f>IFERROR(__xludf.DUMMYFUNCTION("""COMPUTED_VALUE"""),40102.0)</f>
        <v>40102</v>
      </c>
      <c r="I642" s="199">
        <f>IFERROR(__xludf.DUMMYFUNCTION("""COMPUTED_VALUE"""),10.502777777777778)</f>
        <v>10.50277778</v>
      </c>
      <c r="J642" s="200">
        <f>IFERROR(__xludf.DUMMYFUNCTION("""COMPUTED_VALUE"""),85.0)</f>
        <v>85</v>
      </c>
      <c r="K642" s="200">
        <f>IFERROR(__xludf.DUMMYFUNCTION("""COMPUTED_VALUE"""),5.0)</f>
        <v>5</v>
      </c>
      <c r="L642" s="265" t="str">
        <f>IFERROR(__xludf.DUMMYFUNCTION("""COMPUTED_VALUE"""),"Adventure / Puzzle")</f>
        <v>Adventure / Puzzle</v>
      </c>
    </row>
    <row r="643">
      <c r="A643" s="190" t="str">
        <f>IFERROR(__xludf.DUMMYFUNCTION("""COMPUTED_VALUE"""),"Apotheon")</f>
        <v>Apotheon</v>
      </c>
      <c r="B643" s="195" t="str">
        <f>IFERROR(__xludf.DUMMYFUNCTION("""COMPUTED_VALUE"""),"PC")</f>
        <v>PC</v>
      </c>
      <c r="C643" s="196"/>
      <c r="D643" s="196" t="str">
        <f>IFERROR(__xludf.DUMMYFUNCTION("""COMPUTED_VALUE"""),"Removed")</f>
        <v>Removed</v>
      </c>
      <c r="E643" s="271">
        <f>IFERROR(__xludf.DUMMYFUNCTION("""COMPUTED_VALUE"""),44273.0)</f>
        <v>44273</v>
      </c>
      <c r="F643" s="271">
        <f>IFERROR(__xludf.DUMMYFUNCTION("""COMPUTED_VALUE"""),44284.0)</f>
        <v>44284</v>
      </c>
      <c r="G643" s="199">
        <f>IFERROR(__xludf.DUMMYFUNCTION("""COMPUTED_VALUE"""),0.36666666666666664)</f>
        <v>0.3666666667</v>
      </c>
      <c r="H643" s="210">
        <f>IFERROR(__xludf.DUMMYFUNCTION("""COMPUTED_VALUE"""),42038.0)</f>
        <v>42038</v>
      </c>
      <c r="I643" s="199">
        <f>IFERROR(__xludf.DUMMYFUNCTION("""COMPUTED_VALUE"""),6.125)</f>
        <v>6.125</v>
      </c>
      <c r="J643" s="200">
        <f>IFERROR(__xludf.DUMMYFUNCTION("""COMPUTED_VALUE"""),78.0)</f>
        <v>78</v>
      </c>
      <c r="K643" s="200">
        <f>IFERROR(__xludf.DUMMYFUNCTION("""COMPUTED_VALUE"""),8.0)</f>
        <v>8</v>
      </c>
      <c r="L643" s="265" t="str">
        <f>IFERROR(__xludf.DUMMYFUNCTION("""COMPUTED_VALUE"""),"Action / Platformer")</f>
        <v>Action / Platformer</v>
      </c>
    </row>
    <row r="644">
      <c r="A644" s="269" t="str">
        <f>IFERROR(__xludf.DUMMYFUNCTION("""COMPUTED_VALUE"""),"Mutant Year Zero: Road to Eden")</f>
        <v>Mutant Year Zero: Road to Eden</v>
      </c>
      <c r="B644" s="195" t="str">
        <f>IFERROR(__xludf.DUMMYFUNCTION("""COMPUTED_VALUE"""),"PC")</f>
        <v>PC</v>
      </c>
      <c r="C644" s="196"/>
      <c r="D644" s="196" t="str">
        <f>IFERROR(__xludf.DUMMYFUNCTION("""COMPUTED_VALUE"""),"Removed")</f>
        <v>Removed</v>
      </c>
      <c r="E644" s="271">
        <f>IFERROR(__xludf.DUMMYFUNCTION("""COMPUTED_VALUE"""),44273.0)</f>
        <v>44273</v>
      </c>
      <c r="F644" s="271">
        <f>IFERROR(__xludf.DUMMYFUNCTION("""COMPUTED_VALUE"""),44284.0)</f>
        <v>44284</v>
      </c>
      <c r="G644" s="199">
        <f>IFERROR(__xludf.DUMMYFUNCTION("""COMPUTED_VALUE"""),0.36666666666666664)</f>
        <v>0.3666666667</v>
      </c>
      <c r="H644" s="210">
        <f>IFERROR(__xludf.DUMMYFUNCTION("""COMPUTED_VALUE"""),43438.0)</f>
        <v>43438</v>
      </c>
      <c r="I644" s="199">
        <f>IFERROR(__xludf.DUMMYFUNCTION("""COMPUTED_VALUE"""),2.2888888888888888)</f>
        <v>2.288888889</v>
      </c>
      <c r="J644" s="200">
        <f>IFERROR(__xludf.DUMMYFUNCTION("""COMPUTED_VALUE"""),78.0)</f>
        <v>78</v>
      </c>
      <c r="K644" s="200">
        <f>IFERROR(__xludf.DUMMYFUNCTION("""COMPUTED_VALUE"""),13.0)</f>
        <v>13</v>
      </c>
      <c r="L644" s="265" t="str">
        <f>IFERROR(__xludf.DUMMYFUNCTION("""COMPUTED_VALUE"""),"Strategy")</f>
        <v>Strategy</v>
      </c>
    </row>
    <row r="645">
      <c r="A645" s="269" t="str">
        <f>IFERROR(__xludf.DUMMYFUNCTION("""COMPUTED_VALUE"""),"Shift Quantum")</f>
        <v>Shift Quantum</v>
      </c>
      <c r="B645" s="196" t="str">
        <f>IFERROR(__xludf.DUMMYFUNCTION("""COMPUTED_VALUE"""),"PC")</f>
        <v>PC</v>
      </c>
      <c r="C645" s="196"/>
      <c r="D645" s="196" t="str">
        <f>IFERROR(__xludf.DUMMYFUNCTION("""COMPUTED_VALUE"""),"Removed")</f>
        <v>Removed</v>
      </c>
      <c r="E645" s="271">
        <f>IFERROR(__xludf.DUMMYFUNCTION("""COMPUTED_VALUE"""),44273.0)</f>
        <v>44273</v>
      </c>
      <c r="F645" s="271">
        <f>IFERROR(__xludf.DUMMYFUNCTION("""COMPUTED_VALUE"""),44284.0)</f>
        <v>44284</v>
      </c>
      <c r="G645" s="199">
        <f>IFERROR(__xludf.DUMMYFUNCTION("""COMPUTED_VALUE"""),0.36666666666666664)</f>
        <v>0.3666666667</v>
      </c>
      <c r="H645" s="210">
        <f>IFERROR(__xludf.DUMMYFUNCTION("""COMPUTED_VALUE"""),43249.0)</f>
        <v>43249</v>
      </c>
      <c r="I645" s="199">
        <f>IFERROR(__xludf.DUMMYFUNCTION("""COMPUTED_VALUE"""),2.8027777777777776)</f>
        <v>2.802777778</v>
      </c>
      <c r="J645" s="200">
        <f>IFERROR(__xludf.DUMMYFUNCTION("""COMPUTED_VALUE"""),78.0)</f>
        <v>78</v>
      </c>
      <c r="K645" s="200">
        <f>IFERROR(__xludf.DUMMYFUNCTION("""COMPUTED_VALUE"""),8.0)</f>
        <v>8</v>
      </c>
      <c r="L645" s="201" t="str">
        <f>IFERROR(__xludf.DUMMYFUNCTION("""COMPUTED_VALUE"""),"Puzzle / Platformer")</f>
        <v>Puzzle / Platformer</v>
      </c>
    </row>
    <row r="646">
      <c r="A646" s="269" t="str">
        <f>IFERROR(__xludf.DUMMYFUNCTION("""COMPUTED_VALUE"""),"Star Wars Episode I: Racer")</f>
        <v>Star Wars Episode I: Racer</v>
      </c>
      <c r="B646" s="196" t="str">
        <f>IFERROR(__xludf.DUMMYFUNCTION("""COMPUTED_VALUE"""),"PC")</f>
        <v>PC</v>
      </c>
      <c r="C646" s="196"/>
      <c r="D646" s="196" t="str">
        <f>IFERROR(__xludf.DUMMYFUNCTION("""COMPUTED_VALUE"""),"Removed")</f>
        <v>Removed</v>
      </c>
      <c r="E646" s="271">
        <f>IFERROR(__xludf.DUMMYFUNCTION("""COMPUTED_VALUE"""),44273.0)</f>
        <v>44273</v>
      </c>
      <c r="F646" s="271">
        <f>IFERROR(__xludf.DUMMYFUNCTION("""COMPUTED_VALUE"""),44284.0)</f>
        <v>44284</v>
      </c>
      <c r="G646" s="199">
        <f>IFERROR(__xludf.DUMMYFUNCTION("""COMPUTED_VALUE"""),0.36666666666666664)</f>
        <v>0.3666666667</v>
      </c>
      <c r="H646" s="210">
        <f>IFERROR(__xludf.DUMMYFUNCTION("""COMPUTED_VALUE"""),36280.0)</f>
        <v>36280</v>
      </c>
      <c r="I646" s="199">
        <f>IFERROR(__xludf.DUMMYFUNCTION("""COMPUTED_VALUE"""),21.883333333333333)</f>
        <v>21.88333333</v>
      </c>
      <c r="J646" s="200">
        <f>IFERROR(__xludf.DUMMYFUNCTION("""COMPUTED_VALUE"""),63.0)</f>
        <v>63</v>
      </c>
      <c r="K646" s="200">
        <f>IFERROR(__xludf.DUMMYFUNCTION("""COMPUTED_VALUE"""),6.0)</f>
        <v>6</v>
      </c>
      <c r="L646" s="265" t="str">
        <f>IFERROR(__xludf.DUMMYFUNCTION("""COMPUTED_VALUE"""),"Driving/Racing")</f>
        <v>Driving/Racing</v>
      </c>
    </row>
    <row r="647">
      <c r="A647" s="269" t="str">
        <f>IFERROR(__xludf.DUMMYFUNCTION("""COMPUTED_VALUE"""),"Star Wars Galactic Battlegrounds: Saga")</f>
        <v>Star Wars Galactic Battlegrounds: Saga</v>
      </c>
      <c r="B647" s="195" t="str">
        <f>IFERROR(__xludf.DUMMYFUNCTION("""COMPUTED_VALUE"""),"PC")</f>
        <v>PC</v>
      </c>
      <c r="C647" s="196"/>
      <c r="D647" s="196" t="str">
        <f>IFERROR(__xludf.DUMMYFUNCTION("""COMPUTED_VALUE"""),"Removed")</f>
        <v>Removed</v>
      </c>
      <c r="E647" s="271">
        <f>IFERROR(__xludf.DUMMYFUNCTION("""COMPUTED_VALUE"""),44273.0)</f>
        <v>44273</v>
      </c>
      <c r="F647" s="271">
        <f>IFERROR(__xludf.DUMMYFUNCTION("""COMPUTED_VALUE"""),44284.0)</f>
        <v>44284</v>
      </c>
      <c r="G647" s="199">
        <f>IFERROR(__xludf.DUMMYFUNCTION("""COMPUTED_VALUE"""),0.36666666666666664)</f>
        <v>0.3666666667</v>
      </c>
      <c r="H647" s="210">
        <f>IFERROR(__xludf.DUMMYFUNCTION("""COMPUTED_VALUE"""),37206.0)</f>
        <v>37206</v>
      </c>
      <c r="I647" s="199">
        <f>IFERROR(__xludf.DUMMYFUNCTION("""COMPUTED_VALUE"""),19.352777777777778)</f>
        <v>19.35277778</v>
      </c>
      <c r="J647" s="200">
        <f>IFERROR(__xludf.DUMMYFUNCTION("""COMPUTED_VALUE"""),82.33333333333333)</f>
        <v>82.33333333</v>
      </c>
      <c r="K647" s="200">
        <f>IFERROR(__xludf.DUMMYFUNCTION("""COMPUTED_VALUE"""),34.0)</f>
        <v>34</v>
      </c>
      <c r="L647" s="265" t="str">
        <f>IFERROR(__xludf.DUMMYFUNCTION("""COMPUTED_VALUE"""),"Strategy / Simulation / Real-Time Strategy")</f>
        <v>Strategy / Simulation / Real-Time Strategy</v>
      </c>
    </row>
    <row r="648">
      <c r="A648" s="190" t="str">
        <f>IFERROR(__xludf.DUMMYFUNCTION("""COMPUTED_VALUE"""),"Star Wars Jedi Knight: Mysteries of the Sith")</f>
        <v>Star Wars Jedi Knight: Mysteries of the Sith</v>
      </c>
      <c r="B648" s="195" t="str">
        <f>IFERROR(__xludf.DUMMYFUNCTION("""COMPUTED_VALUE"""),"PC")</f>
        <v>PC</v>
      </c>
      <c r="C648" s="196"/>
      <c r="D648" s="196" t="str">
        <f>IFERROR(__xludf.DUMMYFUNCTION("""COMPUTED_VALUE"""),"Removed")</f>
        <v>Removed</v>
      </c>
      <c r="E648" s="271">
        <f>IFERROR(__xludf.DUMMYFUNCTION("""COMPUTED_VALUE"""),44273.0)</f>
        <v>44273</v>
      </c>
      <c r="F648" s="271">
        <f>IFERROR(__xludf.DUMMYFUNCTION("""COMPUTED_VALUE"""),44284.0)</f>
        <v>44284</v>
      </c>
      <c r="G648" s="199">
        <f>IFERROR(__xludf.DUMMYFUNCTION("""COMPUTED_VALUE"""),0.36666666666666664)</f>
        <v>0.3666666667</v>
      </c>
      <c r="H648" s="210">
        <f>IFERROR(__xludf.DUMMYFUNCTION("""COMPUTED_VALUE"""),35850.0)</f>
        <v>35850</v>
      </c>
      <c r="I648" s="199">
        <f>IFERROR(__xludf.DUMMYFUNCTION("""COMPUTED_VALUE"""),23.066666666666666)</f>
        <v>23.06666667</v>
      </c>
      <c r="J648" s="200">
        <f>IFERROR(__xludf.DUMMYFUNCTION("""COMPUTED_VALUE"""),83.0)</f>
        <v>83</v>
      </c>
      <c r="K648" s="200">
        <f>IFERROR(__xludf.DUMMYFUNCTION("""COMPUTED_VALUE"""),8.5)</f>
        <v>8.5</v>
      </c>
      <c r="L648" s="265" t="str">
        <f>IFERROR(__xludf.DUMMYFUNCTION("""COMPUTED_VALUE"""),"Action / First-Person Shooter")</f>
        <v>Action / First-Person Shooter</v>
      </c>
    </row>
    <row r="649">
      <c r="A649" s="269" t="str">
        <f>IFERROR(__xludf.DUMMYFUNCTION("""COMPUTED_VALUE"""),"Star Wars Rebellion")</f>
        <v>Star Wars Rebellion</v>
      </c>
      <c r="B649" s="196" t="str">
        <f>IFERROR(__xludf.DUMMYFUNCTION("""COMPUTED_VALUE"""),"PC")</f>
        <v>PC</v>
      </c>
      <c r="C649" s="196"/>
      <c r="D649" s="196" t="str">
        <f>IFERROR(__xludf.DUMMYFUNCTION("""COMPUTED_VALUE"""),"Removed")</f>
        <v>Removed</v>
      </c>
      <c r="E649" s="271">
        <f>IFERROR(__xludf.DUMMYFUNCTION("""COMPUTED_VALUE"""),44273.0)</f>
        <v>44273</v>
      </c>
      <c r="F649" s="271">
        <f>IFERROR(__xludf.DUMMYFUNCTION("""COMPUTED_VALUE"""),44284.0)</f>
        <v>44284</v>
      </c>
      <c r="G649" s="199">
        <f>IFERROR(__xludf.DUMMYFUNCTION("""COMPUTED_VALUE"""),0.36666666666666664)</f>
        <v>0.3666666667</v>
      </c>
      <c r="H649" s="210">
        <f>IFERROR(__xludf.DUMMYFUNCTION("""COMPUTED_VALUE"""),35854.0)</f>
        <v>35854</v>
      </c>
      <c r="I649" s="199">
        <f>IFERROR(__xludf.DUMMYFUNCTION("""COMPUTED_VALUE"""),23.055555555555557)</f>
        <v>23.05555556</v>
      </c>
      <c r="J649" s="267">
        <f>IFERROR(__xludf.DUMMYFUNCTION("""COMPUTED_VALUE"""),87.0)</f>
        <v>87</v>
      </c>
      <c r="K649" s="267">
        <f>IFERROR(__xludf.DUMMYFUNCTION("""COMPUTED_VALUE"""),17.0)</f>
        <v>17</v>
      </c>
      <c r="L649" s="201" t="str">
        <f>IFERROR(__xludf.DUMMYFUNCTION("""COMPUTED_VALUE"""),"Strategy")</f>
        <v>Strategy</v>
      </c>
    </row>
    <row r="650">
      <c r="A650" s="269" t="str">
        <f>IFERROR(__xludf.DUMMYFUNCTION("""COMPUTED_VALUE"""),"Star Wars Rogue Squadron 3D")</f>
        <v>Star Wars Rogue Squadron 3D</v>
      </c>
      <c r="B650" s="195" t="str">
        <f>IFERROR(__xludf.DUMMYFUNCTION("""COMPUTED_VALUE"""),"PC")</f>
        <v>PC</v>
      </c>
      <c r="C650" s="196"/>
      <c r="D650" s="196" t="str">
        <f>IFERROR(__xludf.DUMMYFUNCTION("""COMPUTED_VALUE"""),"Removed")</f>
        <v>Removed</v>
      </c>
      <c r="E650" s="271">
        <f>IFERROR(__xludf.DUMMYFUNCTION("""COMPUTED_VALUE"""),44273.0)</f>
        <v>44273</v>
      </c>
      <c r="F650" s="271">
        <f>IFERROR(__xludf.DUMMYFUNCTION("""COMPUTED_VALUE"""),44284.0)</f>
        <v>44284</v>
      </c>
      <c r="G650" s="199">
        <f>IFERROR(__xludf.DUMMYFUNCTION("""COMPUTED_VALUE"""),0.36666666666666664)</f>
        <v>0.3666666667</v>
      </c>
      <c r="H650" s="210">
        <f>IFERROR(__xludf.DUMMYFUNCTION("""COMPUTED_VALUE"""),36132.0)</f>
        <v>36132</v>
      </c>
      <c r="I650" s="199">
        <f>IFERROR(__xludf.DUMMYFUNCTION("""COMPUTED_VALUE"""),22.291666666666668)</f>
        <v>22.29166667</v>
      </c>
      <c r="J650" s="200">
        <f>IFERROR(__xludf.DUMMYFUNCTION("""COMPUTED_VALUE"""),76.0)</f>
        <v>76</v>
      </c>
      <c r="K650" s="200">
        <f>IFERROR(__xludf.DUMMYFUNCTION("""COMPUTED_VALUE"""),9.0)</f>
        <v>9</v>
      </c>
      <c r="L650" s="265" t="str">
        <f>IFERROR(__xludf.DUMMYFUNCTION("""COMPUTED_VALUE"""),"Action / Shooter")</f>
        <v>Action / Shooter</v>
      </c>
    </row>
    <row r="651">
      <c r="A651" s="269" t="str">
        <f>IFERROR(__xludf.DUMMYFUNCTION("""COMPUTED_VALUE"""),"Star Wars Shadows of the Empire")</f>
        <v>Star Wars Shadows of the Empire</v>
      </c>
      <c r="B651" s="196" t="str">
        <f>IFERROR(__xludf.DUMMYFUNCTION("""COMPUTED_VALUE"""),"PC")</f>
        <v>PC</v>
      </c>
      <c r="C651" s="196"/>
      <c r="D651" s="196" t="str">
        <f>IFERROR(__xludf.DUMMYFUNCTION("""COMPUTED_VALUE"""),"Removed")</f>
        <v>Removed</v>
      </c>
      <c r="E651" s="271">
        <f>IFERROR(__xludf.DUMMYFUNCTION("""COMPUTED_VALUE"""),44273.0)</f>
        <v>44273</v>
      </c>
      <c r="F651" s="271">
        <f>IFERROR(__xludf.DUMMYFUNCTION("""COMPUTED_VALUE"""),44284.0)</f>
        <v>44284</v>
      </c>
      <c r="G651" s="199">
        <f>IFERROR(__xludf.DUMMYFUNCTION("""COMPUTED_VALUE"""),0.36666666666666664)</f>
        <v>0.3666666667</v>
      </c>
      <c r="H651" s="210">
        <f>IFERROR(__xludf.DUMMYFUNCTION("""COMPUTED_VALUE"""),35402.0)</f>
        <v>35402</v>
      </c>
      <c r="I651" s="199">
        <f>IFERROR(__xludf.DUMMYFUNCTION("""COMPUTED_VALUE"""),24.291666666666668)</f>
        <v>24.29166667</v>
      </c>
      <c r="J651" s="267">
        <f>IFERROR(__xludf.DUMMYFUNCTION("""COMPUTED_VALUE"""),78.0)</f>
        <v>78</v>
      </c>
      <c r="K651" s="267">
        <f>IFERROR(__xludf.DUMMYFUNCTION("""COMPUTED_VALUE"""),5.0)</f>
        <v>5</v>
      </c>
      <c r="L651" s="265" t="str">
        <f>IFERROR(__xludf.DUMMYFUNCTION("""COMPUTED_VALUE"""),"Action / Adventure / Shooter")</f>
        <v>Action / Adventure / Shooter</v>
      </c>
    </row>
    <row r="652">
      <c r="A652" s="269" t="str">
        <f>IFERROR(__xludf.DUMMYFUNCTION("""COMPUTED_VALUE"""),"Star Wars Starfighter")</f>
        <v>Star Wars Starfighter</v>
      </c>
      <c r="B652" s="195" t="str">
        <f>IFERROR(__xludf.DUMMYFUNCTION("""COMPUTED_VALUE"""),"PC")</f>
        <v>PC</v>
      </c>
      <c r="C652" s="196"/>
      <c r="D652" s="196" t="str">
        <f>IFERROR(__xludf.DUMMYFUNCTION("""COMPUTED_VALUE"""),"Removed")</f>
        <v>Removed</v>
      </c>
      <c r="E652" s="271">
        <f>IFERROR(__xludf.DUMMYFUNCTION("""COMPUTED_VALUE"""),44273.0)</f>
        <v>44273</v>
      </c>
      <c r="F652" s="271">
        <f>IFERROR(__xludf.DUMMYFUNCTION("""COMPUTED_VALUE"""),44284.0)</f>
        <v>44284</v>
      </c>
      <c r="G652" s="199">
        <f>IFERROR(__xludf.DUMMYFUNCTION("""COMPUTED_VALUE"""),0.36666666666666664)</f>
        <v>0.3666666667</v>
      </c>
      <c r="H652" s="210">
        <f>IFERROR(__xludf.DUMMYFUNCTION("""COMPUTED_VALUE"""),36942.0)</f>
        <v>36942</v>
      </c>
      <c r="I652" s="199">
        <f>IFERROR(__xludf.DUMMYFUNCTION("""COMPUTED_VALUE"""),20.07777777777778)</f>
        <v>20.07777778</v>
      </c>
      <c r="J652" s="267">
        <f>IFERROR(__xludf.DUMMYFUNCTION("""COMPUTED_VALUE"""),71.0)</f>
        <v>71</v>
      </c>
      <c r="K652" s="200">
        <f>IFERROR(__xludf.DUMMYFUNCTION("""COMPUTED_VALUE"""),4.5)</f>
        <v>4.5</v>
      </c>
      <c r="L652" s="265" t="str">
        <f>IFERROR(__xludf.DUMMYFUNCTION("""COMPUTED_VALUE"""),"Action / Flight Simulator")</f>
        <v>Action / Flight Simulator</v>
      </c>
    </row>
    <row r="653">
      <c r="A653" s="269" t="str">
        <f>IFERROR(__xludf.DUMMYFUNCTION("""COMPUTED_VALUE"""),"Star Wars X-Wing Alliance")</f>
        <v>Star Wars X-Wing Alliance</v>
      </c>
      <c r="B653" s="195" t="str">
        <f>IFERROR(__xludf.DUMMYFUNCTION("""COMPUTED_VALUE"""),"PC")</f>
        <v>PC</v>
      </c>
      <c r="C653" s="196"/>
      <c r="D653" s="196" t="str">
        <f>IFERROR(__xludf.DUMMYFUNCTION("""COMPUTED_VALUE"""),"Removed")</f>
        <v>Removed</v>
      </c>
      <c r="E653" s="271">
        <f>IFERROR(__xludf.DUMMYFUNCTION("""COMPUTED_VALUE"""),44273.0)</f>
        <v>44273</v>
      </c>
      <c r="F653" s="271">
        <f>IFERROR(__xludf.DUMMYFUNCTION("""COMPUTED_VALUE"""),44284.0)</f>
        <v>44284</v>
      </c>
      <c r="G653" s="199">
        <f>IFERROR(__xludf.DUMMYFUNCTION("""COMPUTED_VALUE"""),0.36666666666666664)</f>
        <v>0.3666666667</v>
      </c>
      <c r="H653" s="210">
        <f>IFERROR(__xludf.DUMMYFUNCTION("""COMPUTED_VALUE"""),36219.0)</f>
        <v>36219</v>
      </c>
      <c r="I653" s="199">
        <f>IFERROR(__xludf.DUMMYFUNCTION("""COMPUTED_VALUE"""),22.055555555555557)</f>
        <v>22.05555556</v>
      </c>
      <c r="J653" s="267">
        <f>IFERROR(__xludf.DUMMYFUNCTION("""COMPUTED_VALUE"""),83.0)</f>
        <v>83</v>
      </c>
      <c r="K653" s="200">
        <f>IFERROR(__xludf.DUMMYFUNCTION("""COMPUTED_VALUE"""),20.0)</f>
        <v>20</v>
      </c>
      <c r="L653" s="265" t="str">
        <f>IFERROR(__xludf.DUMMYFUNCTION("""COMPUTED_VALUE"""),"Action / Simulation / Shooter")</f>
        <v>Action / Simulation / Shooter</v>
      </c>
    </row>
    <row r="654">
      <c r="A654" s="269" t="str">
        <f>IFERROR(__xludf.DUMMYFUNCTION("""COMPUTED_VALUE"""),"Star Wars Dark Forces")</f>
        <v>Star Wars Dark Forces</v>
      </c>
      <c r="B654" s="195" t="str">
        <f>IFERROR(__xludf.DUMMYFUNCTION("""COMPUTED_VALUE"""),"PC")</f>
        <v>PC</v>
      </c>
      <c r="C654" s="196"/>
      <c r="D654" s="196" t="str">
        <f>IFERROR(__xludf.DUMMYFUNCTION("""COMPUTED_VALUE"""),"Removed")</f>
        <v>Removed</v>
      </c>
      <c r="E654" s="271">
        <f>IFERROR(__xludf.DUMMYFUNCTION("""COMPUTED_VALUE"""),44273.0)</f>
        <v>44273</v>
      </c>
      <c r="F654" s="271">
        <f>IFERROR(__xludf.DUMMYFUNCTION("""COMPUTED_VALUE"""),44284.0)</f>
        <v>44284</v>
      </c>
      <c r="G654" s="199">
        <f>IFERROR(__xludf.DUMMYFUNCTION("""COMPUTED_VALUE"""),0.36666666666666664)</f>
        <v>0.3666666667</v>
      </c>
      <c r="H654" s="210">
        <f>IFERROR(__xludf.DUMMYFUNCTION("""COMPUTED_VALUE"""),34745.0)</f>
        <v>34745</v>
      </c>
      <c r="I654" s="199">
        <f>IFERROR(__xludf.DUMMYFUNCTION("""COMPUTED_VALUE"""),26.091666666666665)</f>
        <v>26.09166667</v>
      </c>
      <c r="J654" s="200">
        <f>IFERROR(__xludf.DUMMYFUNCTION("""COMPUTED_VALUE"""),75.0)</f>
        <v>75</v>
      </c>
      <c r="K654" s="200">
        <f>IFERROR(__xludf.DUMMYFUNCTION("""COMPUTED_VALUE"""),9.0)</f>
        <v>9</v>
      </c>
      <c r="L654" s="265" t="str">
        <f>IFERROR(__xludf.DUMMYFUNCTION("""COMPUTED_VALUE"""),"First-Person Shooter")</f>
        <v>First-Person Shooter</v>
      </c>
    </row>
    <row r="655">
      <c r="A655" s="269" t="str">
        <f>IFERROR(__xludf.DUMMYFUNCTION("""COMPUTED_VALUE"""),"Into the Breach")</f>
        <v>Into the Breach</v>
      </c>
      <c r="B655" s="196" t="str">
        <f>IFERROR(__xludf.DUMMYFUNCTION("""COMPUTED_VALUE"""),"PC")</f>
        <v>PC</v>
      </c>
      <c r="C655" s="196"/>
      <c r="D655" s="196" t="str">
        <f>IFERROR(__xludf.DUMMYFUNCTION("""COMPUTED_VALUE"""),"Removed")</f>
        <v>Removed</v>
      </c>
      <c r="E655" s="271">
        <f>IFERROR(__xludf.DUMMYFUNCTION("""COMPUTED_VALUE"""),43625.0)</f>
        <v>43625</v>
      </c>
      <c r="F655" s="271">
        <f>IFERROR(__xludf.DUMMYFUNCTION("""COMPUTED_VALUE"""),44284.0)</f>
        <v>44284</v>
      </c>
      <c r="G655" s="199">
        <f>IFERROR(__xludf.DUMMYFUNCTION("""COMPUTED_VALUE"""),21.666666666666668)</f>
        <v>21.66666667</v>
      </c>
      <c r="H655" s="210">
        <f>IFERROR(__xludf.DUMMYFUNCTION("""COMPUTED_VALUE"""),43158.0)</f>
        <v>43158</v>
      </c>
      <c r="I655" s="199">
        <f>IFERROR(__xludf.DUMMYFUNCTION("""COMPUTED_VALUE"""),1.2833333333333334)</f>
        <v>1.283333333</v>
      </c>
      <c r="J655" s="267">
        <f>IFERROR(__xludf.DUMMYFUNCTION("""COMPUTED_VALUE"""),90.0)</f>
        <v>90</v>
      </c>
      <c r="K655" s="200">
        <f>IFERROR(__xludf.DUMMYFUNCTION("""COMPUTED_VALUE"""),5.0)</f>
        <v>5</v>
      </c>
      <c r="L655" s="265" t="str">
        <f>IFERROR(__xludf.DUMMYFUNCTION("""COMPUTED_VALUE"""),"Strategy")</f>
        <v>Strategy</v>
      </c>
    </row>
    <row r="656">
      <c r="A656" s="269" t="str">
        <f>IFERROR(__xludf.DUMMYFUNCTION("""COMPUTED_VALUE"""),"Snake Pass")</f>
        <v>Snake Pass</v>
      </c>
      <c r="B656" s="195" t="str">
        <f>IFERROR(__xludf.DUMMYFUNCTION("""COMPUTED_VALUE"""),"PC")</f>
        <v>PC</v>
      </c>
      <c r="C656" s="196"/>
      <c r="D656" s="196" t="str">
        <f>IFERROR(__xludf.DUMMYFUNCTION("""COMPUTED_VALUE"""),"Removed")</f>
        <v>Removed</v>
      </c>
      <c r="E656" s="271">
        <f>IFERROR(__xludf.DUMMYFUNCTION("""COMPUTED_VALUE"""),43344.0)</f>
        <v>43344</v>
      </c>
      <c r="F656" s="271">
        <f>IFERROR(__xludf.DUMMYFUNCTION("""COMPUTED_VALUE"""),44284.0)</f>
        <v>44284</v>
      </c>
      <c r="G656" s="199">
        <f>IFERROR(__xludf.DUMMYFUNCTION("""COMPUTED_VALUE"""),30.933333333333337)</f>
        <v>30.93333333</v>
      </c>
      <c r="H656" s="210">
        <f>IFERROR(__xludf.DUMMYFUNCTION("""COMPUTED_VALUE"""),42822.0)</f>
        <v>42822</v>
      </c>
      <c r="I656" s="199">
        <f>IFERROR(__xludf.DUMMYFUNCTION("""COMPUTED_VALUE"""),1.425)</f>
        <v>1.425</v>
      </c>
      <c r="J656" s="267">
        <f>IFERROR(__xludf.DUMMYFUNCTION("""COMPUTED_VALUE"""),74.0)</f>
        <v>74</v>
      </c>
      <c r="K656" s="200">
        <f>IFERROR(__xludf.DUMMYFUNCTION("""COMPUTED_VALUE"""),5.0)</f>
        <v>5</v>
      </c>
      <c r="L656" s="265" t="str">
        <f>IFERROR(__xludf.DUMMYFUNCTION("""COMPUTED_VALUE"""),"Puzzle / Platformer")</f>
        <v>Puzzle / Platformer</v>
      </c>
    </row>
    <row r="657">
      <c r="A657" s="269" t="str">
        <f>IFERROR(__xludf.DUMMYFUNCTION("""COMPUTED_VALUE"""),"Hue")</f>
        <v>Hue</v>
      </c>
      <c r="B657" s="195" t="str">
        <f>IFERROR(__xludf.DUMMYFUNCTION("""COMPUTED_VALUE"""),"PC")</f>
        <v>PC</v>
      </c>
      <c r="C657" s="196"/>
      <c r="D657" s="196" t="str">
        <f>IFERROR(__xludf.DUMMYFUNCTION("""COMPUTED_VALUE"""),"Removed")</f>
        <v>Removed</v>
      </c>
      <c r="E657" s="271">
        <f>IFERROR(__xludf.DUMMYFUNCTION("""COMPUTED_VALUE"""),42979.0)</f>
        <v>42979</v>
      </c>
      <c r="F657" s="271">
        <f>IFERROR(__xludf.DUMMYFUNCTION("""COMPUTED_VALUE"""),44284.0)</f>
        <v>44284</v>
      </c>
      <c r="G657" s="199">
        <f>IFERROR(__xludf.DUMMYFUNCTION("""COMPUTED_VALUE"""),42.93333333333334)</f>
        <v>42.93333333</v>
      </c>
      <c r="H657" s="210">
        <f>IFERROR(__xludf.DUMMYFUNCTION("""COMPUTED_VALUE"""),42612.0)</f>
        <v>42612</v>
      </c>
      <c r="I657" s="199">
        <f>IFERROR(__xludf.DUMMYFUNCTION("""COMPUTED_VALUE"""),1.0027777777777778)</f>
        <v>1.002777778</v>
      </c>
      <c r="J657" s="267">
        <f>IFERROR(__xludf.DUMMYFUNCTION("""COMPUTED_VALUE"""),79.0)</f>
        <v>79</v>
      </c>
      <c r="K657" s="200">
        <f>IFERROR(__xludf.DUMMYFUNCTION("""COMPUTED_VALUE"""),4.5)</f>
        <v>4.5</v>
      </c>
      <c r="L657" s="265" t="str">
        <f>IFERROR(__xludf.DUMMYFUNCTION("""COMPUTED_VALUE"""),"Platformer")</f>
        <v>Platformer</v>
      </c>
    </row>
    <row r="658">
      <c r="A658" s="269" t="str">
        <f>IFERROR(__xludf.DUMMYFUNCTION("""COMPUTED_VALUE"""),"Alvastia Chronicles")</f>
        <v>Alvastia Chronicles</v>
      </c>
      <c r="B658" s="195" t="str">
        <f>IFERROR(__xludf.DUMMYFUNCTION("""COMPUTED_VALUE"""),"Xbox / PC")</f>
        <v>Xbox / PC</v>
      </c>
      <c r="C658" s="196"/>
      <c r="D658" s="196" t="str">
        <f>IFERROR(__xludf.DUMMYFUNCTION("""COMPUTED_VALUE"""),"Removed")</f>
        <v>Removed</v>
      </c>
      <c r="E658" s="271">
        <f>IFERROR(__xludf.DUMMYFUNCTION("""COMPUTED_VALUE"""),43930.0)</f>
        <v>43930</v>
      </c>
      <c r="F658" s="271">
        <f>IFERROR(__xludf.DUMMYFUNCTION("""COMPUTED_VALUE"""),44270.0)</f>
        <v>44270</v>
      </c>
      <c r="G658" s="199">
        <f>IFERROR(__xludf.DUMMYFUNCTION("""COMPUTED_VALUE"""),11.2)</f>
        <v>11.2</v>
      </c>
      <c r="H658" s="210">
        <f>IFERROR(__xludf.DUMMYFUNCTION("""COMPUTED_VALUE"""),43508.0)</f>
        <v>43508</v>
      </c>
      <c r="I658" s="199">
        <f>IFERROR(__xludf.DUMMYFUNCTION("""COMPUTED_VALUE"""),1.1583333333333334)</f>
        <v>1.158333333</v>
      </c>
      <c r="J658" s="200">
        <f>IFERROR(__xludf.DUMMYFUNCTION("""COMPUTED_VALUE"""),80.0)</f>
        <v>80</v>
      </c>
      <c r="K658" s="200">
        <f>IFERROR(__xludf.DUMMYFUNCTION("""COMPUTED_VALUE"""),7.0)</f>
        <v>7</v>
      </c>
      <c r="L658" s="265" t="str">
        <f>IFERROR(__xludf.DUMMYFUNCTION("""COMPUTED_VALUE"""),"RPG")</f>
        <v>RPG</v>
      </c>
    </row>
    <row r="659">
      <c r="A659" s="269" t="str">
        <f>IFERROR(__xludf.DUMMYFUNCTION("""COMPUTED_VALUE"""),"Astrologaster")</f>
        <v>Astrologaster</v>
      </c>
      <c r="B659" s="195" t="str">
        <f>IFERROR(__xludf.DUMMYFUNCTION("""COMPUTED_VALUE"""),"PC")</f>
        <v>PC</v>
      </c>
      <c r="C659" s="196"/>
      <c r="D659" s="196" t="str">
        <f>IFERROR(__xludf.DUMMYFUNCTION("""COMPUTED_VALUE"""),"Removed")</f>
        <v>Removed</v>
      </c>
      <c r="E659" s="271">
        <f>IFERROR(__xludf.DUMMYFUNCTION("""COMPUTED_VALUE"""),43916.0)</f>
        <v>43916</v>
      </c>
      <c r="F659" s="271">
        <f>IFERROR(__xludf.DUMMYFUNCTION("""COMPUTED_VALUE"""),44270.0)</f>
        <v>44270</v>
      </c>
      <c r="G659" s="199">
        <f>IFERROR(__xludf.DUMMYFUNCTION("""COMPUTED_VALUE"""),11.633333333333333)</f>
        <v>11.63333333</v>
      </c>
      <c r="H659" s="210">
        <f>IFERROR(__xludf.DUMMYFUNCTION("""COMPUTED_VALUE"""),43587.0)</f>
        <v>43587</v>
      </c>
      <c r="I659" s="199">
        <f>IFERROR(__xludf.DUMMYFUNCTION("""COMPUTED_VALUE"""),0.9)</f>
        <v>0.9</v>
      </c>
      <c r="J659" s="200">
        <f>IFERROR(__xludf.DUMMYFUNCTION("""COMPUTED_VALUE"""),74.0)</f>
        <v>74</v>
      </c>
      <c r="K659" s="200">
        <f>IFERROR(__xludf.DUMMYFUNCTION("""COMPUTED_VALUE"""),7.5)</f>
        <v>7.5</v>
      </c>
      <c r="L659" s="265" t="str">
        <f>IFERROR(__xludf.DUMMYFUNCTION("""COMPUTED_VALUE"""),"Adventure")</f>
        <v>Adventure</v>
      </c>
    </row>
    <row r="660">
      <c r="A660" s="269" t="str">
        <f>IFERROR(__xludf.DUMMYFUNCTION("""COMPUTED_VALUE"""),"The Witcher 3: Wild Hunt")</f>
        <v>The Witcher 3: Wild Hunt</v>
      </c>
      <c r="B660" s="195" t="str">
        <f>IFERROR(__xludf.DUMMYFUNCTION("""COMPUTED_VALUE"""),"Xbox")</f>
        <v>Xbox</v>
      </c>
      <c r="C660" s="196" t="str">
        <f>IFERROR(__xludf.DUMMYFUNCTION("""COMPUTED_VALUE"""),"Yes")</f>
        <v>Yes</v>
      </c>
      <c r="D660" s="196" t="str">
        <f>IFERROR(__xludf.DUMMYFUNCTION("""COMPUTED_VALUE"""),"Removed")</f>
        <v>Removed</v>
      </c>
      <c r="E660" s="271">
        <f>IFERROR(__xludf.DUMMYFUNCTION("""COMPUTED_VALUE"""),43818.0)</f>
        <v>43818</v>
      </c>
      <c r="F660" s="271">
        <f>IFERROR(__xludf.DUMMYFUNCTION("""COMPUTED_VALUE"""),44270.0)</f>
        <v>44270</v>
      </c>
      <c r="G660" s="199">
        <f>IFERROR(__xludf.DUMMYFUNCTION("""COMPUTED_VALUE"""),14.866666666666667)</f>
        <v>14.86666667</v>
      </c>
      <c r="H660" s="210">
        <f>IFERROR(__xludf.DUMMYFUNCTION("""COMPUTED_VALUE"""),42143.0)</f>
        <v>42143</v>
      </c>
      <c r="I660" s="199">
        <f>IFERROR(__xludf.DUMMYFUNCTION("""COMPUTED_VALUE"""),4.583333333333333)</f>
        <v>4.583333333</v>
      </c>
      <c r="J660" s="200">
        <f>IFERROR(__xludf.DUMMYFUNCTION("""COMPUTED_VALUE"""),91.0)</f>
        <v>91</v>
      </c>
      <c r="K660" s="200">
        <f>IFERROR(__xludf.DUMMYFUNCTION("""COMPUTED_VALUE"""),51.0)</f>
        <v>51</v>
      </c>
      <c r="L660" s="265" t="str">
        <f>IFERROR(__xludf.DUMMYFUNCTION("""COMPUTED_VALUE"""),"RPG / Action-Adventure")</f>
        <v>RPG / Action-Adventure</v>
      </c>
    </row>
    <row r="661">
      <c r="A661" s="269" t="str">
        <f>IFERROR(__xludf.DUMMYFUNCTION("""COMPUTED_VALUE"""),"The Jackbox Party Pack 4")</f>
        <v>The Jackbox Party Pack 4</v>
      </c>
      <c r="B661" s="195" t="str">
        <f>IFERROR(__xludf.DUMMYFUNCTION("""COMPUTED_VALUE"""),"Xbox")</f>
        <v>Xbox</v>
      </c>
      <c r="C661" s="196" t="str">
        <f>IFERROR(__xludf.DUMMYFUNCTION("""COMPUTED_VALUE"""),"Yes")</f>
        <v>Yes</v>
      </c>
      <c r="D661" s="196" t="str">
        <f>IFERROR(__xludf.DUMMYFUNCTION("""COMPUTED_VALUE"""),"Removed")</f>
        <v>Removed</v>
      </c>
      <c r="E661" s="271">
        <f>IFERROR(__xludf.DUMMYFUNCTION("""COMPUTED_VALUE"""),44077.0)</f>
        <v>44077</v>
      </c>
      <c r="F661" s="271">
        <f>IFERROR(__xludf.DUMMYFUNCTION("""COMPUTED_VALUE"""),44255.0)</f>
        <v>44255</v>
      </c>
      <c r="G661" s="199">
        <f>IFERROR(__xludf.DUMMYFUNCTION("""COMPUTED_VALUE"""),5.833333333333333)</f>
        <v>5.833333333</v>
      </c>
      <c r="H661" s="210">
        <f>IFERROR(__xludf.DUMMYFUNCTION("""COMPUTED_VALUE"""),43025.0)</f>
        <v>43025</v>
      </c>
      <c r="I661" s="199">
        <f>IFERROR(__xludf.DUMMYFUNCTION("""COMPUTED_VALUE"""),2.8777777777777778)</f>
        <v>2.877777778</v>
      </c>
      <c r="J661" s="200">
        <f>IFERROR(__xludf.DUMMYFUNCTION("""COMPUTED_VALUE"""),84.0)</f>
        <v>84</v>
      </c>
      <c r="K661" s="200">
        <f>IFERROR(__xludf.DUMMYFUNCTION("""COMPUTED_VALUE"""),16.0)</f>
        <v>16</v>
      </c>
      <c r="L661" s="265" t="str">
        <f>IFERROR(__xludf.DUMMYFUNCTION("""COMPUTED_VALUE"""),"Trivia/Board Game / Minigame Collection")</f>
        <v>Trivia/Board Game / Minigame Collection</v>
      </c>
    </row>
    <row r="662">
      <c r="A662" s="269" t="str">
        <f>IFERROR(__xludf.DUMMYFUNCTION("""COMPUTED_VALUE"""),"Mother Russia Bleeds")</f>
        <v>Mother Russia Bleeds</v>
      </c>
      <c r="B662" s="195" t="str">
        <f>IFERROR(__xludf.DUMMYFUNCTION("""COMPUTED_VALUE"""),"PC")</f>
        <v>PC</v>
      </c>
      <c r="C662" s="196"/>
      <c r="D662" s="196" t="str">
        <f>IFERROR(__xludf.DUMMYFUNCTION("""COMPUTED_VALUE"""),"Removed")</f>
        <v>Removed</v>
      </c>
      <c r="E662" s="271">
        <f>IFERROR(__xludf.DUMMYFUNCTION("""COMPUTED_VALUE"""),43894.0)</f>
        <v>43894</v>
      </c>
      <c r="F662" s="271">
        <f>IFERROR(__xludf.DUMMYFUNCTION("""COMPUTED_VALUE"""),44255.0)</f>
        <v>44255</v>
      </c>
      <c r="G662" s="199">
        <f>IFERROR(__xludf.DUMMYFUNCTION("""COMPUTED_VALUE"""),11.799999999999999)</f>
        <v>11.8</v>
      </c>
      <c r="H662" s="210">
        <f>IFERROR(__xludf.DUMMYFUNCTION("""COMPUTED_VALUE"""),42618.0)</f>
        <v>42618</v>
      </c>
      <c r="I662" s="199">
        <f>IFERROR(__xludf.DUMMYFUNCTION("""COMPUTED_VALUE"""),3.4972222222222222)</f>
        <v>3.497222222</v>
      </c>
      <c r="J662" s="200">
        <f>IFERROR(__xludf.DUMMYFUNCTION("""COMPUTED_VALUE"""),70.0)</f>
        <v>70</v>
      </c>
      <c r="K662" s="200">
        <f>IFERROR(__xludf.DUMMYFUNCTION("""COMPUTED_VALUE"""),4.0)</f>
        <v>4</v>
      </c>
      <c r="L662" s="265" t="str">
        <f>IFERROR(__xludf.DUMMYFUNCTION("""COMPUTED_VALUE"""),"Brawler")</f>
        <v>Brawler</v>
      </c>
    </row>
    <row r="663">
      <c r="A663" s="269" t="str">
        <f>IFERROR(__xludf.DUMMYFUNCTION("""COMPUTED_VALUE"""),"Momodora: Reverie Under the Moonlight")</f>
        <v>Momodora: Reverie Under the Moonlight</v>
      </c>
      <c r="B663" s="195" t="str">
        <f>IFERROR(__xludf.DUMMYFUNCTION("""COMPUTED_VALUE"""),"Xbox / PC")</f>
        <v>Xbox / PC</v>
      </c>
      <c r="C663" s="196" t="str">
        <f>IFERROR(__xludf.DUMMYFUNCTION("""COMPUTED_VALUE"""),"Yes")</f>
        <v>Yes</v>
      </c>
      <c r="D663" s="196" t="str">
        <f>IFERROR(__xludf.DUMMYFUNCTION("""COMPUTED_VALUE"""),"Removed")</f>
        <v>Removed</v>
      </c>
      <c r="E663" s="271">
        <f>IFERROR(__xludf.DUMMYFUNCTION("""COMPUTED_VALUE"""),43625.0)</f>
        <v>43625</v>
      </c>
      <c r="F663" s="271">
        <f>IFERROR(__xludf.DUMMYFUNCTION("""COMPUTED_VALUE"""),44255.0)</f>
        <v>44255</v>
      </c>
      <c r="G663" s="199">
        <f>IFERROR(__xludf.DUMMYFUNCTION("""COMPUTED_VALUE"""),20.633333333333333)</f>
        <v>20.63333333</v>
      </c>
      <c r="H663" s="210">
        <f>IFERROR(__xludf.DUMMYFUNCTION("""COMPUTED_VALUE"""),42433.0)</f>
        <v>42433</v>
      </c>
      <c r="I663" s="199">
        <f>IFERROR(__xludf.DUMMYFUNCTION("""COMPUTED_VALUE"""),3.263888888888889)</f>
        <v>3.263888889</v>
      </c>
      <c r="J663" s="200">
        <f>IFERROR(__xludf.DUMMYFUNCTION("""COMPUTED_VALUE"""),77.0)</f>
        <v>77</v>
      </c>
      <c r="K663" s="200">
        <f>IFERROR(__xludf.DUMMYFUNCTION("""COMPUTED_VALUE"""),4.0)</f>
        <v>4</v>
      </c>
      <c r="L663" s="265" t="str">
        <f>IFERROR(__xludf.DUMMYFUNCTION("""COMPUTED_VALUE"""),"Platformer")</f>
        <v>Platformer</v>
      </c>
    </row>
    <row r="664">
      <c r="A664" s="190" t="str">
        <f>IFERROR(__xludf.DUMMYFUNCTION("""COMPUTED_VALUE"""),"Shadows of the Damned")</f>
        <v>Shadows of the Damned</v>
      </c>
      <c r="B664" s="195" t="str">
        <f>IFERROR(__xludf.DUMMYFUNCTION("""COMPUTED_VALUE"""),"Xbox")</f>
        <v>Xbox</v>
      </c>
      <c r="C664" s="196"/>
      <c r="D664" s="196" t="str">
        <f>IFERROR(__xludf.DUMMYFUNCTION("""COMPUTED_VALUE"""),"Removed")</f>
        <v>Removed</v>
      </c>
      <c r="E664" s="271">
        <f>IFERROR(__xludf.DUMMYFUNCTION("""COMPUTED_VALUE"""),44145.0)</f>
        <v>44145</v>
      </c>
      <c r="F664" s="271">
        <f>IFERROR(__xludf.DUMMYFUNCTION("""COMPUTED_VALUE"""),44246.0)</f>
        <v>44246</v>
      </c>
      <c r="G664" s="199">
        <f>IFERROR(__xludf.DUMMYFUNCTION("""COMPUTED_VALUE"""),3.3000000000000003)</f>
        <v>3.3</v>
      </c>
      <c r="H664" s="210">
        <f>IFERROR(__xludf.DUMMYFUNCTION("""COMPUTED_VALUE"""),40715.0)</f>
        <v>40715</v>
      </c>
      <c r="I664" s="199">
        <f>IFERROR(__xludf.DUMMYFUNCTION("""COMPUTED_VALUE"""),9.386111111111111)</f>
        <v>9.386111111</v>
      </c>
      <c r="J664" s="200">
        <f>IFERROR(__xludf.DUMMYFUNCTION("""COMPUTED_VALUE"""),76.0)</f>
        <v>76</v>
      </c>
      <c r="K664" s="200">
        <f>IFERROR(__xludf.DUMMYFUNCTION("""COMPUTED_VALUE"""),8.5)</f>
        <v>8.5</v>
      </c>
      <c r="L664" s="265" t="str">
        <f>IFERROR(__xludf.DUMMYFUNCTION("""COMPUTED_VALUE"""),"Shooter")</f>
        <v>Shooter</v>
      </c>
    </row>
    <row r="665">
      <c r="A665" s="269" t="str">
        <f>IFERROR(__xludf.DUMMYFUNCTION("""COMPUTED_VALUE"""),"Ninja Gaiden II")</f>
        <v>Ninja Gaiden II</v>
      </c>
      <c r="B665" s="195" t="str">
        <f>IFERROR(__xludf.DUMMYFUNCTION("""COMPUTED_VALUE"""),"Xbox")</f>
        <v>Xbox</v>
      </c>
      <c r="C665" s="196"/>
      <c r="D665" s="196" t="str">
        <f>IFERROR(__xludf.DUMMYFUNCTION("""COMPUTED_VALUE"""),"Removed")</f>
        <v>Removed</v>
      </c>
      <c r="E665" s="197">
        <f>IFERROR(__xludf.DUMMYFUNCTION("""COMPUTED_VALUE"""),43881.0)</f>
        <v>43881</v>
      </c>
      <c r="F665" s="271">
        <f>IFERROR(__xludf.DUMMYFUNCTION("""COMPUTED_VALUE"""),44242.0)</f>
        <v>44242</v>
      </c>
      <c r="G665" s="199">
        <f>IFERROR(__xludf.DUMMYFUNCTION("""COMPUTED_VALUE"""),11.833333333333334)</f>
        <v>11.83333333</v>
      </c>
      <c r="H665" s="210">
        <f>IFERROR(__xludf.DUMMYFUNCTION("""COMPUTED_VALUE"""),39602.0)</f>
        <v>39602</v>
      </c>
      <c r="I665" s="199">
        <f>IFERROR(__xludf.DUMMYFUNCTION("""COMPUTED_VALUE"""),11.713888888888889)</f>
        <v>11.71388889</v>
      </c>
      <c r="J665" s="200">
        <f>IFERROR(__xludf.DUMMYFUNCTION("""COMPUTED_VALUE"""),81.0)</f>
        <v>81</v>
      </c>
      <c r="K665" s="200">
        <f>IFERROR(__xludf.DUMMYFUNCTION("""COMPUTED_VALUE"""),14.0)</f>
        <v>14</v>
      </c>
      <c r="L665" s="265" t="str">
        <f>IFERROR(__xludf.DUMMYFUNCTION("""COMPUTED_VALUE"""),"Action")</f>
        <v>Action</v>
      </c>
    </row>
    <row r="666">
      <c r="A666" s="269" t="str">
        <f>IFERROR(__xludf.DUMMYFUNCTION("""COMPUTED_VALUE"""),"World of Horror (Game Preview)")</f>
        <v>World of Horror (Game Preview)</v>
      </c>
      <c r="B666" s="195" t="str">
        <f>IFERROR(__xludf.DUMMYFUNCTION("""COMPUTED_VALUE"""),"PC")</f>
        <v>PC</v>
      </c>
      <c r="C666" s="196"/>
      <c r="D666" s="196" t="str">
        <f>IFERROR(__xludf.DUMMYFUNCTION("""COMPUTED_VALUE"""),"Removed")</f>
        <v>Removed</v>
      </c>
      <c r="E666" s="271">
        <f>IFERROR(__xludf.DUMMYFUNCTION("""COMPUTED_VALUE"""),43881.0)</f>
        <v>43881</v>
      </c>
      <c r="F666" s="271">
        <f>IFERROR(__xludf.DUMMYFUNCTION("""COMPUTED_VALUE"""),44242.0)</f>
        <v>44242</v>
      </c>
      <c r="G666" s="199">
        <f>IFERROR(__xludf.DUMMYFUNCTION("""COMPUTED_VALUE"""),11.833333333333334)</f>
        <v>11.83333333</v>
      </c>
      <c r="H666" s="210">
        <f>IFERROR(__xludf.DUMMYFUNCTION("""COMPUTED_VALUE"""),43881.0)</f>
        <v>43881</v>
      </c>
      <c r="I666" s="199">
        <f>IFERROR(__xludf.DUMMYFUNCTION("""COMPUTED_VALUE"""),0.0)</f>
        <v>0</v>
      </c>
      <c r="J666" s="200">
        <f>IFERROR(__xludf.DUMMYFUNCTION("""COMPUTED_VALUE"""),80.0)</f>
        <v>80</v>
      </c>
      <c r="K666" s="200">
        <f>IFERROR(__xludf.DUMMYFUNCTION("""COMPUTED_VALUE"""),2.5)</f>
        <v>2.5</v>
      </c>
      <c r="L666" s="265" t="str">
        <f>IFERROR(__xludf.DUMMYFUNCTION("""COMPUTED_VALUE"""),"RPG")</f>
        <v>RPG</v>
      </c>
    </row>
    <row r="667">
      <c r="A667" s="269" t="str">
        <f>IFERROR(__xludf.DUMMYFUNCTION("""COMPUTED_VALUE"""),"de Blob")</f>
        <v>de Blob</v>
      </c>
      <c r="B667" s="195" t="str">
        <f>IFERROR(__xludf.DUMMYFUNCTION("""COMPUTED_VALUE"""),"Xbox")</f>
        <v>Xbox</v>
      </c>
      <c r="C667" s="196"/>
      <c r="D667" s="196" t="str">
        <f>IFERROR(__xludf.DUMMYFUNCTION("""COMPUTED_VALUE"""),"Removed")</f>
        <v>Removed</v>
      </c>
      <c r="E667" s="271">
        <f>IFERROR(__xludf.DUMMYFUNCTION("""COMPUTED_VALUE"""),43510.0)</f>
        <v>43510</v>
      </c>
      <c r="F667" s="271">
        <f>IFERROR(__xludf.DUMMYFUNCTION("""COMPUTED_VALUE"""),44242.0)</f>
        <v>44242</v>
      </c>
      <c r="G667" s="199">
        <f>IFERROR(__xludf.DUMMYFUNCTION("""COMPUTED_VALUE"""),24.03333333333333)</f>
        <v>24.03333333</v>
      </c>
      <c r="H667" s="210">
        <f>IFERROR(__xludf.DUMMYFUNCTION("""COMPUTED_VALUE"""),39713.0)</f>
        <v>39713</v>
      </c>
      <c r="I667" s="199">
        <f>IFERROR(__xludf.DUMMYFUNCTION("""COMPUTED_VALUE"""),10.394444444444444)</f>
        <v>10.39444444</v>
      </c>
      <c r="J667" s="200">
        <f>IFERROR(__xludf.DUMMYFUNCTION("""COMPUTED_VALUE"""),72.0)</f>
        <v>72</v>
      </c>
      <c r="K667" s="200">
        <f>IFERROR(__xludf.DUMMYFUNCTION("""COMPUTED_VALUE"""),8.0)</f>
        <v>8</v>
      </c>
      <c r="L667" s="265" t="str">
        <f>IFERROR(__xludf.DUMMYFUNCTION("""COMPUTED_VALUE"""),"Puzzle / Platformer")</f>
        <v>Puzzle / Platformer</v>
      </c>
    </row>
    <row r="668">
      <c r="A668" s="269" t="str">
        <f>IFERROR(__xludf.DUMMYFUNCTION("""COMPUTED_VALUE"""),"Reigns: Game of Thrones")</f>
        <v>Reigns: Game of Thrones</v>
      </c>
      <c r="B668" s="195" t="str">
        <f>IFERROR(__xludf.DUMMYFUNCTION("""COMPUTED_VALUE"""),"PC")</f>
        <v>PC</v>
      </c>
      <c r="C668" s="196"/>
      <c r="D668" s="196" t="str">
        <f>IFERROR(__xludf.DUMMYFUNCTION("""COMPUTED_VALUE"""),"Removed")</f>
        <v>Removed</v>
      </c>
      <c r="E668" s="271">
        <f>IFERROR(__xludf.DUMMYFUNCTION("""COMPUTED_VALUE"""),43881.0)</f>
        <v>43881</v>
      </c>
      <c r="F668" s="271">
        <f>IFERROR(__xludf.DUMMYFUNCTION("""COMPUTED_VALUE"""),44225.0)</f>
        <v>44225</v>
      </c>
      <c r="G668" s="199">
        <f>IFERROR(__xludf.DUMMYFUNCTION("""COMPUTED_VALUE"""),11.3)</f>
        <v>11.3</v>
      </c>
      <c r="H668" s="210">
        <f>IFERROR(__xludf.DUMMYFUNCTION("""COMPUTED_VALUE"""),43391.0)</f>
        <v>43391</v>
      </c>
      <c r="I668" s="199">
        <f>IFERROR(__xludf.DUMMYFUNCTION("""COMPUTED_VALUE"""),1.3388888888888888)</f>
        <v>1.338888889</v>
      </c>
      <c r="J668" s="200">
        <f>IFERROR(__xludf.DUMMYFUNCTION("""COMPUTED_VALUE"""),84.0)</f>
        <v>84</v>
      </c>
      <c r="K668" s="200">
        <f>IFERROR(__xludf.DUMMYFUNCTION("""COMPUTED_VALUE"""),2.0)</f>
        <v>2</v>
      </c>
      <c r="L668" s="265" t="str">
        <f>IFERROR(__xludf.DUMMYFUNCTION("""COMPUTED_VALUE"""),"Simulation")</f>
        <v>Simulation</v>
      </c>
    </row>
    <row r="669">
      <c r="A669" s="269" t="str">
        <f>IFERROR(__xludf.DUMMYFUNCTION("""COMPUTED_VALUE"""),"Death Squared")</f>
        <v>Death Squared</v>
      </c>
      <c r="B669" s="195" t="str">
        <f>IFERROR(__xludf.DUMMYFUNCTION("""COMPUTED_VALUE"""),"Xbox")</f>
        <v>Xbox</v>
      </c>
      <c r="C669" s="196" t="str">
        <f>IFERROR(__xludf.DUMMYFUNCTION("""COMPUTED_VALUE"""),"Yes")</f>
        <v>Yes</v>
      </c>
      <c r="D669" s="196" t="str">
        <f>IFERROR(__xludf.DUMMYFUNCTION("""COMPUTED_VALUE"""),"Removed")</f>
        <v>Removed</v>
      </c>
      <c r="E669" s="271">
        <f>IFERROR(__xludf.DUMMYFUNCTION("""COMPUTED_VALUE"""),43874.0)</f>
        <v>43874</v>
      </c>
      <c r="F669" s="271">
        <f>IFERROR(__xludf.DUMMYFUNCTION("""COMPUTED_VALUE"""),44225.0)</f>
        <v>44225</v>
      </c>
      <c r="G669" s="199">
        <f>IFERROR(__xludf.DUMMYFUNCTION("""COMPUTED_VALUE"""),11.533333333333333)</f>
        <v>11.53333333</v>
      </c>
      <c r="H669" s="210">
        <f>IFERROR(__xludf.DUMMYFUNCTION("""COMPUTED_VALUE"""),42808.0)</f>
        <v>42808</v>
      </c>
      <c r="I669" s="199">
        <f>IFERROR(__xludf.DUMMYFUNCTION("""COMPUTED_VALUE"""),2.9138888888888888)</f>
        <v>2.913888889</v>
      </c>
      <c r="J669" s="267">
        <f>IFERROR(__xludf.DUMMYFUNCTION("""COMPUTED_VALUE"""),80.0)</f>
        <v>80</v>
      </c>
      <c r="K669" s="267">
        <f>IFERROR(__xludf.DUMMYFUNCTION("""COMPUTED_VALUE"""),6.0)</f>
        <v>6</v>
      </c>
      <c r="L669" s="265" t="str">
        <f>IFERROR(__xludf.DUMMYFUNCTION("""COMPUTED_VALUE"""),"Strategy / Puzzle / Platformer")</f>
        <v>Strategy / Puzzle / Platformer</v>
      </c>
    </row>
    <row r="670">
      <c r="A670" s="269" t="str">
        <f>IFERROR(__xludf.DUMMYFUNCTION("""COMPUTED_VALUE"""),"Death's Gambit")</f>
        <v>Death's Gambit</v>
      </c>
      <c r="B670" s="195" t="str">
        <f>IFERROR(__xludf.DUMMYFUNCTION("""COMPUTED_VALUE"""),"PC")</f>
        <v>PC</v>
      </c>
      <c r="C670" s="196"/>
      <c r="D670" s="196" t="str">
        <f>IFERROR(__xludf.DUMMYFUNCTION("""COMPUTED_VALUE"""),"Removed")</f>
        <v>Removed</v>
      </c>
      <c r="E670" s="271">
        <f>IFERROR(__xludf.DUMMYFUNCTION("""COMPUTED_VALUE"""),43874.0)</f>
        <v>43874</v>
      </c>
      <c r="F670" s="271">
        <f>IFERROR(__xludf.DUMMYFUNCTION("""COMPUTED_VALUE"""),44225.0)</f>
        <v>44225</v>
      </c>
      <c r="G670" s="199">
        <f>IFERROR(__xludf.DUMMYFUNCTION("""COMPUTED_VALUE"""),11.533333333333333)</f>
        <v>11.53333333</v>
      </c>
      <c r="H670" s="210">
        <f>IFERROR(__xludf.DUMMYFUNCTION("""COMPUTED_VALUE"""),43326.0)</f>
        <v>43326</v>
      </c>
      <c r="I670" s="199">
        <f>IFERROR(__xludf.DUMMYFUNCTION("""COMPUTED_VALUE"""),1.4972222222222222)</f>
        <v>1.497222222</v>
      </c>
      <c r="J670" s="200">
        <f>IFERROR(__xludf.DUMMYFUNCTION("""COMPUTED_VALUE"""),71.0)</f>
        <v>71</v>
      </c>
      <c r="K670" s="200">
        <f>IFERROR(__xludf.DUMMYFUNCTION("""COMPUTED_VALUE"""),10.0)</f>
        <v>10</v>
      </c>
      <c r="L670" s="265" t="str">
        <f>IFERROR(__xludf.DUMMYFUNCTION("""COMPUTED_VALUE"""),"Action / RPG")</f>
        <v>Action / RPG</v>
      </c>
    </row>
    <row r="671">
      <c r="A671" s="269" t="str">
        <f>IFERROR(__xludf.DUMMYFUNCTION("""COMPUTED_VALUE"""),"Final Fantasy XV")</f>
        <v>Final Fantasy XV</v>
      </c>
      <c r="B671" s="195" t="str">
        <f>IFERROR(__xludf.DUMMYFUNCTION("""COMPUTED_VALUE"""),"Xbox / PC")</f>
        <v>Xbox / PC</v>
      </c>
      <c r="C671" s="196"/>
      <c r="D671" s="196" t="str">
        <f>IFERROR(__xludf.DUMMYFUNCTION("""COMPUTED_VALUE"""),"Removed")</f>
        <v>Removed</v>
      </c>
      <c r="E671" s="271">
        <f>IFERROR(__xludf.DUMMYFUNCTION("""COMPUTED_VALUE"""),43867.0)</f>
        <v>43867</v>
      </c>
      <c r="F671" s="271">
        <f>IFERROR(__xludf.DUMMYFUNCTION("""COMPUTED_VALUE"""),44225.0)</f>
        <v>44225</v>
      </c>
      <c r="G671" s="199">
        <f>IFERROR(__xludf.DUMMYFUNCTION("""COMPUTED_VALUE"""),11.766666666666666)</f>
        <v>11.76666667</v>
      </c>
      <c r="H671" s="210">
        <f>IFERROR(__xludf.DUMMYFUNCTION("""COMPUTED_VALUE"""),42703.0)</f>
        <v>42703</v>
      </c>
      <c r="I671" s="199">
        <f>IFERROR(__xludf.DUMMYFUNCTION("""COMPUTED_VALUE"""),3.186111111111111)</f>
        <v>3.186111111</v>
      </c>
      <c r="J671" s="267">
        <f>IFERROR(__xludf.DUMMYFUNCTION("""COMPUTED_VALUE"""),83.0)</f>
        <v>83</v>
      </c>
      <c r="K671" s="200">
        <f>IFERROR(__xludf.DUMMYFUNCTION("""COMPUTED_VALUE"""),28.0)</f>
        <v>28</v>
      </c>
      <c r="L671" s="265" t="str">
        <f>IFERROR(__xludf.DUMMYFUNCTION("""COMPUTED_VALUE"""),"Action / RPG / Action-Adventure")</f>
        <v>Action / RPG / Action-Adventure</v>
      </c>
    </row>
    <row r="672">
      <c r="A672" s="190" t="str">
        <f>IFERROR(__xludf.DUMMYFUNCTION("""COMPUTED_VALUE"""),"Fishing Sim World: Pro Tour")</f>
        <v>Fishing Sim World: Pro Tour</v>
      </c>
      <c r="B672" s="195" t="str">
        <f>IFERROR(__xludf.DUMMYFUNCTION("""COMPUTED_VALUE"""),"Xbox / PC")</f>
        <v>Xbox / PC</v>
      </c>
      <c r="C672" s="196" t="str">
        <f>IFERROR(__xludf.DUMMYFUNCTION("""COMPUTED_VALUE"""),"Yes")</f>
        <v>Yes</v>
      </c>
      <c r="D672" s="196" t="str">
        <f>IFERROR(__xludf.DUMMYFUNCTION("""COMPUTED_VALUE"""),"Removed")</f>
        <v>Removed</v>
      </c>
      <c r="E672" s="271">
        <f>IFERROR(__xludf.DUMMYFUNCTION("""COMPUTED_VALUE"""),43860.0)</f>
        <v>43860</v>
      </c>
      <c r="F672" s="271">
        <f>IFERROR(__xludf.DUMMYFUNCTION("""COMPUTED_VALUE"""),44225.0)</f>
        <v>44225</v>
      </c>
      <c r="G672" s="199">
        <f>IFERROR(__xludf.DUMMYFUNCTION("""COMPUTED_VALUE"""),11.966666666666667)</f>
        <v>11.96666667</v>
      </c>
      <c r="H672" s="210">
        <f>IFERROR(__xludf.DUMMYFUNCTION("""COMPUTED_VALUE"""),43361.0)</f>
        <v>43361</v>
      </c>
      <c r="I672" s="199">
        <f>IFERROR(__xludf.DUMMYFUNCTION("""COMPUTED_VALUE"""),1.3666666666666667)</f>
        <v>1.366666667</v>
      </c>
      <c r="J672" s="200">
        <f>IFERROR(__xludf.DUMMYFUNCTION("""COMPUTED_VALUE"""),70.0)</f>
        <v>70</v>
      </c>
      <c r="K672" s="200"/>
      <c r="L672" s="265" t="str">
        <f>IFERROR(__xludf.DUMMYFUNCTION("""COMPUTED_VALUE"""),"Fishing")</f>
        <v>Fishing</v>
      </c>
    </row>
    <row r="673">
      <c r="A673" s="269" t="str">
        <f>IFERROR(__xludf.DUMMYFUNCTION("""COMPUTED_VALUE"""),"Sea Salt")</f>
        <v>Sea Salt</v>
      </c>
      <c r="B673" s="195" t="str">
        <f>IFERROR(__xludf.DUMMYFUNCTION("""COMPUTED_VALUE"""),"Xbox / PC")</f>
        <v>Xbox / PC</v>
      </c>
      <c r="C673" s="196" t="str">
        <f>IFERROR(__xludf.DUMMYFUNCTION("""COMPUTED_VALUE"""),"Yes")</f>
        <v>Yes</v>
      </c>
      <c r="D673" s="196" t="str">
        <f>IFERROR(__xludf.DUMMYFUNCTION("""COMPUTED_VALUE"""),"Removed")</f>
        <v>Removed</v>
      </c>
      <c r="E673" s="271">
        <f>IFERROR(__xludf.DUMMYFUNCTION("""COMPUTED_VALUE"""),43860.0)</f>
        <v>43860</v>
      </c>
      <c r="F673" s="271">
        <f>IFERROR(__xludf.DUMMYFUNCTION("""COMPUTED_VALUE"""),44225.0)</f>
        <v>44225</v>
      </c>
      <c r="G673" s="199">
        <f>IFERROR(__xludf.DUMMYFUNCTION("""COMPUTED_VALUE"""),11.966666666666667)</f>
        <v>11.96666667</v>
      </c>
      <c r="H673" s="210">
        <f>IFERROR(__xludf.DUMMYFUNCTION("""COMPUTED_VALUE"""),43755.0)</f>
        <v>43755</v>
      </c>
      <c r="I673" s="199">
        <f>IFERROR(__xludf.DUMMYFUNCTION("""COMPUTED_VALUE"""),0.2861111111111111)</f>
        <v>0.2861111111</v>
      </c>
      <c r="J673" s="200">
        <f>IFERROR(__xludf.DUMMYFUNCTION("""COMPUTED_VALUE"""),68.0)</f>
        <v>68</v>
      </c>
      <c r="K673" s="200">
        <f>IFERROR(__xludf.DUMMYFUNCTION("""COMPUTED_VALUE"""),4.0)</f>
        <v>4</v>
      </c>
      <c r="L673" s="265" t="str">
        <f>IFERROR(__xludf.DUMMYFUNCTION("""COMPUTED_VALUE"""),"Action / Strategy / Action-Adventure")</f>
        <v>Action / Strategy / Action-Adventure</v>
      </c>
    </row>
    <row r="674">
      <c r="A674" s="269" t="str">
        <f>IFERROR(__xludf.DUMMYFUNCTION("""COMPUTED_VALUE"""),"Tekken 7")</f>
        <v>Tekken 7</v>
      </c>
      <c r="B674" s="195" t="str">
        <f>IFERROR(__xludf.DUMMYFUNCTION("""COMPUTED_VALUE"""),"Xbox")</f>
        <v>Xbox</v>
      </c>
      <c r="C674" s="196"/>
      <c r="D674" s="196" t="str">
        <f>IFERROR(__xludf.DUMMYFUNCTION("""COMPUTED_VALUE"""),"Removed")</f>
        <v>Removed</v>
      </c>
      <c r="E674" s="271">
        <f>IFERROR(__xludf.DUMMYFUNCTION("""COMPUTED_VALUE"""),43846.0)</f>
        <v>43846</v>
      </c>
      <c r="F674" s="271">
        <f>IFERROR(__xludf.DUMMYFUNCTION("""COMPUTED_VALUE"""),44211.0)</f>
        <v>44211</v>
      </c>
      <c r="G674" s="199">
        <f>IFERROR(__xludf.DUMMYFUNCTION("""COMPUTED_VALUE"""),11.966666666666667)</f>
        <v>11.96666667</v>
      </c>
      <c r="H674" s="210">
        <f>IFERROR(__xludf.DUMMYFUNCTION("""COMPUTED_VALUE"""),42081.0)</f>
        <v>42081</v>
      </c>
      <c r="I674" s="199">
        <f>IFERROR(__xludf.DUMMYFUNCTION("""COMPUTED_VALUE"""),4.8277777777777775)</f>
        <v>4.827777778</v>
      </c>
      <c r="J674" s="200">
        <f>IFERROR(__xludf.DUMMYFUNCTION("""COMPUTED_VALUE"""),81.0)</f>
        <v>81</v>
      </c>
      <c r="K674" s="200">
        <f>IFERROR(__xludf.DUMMYFUNCTION("""COMPUTED_VALUE"""),3.5)</f>
        <v>3.5</v>
      </c>
      <c r="L674" s="265" t="str">
        <f>IFERROR(__xludf.DUMMYFUNCTION("""COMPUTED_VALUE"""),"Fighting")</f>
        <v>Fighting</v>
      </c>
    </row>
    <row r="675">
      <c r="A675" s="269" t="str">
        <f>IFERROR(__xludf.DUMMYFUNCTION("""COMPUTED_VALUE"""),"Sword Art Online: Fatal Bullet")</f>
        <v>Sword Art Online: Fatal Bullet</v>
      </c>
      <c r="B675" s="195" t="str">
        <f>IFERROR(__xludf.DUMMYFUNCTION("""COMPUTED_VALUE"""),"Xbox")</f>
        <v>Xbox</v>
      </c>
      <c r="C675" s="196"/>
      <c r="D675" s="196" t="str">
        <f>IFERROR(__xludf.DUMMYFUNCTION("""COMPUTED_VALUE"""),"Removed")</f>
        <v>Removed</v>
      </c>
      <c r="E675" s="271">
        <f>IFERROR(__xludf.DUMMYFUNCTION("""COMPUTED_VALUE"""),43839.0)</f>
        <v>43839</v>
      </c>
      <c r="F675" s="271">
        <f>IFERROR(__xludf.DUMMYFUNCTION("""COMPUTED_VALUE"""),44211.0)</f>
        <v>44211</v>
      </c>
      <c r="G675" s="199">
        <f>IFERROR(__xludf.DUMMYFUNCTION("""COMPUTED_VALUE"""),12.2)</f>
        <v>12.2</v>
      </c>
      <c r="H675" s="210">
        <f>IFERROR(__xludf.DUMMYFUNCTION("""COMPUTED_VALUE"""),43139.0)</f>
        <v>43139</v>
      </c>
      <c r="I675" s="199">
        <f>IFERROR(__xludf.DUMMYFUNCTION("""COMPUTED_VALUE"""),1.9194444444444445)</f>
        <v>1.919444444</v>
      </c>
      <c r="J675" s="267">
        <f>IFERROR(__xludf.DUMMYFUNCTION("""COMPUTED_VALUE"""),72.0)</f>
        <v>72</v>
      </c>
      <c r="K675" s="267">
        <f>IFERROR(__xludf.DUMMYFUNCTION("""COMPUTED_VALUE"""),27.0)</f>
        <v>27</v>
      </c>
      <c r="L675" s="201" t="str">
        <f>IFERROR(__xludf.DUMMYFUNCTION("""COMPUTED_VALUE"""),"Action / RPG / Shooter")</f>
        <v>Action / RPG / Shooter</v>
      </c>
    </row>
    <row r="676">
      <c r="A676" s="269" t="str">
        <f>IFERROR(__xludf.DUMMYFUNCTION("""COMPUTED_VALUE"""),"FTL: Faster Than Light")</f>
        <v>FTL: Faster Than Light</v>
      </c>
      <c r="B676" s="195" t="str">
        <f>IFERROR(__xludf.DUMMYFUNCTION("""COMPUTED_VALUE"""),"PC")</f>
        <v>PC</v>
      </c>
      <c r="C676" s="196"/>
      <c r="D676" s="196" t="str">
        <f>IFERROR(__xludf.DUMMYFUNCTION("""COMPUTED_VALUE"""),"Removed")</f>
        <v>Removed</v>
      </c>
      <c r="E676" s="271">
        <f>IFERROR(__xludf.DUMMYFUNCTION("""COMPUTED_VALUE"""),43837.0)</f>
        <v>43837</v>
      </c>
      <c r="F676" s="271">
        <f>IFERROR(__xludf.DUMMYFUNCTION("""COMPUTED_VALUE"""),44211.0)</f>
        <v>44211</v>
      </c>
      <c r="G676" s="199">
        <f>IFERROR(__xludf.DUMMYFUNCTION("""COMPUTED_VALUE"""),12.266666666666666)</f>
        <v>12.26666667</v>
      </c>
      <c r="H676" s="210">
        <f>IFERROR(__xludf.DUMMYFUNCTION("""COMPUTED_VALUE"""),41166.0)</f>
        <v>41166</v>
      </c>
      <c r="I676" s="199">
        <f>IFERROR(__xludf.DUMMYFUNCTION("""COMPUTED_VALUE"""),7.313888888888889)</f>
        <v>7.313888889</v>
      </c>
      <c r="J676" s="200">
        <f>IFERROR(__xludf.DUMMYFUNCTION("""COMPUTED_VALUE"""),84.0)</f>
        <v>84</v>
      </c>
      <c r="K676" s="200">
        <f>IFERROR(__xludf.DUMMYFUNCTION("""COMPUTED_VALUE"""),11.5)</f>
        <v>11.5</v>
      </c>
      <c r="L676" s="265" t="str">
        <f>IFERROR(__xludf.DUMMYFUNCTION("""COMPUTED_VALUE"""),"Strategy / RPG")</f>
        <v>Strategy / RPG</v>
      </c>
    </row>
    <row r="677">
      <c r="A677" s="269" t="str">
        <f>IFERROR(__xludf.DUMMYFUNCTION("""COMPUTED_VALUE"""),"Football Manager 2020")</f>
        <v>Football Manager 2020</v>
      </c>
      <c r="B677" s="195" t="str">
        <f>IFERROR(__xludf.DUMMYFUNCTION("""COMPUTED_VALUE"""),"PC")</f>
        <v>PC</v>
      </c>
      <c r="C677" s="196"/>
      <c r="D677" s="196" t="str">
        <f>IFERROR(__xludf.DUMMYFUNCTION("""COMPUTED_VALUE"""),"Removed")</f>
        <v>Removed</v>
      </c>
      <c r="E677" s="271">
        <f>IFERROR(__xludf.DUMMYFUNCTION("""COMPUTED_VALUE"""),43931.0)</f>
        <v>43931</v>
      </c>
      <c r="F677" s="271">
        <f>IFERROR(__xludf.DUMMYFUNCTION("""COMPUTED_VALUE"""),44195.0)</f>
        <v>44195</v>
      </c>
      <c r="G677" s="199">
        <f>IFERROR(__xludf.DUMMYFUNCTION("""COMPUTED_VALUE"""),8.666666666666666)</f>
        <v>8.666666667</v>
      </c>
      <c r="H677" s="210">
        <f>IFERROR(__xludf.DUMMYFUNCTION("""COMPUTED_VALUE"""),43787.0)</f>
        <v>43787</v>
      </c>
      <c r="I677" s="199">
        <f>IFERROR(__xludf.DUMMYFUNCTION("""COMPUTED_VALUE"""),0.39444444444444443)</f>
        <v>0.3944444444</v>
      </c>
      <c r="J677" s="200">
        <f>IFERROR(__xludf.DUMMYFUNCTION("""COMPUTED_VALUE"""),84.0)</f>
        <v>84</v>
      </c>
      <c r="K677" s="200">
        <f>IFERROR(__xludf.DUMMYFUNCTION("""COMPUTED_VALUE"""),580.0)</f>
        <v>580</v>
      </c>
      <c r="L677" s="265" t="str">
        <f>IFERROR(__xludf.DUMMYFUNCTION("""COMPUTED_VALUE"""),"Sports / Simulation / Soccer")</f>
        <v>Sports / Simulation / Soccer</v>
      </c>
    </row>
    <row r="678">
      <c r="A678" s="269" t="str">
        <f>IFERROR(__xludf.DUMMYFUNCTION("""COMPUTED_VALUE"""),"Farming Simulator 17")</f>
        <v>Farming Simulator 17</v>
      </c>
      <c r="B678" s="195" t="str">
        <f>IFERROR(__xludf.DUMMYFUNCTION("""COMPUTED_VALUE"""),"Xbox / PC")</f>
        <v>Xbox / PC</v>
      </c>
      <c r="C678" s="196" t="str">
        <f>IFERROR(__xludf.DUMMYFUNCTION("""COMPUTED_VALUE"""),"Yes")</f>
        <v>Yes</v>
      </c>
      <c r="D678" s="196" t="str">
        <f>IFERROR(__xludf.DUMMYFUNCTION("""COMPUTED_VALUE"""),"Removed")</f>
        <v>Removed</v>
      </c>
      <c r="E678" s="271">
        <f>IFERROR(__xludf.DUMMYFUNCTION("""COMPUTED_VALUE"""),43468.0)</f>
        <v>43468</v>
      </c>
      <c r="F678" s="271">
        <f>IFERROR(__xludf.DUMMYFUNCTION("""COMPUTED_VALUE"""),44195.0)</f>
        <v>44195</v>
      </c>
      <c r="G678" s="199">
        <f>IFERROR(__xludf.DUMMYFUNCTION("""COMPUTED_VALUE"""),23.9)</f>
        <v>23.9</v>
      </c>
      <c r="H678" s="210">
        <f>IFERROR(__xludf.DUMMYFUNCTION("""COMPUTED_VALUE"""),42667.0)</f>
        <v>42667</v>
      </c>
      <c r="I678" s="199">
        <f>IFERROR(__xludf.DUMMYFUNCTION("""COMPUTED_VALUE"""),2.191666666666667)</f>
        <v>2.191666667</v>
      </c>
      <c r="J678" s="200">
        <f>IFERROR(__xludf.DUMMYFUNCTION("""COMPUTED_VALUE"""),65.0)</f>
        <v>65</v>
      </c>
      <c r="K678" s="200">
        <f>IFERROR(__xludf.DUMMYFUNCTION("""COMPUTED_VALUE"""),37.0)</f>
        <v>37</v>
      </c>
      <c r="L678" s="265" t="str">
        <f>IFERROR(__xludf.DUMMYFUNCTION("""COMPUTED_VALUE"""),"Simulation")</f>
        <v>Simulation</v>
      </c>
    </row>
    <row r="679">
      <c r="A679" s="269" t="str">
        <f>IFERROR(__xludf.DUMMYFUNCTION("""COMPUTED_VALUE"""),"Mortal Kombat X")</f>
        <v>Mortal Kombat X</v>
      </c>
      <c r="B679" s="195" t="str">
        <f>IFERROR(__xludf.DUMMYFUNCTION("""COMPUTED_VALUE"""),"Xbox")</f>
        <v>Xbox</v>
      </c>
      <c r="C679" s="196" t="str">
        <f>IFERROR(__xludf.DUMMYFUNCTION("""COMPUTED_VALUE"""),"Yes")</f>
        <v>Yes</v>
      </c>
      <c r="D679" s="196" t="str">
        <f>IFERROR(__xludf.DUMMYFUNCTION("""COMPUTED_VALUE"""),"Removed")</f>
        <v>Removed</v>
      </c>
      <c r="E679" s="271">
        <f>IFERROR(__xludf.DUMMYFUNCTION("""COMPUTED_VALUE"""),43441.0)</f>
        <v>43441</v>
      </c>
      <c r="F679" s="271">
        <f>IFERROR(__xludf.DUMMYFUNCTION("""COMPUTED_VALUE"""),44195.0)</f>
        <v>44195</v>
      </c>
      <c r="G679" s="199">
        <f>IFERROR(__xludf.DUMMYFUNCTION("""COMPUTED_VALUE"""),24.76666666666667)</f>
        <v>24.76666667</v>
      </c>
      <c r="H679" s="210">
        <f>IFERROR(__xludf.DUMMYFUNCTION("""COMPUTED_VALUE"""),42108.0)</f>
        <v>42108</v>
      </c>
      <c r="I679" s="199">
        <f>IFERROR(__xludf.DUMMYFUNCTION("""COMPUTED_VALUE"""),3.647222222222222)</f>
        <v>3.647222222</v>
      </c>
      <c r="J679" s="200">
        <f>IFERROR(__xludf.DUMMYFUNCTION("""COMPUTED_VALUE"""),86.0)</f>
        <v>86</v>
      </c>
      <c r="K679" s="200">
        <f>IFERROR(__xludf.DUMMYFUNCTION("""COMPUTED_VALUE"""),5.5)</f>
        <v>5.5</v>
      </c>
      <c r="L679" s="265" t="str">
        <f>IFERROR(__xludf.DUMMYFUNCTION("""COMPUTED_VALUE"""),"Fighting")</f>
        <v>Fighting</v>
      </c>
    </row>
    <row r="680">
      <c r="A680" s="190" t="str">
        <f>IFERROR(__xludf.DUMMYFUNCTION("""COMPUTED_VALUE"""),"Infinifactory")</f>
        <v>Infinifactory</v>
      </c>
      <c r="B680" s="195" t="str">
        <f>IFERROR(__xludf.DUMMYFUNCTION("""COMPUTED_VALUE"""),"PC")</f>
        <v>PC</v>
      </c>
      <c r="C680" s="196"/>
      <c r="D680" s="196" t="str">
        <f>IFERROR(__xludf.DUMMYFUNCTION("""COMPUTED_VALUE"""),"Removed")</f>
        <v>Removed</v>
      </c>
      <c r="E680" s="271">
        <f>IFERROR(__xludf.DUMMYFUNCTION("""COMPUTED_VALUE"""),43818.0)</f>
        <v>43818</v>
      </c>
      <c r="F680" s="271">
        <f>IFERROR(__xludf.DUMMYFUNCTION("""COMPUTED_VALUE"""),44180.0)</f>
        <v>44180</v>
      </c>
      <c r="G680" s="199">
        <f>IFERROR(__xludf.DUMMYFUNCTION("""COMPUTED_VALUE"""),11.866666666666667)</f>
        <v>11.86666667</v>
      </c>
      <c r="H680" s="210">
        <f>IFERROR(__xludf.DUMMYFUNCTION("""COMPUTED_VALUE"""),42185.0)</f>
        <v>42185</v>
      </c>
      <c r="I680" s="199">
        <f>IFERROR(__xludf.DUMMYFUNCTION("""COMPUTED_VALUE"""),4.469444444444444)</f>
        <v>4.469444444</v>
      </c>
      <c r="J680" s="267">
        <f>IFERROR(__xludf.DUMMYFUNCTION("""COMPUTED_VALUE"""),85.0)</f>
        <v>85</v>
      </c>
      <c r="K680" s="200">
        <f>IFERROR(__xludf.DUMMYFUNCTION("""COMPUTED_VALUE"""),38.0)</f>
        <v>38</v>
      </c>
      <c r="L680" s="265" t="str">
        <f>IFERROR(__xludf.DUMMYFUNCTION("""COMPUTED_VALUE"""),"Puzzle")</f>
        <v>Puzzle</v>
      </c>
    </row>
    <row r="681">
      <c r="A681" s="269" t="str">
        <f>IFERROR(__xludf.DUMMYFUNCTION("""COMPUTED_VALUE"""),"Untitled Goose Game")</f>
        <v>Untitled Goose Game</v>
      </c>
      <c r="B681" s="196" t="str">
        <f>IFERROR(__xludf.DUMMYFUNCTION("""COMPUTED_VALUE"""),"Xbox")</f>
        <v>Xbox</v>
      </c>
      <c r="C681" s="196" t="str">
        <f>IFERROR(__xludf.DUMMYFUNCTION("""COMPUTED_VALUE"""),"Yes")</f>
        <v>Yes</v>
      </c>
      <c r="D681" s="196" t="str">
        <f>IFERROR(__xludf.DUMMYFUNCTION("""COMPUTED_VALUE"""),"Removed")</f>
        <v>Removed</v>
      </c>
      <c r="E681" s="271">
        <f>IFERROR(__xludf.DUMMYFUNCTION("""COMPUTED_VALUE"""),43816.0)</f>
        <v>43816</v>
      </c>
      <c r="F681" s="271">
        <f>IFERROR(__xludf.DUMMYFUNCTION("""COMPUTED_VALUE"""),44180.0)</f>
        <v>44180</v>
      </c>
      <c r="G681" s="199">
        <f>IFERROR(__xludf.DUMMYFUNCTION("""COMPUTED_VALUE"""),11.933333333333334)</f>
        <v>11.93333333</v>
      </c>
      <c r="H681" s="210">
        <f>IFERROR(__xludf.DUMMYFUNCTION("""COMPUTED_VALUE"""),43728.0)</f>
        <v>43728</v>
      </c>
      <c r="I681" s="199">
        <f>IFERROR(__xludf.DUMMYFUNCTION("""COMPUTED_VALUE"""),0.24166666666666667)</f>
        <v>0.2416666667</v>
      </c>
      <c r="J681" s="200">
        <f>IFERROR(__xludf.DUMMYFUNCTION("""COMPUTED_VALUE"""),81.0)</f>
        <v>81</v>
      </c>
      <c r="K681" s="200">
        <f>IFERROR(__xludf.DUMMYFUNCTION("""COMPUTED_VALUE"""),3.0)</f>
        <v>3</v>
      </c>
      <c r="L681" s="265" t="str">
        <f>IFERROR(__xludf.DUMMYFUNCTION("""COMPUTED_VALUE"""),"Action")</f>
        <v>Action</v>
      </c>
    </row>
    <row r="682">
      <c r="A682" s="269" t="str">
        <f>IFERROR(__xludf.DUMMYFUNCTION("""COMPUTED_VALUE"""),"Pathologic 2")</f>
        <v>Pathologic 2</v>
      </c>
      <c r="B682" s="195" t="str">
        <f>IFERROR(__xludf.DUMMYFUNCTION("""COMPUTED_VALUE"""),"Xbox / PC")</f>
        <v>Xbox / PC</v>
      </c>
      <c r="C682" s="196" t="str">
        <f>IFERROR(__xludf.DUMMYFUNCTION("""COMPUTED_VALUE"""),"Yes")</f>
        <v>Yes</v>
      </c>
      <c r="D682" s="196" t="str">
        <f>IFERROR(__xludf.DUMMYFUNCTION("""COMPUTED_VALUE"""),"Removed")</f>
        <v>Removed</v>
      </c>
      <c r="E682" s="271">
        <f>IFERROR(__xludf.DUMMYFUNCTION("""COMPUTED_VALUE"""),43811.0)</f>
        <v>43811</v>
      </c>
      <c r="F682" s="271">
        <f>IFERROR(__xludf.DUMMYFUNCTION("""COMPUTED_VALUE"""),44180.0)</f>
        <v>44180</v>
      </c>
      <c r="G682" s="199">
        <f>IFERROR(__xludf.DUMMYFUNCTION("""COMPUTED_VALUE"""),12.1)</f>
        <v>12.1</v>
      </c>
      <c r="H682" s="210">
        <f>IFERROR(__xludf.DUMMYFUNCTION("""COMPUTED_VALUE"""),43608.0)</f>
        <v>43608</v>
      </c>
      <c r="I682" s="199">
        <f>IFERROR(__xludf.DUMMYFUNCTION("""COMPUTED_VALUE"""),0.5527777777777778)</f>
        <v>0.5527777778</v>
      </c>
      <c r="J682" s="267">
        <f>IFERROR(__xludf.DUMMYFUNCTION("""COMPUTED_VALUE"""),67.0)</f>
        <v>67</v>
      </c>
      <c r="K682" s="200">
        <f>IFERROR(__xludf.DUMMYFUNCTION("""COMPUTED_VALUE"""),19.0)</f>
        <v>19</v>
      </c>
      <c r="L682" s="265" t="str">
        <f>IFERROR(__xludf.DUMMYFUNCTION("""COMPUTED_VALUE"""),"Adventure / RPG")</f>
        <v>Adventure / RPG</v>
      </c>
    </row>
    <row r="683">
      <c r="A683" s="269" t="str">
        <f>IFERROR(__xludf.DUMMYFUNCTION("""COMPUTED_VALUE"""),"Ticket to Ride")</f>
        <v>Ticket to Ride</v>
      </c>
      <c r="B683" s="195" t="str">
        <f>IFERROR(__xludf.DUMMYFUNCTION("""COMPUTED_VALUE"""),"Xbox / PC")</f>
        <v>Xbox / PC</v>
      </c>
      <c r="C683" s="196"/>
      <c r="D683" s="196" t="str">
        <f>IFERROR(__xludf.DUMMYFUNCTION("""COMPUTED_VALUE"""),"Removed")</f>
        <v>Removed</v>
      </c>
      <c r="E683" s="271">
        <f>IFERROR(__xludf.DUMMYFUNCTION("""COMPUTED_VALUE"""),43809.0)</f>
        <v>43809</v>
      </c>
      <c r="F683" s="271">
        <f>IFERROR(__xludf.DUMMYFUNCTION("""COMPUTED_VALUE"""),44180.0)</f>
        <v>44180</v>
      </c>
      <c r="G683" s="199">
        <f>IFERROR(__xludf.DUMMYFUNCTION("""COMPUTED_VALUE"""),12.166666666666666)</f>
        <v>12.16666667</v>
      </c>
      <c r="H683" s="210">
        <f>IFERROR(__xludf.DUMMYFUNCTION("""COMPUTED_VALUE"""),39624.0)</f>
        <v>39624</v>
      </c>
      <c r="I683" s="199">
        <f>IFERROR(__xludf.DUMMYFUNCTION("""COMPUTED_VALUE"""),11.458333333333334)</f>
        <v>11.45833333</v>
      </c>
      <c r="J683" s="267">
        <f>IFERROR(__xludf.DUMMYFUNCTION("""COMPUTED_VALUE"""),70.0)</f>
        <v>70</v>
      </c>
      <c r="K683" s="200">
        <f>IFERROR(__xludf.DUMMYFUNCTION("""COMPUTED_VALUE"""),0.5)</f>
        <v>0.5</v>
      </c>
      <c r="L683" s="265" t="str">
        <f>IFERROR(__xludf.DUMMYFUNCTION("""COMPUTED_VALUE"""),"Strategy / Trivia/Board Game")</f>
        <v>Strategy / Trivia/Board Game</v>
      </c>
    </row>
    <row r="684">
      <c r="A684" s="190" t="str">
        <f>IFERROR(__xludf.DUMMYFUNCTION("""COMPUTED_VALUE"""),"Naruto to Boruto: Shinobi Striker")</f>
        <v>Naruto to Boruto: Shinobi Striker</v>
      </c>
      <c r="B684" s="195" t="str">
        <f>IFERROR(__xludf.DUMMYFUNCTION("""COMPUTED_VALUE"""),"Xbox")</f>
        <v>Xbox</v>
      </c>
      <c r="C684" s="196"/>
      <c r="D684" s="196" t="str">
        <f>IFERROR(__xludf.DUMMYFUNCTION("""COMPUTED_VALUE"""),"Removed")</f>
        <v>Removed</v>
      </c>
      <c r="E684" s="271">
        <f>IFERROR(__xludf.DUMMYFUNCTION("""COMPUTED_VALUE"""),43804.0)</f>
        <v>43804</v>
      </c>
      <c r="F684" s="271">
        <f>IFERROR(__xludf.DUMMYFUNCTION("""COMPUTED_VALUE"""),44180.0)</f>
        <v>44180</v>
      </c>
      <c r="G684" s="199">
        <f>IFERROR(__xludf.DUMMYFUNCTION("""COMPUTED_VALUE"""),12.333333333333332)</f>
        <v>12.33333333</v>
      </c>
      <c r="H684" s="210">
        <f>IFERROR(__xludf.DUMMYFUNCTION("""COMPUTED_VALUE"""),43343.0)</f>
        <v>43343</v>
      </c>
      <c r="I684" s="199">
        <f>IFERROR(__xludf.DUMMYFUNCTION("""COMPUTED_VALUE"""),1.2638888888888888)</f>
        <v>1.263888889</v>
      </c>
      <c r="J684" s="200">
        <f>IFERROR(__xludf.DUMMYFUNCTION("""COMPUTED_VALUE"""),60.0)</f>
        <v>60</v>
      </c>
      <c r="K684" s="200">
        <f>IFERROR(__xludf.DUMMYFUNCTION("""COMPUTED_VALUE"""),7.0)</f>
        <v>7</v>
      </c>
      <c r="L684" s="265" t="str">
        <f>IFERROR(__xludf.DUMMYFUNCTION("""COMPUTED_VALUE"""),"Fighting")</f>
        <v>Fighting</v>
      </c>
    </row>
    <row r="685">
      <c r="A685" s="269" t="str">
        <f>IFERROR(__xludf.DUMMYFUNCTION("""COMPUTED_VALUE"""),"Age of Wonders: Planetfall")</f>
        <v>Age of Wonders: Planetfall</v>
      </c>
      <c r="B685" s="195" t="str">
        <f>IFERROR(__xludf.DUMMYFUNCTION("""COMPUTED_VALUE"""),"Xbox / PC")</f>
        <v>Xbox / PC</v>
      </c>
      <c r="C685" s="196" t="str">
        <f>IFERROR(__xludf.DUMMYFUNCTION("""COMPUTED_VALUE"""),"Yes")</f>
        <v>Yes</v>
      </c>
      <c r="D685" s="196" t="str">
        <f>IFERROR(__xludf.DUMMYFUNCTION("""COMPUTED_VALUE"""),"Removed")</f>
        <v>Removed</v>
      </c>
      <c r="E685" s="197">
        <f>IFERROR(__xludf.DUMMYFUNCTION("""COMPUTED_VALUE"""),43783.0)</f>
        <v>43783</v>
      </c>
      <c r="F685" s="271">
        <f>IFERROR(__xludf.DUMMYFUNCTION("""COMPUTED_VALUE"""),44180.0)</f>
        <v>44180</v>
      </c>
      <c r="G685" s="199">
        <f>IFERROR(__xludf.DUMMYFUNCTION("""COMPUTED_VALUE"""),13.033333333333331)</f>
        <v>13.03333333</v>
      </c>
      <c r="H685" s="210">
        <f>IFERROR(__xludf.DUMMYFUNCTION("""COMPUTED_VALUE"""),43683.0)</f>
        <v>43683</v>
      </c>
      <c r="I685" s="199">
        <f>IFERROR(__xludf.DUMMYFUNCTION("""COMPUTED_VALUE"""),0.2722222222222222)</f>
        <v>0.2722222222</v>
      </c>
      <c r="J685" s="200">
        <f>IFERROR(__xludf.DUMMYFUNCTION("""COMPUTED_VALUE"""),85.0)</f>
        <v>85</v>
      </c>
      <c r="K685" s="200">
        <f>IFERROR(__xludf.DUMMYFUNCTION("""COMPUTED_VALUE"""),48.0)</f>
        <v>48</v>
      </c>
      <c r="L685" s="265" t="str">
        <f>IFERROR(__xludf.DUMMYFUNCTION("""COMPUTED_VALUE"""),"Strategy")</f>
        <v>Strategy</v>
      </c>
    </row>
    <row r="686">
      <c r="A686" s="269" t="str">
        <f>IFERROR(__xludf.DUMMYFUNCTION("""COMPUTED_VALUE"""),"The Turing Test")</f>
        <v>The Turing Test</v>
      </c>
      <c r="B686" s="195" t="str">
        <f>IFERROR(__xludf.DUMMYFUNCTION("""COMPUTED_VALUE"""),"Xbox / PC")</f>
        <v>Xbox / PC</v>
      </c>
      <c r="C686" s="196" t="str">
        <f>IFERROR(__xludf.DUMMYFUNCTION("""COMPUTED_VALUE"""),"Yes")</f>
        <v>Yes</v>
      </c>
      <c r="D686" s="196" t="str">
        <f>IFERROR(__xludf.DUMMYFUNCTION("""COMPUTED_VALUE"""),"Removed")</f>
        <v>Removed</v>
      </c>
      <c r="E686" s="271">
        <f>IFERROR(__xludf.DUMMYFUNCTION("""COMPUTED_VALUE"""),43625.0)</f>
        <v>43625</v>
      </c>
      <c r="F686" s="271">
        <f>IFERROR(__xludf.DUMMYFUNCTION("""COMPUTED_VALUE"""),44180.0)</f>
        <v>44180</v>
      </c>
      <c r="G686" s="199">
        <f>IFERROR(__xludf.DUMMYFUNCTION("""COMPUTED_VALUE"""),18.2)</f>
        <v>18.2</v>
      </c>
      <c r="H686" s="210">
        <f>IFERROR(__xludf.DUMMYFUNCTION("""COMPUTED_VALUE"""),42598.0)</f>
        <v>42598</v>
      </c>
      <c r="I686" s="199">
        <f>IFERROR(__xludf.DUMMYFUNCTION("""COMPUTED_VALUE"""),2.813888888888889)</f>
        <v>2.813888889</v>
      </c>
      <c r="J686" s="200">
        <f>IFERROR(__xludf.DUMMYFUNCTION("""COMPUTED_VALUE"""),80.0)</f>
        <v>80</v>
      </c>
      <c r="K686" s="200">
        <f>IFERROR(__xludf.DUMMYFUNCTION("""COMPUTED_VALUE"""),5.0)</f>
        <v>5</v>
      </c>
      <c r="L686" s="265" t="str">
        <f>IFERROR(__xludf.DUMMYFUNCTION("""COMPUTED_VALUE"""),"Puzzle")</f>
        <v>Puzzle</v>
      </c>
    </row>
    <row r="687">
      <c r="A687" s="269" t="str">
        <f>IFERROR(__xludf.DUMMYFUNCTION("""COMPUTED_VALUE"""),"MudRunner")</f>
        <v>MudRunner</v>
      </c>
      <c r="B687" s="195" t="str">
        <f>IFERROR(__xludf.DUMMYFUNCTION("""COMPUTED_VALUE"""),"Xbox / PC")</f>
        <v>Xbox / PC</v>
      </c>
      <c r="C687" s="196" t="str">
        <f>IFERROR(__xludf.DUMMYFUNCTION("""COMPUTED_VALUE"""),"Yes")</f>
        <v>Yes</v>
      </c>
      <c r="D687" s="196" t="str">
        <f>IFERROR(__xludf.DUMMYFUNCTION("""COMPUTED_VALUE"""),"Removed")</f>
        <v>Removed</v>
      </c>
      <c r="E687" s="271">
        <f>IFERROR(__xludf.DUMMYFUNCTION("""COMPUTED_VALUE"""),43447.0)</f>
        <v>43447</v>
      </c>
      <c r="F687" s="271">
        <f>IFERROR(__xludf.DUMMYFUNCTION("""COMPUTED_VALUE"""),44180.0)</f>
        <v>44180</v>
      </c>
      <c r="G687" s="199">
        <f>IFERROR(__xludf.DUMMYFUNCTION("""COMPUTED_VALUE"""),24.066666666666666)</f>
        <v>24.06666667</v>
      </c>
      <c r="H687" s="210">
        <f>IFERROR(__xludf.DUMMYFUNCTION("""COMPUTED_VALUE"""),43039.0)</f>
        <v>43039</v>
      </c>
      <c r="I687" s="199">
        <f>IFERROR(__xludf.DUMMYFUNCTION("""COMPUTED_VALUE"""),1.1194444444444445)</f>
        <v>1.119444444</v>
      </c>
      <c r="J687" s="267">
        <f>IFERROR(__xludf.DUMMYFUNCTION("""COMPUTED_VALUE"""),72.0)</f>
        <v>72</v>
      </c>
      <c r="K687" s="200">
        <f>IFERROR(__xludf.DUMMYFUNCTION("""COMPUTED_VALUE"""),16.5)</f>
        <v>16.5</v>
      </c>
      <c r="L687" s="265" t="str">
        <f>IFERROR(__xludf.DUMMYFUNCTION("""COMPUTED_VALUE"""),"Driving/Racing / Simulation")</f>
        <v>Driving/Racing / Simulation</v>
      </c>
    </row>
    <row r="688">
      <c r="A688" s="269" t="str">
        <f>IFERROR(__xludf.DUMMYFUNCTION("""COMPUTED_VALUE"""),"Metro: Last Light Redux")</f>
        <v>Metro: Last Light Redux</v>
      </c>
      <c r="B688" s="195" t="str">
        <f>IFERROR(__xludf.DUMMYFUNCTION("""COMPUTED_VALUE"""),"PC")</f>
        <v>PC</v>
      </c>
      <c r="C688" s="196"/>
      <c r="D688" s="196" t="str">
        <f>IFERROR(__xludf.DUMMYFUNCTION("""COMPUTED_VALUE"""),"Removed")</f>
        <v>Removed</v>
      </c>
      <c r="E688" s="271">
        <f>IFERROR(__xludf.DUMMYFUNCTION("""COMPUTED_VALUE"""),42979.0)</f>
        <v>42979</v>
      </c>
      <c r="F688" s="271">
        <f>IFERROR(__xludf.DUMMYFUNCTION("""COMPUTED_VALUE"""),44180.0)</f>
        <v>44180</v>
      </c>
      <c r="G688" s="199">
        <f>IFERROR(__xludf.DUMMYFUNCTION("""COMPUTED_VALUE"""),39.46666666666667)</f>
        <v>39.46666667</v>
      </c>
      <c r="H688" s="210">
        <f>IFERROR(__xludf.DUMMYFUNCTION("""COMPUTED_VALUE"""),41877.0)</f>
        <v>41877</v>
      </c>
      <c r="I688" s="199">
        <f>IFERROR(__xludf.DUMMYFUNCTION("""COMPUTED_VALUE"""),3.013888888888889)</f>
        <v>3.013888889</v>
      </c>
      <c r="J688" s="267">
        <f>IFERROR(__xludf.DUMMYFUNCTION("""COMPUTED_VALUE"""),88.0)</f>
        <v>88</v>
      </c>
      <c r="K688" s="200">
        <f>IFERROR(__xludf.DUMMYFUNCTION("""COMPUTED_VALUE"""),10.0)</f>
        <v>10</v>
      </c>
      <c r="L688" s="201" t="str">
        <f>IFERROR(__xludf.DUMMYFUNCTION("""COMPUTED_VALUE"""),"Adventure")</f>
        <v>Adventure</v>
      </c>
    </row>
    <row r="689">
      <c r="A689" s="269" t="str">
        <f>IFERROR(__xludf.DUMMYFUNCTION("""COMPUTED_VALUE"""),"eFootball PES 2020")</f>
        <v>eFootball PES 2020</v>
      </c>
      <c r="B689" s="195" t="str">
        <f>IFERROR(__xludf.DUMMYFUNCTION("""COMPUTED_VALUE"""),"Xbox")</f>
        <v>Xbox</v>
      </c>
      <c r="C689" s="196"/>
      <c r="D689" s="196" t="str">
        <f>IFERROR(__xludf.DUMMYFUNCTION("""COMPUTED_VALUE"""),"Removed")</f>
        <v>Removed</v>
      </c>
      <c r="E689" s="271">
        <f>IFERROR(__xludf.DUMMYFUNCTION("""COMPUTED_VALUE"""),43811.0)</f>
        <v>43811</v>
      </c>
      <c r="F689" s="271">
        <f>IFERROR(__xludf.DUMMYFUNCTION("""COMPUTED_VALUE"""),44176.0)</f>
        <v>44176</v>
      </c>
      <c r="G689" s="199">
        <f>IFERROR(__xludf.DUMMYFUNCTION("""COMPUTED_VALUE"""),11.966666666666667)</f>
        <v>11.96666667</v>
      </c>
      <c r="H689" s="210">
        <f>IFERROR(__xludf.DUMMYFUNCTION("""COMPUTED_VALUE"""),43718.0)</f>
        <v>43718</v>
      </c>
      <c r="I689" s="199">
        <f>IFERROR(__xludf.DUMMYFUNCTION("""COMPUTED_VALUE"""),0.25555555555555554)</f>
        <v>0.2555555556</v>
      </c>
      <c r="J689" s="267">
        <f>IFERROR(__xludf.DUMMYFUNCTION("""COMPUTED_VALUE"""),82.0)</f>
        <v>82</v>
      </c>
      <c r="K689" s="267">
        <f>IFERROR(__xludf.DUMMYFUNCTION("""COMPUTED_VALUE"""),5.5)</f>
        <v>5.5</v>
      </c>
      <c r="L689" s="265" t="str">
        <f>IFERROR(__xludf.DUMMYFUNCTION("""COMPUTED_VALUE"""),"Soccer")</f>
        <v>Soccer</v>
      </c>
    </row>
    <row r="690">
      <c r="A690" s="190" t="str">
        <f>IFERROR(__xludf.DUMMYFUNCTION("""COMPUTED_VALUE"""),"Demon's Tilt")</f>
        <v>Demon's Tilt</v>
      </c>
      <c r="B690" s="195" t="str">
        <f>IFERROR(__xludf.DUMMYFUNCTION("""COMPUTED_VALUE"""),"Xbox / PC")</f>
        <v>Xbox / PC</v>
      </c>
      <c r="C690" s="196" t="str">
        <f>IFERROR(__xludf.DUMMYFUNCTION("""COMPUTED_VALUE"""),"Yes")</f>
        <v>Yes</v>
      </c>
      <c r="D690" s="196" t="str">
        <f>IFERROR(__xludf.DUMMYFUNCTION("""COMPUTED_VALUE"""),"Removed")</f>
        <v>Removed</v>
      </c>
      <c r="E690" s="271">
        <f>IFERROR(__xludf.DUMMYFUNCTION("""COMPUTED_VALUE"""),43805.0)</f>
        <v>43805</v>
      </c>
      <c r="F690" s="271">
        <f>IFERROR(__xludf.DUMMYFUNCTION("""COMPUTED_VALUE"""),44166.0)</f>
        <v>44166</v>
      </c>
      <c r="G690" s="199">
        <f>IFERROR(__xludf.DUMMYFUNCTION("""COMPUTED_VALUE"""),11.833333333333334)</f>
        <v>11.83333333</v>
      </c>
      <c r="H690" s="210">
        <f>IFERROR(__xludf.DUMMYFUNCTION("""COMPUTED_VALUE"""),43487.0)</f>
        <v>43487</v>
      </c>
      <c r="I690" s="199">
        <f>IFERROR(__xludf.DUMMYFUNCTION("""COMPUTED_VALUE"""),0.8722222222222222)</f>
        <v>0.8722222222</v>
      </c>
      <c r="J690" s="200">
        <f>IFERROR(__xludf.DUMMYFUNCTION("""COMPUTED_VALUE"""),69.5)</f>
        <v>69.5</v>
      </c>
      <c r="K690" s="200">
        <f>IFERROR(__xludf.DUMMYFUNCTION("""COMPUTED_VALUE"""),7.0)</f>
        <v>7</v>
      </c>
      <c r="L690" s="201" t="str">
        <f>IFERROR(__xludf.DUMMYFUNCTION("""COMPUTED_VALUE"""),"Pinball")</f>
        <v>Pinball</v>
      </c>
    </row>
    <row r="691">
      <c r="A691" s="190" t="str">
        <f>IFERROR(__xludf.DUMMYFUNCTION("""COMPUTED_VALUE"""),"Wandersong")</f>
        <v>Wandersong</v>
      </c>
      <c r="B691" s="195" t="str">
        <f>IFERROR(__xludf.DUMMYFUNCTION("""COMPUTED_VALUE"""),"Xbox / PC")</f>
        <v>Xbox / PC</v>
      </c>
      <c r="C691" s="196" t="str">
        <f>IFERROR(__xludf.DUMMYFUNCTION("""COMPUTED_VALUE"""),"Yes")</f>
        <v>Yes</v>
      </c>
      <c r="D691" s="196" t="str">
        <f>IFERROR(__xludf.DUMMYFUNCTION("""COMPUTED_VALUE"""),"Removed")</f>
        <v>Removed</v>
      </c>
      <c r="E691" s="271">
        <f>IFERROR(__xludf.DUMMYFUNCTION("""COMPUTED_VALUE"""),43805.0)</f>
        <v>43805</v>
      </c>
      <c r="F691" s="271">
        <f>IFERROR(__xludf.DUMMYFUNCTION("""COMPUTED_VALUE"""),44166.0)</f>
        <v>44166</v>
      </c>
      <c r="G691" s="199">
        <f>IFERROR(__xludf.DUMMYFUNCTION("""COMPUTED_VALUE"""),11.833333333333334)</f>
        <v>11.83333333</v>
      </c>
      <c r="H691" s="210">
        <f>IFERROR(__xludf.DUMMYFUNCTION("""COMPUTED_VALUE"""),43370.0)</f>
        <v>43370</v>
      </c>
      <c r="I691" s="199">
        <f>IFERROR(__xludf.DUMMYFUNCTION("""COMPUTED_VALUE"""),1.1916666666666667)</f>
        <v>1.191666667</v>
      </c>
      <c r="J691" s="200">
        <f>IFERROR(__xludf.DUMMYFUNCTION("""COMPUTED_VALUE"""),82.0)</f>
        <v>82</v>
      </c>
      <c r="K691" s="200">
        <f>IFERROR(__xludf.DUMMYFUNCTION("""COMPUTED_VALUE"""),9.0)</f>
        <v>9</v>
      </c>
      <c r="L691" s="265" t="str">
        <f>IFERROR(__xludf.DUMMYFUNCTION("""COMPUTED_VALUE"""),"Adventure")</f>
        <v>Adventure</v>
      </c>
    </row>
    <row r="692">
      <c r="A692" s="190" t="str">
        <f>IFERROR(__xludf.DUMMYFUNCTION("""COMPUTED_VALUE"""),"Faeria")</f>
        <v>Faeria</v>
      </c>
      <c r="B692" s="195" t="str">
        <f>IFERROR(__xludf.DUMMYFUNCTION("""COMPUTED_VALUE"""),"PC")</f>
        <v>PC</v>
      </c>
      <c r="C692" s="196"/>
      <c r="D692" s="196" t="str">
        <f>IFERROR(__xludf.DUMMYFUNCTION("""COMPUTED_VALUE"""),"Removed")</f>
        <v>Removed</v>
      </c>
      <c r="E692" s="271">
        <f>IFERROR(__xludf.DUMMYFUNCTION("""COMPUTED_VALUE"""),43804.0)</f>
        <v>43804</v>
      </c>
      <c r="F692" s="271">
        <f>IFERROR(__xludf.DUMMYFUNCTION("""COMPUTED_VALUE"""),44166.0)</f>
        <v>44166</v>
      </c>
      <c r="G692" s="199">
        <f>IFERROR(__xludf.DUMMYFUNCTION("""COMPUTED_VALUE"""),11.866666666666667)</f>
        <v>11.86666667</v>
      </c>
      <c r="H692" s="210">
        <f>IFERROR(__xludf.DUMMYFUNCTION("""COMPUTED_VALUE"""),42429.0)</f>
        <v>42429</v>
      </c>
      <c r="I692" s="199">
        <f>IFERROR(__xludf.DUMMYFUNCTION("""COMPUTED_VALUE"""),3.7666666666666666)</f>
        <v>3.766666667</v>
      </c>
      <c r="J692" s="267">
        <f>IFERROR(__xludf.DUMMYFUNCTION("""COMPUTED_VALUE"""),81.0)</f>
        <v>81</v>
      </c>
      <c r="K692" s="267">
        <f>IFERROR(__xludf.DUMMYFUNCTION("""COMPUTED_VALUE"""),115.0)</f>
        <v>115</v>
      </c>
      <c r="L692" s="265" t="str">
        <f>IFERROR(__xludf.DUMMYFUNCTION("""COMPUTED_VALUE"""),"Strategy / Card Game")</f>
        <v>Strategy / Card Game</v>
      </c>
    </row>
    <row r="693">
      <c r="A693" s="269" t="str">
        <f>IFERROR(__xludf.DUMMYFUNCTION("""COMPUTED_VALUE"""),"Hatoful Boyfriend")</f>
        <v>Hatoful Boyfriend</v>
      </c>
      <c r="B693" s="195" t="str">
        <f>IFERROR(__xludf.DUMMYFUNCTION("""COMPUTED_VALUE"""),"PC")</f>
        <v>PC</v>
      </c>
      <c r="C693" s="196"/>
      <c r="D693" s="196" t="str">
        <f>IFERROR(__xludf.DUMMYFUNCTION("""COMPUTED_VALUE"""),"Removed")</f>
        <v>Removed</v>
      </c>
      <c r="E693" s="271">
        <f>IFERROR(__xludf.DUMMYFUNCTION("""COMPUTED_VALUE"""),43625.0)</f>
        <v>43625</v>
      </c>
      <c r="F693" s="271">
        <f>IFERROR(__xludf.DUMMYFUNCTION("""COMPUTED_VALUE"""),44166.0)</f>
        <v>44166</v>
      </c>
      <c r="G693" s="199">
        <f>IFERROR(__xludf.DUMMYFUNCTION("""COMPUTED_VALUE"""),17.733333333333334)</f>
        <v>17.73333333</v>
      </c>
      <c r="H693" s="210">
        <f>IFERROR(__xludf.DUMMYFUNCTION("""COMPUTED_VALUE"""),40755.0)</f>
        <v>40755</v>
      </c>
      <c r="I693" s="199">
        <f>IFERROR(__xludf.DUMMYFUNCTION("""COMPUTED_VALUE"""),7.858333333333333)</f>
        <v>7.858333333</v>
      </c>
      <c r="J693" s="200">
        <f>IFERROR(__xludf.DUMMYFUNCTION("""COMPUTED_VALUE"""),68.0)</f>
        <v>68</v>
      </c>
      <c r="K693" s="200">
        <f>IFERROR(__xludf.DUMMYFUNCTION("""COMPUTED_VALUE"""),1.5)</f>
        <v>1.5</v>
      </c>
      <c r="L693" s="265" t="str">
        <f>IFERROR(__xludf.DUMMYFUNCTION("""COMPUTED_VALUE"""),"Adventure / Text Adventure")</f>
        <v>Adventure / Text Adventure</v>
      </c>
    </row>
    <row r="694">
      <c r="A694" s="269" t="str">
        <f>IFERROR(__xludf.DUMMYFUNCTION("""COMPUTED_VALUE"""),"Absolver")</f>
        <v>Absolver</v>
      </c>
      <c r="B694" s="195" t="str">
        <f>IFERROR(__xludf.DUMMYFUNCTION("""COMPUTED_VALUE"""),"Xbox")</f>
        <v>Xbox</v>
      </c>
      <c r="C694" s="196" t="str">
        <f>IFERROR(__xludf.DUMMYFUNCTION("""COMPUTED_VALUE"""),"Yes")</f>
        <v>Yes</v>
      </c>
      <c r="D694" s="196" t="str">
        <f>IFERROR(__xludf.DUMMYFUNCTION("""COMPUTED_VALUE"""),"Removed")</f>
        <v>Removed</v>
      </c>
      <c r="E694" s="271">
        <f>IFERROR(__xludf.DUMMYFUNCTION("""COMPUTED_VALUE"""),43468.0)</f>
        <v>43468</v>
      </c>
      <c r="F694" s="271">
        <f>IFERROR(__xludf.DUMMYFUNCTION("""COMPUTED_VALUE"""),44166.0)</f>
        <v>44166</v>
      </c>
      <c r="G694" s="199">
        <f>IFERROR(__xludf.DUMMYFUNCTION("""COMPUTED_VALUE"""),22.933333333333334)</f>
        <v>22.93333333</v>
      </c>
      <c r="H694" s="210">
        <f>IFERROR(__xludf.DUMMYFUNCTION("""COMPUTED_VALUE"""),42976.0)</f>
        <v>42976</v>
      </c>
      <c r="I694" s="199">
        <f>IFERROR(__xludf.DUMMYFUNCTION("""COMPUTED_VALUE"""),1.3444444444444446)</f>
        <v>1.344444444</v>
      </c>
      <c r="J694" s="267">
        <f>IFERROR(__xludf.DUMMYFUNCTION("""COMPUTED_VALUE"""),62.0)</f>
        <v>62</v>
      </c>
      <c r="K694" s="267">
        <f>IFERROR(__xludf.DUMMYFUNCTION("""COMPUTED_VALUE"""),5.5)</f>
        <v>5.5</v>
      </c>
      <c r="L694" s="265" t="str">
        <f>IFERROR(__xludf.DUMMYFUNCTION("""COMPUTED_VALUE"""),"Action / RPG")</f>
        <v>Action / RPG</v>
      </c>
    </row>
    <row r="695">
      <c r="A695" s="190" t="str">
        <f>IFERROR(__xludf.DUMMYFUNCTION("""COMPUTED_VALUE"""),"Dead Island: Definitive Edition")</f>
        <v>Dead Island: Definitive Edition</v>
      </c>
      <c r="B695" s="195" t="str">
        <f>IFERROR(__xludf.DUMMYFUNCTION("""COMPUTED_VALUE"""),"Xbox")</f>
        <v>Xbox</v>
      </c>
      <c r="C695" s="196" t="str">
        <f>IFERROR(__xludf.DUMMYFUNCTION("""COMPUTED_VALUE"""),"Yes")</f>
        <v>Yes</v>
      </c>
      <c r="D695" s="196" t="str">
        <f>IFERROR(__xludf.DUMMYFUNCTION("""COMPUTED_VALUE"""),"Removed")</f>
        <v>Removed</v>
      </c>
      <c r="E695" s="271">
        <f>IFERROR(__xludf.DUMMYFUNCTION("""COMPUTED_VALUE"""),42917.0)</f>
        <v>42917</v>
      </c>
      <c r="F695" s="197">
        <f>IFERROR(__xludf.DUMMYFUNCTION("""COMPUTED_VALUE"""),44166.0)</f>
        <v>44166</v>
      </c>
      <c r="G695" s="199">
        <f>IFERROR(__xludf.DUMMYFUNCTION("""COMPUTED_VALUE"""),41.0)</f>
        <v>41</v>
      </c>
      <c r="H695" s="210">
        <f>IFERROR(__xludf.DUMMYFUNCTION("""COMPUTED_VALUE"""),42521.0)</f>
        <v>42521</v>
      </c>
      <c r="I695" s="199">
        <f>IFERROR(__xludf.DUMMYFUNCTION("""COMPUTED_VALUE"""),1.086111111111111)</f>
        <v>1.086111111</v>
      </c>
      <c r="J695" s="200">
        <f>IFERROR(__xludf.DUMMYFUNCTION("""COMPUTED_VALUE"""),67.0)</f>
        <v>67</v>
      </c>
      <c r="K695" s="200">
        <f>IFERROR(__xludf.DUMMYFUNCTION("""COMPUTED_VALUE"""),21.0)</f>
        <v>21</v>
      </c>
      <c r="L695" s="201" t="str">
        <f>IFERROR(__xludf.DUMMYFUNCTION("""COMPUTED_VALUE"""),"Adventure")</f>
        <v>Adventure</v>
      </c>
    </row>
    <row r="696">
      <c r="A696" s="190" t="str">
        <f>IFERROR(__xludf.DUMMYFUNCTION("""COMPUTED_VALUE"""),"Darksiders III")</f>
        <v>Darksiders III</v>
      </c>
      <c r="B696" s="195" t="str">
        <f>IFERROR(__xludf.DUMMYFUNCTION("""COMPUTED_VALUE"""),"Xbox / PC")</f>
        <v>Xbox / PC</v>
      </c>
      <c r="C696" s="196" t="str">
        <f>IFERROR(__xludf.DUMMYFUNCTION("""COMPUTED_VALUE"""),"Yes")</f>
        <v>Yes</v>
      </c>
      <c r="D696" s="196" t="str">
        <f>IFERROR(__xludf.DUMMYFUNCTION("""COMPUTED_VALUE"""),"Removed")</f>
        <v>Removed</v>
      </c>
      <c r="E696" s="271">
        <f>IFERROR(__xludf.DUMMYFUNCTION("""COMPUTED_VALUE"""),43790.0)</f>
        <v>43790</v>
      </c>
      <c r="F696" s="271">
        <f>IFERROR(__xludf.DUMMYFUNCTION("""COMPUTED_VALUE"""),44151.0)</f>
        <v>44151</v>
      </c>
      <c r="G696" s="199">
        <f>IFERROR(__xludf.DUMMYFUNCTION("""COMPUTED_VALUE"""),11.833333333333334)</f>
        <v>11.83333333</v>
      </c>
      <c r="H696" s="210">
        <f>IFERROR(__xludf.DUMMYFUNCTION("""COMPUTED_VALUE"""),43431.0)</f>
        <v>43431</v>
      </c>
      <c r="I696" s="199">
        <f>IFERROR(__xludf.DUMMYFUNCTION("""COMPUTED_VALUE"""),0.9833333333333333)</f>
        <v>0.9833333333</v>
      </c>
      <c r="J696" s="200">
        <f>IFERROR(__xludf.DUMMYFUNCTION("""COMPUTED_VALUE"""),69.0)</f>
        <v>69</v>
      </c>
      <c r="K696" s="200">
        <f>IFERROR(__xludf.DUMMYFUNCTION("""COMPUTED_VALUE"""),14.0)</f>
        <v>14</v>
      </c>
      <c r="L696" s="265" t="str">
        <f>IFERROR(__xludf.DUMMYFUNCTION("""COMPUTED_VALUE"""),"Action / RPG / Action-Adventure")</f>
        <v>Action / RPG / Action-Adventure</v>
      </c>
    </row>
    <row r="697">
      <c r="A697" s="269" t="str">
        <f>IFERROR(__xludf.DUMMYFUNCTION("""COMPUTED_VALUE"""),"Munchkin: Quacked Quest")</f>
        <v>Munchkin: Quacked Quest</v>
      </c>
      <c r="B697" s="195" t="str">
        <f>IFERROR(__xludf.DUMMYFUNCTION("""COMPUTED_VALUE"""),"Xbox / PC")</f>
        <v>Xbox / PC</v>
      </c>
      <c r="C697" s="196" t="str">
        <f>IFERROR(__xludf.DUMMYFUNCTION("""COMPUTED_VALUE"""),"Yes")</f>
        <v>Yes</v>
      </c>
      <c r="D697" s="196" t="str">
        <f>IFERROR(__xludf.DUMMYFUNCTION("""COMPUTED_VALUE"""),"Removed")</f>
        <v>Removed</v>
      </c>
      <c r="E697" s="271">
        <f>IFERROR(__xludf.DUMMYFUNCTION("""COMPUTED_VALUE"""),43790.0)</f>
        <v>43790</v>
      </c>
      <c r="F697" s="271">
        <f>IFERROR(__xludf.DUMMYFUNCTION("""COMPUTED_VALUE"""),44151.0)</f>
        <v>44151</v>
      </c>
      <c r="G697" s="199">
        <f>IFERROR(__xludf.DUMMYFUNCTION("""COMPUTED_VALUE"""),11.833333333333334)</f>
        <v>11.83333333</v>
      </c>
      <c r="H697" s="210">
        <f>IFERROR(__xludf.DUMMYFUNCTION("""COMPUTED_VALUE"""),43788.0)</f>
        <v>43788</v>
      </c>
      <c r="I697" s="199">
        <f>IFERROR(__xludf.DUMMYFUNCTION("""COMPUTED_VALUE"""),0.005555555555555556)</f>
        <v>0.005555555556</v>
      </c>
      <c r="J697" s="200">
        <f>IFERROR(__xludf.DUMMYFUNCTION("""COMPUTED_VALUE"""),40.0)</f>
        <v>40</v>
      </c>
      <c r="K697" s="200">
        <f>IFERROR(__xludf.DUMMYFUNCTION("""COMPUTED_VALUE"""),1.0)</f>
        <v>1</v>
      </c>
      <c r="L697" s="201" t="str">
        <f>IFERROR(__xludf.DUMMYFUNCTION("""COMPUTED_VALUE"""),"Action")</f>
        <v>Action</v>
      </c>
    </row>
    <row r="698">
      <c r="A698" s="190" t="str">
        <f>IFERROR(__xludf.DUMMYFUNCTION("""COMPUTED_VALUE"""),"Tracks: The Train Set Game")</f>
        <v>Tracks: The Train Set Game</v>
      </c>
      <c r="B698" s="195" t="str">
        <f>IFERROR(__xludf.DUMMYFUNCTION("""COMPUTED_VALUE"""),"Xbox / PC")</f>
        <v>Xbox / PC</v>
      </c>
      <c r="C698" s="196" t="str">
        <f>IFERROR(__xludf.DUMMYFUNCTION("""COMPUTED_VALUE"""),"Yes")</f>
        <v>Yes</v>
      </c>
      <c r="D698" s="196" t="str">
        <f>IFERROR(__xludf.DUMMYFUNCTION("""COMPUTED_VALUE"""),"Removed")</f>
        <v>Removed</v>
      </c>
      <c r="E698" s="271">
        <f>IFERROR(__xludf.DUMMYFUNCTION("""COMPUTED_VALUE"""),43784.0)</f>
        <v>43784</v>
      </c>
      <c r="F698" s="271">
        <f>IFERROR(__xludf.DUMMYFUNCTION("""COMPUTED_VALUE"""),44151.0)</f>
        <v>44151</v>
      </c>
      <c r="G698" s="199">
        <f>IFERROR(__xludf.DUMMYFUNCTION("""COMPUTED_VALUE"""),12.033333333333333)</f>
        <v>12.03333333</v>
      </c>
      <c r="H698" s="210">
        <f>IFERROR(__xludf.DUMMYFUNCTION("""COMPUTED_VALUE"""),43005.0)</f>
        <v>43005</v>
      </c>
      <c r="I698" s="199">
        <f>IFERROR(__xludf.DUMMYFUNCTION("""COMPUTED_VALUE"""),2.1333333333333333)</f>
        <v>2.133333333</v>
      </c>
      <c r="J698" s="200">
        <f>IFERROR(__xludf.DUMMYFUNCTION("""COMPUTED_VALUE"""),69.0)</f>
        <v>69</v>
      </c>
      <c r="K698" s="200">
        <f>IFERROR(__xludf.DUMMYFUNCTION("""COMPUTED_VALUE"""),0.5)</f>
        <v>0.5</v>
      </c>
      <c r="L698" s="275" t="str">
        <f>IFERROR(__xludf.DUMMYFUNCTION("""COMPUTED_VALUE"""),"Simulation")</f>
        <v>Simulation</v>
      </c>
    </row>
    <row r="699">
      <c r="A699" s="190" t="str">
        <f>IFERROR(__xludf.DUMMYFUNCTION("""COMPUTED_VALUE"""),"The Talos Principle")</f>
        <v>The Talos Principle</v>
      </c>
      <c r="B699" s="195" t="str">
        <f>IFERROR(__xludf.DUMMYFUNCTION("""COMPUTED_VALUE"""),"Xbox / PC")</f>
        <v>Xbox / PC</v>
      </c>
      <c r="C699" s="196" t="str">
        <f>IFERROR(__xludf.DUMMYFUNCTION("""COMPUTED_VALUE"""),"Yes")</f>
        <v>Yes</v>
      </c>
      <c r="D699" s="196" t="str">
        <f>IFERROR(__xludf.DUMMYFUNCTION("""COMPUTED_VALUE"""),"Removed")</f>
        <v>Removed</v>
      </c>
      <c r="E699" s="271">
        <f>IFERROR(__xludf.DUMMYFUNCTION("""COMPUTED_VALUE"""),43783.0)</f>
        <v>43783</v>
      </c>
      <c r="F699" s="271">
        <f>IFERROR(__xludf.DUMMYFUNCTION("""COMPUTED_VALUE"""),44151.0)</f>
        <v>44151</v>
      </c>
      <c r="G699" s="199">
        <f>IFERROR(__xludf.DUMMYFUNCTION("""COMPUTED_VALUE"""),12.066666666666666)</f>
        <v>12.06666667</v>
      </c>
      <c r="H699" s="210">
        <f>IFERROR(__xludf.DUMMYFUNCTION("""COMPUTED_VALUE"""),41984.0)</f>
        <v>41984</v>
      </c>
      <c r="I699" s="199">
        <f>IFERROR(__xludf.DUMMYFUNCTION("""COMPUTED_VALUE"""),4.925)</f>
        <v>4.925</v>
      </c>
      <c r="J699" s="200">
        <f>IFERROR(__xludf.DUMMYFUNCTION("""COMPUTED_VALUE"""),72.0)</f>
        <v>72</v>
      </c>
      <c r="K699" s="200">
        <f>IFERROR(__xludf.DUMMYFUNCTION("""COMPUTED_VALUE"""),16.0)</f>
        <v>16</v>
      </c>
      <c r="L699" s="265" t="str">
        <f>IFERROR(__xludf.DUMMYFUNCTION("""COMPUTED_VALUE"""),"Adventure / Puzzle")</f>
        <v>Adventure / Puzzle</v>
      </c>
    </row>
    <row r="700">
      <c r="A700" s="269" t="str">
        <f>IFERROR(__xludf.DUMMYFUNCTION("""COMPUTED_VALUE"""),"The Lord of the Rings: Adventure Card Game")</f>
        <v>The Lord of the Rings: Adventure Card Game</v>
      </c>
      <c r="B700" s="195" t="str">
        <f>IFERROR(__xludf.DUMMYFUNCTION("""COMPUTED_VALUE"""),"Xbox / PC")</f>
        <v>Xbox / PC</v>
      </c>
      <c r="C700" s="196" t="str">
        <f>IFERROR(__xludf.DUMMYFUNCTION("""COMPUTED_VALUE"""),"Yes")</f>
        <v>Yes</v>
      </c>
      <c r="D700" s="196" t="str">
        <f>IFERROR(__xludf.DUMMYFUNCTION("""COMPUTED_VALUE"""),"Removed")</f>
        <v>Removed</v>
      </c>
      <c r="E700" s="271">
        <f>IFERROR(__xludf.DUMMYFUNCTION("""COMPUTED_VALUE"""),43774.0)</f>
        <v>43774</v>
      </c>
      <c r="F700" s="271">
        <f>IFERROR(__xludf.DUMMYFUNCTION("""COMPUTED_VALUE"""),44135.0)</f>
        <v>44135</v>
      </c>
      <c r="G700" s="199">
        <f>IFERROR(__xludf.DUMMYFUNCTION("""COMPUTED_VALUE"""),11.833333333333334)</f>
        <v>11.83333333</v>
      </c>
      <c r="H700" s="210">
        <f>IFERROR(__xludf.DUMMYFUNCTION("""COMPUTED_VALUE"""),43340.0)</f>
        <v>43340</v>
      </c>
      <c r="I700" s="199">
        <f>IFERROR(__xludf.DUMMYFUNCTION("""COMPUTED_VALUE"""),1.1861111111111111)</f>
        <v>1.186111111</v>
      </c>
      <c r="J700" s="200">
        <f>IFERROR(__xludf.DUMMYFUNCTION("""COMPUTED_VALUE"""),60.0)</f>
        <v>60</v>
      </c>
      <c r="K700" s="200">
        <f>IFERROR(__xludf.DUMMYFUNCTION("""COMPUTED_VALUE"""),10.0)</f>
        <v>10</v>
      </c>
      <c r="L700" s="265" t="str">
        <f>IFERROR(__xludf.DUMMYFUNCTION("""COMPUTED_VALUE"""),"Card Game")</f>
        <v>Card Game</v>
      </c>
    </row>
    <row r="701">
      <c r="A701" s="269" t="str">
        <f>IFERROR(__xludf.DUMMYFUNCTION("""COMPUTED_VALUE"""),"Lego Star Wars III: The Clone Wars")</f>
        <v>Lego Star Wars III: The Clone Wars</v>
      </c>
      <c r="B701" s="195" t="str">
        <f>IFERROR(__xludf.DUMMYFUNCTION("""COMPUTED_VALUE"""),"Xbox")</f>
        <v>Xbox</v>
      </c>
      <c r="C701" s="196"/>
      <c r="D701" s="196" t="str">
        <f>IFERROR(__xludf.DUMMYFUNCTION("""COMPUTED_VALUE"""),"Removed")</f>
        <v>Removed</v>
      </c>
      <c r="E701" s="271">
        <f>IFERROR(__xludf.DUMMYFUNCTION("""COMPUTED_VALUE"""),43769.0)</f>
        <v>43769</v>
      </c>
      <c r="F701" s="271">
        <f>IFERROR(__xludf.DUMMYFUNCTION("""COMPUTED_VALUE"""),44135.0)</f>
        <v>44135</v>
      </c>
      <c r="G701" s="199">
        <f>IFERROR(__xludf.DUMMYFUNCTION("""COMPUTED_VALUE"""),12.0)</f>
        <v>12</v>
      </c>
      <c r="H701" s="210">
        <f>IFERROR(__xludf.DUMMYFUNCTION("""COMPUTED_VALUE"""),40624.0)</f>
        <v>40624</v>
      </c>
      <c r="I701" s="199">
        <f>IFERROR(__xludf.DUMMYFUNCTION("""COMPUTED_VALUE"""),8.605555555555556)</f>
        <v>8.605555556</v>
      </c>
      <c r="J701" s="200">
        <f>IFERROR(__xludf.DUMMYFUNCTION("""COMPUTED_VALUE"""),75.0)</f>
        <v>75</v>
      </c>
      <c r="K701" s="200">
        <f>IFERROR(__xludf.DUMMYFUNCTION("""COMPUTED_VALUE"""),9.0)</f>
        <v>9</v>
      </c>
      <c r="L701" s="201" t="str">
        <f>IFERROR(__xludf.DUMMYFUNCTION("""COMPUTED_VALUE"""),"Action / Platformer")</f>
        <v>Action / Platformer</v>
      </c>
    </row>
    <row r="702">
      <c r="A702" s="269" t="str">
        <f>IFERROR(__xludf.DUMMYFUNCTION("""COMPUTED_VALUE"""),"Afterparty")</f>
        <v>Afterparty</v>
      </c>
      <c r="B702" s="195" t="str">
        <f>IFERROR(__xludf.DUMMYFUNCTION("""COMPUTED_VALUE"""),"Xbox")</f>
        <v>Xbox</v>
      </c>
      <c r="C702" s="196" t="str">
        <f>IFERROR(__xludf.DUMMYFUNCTION("""COMPUTED_VALUE"""),"Yes")</f>
        <v>Yes</v>
      </c>
      <c r="D702" s="196" t="str">
        <f>IFERROR(__xludf.DUMMYFUNCTION("""COMPUTED_VALUE"""),"Removed")</f>
        <v>Removed</v>
      </c>
      <c r="E702" s="271">
        <f>IFERROR(__xludf.DUMMYFUNCTION("""COMPUTED_VALUE"""),43767.0)</f>
        <v>43767</v>
      </c>
      <c r="F702" s="271">
        <f>IFERROR(__xludf.DUMMYFUNCTION("""COMPUTED_VALUE"""),44135.0)</f>
        <v>44135</v>
      </c>
      <c r="G702" s="199">
        <f>IFERROR(__xludf.DUMMYFUNCTION("""COMPUTED_VALUE"""),12.033333333333333)</f>
        <v>12.03333333</v>
      </c>
      <c r="H702" s="210">
        <f>IFERROR(__xludf.DUMMYFUNCTION("""COMPUTED_VALUE"""),43767.0)</f>
        <v>43767</v>
      </c>
      <c r="I702" s="199">
        <f>IFERROR(__xludf.DUMMYFUNCTION("""COMPUTED_VALUE"""),0.0)</f>
        <v>0</v>
      </c>
      <c r="J702" s="200">
        <f>IFERROR(__xludf.DUMMYFUNCTION("""COMPUTED_VALUE"""),73.0)</f>
        <v>73</v>
      </c>
      <c r="K702" s="200">
        <f>IFERROR(__xludf.DUMMYFUNCTION("""COMPUTED_VALUE"""),5.5)</f>
        <v>5.5</v>
      </c>
      <c r="L702" s="265" t="str">
        <f>IFERROR(__xludf.DUMMYFUNCTION("""COMPUTED_VALUE"""),"Adventure")</f>
        <v>Adventure</v>
      </c>
    </row>
    <row r="703">
      <c r="A703" s="190" t="str">
        <f>IFERROR(__xludf.DUMMYFUNCTION("""COMPUTED_VALUE"""),"The Red Strings Club")</f>
        <v>The Red Strings Club</v>
      </c>
      <c r="B703" s="195" t="str">
        <f>IFERROR(__xludf.DUMMYFUNCTION("""COMPUTED_VALUE"""),"PC")</f>
        <v>PC</v>
      </c>
      <c r="C703" s="196"/>
      <c r="D703" s="196" t="str">
        <f>IFERROR(__xludf.DUMMYFUNCTION("""COMPUTED_VALUE"""),"Removed")</f>
        <v>Removed</v>
      </c>
      <c r="E703" s="271">
        <f>IFERROR(__xludf.DUMMYFUNCTION("""COMPUTED_VALUE"""),43735.0)</f>
        <v>43735</v>
      </c>
      <c r="F703" s="271">
        <f>IFERROR(__xludf.DUMMYFUNCTION("""COMPUTED_VALUE"""),44135.0)</f>
        <v>44135</v>
      </c>
      <c r="G703" s="199">
        <f>IFERROR(__xludf.DUMMYFUNCTION("""COMPUTED_VALUE"""),13.099999999999998)</f>
        <v>13.1</v>
      </c>
      <c r="H703" s="210">
        <f>IFERROR(__xludf.DUMMYFUNCTION("""COMPUTED_VALUE"""),43122.0)</f>
        <v>43122</v>
      </c>
      <c r="I703" s="199">
        <f>IFERROR(__xludf.DUMMYFUNCTION("""COMPUTED_VALUE"""),1.6805555555555556)</f>
        <v>1.680555556</v>
      </c>
      <c r="J703" s="200">
        <f>IFERROR(__xludf.DUMMYFUNCTION("""COMPUTED_VALUE"""),80.0)</f>
        <v>80</v>
      </c>
      <c r="K703" s="200">
        <f>IFERROR(__xludf.DUMMYFUNCTION("""COMPUTED_VALUE"""),4.0)</f>
        <v>4</v>
      </c>
      <c r="L703" s="265" t="str">
        <f>IFERROR(__xludf.DUMMYFUNCTION("""COMPUTED_VALUE"""),"Adventure")</f>
        <v>Adventure</v>
      </c>
    </row>
    <row r="704">
      <c r="A704" s="269" t="str">
        <f>IFERROR(__xludf.DUMMYFUNCTION("""COMPUTED_VALUE"""),"Tacoma")</f>
        <v>Tacoma</v>
      </c>
      <c r="B704" s="195" t="str">
        <f>IFERROR(__xludf.DUMMYFUNCTION("""COMPUTED_VALUE"""),"PC")</f>
        <v>PC</v>
      </c>
      <c r="C704" s="196" t="str">
        <f>IFERROR(__xludf.DUMMYFUNCTION("""COMPUTED_VALUE"""),"Yes")</f>
        <v>Yes</v>
      </c>
      <c r="D704" s="196" t="str">
        <f>IFERROR(__xludf.DUMMYFUNCTION("""COMPUTED_VALUE"""),"Removed")</f>
        <v>Removed</v>
      </c>
      <c r="E704" s="271">
        <f>IFERROR(__xludf.DUMMYFUNCTION("""COMPUTED_VALUE"""),43594.0)</f>
        <v>43594</v>
      </c>
      <c r="F704" s="271">
        <f>IFERROR(__xludf.DUMMYFUNCTION("""COMPUTED_VALUE"""),44135.0)</f>
        <v>44135</v>
      </c>
      <c r="G704" s="199">
        <f>IFERROR(__xludf.DUMMYFUNCTION("""COMPUTED_VALUE"""),17.700000000000003)</f>
        <v>17.7</v>
      </c>
      <c r="H704" s="210">
        <f>IFERROR(__xludf.DUMMYFUNCTION("""COMPUTED_VALUE"""),42948.0)</f>
        <v>42948</v>
      </c>
      <c r="I704" s="199">
        <f>IFERROR(__xludf.DUMMYFUNCTION("""COMPUTED_VALUE"""),1.7722222222222221)</f>
        <v>1.772222222</v>
      </c>
      <c r="J704" s="200">
        <f>IFERROR(__xludf.DUMMYFUNCTION("""COMPUTED_VALUE"""),79.0)</f>
        <v>79</v>
      </c>
      <c r="K704" s="200">
        <f>IFERROR(__xludf.DUMMYFUNCTION("""COMPUTED_VALUE"""),2.5)</f>
        <v>2.5</v>
      </c>
      <c r="L704" s="265" t="str">
        <f>IFERROR(__xludf.DUMMYFUNCTION("""COMPUTED_VALUE"""),"Adventure")</f>
        <v>Adventure</v>
      </c>
    </row>
    <row r="705">
      <c r="A705" s="190" t="str">
        <f>IFERROR(__xludf.DUMMYFUNCTION("""COMPUTED_VALUE"""),"Rise &amp; Shine")</f>
        <v>Rise &amp; Shine</v>
      </c>
      <c r="B705" s="195" t="str">
        <f>IFERROR(__xludf.DUMMYFUNCTION("""COMPUTED_VALUE"""),"Xbox")</f>
        <v>Xbox</v>
      </c>
      <c r="C705" s="196" t="str">
        <f>IFERROR(__xludf.DUMMYFUNCTION("""COMPUTED_VALUE"""),"Yes")</f>
        <v>Yes</v>
      </c>
      <c r="D705" s="196" t="str">
        <f>IFERROR(__xludf.DUMMYFUNCTION("""COMPUTED_VALUE"""),"Removed")</f>
        <v>Removed</v>
      </c>
      <c r="E705" s="271">
        <f>IFERROR(__xludf.DUMMYFUNCTION("""COMPUTED_VALUE"""),43405.0)</f>
        <v>43405</v>
      </c>
      <c r="F705" s="271">
        <f>IFERROR(__xludf.DUMMYFUNCTION("""COMPUTED_VALUE"""),44135.0)</f>
        <v>44135</v>
      </c>
      <c r="G705" s="199">
        <f>IFERROR(__xludf.DUMMYFUNCTION("""COMPUTED_VALUE"""),23.96666666666667)</f>
        <v>23.96666667</v>
      </c>
      <c r="H705" s="210">
        <f>IFERROR(__xludf.DUMMYFUNCTION("""COMPUTED_VALUE"""),42860.0)</f>
        <v>42860</v>
      </c>
      <c r="I705" s="199">
        <f>IFERROR(__xludf.DUMMYFUNCTION("""COMPUTED_VALUE"""),1.488888888888889)</f>
        <v>1.488888889</v>
      </c>
      <c r="J705" s="267">
        <f>IFERROR(__xludf.DUMMYFUNCTION("""COMPUTED_VALUE"""),66.0)</f>
        <v>66</v>
      </c>
      <c r="K705" s="267">
        <f>IFERROR(__xludf.DUMMYFUNCTION("""COMPUTED_VALUE"""),2.5)</f>
        <v>2.5</v>
      </c>
      <c r="L705" s="265" t="str">
        <f>IFERROR(__xludf.DUMMYFUNCTION("""COMPUTED_VALUE"""),"MMORPG")</f>
        <v>MMORPG</v>
      </c>
    </row>
    <row r="706">
      <c r="A706" s="269" t="str">
        <f>IFERROR(__xludf.DUMMYFUNCTION("""COMPUTED_VALUE"""),"NBA LIVE 16")</f>
        <v>NBA LIVE 16</v>
      </c>
      <c r="B706" s="195" t="str">
        <f>IFERROR(__xludf.DUMMYFUNCTION("""COMPUTED_VALUE"""),"Xbox")</f>
        <v>Xbox</v>
      </c>
      <c r="C706" s="196"/>
      <c r="D706" s="196" t="str">
        <f>IFERROR(__xludf.DUMMYFUNCTION("""COMPUTED_VALUE"""),"Removed")</f>
        <v>Removed</v>
      </c>
      <c r="E706" s="271">
        <f>IFERROR(__xludf.DUMMYFUNCTION("""COMPUTED_VALUE"""),44145.0)</f>
        <v>44145</v>
      </c>
      <c r="F706" s="271">
        <f>IFERROR(__xludf.DUMMYFUNCTION("""COMPUTED_VALUE"""),44123.0)</f>
        <v>44123</v>
      </c>
      <c r="G706" s="199">
        <f>IFERROR(__xludf.DUMMYFUNCTION("""COMPUTED_VALUE"""),-0.7)</f>
        <v>-0.7</v>
      </c>
      <c r="H706" s="210">
        <f>IFERROR(__xludf.DUMMYFUNCTION("""COMPUTED_VALUE"""),42276.0)</f>
        <v>42276</v>
      </c>
      <c r="I706" s="199">
        <f>IFERROR(__xludf.DUMMYFUNCTION("""COMPUTED_VALUE"""),5.113888888888889)</f>
        <v>5.113888889</v>
      </c>
      <c r="J706" s="200">
        <f>IFERROR(__xludf.DUMMYFUNCTION("""COMPUTED_VALUE"""),60.0)</f>
        <v>60</v>
      </c>
      <c r="K706" s="200">
        <f>IFERROR(__xludf.DUMMYFUNCTION("""COMPUTED_VALUE"""),55.0)</f>
        <v>55</v>
      </c>
      <c r="L706" s="201" t="str">
        <f>IFERROR(__xludf.DUMMYFUNCTION("""COMPUTED_VALUE"""),"Sports / Basketball")</f>
        <v>Sports / Basketball</v>
      </c>
    </row>
    <row r="707">
      <c r="A707" s="269" t="str">
        <f>IFERROR(__xludf.DUMMYFUNCTION("""COMPUTED_VALUE"""),"State of Mind")</f>
        <v>State of Mind</v>
      </c>
      <c r="B707" s="195" t="str">
        <f>IFERROR(__xludf.DUMMYFUNCTION("""COMPUTED_VALUE"""),"PC")</f>
        <v>PC</v>
      </c>
      <c r="C707" s="196"/>
      <c r="D707" s="196" t="str">
        <f>IFERROR(__xludf.DUMMYFUNCTION("""COMPUTED_VALUE"""),"Removed")</f>
        <v>Removed</v>
      </c>
      <c r="E707" s="271">
        <f>IFERROR(__xludf.DUMMYFUNCTION("""COMPUTED_VALUE"""),43762.0)</f>
        <v>43762</v>
      </c>
      <c r="F707" s="271">
        <f>IFERROR(__xludf.DUMMYFUNCTION("""COMPUTED_VALUE"""),44119.0)</f>
        <v>44119</v>
      </c>
      <c r="G707" s="199">
        <f>IFERROR(__xludf.DUMMYFUNCTION("""COMPUTED_VALUE"""),11.7)</f>
        <v>11.7</v>
      </c>
      <c r="H707" s="210">
        <f>IFERROR(__xludf.DUMMYFUNCTION("""COMPUTED_VALUE"""),43327.0)</f>
        <v>43327</v>
      </c>
      <c r="I707" s="199">
        <f>IFERROR(__xludf.DUMMYFUNCTION("""COMPUTED_VALUE"""),1.1916666666666667)</f>
        <v>1.191666667</v>
      </c>
      <c r="J707" s="200">
        <f>IFERROR(__xludf.DUMMYFUNCTION("""COMPUTED_VALUE"""),69.0)</f>
        <v>69</v>
      </c>
      <c r="K707" s="200">
        <f>IFERROR(__xludf.DUMMYFUNCTION("""COMPUTED_VALUE"""),9.5)</f>
        <v>9.5</v>
      </c>
      <c r="L707" s="265" t="str">
        <f>IFERROR(__xludf.DUMMYFUNCTION("""COMPUTED_VALUE"""),"Adventure")</f>
        <v>Adventure</v>
      </c>
    </row>
    <row r="708">
      <c r="A708" s="269" t="str">
        <f>IFERROR(__xludf.DUMMYFUNCTION("""COMPUTED_VALUE"""),"Minit")</f>
        <v>Minit</v>
      </c>
      <c r="B708" s="195" t="str">
        <f>IFERROR(__xludf.DUMMYFUNCTION("""COMPUTED_VALUE"""),"Xbox / PC")</f>
        <v>Xbox / PC</v>
      </c>
      <c r="C708" s="196" t="str">
        <f>IFERROR(__xludf.DUMMYFUNCTION("""COMPUTED_VALUE"""),"Yes")</f>
        <v>Yes</v>
      </c>
      <c r="D708" s="196" t="str">
        <f>IFERROR(__xludf.DUMMYFUNCTION("""COMPUTED_VALUE"""),"Removed")</f>
        <v>Removed</v>
      </c>
      <c r="E708" s="271">
        <f>IFERROR(__xludf.DUMMYFUNCTION("""COMPUTED_VALUE"""),43760.0)</f>
        <v>43760</v>
      </c>
      <c r="F708" s="271">
        <f>IFERROR(__xludf.DUMMYFUNCTION("""COMPUTED_VALUE"""),44119.0)</f>
        <v>44119</v>
      </c>
      <c r="G708" s="199">
        <f>IFERROR(__xludf.DUMMYFUNCTION("""COMPUTED_VALUE"""),11.766666666666666)</f>
        <v>11.76666667</v>
      </c>
      <c r="H708" s="210">
        <f>IFERROR(__xludf.DUMMYFUNCTION("""COMPUTED_VALUE"""),43193.0)</f>
        <v>43193</v>
      </c>
      <c r="I708" s="199">
        <f>IFERROR(__xludf.DUMMYFUNCTION("""COMPUTED_VALUE"""),1.5527777777777778)</f>
        <v>1.552777778</v>
      </c>
      <c r="J708" s="200">
        <f>IFERROR(__xludf.DUMMYFUNCTION("""COMPUTED_VALUE"""),74.0)</f>
        <v>74</v>
      </c>
      <c r="K708" s="200">
        <f>IFERROR(__xludf.DUMMYFUNCTION("""COMPUTED_VALUE"""),1.5)</f>
        <v>1.5</v>
      </c>
      <c r="L708" s="201" t="str">
        <f>IFERROR(__xludf.DUMMYFUNCTION("""COMPUTED_VALUE"""),"Action-Adventure")</f>
        <v>Action-Adventure</v>
      </c>
    </row>
    <row r="709">
      <c r="A709" s="190" t="str">
        <f>IFERROR(__xludf.DUMMYFUNCTION("""COMPUTED_VALUE"""),"Felix the Reaper")</f>
        <v>Felix the Reaper</v>
      </c>
      <c r="B709" s="195" t="str">
        <f>IFERROR(__xludf.DUMMYFUNCTION("""COMPUTED_VALUE"""),"Xbox / PC")</f>
        <v>Xbox / PC</v>
      </c>
      <c r="C709" s="196" t="str">
        <f>IFERROR(__xludf.DUMMYFUNCTION("""COMPUTED_VALUE"""),"Yes")</f>
        <v>Yes</v>
      </c>
      <c r="D709" s="196" t="str">
        <f>IFERROR(__xludf.DUMMYFUNCTION("""COMPUTED_VALUE"""),"Removed")</f>
        <v>Removed</v>
      </c>
      <c r="E709" s="271">
        <f>IFERROR(__xludf.DUMMYFUNCTION("""COMPUTED_VALUE"""),43755.0)</f>
        <v>43755</v>
      </c>
      <c r="F709" s="271">
        <f>IFERROR(__xludf.DUMMYFUNCTION("""COMPUTED_VALUE"""),44119.0)</f>
        <v>44119</v>
      </c>
      <c r="G709" s="199">
        <f>IFERROR(__xludf.DUMMYFUNCTION("""COMPUTED_VALUE"""),11.933333333333334)</f>
        <v>11.93333333</v>
      </c>
      <c r="H709" s="210">
        <f>IFERROR(__xludf.DUMMYFUNCTION("""COMPUTED_VALUE"""),43755.0)</f>
        <v>43755</v>
      </c>
      <c r="I709" s="199">
        <f>IFERROR(__xludf.DUMMYFUNCTION("""COMPUTED_VALUE"""),0.0)</f>
        <v>0</v>
      </c>
      <c r="J709" s="200">
        <f>IFERROR(__xludf.DUMMYFUNCTION("""COMPUTED_VALUE"""),69.0)</f>
        <v>69</v>
      </c>
      <c r="K709" s="200">
        <f>IFERROR(__xludf.DUMMYFUNCTION("""COMPUTED_VALUE"""),4.5)</f>
        <v>4.5</v>
      </c>
      <c r="L709" s="265" t="str">
        <f>IFERROR(__xludf.DUMMYFUNCTION("""COMPUTED_VALUE"""),"Puzzle")</f>
        <v>Puzzle</v>
      </c>
    </row>
    <row r="710">
      <c r="A710" s="269" t="str">
        <f>IFERROR(__xludf.DUMMYFUNCTION("""COMPUTED_VALUE"""),"Metro 2033 Redux")</f>
        <v>Metro 2033 Redux</v>
      </c>
      <c r="B710" s="195" t="str">
        <f>IFERROR(__xludf.DUMMYFUNCTION("""COMPUTED_VALUE"""),"Xbox / PC")</f>
        <v>Xbox / PC</v>
      </c>
      <c r="C710" s="196" t="str">
        <f>IFERROR(__xludf.DUMMYFUNCTION("""COMPUTED_VALUE"""),"Yes")</f>
        <v>Yes</v>
      </c>
      <c r="D710" s="196" t="str">
        <f>IFERROR(__xludf.DUMMYFUNCTION("""COMPUTED_VALUE"""),"Removed")</f>
        <v>Removed</v>
      </c>
      <c r="E710" s="271">
        <f>IFERROR(__xludf.DUMMYFUNCTION("""COMPUTED_VALUE"""),43374.0)</f>
        <v>43374</v>
      </c>
      <c r="F710" s="271">
        <f>IFERROR(__xludf.DUMMYFUNCTION("""COMPUTED_VALUE"""),44119.0)</f>
        <v>44119</v>
      </c>
      <c r="G710" s="199">
        <f>IFERROR(__xludf.DUMMYFUNCTION("""COMPUTED_VALUE"""),24.466666666666665)</f>
        <v>24.46666667</v>
      </c>
      <c r="H710" s="210">
        <f>IFERROR(__xludf.DUMMYFUNCTION("""COMPUTED_VALUE"""),41877.0)</f>
        <v>41877</v>
      </c>
      <c r="I710" s="199">
        <f>IFERROR(__xludf.DUMMYFUNCTION("""COMPUTED_VALUE"""),4.097222222222222)</f>
        <v>4.097222222</v>
      </c>
      <c r="J710" s="200">
        <f>IFERROR(__xludf.DUMMYFUNCTION("""COMPUTED_VALUE"""),84.0)</f>
        <v>84</v>
      </c>
      <c r="K710" s="200">
        <f>IFERROR(__xludf.DUMMYFUNCTION("""COMPUTED_VALUE"""),9.0)</f>
        <v>9</v>
      </c>
      <c r="L710" s="265" t="str">
        <f>IFERROR(__xludf.DUMMYFUNCTION("""COMPUTED_VALUE"""),"Compilation / First-Person Shooter")</f>
        <v>Compilation / First-Person Shooter</v>
      </c>
    </row>
    <row r="711">
      <c r="A711" s="269" t="str">
        <f>IFERROR(__xludf.DUMMYFUNCTION("""COMPUTED_VALUE"""),"Saints Row IV: Re-Elected")</f>
        <v>Saints Row IV: Re-Elected</v>
      </c>
      <c r="B711" s="195" t="str">
        <f>IFERROR(__xludf.DUMMYFUNCTION("""COMPUTED_VALUE"""),"PC")</f>
        <v>PC</v>
      </c>
      <c r="C711" s="196"/>
      <c r="D711" s="196" t="str">
        <f>IFERROR(__xludf.DUMMYFUNCTION("""COMPUTED_VALUE"""),"Removed")</f>
        <v>Removed</v>
      </c>
      <c r="E711" s="271">
        <f>IFERROR(__xludf.DUMMYFUNCTION("""COMPUTED_VALUE"""),42887.0)</f>
        <v>42887</v>
      </c>
      <c r="F711" s="271">
        <f>IFERROR(__xludf.DUMMYFUNCTION("""COMPUTED_VALUE"""),44119.0)</f>
        <v>44119</v>
      </c>
      <c r="G711" s="199">
        <f>IFERROR(__xludf.DUMMYFUNCTION("""COMPUTED_VALUE"""),40.46666666666667)</f>
        <v>40.46666667</v>
      </c>
      <c r="H711" s="210">
        <f>IFERROR(__xludf.DUMMYFUNCTION("""COMPUTED_VALUE"""),41506.0)</f>
        <v>41506</v>
      </c>
      <c r="I711" s="199">
        <f>IFERROR(__xludf.DUMMYFUNCTION("""COMPUTED_VALUE"""),3.7805555555555554)</f>
        <v>3.780555556</v>
      </c>
      <c r="J711" s="200">
        <f>IFERROR(__xludf.DUMMYFUNCTION("""COMPUTED_VALUE"""),73.0)</f>
        <v>73</v>
      </c>
      <c r="K711" s="200">
        <f>IFERROR(__xludf.DUMMYFUNCTION("""COMPUTED_VALUE"""),14.5)</f>
        <v>14.5</v>
      </c>
      <c r="L711" s="265" t="str">
        <f>IFERROR(__xludf.DUMMYFUNCTION("""COMPUTED_VALUE"""),"Shooter / Action-Adventure")</f>
        <v>Shooter / Action-Adventure</v>
      </c>
    </row>
    <row r="712">
      <c r="A712" s="269" t="str">
        <f>IFERROR(__xludf.DUMMYFUNCTION("""COMPUTED_VALUE"""),"NHL 17")</f>
        <v>NHL 17</v>
      </c>
      <c r="B712" s="195" t="str">
        <f>IFERROR(__xludf.DUMMYFUNCTION("""COMPUTED_VALUE"""),"Xbox")</f>
        <v>Xbox</v>
      </c>
      <c r="C712" s="196"/>
      <c r="D712" s="196" t="str">
        <f>IFERROR(__xludf.DUMMYFUNCTION("""COMPUTED_VALUE"""),"Removed")</f>
        <v>Removed</v>
      </c>
      <c r="E712" s="271">
        <f>IFERROR(__xludf.DUMMYFUNCTION("""COMPUTED_VALUE"""),44145.0)</f>
        <v>44145</v>
      </c>
      <c r="F712" s="271">
        <f>IFERROR(__xludf.DUMMYFUNCTION("""COMPUTED_VALUE"""),44117.0)</f>
        <v>44117</v>
      </c>
      <c r="G712" s="199">
        <f>IFERROR(__xludf.DUMMYFUNCTION("""COMPUTED_VALUE"""),-0.8999999999999999)</f>
        <v>-0.9</v>
      </c>
      <c r="H712" s="210">
        <f>IFERROR(__xludf.DUMMYFUNCTION("""COMPUTED_VALUE"""),42626.0)</f>
        <v>42626</v>
      </c>
      <c r="I712" s="199">
        <f>IFERROR(__xludf.DUMMYFUNCTION("""COMPUTED_VALUE"""),4.158333333333333)</f>
        <v>4.158333333</v>
      </c>
      <c r="J712" s="200">
        <f>IFERROR(__xludf.DUMMYFUNCTION("""COMPUTED_VALUE"""),77.0)</f>
        <v>77</v>
      </c>
      <c r="K712" s="200">
        <f>IFERROR(__xludf.DUMMYFUNCTION("""COMPUTED_VALUE"""),42.0)</f>
        <v>42</v>
      </c>
      <c r="L712" s="265" t="str">
        <f>IFERROR(__xludf.DUMMYFUNCTION("""COMPUTED_VALUE"""),"Sports / Hockey")</f>
        <v>Sports / Hockey</v>
      </c>
    </row>
    <row r="713">
      <c r="A713" s="269" t="str">
        <f>IFERROR(__xludf.DUMMYFUNCTION("""COMPUTED_VALUE"""),"Panzer Dragoon Orta")</f>
        <v>Panzer Dragoon Orta</v>
      </c>
      <c r="B713" s="195" t="str">
        <f>IFERROR(__xludf.DUMMYFUNCTION("""COMPUTED_VALUE"""),"Xbox")</f>
        <v>Xbox</v>
      </c>
      <c r="C713" s="196"/>
      <c r="D713" s="196" t="str">
        <f>IFERROR(__xludf.DUMMYFUNCTION("""COMPUTED_VALUE"""),"Removed")</f>
        <v>Removed</v>
      </c>
      <c r="E713" s="271">
        <f>IFERROR(__xludf.DUMMYFUNCTION("""COMPUTED_VALUE"""),43739.0)</f>
        <v>43739</v>
      </c>
      <c r="F713" s="271">
        <f>IFERROR(__xludf.DUMMYFUNCTION("""COMPUTED_VALUE"""),44104.0)</f>
        <v>44104</v>
      </c>
      <c r="G713" s="199">
        <f>IFERROR(__xludf.DUMMYFUNCTION("""COMPUTED_VALUE"""),11.966666666666667)</f>
        <v>11.96666667</v>
      </c>
      <c r="H713" s="210">
        <f>IFERROR(__xludf.DUMMYFUNCTION("""COMPUTED_VALUE"""),37635.0)</f>
        <v>37635</v>
      </c>
      <c r="I713" s="199">
        <f>IFERROR(__xludf.DUMMYFUNCTION("""COMPUTED_VALUE"""),16.71388888888889)</f>
        <v>16.71388889</v>
      </c>
      <c r="J713" s="200">
        <f>IFERROR(__xludf.DUMMYFUNCTION("""COMPUTED_VALUE"""),90.0)</f>
        <v>90</v>
      </c>
      <c r="K713" s="200">
        <f>IFERROR(__xludf.DUMMYFUNCTION("""COMPUTED_VALUE"""),4.0)</f>
        <v>4</v>
      </c>
      <c r="L713" s="265" t="str">
        <f>IFERROR(__xludf.DUMMYFUNCTION("""COMPUTED_VALUE"""),"Action / Shooter")</f>
        <v>Action / Shooter</v>
      </c>
    </row>
    <row r="714">
      <c r="A714" s="269" t="str">
        <f>IFERROR(__xludf.DUMMYFUNCTION("""COMPUTED_VALUE"""),"Bad North: Jotunn Edition")</f>
        <v>Bad North: Jotunn Edition</v>
      </c>
      <c r="B714" s="195" t="str">
        <f>IFERROR(__xludf.DUMMYFUNCTION("""COMPUTED_VALUE"""),"Xbox / PC")</f>
        <v>Xbox / PC</v>
      </c>
      <c r="C714" s="196"/>
      <c r="D714" s="196" t="str">
        <f>IFERROR(__xludf.DUMMYFUNCTION("""COMPUTED_VALUE"""),"Removed")</f>
        <v>Removed</v>
      </c>
      <c r="E714" s="271">
        <f>IFERROR(__xludf.DUMMYFUNCTION("""COMPUTED_VALUE"""),43734.0)</f>
        <v>43734</v>
      </c>
      <c r="F714" s="271">
        <f>IFERROR(__xludf.DUMMYFUNCTION("""COMPUTED_VALUE"""),44104.0)</f>
        <v>44104</v>
      </c>
      <c r="G714" s="199">
        <f>IFERROR(__xludf.DUMMYFUNCTION("""COMPUTED_VALUE"""),12.133333333333333)</f>
        <v>12.13333333</v>
      </c>
      <c r="H714" s="210">
        <f>IFERROR(__xludf.DUMMYFUNCTION("""COMPUTED_VALUE"""),43332.0)</f>
        <v>43332</v>
      </c>
      <c r="I714" s="199">
        <f>IFERROR(__xludf.DUMMYFUNCTION("""COMPUTED_VALUE"""),1.1)</f>
        <v>1.1</v>
      </c>
      <c r="J714" s="200">
        <f>IFERROR(__xludf.DUMMYFUNCTION("""COMPUTED_VALUE"""),65.0)</f>
        <v>65</v>
      </c>
      <c r="K714" s="200">
        <f>IFERROR(__xludf.DUMMYFUNCTION("""COMPUTED_VALUE"""),5.5)</f>
        <v>5.5</v>
      </c>
      <c r="L714" s="265" t="str">
        <f>IFERROR(__xludf.DUMMYFUNCTION("""COMPUTED_VALUE"""),"Real-Time Strategy")</f>
        <v>Real-Time Strategy</v>
      </c>
    </row>
    <row r="715">
      <c r="A715" s="269" t="str">
        <f>IFERROR(__xludf.DUMMYFUNCTION("""COMPUTED_VALUE"""),"Westerado: Double Barreled")</f>
        <v>Westerado: Double Barreled</v>
      </c>
      <c r="B715" s="195" t="str">
        <f>IFERROR(__xludf.DUMMYFUNCTION("""COMPUTED_VALUE"""),"Xbox")</f>
        <v>Xbox</v>
      </c>
      <c r="C715" s="196"/>
      <c r="D715" s="196" t="str">
        <f>IFERROR(__xludf.DUMMYFUNCTION("""COMPUTED_VALUE"""),"Removed")</f>
        <v>Removed</v>
      </c>
      <c r="E715" s="271">
        <f>IFERROR(__xludf.DUMMYFUNCTION("""COMPUTED_VALUE"""),43374.0)</f>
        <v>43374</v>
      </c>
      <c r="F715" s="271">
        <f>IFERROR(__xludf.DUMMYFUNCTION("""COMPUTED_VALUE"""),44104.0)</f>
        <v>44104</v>
      </c>
      <c r="G715" s="199">
        <f>IFERROR(__xludf.DUMMYFUNCTION("""COMPUTED_VALUE"""),23.96666666666667)</f>
        <v>23.96666667</v>
      </c>
      <c r="H715" s="210">
        <f>IFERROR(__xludf.DUMMYFUNCTION("""COMPUTED_VALUE"""),42110.0)</f>
        <v>42110</v>
      </c>
      <c r="I715" s="199">
        <f>IFERROR(__xludf.DUMMYFUNCTION("""COMPUTED_VALUE"""),3.4583333333333335)</f>
        <v>3.458333333</v>
      </c>
      <c r="J715" s="200">
        <f>IFERROR(__xludf.DUMMYFUNCTION("""COMPUTED_VALUE"""),80.0)</f>
        <v>80</v>
      </c>
      <c r="K715" s="200">
        <f>IFERROR(__xludf.DUMMYFUNCTION("""COMPUTED_VALUE"""),2.5)</f>
        <v>2.5</v>
      </c>
      <c r="L715" s="265" t="str">
        <f>IFERROR(__xludf.DUMMYFUNCTION("""COMPUTED_VALUE"""),"Action-Adventure")</f>
        <v>Action-Adventure</v>
      </c>
    </row>
    <row r="716">
      <c r="A716" s="269" t="str">
        <f>IFERROR(__xludf.DUMMYFUNCTION("""COMPUTED_VALUE"""),"Rocket League")</f>
        <v>Rocket League</v>
      </c>
      <c r="B716" s="195" t="str">
        <f>IFERROR(__xludf.DUMMYFUNCTION("""COMPUTED_VALUE"""),"Xbox")</f>
        <v>Xbox</v>
      </c>
      <c r="C716" s="196"/>
      <c r="D716" s="196" t="str">
        <f>IFERROR(__xludf.DUMMYFUNCTION("""COMPUTED_VALUE"""),"Removed")</f>
        <v>Removed</v>
      </c>
      <c r="E716" s="271">
        <f>IFERROR(__xludf.DUMMYFUNCTION("""COMPUTED_VALUE"""),43292.0)</f>
        <v>43292</v>
      </c>
      <c r="F716" s="271">
        <f>IFERROR(__xludf.DUMMYFUNCTION("""COMPUTED_VALUE"""),44096.0)</f>
        <v>44096</v>
      </c>
      <c r="G716" s="199">
        <f>IFERROR(__xludf.DUMMYFUNCTION("""COMPUTED_VALUE"""),26.366666666666667)</f>
        <v>26.36666667</v>
      </c>
      <c r="H716" s="210">
        <f>IFERROR(__xludf.DUMMYFUNCTION("""COMPUTED_VALUE"""),42192.0)</f>
        <v>42192</v>
      </c>
      <c r="I716" s="199">
        <f>IFERROR(__xludf.DUMMYFUNCTION("""COMPUTED_VALUE"""),3.011111111111111)</f>
        <v>3.011111111</v>
      </c>
      <c r="J716" s="200">
        <f>IFERROR(__xludf.DUMMYFUNCTION("""COMPUTED_VALUE"""),87.0)</f>
        <v>87</v>
      </c>
      <c r="K716" s="200">
        <f>IFERROR(__xludf.DUMMYFUNCTION("""COMPUTED_VALUE"""),4.0)</f>
        <v>4</v>
      </c>
      <c r="L716" s="265" t="str">
        <f>IFERROR(__xludf.DUMMYFUNCTION("""COMPUTED_VALUE"""),"Driving/Racing / Vehicular Combat / Soccer")</f>
        <v>Driving/Racing / Vehicular Combat / Soccer</v>
      </c>
    </row>
    <row r="717">
      <c r="A717" s="269" t="str">
        <f>IFERROR(__xludf.DUMMYFUNCTION("""COMPUTED_VALUE"""),"NBA 2K20")</f>
        <v>NBA 2K20</v>
      </c>
      <c r="B717" s="195" t="str">
        <f>IFERROR(__xludf.DUMMYFUNCTION("""COMPUTED_VALUE"""),"Xbox")</f>
        <v>Xbox</v>
      </c>
      <c r="C717" s="196"/>
      <c r="D717" s="196" t="str">
        <f>IFERROR(__xludf.DUMMYFUNCTION("""COMPUTED_VALUE"""),"Removed")</f>
        <v>Removed</v>
      </c>
      <c r="E717" s="271">
        <f>IFERROR(__xludf.DUMMYFUNCTION("""COMPUTED_VALUE"""),43895.0)</f>
        <v>43895</v>
      </c>
      <c r="F717" s="271">
        <f>IFERROR(__xludf.DUMMYFUNCTION("""COMPUTED_VALUE"""),44089.0)</f>
        <v>44089</v>
      </c>
      <c r="G717" s="199">
        <f>IFERROR(__xludf.DUMMYFUNCTION("""COMPUTED_VALUE"""),6.333333333333334)</f>
        <v>6.333333333</v>
      </c>
      <c r="H717" s="210">
        <f>IFERROR(__xludf.DUMMYFUNCTION("""COMPUTED_VALUE"""),43714.0)</f>
        <v>43714</v>
      </c>
      <c r="I717" s="199">
        <f>IFERROR(__xludf.DUMMYFUNCTION("""COMPUTED_VALUE"""),0.49722222222222223)</f>
        <v>0.4972222222</v>
      </c>
      <c r="J717" s="200">
        <f>IFERROR(__xludf.DUMMYFUNCTION("""COMPUTED_VALUE"""),80.0)</f>
        <v>80</v>
      </c>
      <c r="K717" s="200">
        <f>IFERROR(__xludf.DUMMYFUNCTION("""COMPUTED_VALUE"""),53.0)</f>
        <v>53</v>
      </c>
      <c r="L717" s="265" t="str">
        <f>IFERROR(__xludf.DUMMYFUNCTION("""COMPUTED_VALUE"""),"Sports / Basketball")</f>
        <v>Sports / Basketball</v>
      </c>
    </row>
    <row r="718">
      <c r="A718" s="190" t="str">
        <f>IFERROR(__xludf.DUMMYFUNCTION("""COMPUTED_VALUE"""),"Jump Force")</f>
        <v>Jump Force</v>
      </c>
      <c r="B718" s="195" t="str">
        <f>IFERROR(__xludf.DUMMYFUNCTION("""COMPUTED_VALUE"""),"Xbox")</f>
        <v>Xbox</v>
      </c>
      <c r="C718" s="196"/>
      <c r="D718" s="196" t="str">
        <f>IFERROR(__xludf.DUMMYFUNCTION("""COMPUTED_VALUE"""),"Removed")</f>
        <v>Removed</v>
      </c>
      <c r="E718" s="271">
        <f>IFERROR(__xludf.DUMMYFUNCTION("""COMPUTED_VALUE"""),43727.0)</f>
        <v>43727</v>
      </c>
      <c r="F718" s="271">
        <f>IFERROR(__xludf.DUMMYFUNCTION("""COMPUTED_VALUE"""),44089.0)</f>
        <v>44089</v>
      </c>
      <c r="G718" s="199">
        <f>IFERROR(__xludf.DUMMYFUNCTION("""COMPUTED_VALUE"""),11.866666666666667)</f>
        <v>11.86666667</v>
      </c>
      <c r="H718" s="210">
        <f>IFERROR(__xludf.DUMMYFUNCTION("""COMPUTED_VALUE"""),43508.0)</f>
        <v>43508</v>
      </c>
      <c r="I718" s="199">
        <f>IFERROR(__xludf.DUMMYFUNCTION("""COMPUTED_VALUE"""),0.6027777777777777)</f>
        <v>0.6027777778</v>
      </c>
      <c r="J718" s="200">
        <f>IFERROR(__xludf.DUMMYFUNCTION("""COMPUTED_VALUE"""),61.0)</f>
        <v>61</v>
      </c>
      <c r="K718" s="200">
        <f>IFERROR(__xludf.DUMMYFUNCTION("""COMPUTED_VALUE"""),12.5)</f>
        <v>12.5</v>
      </c>
      <c r="L718" s="201" t="str">
        <f>IFERROR(__xludf.DUMMYFUNCTION("""COMPUTED_VALUE"""),"Fighting")</f>
        <v>Fighting</v>
      </c>
    </row>
    <row r="719">
      <c r="A719" s="269" t="str">
        <f>IFERROR(__xludf.DUMMYFUNCTION("""COMPUTED_VALUE"""),"GoNNER: Blueberry Edition")</f>
        <v>GoNNER: Blueberry Edition</v>
      </c>
      <c r="B719" s="195" t="str">
        <f>IFERROR(__xludf.DUMMYFUNCTION("""COMPUTED_VALUE"""),"Xbox / PC")</f>
        <v>Xbox / PC</v>
      </c>
      <c r="C719" s="196"/>
      <c r="D719" s="196" t="str">
        <f>IFERROR(__xludf.DUMMYFUNCTION("""COMPUTED_VALUE"""),"Removed")</f>
        <v>Removed</v>
      </c>
      <c r="E719" s="271">
        <f>IFERROR(__xludf.DUMMYFUNCTION("""COMPUTED_VALUE"""),43720.0)</f>
        <v>43720</v>
      </c>
      <c r="F719" s="271">
        <f>IFERROR(__xludf.DUMMYFUNCTION("""COMPUTED_VALUE"""),44089.0)</f>
        <v>44089</v>
      </c>
      <c r="G719" s="199">
        <f>IFERROR(__xludf.DUMMYFUNCTION("""COMPUTED_VALUE"""),12.1)</f>
        <v>12.1</v>
      </c>
      <c r="H719" s="210">
        <f>IFERROR(__xludf.DUMMYFUNCTION("""COMPUTED_VALUE"""),43157.0)</f>
        <v>43157</v>
      </c>
      <c r="I719" s="199">
        <f>IFERROR(__xludf.DUMMYFUNCTION("""COMPUTED_VALUE"""),1.5444444444444445)</f>
        <v>1.544444444</v>
      </c>
      <c r="J719" s="200">
        <f>IFERROR(__xludf.DUMMYFUNCTION("""COMPUTED_VALUE"""),60.0)</f>
        <v>60</v>
      </c>
      <c r="K719" s="200">
        <f>IFERROR(__xludf.DUMMYFUNCTION("""COMPUTED_VALUE"""),8.0)</f>
        <v>8</v>
      </c>
      <c r="L719" s="265" t="str">
        <f>IFERROR(__xludf.DUMMYFUNCTION("""COMPUTED_VALUE"""),"Simulation / Music/Rhythm")</f>
        <v>Simulation / Music/Rhythm</v>
      </c>
    </row>
    <row r="720">
      <c r="A720" s="269" t="str">
        <f>IFERROR(__xludf.DUMMYFUNCTION("""COMPUTED_VALUE"""),"Red Dead Redemption 2")</f>
        <v>Red Dead Redemption 2</v>
      </c>
      <c r="B720" s="195" t="str">
        <f>IFERROR(__xludf.DUMMYFUNCTION("""COMPUTED_VALUE"""),"Xbox")</f>
        <v>Xbox</v>
      </c>
      <c r="C720" s="196"/>
      <c r="D720" s="196" t="str">
        <f>IFERROR(__xludf.DUMMYFUNCTION("""COMPUTED_VALUE"""),"Removed")</f>
        <v>Removed</v>
      </c>
      <c r="E720" s="271">
        <f>IFERROR(__xludf.DUMMYFUNCTION("""COMPUTED_VALUE"""),43958.0)</f>
        <v>43958</v>
      </c>
      <c r="F720" s="271">
        <f>IFERROR(__xludf.DUMMYFUNCTION("""COMPUTED_VALUE"""),44081.0)</f>
        <v>44081</v>
      </c>
      <c r="G720" s="199">
        <f>IFERROR(__xludf.DUMMYFUNCTION("""COMPUTED_VALUE"""),4.0)</f>
        <v>4</v>
      </c>
      <c r="H720" s="210">
        <f>IFERROR(__xludf.DUMMYFUNCTION("""COMPUTED_VALUE"""),43399.0)</f>
        <v>43399</v>
      </c>
      <c r="I720" s="199">
        <f>IFERROR(__xludf.DUMMYFUNCTION("""COMPUTED_VALUE"""),1.5305555555555554)</f>
        <v>1.530555556</v>
      </c>
      <c r="J720" s="200">
        <f>IFERROR(__xludf.DUMMYFUNCTION("""COMPUTED_VALUE"""),97.0)</f>
        <v>97</v>
      </c>
      <c r="K720" s="200">
        <f>IFERROR(__xludf.DUMMYFUNCTION("""COMPUTED_VALUE"""),47.5)</f>
        <v>47.5</v>
      </c>
      <c r="L720" s="265" t="str">
        <f>IFERROR(__xludf.DUMMYFUNCTION("""COMPUTED_VALUE"""),"Action / Action-Adventure")</f>
        <v>Action / Action-Adventure</v>
      </c>
    </row>
    <row r="721">
      <c r="A721" s="269" t="str">
        <f>IFERROR(__xludf.DUMMYFUNCTION("""COMPUTED_VALUE"""),"The Jackbox Party Pack 3")</f>
        <v>The Jackbox Party Pack 3</v>
      </c>
      <c r="B721" s="195" t="str">
        <f>IFERROR(__xludf.DUMMYFUNCTION("""COMPUTED_VALUE"""),"Xbox")</f>
        <v>Xbox</v>
      </c>
      <c r="C721" s="196"/>
      <c r="D721" s="196" t="str">
        <f>IFERROR(__xludf.DUMMYFUNCTION("""COMPUTED_VALUE"""),"Removed")</f>
        <v>Removed</v>
      </c>
      <c r="E721" s="271">
        <f>IFERROR(__xludf.DUMMYFUNCTION("""COMPUTED_VALUE"""),43888.0)</f>
        <v>43888</v>
      </c>
      <c r="F721" s="271">
        <f>IFERROR(__xludf.DUMMYFUNCTION("""COMPUTED_VALUE"""),44074.0)</f>
        <v>44074</v>
      </c>
      <c r="G721" s="199">
        <f>IFERROR(__xludf.DUMMYFUNCTION("""COMPUTED_VALUE"""),6.1)</f>
        <v>6.1</v>
      </c>
      <c r="H721" s="210">
        <f>IFERROR(__xludf.DUMMYFUNCTION("""COMPUTED_VALUE"""),42660.0)</f>
        <v>42660</v>
      </c>
      <c r="I721" s="199">
        <f>IFERROR(__xludf.DUMMYFUNCTION("""COMPUTED_VALUE"""),3.361111111111111)</f>
        <v>3.361111111</v>
      </c>
      <c r="J721" s="200">
        <f>IFERROR(__xludf.DUMMYFUNCTION("""COMPUTED_VALUE"""),80.0)</f>
        <v>80</v>
      </c>
      <c r="K721" s="200">
        <f>IFERROR(__xludf.DUMMYFUNCTION("""COMPUTED_VALUE"""),2.5)</f>
        <v>2.5</v>
      </c>
      <c r="L721" s="265" t="str">
        <f>IFERROR(__xludf.DUMMYFUNCTION("""COMPUTED_VALUE"""),"Trivia/Board Game / Minigame Collection")</f>
        <v>Trivia/Board Game / Minigame Collection</v>
      </c>
    </row>
    <row r="722">
      <c r="A722" s="269" t="str">
        <f>IFERROR(__xludf.DUMMYFUNCTION("""COMPUTED_VALUE"""),"Creature in the Well")</f>
        <v>Creature in the Well</v>
      </c>
      <c r="B722" s="195" t="str">
        <f>IFERROR(__xludf.DUMMYFUNCTION("""COMPUTED_VALUE"""),"Xbox / PC")</f>
        <v>Xbox / PC</v>
      </c>
      <c r="C722" s="196"/>
      <c r="D722" s="196" t="str">
        <f>IFERROR(__xludf.DUMMYFUNCTION("""COMPUTED_VALUE"""),"Removed")</f>
        <v>Removed</v>
      </c>
      <c r="E722" s="271">
        <f>IFERROR(__xludf.DUMMYFUNCTION("""COMPUTED_VALUE"""),43714.0)</f>
        <v>43714</v>
      </c>
      <c r="F722" s="271">
        <f>IFERROR(__xludf.DUMMYFUNCTION("""COMPUTED_VALUE"""),44074.0)</f>
        <v>44074</v>
      </c>
      <c r="G722" s="199">
        <f>IFERROR(__xludf.DUMMYFUNCTION("""COMPUTED_VALUE"""),11.799999999999999)</f>
        <v>11.8</v>
      </c>
      <c r="H722" s="210">
        <f>IFERROR(__xludf.DUMMYFUNCTION("""COMPUTED_VALUE"""),43714.0)</f>
        <v>43714</v>
      </c>
      <c r="I722" s="199">
        <f>IFERROR(__xludf.DUMMYFUNCTION("""COMPUTED_VALUE"""),0.0)</f>
        <v>0</v>
      </c>
      <c r="J722" s="200">
        <f>IFERROR(__xludf.DUMMYFUNCTION("""COMPUTED_VALUE"""),78.0)</f>
        <v>78</v>
      </c>
      <c r="K722" s="200">
        <f>IFERROR(__xludf.DUMMYFUNCTION("""COMPUTED_VALUE"""),4.0)</f>
        <v>4</v>
      </c>
      <c r="L722" s="265" t="str">
        <f>IFERROR(__xludf.DUMMYFUNCTION("""COMPUTED_VALUE"""),"Pinball / Action-Adventure")</f>
        <v>Pinball / Action-Adventure</v>
      </c>
    </row>
    <row r="723">
      <c r="A723" s="269" t="str">
        <f>IFERROR(__xludf.DUMMYFUNCTION("""COMPUTED_VALUE"""),"Metal Gear Solid HD Edition: 2 &amp; 3")</f>
        <v>Metal Gear Solid HD Edition: 2 &amp; 3</v>
      </c>
      <c r="B723" s="195" t="str">
        <f>IFERROR(__xludf.DUMMYFUNCTION("""COMPUTED_VALUE"""),"Xbox")</f>
        <v>Xbox</v>
      </c>
      <c r="C723" s="196"/>
      <c r="D723" s="196" t="str">
        <f>IFERROR(__xludf.DUMMYFUNCTION("""COMPUTED_VALUE"""),"Removed")</f>
        <v>Removed</v>
      </c>
      <c r="E723" s="271">
        <f>IFERROR(__xludf.DUMMYFUNCTION("""COMPUTED_VALUE"""),43713.0)</f>
        <v>43713</v>
      </c>
      <c r="F723" s="271">
        <f>IFERROR(__xludf.DUMMYFUNCTION("""COMPUTED_VALUE"""),44074.0)</f>
        <v>44074</v>
      </c>
      <c r="G723" s="199">
        <f>IFERROR(__xludf.DUMMYFUNCTION("""COMPUTED_VALUE"""),11.833333333333334)</f>
        <v>11.83333333</v>
      </c>
      <c r="H723" s="210">
        <f>IFERROR(__xludf.DUMMYFUNCTION("""COMPUTED_VALUE"""),40855.0)</f>
        <v>40855</v>
      </c>
      <c r="I723" s="199">
        <f>IFERROR(__xludf.DUMMYFUNCTION("""COMPUTED_VALUE"""),7.825)</f>
        <v>7.825</v>
      </c>
      <c r="J723" s="200">
        <f>IFERROR(__xludf.DUMMYFUNCTION("""COMPUTED_VALUE"""),90.0)</f>
        <v>90</v>
      </c>
      <c r="K723" s="200">
        <f>IFERROR(__xludf.DUMMYFUNCTION("""COMPUTED_VALUE"""),53.5)</f>
        <v>53.5</v>
      </c>
      <c r="L723" s="265" t="str">
        <f>IFERROR(__xludf.DUMMYFUNCTION("""COMPUTED_VALUE"""),"Action-Adventure")</f>
        <v>Action-Adventure</v>
      </c>
    </row>
    <row r="724">
      <c r="A724" s="269" t="str">
        <f>IFERROR(__xludf.DUMMYFUNCTION("""COMPUTED_VALUE"""),"Giana Sisters: Twisted Dreams - Director's Cut")</f>
        <v>Giana Sisters: Twisted Dreams - Director's Cut</v>
      </c>
      <c r="B724" s="195" t="str">
        <f>IFERROR(__xludf.DUMMYFUNCTION("""COMPUTED_VALUE"""),"Xbox")</f>
        <v>Xbox</v>
      </c>
      <c r="C724" s="196"/>
      <c r="D724" s="196" t="str">
        <f>IFERROR(__xludf.DUMMYFUNCTION("""COMPUTED_VALUE"""),"Removed")</f>
        <v>Removed</v>
      </c>
      <c r="E724" s="271">
        <f>IFERROR(__xludf.DUMMYFUNCTION("""COMPUTED_VALUE"""),43344.0)</f>
        <v>43344</v>
      </c>
      <c r="F724" s="271">
        <f>IFERROR(__xludf.DUMMYFUNCTION("""COMPUTED_VALUE"""),44074.0)</f>
        <v>44074</v>
      </c>
      <c r="G724" s="199">
        <f>IFERROR(__xludf.DUMMYFUNCTION("""COMPUTED_VALUE"""),23.96666666666667)</f>
        <v>23.96666667</v>
      </c>
      <c r="H724" s="210">
        <f>IFERROR(__xludf.DUMMYFUNCTION("""COMPUTED_VALUE"""),41205.0)</f>
        <v>41205</v>
      </c>
      <c r="I724" s="199">
        <f>IFERROR(__xludf.DUMMYFUNCTION("""COMPUTED_VALUE"""),5.855555555555555)</f>
        <v>5.855555556</v>
      </c>
      <c r="J724" s="200">
        <f>IFERROR(__xludf.DUMMYFUNCTION("""COMPUTED_VALUE"""),80.0)</f>
        <v>80</v>
      </c>
      <c r="K724" s="200">
        <f>IFERROR(__xludf.DUMMYFUNCTION("""COMPUTED_VALUE"""),7.0)</f>
        <v>7</v>
      </c>
      <c r="L724" s="201" t="str">
        <f>IFERROR(__xludf.DUMMYFUNCTION("""COMPUTED_VALUE"""),"Platformer")</f>
        <v>Platformer</v>
      </c>
    </row>
    <row r="725">
      <c r="A725" s="190" t="str">
        <f>IFERROR(__xludf.DUMMYFUNCTION("""COMPUTED_VALUE"""),"Kingdom Come: Deliverance")</f>
        <v>Kingdom Come: Deliverance</v>
      </c>
      <c r="B725" s="195" t="str">
        <f>IFERROR(__xludf.DUMMYFUNCTION("""COMPUTED_VALUE"""),"Xbox / PC")</f>
        <v>Xbox / PC</v>
      </c>
      <c r="C725" s="196"/>
      <c r="D725" s="196" t="str">
        <f>IFERROR(__xludf.DUMMYFUNCTION("""COMPUTED_VALUE"""),"Removed")</f>
        <v>Removed</v>
      </c>
      <c r="E725" s="271">
        <f>IFERROR(__xludf.DUMMYFUNCTION("""COMPUTED_VALUE"""),43699.0)</f>
        <v>43699</v>
      </c>
      <c r="F725" s="271">
        <f>IFERROR(__xludf.DUMMYFUNCTION("""COMPUTED_VALUE"""),44057.0)</f>
        <v>44057</v>
      </c>
      <c r="G725" s="199">
        <f>IFERROR(__xludf.DUMMYFUNCTION("""COMPUTED_VALUE"""),11.733333333333333)</f>
        <v>11.73333333</v>
      </c>
      <c r="H725" s="210">
        <f>IFERROR(__xludf.DUMMYFUNCTION("""COMPUTED_VALUE"""),43144.0)</f>
        <v>43144</v>
      </c>
      <c r="I725" s="199">
        <f>IFERROR(__xludf.DUMMYFUNCTION("""COMPUTED_VALUE"""),1.525)</f>
        <v>1.525</v>
      </c>
      <c r="J725" s="200">
        <f>IFERROR(__xludf.DUMMYFUNCTION("""COMPUTED_VALUE"""),68.0)</f>
        <v>68</v>
      </c>
      <c r="K725" s="200">
        <f>IFERROR(__xludf.DUMMYFUNCTION("""COMPUTED_VALUE"""),40.0)</f>
        <v>40</v>
      </c>
      <c r="L725" s="275" t="str">
        <f>IFERROR(__xludf.DUMMYFUNCTION("""COMPUTED_VALUE"""),"Action / RPG")</f>
        <v>Action / RPG</v>
      </c>
    </row>
    <row r="726">
      <c r="A726" s="269" t="str">
        <f>IFERROR(__xludf.DUMMYFUNCTION("""COMPUTED_VALUE"""),"Devil May Cry 5")</f>
        <v>Devil May Cry 5</v>
      </c>
      <c r="B726" s="195" t="str">
        <f>IFERROR(__xludf.DUMMYFUNCTION("""COMPUTED_VALUE"""),"Xbox")</f>
        <v>Xbox</v>
      </c>
      <c r="C726" s="196"/>
      <c r="D726" s="196" t="str">
        <f>IFERROR(__xludf.DUMMYFUNCTION("""COMPUTED_VALUE"""),"Removed")</f>
        <v>Removed</v>
      </c>
      <c r="E726" s="271">
        <f>IFERROR(__xludf.DUMMYFUNCTION("""COMPUTED_VALUE"""),43696.0)</f>
        <v>43696</v>
      </c>
      <c r="F726" s="271">
        <f>IFERROR(__xludf.DUMMYFUNCTION("""COMPUTED_VALUE"""),44057.0)</f>
        <v>44057</v>
      </c>
      <c r="G726" s="199">
        <f>IFERROR(__xludf.DUMMYFUNCTION("""COMPUTED_VALUE"""),11.833333333333334)</f>
        <v>11.83333333</v>
      </c>
      <c r="H726" s="210">
        <f>IFERROR(__xludf.DUMMYFUNCTION("""COMPUTED_VALUE"""),43532.0)</f>
        <v>43532</v>
      </c>
      <c r="I726" s="199">
        <f>IFERROR(__xludf.DUMMYFUNCTION("""COMPUTED_VALUE"""),0.44722222222222224)</f>
        <v>0.4472222222</v>
      </c>
      <c r="J726" s="200">
        <f>IFERROR(__xludf.DUMMYFUNCTION("""COMPUTED_VALUE"""),87.0)</f>
        <v>87</v>
      </c>
      <c r="K726" s="200">
        <f>IFERROR(__xludf.DUMMYFUNCTION("""COMPUTED_VALUE"""),11.0)</f>
        <v>11</v>
      </c>
      <c r="L726" s="201" t="str">
        <f>IFERROR(__xludf.DUMMYFUNCTION("""COMPUTED_VALUE"""),"Action")</f>
        <v>Action</v>
      </c>
    </row>
    <row r="727">
      <c r="A727" s="269" t="str">
        <f>IFERROR(__xludf.DUMMYFUNCTION("""COMPUTED_VALUE"""),"Space Hulk: Tactics")</f>
        <v>Space Hulk: Tactics</v>
      </c>
      <c r="B727" s="195" t="str">
        <f>IFERROR(__xludf.DUMMYFUNCTION("""COMPUTED_VALUE"""),"PC")</f>
        <v>PC</v>
      </c>
      <c r="C727" s="196"/>
      <c r="D727" s="196" t="str">
        <f>IFERROR(__xludf.DUMMYFUNCTION("""COMPUTED_VALUE"""),"Removed")</f>
        <v>Removed</v>
      </c>
      <c r="E727" s="271">
        <f>IFERROR(__xludf.DUMMYFUNCTION("""COMPUTED_VALUE"""),43685.0)</f>
        <v>43685</v>
      </c>
      <c r="F727" s="271">
        <f>IFERROR(__xludf.DUMMYFUNCTION("""COMPUTED_VALUE"""),44057.0)</f>
        <v>44057</v>
      </c>
      <c r="G727" s="199">
        <f>IFERROR(__xludf.DUMMYFUNCTION("""COMPUTED_VALUE"""),12.2)</f>
        <v>12.2</v>
      </c>
      <c r="H727" s="210">
        <f>IFERROR(__xludf.DUMMYFUNCTION("""COMPUTED_VALUE"""),43382.0)</f>
        <v>43382</v>
      </c>
      <c r="I727" s="199">
        <f>IFERROR(__xludf.DUMMYFUNCTION("""COMPUTED_VALUE"""),0.8305555555555556)</f>
        <v>0.8305555556</v>
      </c>
      <c r="J727" s="200">
        <f>IFERROR(__xludf.DUMMYFUNCTION("""COMPUTED_VALUE"""),73.0)</f>
        <v>73</v>
      </c>
      <c r="K727" s="200">
        <f>IFERROR(__xludf.DUMMYFUNCTION("""COMPUTED_VALUE"""),21.0)</f>
        <v>21</v>
      </c>
      <c r="L727" s="265" t="str">
        <f>IFERROR(__xludf.DUMMYFUNCTION("""COMPUTED_VALUE"""),"Strategy")</f>
        <v>Strategy</v>
      </c>
    </row>
    <row r="728">
      <c r="A728" s="190" t="str">
        <f>IFERROR(__xludf.DUMMYFUNCTION("""COMPUTED_VALUE"""),"Where The Water Tastes Like Wine")</f>
        <v>Where The Water Tastes Like Wine</v>
      </c>
      <c r="B728" s="195" t="str">
        <f>IFERROR(__xludf.DUMMYFUNCTION("""COMPUTED_VALUE"""),"PC")</f>
        <v>PC</v>
      </c>
      <c r="C728" s="196"/>
      <c r="D728" s="196" t="str">
        <f>IFERROR(__xludf.DUMMYFUNCTION("""COMPUTED_VALUE"""),"Removed")</f>
        <v>Removed</v>
      </c>
      <c r="E728" s="271">
        <f>IFERROR(__xludf.DUMMYFUNCTION("""COMPUTED_VALUE"""),43685.0)</f>
        <v>43685</v>
      </c>
      <c r="F728" s="271">
        <f>IFERROR(__xludf.DUMMYFUNCTION("""COMPUTED_VALUE"""),44057.0)</f>
        <v>44057</v>
      </c>
      <c r="G728" s="199">
        <f>IFERROR(__xludf.DUMMYFUNCTION("""COMPUTED_VALUE"""),12.2)</f>
        <v>12.2</v>
      </c>
      <c r="H728" s="210">
        <f>IFERROR(__xludf.DUMMYFUNCTION("""COMPUTED_VALUE"""),43159.0)</f>
        <v>43159</v>
      </c>
      <c r="I728" s="199">
        <f>IFERROR(__xludf.DUMMYFUNCTION("""COMPUTED_VALUE"""),1.4444444444444444)</f>
        <v>1.444444444</v>
      </c>
      <c r="J728" s="200">
        <f>IFERROR(__xludf.DUMMYFUNCTION("""COMPUTED_VALUE"""),74.0)</f>
        <v>74</v>
      </c>
      <c r="K728" s="200">
        <f>IFERROR(__xludf.DUMMYFUNCTION("""COMPUTED_VALUE"""),17.5)</f>
        <v>17.5</v>
      </c>
      <c r="L728" s="265" t="str">
        <f>IFERROR(__xludf.DUMMYFUNCTION("""COMPUTED_VALUE"""),"Adventure")</f>
        <v>Adventure</v>
      </c>
    </row>
    <row r="729">
      <c r="A729" s="190" t="str">
        <f>IFERROR(__xludf.DUMMYFUNCTION("""COMPUTED_VALUE"""),"F1 2018")</f>
        <v>F1 2018</v>
      </c>
      <c r="B729" s="195" t="str">
        <f>IFERROR(__xludf.DUMMYFUNCTION("""COMPUTED_VALUE"""),"Xbox / PC")</f>
        <v>Xbox / PC</v>
      </c>
      <c r="C729" s="196"/>
      <c r="D729" s="196" t="str">
        <f>IFERROR(__xludf.DUMMYFUNCTION("""COMPUTED_VALUE"""),"Removed")</f>
        <v>Removed</v>
      </c>
      <c r="E729" s="271">
        <f>IFERROR(__xludf.DUMMYFUNCTION("""COMPUTED_VALUE"""),43538.0)</f>
        <v>43538</v>
      </c>
      <c r="F729" s="271">
        <f>IFERROR(__xludf.DUMMYFUNCTION("""COMPUTED_VALUE"""),44044.0)</f>
        <v>44044</v>
      </c>
      <c r="G729" s="199">
        <f>IFERROR(__xludf.DUMMYFUNCTION("""COMPUTED_VALUE"""),16.566666666666666)</f>
        <v>16.56666667</v>
      </c>
      <c r="H729" s="210">
        <f>IFERROR(__xludf.DUMMYFUNCTION("""COMPUTED_VALUE"""),43336.0)</f>
        <v>43336</v>
      </c>
      <c r="I729" s="199">
        <f>IFERROR(__xludf.DUMMYFUNCTION("""COMPUTED_VALUE"""),0.5555555555555556)</f>
        <v>0.5555555556</v>
      </c>
      <c r="J729" s="200">
        <f>IFERROR(__xludf.DUMMYFUNCTION("""COMPUTED_VALUE"""),84.0)</f>
        <v>84</v>
      </c>
      <c r="K729" s="200">
        <f>IFERROR(__xludf.DUMMYFUNCTION("""COMPUTED_VALUE"""),25.5)</f>
        <v>25.5</v>
      </c>
      <c r="L729" s="265" t="str">
        <f>IFERROR(__xludf.DUMMYFUNCTION("""COMPUTED_VALUE"""),"Driving/Racing")</f>
        <v>Driving/Racing</v>
      </c>
    </row>
    <row r="730">
      <c r="A730" s="269" t="str">
        <f>IFERROR(__xludf.DUMMYFUNCTION("""COMPUTED_VALUE"""),"Ashes Cricket")</f>
        <v>Ashes Cricket</v>
      </c>
      <c r="B730" s="195" t="str">
        <f>IFERROR(__xludf.DUMMYFUNCTION("""COMPUTED_VALUE"""),"Xbox")</f>
        <v>Xbox</v>
      </c>
      <c r="C730" s="196"/>
      <c r="D730" s="196" t="str">
        <f>IFERROR(__xludf.DUMMYFUNCTION("""COMPUTED_VALUE"""),"Removed")</f>
        <v>Removed</v>
      </c>
      <c r="E730" s="271">
        <f>IFERROR(__xludf.DUMMYFUNCTION("""COMPUTED_VALUE"""),43678.0)</f>
        <v>43678</v>
      </c>
      <c r="F730" s="271">
        <f>IFERROR(__xludf.DUMMYFUNCTION("""COMPUTED_VALUE"""),44043.0)</f>
        <v>44043</v>
      </c>
      <c r="G730" s="199">
        <f>IFERROR(__xludf.DUMMYFUNCTION("""COMPUTED_VALUE"""),11.966666666666667)</f>
        <v>11.96666667</v>
      </c>
      <c r="H730" s="210">
        <f>IFERROR(__xludf.DUMMYFUNCTION("""COMPUTED_VALUE"""),43085.0)</f>
        <v>43085</v>
      </c>
      <c r="I730" s="199">
        <f>IFERROR(__xludf.DUMMYFUNCTION("""COMPUTED_VALUE"""),1.625)</f>
        <v>1.625</v>
      </c>
      <c r="J730" s="200">
        <f>IFERROR(__xludf.DUMMYFUNCTION("""COMPUTED_VALUE"""),79.0)</f>
        <v>79</v>
      </c>
      <c r="K730" s="200">
        <f>IFERROR(__xludf.DUMMYFUNCTION("""COMPUTED_VALUE"""),23.0)</f>
        <v>23</v>
      </c>
      <c r="L730" s="265" t="str">
        <f>IFERROR(__xludf.DUMMYFUNCTION("""COMPUTED_VALUE"""),"Sports")</f>
        <v>Sports</v>
      </c>
    </row>
    <row r="731">
      <c r="A731" s="269" t="str">
        <f>IFERROR(__xludf.DUMMYFUNCTION("""COMPUTED_VALUE"""),"The Banner Saga 3")</f>
        <v>The Banner Saga 3</v>
      </c>
      <c r="B731" s="195" t="str">
        <f>IFERROR(__xludf.DUMMYFUNCTION("""COMPUTED_VALUE"""),"Xbox / PC")</f>
        <v>Xbox / PC</v>
      </c>
      <c r="C731" s="196"/>
      <c r="D731" s="196" t="str">
        <f>IFERROR(__xludf.DUMMYFUNCTION("""COMPUTED_VALUE"""),"Removed")</f>
        <v>Removed</v>
      </c>
      <c r="E731" s="271">
        <f>IFERROR(__xludf.DUMMYFUNCTION("""COMPUTED_VALUE"""),43664.0)</f>
        <v>43664</v>
      </c>
      <c r="F731" s="271">
        <f>IFERROR(__xludf.DUMMYFUNCTION("""COMPUTED_VALUE"""),44043.0)</f>
        <v>44043</v>
      </c>
      <c r="G731" s="199">
        <f>IFERROR(__xludf.DUMMYFUNCTION("""COMPUTED_VALUE"""),12.400000000000002)</f>
        <v>12.4</v>
      </c>
      <c r="H731" s="210">
        <f>IFERROR(__xludf.DUMMYFUNCTION("""COMPUTED_VALUE"""),43305.0)</f>
        <v>43305</v>
      </c>
      <c r="I731" s="199">
        <f>IFERROR(__xludf.DUMMYFUNCTION("""COMPUTED_VALUE"""),0.9833333333333333)</f>
        <v>0.9833333333</v>
      </c>
      <c r="J731" s="200">
        <f>IFERROR(__xludf.DUMMYFUNCTION("""COMPUTED_VALUE"""),88.0)</f>
        <v>88</v>
      </c>
      <c r="K731" s="200">
        <f>IFERROR(__xludf.DUMMYFUNCTION("""COMPUTED_VALUE"""),9.0)</f>
        <v>9</v>
      </c>
      <c r="L731" s="265" t="str">
        <f>IFERROR(__xludf.DUMMYFUNCTION("""COMPUTED_VALUE"""),"Strategy")</f>
        <v>Strategy</v>
      </c>
    </row>
    <row r="732">
      <c r="A732" s="269" t="str">
        <f>IFERROR(__xludf.DUMMYFUNCTION("""COMPUTED_VALUE"""),"RiME")</f>
        <v>RiME</v>
      </c>
      <c r="B732" s="195" t="str">
        <f>IFERROR(__xludf.DUMMYFUNCTION("""COMPUTED_VALUE"""),"Xbox / PC")</f>
        <v>Xbox / PC</v>
      </c>
      <c r="C732" s="196"/>
      <c r="D732" s="196" t="str">
        <f>IFERROR(__xludf.DUMMYFUNCTION("""COMPUTED_VALUE"""),"Removed")</f>
        <v>Removed</v>
      </c>
      <c r="E732" s="271">
        <f>IFERROR(__xludf.DUMMYFUNCTION("""COMPUTED_VALUE"""),43132.0)</f>
        <v>43132</v>
      </c>
      <c r="F732" s="271">
        <f>IFERROR(__xludf.DUMMYFUNCTION("""COMPUTED_VALUE"""),44043.0)</f>
        <v>44043</v>
      </c>
      <c r="G732" s="199">
        <f>IFERROR(__xludf.DUMMYFUNCTION("""COMPUTED_VALUE"""),29.96666666666667)</f>
        <v>29.96666667</v>
      </c>
      <c r="H732" s="210">
        <f>IFERROR(__xludf.DUMMYFUNCTION("""COMPUTED_VALUE"""),42881.0)</f>
        <v>42881</v>
      </c>
      <c r="I732" s="199">
        <f>IFERROR(__xludf.DUMMYFUNCTION("""COMPUTED_VALUE"""),0.6805555555555556)</f>
        <v>0.6805555556</v>
      </c>
      <c r="J732" s="200">
        <f>IFERROR(__xludf.DUMMYFUNCTION("""COMPUTED_VALUE"""),82.0)</f>
        <v>82</v>
      </c>
      <c r="K732" s="200">
        <f>IFERROR(__xludf.DUMMYFUNCTION("""COMPUTED_VALUE"""),5.5)</f>
        <v>5.5</v>
      </c>
      <c r="L732" s="265" t="str">
        <f>IFERROR(__xludf.DUMMYFUNCTION("""COMPUTED_VALUE"""),"Adventure / Puzzle / Platformer")</f>
        <v>Adventure / Puzzle / Platformer</v>
      </c>
    </row>
    <row r="733">
      <c r="A733" s="269" t="str">
        <f>IFERROR(__xludf.DUMMYFUNCTION("""COMPUTED_VALUE"""),"Metal Gear Solid V: The Phantom Pain")</f>
        <v>Metal Gear Solid V: The Phantom Pain</v>
      </c>
      <c r="B733" s="195" t="str">
        <f>IFERROR(__xludf.DUMMYFUNCTION("""COMPUTED_VALUE"""),"Xbox")</f>
        <v>Xbox</v>
      </c>
      <c r="C733" s="196"/>
      <c r="D733" s="196" t="str">
        <f>IFERROR(__xludf.DUMMYFUNCTION("""COMPUTED_VALUE"""),"Removed")</f>
        <v>Removed</v>
      </c>
      <c r="E733" s="271">
        <f>IFERROR(__xludf.DUMMYFUNCTION("""COMPUTED_VALUE"""),43664.0)</f>
        <v>43664</v>
      </c>
      <c r="F733" s="271">
        <f>IFERROR(__xludf.DUMMYFUNCTION("""COMPUTED_VALUE"""),44027.0)</f>
        <v>44027</v>
      </c>
      <c r="G733" s="199">
        <f>IFERROR(__xludf.DUMMYFUNCTION("""COMPUTED_VALUE"""),11.9)</f>
        <v>11.9</v>
      </c>
      <c r="H733" s="210">
        <f>IFERROR(__xludf.DUMMYFUNCTION("""COMPUTED_VALUE"""),42248.0)</f>
        <v>42248</v>
      </c>
      <c r="I733" s="199">
        <f>IFERROR(__xludf.DUMMYFUNCTION("""COMPUTED_VALUE"""),3.8805555555555555)</f>
        <v>3.880555556</v>
      </c>
      <c r="J733" s="200">
        <f>IFERROR(__xludf.DUMMYFUNCTION("""COMPUTED_VALUE"""),95.0)</f>
        <v>95</v>
      </c>
      <c r="K733" s="200">
        <f>IFERROR(__xludf.DUMMYFUNCTION("""COMPUTED_VALUE"""),46.0)</f>
        <v>46</v>
      </c>
      <c r="L733" s="265" t="str">
        <f>IFERROR(__xludf.DUMMYFUNCTION("""COMPUTED_VALUE"""),"Shooter / Action-Adventure")</f>
        <v>Shooter / Action-Adventure</v>
      </c>
    </row>
    <row r="734">
      <c r="A734" s="269" t="str">
        <f>IFERROR(__xludf.DUMMYFUNCTION("""COMPUTED_VALUE"""),"Blazing Chrome")</f>
        <v>Blazing Chrome</v>
      </c>
      <c r="B734" s="195" t="str">
        <f>IFERROR(__xludf.DUMMYFUNCTION("""COMPUTED_VALUE"""),"Xbox / PC")</f>
        <v>Xbox / PC</v>
      </c>
      <c r="C734" s="196"/>
      <c r="D734" s="196" t="str">
        <f>IFERROR(__xludf.DUMMYFUNCTION("""COMPUTED_VALUE"""),"Removed")</f>
        <v>Removed</v>
      </c>
      <c r="E734" s="271">
        <f>IFERROR(__xludf.DUMMYFUNCTION("""COMPUTED_VALUE"""),43657.0)</f>
        <v>43657</v>
      </c>
      <c r="F734" s="271">
        <f>IFERROR(__xludf.DUMMYFUNCTION("""COMPUTED_VALUE"""),44027.0)</f>
        <v>44027</v>
      </c>
      <c r="G734" s="199">
        <f>IFERROR(__xludf.DUMMYFUNCTION("""COMPUTED_VALUE"""),12.133333333333333)</f>
        <v>12.13333333</v>
      </c>
      <c r="H734" s="210">
        <f>IFERROR(__xludf.DUMMYFUNCTION("""COMPUTED_VALUE"""),43657.0)</f>
        <v>43657</v>
      </c>
      <c r="I734" s="199">
        <f>IFERROR(__xludf.DUMMYFUNCTION("""COMPUTED_VALUE"""),0.0)</f>
        <v>0</v>
      </c>
      <c r="J734" s="200">
        <f>IFERROR(__xludf.DUMMYFUNCTION("""COMPUTED_VALUE"""),82.0)</f>
        <v>82</v>
      </c>
      <c r="K734" s="200">
        <f>IFERROR(__xludf.DUMMYFUNCTION("""COMPUTED_VALUE"""),2.0)</f>
        <v>2</v>
      </c>
      <c r="L734" s="265" t="str">
        <f>IFERROR(__xludf.DUMMYFUNCTION("""COMPUTED_VALUE"""),"Action")</f>
        <v>Action</v>
      </c>
    </row>
    <row r="735">
      <c r="A735" s="190" t="str">
        <f>IFERROR(__xludf.DUMMYFUNCTION("""COMPUTED_VALUE"""),"Dead Rising 4")</f>
        <v>Dead Rising 4</v>
      </c>
      <c r="B735" s="195" t="str">
        <f>IFERROR(__xludf.DUMMYFUNCTION("""COMPUTED_VALUE"""),"Xbox / PC")</f>
        <v>Xbox / PC</v>
      </c>
      <c r="C735" s="196"/>
      <c r="D735" s="196" t="str">
        <f>IFERROR(__xludf.DUMMYFUNCTION("""COMPUTED_VALUE"""),"Removed")</f>
        <v>Removed</v>
      </c>
      <c r="E735" s="271">
        <f>IFERROR(__xludf.DUMMYFUNCTION("""COMPUTED_VALUE"""),43657.0)</f>
        <v>43657</v>
      </c>
      <c r="F735" s="271">
        <f>IFERROR(__xludf.DUMMYFUNCTION("""COMPUTED_VALUE"""),44027.0)</f>
        <v>44027</v>
      </c>
      <c r="G735" s="199">
        <f>IFERROR(__xludf.DUMMYFUNCTION("""COMPUTED_VALUE"""),12.133333333333333)</f>
        <v>12.13333333</v>
      </c>
      <c r="H735" s="210">
        <f>IFERROR(__xludf.DUMMYFUNCTION("""COMPUTED_VALUE"""),42710.0)</f>
        <v>42710</v>
      </c>
      <c r="I735" s="199">
        <f>IFERROR(__xludf.DUMMYFUNCTION("""COMPUTED_VALUE"""),2.5972222222222223)</f>
        <v>2.597222222</v>
      </c>
      <c r="J735" s="200">
        <f>IFERROR(__xludf.DUMMYFUNCTION("""COMPUTED_VALUE"""),72.0)</f>
        <v>72</v>
      </c>
      <c r="K735" s="200">
        <f>IFERROR(__xludf.DUMMYFUNCTION("""COMPUTED_VALUE"""),10.5)</f>
        <v>10.5</v>
      </c>
      <c r="L735" s="265" t="str">
        <f>IFERROR(__xludf.DUMMYFUNCTION("""COMPUTED_VALUE"""),"Action-Adventure")</f>
        <v>Action-Adventure</v>
      </c>
    </row>
    <row r="736">
      <c r="A736" s="269" t="str">
        <f>IFERROR(__xludf.DUMMYFUNCTION("""COMPUTED_VALUE"""),"Timespinner")</f>
        <v>Timespinner</v>
      </c>
      <c r="B736" s="195" t="str">
        <f>IFERROR(__xludf.DUMMYFUNCTION("""COMPUTED_VALUE"""),"Xbox / PC")</f>
        <v>Xbox / PC</v>
      </c>
      <c r="C736" s="196"/>
      <c r="D736" s="196" t="str">
        <f>IFERROR(__xludf.DUMMYFUNCTION("""COMPUTED_VALUE"""),"Removed")</f>
        <v>Removed</v>
      </c>
      <c r="E736" s="271">
        <f>IFERROR(__xludf.DUMMYFUNCTION("""COMPUTED_VALUE"""),43657.0)</f>
        <v>43657</v>
      </c>
      <c r="F736" s="271">
        <f>IFERROR(__xludf.DUMMYFUNCTION("""COMPUTED_VALUE"""),44027.0)</f>
        <v>44027</v>
      </c>
      <c r="G736" s="199">
        <f>IFERROR(__xludf.DUMMYFUNCTION("""COMPUTED_VALUE"""),12.133333333333333)</f>
        <v>12.13333333</v>
      </c>
      <c r="H736" s="210">
        <f>IFERROR(__xludf.DUMMYFUNCTION("""COMPUTED_VALUE"""),43368.0)</f>
        <v>43368</v>
      </c>
      <c r="I736" s="199">
        <f>IFERROR(__xludf.DUMMYFUNCTION("""COMPUTED_VALUE"""),0.7944444444444444)</f>
        <v>0.7944444444</v>
      </c>
      <c r="J736" s="200">
        <f>IFERROR(__xludf.DUMMYFUNCTION("""COMPUTED_VALUE"""),74.0)</f>
        <v>74</v>
      </c>
      <c r="K736" s="200">
        <f>IFERROR(__xludf.DUMMYFUNCTION("""COMPUTED_VALUE"""),6.0)</f>
        <v>6</v>
      </c>
      <c r="L736" s="265" t="str">
        <f>IFERROR(__xludf.DUMMYFUNCTION("""COMPUTED_VALUE"""),"Platformer / Action-Adventure")</f>
        <v>Platformer / Action-Adventure</v>
      </c>
    </row>
    <row r="737">
      <c r="A737" s="269" t="str">
        <f>IFERROR(__xludf.DUMMYFUNCTION("""COMPUTED_VALUE"""),"Unavowed")</f>
        <v>Unavowed</v>
      </c>
      <c r="B737" s="195" t="str">
        <f>IFERROR(__xludf.DUMMYFUNCTION("""COMPUTED_VALUE"""),"PC")</f>
        <v>PC</v>
      </c>
      <c r="C737" s="196"/>
      <c r="D737" s="196" t="str">
        <f>IFERROR(__xludf.DUMMYFUNCTION("""COMPUTED_VALUE"""),"Removed")</f>
        <v>Removed</v>
      </c>
      <c r="E737" s="271">
        <f>IFERROR(__xludf.DUMMYFUNCTION("""COMPUTED_VALUE"""),43657.0)</f>
        <v>43657</v>
      </c>
      <c r="F737" s="271">
        <f>IFERROR(__xludf.DUMMYFUNCTION("""COMPUTED_VALUE"""),44027.0)</f>
        <v>44027</v>
      </c>
      <c r="G737" s="199">
        <f>IFERROR(__xludf.DUMMYFUNCTION("""COMPUTED_VALUE"""),12.133333333333333)</f>
        <v>12.13333333</v>
      </c>
      <c r="H737" s="210">
        <f>IFERROR(__xludf.DUMMYFUNCTION("""COMPUTED_VALUE"""),43320.0)</f>
        <v>43320</v>
      </c>
      <c r="I737" s="199">
        <f>IFERROR(__xludf.DUMMYFUNCTION("""COMPUTED_VALUE"""),0.925)</f>
        <v>0.925</v>
      </c>
      <c r="J737" s="200">
        <f>IFERROR(__xludf.DUMMYFUNCTION("""COMPUTED_VALUE"""),87.0)</f>
        <v>87</v>
      </c>
      <c r="K737" s="200">
        <f>IFERROR(__xludf.DUMMYFUNCTION("""COMPUTED_VALUE"""),9.0)</f>
        <v>9</v>
      </c>
      <c r="L737" s="265" t="str">
        <f>IFERROR(__xludf.DUMMYFUNCTION("""COMPUTED_VALUE"""),"Action / RPG")</f>
        <v>Action / RPG</v>
      </c>
    </row>
    <row r="738">
      <c r="A738" s="269" t="str">
        <f>IFERROR(__xludf.DUMMYFUNCTION("""COMPUTED_VALUE"""),"Battlefleet Gothic: Armada")</f>
        <v>Battlefleet Gothic: Armada</v>
      </c>
      <c r="B738" s="195" t="str">
        <f>IFERROR(__xludf.DUMMYFUNCTION("""COMPUTED_VALUE"""),"PC")</f>
        <v>PC</v>
      </c>
      <c r="C738" s="196"/>
      <c r="D738" s="196" t="str">
        <f>IFERROR(__xludf.DUMMYFUNCTION("""COMPUTED_VALUE"""),"Removed")</f>
        <v>Removed</v>
      </c>
      <c r="E738" s="271">
        <f>IFERROR(__xludf.DUMMYFUNCTION("""COMPUTED_VALUE"""),43625.0)</f>
        <v>43625</v>
      </c>
      <c r="F738" s="271">
        <f>IFERROR(__xludf.DUMMYFUNCTION("""COMPUTED_VALUE"""),44012.0)</f>
        <v>44012</v>
      </c>
      <c r="G738" s="199">
        <f>IFERROR(__xludf.DUMMYFUNCTION("""COMPUTED_VALUE"""),12.7)</f>
        <v>12.7</v>
      </c>
      <c r="H738" s="210">
        <f>IFERROR(__xludf.DUMMYFUNCTION("""COMPUTED_VALUE"""),42481.0)</f>
        <v>42481</v>
      </c>
      <c r="I738" s="199">
        <f>IFERROR(__xludf.DUMMYFUNCTION("""COMPUTED_VALUE"""),3.1333333333333333)</f>
        <v>3.133333333</v>
      </c>
      <c r="J738" s="200">
        <f>IFERROR(__xludf.DUMMYFUNCTION("""COMPUTED_VALUE"""),77.0)</f>
        <v>77</v>
      </c>
      <c r="K738" s="200">
        <f>IFERROR(__xludf.DUMMYFUNCTION("""COMPUTED_VALUE"""),19.5)</f>
        <v>19.5</v>
      </c>
      <c r="L738" s="265" t="str">
        <f>IFERROR(__xludf.DUMMYFUNCTION("""COMPUTED_VALUE"""),"Strategy / Real-Time Strategy")</f>
        <v>Strategy / Real-Time Strategy</v>
      </c>
    </row>
    <row r="739">
      <c r="A739" s="269" t="str">
        <f>IFERROR(__xludf.DUMMYFUNCTION("""COMPUTED_VALUE"""),"ACA NeoGeo Metal Slug X")</f>
        <v>ACA NeoGeo Metal Slug X</v>
      </c>
      <c r="B739" s="195" t="str">
        <f>IFERROR(__xludf.DUMMYFUNCTION("""COMPUTED_VALUE"""),"Xbox / PC")</f>
        <v>Xbox / PC</v>
      </c>
      <c r="C739" s="196"/>
      <c r="D739" s="196" t="str">
        <f>IFERROR(__xludf.DUMMYFUNCTION("""COMPUTED_VALUE"""),"Removed")</f>
        <v>Removed</v>
      </c>
      <c r="E739" s="271">
        <f>IFERROR(__xludf.DUMMYFUNCTION("""COMPUTED_VALUE"""),43625.0)</f>
        <v>43625</v>
      </c>
      <c r="F739" s="271">
        <f>IFERROR(__xludf.DUMMYFUNCTION("""COMPUTED_VALUE"""),44012.0)</f>
        <v>44012</v>
      </c>
      <c r="G739" s="199">
        <f>IFERROR(__xludf.DUMMYFUNCTION("""COMPUTED_VALUE"""),12.7)</f>
        <v>12.7</v>
      </c>
      <c r="H739" s="210">
        <f>IFERROR(__xludf.DUMMYFUNCTION("""COMPUTED_VALUE"""),36237.0)</f>
        <v>36237</v>
      </c>
      <c r="I739" s="199">
        <f>IFERROR(__xludf.DUMMYFUNCTION("""COMPUTED_VALUE"""),20.225)</f>
        <v>20.225</v>
      </c>
      <c r="J739" s="200">
        <f>IFERROR(__xludf.DUMMYFUNCTION("""COMPUTED_VALUE"""),61.0)</f>
        <v>61</v>
      </c>
      <c r="K739" s="200">
        <f>IFERROR(__xludf.DUMMYFUNCTION("""COMPUTED_VALUE"""),1.0)</f>
        <v>1</v>
      </c>
      <c r="L739" s="265" t="str">
        <f>IFERROR(__xludf.DUMMYFUNCTION("""COMPUTED_VALUE"""),"Shooter")</f>
        <v>Shooter</v>
      </c>
    </row>
    <row r="740">
      <c r="A740" s="190" t="str">
        <f>IFERROR(__xludf.DUMMYFUNCTION("""COMPUTED_VALUE"""),"Metro Exodus")</f>
        <v>Metro Exodus</v>
      </c>
      <c r="B740" s="195" t="str">
        <f>IFERROR(__xludf.DUMMYFUNCTION("""COMPUTED_VALUE"""),"Xbox / PC")</f>
        <v>Xbox / PC</v>
      </c>
      <c r="C740" s="196"/>
      <c r="D740" s="196" t="str">
        <f>IFERROR(__xludf.DUMMYFUNCTION("""COMPUTED_VALUE"""),"Removed")</f>
        <v>Removed</v>
      </c>
      <c r="E740" s="271">
        <f>IFERROR(__xludf.DUMMYFUNCTION("""COMPUTED_VALUE"""),43625.0)</f>
        <v>43625</v>
      </c>
      <c r="F740" s="271">
        <f>IFERROR(__xludf.DUMMYFUNCTION("""COMPUTED_VALUE"""),44012.0)</f>
        <v>44012</v>
      </c>
      <c r="G740" s="199">
        <f>IFERROR(__xludf.DUMMYFUNCTION("""COMPUTED_VALUE"""),12.7)</f>
        <v>12.7</v>
      </c>
      <c r="H740" s="210">
        <f>IFERROR(__xludf.DUMMYFUNCTION("""COMPUTED_VALUE"""),43511.0)</f>
        <v>43511</v>
      </c>
      <c r="I740" s="199">
        <f>IFERROR(__xludf.DUMMYFUNCTION("""COMPUTED_VALUE"""),0.31666666666666665)</f>
        <v>0.3166666667</v>
      </c>
      <c r="J740" s="200">
        <f>IFERROR(__xludf.DUMMYFUNCTION("""COMPUTED_VALUE"""),82.0)</f>
        <v>82</v>
      </c>
      <c r="K740" s="200">
        <f>IFERROR(__xludf.DUMMYFUNCTION("""COMPUTED_VALUE"""),14.0)</f>
        <v>14</v>
      </c>
      <c r="L740" s="201" t="str">
        <f>IFERROR(__xludf.DUMMYFUNCTION("""COMPUTED_VALUE"""),"First-Person Shooter")</f>
        <v>First-Person Shooter</v>
      </c>
    </row>
    <row r="741">
      <c r="A741" s="269" t="str">
        <f>IFERROR(__xludf.DUMMYFUNCTION("""COMPUTED_VALUE"""),"Neon Chrome")</f>
        <v>Neon Chrome</v>
      </c>
      <c r="B741" s="195" t="str">
        <f>IFERROR(__xludf.DUMMYFUNCTION("""COMPUTED_VALUE"""),"Xbox / PC")</f>
        <v>Xbox / PC</v>
      </c>
      <c r="C741" s="196"/>
      <c r="D741" s="196" t="str">
        <f>IFERROR(__xludf.DUMMYFUNCTION("""COMPUTED_VALUE"""),"Removed")</f>
        <v>Removed</v>
      </c>
      <c r="E741" s="271">
        <f>IFERROR(__xludf.DUMMYFUNCTION("""COMPUTED_VALUE"""),43625.0)</f>
        <v>43625</v>
      </c>
      <c r="F741" s="271">
        <f>IFERROR(__xludf.DUMMYFUNCTION("""COMPUTED_VALUE"""),44012.0)</f>
        <v>44012</v>
      </c>
      <c r="G741" s="199">
        <f>IFERROR(__xludf.DUMMYFUNCTION("""COMPUTED_VALUE"""),12.7)</f>
        <v>12.7</v>
      </c>
      <c r="H741" s="210">
        <f>IFERROR(__xludf.DUMMYFUNCTION("""COMPUTED_VALUE"""),42488.0)</f>
        <v>42488</v>
      </c>
      <c r="I741" s="199">
        <f>IFERROR(__xludf.DUMMYFUNCTION("""COMPUTED_VALUE"""),3.113888888888889)</f>
        <v>3.113888889</v>
      </c>
      <c r="J741" s="200">
        <f>IFERROR(__xludf.DUMMYFUNCTION("""COMPUTED_VALUE"""),72.0)</f>
        <v>72</v>
      </c>
      <c r="K741" s="200">
        <f>IFERROR(__xludf.DUMMYFUNCTION("""COMPUTED_VALUE"""),5.0)</f>
        <v>5</v>
      </c>
      <c r="L741" s="265" t="str">
        <f>IFERROR(__xludf.DUMMYFUNCTION("""COMPUTED_VALUE"""),"Action / Shooter / Dual-Joystick Shooter")</f>
        <v>Action / Shooter / Dual-Joystick Shooter</v>
      </c>
    </row>
    <row r="742">
      <c r="A742" s="269" t="str">
        <f>IFERROR(__xludf.DUMMYFUNCTION("""COMPUTED_VALUE"""),"Shadow Tactics: Blades of the Shogun")</f>
        <v>Shadow Tactics: Blades of the Shogun</v>
      </c>
      <c r="B742" s="195" t="str">
        <f>IFERROR(__xludf.DUMMYFUNCTION("""COMPUTED_VALUE"""),"Xbox")</f>
        <v>Xbox</v>
      </c>
      <c r="C742" s="196"/>
      <c r="D742" s="196" t="str">
        <f>IFERROR(__xludf.DUMMYFUNCTION("""COMPUTED_VALUE"""),"Removed")</f>
        <v>Removed</v>
      </c>
      <c r="E742" s="271">
        <f>IFERROR(__xludf.DUMMYFUNCTION("""COMPUTED_VALUE"""),43625.0)</f>
        <v>43625</v>
      </c>
      <c r="F742" s="271">
        <f>IFERROR(__xludf.DUMMYFUNCTION("""COMPUTED_VALUE"""),44012.0)</f>
        <v>44012</v>
      </c>
      <c r="G742" s="199">
        <f>IFERROR(__xludf.DUMMYFUNCTION("""COMPUTED_VALUE"""),12.7)</f>
        <v>12.7</v>
      </c>
      <c r="H742" s="210">
        <f>IFERROR(__xludf.DUMMYFUNCTION("""COMPUTED_VALUE"""),42710.0)</f>
        <v>42710</v>
      </c>
      <c r="I742" s="199">
        <f>IFERROR(__xludf.DUMMYFUNCTION("""COMPUTED_VALUE"""),2.5083333333333333)</f>
        <v>2.508333333</v>
      </c>
      <c r="J742" s="200">
        <f>IFERROR(__xludf.DUMMYFUNCTION("""COMPUTED_VALUE"""),85.0)</f>
        <v>85</v>
      </c>
      <c r="K742" s="200">
        <f>IFERROR(__xludf.DUMMYFUNCTION("""COMPUTED_VALUE"""),24.5)</f>
        <v>24.5</v>
      </c>
      <c r="L742" s="265" t="str">
        <f>IFERROR(__xludf.DUMMYFUNCTION("""COMPUTED_VALUE"""),"Strategy / Real-Time Strategy")</f>
        <v>Strategy / Real-Time Strategy</v>
      </c>
    </row>
    <row r="743">
      <c r="A743" s="269" t="str">
        <f>IFERROR(__xludf.DUMMYFUNCTION("""COMPUTED_VALUE"""),"Life is Strange 2")</f>
        <v>Life is Strange 2</v>
      </c>
      <c r="B743" s="195" t="str">
        <f>IFERROR(__xludf.DUMMYFUNCTION("""COMPUTED_VALUE"""),"Xbox")</f>
        <v>Xbox</v>
      </c>
      <c r="C743" s="196"/>
      <c r="D743" s="196" t="str">
        <f>IFERROR(__xludf.DUMMYFUNCTION("""COMPUTED_VALUE"""),"Removed")</f>
        <v>Removed</v>
      </c>
      <c r="E743" s="271">
        <f>IFERROR(__xludf.DUMMYFUNCTION("""COMPUTED_VALUE"""),43468.0)</f>
        <v>43468</v>
      </c>
      <c r="F743" s="271">
        <f>IFERROR(__xludf.DUMMYFUNCTION("""COMPUTED_VALUE"""),44012.0)</f>
        <v>44012</v>
      </c>
      <c r="G743" s="199">
        <f>IFERROR(__xludf.DUMMYFUNCTION("""COMPUTED_VALUE"""),17.9)</f>
        <v>17.9</v>
      </c>
      <c r="H743" s="210">
        <f>IFERROR(__xludf.DUMMYFUNCTION("""COMPUTED_VALUE"""),43370.0)</f>
        <v>43370</v>
      </c>
      <c r="I743" s="199">
        <f>IFERROR(__xludf.DUMMYFUNCTION("""COMPUTED_VALUE"""),0.26666666666666666)</f>
        <v>0.2666666667</v>
      </c>
      <c r="J743" s="200">
        <f>IFERROR(__xludf.DUMMYFUNCTION("""COMPUTED_VALUE"""),75.0)</f>
        <v>75</v>
      </c>
      <c r="K743" s="200">
        <f>IFERROR(__xludf.DUMMYFUNCTION("""COMPUTED_VALUE"""),16.0)</f>
        <v>16</v>
      </c>
      <c r="L743" s="265" t="str">
        <f>IFERROR(__xludf.DUMMYFUNCTION("""COMPUTED_VALUE"""),"Adventure")</f>
        <v>Adventure</v>
      </c>
    </row>
    <row r="744">
      <c r="A744" s="269" t="str">
        <f>IFERROR(__xludf.DUMMYFUNCTION("""COMPUTED_VALUE"""),"Die for Valhalla!")</f>
        <v>Die for Valhalla!</v>
      </c>
      <c r="B744" s="195" t="str">
        <f>IFERROR(__xludf.DUMMYFUNCTION("""COMPUTED_VALUE"""),"PC")</f>
        <v>PC</v>
      </c>
      <c r="C744" s="196"/>
      <c r="D744" s="196" t="str">
        <f>IFERROR(__xludf.DUMMYFUNCTION("""COMPUTED_VALUE"""),"Removed")</f>
        <v>Removed</v>
      </c>
      <c r="E744" s="197">
        <f>IFERROR(__xludf.DUMMYFUNCTION("""COMPUTED_VALUE"""),43249.0)</f>
        <v>43249</v>
      </c>
      <c r="F744" s="271">
        <f>IFERROR(__xludf.DUMMYFUNCTION("""COMPUTED_VALUE"""),44012.0)</f>
        <v>44012</v>
      </c>
      <c r="G744" s="199">
        <f>IFERROR(__xludf.DUMMYFUNCTION("""COMPUTED_VALUE"""),25.033333333333335)</f>
        <v>25.03333333</v>
      </c>
      <c r="H744" s="210">
        <f>IFERROR(__xludf.DUMMYFUNCTION("""COMPUTED_VALUE"""),43249.0)</f>
        <v>43249</v>
      </c>
      <c r="I744" s="199">
        <f>IFERROR(__xludf.DUMMYFUNCTION("""COMPUTED_VALUE"""),0.0)</f>
        <v>0</v>
      </c>
      <c r="J744" s="200">
        <f>IFERROR(__xludf.DUMMYFUNCTION("""COMPUTED_VALUE"""),70.0)</f>
        <v>70</v>
      </c>
      <c r="K744" s="200">
        <f>IFERROR(__xludf.DUMMYFUNCTION("""COMPUTED_VALUE"""),7.0)</f>
        <v>7</v>
      </c>
      <c r="L744" s="265" t="str">
        <f>IFERROR(__xludf.DUMMYFUNCTION("""COMPUTED_VALUE"""),"Brawler / Action-Adventure")</f>
        <v>Brawler / Action-Adventure</v>
      </c>
    </row>
    <row r="745">
      <c r="A745" s="269" t="str">
        <f>IFERROR(__xludf.DUMMYFUNCTION("""COMPUTED_VALUE"""),"The Flame in the Flood")</f>
        <v>The Flame in the Flood</v>
      </c>
      <c r="B745" s="195" t="str">
        <f>IFERROR(__xludf.DUMMYFUNCTION("""COMPUTED_VALUE"""),"Xbox / PC")</f>
        <v>Xbox / PC</v>
      </c>
      <c r="C745" s="196"/>
      <c r="D745" s="196" t="str">
        <f>IFERROR(__xludf.DUMMYFUNCTION("""COMPUTED_VALUE"""),"Removed")</f>
        <v>Removed</v>
      </c>
      <c r="E745" s="271">
        <f>IFERROR(__xludf.DUMMYFUNCTION("""COMPUTED_VALUE"""),42917.0)</f>
        <v>42917</v>
      </c>
      <c r="F745" s="271">
        <f>IFERROR(__xludf.DUMMYFUNCTION("""COMPUTED_VALUE"""),44012.0)</f>
        <v>44012</v>
      </c>
      <c r="G745" s="199">
        <f>IFERROR(__xludf.DUMMYFUNCTION("""COMPUTED_VALUE"""),35.96666666666667)</f>
        <v>35.96666667</v>
      </c>
      <c r="H745" s="210">
        <f>IFERROR(__xludf.DUMMYFUNCTION("""COMPUTED_VALUE"""),42424.0)</f>
        <v>42424</v>
      </c>
      <c r="I745" s="199">
        <f>IFERROR(__xludf.DUMMYFUNCTION("""COMPUTED_VALUE"""),1.3527777777777779)</f>
        <v>1.352777778</v>
      </c>
      <c r="J745" s="200">
        <f>IFERROR(__xludf.DUMMYFUNCTION("""COMPUTED_VALUE"""),74.0)</f>
        <v>74</v>
      </c>
      <c r="K745" s="200">
        <f>IFERROR(__xludf.DUMMYFUNCTION("""COMPUTED_VALUE"""),9.0)</f>
        <v>9</v>
      </c>
      <c r="L745" s="265" t="str">
        <f>IFERROR(__xludf.DUMMYFUNCTION("""COMPUTED_VALUE"""),"Adventure")</f>
        <v>Adventure</v>
      </c>
    </row>
    <row r="746">
      <c r="A746" s="269" t="str">
        <f>IFERROR(__xludf.DUMMYFUNCTION("""COMPUTED_VALUE"""),"Resident Evil: Revelations")</f>
        <v>Resident Evil: Revelations</v>
      </c>
      <c r="B746" s="195" t="str">
        <f>IFERROR(__xludf.DUMMYFUNCTION("""COMPUTED_VALUE"""),"Xbox")</f>
        <v>Xbox</v>
      </c>
      <c r="C746" s="196"/>
      <c r="D746" s="196" t="str">
        <f>IFERROR(__xludf.DUMMYFUNCTION("""COMPUTED_VALUE"""),"Removed")</f>
        <v>Removed</v>
      </c>
      <c r="E746" s="271">
        <f>IFERROR(__xludf.DUMMYFUNCTION("""COMPUTED_VALUE"""),43636.0)</f>
        <v>43636</v>
      </c>
      <c r="F746" s="271">
        <f>IFERROR(__xludf.DUMMYFUNCTION("""COMPUTED_VALUE"""),43997.0)</f>
        <v>43997</v>
      </c>
      <c r="G746" s="199">
        <f>IFERROR(__xludf.DUMMYFUNCTION("""COMPUTED_VALUE"""),11.833333333333334)</f>
        <v>11.83333333</v>
      </c>
      <c r="H746" s="210">
        <f>IFERROR(__xludf.DUMMYFUNCTION("""COMPUTED_VALUE"""),40934.0)</f>
        <v>40934</v>
      </c>
      <c r="I746" s="199">
        <f>IFERROR(__xludf.DUMMYFUNCTION("""COMPUTED_VALUE"""),7.4)</f>
        <v>7.4</v>
      </c>
      <c r="J746" s="200">
        <f>IFERROR(__xludf.DUMMYFUNCTION("""COMPUTED_VALUE"""),78.0)</f>
        <v>78</v>
      </c>
      <c r="K746" s="200">
        <f>IFERROR(__xludf.DUMMYFUNCTION("""COMPUTED_VALUE"""),9.0)</f>
        <v>9</v>
      </c>
      <c r="L746" s="265" t="str">
        <f>IFERROR(__xludf.DUMMYFUNCTION("""COMPUTED_VALUE"""),"Shooter / Action-Adventure")</f>
        <v>Shooter / Action-Adventure</v>
      </c>
    </row>
    <row r="747">
      <c r="A747" s="190" t="str">
        <f>IFERROR(__xludf.DUMMYFUNCTION("""COMPUTED_VALUE"""),"Book of Demons")</f>
        <v>Book of Demons</v>
      </c>
      <c r="B747" s="195" t="str">
        <f>IFERROR(__xludf.DUMMYFUNCTION("""COMPUTED_VALUE"""),"PC")</f>
        <v>PC</v>
      </c>
      <c r="C747" s="196"/>
      <c r="D747" s="196" t="str">
        <f>IFERROR(__xludf.DUMMYFUNCTION("""COMPUTED_VALUE"""),"Removed")</f>
        <v>Removed</v>
      </c>
      <c r="E747" s="271">
        <f>IFERROR(__xludf.DUMMYFUNCTION("""COMPUTED_VALUE"""),43625.0)</f>
        <v>43625</v>
      </c>
      <c r="F747" s="271">
        <f>IFERROR(__xludf.DUMMYFUNCTION("""COMPUTED_VALUE"""),43997.0)</f>
        <v>43997</v>
      </c>
      <c r="G747" s="199">
        <f>IFERROR(__xludf.DUMMYFUNCTION("""COMPUTED_VALUE"""),12.2)</f>
        <v>12.2</v>
      </c>
      <c r="H747" s="210">
        <f>IFERROR(__xludf.DUMMYFUNCTION("""COMPUTED_VALUE"""),43447.0)</f>
        <v>43447</v>
      </c>
      <c r="I747" s="199">
        <f>IFERROR(__xludf.DUMMYFUNCTION("""COMPUTED_VALUE"""),0.4888888888888889)</f>
        <v>0.4888888889</v>
      </c>
      <c r="J747" s="200">
        <f>IFERROR(__xludf.DUMMYFUNCTION("""COMPUTED_VALUE"""),73.0)</f>
        <v>73</v>
      </c>
      <c r="K747" s="200">
        <f>IFERROR(__xludf.DUMMYFUNCTION("""COMPUTED_VALUE"""),9.5)</f>
        <v>9.5</v>
      </c>
      <c r="L747" s="265" t="str">
        <f>IFERROR(__xludf.DUMMYFUNCTION("""COMPUTED_VALUE"""),"Action / RPG")</f>
        <v>Action / RPG</v>
      </c>
    </row>
    <row r="748">
      <c r="A748" s="269" t="str">
        <f>IFERROR(__xludf.DUMMYFUNCTION("""COMPUTED_VALUE"""),"Everspace")</f>
        <v>Everspace</v>
      </c>
      <c r="B748" s="195" t="str">
        <f>IFERROR(__xludf.DUMMYFUNCTION("""COMPUTED_VALUE"""),"Xbox / PC")</f>
        <v>Xbox / PC</v>
      </c>
      <c r="C748" s="196"/>
      <c r="D748" s="196" t="str">
        <f>IFERROR(__xludf.DUMMYFUNCTION("""COMPUTED_VALUE"""),"Removed")</f>
        <v>Removed</v>
      </c>
      <c r="E748" s="271">
        <f>IFERROR(__xludf.DUMMYFUNCTION("""COMPUTED_VALUE"""),43625.0)</f>
        <v>43625</v>
      </c>
      <c r="F748" s="271">
        <f>IFERROR(__xludf.DUMMYFUNCTION("""COMPUTED_VALUE"""),43997.0)</f>
        <v>43997</v>
      </c>
      <c r="G748" s="199">
        <f>IFERROR(__xludf.DUMMYFUNCTION("""COMPUTED_VALUE"""),12.2)</f>
        <v>12.2</v>
      </c>
      <c r="H748" s="210">
        <f>IFERROR(__xludf.DUMMYFUNCTION("""COMPUTED_VALUE"""),42627.0)</f>
        <v>42627</v>
      </c>
      <c r="I748" s="199">
        <f>IFERROR(__xludf.DUMMYFUNCTION("""COMPUTED_VALUE"""),2.736111111111111)</f>
        <v>2.736111111</v>
      </c>
      <c r="J748" s="200">
        <f>IFERROR(__xludf.DUMMYFUNCTION("""COMPUTED_VALUE"""),84.0)</f>
        <v>84</v>
      </c>
      <c r="K748" s="200">
        <f>IFERROR(__xludf.DUMMYFUNCTION("""COMPUTED_VALUE"""),18.0)</f>
        <v>18</v>
      </c>
      <c r="L748" s="265" t="str">
        <f>IFERROR(__xludf.DUMMYFUNCTION("""COMPUTED_VALUE"""),"Action / Shooter")</f>
        <v>Action / Shooter</v>
      </c>
    </row>
    <row r="749">
      <c r="A749" s="269" t="str">
        <f>IFERROR(__xludf.DUMMYFUNCTION("""COMPUTED_VALUE"""),"Riverbond")</f>
        <v>Riverbond</v>
      </c>
      <c r="B749" s="195" t="str">
        <f>IFERROR(__xludf.DUMMYFUNCTION("""COMPUTED_VALUE"""),"Xbox / PC")</f>
        <v>Xbox / PC</v>
      </c>
      <c r="C749" s="196"/>
      <c r="D749" s="196" t="str">
        <f>IFERROR(__xludf.DUMMYFUNCTION("""COMPUTED_VALUE"""),"Removed")</f>
        <v>Removed</v>
      </c>
      <c r="E749" s="271">
        <f>IFERROR(__xludf.DUMMYFUNCTION("""COMPUTED_VALUE"""),43625.0)</f>
        <v>43625</v>
      </c>
      <c r="F749" s="271">
        <f>IFERROR(__xludf.DUMMYFUNCTION("""COMPUTED_VALUE"""),43997.0)</f>
        <v>43997</v>
      </c>
      <c r="G749" s="199">
        <f>IFERROR(__xludf.DUMMYFUNCTION("""COMPUTED_VALUE"""),12.2)</f>
        <v>12.2</v>
      </c>
      <c r="H749" s="210">
        <f>IFERROR(__xludf.DUMMYFUNCTION("""COMPUTED_VALUE"""),43625.0)</f>
        <v>43625</v>
      </c>
      <c r="I749" s="199">
        <f>IFERROR(__xludf.DUMMYFUNCTION("""COMPUTED_VALUE"""),0.0)</f>
        <v>0</v>
      </c>
      <c r="J749" s="200">
        <f>IFERROR(__xludf.DUMMYFUNCTION("""COMPUTED_VALUE"""),67.0)</f>
        <v>67</v>
      </c>
      <c r="K749" s="200">
        <f>IFERROR(__xludf.DUMMYFUNCTION("""COMPUTED_VALUE"""),4.5)</f>
        <v>4.5</v>
      </c>
      <c r="L749" s="265" t="str">
        <f>IFERROR(__xludf.DUMMYFUNCTION("""COMPUTED_VALUE"""),"Action-Adventure")</f>
        <v>Action-Adventure</v>
      </c>
    </row>
    <row r="750">
      <c r="A750" s="269" t="str">
        <f>IFERROR(__xludf.DUMMYFUNCTION("""COMPUTED_VALUE"""),"Samorost 3")</f>
        <v>Samorost 3</v>
      </c>
      <c r="B750" s="195" t="str">
        <f>IFERROR(__xludf.DUMMYFUNCTION("""COMPUTED_VALUE"""),"PC")</f>
        <v>PC</v>
      </c>
      <c r="C750" s="196"/>
      <c r="D750" s="196" t="str">
        <f>IFERROR(__xludf.DUMMYFUNCTION("""COMPUTED_VALUE"""),"Removed")</f>
        <v>Removed</v>
      </c>
      <c r="E750" s="271">
        <f>IFERROR(__xludf.DUMMYFUNCTION("""COMPUTED_VALUE"""),43625.0)</f>
        <v>43625</v>
      </c>
      <c r="F750" s="271">
        <f>IFERROR(__xludf.DUMMYFUNCTION("""COMPUTED_VALUE"""),43997.0)</f>
        <v>43997</v>
      </c>
      <c r="G750" s="199">
        <f>IFERROR(__xludf.DUMMYFUNCTION("""COMPUTED_VALUE"""),12.2)</f>
        <v>12.2</v>
      </c>
      <c r="H750" s="210">
        <f>IFERROR(__xludf.DUMMYFUNCTION("""COMPUTED_VALUE"""),42453.0)</f>
        <v>42453</v>
      </c>
      <c r="I750" s="199">
        <f>IFERROR(__xludf.DUMMYFUNCTION("""COMPUTED_VALUE"""),3.2083333333333335)</f>
        <v>3.208333333</v>
      </c>
      <c r="J750" s="200">
        <f>IFERROR(__xludf.DUMMYFUNCTION("""COMPUTED_VALUE"""),80.0)</f>
        <v>80</v>
      </c>
      <c r="K750" s="200">
        <f>IFERROR(__xludf.DUMMYFUNCTION("""COMPUTED_VALUE"""),5.0)</f>
        <v>5</v>
      </c>
      <c r="L750" s="265" t="str">
        <f>IFERROR(__xludf.DUMMYFUNCTION("""COMPUTED_VALUE"""),"Adventure")</f>
        <v>Adventure</v>
      </c>
    </row>
    <row r="751">
      <c r="A751" s="269" t="str">
        <f>IFERROR(__xludf.DUMMYFUNCTION("""COMPUTED_VALUE"""),"Supermarket Shriek")</f>
        <v>Supermarket Shriek</v>
      </c>
      <c r="B751" s="195" t="str">
        <f>IFERROR(__xludf.DUMMYFUNCTION("""COMPUTED_VALUE"""),"Xbox / PC")</f>
        <v>Xbox / PC</v>
      </c>
      <c r="C751" s="196"/>
      <c r="D751" s="196" t="str">
        <f>IFERROR(__xludf.DUMMYFUNCTION("""COMPUTED_VALUE"""),"Removed")</f>
        <v>Removed</v>
      </c>
      <c r="E751" s="271">
        <f>IFERROR(__xludf.DUMMYFUNCTION("""COMPUTED_VALUE"""),43625.0)</f>
        <v>43625</v>
      </c>
      <c r="F751" s="271">
        <f>IFERROR(__xludf.DUMMYFUNCTION("""COMPUTED_VALUE"""),43997.0)</f>
        <v>43997</v>
      </c>
      <c r="G751" s="199">
        <f>IFERROR(__xludf.DUMMYFUNCTION("""COMPUTED_VALUE"""),12.2)</f>
        <v>12.2</v>
      </c>
      <c r="H751" s="210">
        <f>IFERROR(__xludf.DUMMYFUNCTION("""COMPUTED_VALUE"""),43625.0)</f>
        <v>43625</v>
      </c>
      <c r="I751" s="199">
        <f>IFERROR(__xludf.DUMMYFUNCTION("""COMPUTED_VALUE"""),0.0)</f>
        <v>0</v>
      </c>
      <c r="J751" s="267">
        <f>IFERROR(__xludf.DUMMYFUNCTION("""COMPUTED_VALUE"""),76.0)</f>
        <v>76</v>
      </c>
      <c r="K751" s="200">
        <f>IFERROR(__xludf.DUMMYFUNCTION("""COMPUTED_VALUE"""),6.5)</f>
        <v>6.5</v>
      </c>
      <c r="L751" s="265" t="str">
        <f>IFERROR(__xludf.DUMMYFUNCTION("""COMPUTED_VALUE"""),"Driving/Racing")</f>
        <v>Driving/Racing</v>
      </c>
    </row>
    <row r="752">
      <c r="A752" s="269" t="str">
        <f>IFERROR(__xludf.DUMMYFUNCTION("""COMPUTED_VALUE"""),"The Last Door: Season 2 - Collector's Edition")</f>
        <v>The Last Door: Season 2 - Collector's Edition</v>
      </c>
      <c r="B752" s="195" t="str">
        <f>IFERROR(__xludf.DUMMYFUNCTION("""COMPUTED_VALUE"""),"PC")</f>
        <v>PC</v>
      </c>
      <c r="C752" s="196"/>
      <c r="D752" s="196" t="str">
        <f>IFERROR(__xludf.DUMMYFUNCTION("""COMPUTED_VALUE"""),"Removed")</f>
        <v>Removed</v>
      </c>
      <c r="E752" s="271">
        <f>IFERROR(__xludf.DUMMYFUNCTION("""COMPUTED_VALUE"""),43625.0)</f>
        <v>43625</v>
      </c>
      <c r="F752" s="271">
        <f>IFERROR(__xludf.DUMMYFUNCTION("""COMPUTED_VALUE"""),43997.0)</f>
        <v>43997</v>
      </c>
      <c r="G752" s="199">
        <f>IFERROR(__xludf.DUMMYFUNCTION("""COMPUTED_VALUE"""),12.2)</f>
        <v>12.2</v>
      </c>
      <c r="H752" s="210">
        <f>IFERROR(__xludf.DUMMYFUNCTION("""COMPUTED_VALUE"""),42458.0)</f>
        <v>42458</v>
      </c>
      <c r="I752" s="199">
        <f>IFERROR(__xludf.DUMMYFUNCTION("""COMPUTED_VALUE"""),3.1944444444444446)</f>
        <v>3.194444444</v>
      </c>
      <c r="J752" s="200">
        <f>IFERROR(__xludf.DUMMYFUNCTION("""COMPUTED_VALUE"""),85.0)</f>
        <v>85</v>
      </c>
      <c r="K752" s="200">
        <f>IFERROR(__xludf.DUMMYFUNCTION("""COMPUTED_VALUE"""),6.0)</f>
        <v>6</v>
      </c>
      <c r="L752" s="265" t="str">
        <f>IFERROR(__xludf.DUMMYFUNCTION("""COMPUTED_VALUE"""),"Adventure")</f>
        <v>Adventure</v>
      </c>
    </row>
    <row r="753">
      <c r="A753" s="269" t="str">
        <f>IFERROR(__xludf.DUMMYFUNCTION("""COMPUTED_VALUE"""),"The Stillness of the Wind")</f>
        <v>The Stillness of the Wind</v>
      </c>
      <c r="B753" s="195" t="str">
        <f>IFERROR(__xludf.DUMMYFUNCTION("""COMPUTED_VALUE"""),"PC")</f>
        <v>PC</v>
      </c>
      <c r="C753" s="196"/>
      <c r="D753" s="196" t="str">
        <f>IFERROR(__xludf.DUMMYFUNCTION("""COMPUTED_VALUE"""),"Removed")</f>
        <v>Removed</v>
      </c>
      <c r="E753" s="271">
        <f>IFERROR(__xludf.DUMMYFUNCTION("""COMPUTED_VALUE"""),43625.0)</f>
        <v>43625</v>
      </c>
      <c r="F753" s="271">
        <f>IFERROR(__xludf.DUMMYFUNCTION("""COMPUTED_VALUE"""),43997.0)</f>
        <v>43997</v>
      </c>
      <c r="G753" s="199">
        <f>IFERROR(__xludf.DUMMYFUNCTION("""COMPUTED_VALUE"""),12.2)</f>
        <v>12.2</v>
      </c>
      <c r="H753" s="210">
        <f>IFERROR(__xludf.DUMMYFUNCTION("""COMPUTED_VALUE"""),43503.0)</f>
        <v>43503</v>
      </c>
      <c r="I753" s="199">
        <f>IFERROR(__xludf.DUMMYFUNCTION("""COMPUTED_VALUE"""),0.3388888888888889)</f>
        <v>0.3388888889</v>
      </c>
      <c r="J753" s="200">
        <f>IFERROR(__xludf.DUMMYFUNCTION("""COMPUTED_VALUE"""),76.0)</f>
        <v>76</v>
      </c>
      <c r="K753" s="200">
        <f>IFERROR(__xludf.DUMMYFUNCTION("""COMPUTED_VALUE"""),3.5)</f>
        <v>3.5</v>
      </c>
      <c r="L753" s="265" t="str">
        <f>IFERROR(__xludf.DUMMYFUNCTION("""COMPUTED_VALUE"""),"Adventure")</f>
        <v>Adventure</v>
      </c>
    </row>
    <row r="754">
      <c r="A754" s="269" t="str">
        <f>IFERROR(__xludf.DUMMYFUNCTION("""COMPUTED_VALUE"""),"Riptide GP: Renegade")</f>
        <v>Riptide GP: Renegade</v>
      </c>
      <c r="B754" s="195" t="str">
        <f>IFERROR(__xludf.DUMMYFUNCTION("""COMPUTED_VALUE"""),"Xbox / PC")</f>
        <v>Xbox / PC</v>
      </c>
      <c r="C754" s="196"/>
      <c r="D754" s="196" t="str">
        <f>IFERROR(__xludf.DUMMYFUNCTION("""COMPUTED_VALUE"""),"Removed")</f>
        <v>Removed</v>
      </c>
      <c r="E754" s="271">
        <f>IFERROR(__xludf.DUMMYFUNCTION("""COMPUTED_VALUE"""),43132.0)</f>
        <v>43132</v>
      </c>
      <c r="F754" s="271">
        <f>IFERROR(__xludf.DUMMYFUNCTION("""COMPUTED_VALUE"""),43997.0)</f>
        <v>43997</v>
      </c>
      <c r="G754" s="199">
        <f>IFERROR(__xludf.DUMMYFUNCTION("""COMPUTED_VALUE"""),28.46666666666667)</f>
        <v>28.46666667</v>
      </c>
      <c r="H754" s="210">
        <f>IFERROR(__xludf.DUMMYFUNCTION("""COMPUTED_VALUE"""),42577.0)</f>
        <v>42577</v>
      </c>
      <c r="I754" s="199">
        <f>IFERROR(__xludf.DUMMYFUNCTION("""COMPUTED_VALUE"""),1.5138888888888888)</f>
        <v>1.513888889</v>
      </c>
      <c r="J754" s="200">
        <f>IFERROR(__xludf.DUMMYFUNCTION("""COMPUTED_VALUE"""),75.0)</f>
        <v>75</v>
      </c>
      <c r="K754" s="200">
        <f>IFERROR(__xludf.DUMMYFUNCTION("""COMPUTED_VALUE"""),6.0)</f>
        <v>6</v>
      </c>
      <c r="L754" s="265" t="str">
        <f>IFERROR(__xludf.DUMMYFUNCTION("""COMPUTED_VALUE"""),"Driving/Racing")</f>
        <v>Driving/Racing</v>
      </c>
    </row>
    <row r="755">
      <c r="A755" s="269" t="str">
        <f>IFERROR(__xludf.DUMMYFUNCTION("""COMPUTED_VALUE"""),"Old Man's Journey")</f>
        <v>Old Man's Journey</v>
      </c>
      <c r="B755" s="195" t="str">
        <f>IFERROR(__xludf.DUMMYFUNCTION("""COMPUTED_VALUE"""),"Xbox / PC")</f>
        <v>Xbox / PC</v>
      </c>
      <c r="C755" s="196"/>
      <c r="D755" s="196" t="str">
        <f>IFERROR(__xludf.DUMMYFUNCTION("""COMPUTED_VALUE"""),"Removed")</f>
        <v>Removed</v>
      </c>
      <c r="E755" s="271">
        <f>IFERROR(__xludf.DUMMYFUNCTION("""COMPUTED_VALUE"""),43625.0)</f>
        <v>43625</v>
      </c>
      <c r="F755" s="271">
        <f>IFERROR(__xludf.DUMMYFUNCTION("""COMPUTED_VALUE"""),43982.0)</f>
        <v>43982</v>
      </c>
      <c r="G755" s="199">
        <f>IFERROR(__xludf.DUMMYFUNCTION("""COMPUTED_VALUE"""),11.7)</f>
        <v>11.7</v>
      </c>
      <c r="H755" s="210">
        <f>IFERROR(__xludf.DUMMYFUNCTION("""COMPUTED_VALUE"""),42872.0)</f>
        <v>42872</v>
      </c>
      <c r="I755" s="199">
        <f>IFERROR(__xludf.DUMMYFUNCTION("""COMPUTED_VALUE"""),2.061111111111111)</f>
        <v>2.061111111</v>
      </c>
      <c r="J755" s="200">
        <f>IFERROR(__xludf.DUMMYFUNCTION("""COMPUTED_VALUE"""),76.0)</f>
        <v>76</v>
      </c>
      <c r="K755" s="200">
        <f>IFERROR(__xludf.DUMMYFUNCTION("""COMPUTED_VALUE"""),1.5)</f>
        <v>1.5</v>
      </c>
      <c r="L755" s="265" t="str">
        <f>IFERROR(__xludf.DUMMYFUNCTION("""COMPUTED_VALUE"""),"Adventure / Puzzle")</f>
        <v>Adventure / Puzzle</v>
      </c>
    </row>
    <row r="756">
      <c r="A756" s="269" t="str">
        <f>IFERROR(__xludf.DUMMYFUNCTION("""COMPUTED_VALUE"""),"Hydro Thunder: Hurricane")</f>
        <v>Hydro Thunder: Hurricane</v>
      </c>
      <c r="B756" s="195" t="str">
        <f>IFERROR(__xludf.DUMMYFUNCTION("""COMPUTED_VALUE"""),"Xbox / PC")</f>
        <v>Xbox / PC</v>
      </c>
      <c r="C756" s="196"/>
      <c r="D756" s="196" t="str">
        <f>IFERROR(__xludf.DUMMYFUNCTION("""COMPUTED_VALUE"""),"Removed")</f>
        <v>Removed</v>
      </c>
      <c r="E756" s="271">
        <f>IFERROR(__xludf.DUMMYFUNCTION("""COMPUTED_VALUE"""),43252.0)</f>
        <v>43252</v>
      </c>
      <c r="F756" s="271">
        <f>IFERROR(__xludf.DUMMYFUNCTION("""COMPUTED_VALUE"""),43982.0)</f>
        <v>43982</v>
      </c>
      <c r="G756" s="199">
        <f>IFERROR(__xludf.DUMMYFUNCTION("""COMPUTED_VALUE"""),23.96666666666667)</f>
        <v>23.96666667</v>
      </c>
      <c r="H756" s="210">
        <f>IFERROR(__xludf.DUMMYFUNCTION("""COMPUTED_VALUE"""),40387.0)</f>
        <v>40387</v>
      </c>
      <c r="I756" s="199">
        <f>IFERROR(__xludf.DUMMYFUNCTION("""COMPUTED_VALUE"""),7.841666666666667)</f>
        <v>7.841666667</v>
      </c>
      <c r="J756" s="200">
        <f>IFERROR(__xludf.DUMMYFUNCTION("""COMPUTED_VALUE"""),75.0)</f>
        <v>75</v>
      </c>
      <c r="K756" s="200">
        <f>IFERROR(__xludf.DUMMYFUNCTION("""COMPUTED_VALUE"""),5.5)</f>
        <v>5.5</v>
      </c>
      <c r="L756" s="265" t="str">
        <f>IFERROR(__xludf.DUMMYFUNCTION("""COMPUTED_VALUE"""),"Driving/Racing")</f>
        <v>Driving/Racing</v>
      </c>
    </row>
    <row r="757">
      <c r="A757" s="269" t="str">
        <f>IFERROR(__xludf.DUMMYFUNCTION("""COMPUTED_VALUE"""),"#IDARB")</f>
        <v>#IDARB</v>
      </c>
      <c r="B757" s="195" t="str">
        <f>IFERROR(__xludf.DUMMYFUNCTION("""COMPUTED_VALUE"""),"Xbox")</f>
        <v>Xbox</v>
      </c>
      <c r="C757" s="196"/>
      <c r="D757" s="196" t="str">
        <f>IFERROR(__xludf.DUMMYFUNCTION("""COMPUTED_VALUE"""),"Removed")</f>
        <v>Removed</v>
      </c>
      <c r="E757" s="271">
        <f>IFERROR(__xludf.DUMMYFUNCTION("""COMPUTED_VALUE"""),42887.0)</f>
        <v>42887</v>
      </c>
      <c r="F757" s="271">
        <f>IFERROR(__xludf.DUMMYFUNCTION("""COMPUTED_VALUE"""),43982.0)</f>
        <v>43982</v>
      </c>
      <c r="G757" s="199">
        <f>IFERROR(__xludf.DUMMYFUNCTION("""COMPUTED_VALUE"""),35.96666666666667)</f>
        <v>35.96666667</v>
      </c>
      <c r="H757" s="210">
        <f>IFERROR(__xludf.DUMMYFUNCTION("""COMPUTED_VALUE"""),42005.0)</f>
        <v>42005</v>
      </c>
      <c r="I757" s="199">
        <f>IFERROR(__xludf.DUMMYFUNCTION("""COMPUTED_VALUE"""),2.4166666666666665)</f>
        <v>2.416666667</v>
      </c>
      <c r="J757" s="200">
        <f>IFERROR(__xludf.DUMMYFUNCTION("""COMPUTED_VALUE"""),77.0)</f>
        <v>77</v>
      </c>
      <c r="K757" s="200">
        <f>IFERROR(__xludf.DUMMYFUNCTION("""COMPUTED_VALUE"""),2.5)</f>
        <v>2.5</v>
      </c>
      <c r="L757" s="265" t="str">
        <f>IFERROR(__xludf.DUMMYFUNCTION("""COMPUTED_VALUE"""),"Adventure")</f>
        <v>Adventure</v>
      </c>
    </row>
    <row r="758">
      <c r="A758" s="269" t="str">
        <f>IFERROR(__xludf.DUMMYFUNCTION("""COMPUTED_VALUE"""),"The King of Fighters '98 Ultimate Match (KOF98UM)")</f>
        <v>The King of Fighters '98 Ultimate Match (KOF98UM)</v>
      </c>
      <c r="B758" s="195" t="str">
        <f>IFERROR(__xludf.DUMMYFUNCTION("""COMPUTED_VALUE"""),"Xbox")</f>
        <v>Xbox</v>
      </c>
      <c r="C758" s="196"/>
      <c r="D758" s="196" t="str">
        <f>IFERROR(__xludf.DUMMYFUNCTION("""COMPUTED_VALUE"""),"Removed")</f>
        <v>Removed</v>
      </c>
      <c r="E758" s="271">
        <f>IFERROR(__xludf.DUMMYFUNCTION("""COMPUTED_VALUE"""),42887.0)</f>
        <v>42887</v>
      </c>
      <c r="F758" s="271">
        <f>IFERROR(__xludf.DUMMYFUNCTION("""COMPUTED_VALUE"""),43982.0)</f>
        <v>43982</v>
      </c>
      <c r="G758" s="199">
        <f>IFERROR(__xludf.DUMMYFUNCTION("""COMPUTED_VALUE"""),35.96666666666667)</f>
        <v>35.96666667</v>
      </c>
      <c r="H758" s="210">
        <f>IFERROR(__xludf.DUMMYFUNCTION("""COMPUTED_VALUE"""),39525.0)</f>
        <v>39525</v>
      </c>
      <c r="I758" s="199">
        <f>IFERROR(__xludf.DUMMYFUNCTION("""COMPUTED_VALUE"""),9.202777777777778)</f>
        <v>9.202777778</v>
      </c>
      <c r="J758" s="200">
        <f>IFERROR(__xludf.DUMMYFUNCTION("""COMPUTED_VALUE"""),73.0)</f>
        <v>73</v>
      </c>
      <c r="K758" s="200">
        <f>IFERROR(__xludf.DUMMYFUNCTION("""COMPUTED_VALUE"""),1.0)</f>
        <v>1</v>
      </c>
      <c r="L758" s="265" t="str">
        <f>IFERROR(__xludf.DUMMYFUNCTION("""COMPUTED_VALUE"""),"Action / Fighting")</f>
        <v>Action / Fighting</v>
      </c>
    </row>
    <row r="759">
      <c r="A759" s="269" t="str">
        <f>IFERROR(__xludf.DUMMYFUNCTION("""COMPUTED_VALUE"""),"The Lego Ninjago Movie Video Game")</f>
        <v>The Lego Ninjago Movie Video Game</v>
      </c>
      <c r="B759" s="195" t="str">
        <f>IFERROR(__xludf.DUMMYFUNCTION("""COMPUTED_VALUE"""),"Xbox")</f>
        <v>Xbox</v>
      </c>
      <c r="C759" s="196"/>
      <c r="D759" s="196" t="str">
        <f>IFERROR(__xludf.DUMMYFUNCTION("""COMPUTED_VALUE"""),"Removed")</f>
        <v>Removed</v>
      </c>
      <c r="E759" s="271">
        <f>IFERROR(__xludf.DUMMYFUNCTION("""COMPUTED_VALUE"""),43783.0)</f>
        <v>43783</v>
      </c>
      <c r="F759" s="271">
        <f>IFERROR(__xludf.DUMMYFUNCTION("""COMPUTED_VALUE"""),43966.0)</f>
        <v>43966</v>
      </c>
      <c r="G759" s="199">
        <f>IFERROR(__xludf.DUMMYFUNCTION("""COMPUTED_VALUE"""),6.033333333333333)</f>
        <v>6.033333333</v>
      </c>
      <c r="H759" s="210">
        <f>IFERROR(__xludf.DUMMYFUNCTION("""COMPUTED_VALUE"""),43000.0)</f>
        <v>43000</v>
      </c>
      <c r="I759" s="199">
        <f>IFERROR(__xludf.DUMMYFUNCTION("""COMPUTED_VALUE"""),2.1444444444444444)</f>
        <v>2.144444444</v>
      </c>
      <c r="J759" s="200">
        <f>IFERROR(__xludf.DUMMYFUNCTION("""COMPUTED_VALUE"""),76.0)</f>
        <v>76</v>
      </c>
      <c r="K759" s="200">
        <f>IFERROR(__xludf.DUMMYFUNCTION("""COMPUTED_VALUE"""),6.0)</f>
        <v>6</v>
      </c>
      <c r="L759" s="265" t="str">
        <f>IFERROR(__xludf.DUMMYFUNCTION("""COMPUTED_VALUE"""),"Action / Action-Adventure")</f>
        <v>Action / Action-Adventure</v>
      </c>
    </row>
    <row r="760">
      <c r="A760" s="269" t="str">
        <f>IFERROR(__xludf.DUMMYFUNCTION("""COMPUTED_VALUE"""),"Imperator: Rome")</f>
        <v>Imperator: Rome</v>
      </c>
      <c r="B760" s="195" t="str">
        <f>IFERROR(__xludf.DUMMYFUNCTION("""COMPUTED_VALUE"""),"PC")</f>
        <v>PC</v>
      </c>
      <c r="C760" s="196"/>
      <c r="D760" s="196" t="str">
        <f>IFERROR(__xludf.DUMMYFUNCTION("""COMPUTED_VALUE"""),"Removed")</f>
        <v>Removed</v>
      </c>
      <c r="E760" s="271">
        <f>IFERROR(__xludf.DUMMYFUNCTION("""COMPUTED_VALUE"""),43625.0)</f>
        <v>43625</v>
      </c>
      <c r="F760" s="271">
        <f>IFERROR(__xludf.DUMMYFUNCTION("""COMPUTED_VALUE"""),43966.0)</f>
        <v>43966</v>
      </c>
      <c r="G760" s="199">
        <f>IFERROR(__xludf.DUMMYFUNCTION("""COMPUTED_VALUE"""),11.2)</f>
        <v>11.2</v>
      </c>
      <c r="H760" s="210">
        <f>IFERROR(__xludf.DUMMYFUNCTION("""COMPUTED_VALUE"""),43580.0)</f>
        <v>43580</v>
      </c>
      <c r="I760" s="199">
        <f>IFERROR(__xludf.DUMMYFUNCTION("""COMPUTED_VALUE"""),0.12222222222222222)</f>
        <v>0.1222222222</v>
      </c>
      <c r="J760" s="200">
        <f>IFERROR(__xludf.DUMMYFUNCTION("""COMPUTED_VALUE"""),76.0)</f>
        <v>76</v>
      </c>
      <c r="K760" s="200">
        <f>IFERROR(__xludf.DUMMYFUNCTION("""COMPUTED_VALUE"""),17.0)</f>
        <v>17</v>
      </c>
      <c r="L760" s="265" t="str">
        <f>IFERROR(__xludf.DUMMYFUNCTION("""COMPUTED_VALUE"""),"Strategy")</f>
        <v>Strategy</v>
      </c>
    </row>
    <row r="761">
      <c r="A761" s="190" t="str">
        <f>IFERROR(__xludf.DUMMYFUNCTION("""COMPUTED_VALUE"""),"West of Loathing")</f>
        <v>West of Loathing</v>
      </c>
      <c r="B761" s="195" t="str">
        <f>IFERROR(__xludf.DUMMYFUNCTION("""COMPUTED_VALUE"""),"PC")</f>
        <v>PC</v>
      </c>
      <c r="C761" s="196"/>
      <c r="D761" s="196" t="str">
        <f>IFERROR(__xludf.DUMMYFUNCTION("""COMPUTED_VALUE"""),"Removed")</f>
        <v>Removed</v>
      </c>
      <c r="E761" s="271">
        <f>IFERROR(__xludf.DUMMYFUNCTION("""COMPUTED_VALUE"""),43625.0)</f>
        <v>43625</v>
      </c>
      <c r="F761" s="271">
        <f>IFERROR(__xludf.DUMMYFUNCTION("""COMPUTED_VALUE"""),43966.0)</f>
        <v>43966</v>
      </c>
      <c r="G761" s="199">
        <f>IFERROR(__xludf.DUMMYFUNCTION("""COMPUTED_VALUE"""),11.2)</f>
        <v>11.2</v>
      </c>
      <c r="H761" s="210">
        <f>IFERROR(__xludf.DUMMYFUNCTION("""COMPUTED_VALUE"""),42957.0)</f>
        <v>42957</v>
      </c>
      <c r="I761" s="199">
        <f>IFERROR(__xludf.DUMMYFUNCTION("""COMPUTED_VALUE"""),1.8305555555555555)</f>
        <v>1.830555556</v>
      </c>
      <c r="J761" s="200">
        <f>IFERROR(__xludf.DUMMYFUNCTION("""COMPUTED_VALUE"""),87.0)</f>
        <v>87</v>
      </c>
      <c r="K761" s="200">
        <f>IFERROR(__xludf.DUMMYFUNCTION("""COMPUTED_VALUE"""),7.0)</f>
        <v>7</v>
      </c>
      <c r="L761" s="201" t="str">
        <f>IFERROR(__xludf.DUMMYFUNCTION("""COMPUTED_VALUE"""),"Adventure / RPG")</f>
        <v>Adventure / RPG</v>
      </c>
    </row>
    <row r="762">
      <c r="A762" s="269" t="str">
        <f>IFERROR(__xludf.DUMMYFUNCTION("""COMPUTED_VALUE"""),"Metal Gear Survive")</f>
        <v>Metal Gear Survive</v>
      </c>
      <c r="B762" s="195" t="str">
        <f>IFERROR(__xludf.DUMMYFUNCTION("""COMPUTED_VALUE"""),"Xbox")</f>
        <v>Xbox</v>
      </c>
      <c r="C762" s="196"/>
      <c r="D762" s="196" t="str">
        <f>IFERROR(__xludf.DUMMYFUNCTION("""COMPUTED_VALUE"""),"Removed")</f>
        <v>Removed</v>
      </c>
      <c r="E762" s="271">
        <f>IFERROR(__xludf.DUMMYFUNCTION("""COMPUTED_VALUE"""),43608.0)</f>
        <v>43608</v>
      </c>
      <c r="F762" s="271">
        <f>IFERROR(__xludf.DUMMYFUNCTION("""COMPUTED_VALUE"""),43966.0)</f>
        <v>43966</v>
      </c>
      <c r="G762" s="199">
        <f>IFERROR(__xludf.DUMMYFUNCTION("""COMPUTED_VALUE"""),11.733333333333333)</f>
        <v>11.73333333</v>
      </c>
      <c r="H762" s="210">
        <f>IFERROR(__xludf.DUMMYFUNCTION("""COMPUTED_VALUE"""),43151.0)</f>
        <v>43151</v>
      </c>
      <c r="I762" s="199">
        <f>IFERROR(__xludf.DUMMYFUNCTION("""COMPUTED_VALUE"""),1.2583333333333333)</f>
        <v>1.258333333</v>
      </c>
      <c r="J762" s="200">
        <f>IFERROR(__xludf.DUMMYFUNCTION("""COMPUTED_VALUE"""),62.0)</f>
        <v>62</v>
      </c>
      <c r="K762" s="200">
        <f>IFERROR(__xludf.DUMMYFUNCTION("""COMPUTED_VALUE"""),22.0)</f>
        <v>22</v>
      </c>
      <c r="L762" s="265" t="str">
        <f>IFERROR(__xludf.DUMMYFUNCTION("""COMPUTED_VALUE"""),"Shooter")</f>
        <v>Shooter</v>
      </c>
    </row>
    <row r="763">
      <c r="A763" s="269" t="str">
        <f>IFERROR(__xludf.DUMMYFUNCTION("""COMPUTED_VALUE"""),"The Banner Saga")</f>
        <v>The Banner Saga</v>
      </c>
      <c r="B763" s="195" t="str">
        <f>IFERROR(__xludf.DUMMYFUNCTION("""COMPUTED_VALUE"""),"Xbox / PC")</f>
        <v>Xbox / PC</v>
      </c>
      <c r="C763" s="196"/>
      <c r="D763" s="196" t="str">
        <f>IFERROR(__xludf.DUMMYFUNCTION("""COMPUTED_VALUE"""),"Removed")</f>
        <v>Removed</v>
      </c>
      <c r="E763" s="271">
        <f>IFERROR(__xludf.DUMMYFUNCTION("""COMPUTED_VALUE"""),43608.0)</f>
        <v>43608</v>
      </c>
      <c r="F763" s="271">
        <f>IFERROR(__xludf.DUMMYFUNCTION("""COMPUTED_VALUE"""),43966.0)</f>
        <v>43966</v>
      </c>
      <c r="G763" s="199">
        <f>IFERROR(__xludf.DUMMYFUNCTION("""COMPUTED_VALUE"""),11.733333333333333)</f>
        <v>11.73333333</v>
      </c>
      <c r="H763" s="210">
        <f>IFERROR(__xludf.DUMMYFUNCTION("""COMPUTED_VALUE"""),41653.0)</f>
        <v>41653</v>
      </c>
      <c r="I763" s="199">
        <f>IFERROR(__xludf.DUMMYFUNCTION("""COMPUTED_VALUE"""),5.358333333333333)</f>
        <v>5.358333333</v>
      </c>
      <c r="J763" s="200">
        <f>IFERROR(__xludf.DUMMYFUNCTION("""COMPUTED_VALUE"""),76.0)</f>
        <v>76</v>
      </c>
      <c r="K763" s="200">
        <f>IFERROR(__xludf.DUMMYFUNCTION("""COMPUTED_VALUE"""),10.5)</f>
        <v>10.5</v>
      </c>
      <c r="L763" s="265" t="str">
        <f>IFERROR(__xludf.DUMMYFUNCTION("""COMPUTED_VALUE"""),"Strategy / RPG")</f>
        <v>Strategy / RPG</v>
      </c>
    </row>
    <row r="764">
      <c r="A764" s="269" t="str">
        <f>IFERROR(__xludf.DUMMYFUNCTION("""COMPUTED_VALUE"""),"Mega Man Legacy Collection 2")</f>
        <v>Mega Man Legacy Collection 2</v>
      </c>
      <c r="B764" s="195" t="str">
        <f>IFERROR(__xludf.DUMMYFUNCTION("""COMPUTED_VALUE"""),"Xbox")</f>
        <v>Xbox</v>
      </c>
      <c r="C764" s="196"/>
      <c r="D764" s="196" t="str">
        <f>IFERROR(__xludf.DUMMYFUNCTION("""COMPUTED_VALUE"""),"Removed")</f>
        <v>Removed</v>
      </c>
      <c r="E764" s="271">
        <f>IFERROR(__xludf.DUMMYFUNCTION("""COMPUTED_VALUE"""),43252.0)</f>
        <v>43252</v>
      </c>
      <c r="F764" s="271">
        <f>IFERROR(__xludf.DUMMYFUNCTION("""COMPUTED_VALUE"""),43966.0)</f>
        <v>43966</v>
      </c>
      <c r="G764" s="199">
        <f>IFERROR(__xludf.DUMMYFUNCTION("""COMPUTED_VALUE"""),23.466666666666665)</f>
        <v>23.46666667</v>
      </c>
      <c r="H764" s="210">
        <f>IFERROR(__xludf.DUMMYFUNCTION("""COMPUTED_VALUE"""),42955.0)</f>
        <v>42955</v>
      </c>
      <c r="I764" s="199">
        <f>IFERROR(__xludf.DUMMYFUNCTION("""COMPUTED_VALUE"""),0.8138888888888889)</f>
        <v>0.8138888889</v>
      </c>
      <c r="J764" s="200">
        <f>IFERROR(__xludf.DUMMYFUNCTION("""COMPUTED_VALUE"""),72.0)</f>
        <v>72</v>
      </c>
      <c r="K764" s="200">
        <f>IFERROR(__xludf.DUMMYFUNCTION("""COMPUTED_VALUE"""),14.5)</f>
        <v>14.5</v>
      </c>
      <c r="L764" s="265" t="str">
        <f>IFERROR(__xludf.DUMMYFUNCTION("""COMPUTED_VALUE"""),"Compilation / Platformer")</f>
        <v>Compilation / Platformer</v>
      </c>
    </row>
    <row r="765">
      <c r="A765" s="269" t="str">
        <f>IFERROR(__xludf.DUMMYFUNCTION("""COMPUTED_VALUE"""),"Silence: The Whispered World 2")</f>
        <v>Silence: The Whispered World 2</v>
      </c>
      <c r="B765" s="195" t="str">
        <f>IFERROR(__xludf.DUMMYFUNCTION("""COMPUTED_VALUE"""),"Xbox")</f>
        <v>Xbox</v>
      </c>
      <c r="C765" s="196"/>
      <c r="D765" s="196" t="str">
        <f>IFERROR(__xludf.DUMMYFUNCTION("""COMPUTED_VALUE"""),"Removed")</f>
        <v>Removed</v>
      </c>
      <c r="E765" s="271">
        <f>IFERROR(__xludf.DUMMYFUNCTION("""COMPUTED_VALUE"""),43625.0)</f>
        <v>43625</v>
      </c>
      <c r="F765" s="271">
        <f>IFERROR(__xludf.DUMMYFUNCTION("""COMPUTED_VALUE"""),43951.0)</f>
        <v>43951</v>
      </c>
      <c r="G765" s="199">
        <f>IFERROR(__xludf.DUMMYFUNCTION("""COMPUTED_VALUE"""),10.700000000000001)</f>
        <v>10.7</v>
      </c>
      <c r="H765" s="210">
        <f>IFERROR(__xludf.DUMMYFUNCTION("""COMPUTED_VALUE"""),40291.0)</f>
        <v>40291</v>
      </c>
      <c r="I765" s="199">
        <f>IFERROR(__xludf.DUMMYFUNCTION("""COMPUTED_VALUE"""),9.127777777777778)</f>
        <v>9.127777778</v>
      </c>
      <c r="J765" s="200">
        <f>IFERROR(__xludf.DUMMYFUNCTION("""COMPUTED_VALUE"""),66.0)</f>
        <v>66</v>
      </c>
      <c r="K765" s="200">
        <f>IFERROR(__xludf.DUMMYFUNCTION("""COMPUTED_VALUE"""),5.5)</f>
        <v>5.5</v>
      </c>
      <c r="L765" s="265" t="str">
        <f>IFERROR(__xludf.DUMMYFUNCTION("""COMPUTED_VALUE"""),"Adventure / Puzzle")</f>
        <v>Adventure / Puzzle</v>
      </c>
    </row>
    <row r="766">
      <c r="A766" s="269" t="str">
        <f>IFERROR(__xludf.DUMMYFUNCTION("""COMPUTED_VALUE"""),"Smoke and Sacrifice")</f>
        <v>Smoke and Sacrifice</v>
      </c>
      <c r="B766" s="195" t="str">
        <f>IFERROR(__xludf.DUMMYFUNCTION("""COMPUTED_VALUE"""),"Xbox / PC")</f>
        <v>Xbox / PC</v>
      </c>
      <c r="C766" s="196"/>
      <c r="D766" s="196" t="str">
        <f>IFERROR(__xludf.DUMMYFUNCTION("""COMPUTED_VALUE"""),"Removed")</f>
        <v>Removed</v>
      </c>
      <c r="E766" s="271">
        <f>IFERROR(__xludf.DUMMYFUNCTION("""COMPUTED_VALUE"""),43625.0)</f>
        <v>43625</v>
      </c>
      <c r="F766" s="271">
        <f>IFERROR(__xludf.DUMMYFUNCTION("""COMPUTED_VALUE"""),43951.0)</f>
        <v>43951</v>
      </c>
      <c r="G766" s="199">
        <f>IFERROR(__xludf.DUMMYFUNCTION("""COMPUTED_VALUE"""),10.700000000000001)</f>
        <v>10.7</v>
      </c>
      <c r="H766" s="210">
        <f>IFERROR(__xludf.DUMMYFUNCTION("""COMPUTED_VALUE"""),43251.0)</f>
        <v>43251</v>
      </c>
      <c r="I766" s="199">
        <f>IFERROR(__xludf.DUMMYFUNCTION("""COMPUTED_VALUE"""),1.025)</f>
        <v>1.025</v>
      </c>
      <c r="J766" s="200">
        <f>IFERROR(__xludf.DUMMYFUNCTION("""COMPUTED_VALUE"""),68.0)</f>
        <v>68</v>
      </c>
      <c r="K766" s="200">
        <f>IFERROR(__xludf.DUMMYFUNCTION("""COMPUTED_VALUE"""),10.5)</f>
        <v>10.5</v>
      </c>
      <c r="L766" s="265" t="str">
        <f>IFERROR(__xludf.DUMMYFUNCTION("""COMPUTED_VALUE"""),"Action / RPG")</f>
        <v>Action / RPG</v>
      </c>
    </row>
    <row r="767">
      <c r="A767" s="269" t="str">
        <f>IFERROR(__xludf.DUMMYFUNCTION("""COMPUTED_VALUE"""),"Full Metal Furies")</f>
        <v>Full Metal Furies</v>
      </c>
      <c r="B767" s="195" t="str">
        <f>IFERROR(__xludf.DUMMYFUNCTION("""COMPUTED_VALUE"""),"Xbox / PC")</f>
        <v>Xbox / PC</v>
      </c>
      <c r="C767" s="196"/>
      <c r="D767" s="196" t="str">
        <f>IFERROR(__xludf.DUMMYFUNCTION("""COMPUTED_VALUE"""),"Removed")</f>
        <v>Removed</v>
      </c>
      <c r="E767" s="271">
        <f>IFERROR(__xludf.DUMMYFUNCTION("""COMPUTED_VALUE"""),43622.0)</f>
        <v>43622</v>
      </c>
      <c r="F767" s="271">
        <f>IFERROR(__xludf.DUMMYFUNCTION("""COMPUTED_VALUE"""),43951.0)</f>
        <v>43951</v>
      </c>
      <c r="G767" s="199">
        <f>IFERROR(__xludf.DUMMYFUNCTION("""COMPUTED_VALUE"""),10.8)</f>
        <v>10.8</v>
      </c>
      <c r="H767" s="210">
        <f>IFERROR(__xludf.DUMMYFUNCTION("""COMPUTED_VALUE"""),43117.0)</f>
        <v>43117</v>
      </c>
      <c r="I767" s="199">
        <f>IFERROR(__xludf.DUMMYFUNCTION("""COMPUTED_VALUE"""),1.386111111111111)</f>
        <v>1.386111111</v>
      </c>
      <c r="J767" s="200">
        <f>IFERROR(__xludf.DUMMYFUNCTION("""COMPUTED_VALUE"""),80.0)</f>
        <v>80</v>
      </c>
      <c r="K767" s="200">
        <f>IFERROR(__xludf.DUMMYFUNCTION("""COMPUTED_VALUE"""),10.5)</f>
        <v>10.5</v>
      </c>
      <c r="L767" s="265" t="str">
        <f>IFERROR(__xludf.DUMMYFUNCTION("""COMPUTED_VALUE"""),"RPG / Brawler / Action-Adventure")</f>
        <v>RPG / Brawler / Action-Adventure</v>
      </c>
    </row>
    <row r="768">
      <c r="A768" s="269" t="str">
        <f>IFERROR(__xludf.DUMMYFUNCTION("""COMPUTED_VALUE"""),"The Banner Saga 2")</f>
        <v>The Banner Saga 2</v>
      </c>
      <c r="B768" s="195" t="str">
        <f>IFERROR(__xludf.DUMMYFUNCTION("""COMPUTED_VALUE"""),"Xbox / PC")</f>
        <v>Xbox / PC</v>
      </c>
      <c r="C768" s="196"/>
      <c r="D768" s="196" t="str">
        <f>IFERROR(__xludf.DUMMYFUNCTION("""COMPUTED_VALUE"""),"Removed")</f>
        <v>Removed</v>
      </c>
      <c r="E768" s="271">
        <f>IFERROR(__xludf.DUMMYFUNCTION("""COMPUTED_VALUE"""),43622.0)</f>
        <v>43622</v>
      </c>
      <c r="F768" s="271">
        <f>IFERROR(__xludf.DUMMYFUNCTION("""COMPUTED_VALUE"""),43951.0)</f>
        <v>43951</v>
      </c>
      <c r="G768" s="199">
        <f>IFERROR(__xludf.DUMMYFUNCTION("""COMPUTED_VALUE"""),10.8)</f>
        <v>10.8</v>
      </c>
      <c r="H768" s="210">
        <f>IFERROR(__xludf.DUMMYFUNCTION("""COMPUTED_VALUE"""),42479.0)</f>
        <v>42479</v>
      </c>
      <c r="I768" s="199">
        <f>IFERROR(__xludf.DUMMYFUNCTION("""COMPUTED_VALUE"""),3.1305555555555555)</f>
        <v>3.130555556</v>
      </c>
      <c r="J768" s="200">
        <f>IFERROR(__xludf.DUMMYFUNCTION("""COMPUTED_VALUE"""),84.0)</f>
        <v>84</v>
      </c>
      <c r="K768" s="200">
        <f>IFERROR(__xludf.DUMMYFUNCTION("""COMPUTED_VALUE"""),11.5)</f>
        <v>11.5</v>
      </c>
      <c r="L768" s="265" t="str">
        <f>IFERROR(__xludf.DUMMYFUNCTION("""COMPUTED_VALUE"""),"Strategy")</f>
        <v>Strategy</v>
      </c>
    </row>
    <row r="769">
      <c r="A769" s="269" t="str">
        <f>IFERROR(__xludf.DUMMYFUNCTION("""COMPUTED_VALUE"""),"RUINER")</f>
        <v>RUINER</v>
      </c>
      <c r="B769" s="195" t="str">
        <f>IFERROR(__xludf.DUMMYFUNCTION("""COMPUTED_VALUE"""),"Xbox / PC")</f>
        <v>Xbox / PC</v>
      </c>
      <c r="C769" s="196"/>
      <c r="D769" s="196" t="str">
        <f>IFERROR(__xludf.DUMMYFUNCTION("""COMPUTED_VALUE"""),"Removed")</f>
        <v>Removed</v>
      </c>
      <c r="E769" s="271">
        <f>IFERROR(__xludf.DUMMYFUNCTION("""COMPUTED_VALUE"""),43313.0)</f>
        <v>43313</v>
      </c>
      <c r="F769" s="271">
        <f>IFERROR(__xludf.DUMMYFUNCTION("""COMPUTED_VALUE"""),43951.0)</f>
        <v>43951</v>
      </c>
      <c r="G769" s="199">
        <f>IFERROR(__xludf.DUMMYFUNCTION("""COMPUTED_VALUE"""),20.96666666666667)</f>
        <v>20.96666667</v>
      </c>
      <c r="H769" s="210">
        <f>IFERROR(__xludf.DUMMYFUNCTION("""COMPUTED_VALUE"""),43003.0)</f>
        <v>43003</v>
      </c>
      <c r="I769" s="199">
        <f>IFERROR(__xludf.DUMMYFUNCTION("""COMPUTED_VALUE"""),0.85)</f>
        <v>0.85</v>
      </c>
      <c r="J769" s="200">
        <f>IFERROR(__xludf.DUMMYFUNCTION("""COMPUTED_VALUE"""),77.0)</f>
        <v>77</v>
      </c>
      <c r="K769" s="200">
        <f>IFERROR(__xludf.DUMMYFUNCTION("""COMPUTED_VALUE"""),5.5)</f>
        <v>5.5</v>
      </c>
      <c r="L769" s="265" t="str">
        <f>IFERROR(__xludf.DUMMYFUNCTION("""COMPUTED_VALUE"""),"Action / Shooter")</f>
        <v>Action / Shooter</v>
      </c>
    </row>
    <row r="770">
      <c r="A770" s="269" t="str">
        <f>IFERROR(__xludf.DUMMYFUNCTION("""COMPUTED_VALUE"""),"Braid")</f>
        <v>Braid</v>
      </c>
      <c r="B770" s="195" t="str">
        <f>IFERROR(__xludf.DUMMYFUNCTION("""COMPUTED_VALUE"""),"Xbox")</f>
        <v>Xbox</v>
      </c>
      <c r="C770" s="196"/>
      <c r="D770" s="196" t="str">
        <f>IFERROR(__xludf.DUMMYFUNCTION("""COMPUTED_VALUE"""),"Removed")</f>
        <v>Removed</v>
      </c>
      <c r="E770" s="271">
        <f>IFERROR(__xludf.DUMMYFUNCTION("""COMPUTED_VALUE"""),42887.0)</f>
        <v>42887</v>
      </c>
      <c r="F770" s="271">
        <f>IFERROR(__xludf.DUMMYFUNCTION("""COMPUTED_VALUE"""),43951.0)</f>
        <v>43951</v>
      </c>
      <c r="G770" s="199">
        <f>IFERROR(__xludf.DUMMYFUNCTION("""COMPUTED_VALUE"""),34.96666666666667)</f>
        <v>34.96666667</v>
      </c>
      <c r="H770" s="210">
        <f>IFERROR(__xludf.DUMMYFUNCTION("""COMPUTED_VALUE"""),39666.0)</f>
        <v>39666</v>
      </c>
      <c r="I770" s="199">
        <f>IFERROR(__xludf.DUMMYFUNCTION("""COMPUTED_VALUE"""),8.819444444444445)</f>
        <v>8.819444444</v>
      </c>
      <c r="J770" s="200">
        <f>IFERROR(__xludf.DUMMYFUNCTION("""COMPUTED_VALUE"""),93.0)</f>
        <v>93</v>
      </c>
      <c r="K770" s="200">
        <f>IFERROR(__xludf.DUMMYFUNCTION("""COMPUTED_VALUE"""),5.0)</f>
        <v>5</v>
      </c>
      <c r="L770" s="265" t="str">
        <f>IFERROR(__xludf.DUMMYFUNCTION("""COMPUTED_VALUE"""),"Puzzle / Platformer")</f>
        <v>Puzzle / Platformer</v>
      </c>
    </row>
    <row r="771">
      <c r="A771" s="269" t="str">
        <f>IFERROR(__xludf.DUMMYFUNCTION("""COMPUTED_VALUE"""),"Metal Slug 3")</f>
        <v>Metal Slug 3</v>
      </c>
      <c r="B771" s="195" t="str">
        <f>IFERROR(__xludf.DUMMYFUNCTION("""COMPUTED_VALUE"""),"Xbox")</f>
        <v>Xbox</v>
      </c>
      <c r="C771" s="196"/>
      <c r="D771" s="196" t="str">
        <f>IFERROR(__xludf.DUMMYFUNCTION("""COMPUTED_VALUE"""),"Removed")</f>
        <v>Removed</v>
      </c>
      <c r="E771" s="271">
        <f>IFERROR(__xludf.DUMMYFUNCTION("""COMPUTED_VALUE"""),42887.0)</f>
        <v>42887</v>
      </c>
      <c r="F771" s="271">
        <f>IFERROR(__xludf.DUMMYFUNCTION("""COMPUTED_VALUE"""),43951.0)</f>
        <v>43951</v>
      </c>
      <c r="G771" s="199">
        <f>IFERROR(__xludf.DUMMYFUNCTION("""COMPUTED_VALUE"""),34.96666666666667)</f>
        <v>34.96666667</v>
      </c>
      <c r="H771" s="210">
        <f>IFERROR(__xludf.DUMMYFUNCTION("""COMPUTED_VALUE"""),36678.0)</f>
        <v>36678</v>
      </c>
      <c r="I771" s="199">
        <f>IFERROR(__xludf.DUMMYFUNCTION("""COMPUTED_VALUE"""),17.0)</f>
        <v>17</v>
      </c>
      <c r="J771" s="200">
        <f>IFERROR(__xludf.DUMMYFUNCTION("""COMPUTED_VALUE"""),76.0)</f>
        <v>76</v>
      </c>
      <c r="K771" s="200">
        <f>IFERROR(__xludf.DUMMYFUNCTION("""COMPUTED_VALUE"""),1.5)</f>
        <v>1.5</v>
      </c>
      <c r="L771" s="265" t="str">
        <f>IFERROR(__xludf.DUMMYFUNCTION("""COMPUTED_VALUE"""),"Action / Shooter")</f>
        <v>Action / Shooter</v>
      </c>
    </row>
    <row r="772">
      <c r="A772" s="190" t="str">
        <f>IFERROR(__xludf.DUMMYFUNCTION("""COMPUTED_VALUE"""),"The Book of Unwritten Tales 2")</f>
        <v>The Book of Unwritten Tales 2</v>
      </c>
      <c r="B772" s="195" t="str">
        <f>IFERROR(__xludf.DUMMYFUNCTION("""COMPUTED_VALUE"""),"Xbox")</f>
        <v>Xbox</v>
      </c>
      <c r="C772" s="196"/>
      <c r="D772" s="196" t="str">
        <f>IFERROR(__xludf.DUMMYFUNCTION("""COMPUTED_VALUE"""),"Removed")</f>
        <v>Removed</v>
      </c>
      <c r="E772" s="271">
        <f>IFERROR(__xludf.DUMMYFUNCTION("""COMPUTED_VALUE"""),42887.0)</f>
        <v>42887</v>
      </c>
      <c r="F772" s="271">
        <f>IFERROR(__xludf.DUMMYFUNCTION("""COMPUTED_VALUE"""),43936.0)</f>
        <v>43936</v>
      </c>
      <c r="G772" s="199">
        <f>IFERROR(__xludf.DUMMYFUNCTION("""COMPUTED_VALUE"""),34.46666666666667)</f>
        <v>34.46666667</v>
      </c>
      <c r="H772" s="210">
        <f>IFERROR(__xludf.DUMMYFUNCTION("""COMPUTED_VALUE"""),42054.0)</f>
        <v>42054</v>
      </c>
      <c r="I772" s="199">
        <f>IFERROR(__xludf.DUMMYFUNCTION("""COMPUTED_VALUE"""),2.283333333333333)</f>
        <v>2.283333333</v>
      </c>
      <c r="J772" s="200">
        <f>IFERROR(__xludf.DUMMYFUNCTION("""COMPUTED_VALUE"""),79.0)</f>
        <v>79</v>
      </c>
      <c r="K772" s="200">
        <f>IFERROR(__xludf.DUMMYFUNCTION("""COMPUTED_VALUE"""),20.0)</f>
        <v>20</v>
      </c>
      <c r="L772" s="265" t="str">
        <f>IFERROR(__xludf.DUMMYFUNCTION("""COMPUTED_VALUE"""),"Adventure")</f>
        <v>Adventure</v>
      </c>
    </row>
    <row r="773">
      <c r="A773" s="190" t="str">
        <f>IFERROR(__xludf.DUMMYFUNCTION("""COMPUTED_VALUE"""),"FEZ")</f>
        <v>FEZ</v>
      </c>
      <c r="B773" s="195" t="str">
        <f>IFERROR(__xludf.DUMMYFUNCTION("""COMPUTED_VALUE"""),"PC")</f>
        <v>PC</v>
      </c>
      <c r="C773" s="196"/>
      <c r="D773" s="196" t="str">
        <f>IFERROR(__xludf.DUMMYFUNCTION("""COMPUTED_VALUE"""),"Removed")</f>
        <v>Removed</v>
      </c>
      <c r="E773" s="271">
        <f>IFERROR(__xludf.DUMMYFUNCTION("""COMPUTED_VALUE"""),43625.0)</f>
        <v>43625</v>
      </c>
      <c r="F773" s="271">
        <f>IFERROR(__xludf.DUMMYFUNCTION("""COMPUTED_VALUE"""),43922.0)</f>
        <v>43922</v>
      </c>
      <c r="G773" s="199">
        <f>IFERROR(__xludf.DUMMYFUNCTION("""COMPUTED_VALUE"""),9.733333333333334)</f>
        <v>9.733333333</v>
      </c>
      <c r="H773" s="210">
        <f>IFERROR(__xludf.DUMMYFUNCTION("""COMPUTED_VALUE"""),41012.0)</f>
        <v>41012</v>
      </c>
      <c r="I773" s="199">
        <f>IFERROR(__xludf.DUMMYFUNCTION("""COMPUTED_VALUE"""),7.155555555555556)</f>
        <v>7.155555556</v>
      </c>
      <c r="J773" s="200">
        <f>IFERROR(__xludf.DUMMYFUNCTION("""COMPUTED_VALUE"""),91.0)</f>
        <v>91</v>
      </c>
      <c r="K773" s="200">
        <f>IFERROR(__xludf.DUMMYFUNCTION("""COMPUTED_VALUE"""),6.0)</f>
        <v>6</v>
      </c>
      <c r="L773" s="275" t="str">
        <f>IFERROR(__xludf.DUMMYFUNCTION("""COMPUTED_VALUE"""),"Puzzle / Platformer")</f>
        <v>Puzzle / Platformer</v>
      </c>
    </row>
    <row r="774">
      <c r="A774" s="269" t="str">
        <f>IFERROR(__xludf.DUMMYFUNCTION("""COMPUTED_VALUE"""),"Valkyria Chronicles")</f>
        <v>Valkyria Chronicles</v>
      </c>
      <c r="B774" s="195" t="str">
        <f>IFERROR(__xludf.DUMMYFUNCTION("""COMPUTED_VALUE"""),"PC")</f>
        <v>PC</v>
      </c>
      <c r="C774" s="196"/>
      <c r="D774" s="196" t="str">
        <f>IFERROR(__xludf.DUMMYFUNCTION("""COMPUTED_VALUE"""),"Removed")</f>
        <v>Removed</v>
      </c>
      <c r="E774" s="271">
        <f>IFERROR(__xludf.DUMMYFUNCTION("""COMPUTED_VALUE"""),43625.0)</f>
        <v>43625</v>
      </c>
      <c r="F774" s="271">
        <f>IFERROR(__xludf.DUMMYFUNCTION("""COMPUTED_VALUE"""),43922.0)</f>
        <v>43922</v>
      </c>
      <c r="G774" s="199">
        <f>IFERROR(__xludf.DUMMYFUNCTION("""COMPUTED_VALUE"""),9.733333333333334)</f>
        <v>9.733333333</v>
      </c>
      <c r="H774" s="210">
        <f>IFERROR(__xludf.DUMMYFUNCTION("""COMPUTED_VALUE"""),39560.0)</f>
        <v>39560</v>
      </c>
      <c r="I774" s="199">
        <f>IFERROR(__xludf.DUMMYFUNCTION("""COMPUTED_VALUE"""),11.130555555555556)</f>
        <v>11.13055556</v>
      </c>
      <c r="J774" s="200">
        <f>IFERROR(__xludf.DUMMYFUNCTION("""COMPUTED_VALUE"""),85.0)</f>
        <v>85</v>
      </c>
      <c r="K774" s="200">
        <f>IFERROR(__xludf.DUMMYFUNCTION("""COMPUTED_VALUE"""),31.0)</f>
        <v>31</v>
      </c>
      <c r="L774" s="265" t="str">
        <f>IFERROR(__xludf.DUMMYFUNCTION("""COMPUTED_VALUE"""),"Strategy / RPG")</f>
        <v>Strategy / RPG</v>
      </c>
    </row>
    <row r="775">
      <c r="A775" s="269" t="str">
        <f>IFERROR(__xludf.DUMMYFUNCTION("""COMPUTED_VALUE"""),"Guacamelee! Super Turbo Championship Edition")</f>
        <v>Guacamelee! Super Turbo Championship Edition</v>
      </c>
      <c r="B775" s="195" t="str">
        <f>IFERROR(__xludf.DUMMYFUNCTION("""COMPUTED_VALUE"""),"Xbox")</f>
        <v>Xbox</v>
      </c>
      <c r="C775" s="196"/>
      <c r="D775" s="196" t="str">
        <f>IFERROR(__xludf.DUMMYFUNCTION("""COMPUTED_VALUE"""),"Removed")</f>
        <v>Removed</v>
      </c>
      <c r="E775" s="271">
        <f>IFERROR(__xludf.DUMMYFUNCTION("""COMPUTED_VALUE"""),42917.0)</f>
        <v>42917</v>
      </c>
      <c r="F775" s="271">
        <f>IFERROR(__xludf.DUMMYFUNCTION("""COMPUTED_VALUE"""),43922.0)</f>
        <v>43922</v>
      </c>
      <c r="G775" s="199">
        <f>IFERROR(__xludf.DUMMYFUNCTION("""COMPUTED_VALUE"""),33.0)</f>
        <v>33</v>
      </c>
      <c r="H775" s="210">
        <f>IFERROR(__xludf.DUMMYFUNCTION("""COMPUTED_VALUE"""),41822.0)</f>
        <v>41822</v>
      </c>
      <c r="I775" s="199">
        <f>IFERROR(__xludf.DUMMYFUNCTION("""COMPUTED_VALUE"""),2.9972222222222222)</f>
        <v>2.997222222</v>
      </c>
      <c r="J775" s="200">
        <f>IFERROR(__xludf.DUMMYFUNCTION("""COMPUTED_VALUE"""),88.0)</f>
        <v>88</v>
      </c>
      <c r="K775" s="200">
        <f>IFERROR(__xludf.DUMMYFUNCTION("""COMPUTED_VALUE"""),7.0)</f>
        <v>7</v>
      </c>
      <c r="L775" s="265" t="str">
        <f>IFERROR(__xludf.DUMMYFUNCTION("""COMPUTED_VALUE"""),"Brawler / Platformer / Action-Adventure")</f>
        <v>Brawler / Platformer / Action-Adventure</v>
      </c>
    </row>
    <row r="776">
      <c r="A776" s="269" t="str">
        <f>IFERROR(__xludf.DUMMYFUNCTION("""COMPUTED_VALUE"""),"MX vs. ATV: Reflex")</f>
        <v>MX vs. ATV: Reflex</v>
      </c>
      <c r="B776" s="195" t="str">
        <f>IFERROR(__xludf.DUMMYFUNCTION("""COMPUTED_VALUE"""),"Xbox")</f>
        <v>Xbox</v>
      </c>
      <c r="C776" s="196"/>
      <c r="D776" s="196" t="str">
        <f>IFERROR(__xludf.DUMMYFUNCTION("""COMPUTED_VALUE"""),"Removed")</f>
        <v>Removed</v>
      </c>
      <c r="E776" s="271">
        <f>IFERROR(__xludf.DUMMYFUNCTION("""COMPUTED_VALUE"""),42887.0)</f>
        <v>42887</v>
      </c>
      <c r="F776" s="271">
        <f>IFERROR(__xludf.DUMMYFUNCTION("""COMPUTED_VALUE"""),43922.0)</f>
        <v>43922</v>
      </c>
      <c r="G776" s="199">
        <f>IFERROR(__xludf.DUMMYFUNCTION("""COMPUTED_VALUE"""),34.0)</f>
        <v>34</v>
      </c>
      <c r="H776" s="210">
        <f>IFERROR(__xludf.DUMMYFUNCTION("""COMPUTED_VALUE"""),40148.0)</f>
        <v>40148</v>
      </c>
      <c r="I776" s="199">
        <f>IFERROR(__xludf.DUMMYFUNCTION("""COMPUTED_VALUE"""),7.5)</f>
        <v>7.5</v>
      </c>
      <c r="J776" s="200">
        <f>IFERROR(__xludf.DUMMYFUNCTION("""COMPUTED_VALUE"""),75.0)</f>
        <v>75</v>
      </c>
      <c r="K776" s="200">
        <f>IFERROR(__xludf.DUMMYFUNCTION("""COMPUTED_VALUE"""),19.0)</f>
        <v>19</v>
      </c>
      <c r="L776" s="201" t="str">
        <f>IFERROR(__xludf.DUMMYFUNCTION("""COMPUTED_VALUE"""),"Driving/Racing")</f>
        <v>Driving/Racing</v>
      </c>
    </row>
    <row r="777">
      <c r="A777" s="190" t="str">
        <f>IFERROR(__xludf.DUMMYFUNCTION("""COMPUTED_VALUE"""),"Samurai Shodown II")</f>
        <v>Samurai Shodown II</v>
      </c>
      <c r="B777" s="195" t="str">
        <f>IFERROR(__xludf.DUMMYFUNCTION("""COMPUTED_VALUE"""),"Xbox")</f>
        <v>Xbox</v>
      </c>
      <c r="C777" s="196"/>
      <c r="D777" s="196" t="str">
        <f>IFERROR(__xludf.DUMMYFUNCTION("""COMPUTED_VALUE"""),"Removed")</f>
        <v>Removed</v>
      </c>
      <c r="E777" s="271">
        <f>IFERROR(__xludf.DUMMYFUNCTION("""COMPUTED_VALUE"""),42887.0)</f>
        <v>42887</v>
      </c>
      <c r="F777" s="271">
        <f>IFERROR(__xludf.DUMMYFUNCTION("""COMPUTED_VALUE"""),43922.0)</f>
        <v>43922</v>
      </c>
      <c r="G777" s="199">
        <f>IFERROR(__xludf.DUMMYFUNCTION("""COMPUTED_VALUE"""),34.0)</f>
        <v>34</v>
      </c>
      <c r="H777" s="210">
        <f>IFERROR(__xludf.DUMMYFUNCTION("""COMPUTED_VALUE"""),34635.0)</f>
        <v>34635</v>
      </c>
      <c r="I777" s="199">
        <f>IFERROR(__xludf.DUMMYFUNCTION("""COMPUTED_VALUE"""),22.591666666666665)</f>
        <v>22.59166667</v>
      </c>
      <c r="J777" s="200">
        <f>IFERROR(__xludf.DUMMYFUNCTION("""COMPUTED_VALUE"""),73.0)</f>
        <v>73</v>
      </c>
      <c r="K777" s="200">
        <f>IFERROR(__xludf.DUMMYFUNCTION("""COMPUTED_VALUE"""),1.0)</f>
        <v>1</v>
      </c>
      <c r="L777" s="265" t="str">
        <f>IFERROR(__xludf.DUMMYFUNCTION("""COMPUTED_VALUE"""),"Action")</f>
        <v>Action</v>
      </c>
    </row>
    <row r="778">
      <c r="A778" s="269" t="str">
        <f>IFERROR(__xludf.DUMMYFUNCTION("""COMPUTED_VALUE"""),"LEGO Worlds")</f>
        <v>LEGO Worlds</v>
      </c>
      <c r="B778" s="195" t="str">
        <f>IFERROR(__xludf.DUMMYFUNCTION("""COMPUTED_VALUE"""),"Xbox")</f>
        <v>Xbox</v>
      </c>
      <c r="C778" s="196"/>
      <c r="D778" s="196" t="str">
        <f>IFERROR(__xludf.DUMMYFUNCTION("""COMPUTED_VALUE"""),"Removed")</f>
        <v>Removed</v>
      </c>
      <c r="E778" s="271">
        <f>IFERROR(__xludf.DUMMYFUNCTION("""COMPUTED_VALUE"""),43734.0)</f>
        <v>43734</v>
      </c>
      <c r="F778" s="271">
        <f>IFERROR(__xludf.DUMMYFUNCTION("""COMPUTED_VALUE"""),43891.0)</f>
        <v>43891</v>
      </c>
      <c r="G778" s="199">
        <f>IFERROR(__xludf.DUMMYFUNCTION("""COMPUTED_VALUE"""),5.166666666666667)</f>
        <v>5.166666667</v>
      </c>
      <c r="H778" s="210">
        <f>IFERROR(__xludf.DUMMYFUNCTION("""COMPUTED_VALUE"""),42801.0)</f>
        <v>42801</v>
      </c>
      <c r="I778" s="199">
        <f>IFERROR(__xludf.DUMMYFUNCTION("""COMPUTED_VALUE"""),2.5527777777777776)</f>
        <v>2.552777778</v>
      </c>
      <c r="J778" s="200">
        <f>IFERROR(__xludf.DUMMYFUNCTION("""COMPUTED_VALUE"""),69.0)</f>
        <v>69</v>
      </c>
      <c r="K778" s="200">
        <f>IFERROR(__xludf.DUMMYFUNCTION("""COMPUTED_VALUE"""),9.0)</f>
        <v>9</v>
      </c>
      <c r="L778" s="265" t="str">
        <f>IFERROR(__xludf.DUMMYFUNCTION("""COMPUTED_VALUE"""),"Action-Adventure")</f>
        <v>Action-Adventure</v>
      </c>
    </row>
    <row r="779">
      <c r="A779" s="269" t="str">
        <f>IFERROR(__xludf.DUMMYFUNCTION("""COMPUTED_VALUE"""),"Apocalipsis")</f>
        <v>Apocalipsis</v>
      </c>
      <c r="B779" s="195" t="str">
        <f>IFERROR(__xludf.DUMMYFUNCTION("""COMPUTED_VALUE"""),"PC")</f>
        <v>PC</v>
      </c>
      <c r="C779" s="196"/>
      <c r="D779" s="196" t="str">
        <f>IFERROR(__xludf.DUMMYFUNCTION("""COMPUTED_VALUE"""),"Removed")</f>
        <v>Removed</v>
      </c>
      <c r="E779" s="271">
        <f>IFERROR(__xludf.DUMMYFUNCTION("""COMPUTED_VALUE"""),43625.0)</f>
        <v>43625</v>
      </c>
      <c r="F779" s="271">
        <f>IFERROR(__xludf.DUMMYFUNCTION("""COMPUTED_VALUE"""),43891.0)</f>
        <v>43891</v>
      </c>
      <c r="G779" s="199">
        <f>IFERROR(__xludf.DUMMYFUNCTION("""COMPUTED_VALUE"""),8.733333333333333)</f>
        <v>8.733333333</v>
      </c>
      <c r="H779" s="210">
        <f>IFERROR(__xludf.DUMMYFUNCTION("""COMPUTED_VALUE"""),43159.0)</f>
        <v>43159</v>
      </c>
      <c r="I779" s="199">
        <f>IFERROR(__xludf.DUMMYFUNCTION("""COMPUTED_VALUE"""),1.2805555555555554)</f>
        <v>1.280555556</v>
      </c>
      <c r="J779" s="200">
        <f>IFERROR(__xludf.DUMMYFUNCTION("""COMPUTED_VALUE"""),73.0)</f>
        <v>73</v>
      </c>
      <c r="K779" s="200">
        <f>IFERROR(__xludf.DUMMYFUNCTION("""COMPUTED_VALUE"""),2.5)</f>
        <v>2.5</v>
      </c>
      <c r="L779" s="265" t="str">
        <f>IFERROR(__xludf.DUMMYFUNCTION("""COMPUTED_VALUE"""),"Adventure / Puzzle")</f>
        <v>Adventure / Puzzle</v>
      </c>
    </row>
    <row r="780">
      <c r="A780" s="190" t="str">
        <f>IFERROR(__xludf.DUMMYFUNCTION("""COMPUTED_VALUE"""),"Battle Chef Brigade")</f>
        <v>Battle Chef Brigade</v>
      </c>
      <c r="B780" s="195" t="str">
        <f>IFERROR(__xludf.DUMMYFUNCTION("""COMPUTED_VALUE"""),"PC")</f>
        <v>PC</v>
      </c>
      <c r="C780" s="196"/>
      <c r="D780" s="196" t="str">
        <f>IFERROR(__xludf.DUMMYFUNCTION("""COMPUTED_VALUE"""),"Removed")</f>
        <v>Removed</v>
      </c>
      <c r="E780" s="271">
        <f>IFERROR(__xludf.DUMMYFUNCTION("""COMPUTED_VALUE"""),43625.0)</f>
        <v>43625</v>
      </c>
      <c r="F780" s="271">
        <f>IFERROR(__xludf.DUMMYFUNCTION("""COMPUTED_VALUE"""),43891.0)</f>
        <v>43891</v>
      </c>
      <c r="G780" s="199">
        <f>IFERROR(__xludf.DUMMYFUNCTION("""COMPUTED_VALUE"""),8.733333333333333)</f>
        <v>8.733333333</v>
      </c>
      <c r="H780" s="210">
        <f>IFERROR(__xludf.DUMMYFUNCTION("""COMPUTED_VALUE"""),43059.0)</f>
        <v>43059</v>
      </c>
      <c r="I780" s="199">
        <f>IFERROR(__xludf.DUMMYFUNCTION("""COMPUTED_VALUE"""),1.5527777777777778)</f>
        <v>1.552777778</v>
      </c>
      <c r="J780" s="200">
        <f>IFERROR(__xludf.DUMMYFUNCTION("""COMPUTED_VALUE"""),80.0)</f>
        <v>80</v>
      </c>
      <c r="K780" s="200">
        <f>IFERROR(__xludf.DUMMYFUNCTION("""COMPUTED_VALUE"""),8.5)</f>
        <v>8.5</v>
      </c>
      <c r="L780" s="201" t="str">
        <f>IFERROR(__xludf.DUMMYFUNCTION("""COMPUTED_VALUE"""),"Action / Simulation")</f>
        <v>Action / Simulation</v>
      </c>
    </row>
    <row r="781">
      <c r="A781" s="269" t="str">
        <f>IFERROR(__xludf.DUMMYFUNCTION("""COMPUTED_VALUE"""),"Borderlands 2")</f>
        <v>Borderlands 2</v>
      </c>
      <c r="B781" s="195" t="str">
        <f>IFERROR(__xludf.DUMMYFUNCTION("""COMPUTED_VALUE"""),"Xbox")</f>
        <v>Xbox</v>
      </c>
      <c r="C781" s="196"/>
      <c r="D781" s="196" t="str">
        <f>IFERROR(__xludf.DUMMYFUNCTION("""COMPUTED_VALUE"""),"Removed")</f>
        <v>Removed</v>
      </c>
      <c r="E781" s="271">
        <f>IFERROR(__xludf.DUMMYFUNCTION("""COMPUTED_VALUE"""),43625.0)</f>
        <v>43625</v>
      </c>
      <c r="F781" s="271">
        <f>IFERROR(__xludf.DUMMYFUNCTION("""COMPUTED_VALUE"""),43891.0)</f>
        <v>43891</v>
      </c>
      <c r="G781" s="199">
        <f>IFERROR(__xludf.DUMMYFUNCTION("""COMPUTED_VALUE"""),8.733333333333333)</f>
        <v>8.733333333</v>
      </c>
      <c r="H781" s="210">
        <f>IFERROR(__xludf.DUMMYFUNCTION("""COMPUTED_VALUE"""),41170.0)</f>
        <v>41170</v>
      </c>
      <c r="I781" s="199">
        <f>IFERROR(__xludf.DUMMYFUNCTION("""COMPUTED_VALUE"""),6.725)</f>
        <v>6.725</v>
      </c>
      <c r="J781" s="200">
        <f>IFERROR(__xludf.DUMMYFUNCTION("""COMPUTED_VALUE"""),80.0)</f>
        <v>80</v>
      </c>
      <c r="K781" s="200">
        <f>IFERROR(__xludf.DUMMYFUNCTION("""COMPUTED_VALUE"""),30.5)</f>
        <v>30.5</v>
      </c>
      <c r="L781" s="265" t="str">
        <f>IFERROR(__xludf.DUMMYFUNCTION("""COMPUTED_VALUE"""),"RPG / First-Person Shooter")</f>
        <v>RPG / First-Person Shooter</v>
      </c>
    </row>
    <row r="782">
      <c r="A782" s="269" t="str">
        <f>IFERROR(__xludf.DUMMYFUNCTION("""COMPUTED_VALUE"""),"Borderlands: The Pre-Sequel!")</f>
        <v>Borderlands: The Pre-Sequel!</v>
      </c>
      <c r="B782" s="195" t="str">
        <f>IFERROR(__xludf.DUMMYFUNCTION("""COMPUTED_VALUE"""),"Xbox")</f>
        <v>Xbox</v>
      </c>
      <c r="C782" s="196"/>
      <c r="D782" s="196" t="str">
        <f>IFERROR(__xludf.DUMMYFUNCTION("""COMPUTED_VALUE"""),"Removed")</f>
        <v>Removed</v>
      </c>
      <c r="E782" s="271">
        <f>IFERROR(__xludf.DUMMYFUNCTION("""COMPUTED_VALUE"""),43625.0)</f>
        <v>43625</v>
      </c>
      <c r="F782" s="271">
        <f>IFERROR(__xludf.DUMMYFUNCTION("""COMPUTED_VALUE"""),43891.0)</f>
        <v>43891</v>
      </c>
      <c r="G782" s="199">
        <f>IFERROR(__xludf.DUMMYFUNCTION("""COMPUTED_VALUE"""),8.733333333333333)</f>
        <v>8.733333333</v>
      </c>
      <c r="H782" s="210">
        <f>IFERROR(__xludf.DUMMYFUNCTION("""COMPUTED_VALUE"""),41926.0)</f>
        <v>41926</v>
      </c>
      <c r="I782" s="199">
        <f>IFERROR(__xludf.DUMMYFUNCTION("""COMPUTED_VALUE"""),4.652777777777778)</f>
        <v>4.652777778</v>
      </c>
      <c r="J782" s="200">
        <f>IFERROR(__xludf.DUMMYFUNCTION("""COMPUTED_VALUE"""),80.0)</f>
        <v>80</v>
      </c>
      <c r="K782" s="200">
        <f>IFERROR(__xludf.DUMMYFUNCTION("""COMPUTED_VALUE"""),18.0)</f>
        <v>18</v>
      </c>
      <c r="L782" s="265" t="str">
        <f>IFERROR(__xludf.DUMMYFUNCTION("""COMPUTED_VALUE"""),"RPG / First-Person Shooter")</f>
        <v>RPG / First-Person Shooter</v>
      </c>
    </row>
    <row r="783">
      <c r="A783" s="269" t="str">
        <f>IFERROR(__xludf.DUMMYFUNCTION("""COMPUTED_VALUE"""),"Kingsway")</f>
        <v>Kingsway</v>
      </c>
      <c r="B783" s="195" t="str">
        <f>IFERROR(__xludf.DUMMYFUNCTION("""COMPUTED_VALUE"""),"PC")</f>
        <v>PC</v>
      </c>
      <c r="C783" s="196"/>
      <c r="D783" s="196" t="str">
        <f>IFERROR(__xludf.DUMMYFUNCTION("""COMPUTED_VALUE"""),"Removed")</f>
        <v>Removed</v>
      </c>
      <c r="E783" s="271">
        <f>IFERROR(__xludf.DUMMYFUNCTION("""COMPUTED_VALUE"""),43625.0)</f>
        <v>43625</v>
      </c>
      <c r="F783" s="271">
        <f>IFERROR(__xludf.DUMMYFUNCTION("""COMPUTED_VALUE"""),43891.0)</f>
        <v>43891</v>
      </c>
      <c r="G783" s="199">
        <f>IFERROR(__xludf.DUMMYFUNCTION("""COMPUTED_VALUE"""),8.733333333333333)</f>
        <v>8.733333333</v>
      </c>
      <c r="H783" s="210">
        <f>IFERROR(__xludf.DUMMYFUNCTION("""COMPUTED_VALUE"""),42934.0)</f>
        <v>42934</v>
      </c>
      <c r="I783" s="199">
        <f>IFERROR(__xludf.DUMMYFUNCTION("""COMPUTED_VALUE"""),1.8916666666666666)</f>
        <v>1.891666667</v>
      </c>
      <c r="J783" s="200">
        <f>IFERROR(__xludf.DUMMYFUNCTION("""COMPUTED_VALUE"""),80.0)</f>
        <v>80</v>
      </c>
      <c r="K783" s="200">
        <f>IFERROR(__xludf.DUMMYFUNCTION("""COMPUTED_VALUE"""),5.0)</f>
        <v>5</v>
      </c>
      <c r="L783" s="201" t="str">
        <f>IFERROR(__xludf.DUMMYFUNCTION("""COMPUTED_VALUE"""),"RPG")</f>
        <v>RPG</v>
      </c>
    </row>
    <row r="784">
      <c r="A784" s="269" t="str">
        <f>IFERROR(__xludf.DUMMYFUNCTION("""COMPUTED_VALUE"""),"Lichtspeer: Double Speer Edition")</f>
        <v>Lichtspeer: Double Speer Edition</v>
      </c>
      <c r="B784" s="195" t="str">
        <f>IFERROR(__xludf.DUMMYFUNCTION("""COMPUTED_VALUE"""),"Xbox / PC")</f>
        <v>Xbox / PC</v>
      </c>
      <c r="C784" s="196"/>
      <c r="D784" s="196" t="str">
        <f>IFERROR(__xludf.DUMMYFUNCTION("""COMPUTED_VALUE"""),"Removed")</f>
        <v>Removed</v>
      </c>
      <c r="E784" s="271">
        <f>IFERROR(__xludf.DUMMYFUNCTION("""COMPUTED_VALUE"""),43625.0)</f>
        <v>43625</v>
      </c>
      <c r="F784" s="271">
        <f>IFERROR(__xludf.DUMMYFUNCTION("""COMPUTED_VALUE"""),43891.0)</f>
        <v>43891</v>
      </c>
      <c r="G784" s="199">
        <f>IFERROR(__xludf.DUMMYFUNCTION("""COMPUTED_VALUE"""),8.733333333333333)</f>
        <v>8.733333333</v>
      </c>
      <c r="H784" s="210">
        <f>IFERROR(__xludf.DUMMYFUNCTION("""COMPUTED_VALUE"""),42640.0)</f>
        <v>42640</v>
      </c>
      <c r="I784" s="199">
        <f>IFERROR(__xludf.DUMMYFUNCTION("""COMPUTED_VALUE"""),2.7)</f>
        <v>2.7</v>
      </c>
      <c r="J784" s="200">
        <f>IFERROR(__xludf.DUMMYFUNCTION("""COMPUTED_VALUE"""),69.0)</f>
        <v>69</v>
      </c>
      <c r="K784" s="200">
        <f>IFERROR(__xludf.DUMMYFUNCTION("""COMPUTED_VALUE"""),4.0)</f>
        <v>4</v>
      </c>
      <c r="L784" s="201" t="str">
        <f>IFERROR(__xludf.DUMMYFUNCTION("""COMPUTED_VALUE"""),"Sports")</f>
        <v>Sports</v>
      </c>
    </row>
    <row r="785">
      <c r="A785" s="269" t="str">
        <f>IFERROR(__xludf.DUMMYFUNCTION("""COMPUTED_VALUE"""),"Orwell: Keeping an Eye on You")</f>
        <v>Orwell: Keeping an Eye on You</v>
      </c>
      <c r="B785" s="195" t="str">
        <f>IFERROR(__xludf.DUMMYFUNCTION("""COMPUTED_VALUE"""),"PC")</f>
        <v>PC</v>
      </c>
      <c r="C785" s="196"/>
      <c r="D785" s="196" t="str">
        <f>IFERROR(__xludf.DUMMYFUNCTION("""COMPUTED_VALUE"""),"Removed")</f>
        <v>Removed</v>
      </c>
      <c r="E785" s="271">
        <f>IFERROR(__xludf.DUMMYFUNCTION("""COMPUTED_VALUE"""),43625.0)</f>
        <v>43625</v>
      </c>
      <c r="F785" s="271">
        <f>IFERROR(__xludf.DUMMYFUNCTION("""COMPUTED_VALUE"""),43891.0)</f>
        <v>43891</v>
      </c>
      <c r="G785" s="199">
        <f>IFERROR(__xludf.DUMMYFUNCTION("""COMPUTED_VALUE"""),8.733333333333333)</f>
        <v>8.733333333</v>
      </c>
      <c r="H785" s="210">
        <f>IFERROR(__xludf.DUMMYFUNCTION("""COMPUTED_VALUE"""),42671.0)</f>
        <v>42671</v>
      </c>
      <c r="I785" s="199">
        <f>IFERROR(__xludf.DUMMYFUNCTION("""COMPUTED_VALUE"""),2.613888888888889)</f>
        <v>2.613888889</v>
      </c>
      <c r="J785" s="200">
        <f>IFERROR(__xludf.DUMMYFUNCTION("""COMPUTED_VALUE"""),77.0)</f>
        <v>77</v>
      </c>
      <c r="K785" s="200">
        <f>IFERROR(__xludf.DUMMYFUNCTION("""COMPUTED_VALUE"""),4.5)</f>
        <v>4.5</v>
      </c>
      <c r="L785" s="201" t="str">
        <f>IFERROR(__xludf.DUMMYFUNCTION("""COMPUTED_VALUE"""),"Adventure")</f>
        <v>Adventure</v>
      </c>
    </row>
    <row r="786">
      <c r="A786" s="269" t="str">
        <f>IFERROR(__xludf.DUMMYFUNCTION("""COMPUTED_VALUE"""),"Shenmue")</f>
        <v>Shenmue</v>
      </c>
      <c r="B786" s="195" t="str">
        <f>IFERROR(__xludf.DUMMYFUNCTION("""COMPUTED_VALUE"""),"Xbox / PC")</f>
        <v>Xbox / PC</v>
      </c>
      <c r="C786" s="196"/>
      <c r="D786" s="196" t="str">
        <f>IFERROR(__xludf.DUMMYFUNCTION("""COMPUTED_VALUE"""),"Removed")</f>
        <v>Removed</v>
      </c>
      <c r="E786" s="271">
        <f>IFERROR(__xludf.DUMMYFUNCTION("""COMPUTED_VALUE"""),43625.0)</f>
        <v>43625</v>
      </c>
      <c r="F786" s="271">
        <f>IFERROR(__xludf.DUMMYFUNCTION("""COMPUTED_VALUE"""),43891.0)</f>
        <v>43891</v>
      </c>
      <c r="G786" s="199">
        <f>IFERROR(__xludf.DUMMYFUNCTION("""COMPUTED_VALUE"""),8.733333333333333)</f>
        <v>8.733333333</v>
      </c>
      <c r="H786" s="210">
        <f>IFERROR(__xludf.DUMMYFUNCTION("""COMPUTED_VALUE"""),36523.0)</f>
        <v>36523</v>
      </c>
      <c r="I786" s="199">
        <f>IFERROR(__xludf.DUMMYFUNCTION("""COMPUTED_VALUE"""),19.444444444444443)</f>
        <v>19.44444444</v>
      </c>
      <c r="J786" s="200">
        <f>IFERROR(__xludf.DUMMYFUNCTION("""COMPUTED_VALUE"""),75.0)</f>
        <v>75</v>
      </c>
      <c r="K786" s="200">
        <f>IFERROR(__xludf.DUMMYFUNCTION("""COMPUTED_VALUE"""),19.5)</f>
        <v>19.5</v>
      </c>
      <c r="L786" s="265" t="str">
        <f>IFERROR(__xludf.DUMMYFUNCTION("""COMPUTED_VALUE"""),"Action-Adventure / RPG / Brawler")</f>
        <v>Action-Adventure / RPG / Brawler</v>
      </c>
    </row>
    <row r="787">
      <c r="A787" s="190" t="str">
        <f>IFERROR(__xludf.DUMMYFUNCTION("""COMPUTED_VALUE"""),"Shenmue II")</f>
        <v>Shenmue II</v>
      </c>
      <c r="B787" s="195" t="str">
        <f>IFERROR(__xludf.DUMMYFUNCTION("""COMPUTED_VALUE"""),"Xbox / PC")</f>
        <v>Xbox / PC</v>
      </c>
      <c r="C787" s="196"/>
      <c r="D787" s="196" t="str">
        <f>IFERROR(__xludf.DUMMYFUNCTION("""COMPUTED_VALUE"""),"Removed")</f>
        <v>Removed</v>
      </c>
      <c r="E787" s="271">
        <f>IFERROR(__xludf.DUMMYFUNCTION("""COMPUTED_VALUE"""),43625.0)</f>
        <v>43625</v>
      </c>
      <c r="F787" s="271">
        <f>IFERROR(__xludf.DUMMYFUNCTION("""COMPUTED_VALUE"""),43891.0)</f>
        <v>43891</v>
      </c>
      <c r="G787" s="199">
        <f>IFERROR(__xludf.DUMMYFUNCTION("""COMPUTED_VALUE"""),8.733333333333333)</f>
        <v>8.733333333</v>
      </c>
      <c r="H787" s="210">
        <f>IFERROR(__xludf.DUMMYFUNCTION("""COMPUTED_VALUE"""),37140.0)</f>
        <v>37140</v>
      </c>
      <c r="I787" s="199">
        <f>IFERROR(__xludf.DUMMYFUNCTION("""COMPUTED_VALUE"""),17.758333333333333)</f>
        <v>17.75833333</v>
      </c>
      <c r="J787" s="200">
        <f>IFERROR(__xludf.DUMMYFUNCTION("""COMPUTED_VALUE"""),75.0)</f>
        <v>75</v>
      </c>
      <c r="K787" s="200">
        <f>IFERROR(__xludf.DUMMYFUNCTION("""COMPUTED_VALUE"""),24.5)</f>
        <v>24.5</v>
      </c>
      <c r="L787" s="265" t="str">
        <f>IFERROR(__xludf.DUMMYFUNCTION("""COMPUTED_VALUE"""),"Action-Adventure")</f>
        <v>Action-Adventure</v>
      </c>
    </row>
    <row r="788">
      <c r="A788" s="269" t="str">
        <f>IFERROR(__xludf.DUMMYFUNCTION("""COMPUTED_VALUE"""),"Thimbleweed Park")</f>
        <v>Thimbleweed Park</v>
      </c>
      <c r="B788" s="195" t="str">
        <f>IFERROR(__xludf.DUMMYFUNCTION("""COMPUTED_VALUE"""),"Xbox / PC")</f>
        <v>Xbox / PC</v>
      </c>
      <c r="C788" s="196"/>
      <c r="D788" s="196" t="str">
        <f>IFERROR(__xludf.DUMMYFUNCTION("""COMPUTED_VALUE"""),"Removed")</f>
        <v>Removed</v>
      </c>
      <c r="E788" s="271">
        <f>IFERROR(__xludf.DUMMYFUNCTION("""COMPUTED_VALUE"""),43625.0)</f>
        <v>43625</v>
      </c>
      <c r="F788" s="271">
        <f>IFERROR(__xludf.DUMMYFUNCTION("""COMPUTED_VALUE"""),43891.0)</f>
        <v>43891</v>
      </c>
      <c r="G788" s="199">
        <f>IFERROR(__xludf.DUMMYFUNCTION("""COMPUTED_VALUE"""),8.733333333333333)</f>
        <v>8.733333333</v>
      </c>
      <c r="H788" s="210">
        <f>IFERROR(__xludf.DUMMYFUNCTION("""COMPUTED_VALUE"""),42824.0)</f>
        <v>42824</v>
      </c>
      <c r="I788" s="199">
        <f>IFERROR(__xludf.DUMMYFUNCTION("""COMPUTED_VALUE"""),2.191666666666667)</f>
        <v>2.191666667</v>
      </c>
      <c r="J788" s="200">
        <f>IFERROR(__xludf.DUMMYFUNCTION("""COMPUTED_VALUE"""),84.0)</f>
        <v>84</v>
      </c>
      <c r="K788" s="200">
        <f>IFERROR(__xludf.DUMMYFUNCTION("""COMPUTED_VALUE"""),10.5)</f>
        <v>10.5</v>
      </c>
      <c r="L788" s="265" t="str">
        <f>IFERROR(__xludf.DUMMYFUNCTION("""COMPUTED_VALUE"""),"Adventure")</f>
        <v>Adventure</v>
      </c>
    </row>
    <row r="789">
      <c r="A789" s="269" t="str">
        <f>IFERROR(__xludf.DUMMYFUNCTION("""COMPUTED_VALUE"""),"Titan-Quest: Anniversary Edition")</f>
        <v>Titan-Quest: Anniversary Edition</v>
      </c>
      <c r="B789" s="195" t="str">
        <f>IFERROR(__xludf.DUMMYFUNCTION("""COMPUTED_VALUE"""),"PC")</f>
        <v>PC</v>
      </c>
      <c r="C789" s="196"/>
      <c r="D789" s="196" t="str">
        <f>IFERROR(__xludf.DUMMYFUNCTION("""COMPUTED_VALUE"""),"Removed")</f>
        <v>Removed</v>
      </c>
      <c r="E789" s="271">
        <f>IFERROR(__xludf.DUMMYFUNCTION("""COMPUTED_VALUE"""),43625.0)</f>
        <v>43625</v>
      </c>
      <c r="F789" s="271">
        <f>IFERROR(__xludf.DUMMYFUNCTION("""COMPUTED_VALUE"""),43891.0)</f>
        <v>43891</v>
      </c>
      <c r="G789" s="199">
        <f>IFERROR(__xludf.DUMMYFUNCTION("""COMPUTED_VALUE"""),8.733333333333333)</f>
        <v>8.733333333</v>
      </c>
      <c r="H789" s="210">
        <f>IFERROR(__xludf.DUMMYFUNCTION("""COMPUTED_VALUE"""),42613.0)</f>
        <v>42613</v>
      </c>
      <c r="I789" s="199">
        <f>IFERROR(__xludf.DUMMYFUNCTION("""COMPUTED_VALUE"""),2.775)</f>
        <v>2.775</v>
      </c>
      <c r="J789" s="200">
        <f>IFERROR(__xludf.DUMMYFUNCTION("""COMPUTED_VALUE"""),77.0)</f>
        <v>77</v>
      </c>
      <c r="K789" s="200">
        <f>IFERROR(__xludf.DUMMYFUNCTION("""COMPUTED_VALUE"""),34.0)</f>
        <v>34</v>
      </c>
      <c r="L789" s="265" t="str">
        <f>IFERROR(__xludf.DUMMYFUNCTION("""COMPUTED_VALUE"""),"Action / RPG")</f>
        <v>Action / RPG</v>
      </c>
    </row>
    <row r="790">
      <c r="A790" s="269" t="str">
        <f>IFERROR(__xludf.DUMMYFUNCTION("""COMPUTED_VALUE"""),"The Golf Club 2")</f>
        <v>The Golf Club 2</v>
      </c>
      <c r="B790" s="195" t="str">
        <f>IFERROR(__xludf.DUMMYFUNCTION("""COMPUTED_VALUE"""),"Xbox")</f>
        <v>Xbox</v>
      </c>
      <c r="C790" s="196"/>
      <c r="D790" s="196" t="str">
        <f>IFERROR(__xludf.DUMMYFUNCTION("""COMPUTED_VALUE"""),"Removed")</f>
        <v>Removed</v>
      </c>
      <c r="E790" s="271">
        <f>IFERROR(__xludf.DUMMYFUNCTION("""COMPUTED_VALUE"""),43566.0)</f>
        <v>43566</v>
      </c>
      <c r="F790" s="271">
        <f>IFERROR(__xludf.DUMMYFUNCTION("""COMPUTED_VALUE"""),43891.0)</f>
        <v>43891</v>
      </c>
      <c r="G790" s="199">
        <f>IFERROR(__xludf.DUMMYFUNCTION("""COMPUTED_VALUE"""),10.666666666666666)</f>
        <v>10.66666667</v>
      </c>
      <c r="H790" s="210">
        <f>IFERROR(__xludf.DUMMYFUNCTION("""COMPUTED_VALUE"""),42913.0)</f>
        <v>42913</v>
      </c>
      <c r="I790" s="199">
        <f>IFERROR(__xludf.DUMMYFUNCTION("""COMPUTED_VALUE"""),1.788888888888889)</f>
        <v>1.788888889</v>
      </c>
      <c r="J790" s="200">
        <f>IFERROR(__xludf.DUMMYFUNCTION("""COMPUTED_VALUE"""),69.0)</f>
        <v>69</v>
      </c>
      <c r="K790" s="200">
        <f>IFERROR(__xludf.DUMMYFUNCTION("""COMPUTED_VALUE"""),125.0)</f>
        <v>125</v>
      </c>
      <c r="L790" s="201" t="str">
        <f>IFERROR(__xludf.DUMMYFUNCTION("""COMPUTED_VALUE"""),"Golf")</f>
        <v>Golf</v>
      </c>
    </row>
    <row r="791">
      <c r="A791" s="190" t="str">
        <f>IFERROR(__xludf.DUMMYFUNCTION("""COMPUTED_VALUE"""),"Operencia: The Stolen Sun")</f>
        <v>Operencia: The Stolen Sun</v>
      </c>
      <c r="B791" s="195" t="str">
        <f>IFERROR(__xludf.DUMMYFUNCTION("""COMPUTED_VALUE"""),"Xbox / PC")</f>
        <v>Xbox / PC</v>
      </c>
      <c r="C791" s="196"/>
      <c r="D791" s="196" t="str">
        <f>IFERROR(__xludf.DUMMYFUNCTION("""COMPUTED_VALUE"""),"Removed")</f>
        <v>Removed</v>
      </c>
      <c r="E791" s="271">
        <f>IFERROR(__xludf.DUMMYFUNCTION("""COMPUTED_VALUE"""),43553.0)</f>
        <v>43553</v>
      </c>
      <c r="F791" s="271">
        <f>IFERROR(__xludf.DUMMYFUNCTION("""COMPUTED_VALUE"""),43891.0)</f>
        <v>43891</v>
      </c>
      <c r="G791" s="199">
        <f>IFERROR(__xludf.DUMMYFUNCTION("""COMPUTED_VALUE"""),11.066666666666666)</f>
        <v>11.06666667</v>
      </c>
      <c r="H791" s="210">
        <f>IFERROR(__xludf.DUMMYFUNCTION("""COMPUTED_VALUE"""),43553.0)</f>
        <v>43553</v>
      </c>
      <c r="I791" s="199">
        <f>IFERROR(__xludf.DUMMYFUNCTION("""COMPUTED_VALUE"""),0.0)</f>
        <v>0</v>
      </c>
      <c r="J791" s="200">
        <f>IFERROR(__xludf.DUMMYFUNCTION("""COMPUTED_VALUE"""),80.0)</f>
        <v>80</v>
      </c>
      <c r="K791" s="200">
        <f>IFERROR(__xludf.DUMMYFUNCTION("""COMPUTED_VALUE"""),19.0)</f>
        <v>19</v>
      </c>
      <c r="L791" s="265" t="str">
        <f>IFERROR(__xludf.DUMMYFUNCTION("""COMPUTED_VALUE"""),"RPG")</f>
        <v>RPG</v>
      </c>
    </row>
    <row r="792">
      <c r="A792" s="269" t="str">
        <f>IFERROR(__xludf.DUMMYFUNCTION("""COMPUTED_VALUE"""),"Deus Ex: Mankind Divided")</f>
        <v>Deus Ex: Mankind Divided</v>
      </c>
      <c r="B792" s="195" t="str">
        <f>IFERROR(__xludf.DUMMYFUNCTION("""COMPUTED_VALUE"""),"Xbox")</f>
        <v>Xbox</v>
      </c>
      <c r="C792" s="196"/>
      <c r="D792" s="196" t="str">
        <f>IFERROR(__xludf.DUMMYFUNCTION("""COMPUTED_VALUE"""),"Removed")</f>
        <v>Removed</v>
      </c>
      <c r="E792" s="271">
        <f>IFERROR(__xludf.DUMMYFUNCTION("""COMPUTED_VALUE"""),43545.0)</f>
        <v>43545</v>
      </c>
      <c r="F792" s="271">
        <f>IFERROR(__xludf.DUMMYFUNCTION("""COMPUTED_VALUE"""),43891.0)</f>
        <v>43891</v>
      </c>
      <c r="G792" s="199">
        <f>IFERROR(__xludf.DUMMYFUNCTION("""COMPUTED_VALUE"""),11.333333333333332)</f>
        <v>11.33333333</v>
      </c>
      <c r="H792" s="210">
        <f>IFERROR(__xludf.DUMMYFUNCTION("""COMPUTED_VALUE"""),42605.0)</f>
        <v>42605</v>
      </c>
      <c r="I792" s="199">
        <f>IFERROR(__xludf.DUMMYFUNCTION("""COMPUTED_VALUE"""),2.577777777777778)</f>
        <v>2.577777778</v>
      </c>
      <c r="J792" s="200">
        <f>IFERROR(__xludf.DUMMYFUNCTION("""COMPUTED_VALUE"""),83.0)</f>
        <v>83</v>
      </c>
      <c r="K792" s="200">
        <f>IFERROR(__xludf.DUMMYFUNCTION("""COMPUTED_VALUE"""),15.5)</f>
        <v>15.5</v>
      </c>
      <c r="L792" s="265" t="str">
        <f>IFERROR(__xludf.DUMMYFUNCTION("""COMPUTED_VALUE"""),"RPG / First-Person Shooter")</f>
        <v>RPG / First-Person Shooter</v>
      </c>
    </row>
    <row r="793">
      <c r="A793" s="269" t="str">
        <f>IFERROR(__xludf.DUMMYFUNCTION("""COMPUTED_VALUE"""),"Disney Epic Mickey 2: The Power of Two")</f>
        <v>Disney Epic Mickey 2: The Power of Two</v>
      </c>
      <c r="B793" s="195" t="str">
        <f>IFERROR(__xludf.DUMMYFUNCTION("""COMPUTED_VALUE"""),"Xbox")</f>
        <v>Xbox</v>
      </c>
      <c r="C793" s="196"/>
      <c r="D793" s="196" t="str">
        <f>IFERROR(__xludf.DUMMYFUNCTION("""COMPUTED_VALUE"""),"Removed")</f>
        <v>Removed</v>
      </c>
      <c r="E793" s="271">
        <f>IFERROR(__xludf.DUMMYFUNCTION("""COMPUTED_VALUE"""),43517.0)</f>
        <v>43517</v>
      </c>
      <c r="F793" s="271">
        <f>IFERROR(__xludf.DUMMYFUNCTION("""COMPUTED_VALUE"""),43876.0)</f>
        <v>43876</v>
      </c>
      <c r="G793" s="199">
        <f>IFERROR(__xludf.DUMMYFUNCTION("""COMPUTED_VALUE"""),11.799999999999999)</f>
        <v>11.8</v>
      </c>
      <c r="H793" s="210">
        <f>IFERROR(__xludf.DUMMYFUNCTION("""COMPUTED_VALUE"""),41231.0)</f>
        <v>41231</v>
      </c>
      <c r="I793" s="199">
        <f>IFERROR(__xludf.DUMMYFUNCTION("""COMPUTED_VALUE"""),6.258333333333334)</f>
        <v>6.258333333</v>
      </c>
      <c r="J793" s="200">
        <f>IFERROR(__xludf.DUMMYFUNCTION("""COMPUTED_VALUE"""),59.0)</f>
        <v>59</v>
      </c>
      <c r="K793" s="200">
        <f>IFERROR(__xludf.DUMMYFUNCTION("""COMPUTED_VALUE"""),9.0)</f>
        <v>9</v>
      </c>
      <c r="L793" s="201" t="str">
        <f>IFERROR(__xludf.DUMMYFUNCTION("""COMPUTED_VALUE"""),"Platformer / Action-Adventure")</f>
        <v>Platformer / Action-Adventure</v>
      </c>
    </row>
    <row r="794">
      <c r="A794" s="269" t="str">
        <f>IFERROR(__xludf.DUMMYFUNCTION("""COMPUTED_VALUE"""),"Just Cause 4")</f>
        <v>Just Cause 4</v>
      </c>
      <c r="B794" s="195" t="str">
        <f>IFERROR(__xludf.DUMMYFUNCTION("""COMPUTED_VALUE"""),"Xbox")</f>
        <v>Xbox</v>
      </c>
      <c r="C794" s="196"/>
      <c r="D794" s="196" t="str">
        <f>IFERROR(__xludf.DUMMYFUNCTION("""COMPUTED_VALUE"""),"Removed")</f>
        <v>Removed</v>
      </c>
      <c r="E794" s="271">
        <f>IFERROR(__xludf.DUMMYFUNCTION("""COMPUTED_VALUE"""),43530.0)</f>
        <v>43530</v>
      </c>
      <c r="F794" s="271">
        <f>IFERROR(__xludf.DUMMYFUNCTION("""COMPUTED_VALUE"""),43863.0)</f>
        <v>43863</v>
      </c>
      <c r="G794" s="199">
        <f>IFERROR(__xludf.DUMMYFUNCTION("""COMPUTED_VALUE"""),10.866666666666667)</f>
        <v>10.86666667</v>
      </c>
      <c r="H794" s="210">
        <f>IFERROR(__xludf.DUMMYFUNCTION("""COMPUTED_VALUE"""),43438.0)</f>
        <v>43438</v>
      </c>
      <c r="I794" s="199">
        <f>IFERROR(__xludf.DUMMYFUNCTION("""COMPUTED_VALUE"""),0.25555555555555554)</f>
        <v>0.2555555556</v>
      </c>
      <c r="J794" s="200">
        <f>IFERROR(__xludf.DUMMYFUNCTION("""COMPUTED_VALUE"""),70.0)</f>
        <v>70</v>
      </c>
      <c r="K794" s="200">
        <f>IFERROR(__xludf.DUMMYFUNCTION("""COMPUTED_VALUE"""),16.0)</f>
        <v>16</v>
      </c>
      <c r="L794" s="265" t="str">
        <f>IFERROR(__xludf.DUMMYFUNCTION("""COMPUTED_VALUE"""),"Action-Adventure")</f>
        <v>Action-Adventure</v>
      </c>
    </row>
    <row r="795">
      <c r="A795" s="269" t="str">
        <f>IFERROR(__xludf.DUMMYFUNCTION("""COMPUTED_VALUE"""),"Batman: Arkham City")</f>
        <v>Batman: Arkham City</v>
      </c>
      <c r="B795" s="195" t="str">
        <f>IFERROR(__xludf.DUMMYFUNCTION("""COMPUTED_VALUE"""),"Xbox")</f>
        <v>Xbox</v>
      </c>
      <c r="C795" s="196"/>
      <c r="D795" s="196" t="str">
        <f>IFERROR(__xludf.DUMMYFUNCTION("""COMPUTED_VALUE"""),"Removed")</f>
        <v>Removed</v>
      </c>
      <c r="E795" s="271">
        <f>IFERROR(__xludf.DUMMYFUNCTION("""COMPUTED_VALUE"""),43517.0)</f>
        <v>43517</v>
      </c>
      <c r="F795" s="271">
        <f>IFERROR(__xludf.DUMMYFUNCTION("""COMPUTED_VALUE"""),43863.0)</f>
        <v>43863</v>
      </c>
      <c r="G795" s="199">
        <f>IFERROR(__xludf.DUMMYFUNCTION("""COMPUTED_VALUE"""),11.366666666666667)</f>
        <v>11.36666667</v>
      </c>
      <c r="H795" s="210">
        <f>IFERROR(__xludf.DUMMYFUNCTION("""COMPUTED_VALUE"""),40834.0)</f>
        <v>40834</v>
      </c>
      <c r="I795" s="199">
        <f>IFERROR(__xludf.DUMMYFUNCTION("""COMPUTED_VALUE"""),7.341666666666667)</f>
        <v>7.341666667</v>
      </c>
      <c r="J795" s="200">
        <f>IFERROR(__xludf.DUMMYFUNCTION("""COMPUTED_VALUE"""),77.0)</f>
        <v>77</v>
      </c>
      <c r="K795" s="200">
        <f>IFERROR(__xludf.DUMMYFUNCTION("""COMPUTED_VALUE"""),12.5)</f>
        <v>12.5</v>
      </c>
      <c r="L795" s="265" t="str">
        <f>IFERROR(__xludf.DUMMYFUNCTION("""COMPUTED_VALUE"""),"Action-Adventure")</f>
        <v>Action-Adventure</v>
      </c>
    </row>
    <row r="796">
      <c r="A796" s="190" t="str">
        <f>IFERROR(__xludf.DUMMYFUNCTION("""COMPUTED_VALUE"""),"The Jackbox Party Pack 2")</f>
        <v>The Jackbox Party Pack 2</v>
      </c>
      <c r="B796" s="195" t="str">
        <f>IFERROR(__xludf.DUMMYFUNCTION("""COMPUTED_VALUE"""),"Xbox")</f>
        <v>Xbox</v>
      </c>
      <c r="C796" s="196"/>
      <c r="D796" s="196" t="str">
        <f>IFERROR(__xludf.DUMMYFUNCTION("""COMPUTED_VALUE"""),"Removed")</f>
        <v>Removed</v>
      </c>
      <c r="E796" s="271">
        <f>IFERROR(__xludf.DUMMYFUNCTION("""COMPUTED_VALUE"""),43685.0)</f>
        <v>43685</v>
      </c>
      <c r="F796" s="271">
        <f>IFERROR(__xludf.DUMMYFUNCTION("""COMPUTED_VALUE"""),43862.0)</f>
        <v>43862</v>
      </c>
      <c r="G796" s="199">
        <f>IFERROR(__xludf.DUMMYFUNCTION("""COMPUTED_VALUE"""),5.766666666666667)</f>
        <v>5.766666667</v>
      </c>
      <c r="H796" s="210">
        <f>IFERROR(__xludf.DUMMYFUNCTION("""COMPUTED_VALUE"""),42290.0)</f>
        <v>42290</v>
      </c>
      <c r="I796" s="199">
        <f>IFERROR(__xludf.DUMMYFUNCTION("""COMPUTED_VALUE"""),3.8194444444444446)</f>
        <v>3.819444444</v>
      </c>
      <c r="J796" s="200">
        <f>IFERROR(__xludf.DUMMYFUNCTION("""COMPUTED_VALUE"""),80.0)</f>
        <v>80</v>
      </c>
      <c r="K796" s="200">
        <f>IFERROR(__xludf.DUMMYFUNCTION("""COMPUTED_VALUE"""),2.0)</f>
        <v>2</v>
      </c>
      <c r="L796" s="265" t="str">
        <f>IFERROR(__xludf.DUMMYFUNCTION("""COMPUTED_VALUE"""),"Trivia/Board Game / Minigame Collection")</f>
        <v>Trivia/Board Game / Minigame Collection</v>
      </c>
    </row>
    <row r="797">
      <c r="A797" s="269" t="str">
        <f>IFERROR(__xludf.DUMMYFUNCTION("""COMPUTED_VALUE"""),"Batman: Arkham Asylum")</f>
        <v>Batman: Arkham Asylum</v>
      </c>
      <c r="B797" s="195" t="str">
        <f>IFERROR(__xludf.DUMMYFUNCTION("""COMPUTED_VALUE"""),"Xbox")</f>
        <v>Xbox</v>
      </c>
      <c r="C797" s="196"/>
      <c r="D797" s="196" t="str">
        <f>IFERROR(__xludf.DUMMYFUNCTION("""COMPUTED_VALUE"""),"Removed")</f>
        <v>Removed</v>
      </c>
      <c r="E797" s="271">
        <f>IFERROR(__xludf.DUMMYFUNCTION("""COMPUTED_VALUE"""),43517.0)</f>
        <v>43517</v>
      </c>
      <c r="F797" s="271">
        <f>IFERROR(__xludf.DUMMYFUNCTION("""COMPUTED_VALUE"""),43862.0)</f>
        <v>43862</v>
      </c>
      <c r="G797" s="199">
        <f>IFERROR(__xludf.DUMMYFUNCTION("""COMPUTED_VALUE"""),11.333333333333332)</f>
        <v>11.33333333</v>
      </c>
      <c r="H797" s="210">
        <f>IFERROR(__xludf.DUMMYFUNCTION("""COMPUTED_VALUE"""),40050.0)</f>
        <v>40050</v>
      </c>
      <c r="I797" s="199">
        <f>IFERROR(__xludf.DUMMYFUNCTION("""COMPUTED_VALUE"""),9.488888888888889)</f>
        <v>9.488888889</v>
      </c>
      <c r="J797" s="200">
        <f>IFERROR(__xludf.DUMMYFUNCTION("""COMPUTED_VALUE"""),77.0)</f>
        <v>77</v>
      </c>
      <c r="K797" s="200">
        <f>IFERROR(__xludf.DUMMYFUNCTION("""COMPUTED_VALUE"""),12.0)</f>
        <v>12</v>
      </c>
      <c r="L797" s="265" t="str">
        <f>IFERROR(__xludf.DUMMYFUNCTION("""COMPUTED_VALUE"""),"Action-Adventure")</f>
        <v>Action-Adventure</v>
      </c>
    </row>
    <row r="798">
      <c r="A798" s="190" t="str">
        <f>IFERROR(__xludf.DUMMYFUNCTION("""COMPUTED_VALUE"""),"Pumped BMX Pro")</f>
        <v>Pumped BMX Pro</v>
      </c>
      <c r="B798" s="195" t="str">
        <f>IFERROR(__xludf.DUMMYFUNCTION("""COMPUTED_VALUE"""),"Xbox")</f>
        <v>Xbox</v>
      </c>
      <c r="C798" s="196"/>
      <c r="D798" s="196" t="str">
        <f>IFERROR(__xludf.DUMMYFUNCTION("""COMPUTED_VALUE"""),"Removed")</f>
        <v>Removed</v>
      </c>
      <c r="E798" s="271">
        <f>IFERROR(__xludf.DUMMYFUNCTION("""COMPUTED_VALUE"""),43503.0)</f>
        <v>43503</v>
      </c>
      <c r="F798" s="271">
        <f>IFERROR(__xludf.DUMMYFUNCTION("""COMPUTED_VALUE"""),43862.0)</f>
        <v>43862</v>
      </c>
      <c r="G798" s="199">
        <f>IFERROR(__xludf.DUMMYFUNCTION("""COMPUTED_VALUE"""),11.799999999999999)</f>
        <v>11.8</v>
      </c>
      <c r="H798" s="210">
        <f>IFERROR(__xludf.DUMMYFUNCTION("""COMPUTED_VALUE"""),43503.0)</f>
        <v>43503</v>
      </c>
      <c r="I798" s="199">
        <f>IFERROR(__xludf.DUMMYFUNCTION("""COMPUTED_VALUE"""),0.0)</f>
        <v>0</v>
      </c>
      <c r="J798" s="200">
        <f>IFERROR(__xludf.DUMMYFUNCTION("""COMPUTED_VALUE"""),53.0)</f>
        <v>53</v>
      </c>
      <c r="K798" s="200">
        <f>IFERROR(__xludf.DUMMYFUNCTION("""COMPUTED_VALUE"""),15.0)</f>
        <v>15</v>
      </c>
      <c r="L798" s="265" t="str">
        <f>IFERROR(__xludf.DUMMYFUNCTION("""COMPUTED_VALUE"""),"Sports")</f>
        <v>Sports</v>
      </c>
    </row>
    <row r="799">
      <c r="A799" s="190" t="str">
        <f>IFERROR(__xludf.DUMMYFUNCTION("""COMPUTED_VALUE"""),"Tom Clancy's The Division")</f>
        <v>Tom Clancy's The Division</v>
      </c>
      <c r="B799" s="195" t="str">
        <f>IFERROR(__xludf.DUMMYFUNCTION("""COMPUTED_VALUE"""),"Xbox")</f>
        <v>Xbox</v>
      </c>
      <c r="C799" s="196"/>
      <c r="D799" s="196" t="str">
        <f>IFERROR(__xludf.DUMMYFUNCTION("""COMPUTED_VALUE"""),"Removed")</f>
        <v>Removed</v>
      </c>
      <c r="E799" s="271">
        <f>IFERROR(__xludf.DUMMYFUNCTION("""COMPUTED_VALUE"""),43800.0)</f>
        <v>43800</v>
      </c>
      <c r="F799" s="271">
        <f>IFERROR(__xludf.DUMMYFUNCTION("""COMPUTED_VALUE"""),43831.0)</f>
        <v>43831</v>
      </c>
      <c r="G799" s="199">
        <f>IFERROR(__xludf.DUMMYFUNCTION("""COMPUTED_VALUE"""),1.0)</f>
        <v>1</v>
      </c>
      <c r="H799" s="210">
        <f>IFERROR(__xludf.DUMMYFUNCTION("""COMPUTED_VALUE"""),42437.0)</f>
        <v>42437</v>
      </c>
      <c r="I799" s="199">
        <f>IFERROR(__xludf.DUMMYFUNCTION("""COMPUTED_VALUE"""),3.7305555555555556)</f>
        <v>3.730555556</v>
      </c>
      <c r="J799" s="200">
        <f>IFERROR(__xludf.DUMMYFUNCTION("""COMPUTED_VALUE"""),80.0)</f>
        <v>80</v>
      </c>
      <c r="K799" s="200">
        <f>IFERROR(__xludf.DUMMYFUNCTION("""COMPUTED_VALUE"""),22.0)</f>
        <v>22</v>
      </c>
      <c r="L799" s="265" t="str">
        <f>IFERROR(__xludf.DUMMYFUNCTION("""COMPUTED_VALUE"""),"RPG / Shooter")</f>
        <v>RPG / Shooter</v>
      </c>
    </row>
    <row r="800">
      <c r="A800" s="269" t="str">
        <f>IFERROR(__xludf.DUMMYFUNCTION("""COMPUTED_VALUE"""),"LEGO City Undercover")</f>
        <v>LEGO City Undercover</v>
      </c>
      <c r="B800" s="195" t="str">
        <f>IFERROR(__xludf.DUMMYFUNCTION("""COMPUTED_VALUE"""),"Xbox")</f>
        <v>Xbox</v>
      </c>
      <c r="C800" s="196"/>
      <c r="D800" s="196" t="str">
        <f>IFERROR(__xludf.DUMMYFUNCTION("""COMPUTED_VALUE"""),"Removed")</f>
        <v>Removed</v>
      </c>
      <c r="E800" s="271">
        <f>IFERROR(__xludf.DUMMYFUNCTION("""COMPUTED_VALUE"""),43657.0)</f>
        <v>43657</v>
      </c>
      <c r="F800" s="271">
        <f>IFERROR(__xludf.DUMMYFUNCTION("""COMPUTED_VALUE"""),43831.0)</f>
        <v>43831</v>
      </c>
      <c r="G800" s="199">
        <f>IFERROR(__xludf.DUMMYFUNCTION("""COMPUTED_VALUE"""),5.666666666666666)</f>
        <v>5.666666667</v>
      </c>
      <c r="H800" s="210">
        <f>IFERROR(__xludf.DUMMYFUNCTION("""COMPUTED_VALUE"""),41351.0)</f>
        <v>41351</v>
      </c>
      <c r="I800" s="199">
        <f>IFERROR(__xludf.DUMMYFUNCTION("""COMPUTED_VALUE"""),6.313888888888889)</f>
        <v>6.313888889</v>
      </c>
      <c r="J800" s="200">
        <f>IFERROR(__xludf.DUMMYFUNCTION("""COMPUTED_VALUE"""),77.0)</f>
        <v>77</v>
      </c>
      <c r="K800" s="200">
        <f>IFERROR(__xludf.DUMMYFUNCTION("""COMPUTED_VALUE"""),15.5)</f>
        <v>15.5</v>
      </c>
      <c r="L800" s="265" t="str">
        <f>IFERROR(__xludf.DUMMYFUNCTION("""COMPUTED_VALUE"""),"Driving/Racing / Action-Adventure / Platformer")</f>
        <v>Driving/Racing / Action-Adventure / Platformer</v>
      </c>
    </row>
    <row r="801">
      <c r="A801" s="269" t="str">
        <f>IFERROR(__xludf.DUMMYFUNCTION("""COMPUTED_VALUE"""),"Resident Evil 4")</f>
        <v>Resident Evil 4</v>
      </c>
      <c r="B801" s="195" t="str">
        <f>IFERROR(__xludf.DUMMYFUNCTION("""COMPUTED_VALUE"""),"Xbox")</f>
        <v>Xbox</v>
      </c>
      <c r="C801" s="196"/>
      <c r="D801" s="196" t="str">
        <f>IFERROR(__xludf.DUMMYFUNCTION("""COMPUTED_VALUE"""),"Removed")</f>
        <v>Removed</v>
      </c>
      <c r="E801" s="271">
        <f>IFERROR(__xludf.DUMMYFUNCTION("""COMPUTED_VALUE"""),43647.0)</f>
        <v>43647</v>
      </c>
      <c r="F801" s="271">
        <f>IFERROR(__xludf.DUMMYFUNCTION("""COMPUTED_VALUE"""),43831.0)</f>
        <v>43831</v>
      </c>
      <c r="G801" s="199">
        <f>IFERROR(__xludf.DUMMYFUNCTION("""COMPUTED_VALUE"""),6.0)</f>
        <v>6</v>
      </c>
      <c r="H801" s="210">
        <f>IFERROR(__xludf.DUMMYFUNCTION("""COMPUTED_VALUE"""),38363.0)</f>
        <v>38363</v>
      </c>
      <c r="I801" s="199">
        <f>IFERROR(__xludf.DUMMYFUNCTION("""COMPUTED_VALUE"""),14.472222222222221)</f>
        <v>14.47222222</v>
      </c>
      <c r="J801" s="200">
        <f>IFERROR(__xludf.DUMMYFUNCTION("""COMPUTED_VALUE"""),76.0)</f>
        <v>76</v>
      </c>
      <c r="K801" s="200">
        <f>IFERROR(__xludf.DUMMYFUNCTION("""COMPUTED_VALUE"""),16.0)</f>
        <v>16</v>
      </c>
      <c r="L801" s="265" t="str">
        <f>IFERROR(__xludf.DUMMYFUNCTION("""COMPUTED_VALUE"""),"Shooter / Action-Adventure")</f>
        <v>Shooter / Action-Adventure</v>
      </c>
    </row>
    <row r="802">
      <c r="A802" s="190" t="str">
        <f>IFERROR(__xludf.DUMMYFUNCTION("""COMPUTED_VALUE"""),"Just Cause 3")</f>
        <v>Just Cause 3</v>
      </c>
      <c r="B802" s="195" t="str">
        <f>IFERROR(__xludf.DUMMYFUNCTION("""COMPUTED_VALUE"""),"Xbox")</f>
        <v>Xbox</v>
      </c>
      <c r="C802" s="196"/>
      <c r="D802" s="196" t="str">
        <f>IFERROR(__xludf.DUMMYFUNCTION("""COMPUTED_VALUE"""),"Removed")</f>
        <v>Removed</v>
      </c>
      <c r="E802" s="271">
        <f>IFERROR(__xludf.DUMMYFUNCTION("""COMPUTED_VALUE"""),43466.0)</f>
        <v>43466</v>
      </c>
      <c r="F802" s="271">
        <f>IFERROR(__xludf.DUMMYFUNCTION("""COMPUTED_VALUE"""),43831.0)</f>
        <v>43831</v>
      </c>
      <c r="G802" s="199">
        <f>IFERROR(__xludf.DUMMYFUNCTION("""COMPUTED_VALUE"""),12.0)</f>
        <v>12</v>
      </c>
      <c r="H802" s="210">
        <f>IFERROR(__xludf.DUMMYFUNCTION("""COMPUTED_VALUE"""),42339.0)</f>
        <v>42339</v>
      </c>
      <c r="I802" s="199">
        <f>IFERROR(__xludf.DUMMYFUNCTION("""COMPUTED_VALUE"""),3.0833333333333335)</f>
        <v>3.083333333</v>
      </c>
      <c r="J802" s="200">
        <f>IFERROR(__xludf.DUMMYFUNCTION("""COMPUTED_VALUE"""),71.0)</f>
        <v>71</v>
      </c>
      <c r="K802" s="200">
        <f>IFERROR(__xludf.DUMMYFUNCTION("""COMPUTED_VALUE"""),17.5)</f>
        <v>17.5</v>
      </c>
      <c r="L802" s="265" t="str">
        <f>IFERROR(__xludf.DUMMYFUNCTION("""COMPUTED_VALUE"""),"Action")</f>
        <v>Action</v>
      </c>
    </row>
    <row r="803">
      <c r="A803" s="269" t="str">
        <f>IFERROR(__xludf.DUMMYFUNCTION("""COMPUTED_VALUE"""),"Middle-earth: Shadow of Mordor - Game of the Year Edition")</f>
        <v>Middle-earth: Shadow of Mordor - Game of the Year Edition</v>
      </c>
      <c r="B803" s="195" t="str">
        <f>IFERROR(__xludf.DUMMYFUNCTION("""COMPUTED_VALUE"""),"Xbox")</f>
        <v>Xbox</v>
      </c>
      <c r="C803" s="196"/>
      <c r="D803" s="196" t="str">
        <f>IFERROR(__xludf.DUMMYFUNCTION("""COMPUTED_VALUE"""),"Removed")</f>
        <v>Removed</v>
      </c>
      <c r="E803" s="271">
        <f>IFERROR(__xludf.DUMMYFUNCTION("""COMPUTED_VALUE"""),43466.0)</f>
        <v>43466</v>
      </c>
      <c r="F803" s="271">
        <f>IFERROR(__xludf.DUMMYFUNCTION("""COMPUTED_VALUE"""),43831.0)</f>
        <v>43831</v>
      </c>
      <c r="G803" s="199">
        <f>IFERROR(__xludf.DUMMYFUNCTION("""COMPUTED_VALUE"""),12.0)</f>
        <v>12</v>
      </c>
      <c r="H803" s="210">
        <f>IFERROR(__xludf.DUMMYFUNCTION("""COMPUTED_VALUE"""),41912.0)</f>
        <v>41912</v>
      </c>
      <c r="I803" s="199">
        <f>IFERROR(__xludf.DUMMYFUNCTION("""COMPUTED_VALUE"""),4.252777777777778)</f>
        <v>4.252777778</v>
      </c>
      <c r="J803" s="200">
        <f>IFERROR(__xludf.DUMMYFUNCTION("""COMPUTED_VALUE"""),87.0)</f>
        <v>87</v>
      </c>
      <c r="K803" s="200">
        <f>IFERROR(__xludf.DUMMYFUNCTION("""COMPUTED_VALUE"""),17.5)</f>
        <v>17.5</v>
      </c>
      <c r="L803" s="265" t="str">
        <f>IFERROR(__xludf.DUMMYFUNCTION("""COMPUTED_VALUE"""),"Action-Adventure")</f>
        <v>Action-Adventure</v>
      </c>
    </row>
    <row r="804">
      <c r="A804" s="190" t="str">
        <f>IFERROR(__xludf.DUMMYFUNCTION("""COMPUTED_VALUE"""),"Saints Row: The Third")</f>
        <v>Saints Row: The Third</v>
      </c>
      <c r="B804" s="195" t="str">
        <f>IFERROR(__xludf.DUMMYFUNCTION("""COMPUTED_VALUE"""),"Xbox")</f>
        <v>Xbox</v>
      </c>
      <c r="C804" s="196"/>
      <c r="D804" s="196" t="str">
        <f>IFERROR(__xludf.DUMMYFUNCTION("""COMPUTED_VALUE"""),"Removed")</f>
        <v>Removed</v>
      </c>
      <c r="E804" s="271">
        <f>IFERROR(__xludf.DUMMYFUNCTION("""COMPUTED_VALUE"""),43466.0)</f>
        <v>43466</v>
      </c>
      <c r="F804" s="271">
        <f>IFERROR(__xludf.DUMMYFUNCTION("""COMPUTED_VALUE"""),43831.0)</f>
        <v>43831</v>
      </c>
      <c r="G804" s="199">
        <f>IFERROR(__xludf.DUMMYFUNCTION("""COMPUTED_VALUE"""),12.0)</f>
        <v>12</v>
      </c>
      <c r="H804" s="210">
        <f>IFERROR(__xludf.DUMMYFUNCTION("""COMPUTED_VALUE"""),40862.0)</f>
        <v>40862</v>
      </c>
      <c r="I804" s="199">
        <f>IFERROR(__xludf.DUMMYFUNCTION("""COMPUTED_VALUE"""),7.127777777777778)</f>
        <v>7.127777778</v>
      </c>
      <c r="J804" s="200">
        <f>IFERROR(__xludf.DUMMYFUNCTION("""COMPUTED_VALUE"""),84.0)</f>
        <v>84</v>
      </c>
      <c r="K804" s="267">
        <f>IFERROR(__xludf.DUMMYFUNCTION("""COMPUTED_VALUE"""),15.0)</f>
        <v>15</v>
      </c>
      <c r="L804" s="265" t="str">
        <f>IFERROR(__xludf.DUMMYFUNCTION("""COMPUTED_VALUE"""),"Action / Driving/Racing / Shooter")</f>
        <v>Action / Driving/Racing / Shooter</v>
      </c>
    </row>
    <row r="805">
      <c r="A805" s="269" t="str">
        <f>IFERROR(__xludf.DUMMYFUNCTION("""COMPUTED_VALUE"""),"Headlander")</f>
        <v>Headlander</v>
      </c>
      <c r="B805" s="195" t="str">
        <f>IFERROR(__xludf.DUMMYFUNCTION("""COMPUTED_VALUE"""),"Xbox")</f>
        <v>Xbox</v>
      </c>
      <c r="C805" s="196"/>
      <c r="D805" s="196" t="str">
        <f>IFERROR(__xludf.DUMMYFUNCTION("""COMPUTED_VALUE"""),"Removed")</f>
        <v>Removed</v>
      </c>
      <c r="E805" s="271">
        <f>IFERROR(__xludf.DUMMYFUNCTION("""COMPUTED_VALUE"""),43497.0)</f>
        <v>43497</v>
      </c>
      <c r="F805" s="271">
        <f>IFERROR(__xludf.DUMMYFUNCTION("""COMPUTED_VALUE"""),43800.0)</f>
        <v>43800</v>
      </c>
      <c r="G805" s="199">
        <f>IFERROR(__xludf.DUMMYFUNCTION("""COMPUTED_VALUE"""),10.0)</f>
        <v>10</v>
      </c>
      <c r="H805" s="210">
        <f>IFERROR(__xludf.DUMMYFUNCTION("""COMPUTED_VALUE"""),42577.0)</f>
        <v>42577</v>
      </c>
      <c r="I805" s="199">
        <f>IFERROR(__xludf.DUMMYFUNCTION("""COMPUTED_VALUE"""),2.513888888888889)</f>
        <v>2.513888889</v>
      </c>
      <c r="J805" s="200">
        <f>IFERROR(__xludf.DUMMYFUNCTION("""COMPUTED_VALUE"""),78.0)</f>
        <v>78</v>
      </c>
      <c r="K805" s="200">
        <f>IFERROR(__xludf.DUMMYFUNCTION("""COMPUTED_VALUE"""),5.5)</f>
        <v>5.5</v>
      </c>
      <c r="L805" s="265" t="str">
        <f>IFERROR(__xludf.DUMMYFUNCTION("""COMPUTED_VALUE"""),"Action-Adventure")</f>
        <v>Action-Adventure</v>
      </c>
    </row>
    <row r="806">
      <c r="A806" s="269" t="str">
        <f>IFERROR(__xludf.DUMMYFUNCTION("""COMPUTED_VALUE"""),"Life is Strange")</f>
        <v>Life is Strange</v>
      </c>
      <c r="B806" s="195" t="str">
        <f>IFERROR(__xludf.DUMMYFUNCTION("""COMPUTED_VALUE"""),"Xbox")</f>
        <v>Xbox</v>
      </c>
      <c r="C806" s="196"/>
      <c r="D806" s="196" t="str">
        <f>IFERROR(__xludf.DUMMYFUNCTION("""COMPUTED_VALUE"""),"Removed")</f>
        <v>Removed</v>
      </c>
      <c r="E806" s="271">
        <f>IFERROR(__xludf.DUMMYFUNCTION("""COMPUTED_VALUE"""),43466.0)</f>
        <v>43466</v>
      </c>
      <c r="F806" s="271">
        <f>IFERROR(__xludf.DUMMYFUNCTION("""COMPUTED_VALUE"""),43800.0)</f>
        <v>43800</v>
      </c>
      <c r="G806" s="199">
        <f>IFERROR(__xludf.DUMMYFUNCTION("""COMPUTED_VALUE"""),11.0)</f>
        <v>11</v>
      </c>
      <c r="H806" s="210">
        <f>IFERROR(__xludf.DUMMYFUNCTION("""COMPUTED_VALUE"""),42034.0)</f>
        <v>42034</v>
      </c>
      <c r="I806" s="199">
        <f>IFERROR(__xludf.DUMMYFUNCTION("""COMPUTED_VALUE"""),3.9194444444444443)</f>
        <v>3.919444444</v>
      </c>
      <c r="J806" s="200">
        <f>IFERROR(__xludf.DUMMYFUNCTION("""COMPUTED_VALUE"""),85.0)</f>
        <v>85</v>
      </c>
      <c r="K806" s="200">
        <f>IFERROR(__xludf.DUMMYFUNCTION("""COMPUTED_VALUE"""),14.0)</f>
        <v>14</v>
      </c>
      <c r="L806" s="265" t="str">
        <f>IFERROR(__xludf.DUMMYFUNCTION("""COMPUTED_VALUE"""),"Adventure")</f>
        <v>Adventure</v>
      </c>
    </row>
    <row r="807">
      <c r="A807" s="269" t="str">
        <f>IFERROR(__xludf.DUMMYFUNCTION("""COMPUTED_VALUE"""),"Life is Strange: Before the Storm")</f>
        <v>Life is Strange: Before the Storm</v>
      </c>
      <c r="B807" s="195" t="str">
        <f>IFERROR(__xludf.DUMMYFUNCTION("""COMPUTED_VALUE"""),"Xbox")</f>
        <v>Xbox</v>
      </c>
      <c r="C807" s="196"/>
      <c r="D807" s="196" t="str">
        <f>IFERROR(__xludf.DUMMYFUNCTION("""COMPUTED_VALUE"""),"Removed")</f>
        <v>Removed</v>
      </c>
      <c r="E807" s="271">
        <f>IFERROR(__xludf.DUMMYFUNCTION("""COMPUTED_VALUE"""),43466.0)</f>
        <v>43466</v>
      </c>
      <c r="F807" s="271">
        <f>IFERROR(__xludf.DUMMYFUNCTION("""COMPUTED_VALUE"""),43800.0)</f>
        <v>43800</v>
      </c>
      <c r="G807" s="199">
        <f>IFERROR(__xludf.DUMMYFUNCTION("""COMPUTED_VALUE"""),11.0)</f>
        <v>11</v>
      </c>
      <c r="H807" s="210">
        <f>IFERROR(__xludf.DUMMYFUNCTION("""COMPUTED_VALUE"""),42978.0)</f>
        <v>42978</v>
      </c>
      <c r="I807" s="199">
        <f>IFERROR(__xludf.DUMMYFUNCTION("""COMPUTED_VALUE"""),1.336111111111111)</f>
        <v>1.336111111</v>
      </c>
      <c r="J807" s="200">
        <f>IFERROR(__xludf.DUMMYFUNCTION("""COMPUTED_VALUE"""),82.0)</f>
        <v>82</v>
      </c>
      <c r="K807" s="200">
        <f>IFERROR(__xludf.DUMMYFUNCTION("""COMPUTED_VALUE"""),10.0)</f>
        <v>10</v>
      </c>
      <c r="L807" s="265" t="str">
        <f>IFERROR(__xludf.DUMMYFUNCTION("""COMPUTED_VALUE"""),"Adventure")</f>
        <v>Adventure</v>
      </c>
    </row>
    <row r="808">
      <c r="A808" s="269" t="str">
        <f>IFERROR(__xludf.DUMMYFUNCTION("""COMPUTED_VALUE"""),"Pro Evolution Soccer 2019")</f>
        <v>Pro Evolution Soccer 2019</v>
      </c>
      <c r="B808" s="195" t="str">
        <f>IFERROR(__xludf.DUMMYFUNCTION("""COMPUTED_VALUE"""),"Xbox")</f>
        <v>Xbox</v>
      </c>
      <c r="C808" s="196"/>
      <c r="D808" s="196" t="str">
        <f>IFERROR(__xludf.DUMMYFUNCTION("""COMPUTED_VALUE"""),"Removed")</f>
        <v>Removed</v>
      </c>
      <c r="E808" s="271">
        <f>IFERROR(__xludf.DUMMYFUNCTION("""COMPUTED_VALUE"""),43448.0)</f>
        <v>43448</v>
      </c>
      <c r="F808" s="271">
        <f>IFERROR(__xludf.DUMMYFUNCTION("""COMPUTED_VALUE"""),43800.0)</f>
        <v>43800</v>
      </c>
      <c r="G808" s="199">
        <f>IFERROR(__xludf.DUMMYFUNCTION("""COMPUTED_VALUE"""),11.566666666666666)</f>
        <v>11.56666667</v>
      </c>
      <c r="H808" s="210">
        <f>IFERROR(__xludf.DUMMYFUNCTION("""COMPUTED_VALUE"""),43340.0)</f>
        <v>43340</v>
      </c>
      <c r="I808" s="199">
        <f>IFERROR(__xludf.DUMMYFUNCTION("""COMPUTED_VALUE"""),0.29444444444444445)</f>
        <v>0.2944444444</v>
      </c>
      <c r="J808" s="200">
        <f>IFERROR(__xludf.DUMMYFUNCTION("""COMPUTED_VALUE"""),82.0)</f>
        <v>82</v>
      </c>
      <c r="K808" s="200">
        <f>IFERROR(__xludf.DUMMYFUNCTION("""COMPUTED_VALUE"""),27.0)</f>
        <v>27</v>
      </c>
      <c r="L808" s="265" t="str">
        <f>IFERROR(__xludf.DUMMYFUNCTION("""COMPUTED_VALUE"""),"Sports / Simulation / Soccer")</f>
        <v>Sports / Simulation / Soccer</v>
      </c>
    </row>
    <row r="809">
      <c r="A809" s="269" t="str">
        <f>IFERROR(__xludf.DUMMYFUNCTION("""COMPUTED_VALUE"""),"Tecmo Bowl: Throwback")</f>
        <v>Tecmo Bowl: Throwback</v>
      </c>
      <c r="B809" s="195" t="str">
        <f>IFERROR(__xludf.DUMMYFUNCTION("""COMPUTED_VALUE"""),"Xbox")</f>
        <v>Xbox</v>
      </c>
      <c r="C809" s="196"/>
      <c r="D809" s="196" t="str">
        <f>IFERROR(__xludf.DUMMYFUNCTION("""COMPUTED_VALUE"""),"Removed")</f>
        <v>Removed</v>
      </c>
      <c r="E809" s="271">
        <f>IFERROR(__xludf.DUMMYFUNCTION("""COMPUTED_VALUE"""),43101.0)</f>
        <v>43101</v>
      </c>
      <c r="F809" s="271">
        <f>IFERROR(__xludf.DUMMYFUNCTION("""COMPUTED_VALUE"""),43800.0)</f>
        <v>43800</v>
      </c>
      <c r="G809" s="199">
        <f>IFERROR(__xludf.DUMMYFUNCTION("""COMPUTED_VALUE"""),23.0)</f>
        <v>23</v>
      </c>
      <c r="H809" s="210">
        <f>IFERROR(__xludf.DUMMYFUNCTION("""COMPUTED_VALUE"""),40296.0)</f>
        <v>40296</v>
      </c>
      <c r="I809" s="199">
        <f>IFERROR(__xludf.DUMMYFUNCTION("""COMPUTED_VALUE"""),7.675)</f>
        <v>7.675</v>
      </c>
      <c r="J809" s="200">
        <f>IFERROR(__xludf.DUMMYFUNCTION("""COMPUTED_VALUE"""),67.0)</f>
        <v>67</v>
      </c>
      <c r="K809" s="200">
        <f>IFERROR(__xludf.DUMMYFUNCTION("""COMPUTED_VALUE"""),6.0)</f>
        <v>6</v>
      </c>
      <c r="L809" s="265" t="str">
        <f>IFERROR(__xludf.DUMMYFUNCTION("""COMPUTED_VALUE"""),"Football")</f>
        <v>Football</v>
      </c>
    </row>
    <row r="810">
      <c r="A810" s="269" t="str">
        <f>IFERROR(__xludf.DUMMYFUNCTION("""COMPUTED_VALUE"""),"Robocraft Infinity")</f>
        <v>Robocraft Infinity</v>
      </c>
      <c r="B810" s="195" t="str">
        <f>IFERROR(__xludf.DUMMYFUNCTION("""COMPUTED_VALUE"""),"Xbox")</f>
        <v>Xbox</v>
      </c>
      <c r="C810" s="196"/>
      <c r="D810" s="196" t="str">
        <f>IFERROR(__xludf.DUMMYFUNCTION("""COMPUTED_VALUE"""),"Removed")</f>
        <v>Removed</v>
      </c>
      <c r="E810" s="271">
        <f>IFERROR(__xludf.DUMMYFUNCTION("""COMPUTED_VALUE"""),43201.0)</f>
        <v>43201</v>
      </c>
      <c r="F810" s="271">
        <f>IFERROR(__xludf.DUMMYFUNCTION("""COMPUTED_VALUE"""),43799.0)</f>
        <v>43799</v>
      </c>
      <c r="G810" s="199">
        <f>IFERROR(__xludf.DUMMYFUNCTION("""COMPUTED_VALUE"""),19.633333333333333)</f>
        <v>19.63333333</v>
      </c>
      <c r="H810" s="210">
        <f>IFERROR(__xludf.DUMMYFUNCTION("""COMPUTED_VALUE"""),43201.0)</f>
        <v>43201</v>
      </c>
      <c r="I810" s="199">
        <f>IFERROR(__xludf.DUMMYFUNCTION("""COMPUTED_VALUE"""),0.0)</f>
        <v>0</v>
      </c>
      <c r="J810" s="200">
        <f>IFERROR(__xludf.DUMMYFUNCTION("""COMPUTED_VALUE"""),55.0)</f>
        <v>55</v>
      </c>
      <c r="K810" s="200">
        <f>IFERROR(__xludf.DUMMYFUNCTION("""COMPUTED_VALUE"""),35.0)</f>
        <v>35</v>
      </c>
      <c r="L810" s="265" t="str">
        <f>IFERROR(__xludf.DUMMYFUNCTION("""COMPUTED_VALUE"""),"Shooter")</f>
        <v>Shooter</v>
      </c>
    </row>
    <row r="811">
      <c r="A811" s="269" t="str">
        <f>IFERROR(__xludf.DUMMYFUNCTION("""COMPUTED_VALUE"""),"Pony Island")</f>
        <v>Pony Island</v>
      </c>
      <c r="B811" s="195" t="str">
        <f>IFERROR(__xludf.DUMMYFUNCTION("""COMPUTED_VALUE"""),"PC")</f>
        <v>PC</v>
      </c>
      <c r="C811" s="196"/>
      <c r="D811" s="196" t="str">
        <f>IFERROR(__xludf.DUMMYFUNCTION("""COMPUTED_VALUE"""),"Removed")</f>
        <v>Removed</v>
      </c>
      <c r="E811" s="271">
        <f>IFERROR(__xludf.DUMMYFUNCTION("""COMPUTED_VALUE"""),43625.0)</f>
        <v>43625</v>
      </c>
      <c r="F811" s="271">
        <f>IFERROR(__xludf.DUMMYFUNCTION("""COMPUTED_VALUE"""),43784.0)</f>
        <v>43784</v>
      </c>
      <c r="G811" s="199">
        <f>IFERROR(__xludf.DUMMYFUNCTION("""COMPUTED_VALUE"""),5.2)</f>
        <v>5.2</v>
      </c>
      <c r="H811" s="210">
        <f>IFERROR(__xludf.DUMMYFUNCTION("""COMPUTED_VALUE"""),42373.0)</f>
        <v>42373</v>
      </c>
      <c r="I811" s="199">
        <f>IFERROR(__xludf.DUMMYFUNCTION("""COMPUTED_VALUE"""),3.4305555555555554)</f>
        <v>3.430555556</v>
      </c>
      <c r="J811" s="200">
        <f>IFERROR(__xludf.DUMMYFUNCTION("""COMPUTED_VALUE"""),86.0)</f>
        <v>86</v>
      </c>
      <c r="K811" s="200">
        <f>IFERROR(__xludf.DUMMYFUNCTION("""COMPUTED_VALUE"""),2.5)</f>
        <v>2.5</v>
      </c>
      <c r="L811" s="265" t="str">
        <f>IFERROR(__xludf.DUMMYFUNCTION("""COMPUTED_VALUE"""),"Adventure / Puzzle / Shoot 'Em Up")</f>
        <v>Adventure / Puzzle / Shoot 'Em Up</v>
      </c>
    </row>
    <row r="812">
      <c r="A812" s="269" t="str">
        <f>IFERROR(__xludf.DUMMYFUNCTION("""COMPUTED_VALUE"""),"Tyranny: Gold Edition")</f>
        <v>Tyranny: Gold Edition</v>
      </c>
      <c r="B812" s="195" t="str">
        <f>IFERROR(__xludf.DUMMYFUNCTION("""COMPUTED_VALUE"""),"PC")</f>
        <v>PC</v>
      </c>
      <c r="C812" s="196"/>
      <c r="D812" s="196" t="str">
        <f>IFERROR(__xludf.DUMMYFUNCTION("""COMPUTED_VALUE"""),"Removed")</f>
        <v>Removed</v>
      </c>
      <c r="E812" s="271">
        <f>IFERROR(__xludf.DUMMYFUNCTION("""COMPUTED_VALUE"""),43625.0)</f>
        <v>43625</v>
      </c>
      <c r="F812" s="271">
        <f>IFERROR(__xludf.DUMMYFUNCTION("""COMPUTED_VALUE"""),43784.0)</f>
        <v>43784</v>
      </c>
      <c r="G812" s="199">
        <f>IFERROR(__xludf.DUMMYFUNCTION("""COMPUTED_VALUE"""),5.2)</f>
        <v>5.2</v>
      </c>
      <c r="H812" s="210">
        <f>IFERROR(__xludf.DUMMYFUNCTION("""COMPUTED_VALUE"""),42684.0)</f>
        <v>42684</v>
      </c>
      <c r="I812" s="199">
        <f>IFERROR(__xludf.DUMMYFUNCTION("""COMPUTED_VALUE"""),2.5805555555555557)</f>
        <v>2.580555556</v>
      </c>
      <c r="J812" s="200">
        <f>IFERROR(__xludf.DUMMYFUNCTION("""COMPUTED_VALUE"""),80.0)</f>
        <v>80</v>
      </c>
      <c r="K812" s="200">
        <f>IFERROR(__xludf.DUMMYFUNCTION("""COMPUTED_VALUE"""),20.0)</f>
        <v>20</v>
      </c>
      <c r="L812" s="265" t="str">
        <f>IFERROR(__xludf.DUMMYFUNCTION("""COMPUTED_VALUE"""),"RPG")</f>
        <v>RPG</v>
      </c>
    </row>
    <row r="813">
      <c r="A813" s="269" t="str">
        <f>IFERROR(__xludf.DUMMYFUNCTION("""COMPUTED_VALUE"""),"Football Manager 2019")</f>
        <v>Football Manager 2019</v>
      </c>
      <c r="B813" s="195" t="str">
        <f>IFERROR(__xludf.DUMMYFUNCTION("""COMPUTED_VALUE"""),"PC")</f>
        <v>PC</v>
      </c>
      <c r="C813" s="196"/>
      <c r="D813" s="196" t="str">
        <f>IFERROR(__xludf.DUMMYFUNCTION("""COMPUTED_VALUE"""),"Removed")</f>
        <v>Removed</v>
      </c>
      <c r="E813" s="271">
        <f>IFERROR(__xludf.DUMMYFUNCTION("""COMPUTED_VALUE"""),43625.0)</f>
        <v>43625</v>
      </c>
      <c r="F813" s="271">
        <f>IFERROR(__xludf.DUMMYFUNCTION("""COMPUTED_VALUE"""),43770.0)</f>
        <v>43770</v>
      </c>
      <c r="G813" s="199">
        <f>IFERROR(__xludf.DUMMYFUNCTION("""COMPUTED_VALUE"""),4.733333333333333)</f>
        <v>4.733333333</v>
      </c>
      <c r="H813" s="210">
        <f>IFERROR(__xludf.DUMMYFUNCTION("""COMPUTED_VALUE"""),43440.0)</f>
        <v>43440</v>
      </c>
      <c r="I813" s="199">
        <f>IFERROR(__xludf.DUMMYFUNCTION("""COMPUTED_VALUE"""),0.5083333333333333)</f>
        <v>0.5083333333</v>
      </c>
      <c r="J813" s="200">
        <f>IFERROR(__xludf.DUMMYFUNCTION("""COMPUTED_VALUE"""),86.0)</f>
        <v>86</v>
      </c>
      <c r="K813" s="200">
        <f>IFERROR(__xludf.DUMMYFUNCTION("""COMPUTED_VALUE"""),142.0)</f>
        <v>142</v>
      </c>
      <c r="L813" s="265" t="str">
        <f>IFERROR(__xludf.DUMMYFUNCTION("""COMPUTED_VALUE"""),"Sports / Simulation")</f>
        <v>Sports / Simulation</v>
      </c>
    </row>
    <row r="814">
      <c r="A814" s="269" t="str">
        <f>IFERROR(__xludf.DUMMYFUNCTION("""COMPUTED_VALUE"""),"LEGO Batman 3: Beyond Gotham")</f>
        <v>LEGO Batman 3: Beyond Gotham</v>
      </c>
      <c r="B814" s="195" t="str">
        <f>IFERROR(__xludf.DUMMYFUNCTION("""COMPUTED_VALUE"""),"Xbox")</f>
        <v>Xbox</v>
      </c>
      <c r="C814" s="196"/>
      <c r="D814" s="196" t="str">
        <f>IFERROR(__xludf.DUMMYFUNCTION("""COMPUTED_VALUE"""),"Removed")</f>
        <v>Removed</v>
      </c>
      <c r="E814" s="271">
        <f>IFERROR(__xludf.DUMMYFUNCTION("""COMPUTED_VALUE"""),43586.0)</f>
        <v>43586</v>
      </c>
      <c r="F814" s="271">
        <f>IFERROR(__xludf.DUMMYFUNCTION("""COMPUTED_VALUE"""),43770.0)</f>
        <v>43770</v>
      </c>
      <c r="G814" s="199">
        <f>IFERROR(__xludf.DUMMYFUNCTION("""COMPUTED_VALUE"""),6.0)</f>
        <v>6</v>
      </c>
      <c r="H814" s="210">
        <f>IFERROR(__xludf.DUMMYFUNCTION("""COMPUTED_VALUE"""),41954.0)</f>
        <v>41954</v>
      </c>
      <c r="I814" s="199">
        <f>IFERROR(__xludf.DUMMYFUNCTION("""COMPUTED_VALUE"""),4.472222222222222)</f>
        <v>4.472222222</v>
      </c>
      <c r="J814" s="200">
        <f>IFERROR(__xludf.DUMMYFUNCTION("""COMPUTED_VALUE"""),74.0)</f>
        <v>74</v>
      </c>
      <c r="K814" s="200">
        <f>IFERROR(__xludf.DUMMYFUNCTION("""COMPUTED_VALUE"""),10.5)</f>
        <v>10.5</v>
      </c>
      <c r="L814" s="265" t="str">
        <f>IFERROR(__xludf.DUMMYFUNCTION("""COMPUTED_VALUE"""),"Platformer / Action-Adventure")</f>
        <v>Platformer / Action-Adventure</v>
      </c>
    </row>
    <row r="815">
      <c r="A815" s="190" t="str">
        <f>IFERROR(__xludf.DUMMYFUNCTION("""COMPUTED_VALUE"""),"The Surge")</f>
        <v>The Surge</v>
      </c>
      <c r="B815" s="195" t="str">
        <f>IFERROR(__xludf.DUMMYFUNCTION("""COMPUTED_VALUE"""),"Xbox")</f>
        <v>Xbox</v>
      </c>
      <c r="C815" s="196"/>
      <c r="D815" s="196" t="str">
        <f>IFERROR(__xludf.DUMMYFUNCTION("""COMPUTED_VALUE"""),"Removed")</f>
        <v>Removed</v>
      </c>
      <c r="E815" s="271">
        <f>IFERROR(__xludf.DUMMYFUNCTION("""COMPUTED_VALUE"""),43586.0)</f>
        <v>43586</v>
      </c>
      <c r="F815" s="271">
        <f>IFERROR(__xludf.DUMMYFUNCTION("""COMPUTED_VALUE"""),43770.0)</f>
        <v>43770</v>
      </c>
      <c r="G815" s="199">
        <f>IFERROR(__xludf.DUMMYFUNCTION("""COMPUTED_VALUE"""),6.0)</f>
        <v>6</v>
      </c>
      <c r="H815" s="210">
        <f>IFERROR(__xludf.DUMMYFUNCTION("""COMPUTED_VALUE"""),42871.0)</f>
        <v>42871</v>
      </c>
      <c r="I815" s="199">
        <f>IFERROR(__xludf.DUMMYFUNCTION("""COMPUTED_VALUE"""),1.9583333333333333)</f>
        <v>1.958333333</v>
      </c>
      <c r="J815" s="200">
        <f>IFERROR(__xludf.DUMMYFUNCTION("""COMPUTED_VALUE"""),74.0)</f>
        <v>74</v>
      </c>
      <c r="K815" s="200">
        <f>IFERROR(__xludf.DUMMYFUNCTION("""COMPUTED_VALUE"""),20.5)</f>
        <v>20.5</v>
      </c>
      <c r="L815" s="201" t="str">
        <f>IFERROR(__xludf.DUMMYFUNCTION("""COMPUTED_VALUE"""),"Action / RPG")</f>
        <v>Action / RPG</v>
      </c>
    </row>
    <row r="816">
      <c r="A816" s="269" t="str">
        <f>IFERROR(__xludf.DUMMYFUNCTION("""COMPUTED_VALUE"""),"Below")</f>
        <v>Below</v>
      </c>
      <c r="B816" s="195" t="str">
        <f>IFERROR(__xludf.DUMMYFUNCTION("""COMPUTED_VALUE"""),"Xbox")</f>
        <v>Xbox</v>
      </c>
      <c r="C816" s="196"/>
      <c r="D816" s="196" t="str">
        <f>IFERROR(__xludf.DUMMYFUNCTION("""COMPUTED_VALUE"""),"Removed")</f>
        <v>Removed</v>
      </c>
      <c r="E816" s="271">
        <f>IFERROR(__xludf.DUMMYFUNCTION("""COMPUTED_VALUE"""),43448.0)</f>
        <v>43448</v>
      </c>
      <c r="F816" s="271">
        <f>IFERROR(__xludf.DUMMYFUNCTION("""COMPUTED_VALUE"""),43770.0)</f>
        <v>43770</v>
      </c>
      <c r="G816" s="199">
        <f>IFERROR(__xludf.DUMMYFUNCTION("""COMPUTED_VALUE"""),10.566666666666666)</f>
        <v>10.56666667</v>
      </c>
      <c r="H816" s="210">
        <f>IFERROR(__xludf.DUMMYFUNCTION("""COMPUTED_VALUE"""),43448.0)</f>
        <v>43448</v>
      </c>
      <c r="I816" s="199">
        <f>IFERROR(__xludf.DUMMYFUNCTION("""COMPUTED_VALUE"""),0.0)</f>
        <v>0</v>
      </c>
      <c r="J816" s="200">
        <f>IFERROR(__xludf.DUMMYFUNCTION("""COMPUTED_VALUE"""),70.0)</f>
        <v>70</v>
      </c>
      <c r="K816" s="200">
        <f>IFERROR(__xludf.DUMMYFUNCTION("""COMPUTED_VALUE"""),19.0)</f>
        <v>19</v>
      </c>
      <c r="L816" s="265" t="str">
        <f>IFERROR(__xludf.DUMMYFUNCTION("""COMPUTED_VALUE"""),"Action-Adventure")</f>
        <v>Action-Adventure</v>
      </c>
    </row>
    <row r="817">
      <c r="A817" s="269" t="str">
        <f>IFERROR(__xludf.DUMMYFUNCTION("""COMPUTED_VALUE"""),"Strange Brigade")</f>
        <v>Strange Brigade</v>
      </c>
      <c r="B817" s="195" t="str">
        <f>IFERROR(__xludf.DUMMYFUNCTION("""COMPUTED_VALUE"""),"Xbox")</f>
        <v>Xbox</v>
      </c>
      <c r="C817" s="196"/>
      <c r="D817" s="196" t="str">
        <f>IFERROR(__xludf.DUMMYFUNCTION("""COMPUTED_VALUE"""),"Removed")</f>
        <v>Removed</v>
      </c>
      <c r="E817" s="271">
        <f>IFERROR(__xludf.DUMMYFUNCTION("""COMPUTED_VALUE"""),43435.0)</f>
        <v>43435</v>
      </c>
      <c r="F817" s="271">
        <f>IFERROR(__xludf.DUMMYFUNCTION("""COMPUTED_VALUE"""),43770.0)</f>
        <v>43770</v>
      </c>
      <c r="G817" s="199">
        <f>IFERROR(__xludf.DUMMYFUNCTION("""COMPUTED_VALUE"""),11.0)</f>
        <v>11</v>
      </c>
      <c r="H817" s="210">
        <f>IFERROR(__xludf.DUMMYFUNCTION("""COMPUTED_VALUE"""),43340.0)</f>
        <v>43340</v>
      </c>
      <c r="I817" s="199">
        <f>IFERROR(__xludf.DUMMYFUNCTION("""COMPUTED_VALUE"""),0.25833333333333336)</f>
        <v>0.2583333333</v>
      </c>
      <c r="J817" s="200">
        <f>IFERROR(__xludf.DUMMYFUNCTION("""COMPUTED_VALUE"""),75.0)</f>
        <v>75</v>
      </c>
      <c r="K817" s="200">
        <f>IFERROR(__xludf.DUMMYFUNCTION("""COMPUTED_VALUE"""),7.5)</f>
        <v>7.5</v>
      </c>
      <c r="L817" s="265" t="str">
        <f>IFERROR(__xludf.DUMMYFUNCTION("""COMPUTED_VALUE"""),"Shooter / Action-Adventure")</f>
        <v>Shooter / Action-Adventure</v>
      </c>
    </row>
    <row r="818">
      <c r="A818" s="269" t="str">
        <f>IFERROR(__xludf.DUMMYFUNCTION("""COMPUTED_VALUE"""),"Agents of Mayhem")</f>
        <v>Agents of Mayhem</v>
      </c>
      <c r="B818" s="195" t="str">
        <f>IFERROR(__xludf.DUMMYFUNCTION("""COMPUTED_VALUE"""),"Xbox")</f>
        <v>Xbox</v>
      </c>
      <c r="C818" s="196"/>
      <c r="D818" s="196" t="str">
        <f>IFERROR(__xludf.DUMMYFUNCTION("""COMPUTED_VALUE"""),"Removed")</f>
        <v>Removed</v>
      </c>
      <c r="E818" s="271">
        <f>IFERROR(__xludf.DUMMYFUNCTION("""COMPUTED_VALUE"""),43426.0)</f>
        <v>43426</v>
      </c>
      <c r="F818" s="271">
        <f>IFERROR(__xludf.DUMMYFUNCTION("""COMPUTED_VALUE"""),43770.0)</f>
        <v>43770</v>
      </c>
      <c r="G818" s="199">
        <f>IFERROR(__xludf.DUMMYFUNCTION("""COMPUTED_VALUE"""),11.3)</f>
        <v>11.3</v>
      </c>
      <c r="H818" s="210">
        <f>IFERROR(__xludf.DUMMYFUNCTION("""COMPUTED_VALUE"""),42962.0)</f>
        <v>42962</v>
      </c>
      <c r="I818" s="199">
        <f>IFERROR(__xludf.DUMMYFUNCTION("""COMPUTED_VALUE"""),1.2694444444444444)</f>
        <v>1.269444444</v>
      </c>
      <c r="J818" s="200">
        <f>IFERROR(__xludf.DUMMYFUNCTION("""COMPUTED_VALUE"""),73.0)</f>
        <v>73</v>
      </c>
      <c r="K818" s="200">
        <f>IFERROR(__xludf.DUMMYFUNCTION("""COMPUTED_VALUE"""),17.0)</f>
        <v>17</v>
      </c>
      <c r="L818" s="201" t="str">
        <f>IFERROR(__xludf.DUMMYFUNCTION("""COMPUTED_VALUE"""),"Action-Adventure")</f>
        <v>Action-Adventure</v>
      </c>
    </row>
    <row r="819">
      <c r="A819" s="269" t="str">
        <f>IFERROR(__xludf.DUMMYFUNCTION("""COMPUTED_VALUE"""),"MXGP3")</f>
        <v>MXGP3</v>
      </c>
      <c r="B819" s="195" t="str">
        <f>IFERROR(__xludf.DUMMYFUNCTION("""COMPUTED_VALUE"""),"Xbox")</f>
        <v>Xbox</v>
      </c>
      <c r="C819" s="196"/>
      <c r="D819" s="196" t="str">
        <f>IFERROR(__xludf.DUMMYFUNCTION("""COMPUTED_VALUE"""),"Removed")</f>
        <v>Removed</v>
      </c>
      <c r="E819" s="271">
        <f>IFERROR(__xludf.DUMMYFUNCTION("""COMPUTED_VALUE"""),43426.0)</f>
        <v>43426</v>
      </c>
      <c r="F819" s="271">
        <f>IFERROR(__xludf.DUMMYFUNCTION("""COMPUTED_VALUE"""),43770.0)</f>
        <v>43770</v>
      </c>
      <c r="G819" s="199">
        <f>IFERROR(__xludf.DUMMYFUNCTION("""COMPUTED_VALUE"""),11.3)</f>
        <v>11.3</v>
      </c>
      <c r="H819" s="210">
        <f>IFERROR(__xludf.DUMMYFUNCTION("""COMPUTED_VALUE"""),42885.0)</f>
        <v>42885</v>
      </c>
      <c r="I819" s="199">
        <f>IFERROR(__xludf.DUMMYFUNCTION("""COMPUTED_VALUE"""),1.4777777777777779)</f>
        <v>1.477777778</v>
      </c>
      <c r="J819" s="200">
        <f>IFERROR(__xludf.DUMMYFUNCTION("""COMPUTED_VALUE"""),78.0)</f>
        <v>78</v>
      </c>
      <c r="K819" s="200">
        <f>IFERROR(__xludf.DUMMYFUNCTION("""COMPUTED_VALUE"""),8.0)</f>
        <v>8</v>
      </c>
      <c r="L819" s="265" t="str">
        <f>IFERROR(__xludf.DUMMYFUNCTION("""COMPUTED_VALUE"""),"Sports / Driving/Racing")</f>
        <v>Sports / Driving/Racing</v>
      </c>
    </row>
    <row r="820">
      <c r="A820" s="269" t="str">
        <f>IFERROR(__xludf.DUMMYFUNCTION("""COMPUTED_VALUE"""),"Thomas Was Alone")</f>
        <v>Thomas Was Alone</v>
      </c>
      <c r="B820" s="195" t="str">
        <f>IFERROR(__xludf.DUMMYFUNCTION("""COMPUTED_VALUE"""),"Xbox")</f>
        <v>Xbox</v>
      </c>
      <c r="C820" s="196"/>
      <c r="D820" s="196" t="str">
        <f>IFERROR(__xludf.DUMMYFUNCTION("""COMPUTED_VALUE"""),"Removed")</f>
        <v>Removed</v>
      </c>
      <c r="E820" s="271">
        <f>IFERROR(__xludf.DUMMYFUNCTION("""COMPUTED_VALUE"""),43426.0)</f>
        <v>43426</v>
      </c>
      <c r="F820" s="271">
        <f>IFERROR(__xludf.DUMMYFUNCTION("""COMPUTED_VALUE"""),43770.0)</f>
        <v>43770</v>
      </c>
      <c r="G820" s="199">
        <f>IFERROR(__xludf.DUMMYFUNCTION("""COMPUTED_VALUE"""),11.3)</f>
        <v>11.3</v>
      </c>
      <c r="H820" s="210">
        <f>IFERROR(__xludf.DUMMYFUNCTION("""COMPUTED_VALUE"""),41090.0)</f>
        <v>41090</v>
      </c>
      <c r="I820" s="199">
        <f>IFERROR(__xludf.DUMMYFUNCTION("""COMPUTED_VALUE"""),6.394444444444445)</f>
        <v>6.394444444</v>
      </c>
      <c r="J820" s="200">
        <f>IFERROR(__xludf.DUMMYFUNCTION("""COMPUTED_VALUE"""),80.0)</f>
        <v>80</v>
      </c>
      <c r="K820" s="200">
        <f>IFERROR(__xludf.DUMMYFUNCTION("""COMPUTED_VALUE"""),3.5)</f>
        <v>3.5</v>
      </c>
      <c r="L820" s="201" t="str">
        <f>IFERROR(__xludf.DUMMYFUNCTION("""COMPUTED_VALUE"""),"Puzzle / Platformer")</f>
        <v>Puzzle / Platformer</v>
      </c>
    </row>
    <row r="821">
      <c r="A821" s="269" t="str">
        <f>IFERROR(__xludf.DUMMYFUNCTION("""COMPUTED_VALUE"""),"ABZÛ")</f>
        <v>ABZÛ</v>
      </c>
      <c r="B821" s="195" t="str">
        <f>IFERROR(__xludf.DUMMYFUNCTION("""COMPUTED_VALUE"""),"Xbox / PC")</f>
        <v>Xbox / PC</v>
      </c>
      <c r="C821" s="196"/>
      <c r="D821" s="196" t="str">
        <f>IFERROR(__xludf.DUMMYFUNCTION("""COMPUTED_VALUE"""),"Removed")</f>
        <v>Removed</v>
      </c>
      <c r="E821" s="271">
        <f>IFERROR(__xludf.DUMMYFUNCTION("""COMPUTED_VALUE"""),43282.0)</f>
        <v>43282</v>
      </c>
      <c r="F821" s="271">
        <f>IFERROR(__xludf.DUMMYFUNCTION("""COMPUTED_VALUE"""),43770.0)</f>
        <v>43770</v>
      </c>
      <c r="G821" s="199">
        <f>IFERROR(__xludf.DUMMYFUNCTION("""COMPUTED_VALUE"""),16.0)</f>
        <v>16</v>
      </c>
      <c r="H821" s="210">
        <f>IFERROR(__xludf.DUMMYFUNCTION("""COMPUTED_VALUE"""),42584.0)</f>
        <v>42584</v>
      </c>
      <c r="I821" s="199">
        <f>IFERROR(__xludf.DUMMYFUNCTION("""COMPUTED_VALUE"""),1.913888888888889)</f>
        <v>1.913888889</v>
      </c>
      <c r="J821" s="200">
        <f>IFERROR(__xludf.DUMMYFUNCTION("""COMPUTED_VALUE"""),83.0)</f>
        <v>83</v>
      </c>
      <c r="K821" s="200">
        <f>IFERROR(__xludf.DUMMYFUNCTION("""COMPUTED_VALUE"""),2.0)</f>
        <v>2</v>
      </c>
      <c r="L821" s="265" t="str">
        <f>IFERROR(__xludf.DUMMYFUNCTION("""COMPUTED_VALUE"""),"Adventure")</f>
        <v>Adventure</v>
      </c>
    </row>
    <row r="822">
      <c r="A822" s="190" t="str">
        <f>IFERROR(__xludf.DUMMYFUNCTION("""COMPUTED_VALUE"""),"Darksiders II: Deathinitive Edition")</f>
        <v>Darksiders II: Deathinitive Edition</v>
      </c>
      <c r="B822" s="195" t="str">
        <f>IFERROR(__xludf.DUMMYFUNCTION("""COMPUTED_VALUE"""),"Xbox")</f>
        <v>Xbox</v>
      </c>
      <c r="C822" s="196"/>
      <c r="D822" s="196" t="str">
        <f>IFERROR(__xludf.DUMMYFUNCTION("""COMPUTED_VALUE"""),"Removed")</f>
        <v>Removed</v>
      </c>
      <c r="E822" s="271">
        <f>IFERROR(__xludf.DUMMYFUNCTION("""COMPUTED_VALUE"""),43132.0)</f>
        <v>43132</v>
      </c>
      <c r="F822" s="271">
        <f>IFERROR(__xludf.DUMMYFUNCTION("""COMPUTED_VALUE"""),43770.0)</f>
        <v>43770</v>
      </c>
      <c r="G822" s="199">
        <f>IFERROR(__xludf.DUMMYFUNCTION("""COMPUTED_VALUE"""),21.0)</f>
        <v>21</v>
      </c>
      <c r="H822" s="210">
        <f>IFERROR(__xludf.DUMMYFUNCTION("""COMPUTED_VALUE"""),41135.0)</f>
        <v>41135</v>
      </c>
      <c r="I822" s="199">
        <f>IFERROR(__xludf.DUMMYFUNCTION("""COMPUTED_VALUE"""),5.463888888888889)</f>
        <v>5.463888889</v>
      </c>
      <c r="J822" s="200">
        <f>IFERROR(__xludf.DUMMYFUNCTION("""COMPUTED_VALUE"""),75.0)</f>
        <v>75</v>
      </c>
      <c r="K822" s="200">
        <f>IFERROR(__xludf.DUMMYFUNCTION("""COMPUTED_VALUE"""),20.0)</f>
        <v>20</v>
      </c>
      <c r="L822" s="265" t="str">
        <f>IFERROR(__xludf.DUMMYFUNCTION("""COMPUTED_VALUE"""),"Action / RPG / Action-Adventure")</f>
        <v>Action / RPG / Action-Adventure</v>
      </c>
    </row>
    <row r="823">
      <c r="A823" s="190" t="str">
        <f>IFERROR(__xludf.DUMMYFUNCTION("""COMPUTED_VALUE"""),"Darksiders: Warmastered Edition")</f>
        <v>Darksiders: Warmastered Edition</v>
      </c>
      <c r="B823" s="195" t="str">
        <f>IFERROR(__xludf.DUMMYFUNCTION("""COMPUTED_VALUE"""),"Xbox")</f>
        <v>Xbox</v>
      </c>
      <c r="C823" s="196"/>
      <c r="D823" s="196" t="str">
        <f>IFERROR(__xludf.DUMMYFUNCTION("""COMPUTED_VALUE"""),"Removed")</f>
        <v>Removed</v>
      </c>
      <c r="E823" s="271">
        <f>IFERROR(__xludf.DUMMYFUNCTION("""COMPUTED_VALUE"""),43070.0)</f>
        <v>43070</v>
      </c>
      <c r="F823" s="271">
        <f>IFERROR(__xludf.DUMMYFUNCTION("""COMPUTED_VALUE"""),43770.0)</f>
        <v>43770</v>
      </c>
      <c r="G823" s="199">
        <f>IFERROR(__xludf.DUMMYFUNCTION("""COMPUTED_VALUE"""),23.0)</f>
        <v>23</v>
      </c>
      <c r="H823" s="210">
        <f>IFERROR(__xludf.DUMMYFUNCTION("""COMPUTED_VALUE"""),40183.0)</f>
        <v>40183</v>
      </c>
      <c r="I823" s="199">
        <f>IFERROR(__xludf.DUMMYFUNCTION("""COMPUTED_VALUE"""),7.905555555555556)</f>
        <v>7.905555556</v>
      </c>
      <c r="J823" s="200">
        <f>IFERROR(__xludf.DUMMYFUNCTION("""COMPUTED_VALUE"""),80.0)</f>
        <v>80</v>
      </c>
      <c r="K823" s="200">
        <f>IFERROR(__xludf.DUMMYFUNCTION("""COMPUTED_VALUE"""),17.0)</f>
        <v>17</v>
      </c>
      <c r="L823" s="265" t="str">
        <f>IFERROR(__xludf.DUMMYFUNCTION("""COMPUTED_VALUE"""),"Action / Action-Adventure")</f>
        <v>Action / Action-Adventure</v>
      </c>
    </row>
    <row r="824">
      <c r="A824" s="269" t="str">
        <f>IFERROR(__xludf.DUMMYFUNCTION("""COMPUTED_VALUE"""),"GRID 2")</f>
        <v>GRID 2</v>
      </c>
      <c r="B824" s="195" t="str">
        <f>IFERROR(__xludf.DUMMYFUNCTION("""COMPUTED_VALUE"""),"Xbox")</f>
        <v>Xbox</v>
      </c>
      <c r="C824" s="196"/>
      <c r="D824" s="196" t="str">
        <f>IFERROR(__xludf.DUMMYFUNCTION("""COMPUTED_VALUE"""),"Removed")</f>
        <v>Removed</v>
      </c>
      <c r="E824" s="271">
        <f>IFERROR(__xludf.DUMMYFUNCTION("""COMPUTED_VALUE"""),42887.0)</f>
        <v>42887</v>
      </c>
      <c r="F824" s="271">
        <f>IFERROR(__xludf.DUMMYFUNCTION("""COMPUTED_VALUE"""),43770.0)</f>
        <v>43770</v>
      </c>
      <c r="G824" s="199">
        <f>IFERROR(__xludf.DUMMYFUNCTION("""COMPUTED_VALUE"""),29.0)</f>
        <v>29</v>
      </c>
      <c r="H824" s="210">
        <f>IFERROR(__xludf.DUMMYFUNCTION("""COMPUTED_VALUE"""),41421.0)</f>
        <v>41421</v>
      </c>
      <c r="I824" s="199">
        <f>IFERROR(__xludf.DUMMYFUNCTION("""COMPUTED_VALUE"""),4.011111111111111)</f>
        <v>4.011111111</v>
      </c>
      <c r="J824" s="200">
        <f>IFERROR(__xludf.DUMMYFUNCTION("""COMPUTED_VALUE"""),78.0)</f>
        <v>78</v>
      </c>
      <c r="K824" s="200">
        <f>IFERROR(__xludf.DUMMYFUNCTION("""COMPUTED_VALUE"""),17.5)</f>
        <v>17.5</v>
      </c>
      <c r="L824" s="265" t="str">
        <f>IFERROR(__xludf.DUMMYFUNCTION("""COMPUTED_VALUE"""),"Driving/Racing")</f>
        <v>Driving/Racing</v>
      </c>
    </row>
    <row r="825">
      <c r="A825" s="269" t="str">
        <f>IFERROR(__xludf.DUMMYFUNCTION("""COMPUTED_VALUE"""),"Resident Evil 5")</f>
        <v>Resident Evil 5</v>
      </c>
      <c r="B825" s="195" t="str">
        <f>IFERROR(__xludf.DUMMYFUNCTION("""COMPUTED_VALUE"""),"Xbox")</f>
        <v>Xbox</v>
      </c>
      <c r="C825" s="196"/>
      <c r="D825" s="196" t="str">
        <f>IFERROR(__xludf.DUMMYFUNCTION("""COMPUTED_VALUE"""),"Removed")</f>
        <v>Removed</v>
      </c>
      <c r="E825" s="271">
        <f>IFERROR(__xludf.DUMMYFUNCTION("""COMPUTED_VALUE"""),43580.0)</f>
        <v>43580</v>
      </c>
      <c r="F825" s="271">
        <f>IFERROR(__xludf.DUMMYFUNCTION("""COMPUTED_VALUE"""),43739.0)</f>
        <v>43739</v>
      </c>
      <c r="G825" s="199">
        <f>IFERROR(__xludf.DUMMYFUNCTION("""COMPUTED_VALUE"""),5.2)</f>
        <v>5.2</v>
      </c>
      <c r="H825" s="210">
        <f>IFERROR(__xludf.DUMMYFUNCTION("""COMPUTED_VALUE"""),39877.0)</f>
        <v>39877</v>
      </c>
      <c r="I825" s="199">
        <f>IFERROR(__xludf.DUMMYFUNCTION("""COMPUTED_VALUE"""),10.13888888888889)</f>
        <v>10.13888889</v>
      </c>
      <c r="J825" s="200">
        <f>IFERROR(__xludf.DUMMYFUNCTION("""COMPUTED_VALUE"""),75.0)</f>
        <v>75</v>
      </c>
      <c r="K825" s="200">
        <f>IFERROR(__xludf.DUMMYFUNCTION("""COMPUTED_VALUE"""),12.0)</f>
        <v>12</v>
      </c>
      <c r="L825" s="265" t="str">
        <f>IFERROR(__xludf.DUMMYFUNCTION("""COMPUTED_VALUE"""),"Action / Shooter")</f>
        <v>Action / Shooter</v>
      </c>
    </row>
    <row r="826">
      <c r="A826" s="269" t="str">
        <f>IFERROR(__xludf.DUMMYFUNCTION("""COMPUTED_VALUE"""),"Dead Island: Riptide - Definitive Edition")</f>
        <v>Dead Island: Riptide - Definitive Edition</v>
      </c>
      <c r="B826" s="195" t="str">
        <f>IFERROR(__xludf.DUMMYFUNCTION("""COMPUTED_VALUE"""),"Xbox")</f>
        <v>Xbox</v>
      </c>
      <c r="C826" s="196"/>
      <c r="D826" s="196" t="str">
        <f>IFERROR(__xludf.DUMMYFUNCTION("""COMPUTED_VALUE"""),"Removed")</f>
        <v>Removed</v>
      </c>
      <c r="E826" s="271">
        <f>IFERROR(__xludf.DUMMYFUNCTION("""COMPUTED_VALUE"""),43374.0)</f>
        <v>43374</v>
      </c>
      <c r="F826" s="271">
        <f>IFERROR(__xludf.DUMMYFUNCTION("""COMPUTED_VALUE"""),43739.0)</f>
        <v>43739</v>
      </c>
      <c r="G826" s="199">
        <f>IFERROR(__xludf.DUMMYFUNCTION("""COMPUTED_VALUE"""),12.0)</f>
        <v>12</v>
      </c>
      <c r="H826" s="210">
        <f>IFERROR(__xludf.DUMMYFUNCTION("""COMPUTED_VALUE"""),42521.0)</f>
        <v>42521</v>
      </c>
      <c r="I826" s="199">
        <f>IFERROR(__xludf.DUMMYFUNCTION("""COMPUTED_VALUE"""),2.3361111111111112)</f>
        <v>2.336111111</v>
      </c>
      <c r="J826" s="200">
        <f>IFERROR(__xludf.DUMMYFUNCTION("""COMPUTED_VALUE"""),57.0)</f>
        <v>57</v>
      </c>
      <c r="K826" s="200">
        <f>IFERROR(__xludf.DUMMYFUNCTION("""COMPUTED_VALUE"""),10.5)</f>
        <v>10.5</v>
      </c>
      <c r="L826" s="265" t="str">
        <f>IFERROR(__xludf.DUMMYFUNCTION("""COMPUTED_VALUE"""),"Action / First-Person Shooter / Brawler")</f>
        <v>Action / First-Person Shooter / Brawler</v>
      </c>
    </row>
    <row r="827">
      <c r="A827" s="269" t="str">
        <f>IFERROR(__xludf.DUMMYFUNCTION("""COMPUTED_VALUE"""),"&gt;observer_")</f>
        <v>&gt;observer_</v>
      </c>
      <c r="B827" s="195" t="str">
        <f>IFERROR(__xludf.DUMMYFUNCTION("""COMPUTED_VALUE"""),"Xbox")</f>
        <v>Xbox</v>
      </c>
      <c r="C827" s="196"/>
      <c r="D827" s="196" t="str">
        <f>IFERROR(__xludf.DUMMYFUNCTION("""COMPUTED_VALUE"""),"Removed")</f>
        <v>Removed</v>
      </c>
      <c r="E827" s="271">
        <f>IFERROR(__xludf.DUMMYFUNCTION("""COMPUTED_VALUE"""),43343.0)</f>
        <v>43343</v>
      </c>
      <c r="F827" s="271">
        <f>IFERROR(__xludf.DUMMYFUNCTION("""COMPUTED_VALUE"""),43739.0)</f>
        <v>43739</v>
      </c>
      <c r="G827" s="199">
        <f>IFERROR(__xludf.DUMMYFUNCTION("""COMPUTED_VALUE"""),13.033333333333331)</f>
        <v>13.03333333</v>
      </c>
      <c r="H827" s="210">
        <f>IFERROR(__xludf.DUMMYFUNCTION("""COMPUTED_VALUE"""),42962.0)</f>
        <v>42962</v>
      </c>
      <c r="I827" s="199">
        <f>IFERROR(__xludf.DUMMYFUNCTION("""COMPUTED_VALUE"""),1.0416666666666667)</f>
        <v>1.041666667</v>
      </c>
      <c r="J827" s="200">
        <f>IFERROR(__xludf.DUMMYFUNCTION("""COMPUTED_VALUE"""),86.0)</f>
        <v>86</v>
      </c>
      <c r="K827" s="200">
        <f>IFERROR(__xludf.DUMMYFUNCTION("""COMPUTED_VALUE"""),7.0)</f>
        <v>7</v>
      </c>
      <c r="L827" s="265" t="str">
        <f>IFERROR(__xludf.DUMMYFUNCTION("""COMPUTED_VALUE"""),"Adventure")</f>
        <v>Adventure</v>
      </c>
    </row>
    <row r="828">
      <c r="A828" s="269" t="str">
        <f>IFERROR(__xludf.DUMMYFUNCTION("""COMPUTED_VALUE"""),"LEGO Batman 2: DC Super Heroes")</f>
        <v>LEGO Batman 2: DC Super Heroes</v>
      </c>
      <c r="B828" s="195" t="str">
        <f>IFERROR(__xludf.DUMMYFUNCTION("""COMPUTED_VALUE"""),"Xbox")</f>
        <v>Xbox</v>
      </c>
      <c r="C828" s="196"/>
      <c r="D828" s="196" t="str">
        <f>IFERROR(__xludf.DUMMYFUNCTION("""COMPUTED_VALUE"""),"Removed")</f>
        <v>Removed</v>
      </c>
      <c r="E828" s="271">
        <f>IFERROR(__xludf.DUMMYFUNCTION("""COMPUTED_VALUE"""),43525.0)</f>
        <v>43525</v>
      </c>
      <c r="F828" s="271">
        <f>IFERROR(__xludf.DUMMYFUNCTION("""COMPUTED_VALUE"""),43709.0)</f>
        <v>43709</v>
      </c>
      <c r="G828" s="199">
        <f>IFERROR(__xludf.DUMMYFUNCTION("""COMPUTED_VALUE"""),6.0)</f>
        <v>6</v>
      </c>
      <c r="H828" s="210">
        <f>IFERROR(__xludf.DUMMYFUNCTION("""COMPUTED_VALUE"""),41079.0)</f>
        <v>41079</v>
      </c>
      <c r="I828" s="199">
        <f>IFERROR(__xludf.DUMMYFUNCTION("""COMPUTED_VALUE"""),6.7)</f>
        <v>6.7</v>
      </c>
      <c r="J828" s="200">
        <f>IFERROR(__xludf.DUMMYFUNCTION("""COMPUTED_VALUE"""),79.0)</f>
        <v>79</v>
      </c>
      <c r="K828" s="200">
        <f>IFERROR(__xludf.DUMMYFUNCTION("""COMPUTED_VALUE"""),9.0)</f>
        <v>9</v>
      </c>
      <c r="L828" s="265" t="str">
        <f>IFERROR(__xludf.DUMMYFUNCTION("""COMPUTED_VALUE"""),"Action-Adventure")</f>
        <v>Action-Adventure</v>
      </c>
    </row>
    <row r="829">
      <c r="A829" s="269" t="str">
        <f>IFERROR(__xludf.DUMMYFUNCTION("""COMPUTED_VALUE"""),"LEGO Indiana Jones: The Original Adventures")</f>
        <v>LEGO Indiana Jones: The Original Adventures</v>
      </c>
      <c r="B829" s="195" t="str">
        <f>IFERROR(__xludf.DUMMYFUNCTION("""COMPUTED_VALUE"""),"Xbox")</f>
        <v>Xbox</v>
      </c>
      <c r="C829" s="196"/>
      <c r="D829" s="196" t="str">
        <f>IFERROR(__xludf.DUMMYFUNCTION("""COMPUTED_VALUE"""),"Removed")</f>
        <v>Removed</v>
      </c>
      <c r="E829" s="271">
        <f>IFERROR(__xludf.DUMMYFUNCTION("""COMPUTED_VALUE"""),43374.0)</f>
        <v>43374</v>
      </c>
      <c r="F829" s="271">
        <f>IFERROR(__xludf.DUMMYFUNCTION("""COMPUTED_VALUE"""),43709.0)</f>
        <v>43709</v>
      </c>
      <c r="G829" s="199">
        <f>IFERROR(__xludf.DUMMYFUNCTION("""COMPUTED_VALUE"""),11.0)</f>
        <v>11</v>
      </c>
      <c r="H829" s="210">
        <f>IFERROR(__xludf.DUMMYFUNCTION("""COMPUTED_VALUE"""),39602.0)</f>
        <v>39602</v>
      </c>
      <c r="I829" s="199">
        <f>IFERROR(__xludf.DUMMYFUNCTION("""COMPUTED_VALUE"""),10.327777777777778)</f>
        <v>10.32777778</v>
      </c>
      <c r="J829" s="200">
        <f>IFERROR(__xludf.DUMMYFUNCTION("""COMPUTED_VALUE"""),77.0)</f>
        <v>77</v>
      </c>
      <c r="K829" s="200">
        <f>IFERROR(__xludf.DUMMYFUNCTION("""COMPUTED_VALUE"""),10.0)</f>
        <v>10</v>
      </c>
      <c r="L829" s="265" t="str">
        <f>IFERROR(__xludf.DUMMYFUNCTION("""COMPUTED_VALUE"""),"Action-Adventure")</f>
        <v>Action-Adventure</v>
      </c>
    </row>
    <row r="830">
      <c r="A830" s="269" t="str">
        <f>IFERROR(__xludf.DUMMYFUNCTION("""COMPUTED_VALUE"""),"Split/Second")</f>
        <v>Split/Second</v>
      </c>
      <c r="B830" s="195" t="str">
        <f>IFERROR(__xludf.DUMMYFUNCTION("""COMPUTED_VALUE"""),"Xbox")</f>
        <v>Xbox</v>
      </c>
      <c r="C830" s="196"/>
      <c r="D830" s="196" t="str">
        <f>IFERROR(__xludf.DUMMYFUNCTION("""COMPUTED_VALUE"""),"Removed")</f>
        <v>Removed</v>
      </c>
      <c r="E830" s="271">
        <f>IFERROR(__xludf.DUMMYFUNCTION("""COMPUTED_VALUE"""),43374.0)</f>
        <v>43374</v>
      </c>
      <c r="F830" s="271">
        <f>IFERROR(__xludf.DUMMYFUNCTION("""COMPUTED_VALUE"""),43709.0)</f>
        <v>43709</v>
      </c>
      <c r="G830" s="199">
        <f>IFERROR(__xludf.DUMMYFUNCTION("""COMPUTED_VALUE"""),11.0)</f>
        <v>11</v>
      </c>
      <c r="H830" s="210">
        <f>IFERROR(__xludf.DUMMYFUNCTION("""COMPUTED_VALUE"""),40316.0)</f>
        <v>40316</v>
      </c>
      <c r="I830" s="199">
        <f>IFERROR(__xludf.DUMMYFUNCTION("""COMPUTED_VALUE"""),8.369444444444444)</f>
        <v>8.369444444</v>
      </c>
      <c r="J830" s="200">
        <f>IFERROR(__xludf.DUMMYFUNCTION("""COMPUTED_VALUE"""),82.0)</f>
        <v>82</v>
      </c>
      <c r="K830" s="200">
        <f>IFERROR(__xludf.DUMMYFUNCTION("""COMPUTED_VALUE"""),9.5)</f>
        <v>9.5</v>
      </c>
      <c r="L830" s="265" t="str">
        <f>IFERROR(__xludf.DUMMYFUNCTION("""COMPUTED_VALUE"""),"Action / Driving/Racing / Vehicular Combat")</f>
        <v>Action / Driving/Racing / Vehicular Combat</v>
      </c>
    </row>
    <row r="831">
      <c r="A831" s="269" t="str">
        <f>IFERROR(__xludf.DUMMYFUNCTION("""COMPUTED_VALUE"""),"Onrush")</f>
        <v>Onrush</v>
      </c>
      <c r="B831" s="195" t="str">
        <f>IFERROR(__xludf.DUMMYFUNCTION("""COMPUTED_VALUE"""),"Xbox")</f>
        <v>Xbox</v>
      </c>
      <c r="C831" s="196"/>
      <c r="D831" s="196" t="str">
        <f>IFERROR(__xludf.DUMMYFUNCTION("""COMPUTED_VALUE"""),"Removed")</f>
        <v>Removed</v>
      </c>
      <c r="E831" s="271">
        <f>IFERROR(__xludf.DUMMYFUNCTION("""COMPUTED_VALUE"""),43344.0)</f>
        <v>43344</v>
      </c>
      <c r="F831" s="271">
        <f>IFERROR(__xludf.DUMMYFUNCTION("""COMPUTED_VALUE"""),43709.0)</f>
        <v>43709</v>
      </c>
      <c r="G831" s="199">
        <f>IFERROR(__xludf.DUMMYFUNCTION("""COMPUTED_VALUE"""),12.0)</f>
        <v>12</v>
      </c>
      <c r="H831" s="210">
        <f>IFERROR(__xludf.DUMMYFUNCTION("""COMPUTED_VALUE"""),43256.0)</f>
        <v>43256</v>
      </c>
      <c r="I831" s="199">
        <f>IFERROR(__xludf.DUMMYFUNCTION("""COMPUTED_VALUE"""),0.2388888888888889)</f>
        <v>0.2388888889</v>
      </c>
      <c r="J831" s="200">
        <f>IFERROR(__xludf.DUMMYFUNCTION("""COMPUTED_VALUE"""),77.0)</f>
        <v>77</v>
      </c>
      <c r="K831" s="200">
        <f>IFERROR(__xludf.DUMMYFUNCTION("""COMPUTED_VALUE"""),12.0)</f>
        <v>12</v>
      </c>
      <c r="L831" s="265" t="str">
        <f>IFERROR(__xludf.DUMMYFUNCTION("""COMPUTED_VALUE"""),"Driving/Racing")</f>
        <v>Driving/Racing</v>
      </c>
    </row>
    <row r="832">
      <c r="A832" s="269" t="str">
        <f>IFERROR(__xludf.DUMMYFUNCTION("""COMPUTED_VALUE"""),"Ninja Gaiden Black")</f>
        <v>Ninja Gaiden Black</v>
      </c>
      <c r="B832" s="195" t="str">
        <f>IFERROR(__xludf.DUMMYFUNCTION("""COMPUTED_VALUE"""),"Xbox")</f>
        <v>Xbox</v>
      </c>
      <c r="C832" s="196"/>
      <c r="D832" s="196" t="str">
        <f>IFERROR(__xludf.DUMMYFUNCTION("""COMPUTED_VALUE"""),"Removed")</f>
        <v>Removed</v>
      </c>
      <c r="E832" s="271">
        <f>IFERROR(__xludf.DUMMYFUNCTION("""COMPUTED_VALUE"""),43040.0)</f>
        <v>43040</v>
      </c>
      <c r="F832" s="271">
        <f>IFERROR(__xludf.DUMMYFUNCTION("""COMPUTED_VALUE"""),43709.0)</f>
        <v>43709</v>
      </c>
      <c r="G832" s="199">
        <f>IFERROR(__xludf.DUMMYFUNCTION("""COMPUTED_VALUE"""),22.0)</f>
        <v>22</v>
      </c>
      <c r="H832" s="210">
        <f>IFERROR(__xludf.DUMMYFUNCTION("""COMPUTED_VALUE"""),38615.0)</f>
        <v>38615</v>
      </c>
      <c r="I832" s="199">
        <f>IFERROR(__xludf.DUMMYFUNCTION("""COMPUTED_VALUE"""),12.113888888888889)</f>
        <v>12.11388889</v>
      </c>
      <c r="J832" s="200">
        <f>IFERROR(__xludf.DUMMYFUNCTION("""COMPUTED_VALUE"""),94.0)</f>
        <v>94</v>
      </c>
      <c r="K832" s="200">
        <f>IFERROR(__xludf.DUMMYFUNCTION("""COMPUTED_VALUE"""),16.0)</f>
        <v>16</v>
      </c>
      <c r="L832" s="265" t="str">
        <f>IFERROR(__xludf.DUMMYFUNCTION("""COMPUTED_VALUE"""),"Action-Adventure")</f>
        <v>Action-Adventure</v>
      </c>
    </row>
    <row r="833">
      <c r="A833" s="269" t="str">
        <f>IFERROR(__xludf.DUMMYFUNCTION("""COMPUTED_VALUE"""),"Super Street Fighter IV: Arcade Edition")</f>
        <v>Super Street Fighter IV: Arcade Edition</v>
      </c>
      <c r="B833" s="195" t="str">
        <f>IFERROR(__xludf.DUMMYFUNCTION("""COMPUTED_VALUE"""),"Xbox")</f>
        <v>Xbox</v>
      </c>
      <c r="C833" s="195"/>
      <c r="D833" s="196" t="str">
        <f>IFERROR(__xludf.DUMMYFUNCTION("""COMPUTED_VALUE"""),"Removed")</f>
        <v>Removed</v>
      </c>
      <c r="E833" s="271">
        <f>IFERROR(__xludf.DUMMYFUNCTION("""COMPUTED_VALUE"""),43009.0)</f>
        <v>43009</v>
      </c>
      <c r="F833" s="271">
        <f>IFERROR(__xludf.DUMMYFUNCTION("""COMPUTED_VALUE"""),43709.0)</f>
        <v>43709</v>
      </c>
      <c r="G833" s="199">
        <f>IFERROR(__xludf.DUMMYFUNCTION("""COMPUTED_VALUE"""),23.0)</f>
        <v>23</v>
      </c>
      <c r="H833" s="210">
        <f>IFERROR(__xludf.DUMMYFUNCTION("""COMPUTED_VALUE"""),40235.0)</f>
        <v>40235</v>
      </c>
      <c r="I833" s="199">
        <f>IFERROR(__xludf.DUMMYFUNCTION("""COMPUTED_VALUE"""),7.597222222222222)</f>
        <v>7.597222222</v>
      </c>
      <c r="J833" s="200">
        <f>IFERROR(__xludf.DUMMYFUNCTION("""COMPUTED_VALUE"""),78.0)</f>
        <v>78</v>
      </c>
      <c r="K833" s="200">
        <f>IFERROR(__xludf.DUMMYFUNCTION("""COMPUTED_VALUE"""),3.0)</f>
        <v>3</v>
      </c>
      <c r="L833" s="265" t="str">
        <f>IFERROR(__xludf.DUMMYFUNCTION("""COMPUTED_VALUE"""),"Fighting")</f>
        <v>Fighting</v>
      </c>
    </row>
    <row r="834">
      <c r="A834" s="269" t="str">
        <f>IFERROR(__xludf.DUMMYFUNCTION("""COMPUTED_VALUE"""),"'Splosion Man")</f>
        <v>'Splosion Man</v>
      </c>
      <c r="B834" s="195" t="str">
        <f>IFERROR(__xludf.DUMMYFUNCTION("""COMPUTED_VALUE"""),"Xbox")</f>
        <v>Xbox</v>
      </c>
      <c r="C834" s="196"/>
      <c r="D834" s="196" t="str">
        <f>IFERROR(__xludf.DUMMYFUNCTION("""COMPUTED_VALUE"""),"Removed")</f>
        <v>Removed</v>
      </c>
      <c r="E834" s="271">
        <f>IFERROR(__xludf.DUMMYFUNCTION("""COMPUTED_VALUE"""),42887.0)</f>
        <v>42887</v>
      </c>
      <c r="F834" s="271">
        <f>IFERROR(__xludf.DUMMYFUNCTION("""COMPUTED_VALUE"""),43709.0)</f>
        <v>43709</v>
      </c>
      <c r="G834" s="199">
        <f>IFERROR(__xludf.DUMMYFUNCTION("""COMPUTED_VALUE"""),27.0)</f>
        <v>27</v>
      </c>
      <c r="H834" s="210">
        <f>IFERROR(__xludf.DUMMYFUNCTION("""COMPUTED_VALUE"""),40016.0)</f>
        <v>40016</v>
      </c>
      <c r="I834" s="199">
        <f>IFERROR(__xludf.DUMMYFUNCTION("""COMPUTED_VALUE"""),7.858333333333333)</f>
        <v>7.858333333</v>
      </c>
      <c r="J834" s="200">
        <f>IFERROR(__xludf.DUMMYFUNCTION("""COMPUTED_VALUE"""),84.0)</f>
        <v>84</v>
      </c>
      <c r="K834" s="200">
        <f>IFERROR(__xludf.DUMMYFUNCTION("""COMPUTED_VALUE"""),8.0)</f>
        <v>8</v>
      </c>
      <c r="L834" s="265" t="str">
        <f>IFERROR(__xludf.DUMMYFUNCTION("""COMPUTED_VALUE"""),"Action / Platformer")</f>
        <v>Action / Platformer</v>
      </c>
    </row>
    <row r="835">
      <c r="A835" s="269" t="str">
        <f>IFERROR(__xludf.DUMMYFUNCTION("""COMPUTED_VALUE"""),"The Maw")</f>
        <v>The Maw</v>
      </c>
      <c r="B835" s="195" t="str">
        <f>IFERROR(__xludf.DUMMYFUNCTION("""COMPUTED_VALUE"""),"Xbox")</f>
        <v>Xbox</v>
      </c>
      <c r="C835" s="196"/>
      <c r="D835" s="196" t="str">
        <f>IFERROR(__xludf.DUMMYFUNCTION("""COMPUTED_VALUE"""),"Removed")</f>
        <v>Removed</v>
      </c>
      <c r="E835" s="271">
        <f>IFERROR(__xludf.DUMMYFUNCTION("""COMPUTED_VALUE"""),42887.0)</f>
        <v>42887</v>
      </c>
      <c r="F835" s="271">
        <f>IFERROR(__xludf.DUMMYFUNCTION("""COMPUTED_VALUE"""),43709.0)</f>
        <v>43709</v>
      </c>
      <c r="G835" s="199">
        <f>IFERROR(__xludf.DUMMYFUNCTION("""COMPUTED_VALUE"""),27.0)</f>
        <v>27</v>
      </c>
      <c r="H835" s="210">
        <f>IFERROR(__xludf.DUMMYFUNCTION("""COMPUTED_VALUE"""),39834.0)</f>
        <v>39834</v>
      </c>
      <c r="I835" s="199">
        <f>IFERROR(__xludf.DUMMYFUNCTION("""COMPUTED_VALUE"""),8.36111111111111)</f>
        <v>8.361111111</v>
      </c>
      <c r="J835" s="200">
        <f>IFERROR(__xludf.DUMMYFUNCTION("""COMPUTED_VALUE"""),75.0)</f>
        <v>75</v>
      </c>
      <c r="K835" s="200">
        <f>IFERROR(__xludf.DUMMYFUNCTION("""COMPUTED_VALUE"""),3.0)</f>
        <v>3</v>
      </c>
      <c r="L835" s="265" t="str">
        <f>IFERROR(__xludf.DUMMYFUNCTION("""COMPUTED_VALUE"""),"Action / Adventure / Platformer")</f>
        <v>Action / Adventure / Platformer</v>
      </c>
    </row>
    <row r="836">
      <c r="A836" s="269" t="str">
        <f>IFERROR(__xludf.DUMMYFUNCTION("""COMPUTED_VALUE"""),"InnerSpace")</f>
        <v>InnerSpace</v>
      </c>
      <c r="B836" s="195" t="str">
        <f>IFERROR(__xludf.DUMMYFUNCTION("""COMPUTED_VALUE"""),"Xbox")</f>
        <v>Xbox</v>
      </c>
      <c r="C836" s="196"/>
      <c r="D836" s="196" t="str">
        <f>IFERROR(__xludf.DUMMYFUNCTION("""COMPUTED_VALUE"""),"Removed")</f>
        <v>Removed</v>
      </c>
      <c r="E836" s="271">
        <f>IFERROR(__xludf.DUMMYFUNCTION("""COMPUTED_VALUE"""),43344.0)</f>
        <v>43344</v>
      </c>
      <c r="F836" s="271">
        <f>IFERROR(__xludf.DUMMYFUNCTION("""COMPUTED_VALUE"""),43678.0)</f>
        <v>43678</v>
      </c>
      <c r="G836" s="199">
        <f>IFERROR(__xludf.DUMMYFUNCTION("""COMPUTED_VALUE"""),11.0)</f>
        <v>11</v>
      </c>
      <c r="H836" s="210">
        <f>IFERROR(__xludf.DUMMYFUNCTION("""COMPUTED_VALUE"""),43116.0)</f>
        <v>43116</v>
      </c>
      <c r="I836" s="199">
        <f>IFERROR(__xludf.DUMMYFUNCTION("""COMPUTED_VALUE"""),0.625)</f>
        <v>0.625</v>
      </c>
      <c r="J836" s="200">
        <f>IFERROR(__xludf.DUMMYFUNCTION("""COMPUTED_VALUE"""),64.0)</f>
        <v>64</v>
      </c>
      <c r="K836" s="200">
        <f>IFERROR(__xludf.DUMMYFUNCTION("""COMPUTED_VALUE"""),4.5)</f>
        <v>4.5</v>
      </c>
      <c r="L836" s="265" t="str">
        <f>IFERROR(__xludf.DUMMYFUNCTION("""COMPUTED_VALUE"""),"Adventure / Flight Simulator")</f>
        <v>Adventure / Flight Simulator</v>
      </c>
    </row>
    <row r="837">
      <c r="A837" s="269" t="str">
        <f>IFERROR(__xludf.DUMMYFUNCTION("""COMPUTED_VALUE"""),"Manual Samuel")</f>
        <v>Manual Samuel</v>
      </c>
      <c r="B837" s="195" t="str">
        <f>IFERROR(__xludf.DUMMYFUNCTION("""COMPUTED_VALUE"""),"Xbox")</f>
        <v>Xbox</v>
      </c>
      <c r="C837" s="196"/>
      <c r="D837" s="196" t="str">
        <f>IFERROR(__xludf.DUMMYFUNCTION("""COMPUTED_VALUE"""),"Removed")</f>
        <v>Removed</v>
      </c>
      <c r="E837" s="271">
        <f>IFERROR(__xludf.DUMMYFUNCTION("""COMPUTED_VALUE"""),43344.0)</f>
        <v>43344</v>
      </c>
      <c r="F837" s="271">
        <f>IFERROR(__xludf.DUMMYFUNCTION("""COMPUTED_VALUE"""),43678.0)</f>
        <v>43678</v>
      </c>
      <c r="G837" s="199">
        <f>IFERROR(__xludf.DUMMYFUNCTION("""COMPUTED_VALUE"""),11.0)</f>
        <v>11</v>
      </c>
      <c r="H837" s="210">
        <f>IFERROR(__xludf.DUMMYFUNCTION("""COMPUTED_VALUE"""),42654.0)</f>
        <v>42654</v>
      </c>
      <c r="I837" s="199">
        <f>IFERROR(__xludf.DUMMYFUNCTION("""COMPUTED_VALUE"""),1.8888888888888888)</f>
        <v>1.888888889</v>
      </c>
      <c r="J837" s="200">
        <f>IFERROR(__xludf.DUMMYFUNCTION("""COMPUTED_VALUE"""),66.0)</f>
        <v>66</v>
      </c>
      <c r="K837" s="200">
        <f>IFERROR(__xludf.DUMMYFUNCTION("""COMPUTED_VALUE"""),2.0)</f>
        <v>2</v>
      </c>
      <c r="L837" s="265" t="str">
        <f>IFERROR(__xludf.DUMMYFUNCTION("""COMPUTED_VALUE"""),"Adventure")</f>
        <v>Adventure</v>
      </c>
    </row>
    <row r="838">
      <c r="A838" s="190" t="str">
        <f>IFERROR(__xludf.DUMMYFUNCTION("""COMPUTED_VALUE"""),"Sky Force: Reloaded")</f>
        <v>Sky Force: Reloaded</v>
      </c>
      <c r="B838" s="195" t="str">
        <f>IFERROR(__xludf.DUMMYFUNCTION("""COMPUTED_VALUE"""),"Xbox")</f>
        <v>Xbox</v>
      </c>
      <c r="C838" s="196"/>
      <c r="D838" s="196" t="str">
        <f>IFERROR(__xludf.DUMMYFUNCTION("""COMPUTED_VALUE"""),"Removed")</f>
        <v>Removed</v>
      </c>
      <c r="E838" s="271">
        <f>IFERROR(__xludf.DUMMYFUNCTION("""COMPUTED_VALUE"""),43344.0)</f>
        <v>43344</v>
      </c>
      <c r="F838" s="271">
        <f>IFERROR(__xludf.DUMMYFUNCTION("""COMPUTED_VALUE"""),43678.0)</f>
        <v>43678</v>
      </c>
      <c r="G838" s="199">
        <f>IFERROR(__xludf.DUMMYFUNCTION("""COMPUTED_VALUE"""),11.0)</f>
        <v>11</v>
      </c>
      <c r="H838" s="210">
        <f>IFERROR(__xludf.DUMMYFUNCTION("""COMPUTED_VALUE"""),43132.0)</f>
        <v>43132</v>
      </c>
      <c r="I838" s="199">
        <f>IFERROR(__xludf.DUMMYFUNCTION("""COMPUTED_VALUE"""),0.5833333333333334)</f>
        <v>0.5833333333</v>
      </c>
      <c r="J838" s="200">
        <f>IFERROR(__xludf.DUMMYFUNCTION("""COMPUTED_VALUE"""),86.0)</f>
        <v>86</v>
      </c>
      <c r="K838" s="200">
        <f>IFERROR(__xludf.DUMMYFUNCTION("""COMPUTED_VALUE"""),16.0)</f>
        <v>16</v>
      </c>
      <c r="L838" s="265" t="str">
        <f>IFERROR(__xludf.DUMMYFUNCTION("""COMPUTED_VALUE"""),"Shoot 'Em Up")</f>
        <v>Shoot 'Em Up</v>
      </c>
    </row>
    <row r="839">
      <c r="A839" s="269" t="str">
        <f>IFERROR(__xludf.DUMMYFUNCTION("""COMPUTED_VALUE"""),"Graveyard Keeper")</f>
        <v>Graveyard Keeper</v>
      </c>
      <c r="B839" s="195" t="str">
        <f>IFERROR(__xludf.DUMMYFUNCTION("""COMPUTED_VALUE"""),"Xbox")</f>
        <v>Xbox</v>
      </c>
      <c r="C839" s="196"/>
      <c r="D839" s="196" t="str">
        <f>IFERROR(__xludf.DUMMYFUNCTION("""COMPUTED_VALUE"""),"Removed")</f>
        <v>Removed</v>
      </c>
      <c r="E839" s="271">
        <f>IFERROR(__xludf.DUMMYFUNCTION("""COMPUTED_VALUE"""),43327.0)</f>
        <v>43327</v>
      </c>
      <c r="F839" s="271">
        <f>IFERROR(__xludf.DUMMYFUNCTION("""COMPUTED_VALUE"""),43678.0)</f>
        <v>43678</v>
      </c>
      <c r="G839" s="199">
        <f>IFERROR(__xludf.DUMMYFUNCTION("""COMPUTED_VALUE"""),11.533333333333333)</f>
        <v>11.53333333</v>
      </c>
      <c r="H839" s="210">
        <f>IFERROR(__xludf.DUMMYFUNCTION("""COMPUTED_VALUE"""),43327.0)</f>
        <v>43327</v>
      </c>
      <c r="I839" s="199">
        <f>IFERROR(__xludf.DUMMYFUNCTION("""COMPUTED_VALUE"""),0.0)</f>
        <v>0</v>
      </c>
      <c r="J839" s="200">
        <f>IFERROR(__xludf.DUMMYFUNCTION("""COMPUTED_VALUE"""),70.0)</f>
        <v>70</v>
      </c>
      <c r="K839" s="200">
        <f>IFERROR(__xludf.DUMMYFUNCTION("""COMPUTED_VALUE"""),45.5)</f>
        <v>45.5</v>
      </c>
      <c r="L839" s="265" t="str">
        <f>IFERROR(__xludf.DUMMYFUNCTION("""COMPUTED_VALUE"""),"Adventure / RPG / Simulation")</f>
        <v>Adventure / RPG / Simulation</v>
      </c>
    </row>
    <row r="840">
      <c r="A840" s="269" t="str">
        <f>IFERROR(__xludf.DUMMYFUNCTION("""COMPUTED_VALUE"""),"Alien Hominid HD")</f>
        <v>Alien Hominid HD</v>
      </c>
      <c r="B840" s="195" t="str">
        <f>IFERROR(__xludf.DUMMYFUNCTION("""COMPUTED_VALUE"""),"Xbox")</f>
        <v>Xbox</v>
      </c>
      <c r="C840" s="196"/>
      <c r="D840" s="196" t="str">
        <f>IFERROR(__xludf.DUMMYFUNCTION("""COMPUTED_VALUE"""),"Removed")</f>
        <v>Removed</v>
      </c>
      <c r="E840" s="271">
        <f>IFERROR(__xludf.DUMMYFUNCTION("""COMPUTED_VALUE"""),43252.0)</f>
        <v>43252</v>
      </c>
      <c r="F840" s="271">
        <f>IFERROR(__xludf.DUMMYFUNCTION("""COMPUTED_VALUE"""),43678.0)</f>
        <v>43678</v>
      </c>
      <c r="G840" s="199">
        <f>IFERROR(__xludf.DUMMYFUNCTION("""COMPUTED_VALUE"""),14.0)</f>
        <v>14</v>
      </c>
      <c r="H840" s="210">
        <f>IFERROR(__xludf.DUMMYFUNCTION("""COMPUTED_VALUE"""),38309.0)</f>
        <v>38309</v>
      </c>
      <c r="I840" s="199">
        <f>IFERROR(__xludf.DUMMYFUNCTION("""COMPUTED_VALUE"""),13.536111111111111)</f>
        <v>13.53611111</v>
      </c>
      <c r="J840" s="200">
        <f>IFERROR(__xludf.DUMMYFUNCTION("""COMPUTED_VALUE"""),79.0)</f>
        <v>79</v>
      </c>
      <c r="K840" s="200">
        <f>IFERROR(__xludf.DUMMYFUNCTION("""COMPUTED_VALUE"""),5.0)</f>
        <v>5</v>
      </c>
      <c r="L840" s="265" t="str">
        <f>IFERROR(__xludf.DUMMYFUNCTION("""COMPUTED_VALUE"""),"Action / Shooter / Platformer")</f>
        <v>Action / Shooter / Platformer</v>
      </c>
    </row>
    <row r="841">
      <c r="A841" s="269" t="str">
        <f>IFERROR(__xludf.DUMMYFUNCTION("""COMPUTED_VALUE"""),"BattleBlock Theater")</f>
        <v>BattleBlock Theater</v>
      </c>
      <c r="B841" s="195" t="str">
        <f>IFERROR(__xludf.DUMMYFUNCTION("""COMPUTED_VALUE"""),"Xbox")</f>
        <v>Xbox</v>
      </c>
      <c r="C841" s="196"/>
      <c r="D841" s="196" t="str">
        <f>IFERROR(__xludf.DUMMYFUNCTION("""COMPUTED_VALUE"""),"Removed")</f>
        <v>Removed</v>
      </c>
      <c r="E841" s="271">
        <f>IFERROR(__xludf.DUMMYFUNCTION("""COMPUTED_VALUE"""),43252.0)</f>
        <v>43252</v>
      </c>
      <c r="F841" s="271">
        <f>IFERROR(__xludf.DUMMYFUNCTION("""COMPUTED_VALUE"""),43678.0)</f>
        <v>43678</v>
      </c>
      <c r="G841" s="199">
        <f>IFERROR(__xludf.DUMMYFUNCTION("""COMPUTED_VALUE"""),14.0)</f>
        <v>14</v>
      </c>
      <c r="H841" s="210">
        <f>IFERROR(__xludf.DUMMYFUNCTION("""COMPUTED_VALUE"""),41367.0)</f>
        <v>41367</v>
      </c>
      <c r="I841" s="199">
        <f>IFERROR(__xludf.DUMMYFUNCTION("""COMPUTED_VALUE"""),5.161111111111111)</f>
        <v>5.161111111</v>
      </c>
      <c r="J841" s="200">
        <f>IFERROR(__xludf.DUMMYFUNCTION("""COMPUTED_VALUE"""),85.0)</f>
        <v>85</v>
      </c>
      <c r="K841" s="200">
        <f>IFERROR(__xludf.DUMMYFUNCTION("""COMPUTED_VALUE"""),10.0)</f>
        <v>10</v>
      </c>
      <c r="L841" s="265" t="str">
        <f>IFERROR(__xludf.DUMMYFUNCTION("""COMPUTED_VALUE"""),"Puzzle / Platformer / Action-Adventure")</f>
        <v>Puzzle / Platformer / Action-Adventure</v>
      </c>
    </row>
    <row r="842">
      <c r="A842" s="269" t="str">
        <f>IFERROR(__xludf.DUMMYFUNCTION("""COMPUTED_VALUE"""),"Garou: Mark of the Wolves")</f>
        <v>Garou: Mark of the Wolves</v>
      </c>
      <c r="B842" s="195" t="str">
        <f>IFERROR(__xludf.DUMMYFUNCTION("""COMPUTED_VALUE"""),"Xbox")</f>
        <v>Xbox</v>
      </c>
      <c r="C842" s="196"/>
      <c r="D842" s="196" t="str">
        <f>IFERROR(__xludf.DUMMYFUNCTION("""COMPUTED_VALUE"""),"Removed")</f>
        <v>Removed</v>
      </c>
      <c r="E842" s="271">
        <f>IFERROR(__xludf.DUMMYFUNCTION("""COMPUTED_VALUE"""),42979.0)</f>
        <v>42979</v>
      </c>
      <c r="F842" s="271">
        <f>IFERROR(__xludf.DUMMYFUNCTION("""COMPUTED_VALUE"""),43678.0)</f>
        <v>43678</v>
      </c>
      <c r="G842" s="199">
        <f>IFERROR(__xludf.DUMMYFUNCTION("""COMPUTED_VALUE"""),23.0)</f>
        <v>23</v>
      </c>
      <c r="H842" s="210">
        <f>IFERROR(__xludf.DUMMYFUNCTION("""COMPUTED_VALUE"""),36490.0)</f>
        <v>36490</v>
      </c>
      <c r="I842" s="199">
        <f>IFERROR(__xludf.DUMMYFUNCTION("""COMPUTED_VALUE"""),17.76388888888889)</f>
        <v>17.76388889</v>
      </c>
      <c r="J842" s="200">
        <f>IFERROR(__xludf.DUMMYFUNCTION("""COMPUTED_VALUE"""),77.0)</f>
        <v>77</v>
      </c>
      <c r="K842" s="200">
        <f>IFERROR(__xludf.DUMMYFUNCTION("""COMPUTED_VALUE"""),1.5)</f>
        <v>1.5</v>
      </c>
      <c r="L842" s="265" t="str">
        <f>IFERROR(__xludf.DUMMYFUNCTION("""COMPUTED_VALUE"""),"Fighting")</f>
        <v>Fighting</v>
      </c>
    </row>
    <row r="843">
      <c r="A843" s="269" t="str">
        <f>IFERROR(__xludf.DUMMYFUNCTION("""COMPUTED_VALUE"""),"A Kingdom for Keflings")</f>
        <v>A Kingdom for Keflings</v>
      </c>
      <c r="B843" s="195" t="str">
        <f>IFERROR(__xludf.DUMMYFUNCTION("""COMPUTED_VALUE"""),"Xbox")</f>
        <v>Xbox</v>
      </c>
      <c r="C843" s="196"/>
      <c r="D843" s="196" t="str">
        <f>IFERROR(__xludf.DUMMYFUNCTION("""COMPUTED_VALUE"""),"Removed")</f>
        <v>Removed</v>
      </c>
      <c r="E843" s="271">
        <f>IFERROR(__xludf.DUMMYFUNCTION("""COMPUTED_VALUE"""),42887.0)</f>
        <v>42887</v>
      </c>
      <c r="F843" s="271">
        <f>IFERROR(__xludf.DUMMYFUNCTION("""COMPUTED_VALUE"""),43678.0)</f>
        <v>43678</v>
      </c>
      <c r="G843" s="199">
        <f>IFERROR(__xludf.DUMMYFUNCTION("""COMPUTED_VALUE"""),26.0)</f>
        <v>26</v>
      </c>
      <c r="H843" s="210">
        <f>IFERROR(__xludf.DUMMYFUNCTION("""COMPUTED_VALUE"""),39771.0)</f>
        <v>39771</v>
      </c>
      <c r="I843" s="199">
        <f>IFERROR(__xludf.DUMMYFUNCTION("""COMPUTED_VALUE"""),8.533333333333333)</f>
        <v>8.533333333</v>
      </c>
      <c r="J843" s="200">
        <f>IFERROR(__xludf.DUMMYFUNCTION("""COMPUTED_VALUE"""),78.0)</f>
        <v>78</v>
      </c>
      <c r="K843" s="200">
        <f>IFERROR(__xludf.DUMMYFUNCTION("""COMPUTED_VALUE"""),6.0)</f>
        <v>6</v>
      </c>
      <c r="L843" s="265" t="str">
        <f>IFERROR(__xludf.DUMMYFUNCTION("""COMPUTED_VALUE"""),"Strategy / Simulation")</f>
        <v>Strategy / Simulation</v>
      </c>
    </row>
    <row r="844">
      <c r="A844" s="190" t="str">
        <f>IFERROR(__xludf.DUMMYFUNCTION("""COMPUTED_VALUE"""),"A World of Keflings")</f>
        <v>A World of Keflings</v>
      </c>
      <c r="B844" s="195" t="str">
        <f>IFERROR(__xludf.DUMMYFUNCTION("""COMPUTED_VALUE"""),"Xbox")</f>
        <v>Xbox</v>
      </c>
      <c r="C844" s="196"/>
      <c r="D844" s="196" t="str">
        <f>IFERROR(__xludf.DUMMYFUNCTION("""COMPUTED_VALUE"""),"Removed")</f>
        <v>Removed</v>
      </c>
      <c r="E844" s="271">
        <f>IFERROR(__xludf.DUMMYFUNCTION("""COMPUTED_VALUE"""),42887.0)</f>
        <v>42887</v>
      </c>
      <c r="F844" s="271">
        <f>IFERROR(__xludf.DUMMYFUNCTION("""COMPUTED_VALUE"""),43678.0)</f>
        <v>43678</v>
      </c>
      <c r="G844" s="199">
        <f>IFERROR(__xludf.DUMMYFUNCTION("""COMPUTED_VALUE"""),26.0)</f>
        <v>26</v>
      </c>
      <c r="H844" s="210">
        <f>IFERROR(__xludf.DUMMYFUNCTION("""COMPUTED_VALUE"""),40534.0)</f>
        <v>40534</v>
      </c>
      <c r="I844" s="199">
        <f>IFERROR(__xludf.DUMMYFUNCTION("""COMPUTED_VALUE"""),6.441666666666666)</f>
        <v>6.441666667</v>
      </c>
      <c r="J844" s="200">
        <f>IFERROR(__xludf.DUMMYFUNCTION("""COMPUTED_VALUE"""),77.0)</f>
        <v>77</v>
      </c>
      <c r="K844" s="200">
        <f>IFERROR(__xludf.DUMMYFUNCTION("""COMPUTED_VALUE"""),7.0)</f>
        <v>7</v>
      </c>
      <c r="L844" s="201" t="str">
        <f>IFERROR(__xludf.DUMMYFUNCTION("""COMPUTED_VALUE"""),"Simulation")</f>
        <v>Simulation</v>
      </c>
    </row>
    <row r="845">
      <c r="A845" s="190" t="str">
        <f>IFERROR(__xludf.DUMMYFUNCTION("""COMPUTED_VALUE"""),"CastleStorm")</f>
        <v>CastleStorm</v>
      </c>
      <c r="B845" s="195" t="str">
        <f>IFERROR(__xludf.DUMMYFUNCTION("""COMPUTED_VALUE"""),"Xbox")</f>
        <v>Xbox</v>
      </c>
      <c r="C845" s="196"/>
      <c r="D845" s="196" t="str">
        <f>IFERROR(__xludf.DUMMYFUNCTION("""COMPUTED_VALUE"""),"Removed")</f>
        <v>Removed</v>
      </c>
      <c r="E845" s="271">
        <f>IFERROR(__xludf.DUMMYFUNCTION("""COMPUTED_VALUE"""),42887.0)</f>
        <v>42887</v>
      </c>
      <c r="F845" s="271">
        <f>IFERROR(__xludf.DUMMYFUNCTION("""COMPUTED_VALUE"""),43678.0)</f>
        <v>43678</v>
      </c>
      <c r="G845" s="199">
        <f>IFERROR(__xludf.DUMMYFUNCTION("""COMPUTED_VALUE"""),26.0)</f>
        <v>26</v>
      </c>
      <c r="H845" s="210">
        <f>IFERROR(__xludf.DUMMYFUNCTION("""COMPUTED_VALUE"""),41423.0)</f>
        <v>41423</v>
      </c>
      <c r="I845" s="199">
        <f>IFERROR(__xludf.DUMMYFUNCTION("""COMPUTED_VALUE"""),4.0055555555555555)</f>
        <v>4.005555556</v>
      </c>
      <c r="J845" s="200">
        <f>IFERROR(__xludf.DUMMYFUNCTION("""COMPUTED_VALUE"""),79.0)</f>
        <v>79</v>
      </c>
      <c r="K845" s="200">
        <f>IFERROR(__xludf.DUMMYFUNCTION("""COMPUTED_VALUE"""),7.0)</f>
        <v>7</v>
      </c>
      <c r="L845" s="201" t="str">
        <f>IFERROR(__xludf.DUMMYFUNCTION("""COMPUTED_VALUE"""),"Action / Strategy / Brawler")</f>
        <v>Action / Strategy / Brawler</v>
      </c>
    </row>
    <row r="846">
      <c r="A846" s="269" t="str">
        <f>IFERROR(__xludf.DUMMYFUNCTION("""COMPUTED_VALUE"""),"Joe Danger 2: The Movie")</f>
        <v>Joe Danger 2: The Movie</v>
      </c>
      <c r="B846" s="195" t="str">
        <f>IFERROR(__xludf.DUMMYFUNCTION("""COMPUTED_VALUE"""),"Xbox")</f>
        <v>Xbox</v>
      </c>
      <c r="C846" s="196"/>
      <c r="D846" s="196" t="str">
        <f>IFERROR(__xludf.DUMMYFUNCTION("""COMPUTED_VALUE"""),"Removed")</f>
        <v>Removed</v>
      </c>
      <c r="E846" s="271">
        <f>IFERROR(__xludf.DUMMYFUNCTION("""COMPUTED_VALUE"""),42887.0)</f>
        <v>42887</v>
      </c>
      <c r="F846" s="271">
        <f>IFERROR(__xludf.DUMMYFUNCTION("""COMPUTED_VALUE"""),43678.0)</f>
        <v>43678</v>
      </c>
      <c r="G846" s="199">
        <f>IFERROR(__xludf.DUMMYFUNCTION("""COMPUTED_VALUE"""),26.0)</f>
        <v>26</v>
      </c>
      <c r="H846" s="210">
        <f>IFERROR(__xludf.DUMMYFUNCTION("""COMPUTED_VALUE"""),41191.0)</f>
        <v>41191</v>
      </c>
      <c r="I846" s="199">
        <f>IFERROR(__xludf.DUMMYFUNCTION("""COMPUTED_VALUE"""),4.644444444444445)</f>
        <v>4.644444444</v>
      </c>
      <c r="J846" s="200">
        <f>IFERROR(__xludf.DUMMYFUNCTION("""COMPUTED_VALUE"""),82.0)</f>
        <v>82</v>
      </c>
      <c r="K846" s="267">
        <f>IFERROR(__xludf.DUMMYFUNCTION("""COMPUTED_VALUE"""),2.0)</f>
        <v>2</v>
      </c>
      <c r="L846" s="265" t="str">
        <f>IFERROR(__xludf.DUMMYFUNCTION("""COMPUTED_VALUE"""),"Driving/Racing / Platformer")</f>
        <v>Driving/Racing / Platformer</v>
      </c>
    </row>
    <row r="847">
      <c r="A847" s="269" t="str">
        <f>IFERROR(__xludf.DUMMYFUNCTION("""COMPUTED_VALUE"""),"Joe Danger: Special Edition")</f>
        <v>Joe Danger: Special Edition</v>
      </c>
      <c r="B847" s="195" t="str">
        <f>IFERROR(__xludf.DUMMYFUNCTION("""COMPUTED_VALUE"""),"Xbox")</f>
        <v>Xbox</v>
      </c>
      <c r="C847" s="196"/>
      <c r="D847" s="196" t="str">
        <f>IFERROR(__xludf.DUMMYFUNCTION("""COMPUTED_VALUE"""),"Removed")</f>
        <v>Removed</v>
      </c>
      <c r="E847" s="271">
        <f>IFERROR(__xludf.DUMMYFUNCTION("""COMPUTED_VALUE"""),42887.0)</f>
        <v>42887</v>
      </c>
      <c r="F847" s="271">
        <f>IFERROR(__xludf.DUMMYFUNCTION("""COMPUTED_VALUE"""),43678.0)</f>
        <v>43678</v>
      </c>
      <c r="G847" s="199">
        <f>IFERROR(__xludf.DUMMYFUNCTION("""COMPUTED_VALUE"""),26.0)</f>
        <v>26</v>
      </c>
      <c r="H847" s="210">
        <f>IFERROR(__xludf.DUMMYFUNCTION("""COMPUTED_VALUE"""),40337.0)</f>
        <v>40337</v>
      </c>
      <c r="I847" s="199">
        <f>IFERROR(__xludf.DUMMYFUNCTION("""COMPUTED_VALUE"""),6.980555555555555)</f>
        <v>6.980555556</v>
      </c>
      <c r="J847" s="200">
        <f>IFERROR(__xludf.DUMMYFUNCTION("""COMPUTED_VALUE"""),88.0)</f>
        <v>88</v>
      </c>
      <c r="K847" s="200">
        <f>IFERROR(__xludf.DUMMYFUNCTION("""COMPUTED_VALUE"""),6.0)</f>
        <v>6</v>
      </c>
      <c r="L847" s="265" t="str">
        <f>IFERROR(__xludf.DUMMYFUNCTION("""COMPUTED_VALUE"""),"Driving/Racing / Platformer")</f>
        <v>Driving/Racing / Platformer</v>
      </c>
    </row>
    <row r="848">
      <c r="A848" s="269" t="str">
        <f>IFERROR(__xludf.DUMMYFUNCTION("""COMPUTED_VALUE"""),"Monday Night Combat")</f>
        <v>Monday Night Combat</v>
      </c>
      <c r="B848" s="195" t="str">
        <f>IFERROR(__xludf.DUMMYFUNCTION("""COMPUTED_VALUE"""),"Xbox")</f>
        <v>Xbox</v>
      </c>
      <c r="C848" s="196"/>
      <c r="D848" s="196" t="str">
        <f>IFERROR(__xludf.DUMMYFUNCTION("""COMPUTED_VALUE"""),"Removed")</f>
        <v>Removed</v>
      </c>
      <c r="E848" s="271">
        <f>IFERROR(__xludf.DUMMYFUNCTION("""COMPUTED_VALUE"""),42887.0)</f>
        <v>42887</v>
      </c>
      <c r="F848" s="271">
        <f>IFERROR(__xludf.DUMMYFUNCTION("""COMPUTED_VALUE"""),43678.0)</f>
        <v>43678</v>
      </c>
      <c r="G848" s="199">
        <f>IFERROR(__xludf.DUMMYFUNCTION("""COMPUTED_VALUE"""),26.0)</f>
        <v>26</v>
      </c>
      <c r="H848" s="210">
        <f>IFERROR(__xludf.DUMMYFUNCTION("""COMPUTED_VALUE"""),40401.0)</f>
        <v>40401</v>
      </c>
      <c r="I848" s="199">
        <f>IFERROR(__xludf.DUMMYFUNCTION("""COMPUTED_VALUE"""),6.805555555555555)</f>
        <v>6.805555556</v>
      </c>
      <c r="J848" s="200">
        <f>IFERROR(__xludf.DUMMYFUNCTION("""COMPUTED_VALUE"""),79.0)</f>
        <v>79</v>
      </c>
      <c r="K848" s="200">
        <f>IFERROR(__xludf.DUMMYFUNCTION("""COMPUTED_VALUE"""),3.0)</f>
        <v>3</v>
      </c>
      <c r="L848" s="265" t="str">
        <f>IFERROR(__xludf.DUMMYFUNCTION("""COMPUTED_VALUE"""),"Shooter / MOBA")</f>
        <v>Shooter / MOBA</v>
      </c>
    </row>
    <row r="849">
      <c r="A849" s="269" t="str">
        <f>IFERROR(__xludf.DUMMYFUNCTION("""COMPUTED_VALUE"""),"N+")</f>
        <v>N+</v>
      </c>
      <c r="B849" s="195" t="str">
        <f>IFERROR(__xludf.DUMMYFUNCTION("""COMPUTED_VALUE"""),"Xbox")</f>
        <v>Xbox</v>
      </c>
      <c r="C849" s="196"/>
      <c r="D849" s="196" t="str">
        <f>IFERROR(__xludf.DUMMYFUNCTION("""COMPUTED_VALUE"""),"Removed")</f>
        <v>Removed</v>
      </c>
      <c r="E849" s="271">
        <f>IFERROR(__xludf.DUMMYFUNCTION("""COMPUTED_VALUE"""),42887.0)</f>
        <v>42887</v>
      </c>
      <c r="F849" s="271">
        <f>IFERROR(__xludf.DUMMYFUNCTION("""COMPUTED_VALUE"""),43678.0)</f>
        <v>43678</v>
      </c>
      <c r="G849" s="199">
        <f>IFERROR(__xludf.DUMMYFUNCTION("""COMPUTED_VALUE"""),26.0)</f>
        <v>26</v>
      </c>
      <c r="H849" s="210">
        <f>IFERROR(__xludf.DUMMYFUNCTION("""COMPUTED_VALUE"""),42213.0)</f>
        <v>42213</v>
      </c>
      <c r="I849" s="199">
        <f>IFERROR(__xludf.DUMMYFUNCTION("""COMPUTED_VALUE"""),1.8416666666666666)</f>
        <v>1.841666667</v>
      </c>
      <c r="J849" s="200">
        <f>IFERROR(__xludf.DUMMYFUNCTION("""COMPUTED_VALUE"""),83.0)</f>
        <v>83</v>
      </c>
      <c r="K849" s="200">
        <f>IFERROR(__xludf.DUMMYFUNCTION("""COMPUTED_VALUE"""),14.5)</f>
        <v>14.5</v>
      </c>
      <c r="L849" s="265" t="str">
        <f>IFERROR(__xludf.DUMMYFUNCTION("""COMPUTED_VALUE"""),"Platformer")</f>
        <v>Platformer</v>
      </c>
    </row>
    <row r="850">
      <c r="A850" s="269" t="str">
        <f>IFERROR(__xludf.DUMMYFUNCTION("""COMPUTED_VALUE"""),"Spelunky")</f>
        <v>Spelunky</v>
      </c>
      <c r="B850" s="195" t="str">
        <f>IFERROR(__xludf.DUMMYFUNCTION("""COMPUTED_VALUE"""),"Xbox")</f>
        <v>Xbox</v>
      </c>
      <c r="C850" s="196"/>
      <c r="D850" s="196" t="str">
        <f>IFERROR(__xludf.DUMMYFUNCTION("""COMPUTED_VALUE"""),"Removed")</f>
        <v>Removed</v>
      </c>
      <c r="E850" s="271">
        <f>IFERROR(__xludf.DUMMYFUNCTION("""COMPUTED_VALUE"""),42887.0)</f>
        <v>42887</v>
      </c>
      <c r="F850" s="271">
        <f>IFERROR(__xludf.DUMMYFUNCTION("""COMPUTED_VALUE"""),43678.0)</f>
        <v>43678</v>
      </c>
      <c r="G850" s="199">
        <f>IFERROR(__xludf.DUMMYFUNCTION("""COMPUTED_VALUE"""),26.0)</f>
        <v>26</v>
      </c>
      <c r="H850" s="210">
        <f>IFERROR(__xludf.DUMMYFUNCTION("""COMPUTED_VALUE"""),40057.0)</f>
        <v>40057</v>
      </c>
      <c r="I850" s="199">
        <f>IFERROR(__xludf.DUMMYFUNCTION("""COMPUTED_VALUE"""),7.75)</f>
        <v>7.75</v>
      </c>
      <c r="J850" s="200">
        <f>IFERROR(__xludf.DUMMYFUNCTION("""COMPUTED_VALUE"""),87.0)</f>
        <v>87</v>
      </c>
      <c r="K850" s="200">
        <f>IFERROR(__xludf.DUMMYFUNCTION("""COMPUTED_VALUE"""),17.5)</f>
        <v>17.5</v>
      </c>
      <c r="L850" s="201" t="str">
        <f>IFERROR(__xludf.DUMMYFUNCTION("""COMPUTED_VALUE"""),"Puzzle / Platformer / Action-Adventure")</f>
        <v>Puzzle / Platformer / Action-Adventure</v>
      </c>
    </row>
    <row r="851">
      <c r="A851" s="269" t="str">
        <f>IFERROR(__xludf.DUMMYFUNCTION("""COMPUTED_VALUE"""),"Toy Soldiers")</f>
        <v>Toy Soldiers</v>
      </c>
      <c r="B851" s="195" t="str">
        <f>IFERROR(__xludf.DUMMYFUNCTION("""COMPUTED_VALUE"""),"Xbox")</f>
        <v>Xbox</v>
      </c>
      <c r="C851" s="196"/>
      <c r="D851" s="196" t="str">
        <f>IFERROR(__xludf.DUMMYFUNCTION("""COMPUTED_VALUE"""),"Removed")</f>
        <v>Removed</v>
      </c>
      <c r="E851" s="271">
        <f>IFERROR(__xludf.DUMMYFUNCTION("""COMPUTED_VALUE"""),42887.0)</f>
        <v>42887</v>
      </c>
      <c r="F851" s="271">
        <f>IFERROR(__xludf.DUMMYFUNCTION("""COMPUTED_VALUE"""),43678.0)</f>
        <v>43678</v>
      </c>
      <c r="G851" s="199">
        <f>IFERROR(__xludf.DUMMYFUNCTION("""COMPUTED_VALUE"""),26.0)</f>
        <v>26</v>
      </c>
      <c r="H851" s="210">
        <f>IFERROR(__xludf.DUMMYFUNCTION("""COMPUTED_VALUE"""),40240.0)</f>
        <v>40240</v>
      </c>
      <c r="I851" s="199">
        <f>IFERROR(__xludf.DUMMYFUNCTION("""COMPUTED_VALUE"""),7.2444444444444445)</f>
        <v>7.244444444</v>
      </c>
      <c r="J851" s="200">
        <f>IFERROR(__xludf.DUMMYFUNCTION("""COMPUTED_VALUE"""),81.0)</f>
        <v>81</v>
      </c>
      <c r="K851" s="200">
        <f>IFERROR(__xludf.DUMMYFUNCTION("""COMPUTED_VALUE"""),6.0)</f>
        <v>6</v>
      </c>
      <c r="L851" s="265" t="str">
        <f>IFERROR(__xludf.DUMMYFUNCTION("""COMPUTED_VALUE"""),"Vehicular Combat / Shooter / Real-Time Strategy")</f>
        <v>Vehicular Combat / Shooter / Real-Time Strategy</v>
      </c>
    </row>
    <row r="852">
      <c r="A852" s="269" t="str">
        <f>IFERROR(__xludf.DUMMYFUNCTION("""COMPUTED_VALUE"""),"Toy Soldiers: Cold War")</f>
        <v>Toy Soldiers: Cold War</v>
      </c>
      <c r="B852" s="195" t="str">
        <f>IFERROR(__xludf.DUMMYFUNCTION("""COMPUTED_VALUE"""),"Xbox")</f>
        <v>Xbox</v>
      </c>
      <c r="C852" s="196"/>
      <c r="D852" s="196" t="str">
        <f>IFERROR(__xludf.DUMMYFUNCTION("""COMPUTED_VALUE"""),"Removed")</f>
        <v>Removed</v>
      </c>
      <c r="E852" s="271">
        <f>IFERROR(__xludf.DUMMYFUNCTION("""COMPUTED_VALUE"""),42887.0)</f>
        <v>42887</v>
      </c>
      <c r="F852" s="197">
        <f>IFERROR(__xludf.DUMMYFUNCTION("""COMPUTED_VALUE"""),43678.0)</f>
        <v>43678</v>
      </c>
      <c r="G852" s="199">
        <f>IFERROR(__xludf.DUMMYFUNCTION("""COMPUTED_VALUE"""),26.0)</f>
        <v>26</v>
      </c>
      <c r="H852" s="210">
        <f>IFERROR(__xludf.DUMMYFUNCTION("""COMPUTED_VALUE"""),40772.0)</f>
        <v>40772</v>
      </c>
      <c r="I852" s="199">
        <f>IFERROR(__xludf.DUMMYFUNCTION("""COMPUTED_VALUE"""),5.788888888888889)</f>
        <v>5.788888889</v>
      </c>
      <c r="J852" s="200">
        <f>IFERROR(__xludf.DUMMYFUNCTION("""COMPUTED_VALUE"""),81.0)</f>
        <v>81</v>
      </c>
      <c r="K852" s="200">
        <f>IFERROR(__xludf.DUMMYFUNCTION("""COMPUTED_VALUE"""),4.0)</f>
        <v>4</v>
      </c>
      <c r="L852" s="265" t="str">
        <f>IFERROR(__xludf.DUMMYFUNCTION("""COMPUTED_VALUE"""),"Vehicular Combat / Shooter / Real-Time Strategy")</f>
        <v>Vehicular Combat / Shooter / Real-Time Strategy</v>
      </c>
    </row>
    <row r="853">
      <c r="A853" s="190" t="str">
        <f>IFERROR(__xludf.DUMMYFUNCTION("""COMPUTED_VALUE"""),"Aftercharge")</f>
        <v>Aftercharge</v>
      </c>
      <c r="B853" s="195" t="str">
        <f>IFERROR(__xludf.DUMMYFUNCTION("""COMPUTED_VALUE"""),"Xbox")</f>
        <v>Xbox</v>
      </c>
      <c r="C853" s="196"/>
      <c r="D853" s="196" t="str">
        <f>IFERROR(__xludf.DUMMYFUNCTION("""COMPUTED_VALUE"""),"Removed")</f>
        <v>Removed</v>
      </c>
      <c r="E853" s="271">
        <f>IFERROR(__xludf.DUMMYFUNCTION("""COMPUTED_VALUE"""),43466.0)</f>
        <v>43466</v>
      </c>
      <c r="F853" s="197">
        <f>IFERROR(__xludf.DUMMYFUNCTION("""COMPUTED_VALUE"""),43647.0)</f>
        <v>43647</v>
      </c>
      <c r="G853" s="199">
        <f>IFERROR(__xludf.DUMMYFUNCTION("""COMPUTED_VALUE"""),6.0)</f>
        <v>6</v>
      </c>
      <c r="H853" s="210">
        <f>IFERROR(__xludf.DUMMYFUNCTION("""COMPUTED_VALUE"""),43475.0)</f>
        <v>43475</v>
      </c>
      <c r="I853" s="199">
        <f>IFERROR(__xludf.DUMMYFUNCTION("""COMPUTED_VALUE"""),-0.025)</f>
        <v>-0.025</v>
      </c>
      <c r="J853" s="200">
        <f>IFERROR(__xludf.DUMMYFUNCTION("""COMPUTED_VALUE"""),69.0)</f>
        <v>69</v>
      </c>
      <c r="K853" s="200"/>
      <c r="L853" s="201" t="str">
        <f>IFERROR(__xludf.DUMMYFUNCTION("""COMPUTED_VALUE"""),"First-Person Shooter")</f>
        <v>First-Person Shooter</v>
      </c>
    </row>
    <row r="854">
      <c r="A854" s="269" t="str">
        <f>IFERROR(__xludf.DUMMYFUNCTION("""COMPUTED_VALUE"""),"The LEGO Movie Videogame")</f>
        <v>The LEGO Movie Videogame</v>
      </c>
      <c r="B854" s="195" t="str">
        <f>IFERROR(__xludf.DUMMYFUNCTION("""COMPUTED_VALUE"""),"Xbox")</f>
        <v>Xbox</v>
      </c>
      <c r="C854" s="196"/>
      <c r="D854" s="196" t="str">
        <f>IFERROR(__xludf.DUMMYFUNCTION("""COMPUTED_VALUE"""),"Removed")</f>
        <v>Removed</v>
      </c>
      <c r="E854" s="271">
        <f>IFERROR(__xludf.DUMMYFUNCTION("""COMPUTED_VALUE"""),43466.0)</f>
        <v>43466</v>
      </c>
      <c r="F854" s="271">
        <f>IFERROR(__xludf.DUMMYFUNCTION("""COMPUTED_VALUE"""),43647.0)</f>
        <v>43647</v>
      </c>
      <c r="G854" s="199">
        <f>IFERROR(__xludf.DUMMYFUNCTION("""COMPUTED_VALUE"""),6.0)</f>
        <v>6</v>
      </c>
      <c r="H854" s="210">
        <f>IFERROR(__xludf.DUMMYFUNCTION("""COMPUTED_VALUE"""),41677.0)</f>
        <v>41677</v>
      </c>
      <c r="I854" s="199">
        <f>IFERROR(__xludf.DUMMYFUNCTION("""COMPUTED_VALUE"""),4.9)</f>
        <v>4.9</v>
      </c>
      <c r="J854" s="200">
        <f>IFERROR(__xludf.DUMMYFUNCTION("""COMPUTED_VALUE"""),69.0)</f>
        <v>69</v>
      </c>
      <c r="K854" s="200">
        <f>IFERROR(__xludf.DUMMYFUNCTION("""COMPUTED_VALUE"""),8.0)</f>
        <v>8</v>
      </c>
      <c r="L854" s="265" t="str">
        <f>IFERROR(__xludf.DUMMYFUNCTION("""COMPUTED_VALUE"""),"Action-Adventure")</f>
        <v>Action-Adventure</v>
      </c>
    </row>
    <row r="855">
      <c r="A855" s="269" t="str">
        <f>IFERROR(__xludf.DUMMYFUNCTION("""COMPUTED_VALUE"""),"Dandara")</f>
        <v>Dandara</v>
      </c>
      <c r="B855" s="195" t="str">
        <f>IFERROR(__xludf.DUMMYFUNCTION("""COMPUTED_VALUE"""),"Xbox")</f>
        <v>Xbox</v>
      </c>
      <c r="C855" s="196"/>
      <c r="D855" s="196" t="str">
        <f>IFERROR(__xludf.DUMMYFUNCTION("""COMPUTED_VALUE"""),"Removed")</f>
        <v>Removed</v>
      </c>
      <c r="E855" s="271">
        <f>IFERROR(__xludf.DUMMYFUNCTION("""COMPUTED_VALUE"""),43313.0)</f>
        <v>43313</v>
      </c>
      <c r="F855" s="271">
        <f>IFERROR(__xludf.DUMMYFUNCTION("""COMPUTED_VALUE"""),43647.0)</f>
        <v>43647</v>
      </c>
      <c r="G855" s="199">
        <f>IFERROR(__xludf.DUMMYFUNCTION("""COMPUTED_VALUE"""),11.0)</f>
        <v>11</v>
      </c>
      <c r="H855" s="210">
        <f>IFERROR(__xludf.DUMMYFUNCTION("""COMPUTED_VALUE"""),43137.0)</f>
        <v>43137</v>
      </c>
      <c r="I855" s="199">
        <f>IFERROR(__xludf.DUMMYFUNCTION("""COMPUTED_VALUE"""),0.4861111111111111)</f>
        <v>0.4861111111</v>
      </c>
      <c r="J855" s="200">
        <f>IFERROR(__xludf.DUMMYFUNCTION("""COMPUTED_VALUE"""),70.0)</f>
        <v>70</v>
      </c>
      <c r="K855" s="200">
        <f>IFERROR(__xludf.DUMMYFUNCTION("""COMPUTED_VALUE"""),6.5)</f>
        <v>6.5</v>
      </c>
      <c r="L855" s="265" t="str">
        <f>IFERROR(__xludf.DUMMYFUNCTION("""COMPUTED_VALUE"""),"Platformer / Action-Adventure")</f>
        <v>Platformer / Action-Adventure</v>
      </c>
    </row>
    <row r="856">
      <c r="A856" s="269" t="str">
        <f>IFERROR(__xludf.DUMMYFUNCTION("""COMPUTED_VALUE"""),"Dead Rising 2")</f>
        <v>Dead Rising 2</v>
      </c>
      <c r="B856" s="195" t="str">
        <f>IFERROR(__xludf.DUMMYFUNCTION("""COMPUTED_VALUE"""),"Xbox")</f>
        <v>Xbox</v>
      </c>
      <c r="C856" s="196"/>
      <c r="D856" s="196" t="str">
        <f>IFERROR(__xludf.DUMMYFUNCTION("""COMPUTED_VALUE"""),"Removed")</f>
        <v>Removed</v>
      </c>
      <c r="E856" s="271">
        <f>IFERROR(__xludf.DUMMYFUNCTION("""COMPUTED_VALUE"""),43313.0)</f>
        <v>43313</v>
      </c>
      <c r="F856" s="271">
        <f>IFERROR(__xludf.DUMMYFUNCTION("""COMPUTED_VALUE"""),43647.0)</f>
        <v>43647</v>
      </c>
      <c r="G856" s="199">
        <f>IFERROR(__xludf.DUMMYFUNCTION("""COMPUTED_VALUE"""),11.0)</f>
        <v>11</v>
      </c>
      <c r="H856" s="210">
        <f>IFERROR(__xludf.DUMMYFUNCTION("""COMPUTED_VALUE"""),40423.0)</f>
        <v>40423</v>
      </c>
      <c r="I856" s="199">
        <f>IFERROR(__xludf.DUMMYFUNCTION("""COMPUTED_VALUE"""),7.913888888888889)</f>
        <v>7.913888889</v>
      </c>
      <c r="J856" s="200">
        <f>IFERROR(__xludf.DUMMYFUNCTION("""COMPUTED_VALUE"""),79.0)</f>
        <v>79</v>
      </c>
      <c r="K856" s="200">
        <f>IFERROR(__xludf.DUMMYFUNCTION("""COMPUTED_VALUE"""),14.0)</f>
        <v>14</v>
      </c>
      <c r="L856" s="265" t="str">
        <f>IFERROR(__xludf.DUMMYFUNCTION("""COMPUTED_VALUE"""),"RPG / Action-Adventure")</f>
        <v>RPG / Action-Adventure</v>
      </c>
    </row>
    <row r="857">
      <c r="A857" s="269" t="str">
        <f>IFERROR(__xludf.DUMMYFUNCTION("""COMPUTED_VALUE"""),"HITMAN")</f>
        <v>HITMAN</v>
      </c>
      <c r="B857" s="195" t="str">
        <f>IFERROR(__xludf.DUMMYFUNCTION("""COMPUTED_VALUE"""),"Xbox")</f>
        <v>Xbox</v>
      </c>
      <c r="C857" s="196"/>
      <c r="D857" s="196" t="str">
        <f>IFERROR(__xludf.DUMMYFUNCTION("""COMPUTED_VALUE"""),"Removed")</f>
        <v>Removed</v>
      </c>
      <c r="E857" s="271">
        <f>IFERROR(__xludf.DUMMYFUNCTION("""COMPUTED_VALUE"""),43313.0)</f>
        <v>43313</v>
      </c>
      <c r="F857" s="271">
        <f>IFERROR(__xludf.DUMMYFUNCTION("""COMPUTED_VALUE"""),43647.0)</f>
        <v>43647</v>
      </c>
      <c r="G857" s="199">
        <f>IFERROR(__xludf.DUMMYFUNCTION("""COMPUTED_VALUE"""),11.0)</f>
        <v>11</v>
      </c>
      <c r="H857" s="210">
        <f>IFERROR(__xludf.DUMMYFUNCTION("""COMPUTED_VALUE"""),42440.0)</f>
        <v>42440</v>
      </c>
      <c r="I857" s="199">
        <f>IFERROR(__xludf.DUMMYFUNCTION("""COMPUTED_VALUE"""),2.388888888888889)</f>
        <v>2.388888889</v>
      </c>
      <c r="J857" s="200">
        <f>IFERROR(__xludf.DUMMYFUNCTION("""COMPUTED_VALUE"""),85.0)</f>
        <v>85</v>
      </c>
      <c r="K857" s="200">
        <f>IFERROR(__xludf.DUMMYFUNCTION("""COMPUTED_VALUE"""),10.5)</f>
        <v>10.5</v>
      </c>
      <c r="L857" s="265" t="str">
        <f>IFERROR(__xludf.DUMMYFUNCTION("""COMPUTED_VALUE"""),"Action-Adventure")</f>
        <v>Action-Adventure</v>
      </c>
    </row>
    <row r="858">
      <c r="A858" s="269" t="str">
        <f>IFERROR(__xludf.DUMMYFUNCTION("""COMPUTED_VALUE"""),"Metal Slug XX")</f>
        <v>Metal Slug XX</v>
      </c>
      <c r="B858" s="195" t="str">
        <f>IFERROR(__xludf.DUMMYFUNCTION("""COMPUTED_VALUE"""),"Xbox")</f>
        <v>Xbox</v>
      </c>
      <c r="C858" s="196"/>
      <c r="D858" s="196" t="str">
        <f>IFERROR(__xludf.DUMMYFUNCTION("""COMPUTED_VALUE"""),"Removed")</f>
        <v>Removed</v>
      </c>
      <c r="E858" s="271">
        <f>IFERROR(__xludf.DUMMYFUNCTION("""COMPUTED_VALUE"""),42948.0)</f>
        <v>42948</v>
      </c>
      <c r="F858" s="271">
        <f>IFERROR(__xludf.DUMMYFUNCTION("""COMPUTED_VALUE"""),43647.0)</f>
        <v>43647</v>
      </c>
      <c r="G858" s="199">
        <f>IFERROR(__xludf.DUMMYFUNCTION("""COMPUTED_VALUE"""),23.0)</f>
        <v>23</v>
      </c>
      <c r="H858" s="210">
        <f>IFERROR(__xludf.DUMMYFUNCTION("""COMPUTED_VALUE"""),40170.0)</f>
        <v>40170</v>
      </c>
      <c r="I858" s="199">
        <f>IFERROR(__xludf.DUMMYFUNCTION("""COMPUTED_VALUE"""),7.605555555555555)</f>
        <v>7.605555556</v>
      </c>
      <c r="J858" s="200">
        <f>IFERROR(__xludf.DUMMYFUNCTION("""COMPUTED_VALUE"""),61.0)</f>
        <v>61</v>
      </c>
      <c r="K858" s="200">
        <f>IFERROR(__xludf.DUMMYFUNCTION("""COMPUTED_VALUE"""),1.0)</f>
        <v>1</v>
      </c>
      <c r="L858" s="265" t="str">
        <f>IFERROR(__xludf.DUMMYFUNCTION("""COMPUTED_VALUE"""),"Shooter")</f>
        <v>Shooter</v>
      </c>
    </row>
    <row r="859">
      <c r="A859" s="269" t="str">
        <f>IFERROR(__xludf.DUMMYFUNCTION("""COMPUTED_VALUE"""),"Defense Grid: The Awakening")</f>
        <v>Defense Grid: The Awakening</v>
      </c>
      <c r="B859" s="195" t="str">
        <f>IFERROR(__xludf.DUMMYFUNCTION("""COMPUTED_VALUE"""),"Xbox")</f>
        <v>Xbox</v>
      </c>
      <c r="C859" s="196"/>
      <c r="D859" s="196" t="str">
        <f>IFERROR(__xludf.DUMMYFUNCTION("""COMPUTED_VALUE"""),"Removed")</f>
        <v>Removed</v>
      </c>
      <c r="E859" s="271">
        <f>IFERROR(__xludf.DUMMYFUNCTION("""COMPUTED_VALUE"""),42887.0)</f>
        <v>42887</v>
      </c>
      <c r="F859" s="271">
        <f>IFERROR(__xludf.DUMMYFUNCTION("""COMPUTED_VALUE"""),43647.0)</f>
        <v>43647</v>
      </c>
      <c r="G859" s="199">
        <f>IFERROR(__xludf.DUMMYFUNCTION("""COMPUTED_VALUE"""),25.0)</f>
        <v>25</v>
      </c>
      <c r="H859" s="210">
        <f>IFERROR(__xludf.DUMMYFUNCTION("""COMPUTED_VALUE"""),39790.0)</f>
        <v>39790</v>
      </c>
      <c r="I859" s="199">
        <f>IFERROR(__xludf.DUMMYFUNCTION("""COMPUTED_VALUE"""),8.480555555555556)</f>
        <v>8.480555556</v>
      </c>
      <c r="J859" s="200">
        <f>IFERROR(__xludf.DUMMYFUNCTION("""COMPUTED_VALUE"""),82.0)</f>
        <v>82</v>
      </c>
      <c r="K859" s="200">
        <f>IFERROR(__xludf.DUMMYFUNCTION("""COMPUTED_VALUE"""),11.0)</f>
        <v>11</v>
      </c>
      <c r="L859" s="265" t="str">
        <f>IFERROR(__xludf.DUMMYFUNCTION("""COMPUTED_VALUE"""),"Strategy / Real-Time Strategy")</f>
        <v>Strategy / Real-Time Strategy</v>
      </c>
    </row>
    <row r="860">
      <c r="A860" s="269" t="str">
        <f>IFERROR(__xludf.DUMMYFUNCTION("""COMPUTED_VALUE"""),"Hexic 2")</f>
        <v>Hexic 2</v>
      </c>
      <c r="B860" s="195" t="str">
        <f>IFERROR(__xludf.DUMMYFUNCTION("""COMPUTED_VALUE"""),"Xbox")</f>
        <v>Xbox</v>
      </c>
      <c r="C860" s="196"/>
      <c r="D860" s="196" t="str">
        <f>IFERROR(__xludf.DUMMYFUNCTION("""COMPUTED_VALUE"""),"Removed")</f>
        <v>Removed</v>
      </c>
      <c r="E860" s="271">
        <f>IFERROR(__xludf.DUMMYFUNCTION("""COMPUTED_VALUE"""),42887.0)</f>
        <v>42887</v>
      </c>
      <c r="F860" s="271">
        <f>IFERROR(__xludf.DUMMYFUNCTION("""COMPUTED_VALUE"""),43647.0)</f>
        <v>43647</v>
      </c>
      <c r="G860" s="199">
        <f>IFERROR(__xludf.DUMMYFUNCTION("""COMPUTED_VALUE"""),25.0)</f>
        <v>25</v>
      </c>
      <c r="H860" s="210">
        <f>IFERROR(__xludf.DUMMYFUNCTION("""COMPUTED_VALUE"""),39309.0)</f>
        <v>39309</v>
      </c>
      <c r="I860" s="199">
        <f>IFERROR(__xludf.DUMMYFUNCTION("""COMPUTED_VALUE"""),9.794444444444444)</f>
        <v>9.794444444</v>
      </c>
      <c r="J860" s="200">
        <f>IFERROR(__xludf.DUMMYFUNCTION("""COMPUTED_VALUE"""),72.0)</f>
        <v>72</v>
      </c>
      <c r="K860" s="200">
        <f>IFERROR(__xludf.DUMMYFUNCTION("""COMPUTED_VALUE"""),8.0)</f>
        <v>8</v>
      </c>
      <c r="L860" s="265" t="str">
        <f>IFERROR(__xludf.DUMMYFUNCTION("""COMPUTED_VALUE"""),"Puzzle")</f>
        <v>Puzzle</v>
      </c>
    </row>
    <row r="861">
      <c r="A861" s="190" t="str">
        <f>IFERROR(__xludf.DUMMYFUNCTION("""COMPUTED_VALUE"""),"Ultimate Marvel vs. Capcom 3")</f>
        <v>Ultimate Marvel vs. Capcom 3</v>
      </c>
      <c r="B861" s="195" t="str">
        <f>IFERROR(__xludf.DUMMYFUNCTION("""COMPUTED_VALUE"""),"Xbox")</f>
        <v>Xbox</v>
      </c>
      <c r="C861" s="196"/>
      <c r="D861" s="196" t="str">
        <f>IFERROR(__xludf.DUMMYFUNCTION("""COMPUTED_VALUE"""),"Removed")</f>
        <v>Removed</v>
      </c>
      <c r="E861" s="271">
        <f>IFERROR(__xludf.DUMMYFUNCTION("""COMPUTED_VALUE"""),43466.0)</f>
        <v>43466</v>
      </c>
      <c r="F861" s="197">
        <f>IFERROR(__xludf.DUMMYFUNCTION("""COMPUTED_VALUE"""),43617.0)</f>
        <v>43617</v>
      </c>
      <c r="G861" s="199">
        <f>IFERROR(__xludf.DUMMYFUNCTION("""COMPUTED_VALUE"""),5.0)</f>
        <v>5</v>
      </c>
      <c r="H861" s="210">
        <f>IFERROR(__xludf.DUMMYFUNCTION("""COMPUTED_VALUE"""),40862.0)</f>
        <v>40862</v>
      </c>
      <c r="I861" s="199">
        <f>IFERROR(__xludf.DUMMYFUNCTION("""COMPUTED_VALUE"""),7.127777777777778)</f>
        <v>7.127777778</v>
      </c>
      <c r="J861" s="200">
        <f>IFERROR(__xludf.DUMMYFUNCTION("""COMPUTED_VALUE"""),78.0)</f>
        <v>78</v>
      </c>
      <c r="K861" s="200">
        <f>IFERROR(__xludf.DUMMYFUNCTION("""COMPUTED_VALUE"""),1.0)</f>
        <v>1</v>
      </c>
      <c r="L861" s="201" t="str">
        <f>IFERROR(__xludf.DUMMYFUNCTION("""COMPUTED_VALUE"""),"Fighting")</f>
        <v>Fighting</v>
      </c>
    </row>
    <row r="862">
      <c r="A862" s="190" t="str">
        <f>IFERROR(__xludf.DUMMYFUNCTION("""COMPUTED_VALUE"""),"Shadow Complex: Remastered")</f>
        <v>Shadow Complex: Remastered</v>
      </c>
      <c r="B862" s="195" t="str">
        <f>IFERROR(__xludf.DUMMYFUNCTION("""COMPUTED_VALUE"""),"Xbox")</f>
        <v>Xbox</v>
      </c>
      <c r="C862" s="196"/>
      <c r="D862" s="196" t="str">
        <f>IFERROR(__xludf.DUMMYFUNCTION("""COMPUTED_VALUE"""),"Removed")</f>
        <v>Removed</v>
      </c>
      <c r="E862" s="271">
        <f>IFERROR(__xludf.DUMMYFUNCTION("""COMPUTED_VALUE"""),43282.0)</f>
        <v>43282</v>
      </c>
      <c r="F862" s="197">
        <f>IFERROR(__xludf.DUMMYFUNCTION("""COMPUTED_VALUE"""),43617.0)</f>
        <v>43617</v>
      </c>
      <c r="G862" s="199">
        <f>IFERROR(__xludf.DUMMYFUNCTION("""COMPUTED_VALUE"""),11.0)</f>
        <v>11</v>
      </c>
      <c r="H862" s="210">
        <f>IFERROR(__xludf.DUMMYFUNCTION("""COMPUTED_VALUE"""),40044.0)</f>
        <v>40044</v>
      </c>
      <c r="I862" s="199">
        <f>IFERROR(__xludf.DUMMYFUNCTION("""COMPUTED_VALUE"""),8.866666666666667)</f>
        <v>8.866666667</v>
      </c>
      <c r="J862" s="200">
        <f>IFERROR(__xludf.DUMMYFUNCTION("""COMPUTED_VALUE"""),80.0)</f>
        <v>80</v>
      </c>
      <c r="K862" s="200">
        <f>IFERROR(__xludf.DUMMYFUNCTION("""COMPUTED_VALUE"""),4.5)</f>
        <v>4.5</v>
      </c>
      <c r="L862" s="201" t="str">
        <f>IFERROR(__xludf.DUMMYFUNCTION("""COMPUTED_VALUE"""),"Shooter / Action-Adventure")</f>
        <v>Shooter / Action-Adventure</v>
      </c>
    </row>
    <row r="863">
      <c r="A863" s="190" t="str">
        <f>IFERROR(__xludf.DUMMYFUNCTION("""COMPUTED_VALUE"""),"Zombie Army Trilogy")</f>
        <v>Zombie Army Trilogy</v>
      </c>
      <c r="B863" s="195" t="str">
        <f>IFERROR(__xludf.DUMMYFUNCTION("""COMPUTED_VALUE"""),"Xbox")</f>
        <v>Xbox</v>
      </c>
      <c r="C863" s="196"/>
      <c r="D863" s="196" t="str">
        <f>IFERROR(__xludf.DUMMYFUNCTION("""COMPUTED_VALUE"""),"Removed")</f>
        <v>Removed</v>
      </c>
      <c r="E863" s="271">
        <f>IFERROR(__xludf.DUMMYFUNCTION("""COMPUTED_VALUE"""),43282.0)</f>
        <v>43282</v>
      </c>
      <c r="F863" s="197">
        <f>IFERROR(__xludf.DUMMYFUNCTION("""COMPUTED_VALUE"""),43617.0)</f>
        <v>43617</v>
      </c>
      <c r="G863" s="199">
        <f>IFERROR(__xludf.DUMMYFUNCTION("""COMPUTED_VALUE"""),11.0)</f>
        <v>11</v>
      </c>
      <c r="H863" s="210">
        <f>IFERROR(__xludf.DUMMYFUNCTION("""COMPUTED_VALUE"""),42069.0)</f>
        <v>42069</v>
      </c>
      <c r="I863" s="199">
        <f>IFERROR(__xludf.DUMMYFUNCTION("""COMPUTED_VALUE"""),3.3194444444444446)</f>
        <v>3.319444444</v>
      </c>
      <c r="J863" s="200">
        <f>IFERROR(__xludf.DUMMYFUNCTION("""COMPUTED_VALUE"""),62.0)</f>
        <v>62</v>
      </c>
      <c r="K863" s="200">
        <f>IFERROR(__xludf.DUMMYFUNCTION("""COMPUTED_VALUE"""),14.5)</f>
        <v>14.5</v>
      </c>
      <c r="L863" s="201" t="str">
        <f>IFERROR(__xludf.DUMMYFUNCTION("""COMPUTED_VALUE"""),"Shooter / Compilation")</f>
        <v>Shooter / Compilation</v>
      </c>
    </row>
    <row r="864">
      <c r="A864" s="203" t="str">
        <f>IFERROR(__xludf.DUMMYFUNCTION("""COMPUTED_VALUE"""),"Next Up Hero")</f>
        <v>Next Up Hero</v>
      </c>
      <c r="B864" s="204" t="str">
        <f>IFERROR(__xludf.DUMMYFUNCTION("""COMPUTED_VALUE"""),"Xbox")</f>
        <v>Xbox</v>
      </c>
      <c r="C864" s="205"/>
      <c r="D864" s="205" t="str">
        <f>IFERROR(__xludf.DUMMYFUNCTION("""COMPUTED_VALUE"""),"Removed")</f>
        <v>Removed</v>
      </c>
      <c r="E864" s="276">
        <f>IFERROR(__xludf.DUMMYFUNCTION("""COMPUTED_VALUE"""),43252.0)</f>
        <v>43252</v>
      </c>
      <c r="F864" s="166">
        <f>IFERROR(__xludf.DUMMYFUNCTION("""COMPUTED_VALUE"""),43617.0)</f>
        <v>43617</v>
      </c>
      <c r="G864" s="167">
        <f>IFERROR(__xludf.DUMMYFUNCTION("""COMPUTED_VALUE"""),12.0)</f>
        <v>12</v>
      </c>
      <c r="H864" s="213">
        <f>IFERROR(__xludf.DUMMYFUNCTION("""COMPUTED_VALUE"""),42923.0)</f>
        <v>42923</v>
      </c>
      <c r="I864" s="167">
        <f>IFERROR(__xludf.DUMMYFUNCTION("""COMPUTED_VALUE"""),0.9)</f>
        <v>0.9</v>
      </c>
      <c r="J864" s="168">
        <f>IFERROR(__xludf.DUMMYFUNCTION("""COMPUTED_VALUE"""),61.0)</f>
        <v>61</v>
      </c>
      <c r="K864" s="168">
        <f>IFERROR(__xludf.DUMMYFUNCTION("""COMPUTED_VALUE"""),15.0)</f>
        <v>15</v>
      </c>
      <c r="L864" s="207" t="str">
        <f>IFERROR(__xludf.DUMMYFUNCTION("""COMPUTED_VALUE"""),"Action-Adventure")</f>
        <v>Action-Adventure</v>
      </c>
    </row>
    <row r="865">
      <c r="A865" s="203" t="str">
        <f>IFERROR(__xludf.DUMMYFUNCTION("""COMPUTED_VALUE"""),"Devil May Cry 4: Special Edition")</f>
        <v>Devil May Cry 4: Special Edition</v>
      </c>
      <c r="B865" s="204" t="str">
        <f>IFERROR(__xludf.DUMMYFUNCTION("""COMPUTED_VALUE"""),"Xbox")</f>
        <v>Xbox</v>
      </c>
      <c r="C865" s="205"/>
      <c r="D865" s="205" t="str">
        <f>IFERROR(__xludf.DUMMYFUNCTION("""COMPUTED_VALUE"""),"Removed")</f>
        <v>Removed</v>
      </c>
      <c r="E865" s="276">
        <f>IFERROR(__xludf.DUMMYFUNCTION("""COMPUTED_VALUE"""),43101.0)</f>
        <v>43101</v>
      </c>
      <c r="F865" s="166">
        <f>IFERROR(__xludf.DUMMYFUNCTION("""COMPUTED_VALUE"""),43617.0)</f>
        <v>43617</v>
      </c>
      <c r="G865" s="167">
        <f>IFERROR(__xludf.DUMMYFUNCTION("""COMPUTED_VALUE"""),17.0)</f>
        <v>17</v>
      </c>
      <c r="H865" s="213">
        <f>IFERROR(__xludf.DUMMYFUNCTION("""COMPUTED_VALUE"""),42173.0)</f>
        <v>42173</v>
      </c>
      <c r="I865" s="167">
        <f>IFERROR(__xludf.DUMMYFUNCTION("""COMPUTED_VALUE"""),2.536111111111111)</f>
        <v>2.536111111</v>
      </c>
      <c r="J865" s="168">
        <f>IFERROR(__xludf.DUMMYFUNCTION("""COMPUTED_VALUE"""),76.0)</f>
        <v>76</v>
      </c>
      <c r="K865" s="168">
        <f>IFERROR(__xludf.DUMMYFUNCTION("""COMPUTED_VALUE"""),10.0)</f>
        <v>10</v>
      </c>
      <c r="L865" s="207" t="str">
        <f>IFERROR(__xludf.DUMMYFUNCTION("""COMPUTED_VALUE"""),"Action")</f>
        <v>Action</v>
      </c>
    </row>
    <row r="866">
      <c r="A866" s="203" t="str">
        <f>IFERROR(__xludf.DUMMYFUNCTION("""COMPUTED_VALUE"""),"LEGO Star Wars: The Complete Saga")</f>
        <v>LEGO Star Wars: The Complete Saga</v>
      </c>
      <c r="B866" s="204" t="str">
        <f>IFERROR(__xludf.DUMMYFUNCTION("""COMPUTED_VALUE"""),"Xbox")</f>
        <v>Xbox</v>
      </c>
      <c r="C866" s="205"/>
      <c r="D866" s="205" t="str">
        <f>IFERROR(__xludf.DUMMYFUNCTION("""COMPUTED_VALUE"""),"Removed")</f>
        <v>Removed</v>
      </c>
      <c r="E866" s="276">
        <f>IFERROR(__xludf.DUMMYFUNCTION("""COMPUTED_VALUE"""),43253.0)</f>
        <v>43253</v>
      </c>
      <c r="F866" s="166">
        <f>IFERROR(__xludf.DUMMYFUNCTION("""COMPUTED_VALUE"""),43586.0)</f>
        <v>43586</v>
      </c>
      <c r="G866" s="167">
        <f>IFERROR(__xludf.DUMMYFUNCTION("""COMPUTED_VALUE"""),10.966666666666667)</f>
        <v>10.96666667</v>
      </c>
      <c r="H866" s="213">
        <f>IFERROR(__xludf.DUMMYFUNCTION("""COMPUTED_VALUE"""),39392.0)</f>
        <v>39392</v>
      </c>
      <c r="I866" s="167">
        <f>IFERROR(__xludf.DUMMYFUNCTION("""COMPUTED_VALUE"""),10.572222222222223)</f>
        <v>10.57222222</v>
      </c>
      <c r="J866" s="168">
        <f>IFERROR(__xludf.DUMMYFUNCTION("""COMPUTED_VALUE"""),80.0)</f>
        <v>80</v>
      </c>
      <c r="K866" s="168">
        <f>IFERROR(__xludf.DUMMYFUNCTION("""COMPUTED_VALUE"""),14.0)</f>
        <v>14</v>
      </c>
      <c r="L866" s="207" t="str">
        <f>IFERROR(__xludf.DUMMYFUNCTION("""COMPUTED_VALUE"""),"Action / Action-Adventure")</f>
        <v>Action / Action-Adventure</v>
      </c>
    </row>
    <row r="867">
      <c r="A867" s="203" t="str">
        <f>IFERROR(__xludf.DUMMYFUNCTION("""COMPUTED_VALUE"""),"STAR WARS: Knights of the Old Republic")</f>
        <v>STAR WARS: Knights of the Old Republic</v>
      </c>
      <c r="B867" s="204" t="str">
        <f>IFERROR(__xludf.DUMMYFUNCTION("""COMPUTED_VALUE"""),"Xbox")</f>
        <v>Xbox</v>
      </c>
      <c r="C867" s="205"/>
      <c r="D867" s="205" t="str">
        <f>IFERROR(__xludf.DUMMYFUNCTION("""COMPUTED_VALUE"""),"Removed")</f>
        <v>Removed</v>
      </c>
      <c r="E867" s="276">
        <f>IFERROR(__xludf.DUMMYFUNCTION("""COMPUTED_VALUE"""),43253.0)</f>
        <v>43253</v>
      </c>
      <c r="F867" s="166">
        <f>IFERROR(__xludf.DUMMYFUNCTION("""COMPUTED_VALUE"""),43586.0)</f>
        <v>43586</v>
      </c>
      <c r="G867" s="167">
        <f>IFERROR(__xludf.DUMMYFUNCTION("""COMPUTED_VALUE"""),10.966666666666667)</f>
        <v>10.96666667</v>
      </c>
      <c r="H867" s="213">
        <f>IFERROR(__xludf.DUMMYFUNCTION("""COMPUTED_VALUE"""),37817.0)</f>
        <v>37817</v>
      </c>
      <c r="I867" s="167">
        <f>IFERROR(__xludf.DUMMYFUNCTION("""COMPUTED_VALUE"""),14.880555555555556)</f>
        <v>14.88055556</v>
      </c>
      <c r="J867" s="168">
        <f>IFERROR(__xludf.DUMMYFUNCTION("""COMPUTED_VALUE"""),94.0)</f>
        <v>94</v>
      </c>
      <c r="K867" s="168">
        <f>IFERROR(__xludf.DUMMYFUNCTION("""COMPUTED_VALUE"""),29.0)</f>
        <v>29</v>
      </c>
      <c r="L867" s="207" t="str">
        <f>IFERROR(__xludf.DUMMYFUNCTION("""COMPUTED_VALUE"""),"RPG")</f>
        <v>RPG</v>
      </c>
    </row>
    <row r="868">
      <c r="A868" s="203" t="str">
        <f>IFERROR(__xludf.DUMMYFUNCTION("""COMPUTED_VALUE"""),"MotoGP 17")</f>
        <v>MotoGP 17</v>
      </c>
      <c r="B868" s="204" t="str">
        <f>IFERROR(__xludf.DUMMYFUNCTION("""COMPUTED_VALUE"""),"Xbox")</f>
        <v>Xbox</v>
      </c>
      <c r="C868" s="205"/>
      <c r="D868" s="205" t="str">
        <f>IFERROR(__xludf.DUMMYFUNCTION("""COMPUTED_VALUE"""),"Removed")</f>
        <v>Removed</v>
      </c>
      <c r="E868" s="276">
        <f>IFERROR(__xludf.DUMMYFUNCTION("""COMPUTED_VALUE"""),43252.0)</f>
        <v>43252</v>
      </c>
      <c r="F868" s="166">
        <f>IFERROR(__xludf.DUMMYFUNCTION("""COMPUTED_VALUE"""),43586.0)</f>
        <v>43586</v>
      </c>
      <c r="G868" s="167">
        <f>IFERROR(__xludf.DUMMYFUNCTION("""COMPUTED_VALUE"""),11.0)</f>
        <v>11</v>
      </c>
      <c r="H868" s="213">
        <f>IFERROR(__xludf.DUMMYFUNCTION("""COMPUTED_VALUE"""),42927.0)</f>
        <v>42927</v>
      </c>
      <c r="I868" s="167">
        <f>IFERROR(__xludf.DUMMYFUNCTION("""COMPUTED_VALUE"""),0.8888888888888888)</f>
        <v>0.8888888889</v>
      </c>
      <c r="J868" s="168">
        <f>IFERROR(__xludf.DUMMYFUNCTION("""COMPUTED_VALUE"""),73.0)</f>
        <v>73</v>
      </c>
      <c r="K868" s="168">
        <f>IFERROR(__xludf.DUMMYFUNCTION("""COMPUTED_VALUE"""),50.5)</f>
        <v>50.5</v>
      </c>
      <c r="L868" s="207" t="str">
        <f>IFERROR(__xludf.DUMMYFUNCTION("""COMPUTED_VALUE"""),"Driving/Racing")</f>
        <v>Driving/Racing</v>
      </c>
    </row>
    <row r="869">
      <c r="A869" s="203" t="str">
        <f>IFERROR(__xludf.DUMMYFUNCTION("""COMPUTED_VALUE"""),"Star Wars: The Force Unleashed")</f>
        <v>Star Wars: The Force Unleashed</v>
      </c>
      <c r="B869" s="204" t="str">
        <f>IFERROR(__xludf.DUMMYFUNCTION("""COMPUTED_VALUE"""),"Xbox")</f>
        <v>Xbox</v>
      </c>
      <c r="C869" s="205"/>
      <c r="D869" s="205" t="str">
        <f>IFERROR(__xludf.DUMMYFUNCTION("""COMPUTED_VALUE"""),"Removed")</f>
        <v>Removed</v>
      </c>
      <c r="E869" s="276">
        <f>IFERROR(__xludf.DUMMYFUNCTION("""COMPUTED_VALUE"""),43252.0)</f>
        <v>43252</v>
      </c>
      <c r="F869" s="166">
        <f>IFERROR(__xludf.DUMMYFUNCTION("""COMPUTED_VALUE"""),43586.0)</f>
        <v>43586</v>
      </c>
      <c r="G869" s="167">
        <f>IFERROR(__xludf.DUMMYFUNCTION("""COMPUTED_VALUE"""),11.0)</f>
        <v>11</v>
      </c>
      <c r="H869" s="213">
        <f>IFERROR(__xludf.DUMMYFUNCTION("""COMPUTED_VALUE"""),39707.0)</f>
        <v>39707</v>
      </c>
      <c r="I869" s="167">
        <f>IFERROR(__xludf.DUMMYFUNCTION("""COMPUTED_VALUE"""),9.708333333333334)</f>
        <v>9.708333333</v>
      </c>
      <c r="J869" s="168">
        <f>IFERROR(__xludf.DUMMYFUNCTION("""COMPUTED_VALUE"""),73.0)</f>
        <v>73</v>
      </c>
      <c r="K869" s="168">
        <f>IFERROR(__xludf.DUMMYFUNCTION("""COMPUTED_VALUE"""),8.0)</f>
        <v>8</v>
      </c>
      <c r="L869" s="207" t="str">
        <f>IFERROR(__xludf.DUMMYFUNCTION("""COMPUTED_VALUE"""),"Action-Adventure")</f>
        <v>Action-Adventure</v>
      </c>
    </row>
    <row r="870">
      <c r="A870" s="203" t="str">
        <f>IFERROR(__xludf.DUMMYFUNCTION("""COMPUTED_VALUE"""),"Star Wars: The Force Unleashed II")</f>
        <v>Star Wars: The Force Unleashed II</v>
      </c>
      <c r="B870" s="204" t="str">
        <f>IFERROR(__xludf.DUMMYFUNCTION("""COMPUTED_VALUE"""),"Xbox")</f>
        <v>Xbox</v>
      </c>
      <c r="C870" s="205"/>
      <c r="D870" s="205" t="str">
        <f>IFERROR(__xludf.DUMMYFUNCTION("""COMPUTED_VALUE"""),"Removed")</f>
        <v>Removed</v>
      </c>
      <c r="E870" s="276">
        <f>IFERROR(__xludf.DUMMYFUNCTION("""COMPUTED_VALUE"""),43252.0)</f>
        <v>43252</v>
      </c>
      <c r="F870" s="166">
        <f>IFERROR(__xludf.DUMMYFUNCTION("""COMPUTED_VALUE"""),43586.0)</f>
        <v>43586</v>
      </c>
      <c r="G870" s="167">
        <f>IFERROR(__xludf.DUMMYFUNCTION("""COMPUTED_VALUE"""),11.0)</f>
        <v>11</v>
      </c>
      <c r="H870" s="213">
        <f>IFERROR(__xludf.DUMMYFUNCTION("""COMPUTED_VALUE"""),40477.0)</f>
        <v>40477</v>
      </c>
      <c r="I870" s="167">
        <f>IFERROR(__xludf.DUMMYFUNCTION("""COMPUTED_VALUE"""),7.597222222222222)</f>
        <v>7.597222222</v>
      </c>
      <c r="J870" s="168">
        <f>IFERROR(__xludf.DUMMYFUNCTION("""COMPUTED_VALUE"""),61.0)</f>
        <v>61</v>
      </c>
      <c r="K870" s="168">
        <f>IFERROR(__xludf.DUMMYFUNCTION("""COMPUTED_VALUE"""),5.5)</f>
        <v>5.5</v>
      </c>
      <c r="L870" s="207" t="str">
        <f>IFERROR(__xludf.DUMMYFUNCTION("""COMPUTED_VALUE"""),"Action-Adventure")</f>
        <v>Action-Adventure</v>
      </c>
    </row>
    <row r="871">
      <c r="A871" s="203" t="str">
        <f>IFERROR(__xludf.DUMMYFUNCTION("""COMPUTED_VALUE"""),"Laser League")</f>
        <v>Laser League</v>
      </c>
      <c r="B871" s="204" t="str">
        <f>IFERROR(__xludf.DUMMYFUNCTION("""COMPUTED_VALUE"""),"Xbox")</f>
        <v>Xbox</v>
      </c>
      <c r="C871" s="205"/>
      <c r="D871" s="205" t="str">
        <f>IFERROR(__xludf.DUMMYFUNCTION("""COMPUTED_VALUE"""),"Removed")</f>
        <v>Removed</v>
      </c>
      <c r="E871" s="276">
        <f>IFERROR(__xludf.DUMMYFUNCTION("""COMPUTED_VALUE"""),43230.0)</f>
        <v>43230</v>
      </c>
      <c r="F871" s="166">
        <f>IFERROR(__xludf.DUMMYFUNCTION("""COMPUTED_VALUE"""),43586.0)</f>
        <v>43586</v>
      </c>
      <c r="G871" s="167">
        <f>IFERROR(__xludf.DUMMYFUNCTION("""COMPUTED_VALUE"""),11.7)</f>
        <v>11.7</v>
      </c>
      <c r="H871" s="213">
        <f>IFERROR(__xludf.DUMMYFUNCTION("""COMPUTED_VALUE"""),43230.0)</f>
        <v>43230</v>
      </c>
      <c r="I871" s="167">
        <f>IFERROR(__xludf.DUMMYFUNCTION("""COMPUTED_VALUE"""),0.0)</f>
        <v>0</v>
      </c>
      <c r="J871" s="168">
        <f>IFERROR(__xludf.DUMMYFUNCTION("""COMPUTED_VALUE"""),81.0)</f>
        <v>81</v>
      </c>
      <c r="K871" s="168">
        <f>IFERROR(__xludf.DUMMYFUNCTION("""COMPUTED_VALUE"""),3.0)</f>
        <v>3</v>
      </c>
      <c r="L871" s="207" t="str">
        <f>IFERROR(__xludf.DUMMYFUNCTION("""COMPUTED_VALUE"""),"Sports")</f>
        <v>Sports</v>
      </c>
    </row>
    <row r="872">
      <c r="A872" s="203" t="str">
        <f>IFERROR(__xludf.DUMMYFUNCTION("""COMPUTED_VALUE"""),"Comic Jumper")</f>
        <v>Comic Jumper</v>
      </c>
      <c r="B872" s="204" t="str">
        <f>IFERROR(__xludf.DUMMYFUNCTION("""COMPUTED_VALUE"""),"Xbox")</f>
        <v>Xbox</v>
      </c>
      <c r="C872" s="205"/>
      <c r="D872" s="205" t="str">
        <f>IFERROR(__xludf.DUMMYFUNCTION("""COMPUTED_VALUE"""),"Removed")</f>
        <v>Removed</v>
      </c>
      <c r="E872" s="276">
        <f>IFERROR(__xludf.DUMMYFUNCTION("""COMPUTED_VALUE"""),42887.0)</f>
        <v>42887</v>
      </c>
      <c r="F872" s="166">
        <f>IFERROR(__xludf.DUMMYFUNCTION("""COMPUTED_VALUE"""),43586.0)</f>
        <v>43586</v>
      </c>
      <c r="G872" s="167">
        <f>IFERROR(__xludf.DUMMYFUNCTION("""COMPUTED_VALUE"""),23.0)</f>
        <v>23</v>
      </c>
      <c r="H872" s="213">
        <f>IFERROR(__xludf.DUMMYFUNCTION("""COMPUTED_VALUE"""),40457.0)</f>
        <v>40457</v>
      </c>
      <c r="I872" s="167">
        <f>IFERROR(__xludf.DUMMYFUNCTION("""COMPUTED_VALUE"""),6.652777777777778)</f>
        <v>6.652777778</v>
      </c>
      <c r="J872" s="168">
        <f>IFERROR(__xludf.DUMMYFUNCTION("""COMPUTED_VALUE"""),74.0)</f>
        <v>74</v>
      </c>
      <c r="K872" s="168">
        <f>IFERROR(__xludf.DUMMYFUNCTION("""COMPUTED_VALUE"""),5.5)</f>
        <v>5.5</v>
      </c>
      <c r="L872" s="207" t="str">
        <f>IFERROR(__xludf.DUMMYFUNCTION("""COMPUTED_VALUE"""),"Dual-Joystick Shooter / Platformer")</f>
        <v>Dual-Joystick Shooter / Platformer</v>
      </c>
    </row>
    <row r="873">
      <c r="A873" s="203" t="str">
        <f>IFERROR(__xludf.DUMMYFUNCTION("""COMPUTED_VALUE"""),"D4: Dark Dreams Don't Die")</f>
        <v>D4: Dark Dreams Don't Die</v>
      </c>
      <c r="B873" s="204" t="str">
        <f>IFERROR(__xludf.DUMMYFUNCTION("""COMPUTED_VALUE"""),"Xbox")</f>
        <v>Xbox</v>
      </c>
      <c r="C873" s="205"/>
      <c r="D873" s="205" t="str">
        <f>IFERROR(__xludf.DUMMYFUNCTION("""COMPUTED_VALUE"""),"Removed")</f>
        <v>Removed</v>
      </c>
      <c r="E873" s="276">
        <f>IFERROR(__xludf.DUMMYFUNCTION("""COMPUTED_VALUE"""),42887.0)</f>
        <v>42887</v>
      </c>
      <c r="F873" s="166">
        <f>IFERROR(__xludf.DUMMYFUNCTION("""COMPUTED_VALUE"""),43586.0)</f>
        <v>43586</v>
      </c>
      <c r="G873" s="167">
        <f>IFERROR(__xludf.DUMMYFUNCTION("""COMPUTED_VALUE"""),23.0)</f>
        <v>23</v>
      </c>
      <c r="H873" s="213">
        <f>IFERROR(__xludf.DUMMYFUNCTION("""COMPUTED_VALUE"""),41901.0)</f>
        <v>41901</v>
      </c>
      <c r="I873" s="167">
        <f>IFERROR(__xludf.DUMMYFUNCTION("""COMPUTED_VALUE"""),2.7)</f>
        <v>2.7</v>
      </c>
      <c r="J873" s="168">
        <f>IFERROR(__xludf.DUMMYFUNCTION("""COMPUTED_VALUE"""),76.0)</f>
        <v>76</v>
      </c>
      <c r="K873" s="168">
        <f>IFERROR(__xludf.DUMMYFUNCTION("""COMPUTED_VALUE"""),4.5)</f>
        <v>4.5</v>
      </c>
      <c r="L873" s="207" t="str">
        <f>IFERROR(__xludf.DUMMYFUNCTION("""COMPUTED_VALUE"""),"Adventure")</f>
        <v>Adventure</v>
      </c>
    </row>
    <row r="874">
      <c r="A874" s="203" t="str">
        <f>IFERROR(__xludf.DUMMYFUNCTION("""COMPUTED_VALUE"""),"DmC: Devil May Cry - Definitive Edition")</f>
        <v>DmC: Devil May Cry - Definitive Edition</v>
      </c>
      <c r="B874" s="204" t="str">
        <f>IFERROR(__xludf.DUMMYFUNCTION("""COMPUTED_VALUE"""),"Xbox")</f>
        <v>Xbox</v>
      </c>
      <c r="C874" s="205"/>
      <c r="D874" s="205" t="str">
        <f>IFERROR(__xludf.DUMMYFUNCTION("""COMPUTED_VALUE"""),"Removed")</f>
        <v>Removed</v>
      </c>
      <c r="E874" s="276">
        <f>IFERROR(__xludf.DUMMYFUNCTION("""COMPUTED_VALUE"""),42887.0)</f>
        <v>42887</v>
      </c>
      <c r="F874" s="166">
        <f>IFERROR(__xludf.DUMMYFUNCTION("""COMPUTED_VALUE"""),43586.0)</f>
        <v>43586</v>
      </c>
      <c r="G874" s="167">
        <f>IFERROR(__xludf.DUMMYFUNCTION("""COMPUTED_VALUE"""),23.0)</f>
        <v>23</v>
      </c>
      <c r="H874" s="213">
        <f>IFERROR(__xludf.DUMMYFUNCTION("""COMPUTED_VALUE"""),41289.0)</f>
        <v>41289</v>
      </c>
      <c r="I874" s="167">
        <f>IFERROR(__xludf.DUMMYFUNCTION("""COMPUTED_VALUE"""),4.377777777777778)</f>
        <v>4.377777778</v>
      </c>
      <c r="J874" s="168">
        <f>IFERROR(__xludf.DUMMYFUNCTION("""COMPUTED_VALUE"""),86.0)</f>
        <v>86</v>
      </c>
      <c r="K874" s="168">
        <f>IFERROR(__xludf.DUMMYFUNCTION("""COMPUTED_VALUE"""),9.0)</f>
        <v>9</v>
      </c>
      <c r="L874" s="207" t="str">
        <f>IFERROR(__xludf.DUMMYFUNCTION("""COMPUTED_VALUE"""),"Action-Adventure")</f>
        <v>Action-Adventure</v>
      </c>
    </row>
    <row r="875">
      <c r="A875" s="203" t="str">
        <f>IFERROR(__xludf.DUMMYFUNCTION("""COMPUTED_VALUE"""),"JumpJet Rex")</f>
        <v>JumpJet Rex</v>
      </c>
      <c r="B875" s="204" t="str">
        <f>IFERROR(__xludf.DUMMYFUNCTION("""COMPUTED_VALUE"""),"Xbox")</f>
        <v>Xbox</v>
      </c>
      <c r="C875" s="205"/>
      <c r="D875" s="205" t="str">
        <f>IFERROR(__xludf.DUMMYFUNCTION("""COMPUTED_VALUE"""),"Removed")</f>
        <v>Removed</v>
      </c>
      <c r="E875" s="276">
        <f>IFERROR(__xludf.DUMMYFUNCTION("""COMPUTED_VALUE"""),42887.0)</f>
        <v>42887</v>
      </c>
      <c r="F875" s="166">
        <f>IFERROR(__xludf.DUMMYFUNCTION("""COMPUTED_VALUE"""),43586.0)</f>
        <v>43586</v>
      </c>
      <c r="G875" s="167">
        <f>IFERROR(__xludf.DUMMYFUNCTION("""COMPUTED_VALUE"""),23.0)</f>
        <v>23</v>
      </c>
      <c r="H875" s="213">
        <f>IFERROR(__xludf.DUMMYFUNCTION("""COMPUTED_VALUE"""),42489.0)</f>
        <v>42489</v>
      </c>
      <c r="I875" s="167">
        <f>IFERROR(__xludf.DUMMYFUNCTION("""COMPUTED_VALUE"""),1.0888888888888888)</f>
        <v>1.088888889</v>
      </c>
      <c r="J875" s="168">
        <f>IFERROR(__xludf.DUMMYFUNCTION("""COMPUTED_VALUE"""),76.0)</f>
        <v>76</v>
      </c>
      <c r="K875" s="168">
        <f>IFERROR(__xludf.DUMMYFUNCTION("""COMPUTED_VALUE"""),3.0)</f>
        <v>3</v>
      </c>
      <c r="L875" s="207" t="str">
        <f>IFERROR(__xludf.DUMMYFUNCTION("""COMPUTED_VALUE"""),"Driving/Racing / Platformer")</f>
        <v>Driving/Racing / Platformer</v>
      </c>
    </row>
    <row r="876">
      <c r="A876" s="203" t="str">
        <f>IFERROR(__xludf.DUMMYFUNCTION("""COMPUTED_VALUE"""),"Knight Squad")</f>
        <v>Knight Squad</v>
      </c>
      <c r="B876" s="204" t="str">
        <f>IFERROR(__xludf.DUMMYFUNCTION("""COMPUTED_VALUE"""),"Xbox")</f>
        <v>Xbox</v>
      </c>
      <c r="C876" s="205"/>
      <c r="D876" s="205" t="str">
        <f>IFERROR(__xludf.DUMMYFUNCTION("""COMPUTED_VALUE"""),"Removed")</f>
        <v>Removed</v>
      </c>
      <c r="E876" s="276">
        <f>IFERROR(__xludf.DUMMYFUNCTION("""COMPUTED_VALUE"""),42887.0)</f>
        <v>42887</v>
      </c>
      <c r="F876" s="166">
        <f>IFERROR(__xludf.DUMMYFUNCTION("""COMPUTED_VALUE"""),43586.0)</f>
        <v>43586</v>
      </c>
      <c r="G876" s="167">
        <f>IFERROR(__xludf.DUMMYFUNCTION("""COMPUTED_VALUE"""),23.0)</f>
        <v>23</v>
      </c>
      <c r="H876" s="213">
        <f>IFERROR(__xludf.DUMMYFUNCTION("""COMPUTED_VALUE"""),42324.0)</f>
        <v>42324</v>
      </c>
      <c r="I876" s="167">
        <f>IFERROR(__xludf.DUMMYFUNCTION("""COMPUTED_VALUE"""),1.5416666666666667)</f>
        <v>1.541666667</v>
      </c>
      <c r="J876" s="168">
        <f>IFERROR(__xludf.DUMMYFUNCTION("""COMPUTED_VALUE"""),71.0)</f>
        <v>71</v>
      </c>
      <c r="K876" s="168">
        <f>IFERROR(__xludf.DUMMYFUNCTION("""COMPUTED_VALUE"""),1.0)</f>
        <v>1</v>
      </c>
      <c r="L876" s="207" t="str">
        <f>IFERROR(__xludf.DUMMYFUNCTION("""COMPUTED_VALUE"""),"Action")</f>
        <v>Action</v>
      </c>
    </row>
    <row r="877">
      <c r="A877" s="203" t="str">
        <f>IFERROR(__xludf.DUMMYFUNCTION("""COMPUTED_VALUE"""),"Layers of Fear")</f>
        <v>Layers of Fear</v>
      </c>
      <c r="B877" s="204" t="str">
        <f>IFERROR(__xludf.DUMMYFUNCTION("""COMPUTED_VALUE"""),"Xbox")</f>
        <v>Xbox</v>
      </c>
      <c r="C877" s="205"/>
      <c r="D877" s="205" t="str">
        <f>IFERROR(__xludf.DUMMYFUNCTION("""COMPUTED_VALUE"""),"Removed")</f>
        <v>Removed</v>
      </c>
      <c r="E877" s="276">
        <f>IFERROR(__xludf.DUMMYFUNCTION("""COMPUTED_VALUE"""),42887.0)</f>
        <v>42887</v>
      </c>
      <c r="F877" s="166">
        <f>IFERROR(__xludf.DUMMYFUNCTION("""COMPUTED_VALUE"""),43586.0)</f>
        <v>43586</v>
      </c>
      <c r="G877" s="167">
        <f>IFERROR(__xludf.DUMMYFUNCTION("""COMPUTED_VALUE"""),23.0)</f>
        <v>23</v>
      </c>
      <c r="H877" s="213">
        <f>IFERROR(__xludf.DUMMYFUNCTION("""COMPUTED_VALUE"""),42415.0)</f>
        <v>42415</v>
      </c>
      <c r="I877" s="167">
        <f>IFERROR(__xludf.DUMMYFUNCTION("""COMPUTED_VALUE"""),1.2944444444444445)</f>
        <v>1.294444444</v>
      </c>
      <c r="J877" s="168">
        <f>IFERROR(__xludf.DUMMYFUNCTION("""COMPUTED_VALUE"""),78.0)</f>
        <v>78</v>
      </c>
      <c r="K877" s="168">
        <f>IFERROR(__xludf.DUMMYFUNCTION("""COMPUTED_VALUE"""),3.5)</f>
        <v>3.5</v>
      </c>
      <c r="L877" s="207" t="str">
        <f>IFERROR(__xludf.DUMMYFUNCTION("""COMPUTED_VALUE"""),"Adventure")</f>
        <v>Adventure</v>
      </c>
    </row>
    <row r="878">
      <c r="A878" s="203" t="str">
        <f>IFERROR(__xludf.DUMMYFUNCTION("""COMPUTED_VALUE"""),"Mega Man Legacy Collection")</f>
        <v>Mega Man Legacy Collection</v>
      </c>
      <c r="B878" s="204" t="str">
        <f>IFERROR(__xludf.DUMMYFUNCTION("""COMPUTED_VALUE"""),"Xbox")</f>
        <v>Xbox</v>
      </c>
      <c r="C878" s="205"/>
      <c r="D878" s="205" t="str">
        <f>IFERROR(__xludf.DUMMYFUNCTION("""COMPUTED_VALUE"""),"Removed")</f>
        <v>Removed</v>
      </c>
      <c r="E878" s="276">
        <f>IFERROR(__xludf.DUMMYFUNCTION("""COMPUTED_VALUE"""),42887.0)</f>
        <v>42887</v>
      </c>
      <c r="F878" s="166">
        <f>IFERROR(__xludf.DUMMYFUNCTION("""COMPUTED_VALUE"""),43586.0)</f>
        <v>43586</v>
      </c>
      <c r="G878" s="167">
        <f>IFERROR(__xludf.DUMMYFUNCTION("""COMPUTED_VALUE"""),23.0)</f>
        <v>23</v>
      </c>
      <c r="H878" s="213">
        <f>IFERROR(__xludf.DUMMYFUNCTION("""COMPUTED_VALUE"""),42241.0)</f>
        <v>42241</v>
      </c>
      <c r="I878" s="167">
        <f>IFERROR(__xludf.DUMMYFUNCTION("""COMPUTED_VALUE"""),1.7666666666666666)</f>
        <v>1.766666667</v>
      </c>
      <c r="J878" s="168">
        <f>IFERROR(__xludf.DUMMYFUNCTION("""COMPUTED_VALUE"""),80.0)</f>
        <v>80</v>
      </c>
      <c r="K878" s="168">
        <f>IFERROR(__xludf.DUMMYFUNCTION("""COMPUTED_VALUE"""),20.0)</f>
        <v>20</v>
      </c>
      <c r="L878" s="207" t="str">
        <f>IFERROR(__xludf.DUMMYFUNCTION("""COMPUTED_VALUE"""),"Action / Compilation / Platformer")</f>
        <v>Action / Compilation / Platformer</v>
      </c>
    </row>
    <row r="879">
      <c r="A879" s="203" t="str">
        <f>IFERROR(__xludf.DUMMYFUNCTION("""COMPUTED_VALUE"""),"Ms. Splosion Man")</f>
        <v>Ms. Splosion Man</v>
      </c>
      <c r="B879" s="204" t="str">
        <f>IFERROR(__xludf.DUMMYFUNCTION("""COMPUTED_VALUE"""),"Xbox")</f>
        <v>Xbox</v>
      </c>
      <c r="C879" s="205"/>
      <c r="D879" s="205" t="str">
        <f>IFERROR(__xludf.DUMMYFUNCTION("""COMPUTED_VALUE"""),"Removed")</f>
        <v>Removed</v>
      </c>
      <c r="E879" s="276">
        <f>IFERROR(__xludf.DUMMYFUNCTION("""COMPUTED_VALUE"""),42887.0)</f>
        <v>42887</v>
      </c>
      <c r="F879" s="166">
        <f>IFERROR(__xludf.DUMMYFUNCTION("""COMPUTED_VALUE"""),43586.0)</f>
        <v>43586</v>
      </c>
      <c r="G879" s="167">
        <f>IFERROR(__xludf.DUMMYFUNCTION("""COMPUTED_VALUE"""),23.0)</f>
        <v>23</v>
      </c>
      <c r="H879" s="213">
        <f>IFERROR(__xludf.DUMMYFUNCTION("""COMPUTED_VALUE"""),40737.0)</f>
        <v>40737</v>
      </c>
      <c r="I879" s="167">
        <f>IFERROR(__xludf.DUMMYFUNCTION("""COMPUTED_VALUE"""),5.883333333333334)</f>
        <v>5.883333333</v>
      </c>
      <c r="J879" s="168">
        <f>IFERROR(__xludf.DUMMYFUNCTION("""COMPUTED_VALUE"""),83.0)</f>
        <v>83</v>
      </c>
      <c r="K879" s="168">
        <f>IFERROR(__xludf.DUMMYFUNCTION("""COMPUTED_VALUE"""),8.5)</f>
        <v>8.5</v>
      </c>
      <c r="L879" s="207" t="str">
        <f>IFERROR(__xludf.DUMMYFUNCTION("""COMPUTED_VALUE"""),"Action / Platformer")</f>
        <v>Action / Platformer</v>
      </c>
    </row>
    <row r="880">
      <c r="A880" s="203" t="str">
        <f>IFERROR(__xludf.DUMMYFUNCTION("""COMPUTED_VALUE"""),"Shantae and the Pirate's Curse")</f>
        <v>Shantae and the Pirate's Curse</v>
      </c>
      <c r="B880" s="204" t="str">
        <f>IFERROR(__xludf.DUMMYFUNCTION("""COMPUTED_VALUE"""),"Xbox")</f>
        <v>Xbox</v>
      </c>
      <c r="C880" s="205"/>
      <c r="D880" s="205" t="str">
        <f>IFERROR(__xludf.DUMMYFUNCTION("""COMPUTED_VALUE"""),"Removed")</f>
        <v>Removed</v>
      </c>
      <c r="E880" s="276">
        <f>IFERROR(__xludf.DUMMYFUNCTION("""COMPUTED_VALUE"""),42887.0)</f>
        <v>42887</v>
      </c>
      <c r="F880" s="166">
        <f>IFERROR(__xludf.DUMMYFUNCTION("""COMPUTED_VALUE"""),43586.0)</f>
        <v>43586</v>
      </c>
      <c r="G880" s="167">
        <f>IFERROR(__xludf.DUMMYFUNCTION("""COMPUTED_VALUE"""),23.0)</f>
        <v>23</v>
      </c>
      <c r="H880" s="213">
        <f>IFERROR(__xludf.DUMMYFUNCTION("""COMPUTED_VALUE"""),41935.0)</f>
        <v>41935</v>
      </c>
      <c r="I880" s="167">
        <f>IFERROR(__xludf.DUMMYFUNCTION("""COMPUTED_VALUE"""),2.6055555555555556)</f>
        <v>2.605555556</v>
      </c>
      <c r="J880" s="168">
        <f>IFERROR(__xludf.DUMMYFUNCTION("""COMPUTED_VALUE"""),79.0)</f>
        <v>79</v>
      </c>
      <c r="K880" s="168">
        <f>IFERROR(__xludf.DUMMYFUNCTION("""COMPUTED_VALUE"""),8.0)</f>
        <v>8</v>
      </c>
      <c r="L880" s="207" t="str">
        <f>IFERROR(__xludf.DUMMYFUNCTION("""COMPUTED_VALUE"""),"Platformer")</f>
        <v>Platformer</v>
      </c>
    </row>
    <row r="881">
      <c r="A881" s="203" t="str">
        <f>IFERROR(__xludf.DUMMYFUNCTION("""COMPUTED_VALUE"""),"Super Mega Baseball: Extra Innings")</f>
        <v>Super Mega Baseball: Extra Innings</v>
      </c>
      <c r="B881" s="204" t="str">
        <f>IFERROR(__xludf.DUMMYFUNCTION("""COMPUTED_VALUE"""),"Xbox")</f>
        <v>Xbox</v>
      </c>
      <c r="C881" s="205"/>
      <c r="D881" s="205" t="str">
        <f>IFERROR(__xludf.DUMMYFUNCTION("""COMPUTED_VALUE"""),"Removed")</f>
        <v>Removed</v>
      </c>
      <c r="E881" s="276">
        <f>IFERROR(__xludf.DUMMYFUNCTION("""COMPUTED_VALUE"""),42887.0)</f>
        <v>42887</v>
      </c>
      <c r="F881" s="166">
        <f>IFERROR(__xludf.DUMMYFUNCTION("""COMPUTED_VALUE"""),43586.0)</f>
        <v>43586</v>
      </c>
      <c r="G881" s="167">
        <f>IFERROR(__xludf.DUMMYFUNCTION("""COMPUTED_VALUE"""),23.0)</f>
        <v>23</v>
      </c>
      <c r="H881" s="213">
        <f>IFERROR(__xludf.DUMMYFUNCTION("""COMPUTED_VALUE"""),42230.0)</f>
        <v>42230</v>
      </c>
      <c r="I881" s="167">
        <f>IFERROR(__xludf.DUMMYFUNCTION("""COMPUTED_VALUE"""),1.7972222222222223)</f>
        <v>1.797222222</v>
      </c>
      <c r="J881" s="168">
        <f>IFERROR(__xludf.DUMMYFUNCTION("""COMPUTED_VALUE"""),80.0)</f>
        <v>80</v>
      </c>
      <c r="K881" s="168">
        <f>IFERROR(__xludf.DUMMYFUNCTION("""COMPUTED_VALUE"""),10.5)</f>
        <v>10.5</v>
      </c>
      <c r="L881" s="207" t="str">
        <f>IFERROR(__xludf.DUMMYFUNCTION("""COMPUTED_VALUE"""),"Baseball")</f>
        <v>Baseball</v>
      </c>
    </row>
    <row r="882">
      <c r="A882" s="203" t="str">
        <f>IFERROR(__xludf.DUMMYFUNCTION("""COMPUTED_VALUE"""),"Super Time Force")</f>
        <v>Super Time Force</v>
      </c>
      <c r="B882" s="204" t="str">
        <f>IFERROR(__xludf.DUMMYFUNCTION("""COMPUTED_VALUE"""),"Xbox")</f>
        <v>Xbox</v>
      </c>
      <c r="C882" s="205"/>
      <c r="D882" s="205" t="str">
        <f>IFERROR(__xludf.DUMMYFUNCTION("""COMPUTED_VALUE"""),"Removed")</f>
        <v>Removed</v>
      </c>
      <c r="E882" s="276">
        <f>IFERROR(__xludf.DUMMYFUNCTION("""COMPUTED_VALUE"""),42887.0)</f>
        <v>42887</v>
      </c>
      <c r="F882" s="166">
        <f>IFERROR(__xludf.DUMMYFUNCTION("""COMPUTED_VALUE"""),43586.0)</f>
        <v>43586</v>
      </c>
      <c r="G882" s="167">
        <f>IFERROR(__xludf.DUMMYFUNCTION("""COMPUTED_VALUE"""),23.0)</f>
        <v>23</v>
      </c>
      <c r="H882" s="213">
        <f>IFERROR(__xludf.DUMMYFUNCTION("""COMPUTED_VALUE"""),41773.0)</f>
        <v>41773</v>
      </c>
      <c r="I882" s="167">
        <f>IFERROR(__xludf.DUMMYFUNCTION("""COMPUTED_VALUE"""),3.047222222222222)</f>
        <v>3.047222222</v>
      </c>
      <c r="J882" s="168">
        <f>IFERROR(__xludf.DUMMYFUNCTION("""COMPUTED_VALUE"""),80.0)</f>
        <v>80</v>
      </c>
      <c r="K882" s="168">
        <f>IFERROR(__xludf.DUMMYFUNCTION("""COMPUTED_VALUE"""),4.0)</f>
        <v>4</v>
      </c>
      <c r="L882" s="207" t="str">
        <f>IFERROR(__xludf.DUMMYFUNCTION("""COMPUTED_VALUE"""),"Action / Platformer")</f>
        <v>Action / Platformer</v>
      </c>
    </row>
    <row r="883">
      <c r="A883" s="203" t="str">
        <f>IFERROR(__xludf.DUMMYFUNCTION("""COMPUTED_VALUE"""),"OlliOlli2: XL Edition")</f>
        <v>OlliOlli2: XL Edition</v>
      </c>
      <c r="B883" s="204" t="str">
        <f>IFERROR(__xludf.DUMMYFUNCTION("""COMPUTED_VALUE"""),"Xbox")</f>
        <v>Xbox</v>
      </c>
      <c r="C883" s="205"/>
      <c r="D883" s="205" t="str">
        <f>IFERROR(__xludf.DUMMYFUNCTION("""COMPUTED_VALUE"""),"Removed")</f>
        <v>Removed</v>
      </c>
      <c r="E883" s="276">
        <f>IFERROR(__xludf.DUMMYFUNCTION("""COMPUTED_VALUE"""),43405.0)</f>
        <v>43405</v>
      </c>
      <c r="F883" s="166">
        <f>IFERROR(__xludf.DUMMYFUNCTION("""COMPUTED_VALUE"""),43556.0)</f>
        <v>43556</v>
      </c>
      <c r="G883" s="167">
        <f>IFERROR(__xludf.DUMMYFUNCTION("""COMPUTED_VALUE"""),5.0)</f>
        <v>5</v>
      </c>
      <c r="H883" s="213">
        <f>IFERROR(__xludf.DUMMYFUNCTION("""COMPUTED_VALUE"""),42591.0)</f>
        <v>42591</v>
      </c>
      <c r="I883" s="167">
        <f>IFERROR(__xludf.DUMMYFUNCTION("""COMPUTED_VALUE"""),2.227777777777778)</f>
        <v>2.227777778</v>
      </c>
      <c r="J883" s="168">
        <f>IFERROR(__xludf.DUMMYFUNCTION("""COMPUTED_VALUE"""),83.0)</f>
        <v>83</v>
      </c>
      <c r="K883" s="168">
        <f>IFERROR(__xludf.DUMMYFUNCTION("""COMPUTED_VALUE"""),3.0)</f>
        <v>3</v>
      </c>
      <c r="L883" s="207" t="str">
        <f>IFERROR(__xludf.DUMMYFUNCTION("""COMPUTED_VALUE"""),"Skateboarding")</f>
        <v>Skateboarding</v>
      </c>
    </row>
    <row r="884">
      <c r="A884" s="203" t="str">
        <f>IFERROR(__xludf.DUMMYFUNCTION("""COMPUTED_VALUE"""),"Sheltered")</f>
        <v>Sheltered</v>
      </c>
      <c r="B884" s="204" t="str">
        <f>IFERROR(__xludf.DUMMYFUNCTION("""COMPUTED_VALUE"""),"Xbox")</f>
        <v>Xbox</v>
      </c>
      <c r="C884" s="205"/>
      <c r="D884" s="205" t="str">
        <f>IFERROR(__xludf.DUMMYFUNCTION("""COMPUTED_VALUE"""),"Removed")</f>
        <v>Removed</v>
      </c>
      <c r="E884" s="276">
        <f>IFERROR(__xludf.DUMMYFUNCTION("""COMPUTED_VALUE"""),43405.0)</f>
        <v>43405</v>
      </c>
      <c r="F884" s="166">
        <f>IFERROR(__xludf.DUMMYFUNCTION("""COMPUTED_VALUE"""),43556.0)</f>
        <v>43556</v>
      </c>
      <c r="G884" s="167">
        <f>IFERROR(__xludf.DUMMYFUNCTION("""COMPUTED_VALUE"""),5.0)</f>
        <v>5</v>
      </c>
      <c r="H884" s="213">
        <f>IFERROR(__xludf.DUMMYFUNCTION("""COMPUTED_VALUE"""),42444.0)</f>
        <v>42444</v>
      </c>
      <c r="I884" s="167">
        <f>IFERROR(__xludf.DUMMYFUNCTION("""COMPUTED_VALUE"""),2.6277777777777778)</f>
        <v>2.627777778</v>
      </c>
      <c r="J884" s="168">
        <f>IFERROR(__xludf.DUMMYFUNCTION("""COMPUTED_VALUE"""),69.0)</f>
        <v>69</v>
      </c>
      <c r="K884" s="168">
        <f>IFERROR(__xludf.DUMMYFUNCTION("""COMPUTED_VALUE"""),20.0)</f>
        <v>20</v>
      </c>
      <c r="L884" s="207" t="str">
        <f>IFERROR(__xludf.DUMMYFUNCTION("""COMPUTED_VALUE"""),"Strategy / RPG")</f>
        <v>Strategy / RPG</v>
      </c>
    </row>
    <row r="885">
      <c r="A885" s="203" t="str">
        <f>IFERROR(__xludf.DUMMYFUNCTION("""COMPUTED_VALUE"""),"Outlast")</f>
        <v>Outlast</v>
      </c>
      <c r="B885" s="204" t="str">
        <f>IFERROR(__xludf.DUMMYFUNCTION("""COMPUTED_VALUE"""),"Xbox")</f>
        <v>Xbox</v>
      </c>
      <c r="C885" s="205"/>
      <c r="D885" s="205" t="str">
        <f>IFERROR(__xludf.DUMMYFUNCTION("""COMPUTED_VALUE"""),"Removed")</f>
        <v>Removed</v>
      </c>
      <c r="E885" s="276">
        <f>IFERROR(__xludf.DUMMYFUNCTION("""COMPUTED_VALUE"""),43374.0)</f>
        <v>43374</v>
      </c>
      <c r="F885" s="166">
        <f>IFERROR(__xludf.DUMMYFUNCTION("""COMPUTED_VALUE"""),43556.0)</f>
        <v>43556</v>
      </c>
      <c r="G885" s="167">
        <f>IFERROR(__xludf.DUMMYFUNCTION("""COMPUTED_VALUE"""),6.0)</f>
        <v>6</v>
      </c>
      <c r="H885" s="213">
        <f>IFERROR(__xludf.DUMMYFUNCTION("""COMPUTED_VALUE"""),41521.0)</f>
        <v>41521</v>
      </c>
      <c r="I885" s="167">
        <f>IFERROR(__xludf.DUMMYFUNCTION("""COMPUTED_VALUE"""),5.075)</f>
        <v>5.075</v>
      </c>
      <c r="J885" s="168">
        <f>IFERROR(__xludf.DUMMYFUNCTION("""COMPUTED_VALUE"""),80.0)</f>
        <v>80</v>
      </c>
      <c r="K885" s="168">
        <f>IFERROR(__xludf.DUMMYFUNCTION("""COMPUTED_VALUE"""),5.0)</f>
        <v>5</v>
      </c>
      <c r="L885" s="207" t="str">
        <f>IFERROR(__xludf.DUMMYFUNCTION("""COMPUTED_VALUE"""),"Adventure")</f>
        <v>Adventure</v>
      </c>
    </row>
    <row r="886">
      <c r="A886" s="203" t="str">
        <f>IFERROR(__xludf.DUMMYFUNCTION("""COMPUTED_VALUE"""),"Homefront: The Revolution")</f>
        <v>Homefront: The Revolution</v>
      </c>
      <c r="B886" s="204" t="str">
        <f>IFERROR(__xludf.DUMMYFUNCTION("""COMPUTED_VALUE"""),"Xbox")</f>
        <v>Xbox</v>
      </c>
      <c r="C886" s="205"/>
      <c r="D886" s="205" t="str">
        <f>IFERROR(__xludf.DUMMYFUNCTION("""COMPUTED_VALUE"""),"Removed")</f>
        <v>Removed</v>
      </c>
      <c r="E886" s="276">
        <f>IFERROR(__xludf.DUMMYFUNCTION("""COMPUTED_VALUE"""),43221.0)</f>
        <v>43221</v>
      </c>
      <c r="F886" s="166">
        <f>IFERROR(__xludf.DUMMYFUNCTION("""COMPUTED_VALUE"""),43556.0)</f>
        <v>43556</v>
      </c>
      <c r="G886" s="167">
        <f>IFERROR(__xludf.DUMMYFUNCTION("""COMPUTED_VALUE"""),11.0)</f>
        <v>11</v>
      </c>
      <c r="H886" s="213">
        <f>IFERROR(__xludf.DUMMYFUNCTION("""COMPUTED_VALUE"""),42507.0)</f>
        <v>42507</v>
      </c>
      <c r="I886" s="167">
        <f>IFERROR(__xludf.DUMMYFUNCTION("""COMPUTED_VALUE"""),1.9555555555555555)</f>
        <v>1.955555556</v>
      </c>
      <c r="J886" s="168">
        <f>IFERROR(__xludf.DUMMYFUNCTION("""COMPUTED_VALUE"""),49.0)</f>
        <v>49</v>
      </c>
      <c r="K886" s="168">
        <f>IFERROR(__xludf.DUMMYFUNCTION("""COMPUTED_VALUE"""),12.0)</f>
        <v>12</v>
      </c>
      <c r="L886" s="207" t="str">
        <f>IFERROR(__xludf.DUMMYFUNCTION("""COMPUTED_VALUE"""),"First-Person Shooter")</f>
        <v>First-Person Shooter</v>
      </c>
    </row>
    <row r="887">
      <c r="A887" s="203" t="str">
        <f>IFERROR(__xludf.DUMMYFUNCTION("""COMPUTED_VALUE"""),"Sonic &amp; Knuckles")</f>
        <v>Sonic &amp; Knuckles</v>
      </c>
      <c r="B887" s="204" t="str">
        <f>IFERROR(__xludf.DUMMYFUNCTION("""COMPUTED_VALUE"""),"Xbox")</f>
        <v>Xbox</v>
      </c>
      <c r="C887" s="205"/>
      <c r="D887" s="205" t="str">
        <f>IFERROR(__xludf.DUMMYFUNCTION("""COMPUTED_VALUE"""),"Removed")</f>
        <v>Removed</v>
      </c>
      <c r="E887" s="276">
        <f>IFERROR(__xludf.DUMMYFUNCTION("""COMPUTED_VALUE"""),43221.0)</f>
        <v>43221</v>
      </c>
      <c r="F887" s="166">
        <f>IFERROR(__xludf.DUMMYFUNCTION("""COMPUTED_VALUE"""),43556.0)</f>
        <v>43556</v>
      </c>
      <c r="G887" s="167">
        <f>IFERROR(__xludf.DUMMYFUNCTION("""COMPUTED_VALUE"""),11.0)</f>
        <v>11</v>
      </c>
      <c r="H887" s="213">
        <f>IFERROR(__xludf.DUMMYFUNCTION("""COMPUTED_VALUE"""),42962.0)</f>
        <v>42962</v>
      </c>
      <c r="I887" s="167">
        <f>IFERROR(__xludf.DUMMYFUNCTION("""COMPUTED_VALUE"""),0.7111111111111111)</f>
        <v>0.7111111111</v>
      </c>
      <c r="J887" s="168">
        <f>IFERROR(__xludf.DUMMYFUNCTION("""COMPUTED_VALUE"""),69.0)</f>
        <v>69</v>
      </c>
      <c r="K887" s="168">
        <f>IFERROR(__xludf.DUMMYFUNCTION("""COMPUTED_VALUE"""),3.0)</f>
        <v>3</v>
      </c>
      <c r="L887" s="207" t="str">
        <f>IFERROR(__xludf.DUMMYFUNCTION("""COMPUTED_VALUE"""),"Platformer")</f>
        <v>Platformer</v>
      </c>
    </row>
    <row r="888">
      <c r="A888" s="203" t="str">
        <f>IFERROR(__xludf.DUMMYFUNCTION("""COMPUTED_VALUE"""),"Unmechanical: Extended Edition")</f>
        <v>Unmechanical: Extended Edition</v>
      </c>
      <c r="B888" s="204" t="str">
        <f>IFERROR(__xludf.DUMMYFUNCTION("""COMPUTED_VALUE"""),"Xbox")</f>
        <v>Xbox</v>
      </c>
      <c r="C888" s="205"/>
      <c r="D888" s="205" t="str">
        <f>IFERROR(__xludf.DUMMYFUNCTION("""COMPUTED_VALUE"""),"Removed")</f>
        <v>Removed</v>
      </c>
      <c r="E888" s="276">
        <f>IFERROR(__xludf.DUMMYFUNCTION("""COMPUTED_VALUE"""),43221.0)</f>
        <v>43221</v>
      </c>
      <c r="F888" s="166">
        <f>IFERROR(__xludf.DUMMYFUNCTION("""COMPUTED_VALUE"""),43556.0)</f>
        <v>43556</v>
      </c>
      <c r="G888" s="167">
        <f>IFERROR(__xludf.DUMMYFUNCTION("""COMPUTED_VALUE"""),11.0)</f>
        <v>11</v>
      </c>
      <c r="H888" s="213">
        <f>IFERROR(__xludf.DUMMYFUNCTION("""COMPUTED_VALUE"""),41129.0)</f>
        <v>41129</v>
      </c>
      <c r="I888" s="167">
        <f>IFERROR(__xludf.DUMMYFUNCTION("""COMPUTED_VALUE"""),5.730555555555555)</f>
        <v>5.730555556</v>
      </c>
      <c r="J888" s="168">
        <f>IFERROR(__xludf.DUMMYFUNCTION("""COMPUTED_VALUE"""),66.0)</f>
        <v>66</v>
      </c>
      <c r="K888" s="168">
        <f>IFERROR(__xludf.DUMMYFUNCTION("""COMPUTED_VALUE"""),2.5)</f>
        <v>2.5</v>
      </c>
      <c r="L888" s="207" t="str">
        <f>IFERROR(__xludf.DUMMYFUNCTION("""COMPUTED_VALUE"""),"Adventure / Puzzle")</f>
        <v>Adventure / Puzzle</v>
      </c>
    </row>
    <row r="889">
      <c r="A889" s="203" t="str">
        <f>IFERROR(__xludf.DUMMYFUNCTION("""COMPUTED_VALUE"""),"OlliOlli")</f>
        <v>OlliOlli</v>
      </c>
      <c r="B889" s="204" t="str">
        <f>IFERROR(__xludf.DUMMYFUNCTION("""COMPUTED_VALUE"""),"Xbox")</f>
        <v>Xbox</v>
      </c>
      <c r="C889" s="205"/>
      <c r="D889" s="205" t="str">
        <f>IFERROR(__xludf.DUMMYFUNCTION("""COMPUTED_VALUE"""),"Removed")</f>
        <v>Removed</v>
      </c>
      <c r="E889" s="276">
        <f>IFERROR(__xludf.DUMMYFUNCTION("""COMPUTED_VALUE"""),42887.0)</f>
        <v>42887</v>
      </c>
      <c r="F889" s="166">
        <f>IFERROR(__xludf.DUMMYFUNCTION("""COMPUTED_VALUE"""),43556.0)</f>
        <v>43556</v>
      </c>
      <c r="G889" s="167">
        <f>IFERROR(__xludf.DUMMYFUNCTION("""COMPUTED_VALUE"""),22.0)</f>
        <v>22</v>
      </c>
      <c r="H889" s="213">
        <f>IFERROR(__xludf.DUMMYFUNCTION("""COMPUTED_VALUE"""),41660.0)</f>
        <v>41660</v>
      </c>
      <c r="I889" s="167">
        <f>IFERROR(__xludf.DUMMYFUNCTION("""COMPUTED_VALUE"""),3.361111111111111)</f>
        <v>3.361111111</v>
      </c>
      <c r="J889" s="168">
        <f>IFERROR(__xludf.DUMMYFUNCTION("""COMPUTED_VALUE"""),78.0)</f>
        <v>78</v>
      </c>
      <c r="K889" s="168">
        <f>IFERROR(__xludf.DUMMYFUNCTION("""COMPUTED_VALUE"""),4.0)</f>
        <v>4</v>
      </c>
      <c r="L889" s="207" t="str">
        <f>IFERROR(__xludf.DUMMYFUNCTION("""COMPUTED_VALUE"""),"Skateboarding")</f>
        <v>Skateboarding</v>
      </c>
    </row>
    <row r="890">
      <c r="A890" s="203" t="str">
        <f>IFERROR(__xludf.DUMMYFUNCTION("""COMPUTED_VALUE"""),"Pumped BMX +")</f>
        <v>Pumped BMX +</v>
      </c>
      <c r="B890" s="204" t="str">
        <f>IFERROR(__xludf.DUMMYFUNCTION("""COMPUTED_VALUE"""),"Xbox")</f>
        <v>Xbox</v>
      </c>
      <c r="C890" s="205"/>
      <c r="D890" s="205" t="str">
        <f>IFERROR(__xludf.DUMMYFUNCTION("""COMPUTED_VALUE"""),"Removed")</f>
        <v>Removed</v>
      </c>
      <c r="E890" s="276">
        <f>IFERROR(__xludf.DUMMYFUNCTION("""COMPUTED_VALUE"""),42887.0)</f>
        <v>42887</v>
      </c>
      <c r="F890" s="166">
        <f>IFERROR(__xludf.DUMMYFUNCTION("""COMPUTED_VALUE"""),43556.0)</f>
        <v>43556</v>
      </c>
      <c r="G890" s="167">
        <f>IFERROR(__xludf.DUMMYFUNCTION("""COMPUTED_VALUE"""),22.0)</f>
        <v>22</v>
      </c>
      <c r="H890" s="213">
        <f>IFERROR(__xludf.DUMMYFUNCTION("""COMPUTED_VALUE"""),42265.0)</f>
        <v>42265</v>
      </c>
      <c r="I890" s="167">
        <f>IFERROR(__xludf.DUMMYFUNCTION("""COMPUTED_VALUE"""),1.7027777777777777)</f>
        <v>1.702777778</v>
      </c>
      <c r="J890" s="168">
        <f>IFERROR(__xludf.DUMMYFUNCTION("""COMPUTED_VALUE"""),56.0)</f>
        <v>56</v>
      </c>
      <c r="K890" s="168">
        <f>IFERROR(__xludf.DUMMYFUNCTION("""COMPUTED_VALUE"""),6.0)</f>
        <v>6</v>
      </c>
      <c r="L890" s="207" t="str">
        <f>IFERROR(__xludf.DUMMYFUNCTION("""COMPUTED_VALUE"""),"Action / Driving/Racing")</f>
        <v>Action / Driving/Racing</v>
      </c>
    </row>
    <row r="891">
      <c r="A891" s="203" t="str">
        <f>IFERROR(__xludf.DUMMYFUNCTION("""COMPUTED_VALUE"""),"The Golf Club")</f>
        <v>The Golf Club</v>
      </c>
      <c r="B891" s="204" t="str">
        <f>IFERROR(__xludf.DUMMYFUNCTION("""COMPUTED_VALUE"""),"Xbox")</f>
        <v>Xbox</v>
      </c>
      <c r="C891" s="205"/>
      <c r="D891" s="205" t="str">
        <f>IFERROR(__xludf.DUMMYFUNCTION("""COMPUTED_VALUE"""),"Removed")</f>
        <v>Removed</v>
      </c>
      <c r="E891" s="276">
        <f>IFERROR(__xludf.DUMMYFUNCTION("""COMPUTED_VALUE"""),42887.0)</f>
        <v>42887</v>
      </c>
      <c r="F891" s="166">
        <f>IFERROR(__xludf.DUMMYFUNCTION("""COMPUTED_VALUE"""),43556.0)</f>
        <v>43556</v>
      </c>
      <c r="G891" s="167">
        <f>IFERROR(__xludf.DUMMYFUNCTION("""COMPUTED_VALUE"""),22.0)</f>
        <v>22</v>
      </c>
      <c r="H891" s="213">
        <f>IFERROR(__xludf.DUMMYFUNCTION("""COMPUTED_VALUE"""),41870.0)</f>
        <v>41870</v>
      </c>
      <c r="I891" s="167">
        <f>IFERROR(__xludf.DUMMYFUNCTION("""COMPUTED_VALUE"""),2.783333333333333)</f>
        <v>2.783333333</v>
      </c>
      <c r="J891" s="168">
        <f>IFERROR(__xludf.DUMMYFUNCTION("""COMPUTED_VALUE"""),64.0)</f>
        <v>64</v>
      </c>
      <c r="K891" s="168">
        <f>IFERROR(__xludf.DUMMYFUNCTION("""COMPUTED_VALUE"""),10.0)</f>
        <v>10</v>
      </c>
      <c r="L891" s="207" t="str">
        <f>IFERROR(__xludf.DUMMYFUNCTION("""COMPUTED_VALUE"""),"Golf")</f>
        <v>Golf</v>
      </c>
    </row>
    <row r="892">
      <c r="A892" s="203" t="str">
        <f>IFERROR(__xludf.DUMMYFUNCTION("""COMPUTED_VALUE"""),"The Swapper")</f>
        <v>The Swapper</v>
      </c>
      <c r="B892" s="204" t="str">
        <f>IFERROR(__xludf.DUMMYFUNCTION("""COMPUTED_VALUE"""),"Xbox")</f>
        <v>Xbox</v>
      </c>
      <c r="C892" s="205"/>
      <c r="D892" s="205" t="str">
        <f>IFERROR(__xludf.DUMMYFUNCTION("""COMPUTED_VALUE"""),"Removed")</f>
        <v>Removed</v>
      </c>
      <c r="E892" s="276">
        <f>IFERROR(__xludf.DUMMYFUNCTION("""COMPUTED_VALUE"""),42887.0)</f>
        <v>42887</v>
      </c>
      <c r="F892" s="166">
        <f>IFERROR(__xludf.DUMMYFUNCTION("""COMPUTED_VALUE"""),43556.0)</f>
        <v>43556</v>
      </c>
      <c r="G892" s="167">
        <f>IFERROR(__xludf.DUMMYFUNCTION("""COMPUTED_VALUE"""),22.0)</f>
        <v>22</v>
      </c>
      <c r="H892" s="213">
        <f>IFERROR(__xludf.DUMMYFUNCTION("""COMPUTED_VALUE"""),41424.0)</f>
        <v>41424</v>
      </c>
      <c r="I892" s="167">
        <f>IFERROR(__xludf.DUMMYFUNCTION("""COMPUTED_VALUE"""),4.002777777777778)</f>
        <v>4.002777778</v>
      </c>
      <c r="J892" s="168">
        <f>IFERROR(__xludf.DUMMYFUNCTION("""COMPUTED_VALUE"""),92.0)</f>
        <v>92</v>
      </c>
      <c r="K892" s="168">
        <f>IFERROR(__xludf.DUMMYFUNCTION("""COMPUTED_VALUE"""),5.0)</f>
        <v>5</v>
      </c>
      <c r="L892" s="207" t="str">
        <f>IFERROR(__xludf.DUMMYFUNCTION("""COMPUTED_VALUE"""),"Puzzle / Platformer")</f>
        <v>Puzzle / Platformer</v>
      </c>
    </row>
    <row r="893">
      <c r="A893" s="203" t="str">
        <f>IFERROR(__xludf.DUMMYFUNCTION("""COMPUTED_VALUE"""),"Kingdom: New Lands")</f>
        <v>Kingdom: New Lands</v>
      </c>
      <c r="B893" s="204" t="str">
        <f>IFERROR(__xludf.DUMMYFUNCTION("""COMPUTED_VALUE"""),"Xbox")</f>
        <v>Xbox</v>
      </c>
      <c r="C893" s="205"/>
      <c r="D893" s="205" t="str">
        <f>IFERROR(__xludf.DUMMYFUNCTION("""COMPUTED_VALUE"""),"Removed")</f>
        <v>Removed</v>
      </c>
      <c r="E893" s="276">
        <f>IFERROR(__xludf.DUMMYFUNCTION("""COMPUTED_VALUE"""),43191.0)</f>
        <v>43191</v>
      </c>
      <c r="F893" s="166">
        <f>IFERROR(__xludf.DUMMYFUNCTION("""COMPUTED_VALUE"""),43525.0)</f>
        <v>43525</v>
      </c>
      <c r="G893" s="167">
        <f>IFERROR(__xludf.DUMMYFUNCTION("""COMPUTED_VALUE"""),11.0)</f>
        <v>11</v>
      </c>
      <c r="H893" s="213">
        <f>IFERROR(__xludf.DUMMYFUNCTION("""COMPUTED_VALUE"""),42298.0)</f>
        <v>42298</v>
      </c>
      <c r="I893" s="167">
        <f>IFERROR(__xludf.DUMMYFUNCTION("""COMPUTED_VALUE"""),2.4444444444444446)</f>
        <v>2.444444444</v>
      </c>
      <c r="J893" s="168">
        <f>IFERROR(__xludf.DUMMYFUNCTION("""COMPUTED_VALUE"""),87.0)</f>
        <v>87</v>
      </c>
      <c r="K893" s="168">
        <f>IFERROR(__xludf.DUMMYFUNCTION("""COMPUTED_VALUE"""),8.0)</f>
        <v>8</v>
      </c>
      <c r="L893" s="207" t="str">
        <f>IFERROR(__xludf.DUMMYFUNCTION("""COMPUTED_VALUE"""),"Strategy / Adventure / Simulation")</f>
        <v>Strategy / Adventure / Simulation</v>
      </c>
    </row>
    <row r="894">
      <c r="A894" s="203" t="str">
        <f>IFERROR(__xludf.DUMMYFUNCTION("""COMPUTED_VALUE"""),"Late Shift")</f>
        <v>Late Shift</v>
      </c>
      <c r="B894" s="204" t="str">
        <f>IFERROR(__xludf.DUMMYFUNCTION("""COMPUTED_VALUE"""),"Xbox")</f>
        <v>Xbox</v>
      </c>
      <c r="C894" s="205"/>
      <c r="D894" s="205" t="str">
        <f>IFERROR(__xludf.DUMMYFUNCTION("""COMPUTED_VALUE"""),"Removed")</f>
        <v>Removed</v>
      </c>
      <c r="E894" s="276">
        <f>IFERROR(__xludf.DUMMYFUNCTION("""COMPUTED_VALUE"""),43191.0)</f>
        <v>43191</v>
      </c>
      <c r="F894" s="166">
        <f>IFERROR(__xludf.DUMMYFUNCTION("""COMPUTED_VALUE"""),43525.0)</f>
        <v>43525</v>
      </c>
      <c r="G894" s="167">
        <f>IFERROR(__xludf.DUMMYFUNCTION("""COMPUTED_VALUE"""),11.0)</f>
        <v>11</v>
      </c>
      <c r="H894" s="213">
        <f>IFERROR(__xludf.DUMMYFUNCTION("""COMPUTED_VALUE"""),42843.0)</f>
        <v>42843</v>
      </c>
      <c r="I894" s="167">
        <f>IFERROR(__xludf.DUMMYFUNCTION("""COMPUTED_VALUE"""),0.9527777777777777)</f>
        <v>0.9527777778</v>
      </c>
      <c r="J894" s="168">
        <f>IFERROR(__xludf.DUMMYFUNCTION("""COMPUTED_VALUE"""),72.0)</f>
        <v>72</v>
      </c>
      <c r="K894" s="168">
        <f>IFERROR(__xludf.DUMMYFUNCTION("""COMPUTED_VALUE"""),1.5)</f>
        <v>1.5</v>
      </c>
      <c r="L894" s="207" t="str">
        <f>IFERROR(__xludf.DUMMYFUNCTION("""COMPUTED_VALUE"""),"Adventure")</f>
        <v>Adventure</v>
      </c>
    </row>
    <row r="895">
      <c r="A895" s="203" t="str">
        <f>IFERROR(__xludf.DUMMYFUNCTION("""COMPUTED_VALUE"""),"Portal Knights")</f>
        <v>Portal Knights</v>
      </c>
      <c r="B895" s="204" t="str">
        <f>IFERROR(__xludf.DUMMYFUNCTION("""COMPUTED_VALUE"""),"Xbox")</f>
        <v>Xbox</v>
      </c>
      <c r="C895" s="205"/>
      <c r="D895" s="205" t="str">
        <f>IFERROR(__xludf.DUMMYFUNCTION("""COMPUTED_VALUE"""),"Removed")</f>
        <v>Removed</v>
      </c>
      <c r="E895" s="276">
        <f>IFERROR(__xludf.DUMMYFUNCTION("""COMPUTED_VALUE"""),43191.0)</f>
        <v>43191</v>
      </c>
      <c r="F895" s="166">
        <f>IFERROR(__xludf.DUMMYFUNCTION("""COMPUTED_VALUE"""),43525.0)</f>
        <v>43525</v>
      </c>
      <c r="G895" s="167">
        <f>IFERROR(__xludf.DUMMYFUNCTION("""COMPUTED_VALUE"""),11.0)</f>
        <v>11</v>
      </c>
      <c r="H895" s="213">
        <f>IFERROR(__xludf.DUMMYFUNCTION("""COMPUTED_VALUE"""),42425.0)</f>
        <v>42425</v>
      </c>
      <c r="I895" s="167">
        <f>IFERROR(__xludf.DUMMYFUNCTION("""COMPUTED_VALUE"""),2.1)</f>
        <v>2.1</v>
      </c>
      <c r="J895" s="168">
        <f>IFERROR(__xludf.DUMMYFUNCTION("""COMPUTED_VALUE"""),77.0)</f>
        <v>77</v>
      </c>
      <c r="K895" s="168">
        <f>IFERROR(__xludf.DUMMYFUNCTION("""COMPUTED_VALUE"""),26.0)</f>
        <v>26</v>
      </c>
      <c r="L895" s="207" t="str">
        <f>IFERROR(__xludf.DUMMYFUNCTION("""COMPUTED_VALUE"""),"Action-Adventure")</f>
        <v>Action-Adventure</v>
      </c>
    </row>
    <row r="896">
      <c r="A896" s="203" t="str">
        <f>IFERROR(__xludf.DUMMYFUNCTION("""COMPUTED_VALUE"""),"Sacred Citadel")</f>
        <v>Sacred Citadel</v>
      </c>
      <c r="B896" s="204" t="str">
        <f>IFERROR(__xludf.DUMMYFUNCTION("""COMPUTED_VALUE"""),"Xbox")</f>
        <v>Xbox</v>
      </c>
      <c r="C896" s="205"/>
      <c r="D896" s="205" t="str">
        <f>IFERROR(__xludf.DUMMYFUNCTION("""COMPUTED_VALUE"""),"Removed")</f>
        <v>Removed</v>
      </c>
      <c r="E896" s="276">
        <f>IFERROR(__xludf.DUMMYFUNCTION("""COMPUTED_VALUE"""),43191.0)</f>
        <v>43191</v>
      </c>
      <c r="F896" s="166">
        <f>IFERROR(__xludf.DUMMYFUNCTION("""COMPUTED_VALUE"""),43525.0)</f>
        <v>43525</v>
      </c>
      <c r="G896" s="167">
        <f>IFERROR(__xludf.DUMMYFUNCTION("""COMPUTED_VALUE"""),11.0)</f>
        <v>11</v>
      </c>
      <c r="H896" s="213">
        <f>IFERROR(__xludf.DUMMYFUNCTION("""COMPUTED_VALUE"""),41381.0)</f>
        <v>41381</v>
      </c>
      <c r="I896" s="167">
        <f>IFERROR(__xludf.DUMMYFUNCTION("""COMPUTED_VALUE"""),4.955555555555556)</f>
        <v>4.955555556</v>
      </c>
      <c r="J896" s="168">
        <f>IFERROR(__xludf.DUMMYFUNCTION("""COMPUTED_VALUE"""),63.0)</f>
        <v>63</v>
      </c>
      <c r="K896" s="168">
        <f>IFERROR(__xludf.DUMMYFUNCTION("""COMPUTED_VALUE"""),5.0)</f>
        <v>5</v>
      </c>
      <c r="L896" s="207" t="str">
        <f>IFERROR(__xludf.DUMMYFUNCTION("""COMPUTED_VALUE"""),"Brawler / Action-Adventure")</f>
        <v>Brawler / Action-Adventure</v>
      </c>
    </row>
    <row r="897">
      <c r="A897" s="203" t="str">
        <f>IFERROR(__xludf.DUMMYFUNCTION("""COMPUTED_VALUE"""),"F1 2015")</f>
        <v>F1 2015</v>
      </c>
      <c r="B897" s="204" t="str">
        <f>IFERROR(__xludf.DUMMYFUNCTION("""COMPUTED_VALUE"""),"Xbox")</f>
        <v>Xbox</v>
      </c>
      <c r="C897" s="205"/>
      <c r="D897" s="205" t="str">
        <f>IFERROR(__xludf.DUMMYFUNCTION("""COMPUTED_VALUE"""),"Removed")</f>
        <v>Removed</v>
      </c>
      <c r="E897" s="276">
        <f>IFERROR(__xludf.DUMMYFUNCTION("""COMPUTED_VALUE"""),42917.0)</f>
        <v>42917</v>
      </c>
      <c r="F897" s="166">
        <f>IFERROR(__xludf.DUMMYFUNCTION("""COMPUTED_VALUE"""),43524.0)</f>
        <v>43524</v>
      </c>
      <c r="G897" s="167">
        <f>IFERROR(__xludf.DUMMYFUNCTION("""COMPUTED_VALUE"""),19.900000000000002)</f>
        <v>19.9</v>
      </c>
      <c r="H897" s="213">
        <f>IFERROR(__xludf.DUMMYFUNCTION("""COMPUTED_VALUE"""),42195.0)</f>
        <v>42195</v>
      </c>
      <c r="I897" s="167">
        <f>IFERROR(__xludf.DUMMYFUNCTION("""COMPUTED_VALUE"""),1.975)</f>
        <v>1.975</v>
      </c>
      <c r="J897" s="168">
        <f>IFERROR(__xludf.DUMMYFUNCTION("""COMPUTED_VALUE"""),64.0)</f>
        <v>64</v>
      </c>
      <c r="K897" s="168">
        <f>IFERROR(__xludf.DUMMYFUNCTION("""COMPUTED_VALUE"""),11.0)</f>
        <v>11</v>
      </c>
      <c r="L897" s="207" t="str">
        <f>IFERROR(__xludf.DUMMYFUNCTION("""COMPUTED_VALUE"""),"Driving/Racing")</f>
        <v>Driving/Racing</v>
      </c>
    </row>
    <row r="898">
      <c r="A898" s="203" t="str">
        <f>IFERROR(__xludf.DUMMYFUNCTION("""COMPUTED_VALUE"""),"Aven Colony")</f>
        <v>Aven Colony</v>
      </c>
      <c r="B898" s="204" t="str">
        <f>IFERROR(__xludf.DUMMYFUNCTION("""COMPUTED_VALUE"""),"Xbox")</f>
        <v>Xbox</v>
      </c>
      <c r="C898" s="205"/>
      <c r="D898" s="205" t="str">
        <f>IFERROR(__xludf.DUMMYFUNCTION("""COMPUTED_VALUE"""),"Removed")</f>
        <v>Removed</v>
      </c>
      <c r="E898" s="276">
        <f>IFERROR(__xludf.DUMMYFUNCTION("""COMPUTED_VALUE"""),43344.0)</f>
        <v>43344</v>
      </c>
      <c r="F898" s="166">
        <f>IFERROR(__xludf.DUMMYFUNCTION("""COMPUTED_VALUE"""),43497.0)</f>
        <v>43497</v>
      </c>
      <c r="G898" s="167">
        <f>IFERROR(__xludf.DUMMYFUNCTION("""COMPUTED_VALUE"""),5.0)</f>
        <v>5</v>
      </c>
      <c r="H898" s="213">
        <f>IFERROR(__xludf.DUMMYFUNCTION("""COMPUTED_VALUE"""),42941.0)</f>
        <v>42941</v>
      </c>
      <c r="I898" s="167">
        <f>IFERROR(__xludf.DUMMYFUNCTION("""COMPUTED_VALUE"""),1.1)</f>
        <v>1.1</v>
      </c>
      <c r="J898" s="168">
        <f>IFERROR(__xludf.DUMMYFUNCTION("""COMPUTED_VALUE"""),77.0)</f>
        <v>77</v>
      </c>
      <c r="K898" s="168">
        <f>IFERROR(__xludf.DUMMYFUNCTION("""COMPUTED_VALUE"""),30.0)</f>
        <v>30</v>
      </c>
      <c r="L898" s="207" t="str">
        <f>IFERROR(__xludf.DUMMYFUNCTION("""COMPUTED_VALUE"""),"Simulation")</f>
        <v>Simulation</v>
      </c>
    </row>
    <row r="899">
      <c r="A899" s="203" t="str">
        <f>IFERROR(__xludf.DUMMYFUNCTION("""COMPUTED_VALUE"""),"Shadow Warrior")</f>
        <v>Shadow Warrior</v>
      </c>
      <c r="B899" s="204" t="str">
        <f>IFERROR(__xludf.DUMMYFUNCTION("""COMPUTED_VALUE"""),"Xbox")</f>
        <v>Xbox</v>
      </c>
      <c r="C899" s="205"/>
      <c r="D899" s="205" t="str">
        <f>IFERROR(__xludf.DUMMYFUNCTION("""COMPUTED_VALUE"""),"Removed")</f>
        <v>Removed</v>
      </c>
      <c r="E899" s="276">
        <f>IFERROR(__xludf.DUMMYFUNCTION("""COMPUTED_VALUE"""),43344.0)</f>
        <v>43344</v>
      </c>
      <c r="F899" s="166">
        <f>IFERROR(__xludf.DUMMYFUNCTION("""COMPUTED_VALUE"""),43497.0)</f>
        <v>43497</v>
      </c>
      <c r="G899" s="167">
        <f>IFERROR(__xludf.DUMMYFUNCTION("""COMPUTED_VALUE"""),5.0)</f>
        <v>5</v>
      </c>
      <c r="H899" s="213">
        <f>IFERROR(__xludf.DUMMYFUNCTION("""COMPUTED_VALUE"""),41543.0)</f>
        <v>41543</v>
      </c>
      <c r="I899" s="167">
        <f>IFERROR(__xludf.DUMMYFUNCTION("""COMPUTED_VALUE"""),4.930555555555555)</f>
        <v>4.930555556</v>
      </c>
      <c r="J899" s="168">
        <f>IFERROR(__xludf.DUMMYFUNCTION("""COMPUTED_VALUE"""),74.0)</f>
        <v>74</v>
      </c>
      <c r="K899" s="168">
        <f>IFERROR(__xludf.DUMMYFUNCTION("""COMPUTED_VALUE"""),12.5)</f>
        <v>12.5</v>
      </c>
      <c r="L899" s="207" t="str">
        <f>IFERROR(__xludf.DUMMYFUNCTION("""COMPUTED_VALUE"""),"First-Person Shooter")</f>
        <v>First-Person Shooter</v>
      </c>
    </row>
    <row r="900">
      <c r="A900" s="203" t="str">
        <f>IFERROR(__xludf.DUMMYFUNCTION("""COMPUTED_VALUE"""),"Dovetail Games: Euro Fishing")</f>
        <v>Dovetail Games: Euro Fishing</v>
      </c>
      <c r="B900" s="204" t="str">
        <f>IFERROR(__xludf.DUMMYFUNCTION("""COMPUTED_VALUE"""),"Xbox")</f>
        <v>Xbox</v>
      </c>
      <c r="C900" s="205"/>
      <c r="D900" s="205" t="str">
        <f>IFERROR(__xludf.DUMMYFUNCTION("""COMPUTED_VALUE"""),"Removed")</f>
        <v>Removed</v>
      </c>
      <c r="E900" s="276">
        <f>IFERROR(__xludf.DUMMYFUNCTION("""COMPUTED_VALUE"""),43160.0)</f>
        <v>43160</v>
      </c>
      <c r="F900" s="166">
        <f>IFERROR(__xludf.DUMMYFUNCTION("""COMPUTED_VALUE"""),43497.0)</f>
        <v>43497</v>
      </c>
      <c r="G900" s="167">
        <f>IFERROR(__xludf.DUMMYFUNCTION("""COMPUTED_VALUE"""),11.0)</f>
        <v>11</v>
      </c>
      <c r="H900" s="213">
        <f>IFERROR(__xludf.DUMMYFUNCTION("""COMPUTED_VALUE"""),42310.0)</f>
        <v>42310</v>
      </c>
      <c r="I900" s="167">
        <f>IFERROR(__xludf.DUMMYFUNCTION("""COMPUTED_VALUE"""),2.3305555555555557)</f>
        <v>2.330555556</v>
      </c>
      <c r="J900" s="168">
        <f>IFERROR(__xludf.DUMMYFUNCTION("""COMPUTED_VALUE"""),61.0)</f>
        <v>61</v>
      </c>
      <c r="K900" s="168">
        <f>IFERROR(__xludf.DUMMYFUNCTION("""COMPUTED_VALUE"""),28.5)</f>
        <v>28.5</v>
      </c>
      <c r="L900" s="207" t="str">
        <f>IFERROR(__xludf.DUMMYFUNCTION("""COMPUTED_VALUE"""),"Fishing")</f>
        <v>Fishing</v>
      </c>
    </row>
    <row r="901">
      <c r="A901" s="203" t="str">
        <f>IFERROR(__xludf.DUMMYFUNCTION("""COMPUTED_VALUE"""),"Resident Evil: Revelations 2")</f>
        <v>Resident Evil: Revelations 2</v>
      </c>
      <c r="B901" s="204" t="str">
        <f>IFERROR(__xludf.DUMMYFUNCTION("""COMPUTED_VALUE"""),"Xbox")</f>
        <v>Xbox</v>
      </c>
      <c r="C901" s="205"/>
      <c r="D901" s="205" t="str">
        <f>IFERROR(__xludf.DUMMYFUNCTION("""COMPUTED_VALUE"""),"Removed")</f>
        <v>Removed</v>
      </c>
      <c r="E901" s="276">
        <f>IFERROR(__xludf.DUMMYFUNCTION("""COMPUTED_VALUE"""),43160.0)</f>
        <v>43160</v>
      </c>
      <c r="F901" s="166">
        <f>IFERROR(__xludf.DUMMYFUNCTION("""COMPUTED_VALUE"""),43497.0)</f>
        <v>43497</v>
      </c>
      <c r="G901" s="167">
        <f>IFERROR(__xludf.DUMMYFUNCTION("""COMPUTED_VALUE"""),11.0)</f>
        <v>11</v>
      </c>
      <c r="H901" s="213">
        <f>IFERROR(__xludf.DUMMYFUNCTION("""COMPUTED_VALUE"""),42059.0)</f>
        <v>42059</v>
      </c>
      <c r="I901" s="167">
        <f>IFERROR(__xludf.DUMMYFUNCTION("""COMPUTED_VALUE"""),3.0194444444444444)</f>
        <v>3.019444444</v>
      </c>
      <c r="J901" s="168">
        <f>IFERROR(__xludf.DUMMYFUNCTION("""COMPUTED_VALUE"""),75.0)</f>
        <v>75</v>
      </c>
      <c r="K901" s="168">
        <f>IFERROR(__xludf.DUMMYFUNCTION("""COMPUTED_VALUE"""),10.0)</f>
        <v>10</v>
      </c>
      <c r="L901" s="207" t="str">
        <f>IFERROR(__xludf.DUMMYFUNCTION("""COMPUTED_VALUE"""),"Shooter")</f>
        <v>Shooter</v>
      </c>
    </row>
    <row r="902">
      <c r="A902" s="203" t="str">
        <f>IFERROR(__xludf.DUMMYFUNCTION("""COMPUTED_VALUE"""),"Sonic CD")</f>
        <v>Sonic CD</v>
      </c>
      <c r="B902" s="204" t="str">
        <f>IFERROR(__xludf.DUMMYFUNCTION("""COMPUTED_VALUE"""),"Xbox")</f>
        <v>Xbox</v>
      </c>
      <c r="C902" s="205"/>
      <c r="D902" s="205" t="str">
        <f>IFERROR(__xludf.DUMMYFUNCTION("""COMPUTED_VALUE"""),"Removed")</f>
        <v>Removed</v>
      </c>
      <c r="E902" s="276">
        <f>IFERROR(__xludf.DUMMYFUNCTION("""COMPUTED_VALUE"""),43160.0)</f>
        <v>43160</v>
      </c>
      <c r="F902" s="166">
        <f>IFERROR(__xludf.DUMMYFUNCTION("""COMPUTED_VALUE"""),43497.0)</f>
        <v>43497</v>
      </c>
      <c r="G902" s="167">
        <f>IFERROR(__xludf.DUMMYFUNCTION("""COMPUTED_VALUE"""),11.0)</f>
        <v>11</v>
      </c>
      <c r="H902" s="213">
        <f>IFERROR(__xludf.DUMMYFUNCTION("""COMPUTED_VALUE"""),34235.0)</f>
        <v>34235</v>
      </c>
      <c r="I902" s="167">
        <f>IFERROR(__xludf.DUMMYFUNCTION("""COMPUTED_VALUE"""),24.43888888888889)</f>
        <v>24.43888889</v>
      </c>
      <c r="J902" s="168">
        <f>IFERROR(__xludf.DUMMYFUNCTION("""COMPUTED_VALUE"""),82.0)</f>
        <v>82</v>
      </c>
      <c r="K902" s="168">
        <f>IFERROR(__xludf.DUMMYFUNCTION("""COMPUTED_VALUE"""),2.0)</f>
        <v>2</v>
      </c>
      <c r="L902" s="207" t="str">
        <f>IFERROR(__xludf.DUMMYFUNCTION("""COMPUTED_VALUE"""),"Action / Platformer")</f>
        <v>Action / Platformer</v>
      </c>
    </row>
    <row r="903">
      <c r="A903" s="203" t="str">
        <f>IFERROR(__xludf.DUMMYFUNCTION("""COMPUTED_VALUE"""),"The Final Station")</f>
        <v>The Final Station</v>
      </c>
      <c r="B903" s="204" t="str">
        <f>IFERROR(__xludf.DUMMYFUNCTION("""COMPUTED_VALUE"""),"Xbox")</f>
        <v>Xbox</v>
      </c>
      <c r="C903" s="205"/>
      <c r="D903" s="205" t="str">
        <f>IFERROR(__xludf.DUMMYFUNCTION("""COMPUTED_VALUE"""),"Removed")</f>
        <v>Removed</v>
      </c>
      <c r="E903" s="276">
        <f>IFERROR(__xludf.DUMMYFUNCTION("""COMPUTED_VALUE"""),43160.0)</f>
        <v>43160</v>
      </c>
      <c r="F903" s="166">
        <f>IFERROR(__xludf.DUMMYFUNCTION("""COMPUTED_VALUE"""),43497.0)</f>
        <v>43497</v>
      </c>
      <c r="G903" s="167">
        <f>IFERROR(__xludf.DUMMYFUNCTION("""COMPUTED_VALUE"""),11.0)</f>
        <v>11</v>
      </c>
      <c r="H903" s="213">
        <f>IFERROR(__xludf.DUMMYFUNCTION("""COMPUTED_VALUE"""),42612.0)</f>
        <v>42612</v>
      </c>
      <c r="I903" s="167">
        <f>IFERROR(__xludf.DUMMYFUNCTION("""COMPUTED_VALUE"""),1.5027777777777778)</f>
        <v>1.502777778</v>
      </c>
      <c r="J903" s="168">
        <f>IFERROR(__xludf.DUMMYFUNCTION("""COMPUTED_VALUE"""),70.0)</f>
        <v>70</v>
      </c>
      <c r="K903" s="168">
        <f>IFERROR(__xludf.DUMMYFUNCTION("""COMPUTED_VALUE"""),4.5)</f>
        <v>4.5</v>
      </c>
      <c r="L903" s="207" t="str">
        <f>IFERROR(__xludf.DUMMYFUNCTION("""COMPUTED_VALUE"""),"Action / Adventure")</f>
        <v>Action / Adventure</v>
      </c>
    </row>
    <row r="904">
      <c r="A904" s="203" t="str">
        <f>IFERROR(__xludf.DUMMYFUNCTION("""COMPUTED_VALUE"""),"Kyub")</f>
        <v>Kyub</v>
      </c>
      <c r="B904" s="204" t="str">
        <f>IFERROR(__xludf.DUMMYFUNCTION("""COMPUTED_VALUE"""),"Xbox")</f>
        <v>Xbox</v>
      </c>
      <c r="C904" s="205"/>
      <c r="D904" s="205" t="str">
        <f>IFERROR(__xludf.DUMMYFUNCTION("""COMPUTED_VALUE"""),"Removed")</f>
        <v>Removed</v>
      </c>
      <c r="E904" s="276">
        <f>IFERROR(__xludf.DUMMYFUNCTION("""COMPUTED_VALUE"""),42887.0)</f>
        <v>42887</v>
      </c>
      <c r="F904" s="166">
        <f>IFERROR(__xludf.DUMMYFUNCTION("""COMPUTED_VALUE"""),43497.0)</f>
        <v>43497</v>
      </c>
      <c r="G904" s="167">
        <f>IFERROR(__xludf.DUMMYFUNCTION("""COMPUTED_VALUE"""),20.0)</f>
        <v>20</v>
      </c>
      <c r="H904" s="213">
        <f>IFERROR(__xludf.DUMMYFUNCTION("""COMPUTED_VALUE"""),42564.0)</f>
        <v>42564</v>
      </c>
      <c r="I904" s="167">
        <f>IFERROR(__xludf.DUMMYFUNCTION("""COMPUTED_VALUE"""),0.8833333333333333)</f>
        <v>0.8833333333</v>
      </c>
      <c r="J904" s="168">
        <f>IFERROR(__xludf.DUMMYFUNCTION("""COMPUTED_VALUE"""),90.0)</f>
        <v>90</v>
      </c>
      <c r="K904" s="168"/>
      <c r="L904" s="207" t="str">
        <f>IFERROR(__xludf.DUMMYFUNCTION("""COMPUTED_VALUE"""),"Puzzle")</f>
        <v>Puzzle</v>
      </c>
    </row>
    <row r="905">
      <c r="A905" s="203" t="str">
        <f>IFERROR(__xludf.DUMMYFUNCTION("""COMPUTED_VALUE"""),"Mega Coin Squad")</f>
        <v>Mega Coin Squad</v>
      </c>
      <c r="B905" s="204" t="str">
        <f>IFERROR(__xludf.DUMMYFUNCTION("""COMPUTED_VALUE"""),"Xbox")</f>
        <v>Xbox</v>
      </c>
      <c r="C905" s="205"/>
      <c r="D905" s="205" t="str">
        <f>IFERROR(__xludf.DUMMYFUNCTION("""COMPUTED_VALUE"""),"Removed")</f>
        <v>Removed</v>
      </c>
      <c r="E905" s="276">
        <f>IFERROR(__xludf.DUMMYFUNCTION("""COMPUTED_VALUE"""),42887.0)</f>
        <v>42887</v>
      </c>
      <c r="F905" s="166">
        <f>IFERROR(__xludf.DUMMYFUNCTION("""COMPUTED_VALUE"""),43497.0)</f>
        <v>43497</v>
      </c>
      <c r="G905" s="167">
        <f>IFERROR(__xludf.DUMMYFUNCTION("""COMPUTED_VALUE"""),20.0)</f>
        <v>20</v>
      </c>
      <c r="H905" s="213">
        <f>IFERROR(__xludf.DUMMYFUNCTION("""COMPUTED_VALUE"""),41866.0)</f>
        <v>41866</v>
      </c>
      <c r="I905" s="167">
        <f>IFERROR(__xludf.DUMMYFUNCTION("""COMPUTED_VALUE"""),2.7944444444444443)</f>
        <v>2.794444444</v>
      </c>
      <c r="J905" s="168">
        <f>IFERROR(__xludf.DUMMYFUNCTION("""COMPUTED_VALUE"""),74.0)</f>
        <v>74</v>
      </c>
      <c r="K905" s="168">
        <f>IFERROR(__xludf.DUMMYFUNCTION("""COMPUTED_VALUE"""),1.0)</f>
        <v>1</v>
      </c>
      <c r="L905" s="207" t="str">
        <f>IFERROR(__xludf.DUMMYFUNCTION("""COMPUTED_VALUE"""),"Action / Platformer")</f>
        <v>Action / Platformer</v>
      </c>
    </row>
    <row r="906">
      <c r="A906" s="203" t="str">
        <f>IFERROR(__xludf.DUMMYFUNCTION("""COMPUTED_VALUE"""),"The Escapists: The Walking Dead")</f>
        <v>The Escapists: The Walking Dead</v>
      </c>
      <c r="B906" s="204" t="str">
        <f>IFERROR(__xludf.DUMMYFUNCTION("""COMPUTED_VALUE"""),"Xbox")</f>
        <v>Xbox</v>
      </c>
      <c r="C906" s="205"/>
      <c r="D906" s="205" t="str">
        <f>IFERROR(__xludf.DUMMYFUNCTION("""COMPUTED_VALUE"""),"Removed")</f>
        <v>Removed</v>
      </c>
      <c r="E906" s="276">
        <f>IFERROR(__xludf.DUMMYFUNCTION("""COMPUTED_VALUE"""),43313.0)</f>
        <v>43313</v>
      </c>
      <c r="F906" s="166">
        <f>IFERROR(__xludf.DUMMYFUNCTION("""COMPUTED_VALUE"""),43466.0)</f>
        <v>43466</v>
      </c>
      <c r="G906" s="167">
        <f>IFERROR(__xludf.DUMMYFUNCTION("""COMPUTED_VALUE"""),5.0)</f>
        <v>5</v>
      </c>
      <c r="H906" s="213">
        <f>IFERROR(__xludf.DUMMYFUNCTION("""COMPUTED_VALUE"""),42277.0)</f>
        <v>42277</v>
      </c>
      <c r="I906" s="167">
        <f>IFERROR(__xludf.DUMMYFUNCTION("""COMPUTED_VALUE"""),2.8361111111111112)</f>
        <v>2.836111111</v>
      </c>
      <c r="J906" s="168">
        <f>IFERROR(__xludf.DUMMYFUNCTION("""COMPUTED_VALUE"""),65.0)</f>
        <v>65</v>
      </c>
      <c r="K906" s="168">
        <f>IFERROR(__xludf.DUMMYFUNCTION("""COMPUTED_VALUE"""),6.5)</f>
        <v>6.5</v>
      </c>
      <c r="L906" s="207" t="str">
        <f>IFERROR(__xludf.DUMMYFUNCTION("""COMPUTED_VALUE"""),"Strategy / Simulation")</f>
        <v>Strategy / Simulation</v>
      </c>
    </row>
    <row r="907">
      <c r="A907" s="203" t="str">
        <f>IFERROR(__xludf.DUMMYFUNCTION("""COMPUTED_VALUE"""),"Letter Quest: Grimm's Journey - Remastered")</f>
        <v>Letter Quest: Grimm's Journey - Remastered</v>
      </c>
      <c r="B907" s="204" t="str">
        <f>IFERROR(__xludf.DUMMYFUNCTION("""COMPUTED_VALUE"""),"Xbox")</f>
        <v>Xbox</v>
      </c>
      <c r="C907" s="205"/>
      <c r="D907" s="205" t="str">
        <f>IFERROR(__xludf.DUMMYFUNCTION("""COMPUTED_VALUE"""),"Removed")</f>
        <v>Removed</v>
      </c>
      <c r="E907" s="276">
        <f>IFERROR(__xludf.DUMMYFUNCTION("""COMPUTED_VALUE"""),43132.0)</f>
        <v>43132</v>
      </c>
      <c r="F907" s="166">
        <f>IFERROR(__xludf.DUMMYFUNCTION("""COMPUTED_VALUE"""),43466.0)</f>
        <v>43466</v>
      </c>
      <c r="G907" s="167">
        <f>IFERROR(__xludf.DUMMYFUNCTION("""COMPUTED_VALUE"""),11.0)</f>
        <v>11</v>
      </c>
      <c r="H907" s="213">
        <f>IFERROR(__xludf.DUMMYFUNCTION("""COMPUTED_VALUE"""),41842.0)</f>
        <v>41842</v>
      </c>
      <c r="I907" s="167">
        <f>IFERROR(__xludf.DUMMYFUNCTION("""COMPUTED_VALUE"""),3.525)</f>
        <v>3.525</v>
      </c>
      <c r="J907" s="168">
        <f>IFERROR(__xludf.DUMMYFUNCTION("""COMPUTED_VALUE"""),77.0)</f>
        <v>77</v>
      </c>
      <c r="K907" s="168">
        <f>IFERROR(__xludf.DUMMYFUNCTION("""COMPUTED_VALUE"""),9.0)</f>
        <v>9</v>
      </c>
      <c r="L907" s="207" t="str">
        <f>IFERROR(__xludf.DUMMYFUNCTION("""COMPUTED_VALUE"""),"Puzzle")</f>
        <v>Puzzle</v>
      </c>
    </row>
    <row r="908">
      <c r="A908" s="203" t="str">
        <f>IFERROR(__xludf.DUMMYFUNCTION("""COMPUTED_VALUE"""),"Dead Rising 3")</f>
        <v>Dead Rising 3</v>
      </c>
      <c r="B908" s="204" t="str">
        <f>IFERROR(__xludf.DUMMYFUNCTION("""COMPUTED_VALUE"""),"Xbox")</f>
        <v>Xbox</v>
      </c>
      <c r="C908" s="205"/>
      <c r="D908" s="205" t="str">
        <f>IFERROR(__xludf.DUMMYFUNCTION("""COMPUTED_VALUE"""),"Removed")</f>
        <v>Removed</v>
      </c>
      <c r="E908" s="276">
        <f>IFERROR(__xludf.DUMMYFUNCTION("""COMPUTED_VALUE"""),42948.0)</f>
        <v>42948</v>
      </c>
      <c r="F908" s="166">
        <f>IFERROR(__xludf.DUMMYFUNCTION("""COMPUTED_VALUE"""),43466.0)</f>
        <v>43466</v>
      </c>
      <c r="G908" s="167">
        <f>IFERROR(__xludf.DUMMYFUNCTION("""COMPUTED_VALUE"""),17.0)</f>
        <v>17</v>
      </c>
      <c r="H908" s="213">
        <f>IFERROR(__xludf.DUMMYFUNCTION("""COMPUTED_VALUE"""),41600.0)</f>
        <v>41600</v>
      </c>
      <c r="I908" s="167">
        <f>IFERROR(__xludf.DUMMYFUNCTION("""COMPUTED_VALUE"""),3.691666666666667)</f>
        <v>3.691666667</v>
      </c>
      <c r="J908" s="168">
        <f>IFERROR(__xludf.DUMMYFUNCTION("""COMPUTED_VALUE"""),78.0)</f>
        <v>78</v>
      </c>
      <c r="K908" s="168">
        <f>IFERROR(__xludf.DUMMYFUNCTION("""COMPUTED_VALUE"""),14.0)</f>
        <v>14</v>
      </c>
      <c r="L908" s="207" t="str">
        <f>IFERROR(__xludf.DUMMYFUNCTION("""COMPUTED_VALUE"""),"RPG / Action-Adventure")</f>
        <v>RPG / Action-Adventure</v>
      </c>
    </row>
    <row r="909">
      <c r="A909" s="203" t="str">
        <f>IFERROR(__xludf.DUMMYFUNCTION("""COMPUTED_VALUE"""),"Electronic Super Joy")</f>
        <v>Electronic Super Joy</v>
      </c>
      <c r="B909" s="204" t="str">
        <f>IFERROR(__xludf.DUMMYFUNCTION("""COMPUTED_VALUE"""),"Xbox")</f>
        <v>Xbox</v>
      </c>
      <c r="C909" s="205"/>
      <c r="D909" s="205" t="str">
        <f>IFERROR(__xludf.DUMMYFUNCTION("""COMPUTED_VALUE"""),"Removed")</f>
        <v>Removed</v>
      </c>
      <c r="E909" s="276">
        <f>IFERROR(__xludf.DUMMYFUNCTION("""COMPUTED_VALUE"""),42887.0)</f>
        <v>42887</v>
      </c>
      <c r="F909" s="166">
        <f>IFERROR(__xludf.DUMMYFUNCTION("""COMPUTED_VALUE"""),43466.0)</f>
        <v>43466</v>
      </c>
      <c r="G909" s="167">
        <f>IFERROR(__xludf.DUMMYFUNCTION("""COMPUTED_VALUE"""),19.0)</f>
        <v>19</v>
      </c>
      <c r="H909" s="213">
        <f>IFERROR(__xludf.DUMMYFUNCTION("""COMPUTED_VALUE"""),41509.0)</f>
        <v>41509</v>
      </c>
      <c r="I909" s="167">
        <f>IFERROR(__xludf.DUMMYFUNCTION("""COMPUTED_VALUE"""),3.772222222222222)</f>
        <v>3.772222222</v>
      </c>
      <c r="J909" s="168">
        <f>IFERROR(__xludf.DUMMYFUNCTION("""COMPUTED_VALUE"""),77.0)</f>
        <v>77</v>
      </c>
      <c r="K909" s="168">
        <f>IFERROR(__xludf.DUMMYFUNCTION("""COMPUTED_VALUE"""),3.0)</f>
        <v>3</v>
      </c>
      <c r="L909" s="207" t="str">
        <f>IFERROR(__xludf.DUMMYFUNCTION("""COMPUTED_VALUE"""),"Platformer")</f>
        <v>Platformer</v>
      </c>
    </row>
    <row r="910">
      <c r="A910" s="203" t="str">
        <f>IFERROR(__xludf.DUMMYFUNCTION("""COMPUTED_VALUE"""),"Roundabout")</f>
        <v>Roundabout</v>
      </c>
      <c r="B910" s="204" t="str">
        <f>IFERROR(__xludf.DUMMYFUNCTION("""COMPUTED_VALUE"""),"Xbox")</f>
        <v>Xbox</v>
      </c>
      <c r="C910" s="205"/>
      <c r="D910" s="205" t="str">
        <f>IFERROR(__xludf.DUMMYFUNCTION("""COMPUTED_VALUE"""),"Removed")</f>
        <v>Removed</v>
      </c>
      <c r="E910" s="276">
        <f>IFERROR(__xludf.DUMMYFUNCTION("""COMPUTED_VALUE"""),42887.0)</f>
        <v>42887</v>
      </c>
      <c r="F910" s="166">
        <f>IFERROR(__xludf.DUMMYFUNCTION("""COMPUTED_VALUE"""),43466.0)</f>
        <v>43466</v>
      </c>
      <c r="G910" s="167">
        <f>IFERROR(__xludf.DUMMYFUNCTION("""COMPUTED_VALUE"""),19.0)</f>
        <v>19</v>
      </c>
      <c r="H910" s="213">
        <f>IFERROR(__xludf.DUMMYFUNCTION("""COMPUTED_VALUE"""),41900.0)</f>
        <v>41900</v>
      </c>
      <c r="I910" s="167">
        <f>IFERROR(__xludf.DUMMYFUNCTION("""COMPUTED_VALUE"""),2.702777777777778)</f>
        <v>2.702777778</v>
      </c>
      <c r="J910" s="168">
        <f>IFERROR(__xludf.DUMMYFUNCTION("""COMPUTED_VALUE"""),74.0)</f>
        <v>74</v>
      </c>
      <c r="K910" s="168">
        <f>IFERROR(__xludf.DUMMYFUNCTION("""COMPUTED_VALUE"""),2.5)</f>
        <v>2.5</v>
      </c>
      <c r="L910" s="207" t="str">
        <f>IFERROR(__xludf.DUMMYFUNCTION("""COMPUTED_VALUE"""),"Puzzle")</f>
        <v>Puzzle</v>
      </c>
    </row>
    <row r="911">
      <c r="A911" s="203" t="str">
        <f>IFERROR(__xludf.DUMMYFUNCTION("""COMPUTED_VALUE"""),"Steredenn")</f>
        <v>Steredenn</v>
      </c>
      <c r="B911" s="204" t="str">
        <f>IFERROR(__xludf.DUMMYFUNCTION("""COMPUTED_VALUE"""),"Xbox")</f>
        <v>Xbox</v>
      </c>
      <c r="C911" s="205"/>
      <c r="D911" s="205" t="str">
        <f>IFERROR(__xludf.DUMMYFUNCTION("""COMPUTED_VALUE"""),"Removed")</f>
        <v>Removed</v>
      </c>
      <c r="E911" s="276">
        <f>IFERROR(__xludf.DUMMYFUNCTION("""COMPUTED_VALUE"""),42887.0)</f>
        <v>42887</v>
      </c>
      <c r="F911" s="166">
        <f>IFERROR(__xludf.DUMMYFUNCTION("""COMPUTED_VALUE"""),43466.0)</f>
        <v>43466</v>
      </c>
      <c r="G911" s="167">
        <f>IFERROR(__xludf.DUMMYFUNCTION("""COMPUTED_VALUE"""),19.0)</f>
        <v>19</v>
      </c>
      <c r="H911" s="213">
        <f>IFERROR(__xludf.DUMMYFUNCTION("""COMPUTED_VALUE"""),42142.0)</f>
        <v>42142</v>
      </c>
      <c r="I911" s="167">
        <f>IFERROR(__xludf.DUMMYFUNCTION("""COMPUTED_VALUE"""),2.036111111111111)</f>
        <v>2.036111111</v>
      </c>
      <c r="J911" s="168">
        <f>IFERROR(__xludf.DUMMYFUNCTION("""COMPUTED_VALUE"""),79.0)</f>
        <v>79</v>
      </c>
      <c r="K911" s="168">
        <f>IFERROR(__xludf.DUMMYFUNCTION("""COMPUTED_VALUE"""),1.5)</f>
        <v>1.5</v>
      </c>
      <c r="L911" s="207" t="str">
        <f>IFERROR(__xludf.DUMMYFUNCTION("""COMPUTED_VALUE"""),"Shoot 'Em Up")</f>
        <v>Shoot 'Em Up</v>
      </c>
    </row>
    <row r="912">
      <c r="A912" s="203" t="str">
        <f>IFERROR(__xludf.DUMMYFUNCTION("""COMPUTED_VALUE"""),"Bayonetta")</f>
        <v>Bayonetta</v>
      </c>
      <c r="B912" s="204" t="str">
        <f>IFERROR(__xludf.DUMMYFUNCTION("""COMPUTED_VALUE"""),"Xbox")</f>
        <v>Xbox</v>
      </c>
      <c r="C912" s="205"/>
      <c r="D912" s="205" t="str">
        <f>IFERROR(__xludf.DUMMYFUNCTION("""COMPUTED_VALUE"""),"Removed")</f>
        <v>Removed</v>
      </c>
      <c r="E912" s="276">
        <f>IFERROR(__xludf.DUMMYFUNCTION("""COMPUTED_VALUE"""),43101.0)</f>
        <v>43101</v>
      </c>
      <c r="F912" s="166">
        <f>IFERROR(__xludf.DUMMYFUNCTION("""COMPUTED_VALUE"""),43435.0)</f>
        <v>43435</v>
      </c>
      <c r="G912" s="167">
        <f>IFERROR(__xludf.DUMMYFUNCTION("""COMPUTED_VALUE"""),11.0)</f>
        <v>11</v>
      </c>
      <c r="H912" s="213">
        <f>IFERROR(__xludf.DUMMYFUNCTION("""COMPUTED_VALUE"""),40115.0)</f>
        <v>40115</v>
      </c>
      <c r="I912" s="167">
        <f>IFERROR(__xludf.DUMMYFUNCTION("""COMPUTED_VALUE"""),8.172222222222222)</f>
        <v>8.172222222</v>
      </c>
      <c r="J912" s="168">
        <f>IFERROR(__xludf.DUMMYFUNCTION("""COMPUTED_VALUE"""),90.0)</f>
        <v>90</v>
      </c>
      <c r="K912" s="168">
        <f>IFERROR(__xludf.DUMMYFUNCTION("""COMPUTED_VALUE"""),11.0)</f>
        <v>11</v>
      </c>
      <c r="L912" s="207" t="str">
        <f>IFERROR(__xludf.DUMMYFUNCTION("""COMPUTED_VALUE"""),"Action")</f>
        <v>Action</v>
      </c>
    </row>
    <row r="913">
      <c r="A913" s="203" t="str">
        <f>IFERROR(__xludf.DUMMYFUNCTION("""COMPUTED_VALUE"""),"Deadlight: Director's Cut")</f>
        <v>Deadlight: Director's Cut</v>
      </c>
      <c r="B913" s="204" t="str">
        <f>IFERROR(__xludf.DUMMYFUNCTION("""COMPUTED_VALUE"""),"Xbox")</f>
        <v>Xbox</v>
      </c>
      <c r="C913" s="205"/>
      <c r="D913" s="205" t="str">
        <f>IFERROR(__xludf.DUMMYFUNCTION("""COMPUTED_VALUE"""),"Removed")</f>
        <v>Removed</v>
      </c>
      <c r="E913" s="276">
        <f>IFERROR(__xludf.DUMMYFUNCTION("""COMPUTED_VALUE"""),43101.0)</f>
        <v>43101</v>
      </c>
      <c r="F913" s="166">
        <f>IFERROR(__xludf.DUMMYFUNCTION("""COMPUTED_VALUE"""),43435.0)</f>
        <v>43435</v>
      </c>
      <c r="G913" s="167">
        <f>IFERROR(__xludf.DUMMYFUNCTION("""COMPUTED_VALUE"""),11.0)</f>
        <v>11</v>
      </c>
      <c r="H913" s="213">
        <f>IFERROR(__xludf.DUMMYFUNCTION("""COMPUTED_VALUE"""),41900.0)</f>
        <v>41900</v>
      </c>
      <c r="I913" s="167">
        <f>IFERROR(__xludf.DUMMYFUNCTION("""COMPUTED_VALUE"""),3.286111111111111)</f>
        <v>3.286111111</v>
      </c>
      <c r="J913" s="168">
        <f>IFERROR(__xludf.DUMMYFUNCTION("""COMPUTED_VALUE"""),69.0)</f>
        <v>69</v>
      </c>
      <c r="K913" s="168">
        <f>IFERROR(__xludf.DUMMYFUNCTION("""COMPUTED_VALUE"""),4.0)</f>
        <v>4</v>
      </c>
      <c r="L913" s="207" t="str">
        <f>IFERROR(__xludf.DUMMYFUNCTION("""COMPUTED_VALUE"""),"RPG")</f>
        <v>RPG</v>
      </c>
    </row>
    <row r="914">
      <c r="A914" s="203" t="str">
        <f>IFERROR(__xludf.DUMMYFUNCTION("""COMPUTED_VALUE"""),"Injustice: Gods Among Us")</f>
        <v>Injustice: Gods Among Us</v>
      </c>
      <c r="B914" s="204" t="str">
        <f>IFERROR(__xludf.DUMMYFUNCTION("""COMPUTED_VALUE"""),"Xbox")</f>
        <v>Xbox</v>
      </c>
      <c r="C914" s="205"/>
      <c r="D914" s="205" t="str">
        <f>IFERROR(__xludf.DUMMYFUNCTION("""COMPUTED_VALUE"""),"Removed")</f>
        <v>Removed</v>
      </c>
      <c r="E914" s="276">
        <f>IFERROR(__xludf.DUMMYFUNCTION("""COMPUTED_VALUE"""),43101.0)</f>
        <v>43101</v>
      </c>
      <c r="F914" s="166">
        <f>IFERROR(__xludf.DUMMYFUNCTION("""COMPUTED_VALUE"""),43435.0)</f>
        <v>43435</v>
      </c>
      <c r="G914" s="167">
        <f>IFERROR(__xludf.DUMMYFUNCTION("""COMPUTED_VALUE"""),11.0)</f>
        <v>11</v>
      </c>
      <c r="H914" s="213">
        <f>IFERROR(__xludf.DUMMYFUNCTION("""COMPUTED_VALUE"""),41380.0)</f>
        <v>41380</v>
      </c>
      <c r="I914" s="167">
        <f>IFERROR(__xludf.DUMMYFUNCTION("""COMPUTED_VALUE"""),4.708333333333333)</f>
        <v>4.708333333</v>
      </c>
      <c r="J914" s="168">
        <f>IFERROR(__xludf.DUMMYFUNCTION("""COMPUTED_VALUE"""),81.0)</f>
        <v>81</v>
      </c>
      <c r="K914" s="168">
        <f>IFERROR(__xludf.DUMMYFUNCTION("""COMPUTED_VALUE"""),5.0)</f>
        <v>5</v>
      </c>
      <c r="L914" s="207" t="str">
        <f>IFERROR(__xludf.DUMMYFUNCTION("""COMPUTED_VALUE"""),"Fighting")</f>
        <v>Fighting</v>
      </c>
    </row>
    <row r="915">
      <c r="A915" s="203" t="str">
        <f>IFERROR(__xludf.DUMMYFUNCTION("""COMPUTED_VALUE"""),"Metal Gear Solid V: Ground Zeroes")</f>
        <v>Metal Gear Solid V: Ground Zeroes</v>
      </c>
      <c r="B915" s="204" t="str">
        <f>IFERROR(__xludf.DUMMYFUNCTION("""COMPUTED_VALUE"""),"Xbox")</f>
        <v>Xbox</v>
      </c>
      <c r="C915" s="205"/>
      <c r="D915" s="205" t="str">
        <f>IFERROR(__xludf.DUMMYFUNCTION("""COMPUTED_VALUE"""),"Removed")</f>
        <v>Removed</v>
      </c>
      <c r="E915" s="276">
        <f>IFERROR(__xludf.DUMMYFUNCTION("""COMPUTED_VALUE"""),43101.0)</f>
        <v>43101</v>
      </c>
      <c r="F915" s="166">
        <f>IFERROR(__xludf.DUMMYFUNCTION("""COMPUTED_VALUE"""),43435.0)</f>
        <v>43435</v>
      </c>
      <c r="G915" s="167">
        <f>IFERROR(__xludf.DUMMYFUNCTION("""COMPUTED_VALUE"""),11.0)</f>
        <v>11</v>
      </c>
      <c r="H915" s="213">
        <f>IFERROR(__xludf.DUMMYFUNCTION("""COMPUTED_VALUE"""),41716.0)</f>
        <v>41716</v>
      </c>
      <c r="I915" s="167">
        <f>IFERROR(__xludf.DUMMYFUNCTION("""COMPUTED_VALUE"""),3.786111111111111)</f>
        <v>3.786111111</v>
      </c>
      <c r="J915" s="168">
        <f>IFERROR(__xludf.DUMMYFUNCTION("""COMPUTED_VALUE"""),76.0)</f>
        <v>76</v>
      </c>
      <c r="K915" s="168">
        <f>IFERROR(__xludf.DUMMYFUNCTION("""COMPUTED_VALUE"""),1.5)</f>
        <v>1.5</v>
      </c>
      <c r="L915" s="207" t="str">
        <f>IFERROR(__xludf.DUMMYFUNCTION("""COMPUTED_VALUE"""),"Action / Shooter")</f>
        <v>Action / Shooter</v>
      </c>
    </row>
    <row r="916">
      <c r="A916" s="203" t="str">
        <f>IFERROR(__xludf.DUMMYFUNCTION("""COMPUTED_VALUE"""),"NBA Playgrounds")</f>
        <v>NBA Playgrounds</v>
      </c>
      <c r="B916" s="204" t="str">
        <f>IFERROR(__xludf.DUMMYFUNCTION("""COMPUTED_VALUE"""),"Xbox")</f>
        <v>Xbox</v>
      </c>
      <c r="C916" s="205"/>
      <c r="D916" s="205" t="str">
        <f>IFERROR(__xludf.DUMMYFUNCTION("""COMPUTED_VALUE"""),"Removed")</f>
        <v>Removed</v>
      </c>
      <c r="E916" s="276">
        <f>IFERROR(__xludf.DUMMYFUNCTION("""COMPUTED_VALUE"""),43101.0)</f>
        <v>43101</v>
      </c>
      <c r="F916" s="166">
        <f>IFERROR(__xludf.DUMMYFUNCTION("""COMPUTED_VALUE"""),43435.0)</f>
        <v>43435</v>
      </c>
      <c r="G916" s="167">
        <f>IFERROR(__xludf.DUMMYFUNCTION("""COMPUTED_VALUE"""),11.0)</f>
        <v>11</v>
      </c>
      <c r="H916" s="213">
        <f>IFERROR(__xludf.DUMMYFUNCTION("""COMPUTED_VALUE"""),42863.0)</f>
        <v>42863</v>
      </c>
      <c r="I916" s="167">
        <f>IFERROR(__xludf.DUMMYFUNCTION("""COMPUTED_VALUE"""),0.6472222222222223)</f>
        <v>0.6472222222</v>
      </c>
      <c r="J916" s="168">
        <f>IFERROR(__xludf.DUMMYFUNCTION("""COMPUTED_VALUE"""),66.0)</f>
        <v>66</v>
      </c>
      <c r="K916" s="168">
        <f>IFERROR(__xludf.DUMMYFUNCTION("""COMPUTED_VALUE"""),7.0)</f>
        <v>7</v>
      </c>
      <c r="L916" s="207" t="str">
        <f>IFERROR(__xludf.DUMMYFUNCTION("""COMPUTED_VALUE"""),"Sports / Basketball")</f>
        <v>Sports / Basketball</v>
      </c>
    </row>
    <row r="917">
      <c r="A917" s="203" t="str">
        <f>IFERROR(__xludf.DUMMYFUNCTION("""COMPUTED_VALUE"""),"WRC 5: FIA World Rally Championships")</f>
        <v>WRC 5: FIA World Rally Championships</v>
      </c>
      <c r="B917" s="204" t="str">
        <f>IFERROR(__xludf.DUMMYFUNCTION("""COMPUTED_VALUE"""),"Xbox")</f>
        <v>Xbox</v>
      </c>
      <c r="C917" s="205"/>
      <c r="D917" s="205" t="str">
        <f>IFERROR(__xludf.DUMMYFUNCTION("""COMPUTED_VALUE"""),"Removed")</f>
        <v>Removed</v>
      </c>
      <c r="E917" s="276">
        <f>IFERROR(__xludf.DUMMYFUNCTION("""COMPUTED_VALUE"""),43101.0)</f>
        <v>43101</v>
      </c>
      <c r="F917" s="166">
        <f>IFERROR(__xludf.DUMMYFUNCTION("""COMPUTED_VALUE"""),43435.0)</f>
        <v>43435</v>
      </c>
      <c r="G917" s="167">
        <f>IFERROR(__xludf.DUMMYFUNCTION("""COMPUTED_VALUE"""),11.0)</f>
        <v>11</v>
      </c>
      <c r="H917" s="213">
        <f>IFERROR(__xludf.DUMMYFUNCTION("""COMPUTED_VALUE"""),40459.0)</f>
        <v>40459</v>
      </c>
      <c r="I917" s="167">
        <f>IFERROR(__xludf.DUMMYFUNCTION("""COMPUTED_VALUE"""),7.230555555555555)</f>
        <v>7.230555556</v>
      </c>
      <c r="J917" s="168">
        <f>IFERROR(__xludf.DUMMYFUNCTION("""COMPUTED_VALUE"""),70.0)</f>
        <v>70</v>
      </c>
      <c r="K917" s="168">
        <f>IFERROR(__xludf.DUMMYFUNCTION("""COMPUTED_VALUE"""),15.0)</f>
        <v>15</v>
      </c>
      <c r="L917" s="207" t="str">
        <f>IFERROR(__xludf.DUMMYFUNCTION("""COMPUTED_VALUE"""),"Driving/Racing")</f>
        <v>Driving/Racing</v>
      </c>
    </row>
    <row r="918">
      <c r="A918" s="203" t="str">
        <f>IFERROR(__xludf.DUMMYFUNCTION("""COMPUTED_VALUE"""),"Farming Simulator 15")</f>
        <v>Farming Simulator 15</v>
      </c>
      <c r="B918" s="204" t="str">
        <f>IFERROR(__xludf.DUMMYFUNCTION("""COMPUTED_VALUE"""),"Xbox")</f>
        <v>Xbox</v>
      </c>
      <c r="C918" s="205"/>
      <c r="D918" s="205" t="str">
        <f>IFERROR(__xludf.DUMMYFUNCTION("""COMPUTED_VALUE"""),"Removed")</f>
        <v>Removed</v>
      </c>
      <c r="E918" s="276">
        <f>IFERROR(__xludf.DUMMYFUNCTION("""COMPUTED_VALUE"""),42887.0)</f>
        <v>42887</v>
      </c>
      <c r="F918" s="166">
        <f>IFERROR(__xludf.DUMMYFUNCTION("""COMPUTED_VALUE"""),43435.0)</f>
        <v>43435</v>
      </c>
      <c r="G918" s="167">
        <f>IFERROR(__xludf.DUMMYFUNCTION("""COMPUTED_VALUE"""),18.0)</f>
        <v>18</v>
      </c>
      <c r="H918" s="213">
        <f>IFERROR(__xludf.DUMMYFUNCTION("""COMPUTED_VALUE"""),41942.0)</f>
        <v>41942</v>
      </c>
      <c r="I918" s="167">
        <f>IFERROR(__xludf.DUMMYFUNCTION("""COMPUTED_VALUE"""),2.5861111111111112)</f>
        <v>2.586111111</v>
      </c>
      <c r="J918" s="168">
        <f>IFERROR(__xludf.DUMMYFUNCTION("""COMPUTED_VALUE"""),54.0)</f>
        <v>54</v>
      </c>
      <c r="K918" s="168">
        <f>IFERROR(__xludf.DUMMYFUNCTION("""COMPUTED_VALUE"""),60.5)</f>
        <v>60.5</v>
      </c>
      <c r="L918" s="207" t="str">
        <f>IFERROR(__xludf.DUMMYFUNCTION("""COMPUTED_VALUE"""),"Simulation")</f>
        <v>Simulation</v>
      </c>
    </row>
    <row r="919">
      <c r="A919" s="203" t="str">
        <f>IFERROR(__xludf.DUMMYFUNCTION("""COMPUTED_VALUE"""),"The Technomancer")</f>
        <v>The Technomancer</v>
      </c>
      <c r="B919" s="204" t="str">
        <f>IFERROR(__xludf.DUMMYFUNCTION("""COMPUTED_VALUE"""),"Xbox")</f>
        <v>Xbox</v>
      </c>
      <c r="C919" s="205"/>
      <c r="D919" s="205" t="str">
        <f>IFERROR(__xludf.DUMMYFUNCTION("""COMPUTED_VALUE"""),"Removed")</f>
        <v>Removed</v>
      </c>
      <c r="E919" s="276">
        <f>IFERROR(__xludf.DUMMYFUNCTION("""COMPUTED_VALUE"""),43252.0)</f>
        <v>43252</v>
      </c>
      <c r="F919" s="166">
        <f>IFERROR(__xludf.DUMMYFUNCTION("""COMPUTED_VALUE"""),43405.0)</f>
        <v>43405</v>
      </c>
      <c r="G919" s="167">
        <f>IFERROR(__xludf.DUMMYFUNCTION("""COMPUTED_VALUE"""),5.0)</f>
        <v>5</v>
      </c>
      <c r="H919" s="213">
        <f>IFERROR(__xludf.DUMMYFUNCTION("""COMPUTED_VALUE"""),42549.0)</f>
        <v>42549</v>
      </c>
      <c r="I919" s="167">
        <f>IFERROR(__xludf.DUMMYFUNCTION("""COMPUTED_VALUE"""),1.925)</f>
        <v>1.925</v>
      </c>
      <c r="J919" s="168">
        <f>IFERROR(__xludf.DUMMYFUNCTION("""COMPUTED_VALUE"""),68.0)</f>
        <v>68</v>
      </c>
      <c r="K919" s="168">
        <f>IFERROR(__xludf.DUMMYFUNCTION("""COMPUTED_VALUE"""),20.5)</f>
        <v>20.5</v>
      </c>
      <c r="L919" s="207" t="str">
        <f>IFERROR(__xludf.DUMMYFUNCTION("""COMPUTED_VALUE"""),"Action / RPG")</f>
        <v>Action / RPG</v>
      </c>
    </row>
    <row r="920">
      <c r="A920" s="203" t="str">
        <f>IFERROR(__xludf.DUMMYFUNCTION("""COMPUTED_VALUE"""),"Casey Powell Lacrosse 16")</f>
        <v>Casey Powell Lacrosse 16</v>
      </c>
      <c r="B920" s="204" t="str">
        <f>IFERROR(__xludf.DUMMYFUNCTION("""COMPUTED_VALUE"""),"Xbox")</f>
        <v>Xbox</v>
      </c>
      <c r="C920" s="205"/>
      <c r="D920" s="205" t="str">
        <f>IFERROR(__xludf.DUMMYFUNCTION("""COMPUTED_VALUE"""),"Removed")</f>
        <v>Removed</v>
      </c>
      <c r="E920" s="276">
        <f>IFERROR(__xludf.DUMMYFUNCTION("""COMPUTED_VALUE"""),43070.0)</f>
        <v>43070</v>
      </c>
      <c r="F920" s="166">
        <f>IFERROR(__xludf.DUMMYFUNCTION("""COMPUTED_VALUE"""),43405.0)</f>
        <v>43405</v>
      </c>
      <c r="G920" s="167">
        <f>IFERROR(__xludf.DUMMYFUNCTION("""COMPUTED_VALUE"""),11.0)</f>
        <v>11</v>
      </c>
      <c r="H920" s="213">
        <f>IFERROR(__xludf.DUMMYFUNCTION("""COMPUTED_VALUE"""),42438.0)</f>
        <v>42438</v>
      </c>
      <c r="I920" s="167">
        <f>IFERROR(__xludf.DUMMYFUNCTION("""COMPUTED_VALUE"""),1.7277777777777779)</f>
        <v>1.727777778</v>
      </c>
      <c r="J920" s="168">
        <f>IFERROR(__xludf.DUMMYFUNCTION("""COMPUTED_VALUE"""),60.0)</f>
        <v>60</v>
      </c>
      <c r="K920" s="168">
        <f>IFERROR(__xludf.DUMMYFUNCTION("""COMPUTED_VALUE"""),40.0)</f>
        <v>40</v>
      </c>
      <c r="L920" s="207" t="str">
        <f>IFERROR(__xludf.DUMMYFUNCTION("""COMPUTED_VALUE"""),"Sports")</f>
        <v>Sports</v>
      </c>
    </row>
    <row r="921">
      <c r="A921" s="203" t="str">
        <f>IFERROR(__xludf.DUMMYFUNCTION("""COMPUTED_VALUE"""),"Mega Man 10")</f>
        <v>Mega Man 10</v>
      </c>
      <c r="B921" s="204" t="str">
        <f>IFERROR(__xludf.DUMMYFUNCTION("""COMPUTED_VALUE"""),"Xbox")</f>
        <v>Xbox</v>
      </c>
      <c r="C921" s="205"/>
      <c r="D921" s="205" t="str">
        <f>IFERROR(__xludf.DUMMYFUNCTION("""COMPUTED_VALUE"""),"Removed")</f>
        <v>Removed</v>
      </c>
      <c r="E921" s="276">
        <f>IFERROR(__xludf.DUMMYFUNCTION("""COMPUTED_VALUE"""),43070.0)</f>
        <v>43070</v>
      </c>
      <c r="F921" s="166">
        <f>IFERROR(__xludf.DUMMYFUNCTION("""COMPUTED_VALUE"""),43405.0)</f>
        <v>43405</v>
      </c>
      <c r="G921" s="167">
        <f>IFERROR(__xludf.DUMMYFUNCTION("""COMPUTED_VALUE"""),11.0)</f>
        <v>11</v>
      </c>
      <c r="H921" s="213">
        <f>IFERROR(__xludf.DUMMYFUNCTION("""COMPUTED_VALUE"""),40238.0)</f>
        <v>40238</v>
      </c>
      <c r="I921" s="167">
        <f>IFERROR(__xludf.DUMMYFUNCTION("""COMPUTED_VALUE"""),7.75)</f>
        <v>7.75</v>
      </c>
      <c r="J921" s="168">
        <f>IFERROR(__xludf.DUMMYFUNCTION("""COMPUTED_VALUE"""),79.0)</f>
        <v>79</v>
      </c>
      <c r="K921" s="168">
        <f>IFERROR(__xludf.DUMMYFUNCTION("""COMPUTED_VALUE"""),2.0)</f>
        <v>2</v>
      </c>
      <c r="L921" s="207" t="str">
        <f>IFERROR(__xludf.DUMMYFUNCTION("""COMPUTED_VALUE"""),"Action / Platformer")</f>
        <v>Action / Platformer</v>
      </c>
    </row>
    <row r="922">
      <c r="A922" s="203" t="str">
        <f>IFERROR(__xludf.DUMMYFUNCTION("""COMPUTED_VALUE"""),"Sherlock Holmes: The Devil's Daughter")</f>
        <v>Sherlock Holmes: The Devil's Daughter</v>
      </c>
      <c r="B922" s="204" t="str">
        <f>IFERROR(__xludf.DUMMYFUNCTION("""COMPUTED_VALUE"""),"Xbox")</f>
        <v>Xbox</v>
      </c>
      <c r="C922" s="205"/>
      <c r="D922" s="205" t="str">
        <f>IFERROR(__xludf.DUMMYFUNCTION("""COMPUTED_VALUE"""),"Removed")</f>
        <v>Removed</v>
      </c>
      <c r="E922" s="276">
        <f>IFERROR(__xludf.DUMMYFUNCTION("""COMPUTED_VALUE"""),43070.0)</f>
        <v>43070</v>
      </c>
      <c r="F922" s="166">
        <f>IFERROR(__xludf.DUMMYFUNCTION("""COMPUTED_VALUE"""),43405.0)</f>
        <v>43405</v>
      </c>
      <c r="G922" s="167">
        <f>IFERROR(__xludf.DUMMYFUNCTION("""COMPUTED_VALUE"""),11.0)</f>
        <v>11</v>
      </c>
      <c r="H922" s="213">
        <f>IFERROR(__xludf.DUMMYFUNCTION("""COMPUTED_VALUE"""),42531.0)</f>
        <v>42531</v>
      </c>
      <c r="I922" s="167">
        <f>IFERROR(__xludf.DUMMYFUNCTION("""COMPUTED_VALUE"""),1.475)</f>
        <v>1.475</v>
      </c>
      <c r="J922" s="168">
        <f>IFERROR(__xludf.DUMMYFUNCTION("""COMPUTED_VALUE"""),66.0)</f>
        <v>66</v>
      </c>
      <c r="K922" s="168">
        <f>IFERROR(__xludf.DUMMYFUNCTION("""COMPUTED_VALUE"""),10.0)</f>
        <v>10</v>
      </c>
      <c r="L922" s="207" t="str">
        <f>IFERROR(__xludf.DUMMYFUNCTION("""COMPUTED_VALUE"""),"Action / Adventure")</f>
        <v>Action / Adventure</v>
      </c>
    </row>
    <row r="923">
      <c r="A923" s="203" t="str">
        <f>IFERROR(__xludf.DUMMYFUNCTION("""COMPUTED_VALUE"""),"This War of Mine: The Little Ones")</f>
        <v>This War of Mine: The Little Ones</v>
      </c>
      <c r="B923" s="204" t="str">
        <f>IFERROR(__xludf.DUMMYFUNCTION("""COMPUTED_VALUE"""),"Xbox")</f>
        <v>Xbox</v>
      </c>
      <c r="C923" s="205"/>
      <c r="D923" s="205" t="str">
        <f>IFERROR(__xludf.DUMMYFUNCTION("""COMPUTED_VALUE"""),"Removed")</f>
        <v>Removed</v>
      </c>
      <c r="E923" s="276">
        <f>IFERROR(__xludf.DUMMYFUNCTION("""COMPUTED_VALUE"""),43070.0)</f>
        <v>43070</v>
      </c>
      <c r="F923" s="166">
        <f>IFERROR(__xludf.DUMMYFUNCTION("""COMPUTED_VALUE"""),43405.0)</f>
        <v>43405</v>
      </c>
      <c r="G923" s="167">
        <f>IFERROR(__xludf.DUMMYFUNCTION("""COMPUTED_VALUE"""),11.0)</f>
        <v>11</v>
      </c>
      <c r="H923" s="213">
        <f>IFERROR(__xludf.DUMMYFUNCTION("""COMPUTED_VALUE"""),41957.0)</f>
        <v>41957</v>
      </c>
      <c r="I923" s="167">
        <f>IFERROR(__xludf.DUMMYFUNCTION("""COMPUTED_VALUE"""),3.047222222222222)</f>
        <v>3.047222222</v>
      </c>
      <c r="J923" s="168">
        <f>IFERROR(__xludf.DUMMYFUNCTION("""COMPUTED_VALUE"""),78.0)</f>
        <v>78</v>
      </c>
      <c r="K923" s="168">
        <f>IFERROR(__xludf.DUMMYFUNCTION("""COMPUTED_VALUE"""),10.0)</f>
        <v>10</v>
      </c>
      <c r="L923" s="207" t="str">
        <f>IFERROR(__xludf.DUMMYFUNCTION("""COMPUTED_VALUE"""),"Strategy / Adventure")</f>
        <v>Strategy / Adventure</v>
      </c>
    </row>
    <row r="924">
      <c r="A924" s="203" t="str">
        <f>IFERROR(__xludf.DUMMYFUNCTION("""COMPUTED_VALUE"""),"Resident Evil Zero")</f>
        <v>Resident Evil Zero</v>
      </c>
      <c r="B924" s="204" t="str">
        <f>IFERROR(__xludf.DUMMYFUNCTION("""COMPUTED_VALUE"""),"Xbox")</f>
        <v>Xbox</v>
      </c>
      <c r="C924" s="205"/>
      <c r="D924" s="205" t="str">
        <f>IFERROR(__xludf.DUMMYFUNCTION("""COMPUTED_VALUE"""),"Removed")</f>
        <v>Removed</v>
      </c>
      <c r="E924" s="276">
        <f>IFERROR(__xludf.DUMMYFUNCTION("""COMPUTED_VALUE"""),42887.0)</f>
        <v>42887</v>
      </c>
      <c r="F924" s="166">
        <f>IFERROR(__xludf.DUMMYFUNCTION("""COMPUTED_VALUE"""),43405.0)</f>
        <v>43405</v>
      </c>
      <c r="G924" s="167">
        <f>IFERROR(__xludf.DUMMYFUNCTION("""COMPUTED_VALUE"""),17.0)</f>
        <v>17</v>
      </c>
      <c r="H924" s="213">
        <f>IFERROR(__xludf.DUMMYFUNCTION("""COMPUTED_VALUE"""),37570.0)</f>
        <v>37570</v>
      </c>
      <c r="I924" s="167">
        <f>IFERROR(__xludf.DUMMYFUNCTION("""COMPUTED_VALUE"""),14.558333333333334)</f>
        <v>14.55833333</v>
      </c>
      <c r="J924" s="168">
        <f>IFERROR(__xludf.DUMMYFUNCTION("""COMPUTED_VALUE"""),69.0)</f>
        <v>69</v>
      </c>
      <c r="K924" s="168">
        <f>IFERROR(__xludf.DUMMYFUNCTION("""COMPUTED_VALUE"""),11.5)</f>
        <v>11.5</v>
      </c>
      <c r="L924" s="207" t="str">
        <f>IFERROR(__xludf.DUMMYFUNCTION("""COMPUTED_VALUE"""),"Action-Adventure")</f>
        <v>Action-Adventure</v>
      </c>
    </row>
    <row r="925">
      <c r="A925" s="203" t="str">
        <f>IFERROR(__xludf.DUMMYFUNCTION("""COMPUTED_VALUE"""),"Oddworld: New 'n' Tasty")</f>
        <v>Oddworld: New 'n' Tasty</v>
      </c>
      <c r="B925" s="204" t="str">
        <f>IFERROR(__xludf.DUMMYFUNCTION("""COMPUTED_VALUE"""),"Xbox")</f>
        <v>Xbox</v>
      </c>
      <c r="C925" s="205"/>
      <c r="D925" s="205" t="str">
        <f>IFERROR(__xludf.DUMMYFUNCTION("""COMPUTED_VALUE"""),"Removed")</f>
        <v>Removed</v>
      </c>
      <c r="E925" s="276">
        <f>IFERROR(__xludf.DUMMYFUNCTION("""COMPUTED_VALUE"""),43041.0)</f>
        <v>43041</v>
      </c>
      <c r="F925" s="166">
        <f>IFERROR(__xludf.DUMMYFUNCTION("""COMPUTED_VALUE"""),43374.0)</f>
        <v>43374</v>
      </c>
      <c r="G925" s="167">
        <f>IFERROR(__xludf.DUMMYFUNCTION("""COMPUTED_VALUE"""),10.966666666666667)</f>
        <v>10.96666667</v>
      </c>
      <c r="H925" s="213">
        <f>IFERROR(__xludf.DUMMYFUNCTION("""COMPUTED_VALUE"""),41842.0)</f>
        <v>41842</v>
      </c>
      <c r="I925" s="167">
        <f>IFERROR(__xludf.DUMMYFUNCTION("""COMPUTED_VALUE"""),3.2777777777777777)</f>
        <v>3.277777778</v>
      </c>
      <c r="J925" s="168">
        <f>IFERROR(__xludf.DUMMYFUNCTION("""COMPUTED_VALUE"""),86.0)</f>
        <v>86</v>
      </c>
      <c r="K925" s="168">
        <f>IFERROR(__xludf.DUMMYFUNCTION("""COMPUTED_VALUE"""),7.5)</f>
        <v>7.5</v>
      </c>
      <c r="L925" s="207" t="str">
        <f>IFERROR(__xludf.DUMMYFUNCTION("""COMPUTED_VALUE"""),"Platformer")</f>
        <v>Platformer</v>
      </c>
    </row>
    <row r="926">
      <c r="A926" s="203" t="str">
        <f>IFERROR(__xludf.DUMMYFUNCTION("""COMPUTED_VALUE"""),"Mega Man 9")</f>
        <v>Mega Man 9</v>
      </c>
      <c r="B926" s="204" t="str">
        <f>IFERROR(__xludf.DUMMYFUNCTION("""COMPUTED_VALUE"""),"Xbox")</f>
        <v>Xbox</v>
      </c>
      <c r="C926" s="205"/>
      <c r="D926" s="205" t="str">
        <f>IFERROR(__xludf.DUMMYFUNCTION("""COMPUTED_VALUE"""),"Removed")</f>
        <v>Removed</v>
      </c>
      <c r="E926" s="276">
        <f>IFERROR(__xludf.DUMMYFUNCTION("""COMPUTED_VALUE"""),43040.0)</f>
        <v>43040</v>
      </c>
      <c r="F926" s="166">
        <f>IFERROR(__xludf.DUMMYFUNCTION("""COMPUTED_VALUE"""),43374.0)</f>
        <v>43374</v>
      </c>
      <c r="G926" s="167">
        <f>IFERROR(__xludf.DUMMYFUNCTION("""COMPUTED_VALUE"""),11.0)</f>
        <v>11</v>
      </c>
      <c r="H926" s="213">
        <f>IFERROR(__xludf.DUMMYFUNCTION("""COMPUTED_VALUE"""),39713.0)</f>
        <v>39713</v>
      </c>
      <c r="I926" s="167">
        <f>IFERROR(__xludf.DUMMYFUNCTION("""COMPUTED_VALUE"""),9.108333333333333)</f>
        <v>9.108333333</v>
      </c>
      <c r="J926" s="168">
        <f>IFERROR(__xludf.DUMMYFUNCTION("""COMPUTED_VALUE"""),82.0)</f>
        <v>82</v>
      </c>
      <c r="K926" s="168">
        <f>IFERROR(__xludf.DUMMYFUNCTION("""COMPUTED_VALUE"""),3.5)</f>
        <v>3.5</v>
      </c>
      <c r="L926" s="207" t="str">
        <f>IFERROR(__xludf.DUMMYFUNCTION("""COMPUTED_VALUE"""),"Action / Platformer")</f>
        <v>Action / Platformer</v>
      </c>
    </row>
    <row r="927">
      <c r="A927" s="203" t="str">
        <f>IFERROR(__xludf.DUMMYFUNCTION("""COMPUTED_VALUE"""),"Resident Evil")</f>
        <v>Resident Evil</v>
      </c>
      <c r="B927" s="204" t="str">
        <f>IFERROR(__xludf.DUMMYFUNCTION("""COMPUTED_VALUE"""),"Xbox")</f>
        <v>Xbox</v>
      </c>
      <c r="C927" s="205"/>
      <c r="D927" s="205" t="str">
        <f>IFERROR(__xludf.DUMMYFUNCTION("""COMPUTED_VALUE"""),"Removed")</f>
        <v>Removed</v>
      </c>
      <c r="E927" s="276">
        <f>IFERROR(__xludf.DUMMYFUNCTION("""COMPUTED_VALUE"""),43040.0)</f>
        <v>43040</v>
      </c>
      <c r="F927" s="166">
        <f>IFERROR(__xludf.DUMMYFUNCTION("""COMPUTED_VALUE"""),43374.0)</f>
        <v>43374</v>
      </c>
      <c r="G927" s="167">
        <f>IFERROR(__xludf.DUMMYFUNCTION("""COMPUTED_VALUE"""),11.0)</f>
        <v>11</v>
      </c>
      <c r="H927" s="213">
        <f>IFERROR(__xludf.DUMMYFUNCTION("""COMPUTED_VALUE"""),37337.0)</f>
        <v>37337</v>
      </c>
      <c r="I927" s="167">
        <f>IFERROR(__xludf.DUMMYFUNCTION("""COMPUTED_VALUE"""),15.608333333333333)</f>
        <v>15.60833333</v>
      </c>
      <c r="J927" s="168">
        <f>IFERROR(__xludf.DUMMYFUNCTION("""COMPUTED_VALUE"""),82.0)</f>
        <v>82</v>
      </c>
      <c r="K927" s="168">
        <f>IFERROR(__xludf.DUMMYFUNCTION("""COMPUTED_VALUE"""),11.0)</f>
        <v>11</v>
      </c>
      <c r="L927" s="207" t="str">
        <f>IFERROR(__xludf.DUMMYFUNCTION("""COMPUTED_VALUE"""),"Action-Adventure")</f>
        <v>Action-Adventure</v>
      </c>
    </row>
    <row r="928">
      <c r="A928" s="203" t="str">
        <f>IFERROR(__xludf.DUMMYFUNCTION("""COMPUTED_VALUE"""),"Sky Force: Anniversary")</f>
        <v>Sky Force: Anniversary</v>
      </c>
      <c r="B928" s="204" t="str">
        <f>IFERROR(__xludf.DUMMYFUNCTION("""COMPUTED_VALUE"""),"Xbox")</f>
        <v>Xbox</v>
      </c>
      <c r="C928" s="205"/>
      <c r="D928" s="205" t="str">
        <f>IFERROR(__xludf.DUMMYFUNCTION("""COMPUTED_VALUE"""),"Removed")</f>
        <v>Removed</v>
      </c>
      <c r="E928" s="276">
        <f>IFERROR(__xludf.DUMMYFUNCTION("""COMPUTED_VALUE"""),43040.0)</f>
        <v>43040</v>
      </c>
      <c r="F928" s="166">
        <f>IFERROR(__xludf.DUMMYFUNCTION("""COMPUTED_VALUE"""),43374.0)</f>
        <v>43374</v>
      </c>
      <c r="G928" s="167">
        <f>IFERROR(__xludf.DUMMYFUNCTION("""COMPUTED_VALUE"""),11.0)</f>
        <v>11</v>
      </c>
      <c r="H928" s="213">
        <f>IFERROR(__xludf.DUMMYFUNCTION("""COMPUTED_VALUE"""),42124.0)</f>
        <v>42124</v>
      </c>
      <c r="I928" s="167">
        <f>IFERROR(__xludf.DUMMYFUNCTION("""COMPUTED_VALUE"""),2.5027777777777778)</f>
        <v>2.502777778</v>
      </c>
      <c r="J928" s="168">
        <f>IFERROR(__xludf.DUMMYFUNCTION("""COMPUTED_VALUE"""),77.0)</f>
        <v>77</v>
      </c>
      <c r="K928" s="168">
        <f>IFERROR(__xludf.DUMMYFUNCTION("""COMPUTED_VALUE"""),8.0)</f>
        <v>8</v>
      </c>
      <c r="L928" s="207" t="str">
        <f>IFERROR(__xludf.DUMMYFUNCTION("""COMPUTED_VALUE"""),"Action / Shoot 'Em Up")</f>
        <v>Action / Shoot 'Em Up</v>
      </c>
    </row>
    <row r="929">
      <c r="A929" s="203" t="str">
        <f>IFERROR(__xludf.DUMMYFUNCTION("""COMPUTED_VALUE"""),"World of Van Helsing: Deathtrap")</f>
        <v>World of Van Helsing: Deathtrap</v>
      </c>
      <c r="B929" s="204" t="str">
        <f>IFERROR(__xludf.DUMMYFUNCTION("""COMPUTED_VALUE"""),"Xbox")</f>
        <v>Xbox</v>
      </c>
      <c r="C929" s="205"/>
      <c r="D929" s="205" t="str">
        <f>IFERROR(__xludf.DUMMYFUNCTION("""COMPUTED_VALUE"""),"Removed")</f>
        <v>Removed</v>
      </c>
      <c r="E929" s="276">
        <f>IFERROR(__xludf.DUMMYFUNCTION("""COMPUTED_VALUE"""),43040.0)</f>
        <v>43040</v>
      </c>
      <c r="F929" s="166">
        <f>IFERROR(__xludf.DUMMYFUNCTION("""COMPUTED_VALUE"""),43374.0)</f>
        <v>43374</v>
      </c>
      <c r="G929" s="167">
        <f>IFERROR(__xludf.DUMMYFUNCTION("""COMPUTED_VALUE"""),11.0)</f>
        <v>11</v>
      </c>
      <c r="H929" s="213">
        <f>IFERROR(__xludf.DUMMYFUNCTION("""COMPUTED_VALUE"""),42038.0)</f>
        <v>42038</v>
      </c>
      <c r="I929" s="167">
        <f>IFERROR(__xludf.DUMMYFUNCTION("""COMPUTED_VALUE"""),2.7444444444444445)</f>
        <v>2.744444444</v>
      </c>
      <c r="J929" s="168">
        <f>IFERROR(__xludf.DUMMYFUNCTION("""COMPUTED_VALUE"""),80.0)</f>
        <v>80</v>
      </c>
      <c r="K929" s="168">
        <f>IFERROR(__xludf.DUMMYFUNCTION("""COMPUTED_VALUE"""),7.0)</f>
        <v>7</v>
      </c>
      <c r="L929" s="207" t="str">
        <f>IFERROR(__xludf.DUMMYFUNCTION("""COMPUTED_VALUE"""),"Strategy")</f>
        <v>Strategy</v>
      </c>
    </row>
    <row r="930">
      <c r="A930" s="203" t="str">
        <f>IFERROR(__xludf.DUMMYFUNCTION("""COMPUTED_VALUE"""),"Maldita Castilla EX: Cursed Castilla")</f>
        <v>Maldita Castilla EX: Cursed Castilla</v>
      </c>
      <c r="B930" s="204" t="str">
        <f>IFERROR(__xludf.DUMMYFUNCTION("""COMPUTED_VALUE"""),"Xbox")</f>
        <v>Xbox</v>
      </c>
      <c r="C930" s="205"/>
      <c r="D930" s="205" t="str">
        <f>IFERROR(__xludf.DUMMYFUNCTION("""COMPUTED_VALUE"""),"Removed")</f>
        <v>Removed</v>
      </c>
      <c r="E930" s="276">
        <f>IFERROR(__xludf.DUMMYFUNCTION("""COMPUTED_VALUE"""),43009.0)</f>
        <v>43009</v>
      </c>
      <c r="F930" s="166">
        <f>IFERROR(__xludf.DUMMYFUNCTION("""COMPUTED_VALUE"""),43344.0)</f>
        <v>43344</v>
      </c>
      <c r="G930" s="167">
        <f>IFERROR(__xludf.DUMMYFUNCTION("""COMPUTED_VALUE"""),11.0)</f>
        <v>11</v>
      </c>
      <c r="H930" s="213">
        <f>IFERROR(__xludf.DUMMYFUNCTION("""COMPUTED_VALUE"""),41255.0)</f>
        <v>41255</v>
      </c>
      <c r="I930" s="167">
        <f>IFERROR(__xludf.DUMMYFUNCTION("""COMPUTED_VALUE"""),4.802777777777778)</f>
        <v>4.802777778</v>
      </c>
      <c r="J930" s="168">
        <f>IFERROR(__xludf.DUMMYFUNCTION("""COMPUTED_VALUE"""),81.0)</f>
        <v>81</v>
      </c>
      <c r="K930" s="168">
        <f>IFERROR(__xludf.DUMMYFUNCTION("""COMPUTED_VALUE"""),5.5)</f>
        <v>5.5</v>
      </c>
      <c r="L930" s="207" t="str">
        <f>IFERROR(__xludf.DUMMYFUNCTION("""COMPUTED_VALUE"""),"Platformer")</f>
        <v>Platformer</v>
      </c>
    </row>
    <row r="931">
      <c r="A931" s="203" t="str">
        <f>IFERROR(__xludf.DUMMYFUNCTION("""COMPUTED_VALUE"""),"Saints Row: Gat Out of Hell")</f>
        <v>Saints Row: Gat Out of Hell</v>
      </c>
      <c r="B931" s="204" t="str">
        <f>IFERROR(__xludf.DUMMYFUNCTION("""COMPUTED_VALUE"""),"Xbox")</f>
        <v>Xbox</v>
      </c>
      <c r="C931" s="205"/>
      <c r="D931" s="205" t="str">
        <f>IFERROR(__xludf.DUMMYFUNCTION("""COMPUTED_VALUE"""),"Removed")</f>
        <v>Removed</v>
      </c>
      <c r="E931" s="276">
        <f>IFERROR(__xludf.DUMMYFUNCTION("""COMPUTED_VALUE"""),43009.0)</f>
        <v>43009</v>
      </c>
      <c r="F931" s="166">
        <f>IFERROR(__xludf.DUMMYFUNCTION("""COMPUTED_VALUE"""),43344.0)</f>
        <v>43344</v>
      </c>
      <c r="G931" s="167">
        <f>IFERROR(__xludf.DUMMYFUNCTION("""COMPUTED_VALUE"""),11.0)</f>
        <v>11</v>
      </c>
      <c r="H931" s="213">
        <f>IFERROR(__xludf.DUMMYFUNCTION("""COMPUTED_VALUE"""),42024.0)</f>
        <v>42024</v>
      </c>
      <c r="I931" s="167">
        <f>IFERROR(__xludf.DUMMYFUNCTION("""COMPUTED_VALUE"""),2.6972222222222224)</f>
        <v>2.697222222</v>
      </c>
      <c r="J931" s="168">
        <f>IFERROR(__xludf.DUMMYFUNCTION("""COMPUTED_VALUE"""),65.0)</f>
        <v>65</v>
      </c>
      <c r="K931" s="168">
        <f>IFERROR(__xludf.DUMMYFUNCTION("""COMPUTED_VALUE"""),4.0)</f>
        <v>4</v>
      </c>
      <c r="L931" s="207" t="str">
        <f>IFERROR(__xludf.DUMMYFUNCTION("""COMPUTED_VALUE"""),"Shooter / Action-Adventure")</f>
        <v>Shooter / Action-Adventure</v>
      </c>
    </row>
    <row r="932">
      <c r="A932" s="203" t="str">
        <f>IFERROR(__xludf.DUMMYFUNCTION("""COMPUTED_VALUE"""),"The Bug Butcher")</f>
        <v>The Bug Butcher</v>
      </c>
      <c r="B932" s="204" t="str">
        <f>IFERROR(__xludf.DUMMYFUNCTION("""COMPUTED_VALUE"""),"Xbox")</f>
        <v>Xbox</v>
      </c>
      <c r="C932" s="205"/>
      <c r="D932" s="205" t="str">
        <f>IFERROR(__xludf.DUMMYFUNCTION("""COMPUTED_VALUE"""),"Removed")</f>
        <v>Removed</v>
      </c>
      <c r="E932" s="276">
        <f>IFERROR(__xludf.DUMMYFUNCTION("""COMPUTED_VALUE"""),43009.0)</f>
        <v>43009</v>
      </c>
      <c r="F932" s="166">
        <f>IFERROR(__xludf.DUMMYFUNCTION("""COMPUTED_VALUE"""),43344.0)</f>
        <v>43344</v>
      </c>
      <c r="G932" s="167">
        <f>IFERROR(__xludf.DUMMYFUNCTION("""COMPUTED_VALUE"""),11.0)</f>
        <v>11</v>
      </c>
      <c r="H932" s="213">
        <f>IFERROR(__xludf.DUMMYFUNCTION("""COMPUTED_VALUE"""),42388.0)</f>
        <v>42388</v>
      </c>
      <c r="I932" s="167">
        <f>IFERROR(__xludf.DUMMYFUNCTION("""COMPUTED_VALUE"""),1.7)</f>
        <v>1.7</v>
      </c>
      <c r="J932" s="168">
        <f>IFERROR(__xludf.DUMMYFUNCTION("""COMPUTED_VALUE"""),80.0)</f>
        <v>80</v>
      </c>
      <c r="K932" s="168">
        <f>IFERROR(__xludf.DUMMYFUNCTION("""COMPUTED_VALUE"""),2.0)</f>
        <v>2</v>
      </c>
      <c r="L932" s="207" t="str">
        <f>IFERROR(__xludf.DUMMYFUNCTION("""COMPUTED_VALUE"""),"Action / Shooter")</f>
        <v>Action / Shooter</v>
      </c>
    </row>
    <row r="933">
      <c r="A933" s="203" t="str">
        <f>IFERROR(__xludf.DUMMYFUNCTION("""COMPUTED_VALUE"""),"Tower of Guns")</f>
        <v>Tower of Guns</v>
      </c>
      <c r="B933" s="204" t="str">
        <f>IFERROR(__xludf.DUMMYFUNCTION("""COMPUTED_VALUE"""),"Xbox")</f>
        <v>Xbox</v>
      </c>
      <c r="C933" s="205"/>
      <c r="D933" s="205" t="str">
        <f>IFERROR(__xludf.DUMMYFUNCTION("""COMPUTED_VALUE"""),"Removed")</f>
        <v>Removed</v>
      </c>
      <c r="E933" s="276">
        <f>IFERROR(__xludf.DUMMYFUNCTION("""COMPUTED_VALUE"""),43009.0)</f>
        <v>43009</v>
      </c>
      <c r="F933" s="166">
        <f>IFERROR(__xludf.DUMMYFUNCTION("""COMPUTED_VALUE"""),43344.0)</f>
        <v>43344</v>
      </c>
      <c r="G933" s="167">
        <f>IFERROR(__xludf.DUMMYFUNCTION("""COMPUTED_VALUE"""),11.0)</f>
        <v>11</v>
      </c>
      <c r="H933" s="213">
        <f>IFERROR(__xludf.DUMMYFUNCTION("""COMPUTED_VALUE"""),41702.0)</f>
        <v>41702</v>
      </c>
      <c r="I933" s="167">
        <f>IFERROR(__xludf.DUMMYFUNCTION("""COMPUTED_VALUE"""),3.575)</f>
        <v>3.575</v>
      </c>
      <c r="J933" s="168">
        <f>IFERROR(__xludf.DUMMYFUNCTION("""COMPUTED_VALUE"""),71.0)</f>
        <v>71</v>
      </c>
      <c r="K933" s="168">
        <f>IFERROR(__xludf.DUMMYFUNCTION("""COMPUTED_VALUE"""),2.5)</f>
        <v>2.5</v>
      </c>
      <c r="L933" s="207" t="str">
        <f>IFERROR(__xludf.DUMMYFUNCTION("""COMPUTED_VALUE"""),"First-Person Shooter")</f>
        <v>First-Person Shooter</v>
      </c>
    </row>
    <row r="934">
      <c r="A934" s="203" t="str">
        <f>IFERROR(__xludf.DUMMYFUNCTION("""COMPUTED_VALUE"""),"Pro Evolution Soccer 2018")</f>
        <v>Pro Evolution Soccer 2018</v>
      </c>
      <c r="B934" s="204" t="str">
        <f>IFERROR(__xludf.DUMMYFUNCTION("""COMPUTED_VALUE"""),"Xbox")</f>
        <v>Xbox</v>
      </c>
      <c r="C934" s="205"/>
      <c r="D934" s="205" t="str">
        <f>IFERROR(__xludf.DUMMYFUNCTION("""COMPUTED_VALUE"""),"Removed")</f>
        <v>Removed</v>
      </c>
      <c r="E934" s="276">
        <f>IFERROR(__xludf.DUMMYFUNCTION("""COMPUTED_VALUE"""),43221.0)</f>
        <v>43221</v>
      </c>
      <c r="F934" s="166">
        <f>IFERROR(__xludf.DUMMYFUNCTION("""COMPUTED_VALUE"""),43313.0)</f>
        <v>43313</v>
      </c>
      <c r="G934" s="167">
        <f>IFERROR(__xludf.DUMMYFUNCTION("""COMPUTED_VALUE"""),3.0)</f>
        <v>3</v>
      </c>
      <c r="H934" s="213">
        <f>IFERROR(__xludf.DUMMYFUNCTION("""COMPUTED_VALUE"""),42990.0)</f>
        <v>42990</v>
      </c>
      <c r="I934" s="167">
        <f>IFERROR(__xludf.DUMMYFUNCTION("""COMPUTED_VALUE"""),0.6361111111111111)</f>
        <v>0.6361111111</v>
      </c>
      <c r="J934" s="168">
        <f>IFERROR(__xludf.DUMMYFUNCTION("""COMPUTED_VALUE"""),82.0)</f>
        <v>82</v>
      </c>
      <c r="K934" s="168">
        <f>IFERROR(__xludf.DUMMYFUNCTION("""COMPUTED_VALUE"""),85.5)</f>
        <v>85.5</v>
      </c>
      <c r="L934" s="207" t="str">
        <f>IFERROR(__xludf.DUMMYFUNCTION("""COMPUTED_VALUE"""),"Soccer")</f>
        <v>Soccer</v>
      </c>
    </row>
    <row r="935">
      <c r="A935" s="203" t="str">
        <f>IFERROR(__xludf.DUMMYFUNCTION("""COMPUTED_VALUE"""),"10 Second Ninja X")</f>
        <v>10 Second Ninja X</v>
      </c>
      <c r="B935" s="204" t="str">
        <f>IFERROR(__xludf.DUMMYFUNCTION("""COMPUTED_VALUE"""),"Xbox")</f>
        <v>Xbox</v>
      </c>
      <c r="C935" s="205"/>
      <c r="D935" s="205" t="str">
        <f>IFERROR(__xludf.DUMMYFUNCTION("""COMPUTED_VALUE"""),"Removed")</f>
        <v>Removed</v>
      </c>
      <c r="E935" s="276">
        <f>IFERROR(__xludf.DUMMYFUNCTION("""COMPUTED_VALUE"""),42979.0)</f>
        <v>42979</v>
      </c>
      <c r="F935" s="166">
        <f>IFERROR(__xludf.DUMMYFUNCTION("""COMPUTED_VALUE"""),43313.0)</f>
        <v>43313</v>
      </c>
      <c r="G935" s="167">
        <f>IFERROR(__xludf.DUMMYFUNCTION("""COMPUTED_VALUE"""),11.0)</f>
        <v>11</v>
      </c>
      <c r="H935" s="213">
        <f>IFERROR(__xludf.DUMMYFUNCTION("""COMPUTED_VALUE"""),42570.0)</f>
        <v>42570</v>
      </c>
      <c r="I935" s="167">
        <f>IFERROR(__xludf.DUMMYFUNCTION("""COMPUTED_VALUE"""),1.1166666666666667)</f>
        <v>1.116666667</v>
      </c>
      <c r="J935" s="168">
        <f>IFERROR(__xludf.DUMMYFUNCTION("""COMPUTED_VALUE"""),82.0)</f>
        <v>82</v>
      </c>
      <c r="K935" s="168">
        <f>IFERROR(__xludf.DUMMYFUNCTION("""COMPUTED_VALUE"""),2.0)</f>
        <v>2</v>
      </c>
      <c r="L935" s="207" t="str">
        <f>IFERROR(__xludf.DUMMYFUNCTION("""COMPUTED_VALUE"""),"Action / Puzzle / Platformer")</f>
        <v>Action / Puzzle / Platformer</v>
      </c>
    </row>
    <row r="936">
      <c r="A936" s="203" t="str">
        <f>IFERROR(__xludf.DUMMYFUNCTION("""COMPUTED_VALUE"""),"The Bridge")</f>
        <v>The Bridge</v>
      </c>
      <c r="B936" s="204" t="str">
        <f>IFERROR(__xludf.DUMMYFUNCTION("""COMPUTED_VALUE"""),"Xbox")</f>
        <v>Xbox</v>
      </c>
      <c r="C936" s="205"/>
      <c r="D936" s="205" t="str">
        <f>IFERROR(__xludf.DUMMYFUNCTION("""COMPUTED_VALUE"""),"Removed")</f>
        <v>Removed</v>
      </c>
      <c r="E936" s="276">
        <f>IFERROR(__xludf.DUMMYFUNCTION("""COMPUTED_VALUE"""),42979.0)</f>
        <v>42979</v>
      </c>
      <c r="F936" s="166">
        <f>IFERROR(__xludf.DUMMYFUNCTION("""COMPUTED_VALUE"""),43313.0)</f>
        <v>43313</v>
      </c>
      <c r="G936" s="167">
        <f>IFERROR(__xludf.DUMMYFUNCTION("""COMPUTED_VALUE"""),11.0)</f>
        <v>11</v>
      </c>
      <c r="H936" s="213">
        <f>IFERROR(__xludf.DUMMYFUNCTION("""COMPUTED_VALUE"""),41327.0)</f>
        <v>41327</v>
      </c>
      <c r="I936" s="167">
        <f>IFERROR(__xludf.DUMMYFUNCTION("""COMPUTED_VALUE"""),4.525)</f>
        <v>4.525</v>
      </c>
      <c r="J936" s="168">
        <f>IFERROR(__xludf.DUMMYFUNCTION("""COMPUTED_VALUE"""),72.0)</f>
        <v>72</v>
      </c>
      <c r="K936" s="168">
        <f>IFERROR(__xludf.DUMMYFUNCTION("""COMPUTED_VALUE"""),4.0)</f>
        <v>4</v>
      </c>
      <c r="L936" s="207" t="str">
        <f>IFERROR(__xludf.DUMMYFUNCTION("""COMPUTED_VALUE"""),"Puzzle / Platformer")</f>
        <v>Puzzle / Platformer</v>
      </c>
    </row>
    <row r="937">
      <c r="A937" s="203" t="str">
        <f>IFERROR(__xludf.DUMMYFUNCTION("""COMPUTED_VALUE"""),"Galaga Legions DX")</f>
        <v>Galaga Legions DX</v>
      </c>
      <c r="B937" s="204" t="str">
        <f>IFERROR(__xludf.DUMMYFUNCTION("""COMPUTED_VALUE"""),"Xbox")</f>
        <v>Xbox</v>
      </c>
      <c r="C937" s="205"/>
      <c r="D937" s="205" t="str">
        <f>IFERROR(__xludf.DUMMYFUNCTION("""COMPUTED_VALUE"""),"Removed")</f>
        <v>Removed</v>
      </c>
      <c r="E937" s="276">
        <f>IFERROR(__xludf.DUMMYFUNCTION("""COMPUTED_VALUE"""),42887.0)</f>
        <v>42887</v>
      </c>
      <c r="F937" s="166">
        <f>IFERROR(__xludf.DUMMYFUNCTION("""COMPUTED_VALUE"""),43313.0)</f>
        <v>43313</v>
      </c>
      <c r="G937" s="167">
        <f>IFERROR(__xludf.DUMMYFUNCTION("""COMPUTED_VALUE"""),14.0)</f>
        <v>14</v>
      </c>
      <c r="H937" s="213">
        <f>IFERROR(__xludf.DUMMYFUNCTION("""COMPUTED_VALUE"""),40722.0)</f>
        <v>40722</v>
      </c>
      <c r="I937" s="167">
        <f>IFERROR(__xludf.DUMMYFUNCTION("""COMPUTED_VALUE"""),5.925)</f>
        <v>5.925</v>
      </c>
      <c r="J937" s="168">
        <f>IFERROR(__xludf.DUMMYFUNCTION("""COMPUTED_VALUE"""),74.0)</f>
        <v>74</v>
      </c>
      <c r="K937" s="168">
        <f>IFERROR(__xludf.DUMMYFUNCTION("""COMPUTED_VALUE"""),1.5)</f>
        <v>1.5</v>
      </c>
      <c r="L937" s="207" t="str">
        <f>IFERROR(__xludf.DUMMYFUNCTION("""COMPUTED_VALUE"""),"Action / Shoot 'Em Up")</f>
        <v>Action / Shoot 'Em Up</v>
      </c>
    </row>
    <row r="938">
      <c r="A938" s="203" t="str">
        <f>IFERROR(__xludf.DUMMYFUNCTION("""COMPUTED_VALUE"""),"Pac-Man Museum")</f>
        <v>Pac-Man Museum</v>
      </c>
      <c r="B938" s="204" t="str">
        <f>IFERROR(__xludf.DUMMYFUNCTION("""COMPUTED_VALUE"""),"Xbox")</f>
        <v>Xbox</v>
      </c>
      <c r="C938" s="205"/>
      <c r="D938" s="205" t="str">
        <f>IFERROR(__xludf.DUMMYFUNCTION("""COMPUTED_VALUE"""),"Removed")</f>
        <v>Removed</v>
      </c>
      <c r="E938" s="276">
        <f>IFERROR(__xludf.DUMMYFUNCTION("""COMPUTED_VALUE"""),42887.0)</f>
        <v>42887</v>
      </c>
      <c r="F938" s="166">
        <f>IFERROR(__xludf.DUMMYFUNCTION("""COMPUTED_VALUE"""),43313.0)</f>
        <v>43313</v>
      </c>
      <c r="G938" s="167">
        <f>IFERROR(__xludf.DUMMYFUNCTION("""COMPUTED_VALUE"""),14.0)</f>
        <v>14</v>
      </c>
      <c r="H938" s="213">
        <f>IFERROR(__xludf.DUMMYFUNCTION("""COMPUTED_VALUE"""),41695.0)</f>
        <v>41695</v>
      </c>
      <c r="I938" s="167">
        <f>IFERROR(__xludf.DUMMYFUNCTION("""COMPUTED_VALUE"""),3.2666666666666666)</f>
        <v>3.266666667</v>
      </c>
      <c r="J938" s="168">
        <f>IFERROR(__xludf.DUMMYFUNCTION("""COMPUTED_VALUE"""),64.0)</f>
        <v>64</v>
      </c>
      <c r="K938" s="168">
        <f>IFERROR(__xludf.DUMMYFUNCTION("""COMPUTED_VALUE"""),3.0)</f>
        <v>3</v>
      </c>
      <c r="L938" s="207" t="str">
        <f>IFERROR(__xludf.DUMMYFUNCTION("""COMPUTED_VALUE"""),"Compilation")</f>
        <v>Compilation</v>
      </c>
    </row>
    <row r="939">
      <c r="A939" s="203" t="str">
        <f>IFERROR(__xludf.DUMMYFUNCTION("""COMPUTED_VALUE"""),"SoulCalibur II HD Online")</f>
        <v>SoulCalibur II HD Online</v>
      </c>
      <c r="B939" s="204" t="str">
        <f>IFERROR(__xludf.DUMMYFUNCTION("""COMPUTED_VALUE"""),"Xbox")</f>
        <v>Xbox</v>
      </c>
      <c r="C939" s="205"/>
      <c r="D939" s="205" t="str">
        <f>IFERROR(__xludf.DUMMYFUNCTION("""COMPUTED_VALUE"""),"Removed")</f>
        <v>Removed</v>
      </c>
      <c r="E939" s="276">
        <f>IFERROR(__xludf.DUMMYFUNCTION("""COMPUTED_VALUE"""),42887.0)</f>
        <v>42887</v>
      </c>
      <c r="F939" s="166">
        <f>IFERROR(__xludf.DUMMYFUNCTION("""COMPUTED_VALUE"""),43313.0)</f>
        <v>43313</v>
      </c>
      <c r="G939" s="167">
        <f>IFERROR(__xludf.DUMMYFUNCTION("""COMPUTED_VALUE"""),14.0)</f>
        <v>14</v>
      </c>
      <c r="H939" s="213">
        <f>IFERROR(__xludf.DUMMYFUNCTION("""COMPUTED_VALUE"""),41597.0)</f>
        <v>41597</v>
      </c>
      <c r="I939" s="167">
        <f>IFERROR(__xludf.DUMMYFUNCTION("""COMPUTED_VALUE"""),3.533333333333333)</f>
        <v>3.533333333</v>
      </c>
      <c r="J939" s="168">
        <f>IFERROR(__xludf.DUMMYFUNCTION("""COMPUTED_VALUE"""),76.0)</f>
        <v>76</v>
      </c>
      <c r="K939" s="168">
        <f>IFERROR(__xludf.DUMMYFUNCTION("""COMPUTED_VALUE"""),3.0)</f>
        <v>3</v>
      </c>
      <c r="L939" s="207" t="str">
        <f>IFERROR(__xludf.DUMMYFUNCTION("""COMPUTED_VALUE"""),"Fighting")</f>
        <v>Fighting</v>
      </c>
    </row>
    <row r="940">
      <c r="A940" s="203" t="str">
        <f>IFERROR(__xludf.DUMMYFUNCTION("""COMPUTED_VALUE"""),"Tekken Tag Tournament 2")</f>
        <v>Tekken Tag Tournament 2</v>
      </c>
      <c r="B940" s="204" t="str">
        <f>IFERROR(__xludf.DUMMYFUNCTION("""COMPUTED_VALUE"""),"Xbox")</f>
        <v>Xbox</v>
      </c>
      <c r="C940" s="205"/>
      <c r="D940" s="205" t="str">
        <f>IFERROR(__xludf.DUMMYFUNCTION("""COMPUTED_VALUE"""),"Removed")</f>
        <v>Removed</v>
      </c>
      <c r="E940" s="276">
        <f>IFERROR(__xludf.DUMMYFUNCTION("""COMPUTED_VALUE"""),42887.0)</f>
        <v>42887</v>
      </c>
      <c r="F940" s="166">
        <f>IFERROR(__xludf.DUMMYFUNCTION("""COMPUTED_VALUE"""),43313.0)</f>
        <v>43313</v>
      </c>
      <c r="G940" s="167">
        <f>IFERROR(__xludf.DUMMYFUNCTION("""COMPUTED_VALUE"""),14.0)</f>
        <v>14</v>
      </c>
      <c r="H940" s="213">
        <f>IFERROR(__xludf.DUMMYFUNCTION("""COMPUTED_VALUE"""),40797.0)</f>
        <v>40797</v>
      </c>
      <c r="I940" s="167">
        <f>IFERROR(__xludf.DUMMYFUNCTION("""COMPUTED_VALUE"""),5.722222222222222)</f>
        <v>5.722222222</v>
      </c>
      <c r="J940" s="168">
        <f>IFERROR(__xludf.DUMMYFUNCTION("""COMPUTED_VALUE"""),83.0)</f>
        <v>83</v>
      </c>
      <c r="K940" s="168">
        <f>IFERROR(__xludf.DUMMYFUNCTION("""COMPUTED_VALUE"""),1.5)</f>
        <v>1.5</v>
      </c>
      <c r="L940" s="207" t="str">
        <f>IFERROR(__xludf.DUMMYFUNCTION("""COMPUTED_VALUE"""),"Fighting")</f>
        <v>Fighting</v>
      </c>
    </row>
    <row r="941">
      <c r="A941" s="203" t="str">
        <f>IFERROR(__xludf.DUMMYFUNCTION("""COMPUTED_VALUE"""),"Overcooked!")</f>
        <v>Overcooked!</v>
      </c>
      <c r="B941" s="204" t="str">
        <f>IFERROR(__xludf.DUMMYFUNCTION("""COMPUTED_VALUE"""),"Xbox")</f>
        <v>Xbox</v>
      </c>
      <c r="C941" s="205"/>
      <c r="D941" s="205" t="str">
        <f>IFERROR(__xludf.DUMMYFUNCTION("""COMPUTED_VALUE"""),"Removed")</f>
        <v>Removed</v>
      </c>
      <c r="E941" s="276">
        <f>IFERROR(__xludf.DUMMYFUNCTION("""COMPUTED_VALUE"""),43221.0)</f>
        <v>43221</v>
      </c>
      <c r="F941" s="166">
        <f>IFERROR(__xludf.DUMMYFUNCTION("""COMPUTED_VALUE"""),43282.0)</f>
        <v>43282</v>
      </c>
      <c r="G941" s="167">
        <f>IFERROR(__xludf.DUMMYFUNCTION("""COMPUTED_VALUE"""),2.0)</f>
        <v>2</v>
      </c>
      <c r="H941" s="213">
        <f>IFERROR(__xludf.DUMMYFUNCTION("""COMPUTED_VALUE"""),42585.0)</f>
        <v>42585</v>
      </c>
      <c r="I941" s="167">
        <f>IFERROR(__xludf.DUMMYFUNCTION("""COMPUTED_VALUE"""),1.7444444444444445)</f>
        <v>1.744444444</v>
      </c>
      <c r="J941" s="168">
        <f>IFERROR(__xludf.DUMMYFUNCTION("""COMPUTED_VALUE"""),80.0)</f>
        <v>80</v>
      </c>
      <c r="K941" s="168">
        <f>IFERROR(__xludf.DUMMYFUNCTION("""COMPUTED_VALUE"""),8.0)</f>
        <v>8</v>
      </c>
      <c r="L941" s="207" t="str">
        <f>IFERROR(__xludf.DUMMYFUNCTION("""COMPUTED_VALUE"""),"Simulation")</f>
        <v>Simulation</v>
      </c>
    </row>
    <row r="942">
      <c r="A942" s="203" t="str">
        <f>IFERROR(__xludf.DUMMYFUNCTION("""COMPUTED_VALUE"""),"Pharaonic")</f>
        <v>Pharaonic</v>
      </c>
      <c r="B942" s="204" t="str">
        <f>IFERROR(__xludf.DUMMYFUNCTION("""COMPUTED_VALUE"""),"Xbox")</f>
        <v>Xbox</v>
      </c>
      <c r="C942" s="205"/>
      <c r="D942" s="205" t="str">
        <f>IFERROR(__xludf.DUMMYFUNCTION("""COMPUTED_VALUE"""),"Removed")</f>
        <v>Removed</v>
      </c>
      <c r="E942" s="276">
        <f>IFERROR(__xludf.DUMMYFUNCTION("""COMPUTED_VALUE"""),42948.0)</f>
        <v>42948</v>
      </c>
      <c r="F942" s="166">
        <f>IFERROR(__xludf.DUMMYFUNCTION("""COMPUTED_VALUE"""),43282.0)</f>
        <v>43282</v>
      </c>
      <c r="G942" s="167">
        <f>IFERROR(__xludf.DUMMYFUNCTION("""COMPUTED_VALUE"""),11.0)</f>
        <v>11</v>
      </c>
      <c r="H942" s="213">
        <f>IFERROR(__xludf.DUMMYFUNCTION("""COMPUTED_VALUE"""),42488.0)</f>
        <v>42488</v>
      </c>
      <c r="I942" s="167">
        <f>IFERROR(__xludf.DUMMYFUNCTION("""COMPUTED_VALUE"""),1.2583333333333333)</f>
        <v>1.258333333</v>
      </c>
      <c r="J942" s="168">
        <f>IFERROR(__xludf.DUMMYFUNCTION("""COMPUTED_VALUE"""),71.0)</f>
        <v>71</v>
      </c>
      <c r="K942" s="168">
        <f>IFERROR(__xludf.DUMMYFUNCTION("""COMPUTED_VALUE"""),11.0)</f>
        <v>11</v>
      </c>
      <c r="L942" s="207" t="str">
        <f>IFERROR(__xludf.DUMMYFUNCTION("""COMPUTED_VALUE"""),"Action / RPG")</f>
        <v>Action / RPG</v>
      </c>
    </row>
    <row r="943">
      <c r="A943" s="203" t="str">
        <f>IFERROR(__xludf.DUMMYFUNCTION("""COMPUTED_VALUE"""),"So Many Me")</f>
        <v>So Many Me</v>
      </c>
      <c r="B943" s="204" t="str">
        <f>IFERROR(__xludf.DUMMYFUNCTION("""COMPUTED_VALUE"""),"Xbox")</f>
        <v>Xbox</v>
      </c>
      <c r="C943" s="205"/>
      <c r="D943" s="205" t="str">
        <f>IFERROR(__xludf.DUMMYFUNCTION("""COMPUTED_VALUE"""),"Removed")</f>
        <v>Removed</v>
      </c>
      <c r="E943" s="276">
        <f>IFERROR(__xludf.DUMMYFUNCTION("""COMPUTED_VALUE"""),42948.0)</f>
        <v>42948</v>
      </c>
      <c r="F943" s="166">
        <f>IFERROR(__xludf.DUMMYFUNCTION("""COMPUTED_VALUE"""),43282.0)</f>
        <v>43282</v>
      </c>
      <c r="G943" s="167">
        <f>IFERROR(__xludf.DUMMYFUNCTION("""COMPUTED_VALUE"""),11.0)</f>
        <v>11</v>
      </c>
      <c r="H943" s="213">
        <f>IFERROR(__xludf.DUMMYFUNCTION("""COMPUTED_VALUE"""),42201.0)</f>
        <v>42201</v>
      </c>
      <c r="I943" s="167">
        <f>IFERROR(__xludf.DUMMYFUNCTION("""COMPUTED_VALUE"""),2.0416666666666665)</f>
        <v>2.041666667</v>
      </c>
      <c r="J943" s="168">
        <f>IFERROR(__xludf.DUMMYFUNCTION("""COMPUTED_VALUE"""),82.0)</f>
        <v>82</v>
      </c>
      <c r="K943" s="168">
        <f>IFERROR(__xludf.DUMMYFUNCTION("""COMPUTED_VALUE"""),10.0)</f>
        <v>10</v>
      </c>
      <c r="L943" s="207" t="str">
        <f>IFERROR(__xludf.DUMMYFUNCTION("""COMPUTED_VALUE"""),"Puzzle / Platformer")</f>
        <v>Puzzle / Platformer</v>
      </c>
    </row>
    <row r="944">
      <c r="A944" s="203" t="str">
        <f>IFERROR(__xludf.DUMMYFUNCTION("""COMPUTED_VALUE"""),"Ultratron")</f>
        <v>Ultratron</v>
      </c>
      <c r="B944" s="204" t="str">
        <f>IFERROR(__xludf.DUMMYFUNCTION("""COMPUTED_VALUE"""),"Xbox")</f>
        <v>Xbox</v>
      </c>
      <c r="C944" s="205"/>
      <c r="D944" s="205" t="str">
        <f>IFERROR(__xludf.DUMMYFUNCTION("""COMPUTED_VALUE"""),"Removed")</f>
        <v>Removed</v>
      </c>
      <c r="E944" s="276">
        <f>IFERROR(__xludf.DUMMYFUNCTION("""COMPUTED_VALUE"""),42948.0)</f>
        <v>42948</v>
      </c>
      <c r="F944" s="166">
        <f>IFERROR(__xludf.DUMMYFUNCTION("""COMPUTED_VALUE"""),43282.0)</f>
        <v>43282</v>
      </c>
      <c r="G944" s="167">
        <f>IFERROR(__xludf.DUMMYFUNCTION("""COMPUTED_VALUE"""),11.0)</f>
        <v>11</v>
      </c>
      <c r="H944" s="213">
        <f>IFERROR(__xludf.DUMMYFUNCTION("""COMPUTED_VALUE"""),41351.0)</f>
        <v>41351</v>
      </c>
      <c r="I944" s="167">
        <f>IFERROR(__xludf.DUMMYFUNCTION("""COMPUTED_VALUE"""),4.3694444444444445)</f>
        <v>4.369444444</v>
      </c>
      <c r="J944" s="168">
        <f>IFERROR(__xludf.DUMMYFUNCTION("""COMPUTED_VALUE"""),74.0)</f>
        <v>74</v>
      </c>
      <c r="K944" s="168">
        <f>IFERROR(__xludf.DUMMYFUNCTION("""COMPUTED_VALUE"""),2.5)</f>
        <v>2.5</v>
      </c>
      <c r="L944" s="207" t="str">
        <f>IFERROR(__xludf.DUMMYFUNCTION("""COMPUTED_VALUE"""),"Dual-Joystick Shooter")</f>
        <v>Dual-Joystick Shooter</v>
      </c>
    </row>
    <row r="945">
      <c r="A945" s="203" t="str">
        <f>IFERROR(__xludf.DUMMYFUNCTION("""COMPUTED_VALUE"""),"Bomberman Live: Battlefest")</f>
        <v>Bomberman Live: Battlefest</v>
      </c>
      <c r="B945" s="204" t="str">
        <f>IFERROR(__xludf.DUMMYFUNCTION("""COMPUTED_VALUE"""),"Xbox")</f>
        <v>Xbox</v>
      </c>
      <c r="C945" s="205"/>
      <c r="D945" s="205" t="str">
        <f>IFERROR(__xludf.DUMMYFUNCTION("""COMPUTED_VALUE"""),"Removed")</f>
        <v>Removed</v>
      </c>
      <c r="E945" s="276">
        <f>IFERROR(__xludf.DUMMYFUNCTION("""COMPUTED_VALUE"""),43206.0)</f>
        <v>43206</v>
      </c>
      <c r="F945" s="166">
        <f>IFERROR(__xludf.DUMMYFUNCTION("""COMPUTED_VALUE"""),43252.0)</f>
        <v>43252</v>
      </c>
      <c r="G945" s="167">
        <f>IFERROR(__xludf.DUMMYFUNCTION("""COMPUTED_VALUE"""),1.5)</f>
        <v>1.5</v>
      </c>
      <c r="H945" s="213">
        <f>IFERROR(__xludf.DUMMYFUNCTION("""COMPUTED_VALUE"""),40520.0)</f>
        <v>40520</v>
      </c>
      <c r="I945" s="167">
        <f>IFERROR(__xludf.DUMMYFUNCTION("""COMPUTED_VALUE"""),7.355555555555555)</f>
        <v>7.355555556</v>
      </c>
      <c r="J945" s="168">
        <f>IFERROR(__xludf.DUMMYFUNCTION("""COMPUTED_VALUE"""),70.0)</f>
        <v>70</v>
      </c>
      <c r="K945" s="168">
        <f>IFERROR(__xludf.DUMMYFUNCTION("""COMPUTED_VALUE"""),1.0)</f>
        <v>1</v>
      </c>
      <c r="L945" s="207" t="str">
        <f>IFERROR(__xludf.DUMMYFUNCTION("""COMPUTED_VALUE"""),"Action / Puzzle")</f>
        <v>Action / Puzzle</v>
      </c>
    </row>
    <row r="946">
      <c r="A946" s="203" t="str">
        <f>IFERROR(__xludf.DUMMYFUNCTION("""COMPUTED_VALUE"""),"Bard's Gold")</f>
        <v>Bard's Gold</v>
      </c>
      <c r="B946" s="204" t="str">
        <f>IFERROR(__xludf.DUMMYFUNCTION("""COMPUTED_VALUE"""),"Xbox")</f>
        <v>Xbox</v>
      </c>
      <c r="C946" s="205"/>
      <c r="D946" s="205" t="str">
        <f>IFERROR(__xludf.DUMMYFUNCTION("""COMPUTED_VALUE"""),"Removed")</f>
        <v>Removed</v>
      </c>
      <c r="E946" s="276">
        <f>IFERROR(__xludf.DUMMYFUNCTION("""COMPUTED_VALUE"""),42917.0)</f>
        <v>42917</v>
      </c>
      <c r="F946" s="166">
        <f>IFERROR(__xludf.DUMMYFUNCTION("""COMPUTED_VALUE"""),43252.0)</f>
        <v>43252</v>
      </c>
      <c r="G946" s="167">
        <f>IFERROR(__xludf.DUMMYFUNCTION("""COMPUTED_VALUE"""),11.0)</f>
        <v>11</v>
      </c>
      <c r="H946" s="213">
        <f>IFERROR(__xludf.DUMMYFUNCTION("""COMPUTED_VALUE"""),42230.0)</f>
        <v>42230</v>
      </c>
      <c r="I946" s="167">
        <f>IFERROR(__xludf.DUMMYFUNCTION("""COMPUTED_VALUE"""),1.8805555555555555)</f>
        <v>1.880555556</v>
      </c>
      <c r="J946" s="168">
        <f>IFERROR(__xludf.DUMMYFUNCTION("""COMPUTED_VALUE"""),63.0)</f>
        <v>63</v>
      </c>
      <c r="K946" s="168">
        <f>IFERROR(__xludf.DUMMYFUNCTION("""COMPUTED_VALUE"""),5.0)</f>
        <v>5</v>
      </c>
      <c r="L946" s="207" t="str">
        <f>IFERROR(__xludf.DUMMYFUNCTION("""COMPUTED_VALUE"""),"Platformer")</f>
        <v>Platformer</v>
      </c>
    </row>
    <row r="947">
      <c r="A947" s="203" t="str">
        <f>IFERROR(__xludf.DUMMYFUNCTION("""COMPUTED_VALUE"""),"Monaco: What's Yours is Mine")</f>
        <v>Monaco: What's Yours is Mine</v>
      </c>
      <c r="B947" s="204" t="str">
        <f>IFERROR(__xludf.DUMMYFUNCTION("""COMPUTED_VALUE"""),"Xbox")</f>
        <v>Xbox</v>
      </c>
      <c r="C947" s="205"/>
      <c r="D947" s="205" t="str">
        <f>IFERROR(__xludf.DUMMYFUNCTION("""COMPUTED_VALUE"""),"Removed")</f>
        <v>Removed</v>
      </c>
      <c r="E947" s="276">
        <f>IFERROR(__xludf.DUMMYFUNCTION("""COMPUTED_VALUE"""),42917.0)</f>
        <v>42917</v>
      </c>
      <c r="F947" s="166">
        <f>IFERROR(__xludf.DUMMYFUNCTION("""COMPUTED_VALUE"""),43252.0)</f>
        <v>43252</v>
      </c>
      <c r="G947" s="167">
        <f>IFERROR(__xludf.DUMMYFUNCTION("""COMPUTED_VALUE"""),11.0)</f>
        <v>11</v>
      </c>
      <c r="H947" s="213">
        <f>IFERROR(__xludf.DUMMYFUNCTION("""COMPUTED_VALUE"""),41388.0)</f>
        <v>41388</v>
      </c>
      <c r="I947" s="167">
        <f>IFERROR(__xludf.DUMMYFUNCTION("""COMPUTED_VALUE"""),4.186111111111111)</f>
        <v>4.186111111</v>
      </c>
      <c r="J947" s="168">
        <f>IFERROR(__xludf.DUMMYFUNCTION("""COMPUTED_VALUE"""),81.0)</f>
        <v>81</v>
      </c>
      <c r="K947" s="168">
        <f>IFERROR(__xludf.DUMMYFUNCTION("""COMPUTED_VALUE"""),8.0)</f>
        <v>8</v>
      </c>
      <c r="L947" s="207" t="str">
        <f>IFERROR(__xludf.DUMMYFUNCTION("""COMPUTED_VALUE"""),"Action / Strategy")</f>
        <v>Action / Strategy</v>
      </c>
    </row>
    <row r="948">
      <c r="A948" s="203" t="str">
        <f>IFERROR(__xludf.DUMMYFUNCTION("""COMPUTED_VALUE"""),"Resident Evil 6")</f>
        <v>Resident Evil 6</v>
      </c>
      <c r="B948" s="204" t="str">
        <f>IFERROR(__xludf.DUMMYFUNCTION("""COMPUTED_VALUE"""),"Xbox")</f>
        <v>Xbox</v>
      </c>
      <c r="C948" s="205"/>
      <c r="D948" s="205" t="str">
        <f>IFERROR(__xludf.DUMMYFUNCTION("""COMPUTED_VALUE"""),"Removed")</f>
        <v>Removed</v>
      </c>
      <c r="E948" s="276">
        <f>IFERROR(__xludf.DUMMYFUNCTION("""COMPUTED_VALUE"""),42917.0)</f>
        <v>42917</v>
      </c>
      <c r="F948" s="166">
        <f>IFERROR(__xludf.DUMMYFUNCTION("""COMPUTED_VALUE"""),43252.0)</f>
        <v>43252</v>
      </c>
      <c r="G948" s="167">
        <f>IFERROR(__xludf.DUMMYFUNCTION("""COMPUTED_VALUE"""),11.0)</f>
        <v>11</v>
      </c>
      <c r="H948" s="213">
        <f>IFERROR(__xludf.DUMMYFUNCTION("""COMPUTED_VALUE"""),41184.0)</f>
        <v>41184</v>
      </c>
      <c r="I948" s="167">
        <f>IFERROR(__xludf.DUMMYFUNCTION("""COMPUTED_VALUE"""),4.747222222222222)</f>
        <v>4.747222222</v>
      </c>
      <c r="J948" s="168">
        <f>IFERROR(__xludf.DUMMYFUNCTION("""COMPUTED_VALUE"""),63.0)</f>
        <v>63</v>
      </c>
      <c r="K948" s="168">
        <f>IFERROR(__xludf.DUMMYFUNCTION("""COMPUTED_VALUE"""),21.5)</f>
        <v>21.5</v>
      </c>
      <c r="L948" s="207" t="str">
        <f>IFERROR(__xludf.DUMMYFUNCTION("""COMPUTED_VALUE"""),"Action / Shooter / Brawler")</f>
        <v>Action / Shooter / Brawler</v>
      </c>
    </row>
    <row r="949">
      <c r="A949" s="203" t="str">
        <f>IFERROR(__xludf.DUMMYFUNCTION("""COMPUTED_VALUE"""),"BioShock Infinite")</f>
        <v>BioShock Infinite</v>
      </c>
      <c r="B949" s="204" t="str">
        <f>IFERROR(__xludf.DUMMYFUNCTION("""COMPUTED_VALUE"""),"Xbox")</f>
        <v>Xbox</v>
      </c>
      <c r="C949" s="205"/>
      <c r="D949" s="205" t="str">
        <f>IFERROR(__xludf.DUMMYFUNCTION("""COMPUTED_VALUE"""),"Removed")</f>
        <v>Removed</v>
      </c>
      <c r="E949" s="276">
        <f>IFERROR(__xludf.DUMMYFUNCTION("""COMPUTED_VALUE"""),42887.0)</f>
        <v>42887</v>
      </c>
      <c r="F949" s="166">
        <f>IFERROR(__xludf.DUMMYFUNCTION("""COMPUTED_VALUE"""),43224.0)</f>
        <v>43224</v>
      </c>
      <c r="G949" s="167">
        <f>IFERROR(__xludf.DUMMYFUNCTION("""COMPUTED_VALUE"""),11.100000000000001)</f>
        <v>11.1</v>
      </c>
      <c r="H949" s="213">
        <f>IFERROR(__xludf.DUMMYFUNCTION("""COMPUTED_VALUE"""),41359.0)</f>
        <v>41359</v>
      </c>
      <c r="I949" s="167">
        <f>IFERROR(__xludf.DUMMYFUNCTION("""COMPUTED_VALUE"""),4.180555555555555)</f>
        <v>4.180555556</v>
      </c>
      <c r="J949" s="168">
        <f>IFERROR(__xludf.DUMMYFUNCTION("""COMPUTED_VALUE"""),93.0)</f>
        <v>93</v>
      </c>
      <c r="K949" s="168">
        <f>IFERROR(__xludf.DUMMYFUNCTION("""COMPUTED_VALUE"""),11.5)</f>
        <v>11.5</v>
      </c>
      <c r="L949" s="207" t="str">
        <f>IFERROR(__xludf.DUMMYFUNCTION("""COMPUTED_VALUE"""),"First-Person Shooter / Action-Adventure")</f>
        <v>First-Person Shooter / Action-Adventure</v>
      </c>
    </row>
    <row r="950">
      <c r="A950" s="203" t="str">
        <f>IFERROR(__xludf.DUMMYFUNCTION("""COMPUTED_VALUE"""),"BioShock 2")</f>
        <v>BioShock 2</v>
      </c>
      <c r="B950" s="204" t="str">
        <f>IFERROR(__xludf.DUMMYFUNCTION("""COMPUTED_VALUE"""),"Xbox")</f>
        <v>Xbox</v>
      </c>
      <c r="C950" s="205"/>
      <c r="D950" s="205" t="str">
        <f>IFERROR(__xludf.DUMMYFUNCTION("""COMPUTED_VALUE"""),"Removed")</f>
        <v>Removed</v>
      </c>
      <c r="E950" s="276">
        <f>IFERROR(__xludf.DUMMYFUNCTION("""COMPUTED_VALUE"""),42887.0)</f>
        <v>42887</v>
      </c>
      <c r="F950" s="166">
        <f>IFERROR(__xludf.DUMMYFUNCTION("""COMPUTED_VALUE"""),43223.0)</f>
        <v>43223</v>
      </c>
      <c r="G950" s="167">
        <f>IFERROR(__xludf.DUMMYFUNCTION("""COMPUTED_VALUE"""),11.066666666666666)</f>
        <v>11.06666667</v>
      </c>
      <c r="H950" s="213">
        <f>IFERROR(__xludf.DUMMYFUNCTION("""COMPUTED_VALUE"""),40218.0)</f>
        <v>40218</v>
      </c>
      <c r="I950" s="167">
        <f>IFERROR(__xludf.DUMMYFUNCTION("""COMPUTED_VALUE"""),7.311111111111111)</f>
        <v>7.311111111</v>
      </c>
      <c r="J950" s="168">
        <f>IFERROR(__xludf.DUMMYFUNCTION("""COMPUTED_VALUE"""),88.0)</f>
        <v>88</v>
      </c>
      <c r="K950" s="168">
        <f>IFERROR(__xludf.DUMMYFUNCTION("""COMPUTED_VALUE"""),11.0)</f>
        <v>11</v>
      </c>
      <c r="L950" s="207" t="str">
        <f>IFERROR(__xludf.DUMMYFUNCTION("""COMPUTED_VALUE"""),"First-Person Shooter / Action-Adventure")</f>
        <v>First-Person Shooter / Action-Adventure</v>
      </c>
    </row>
    <row r="951">
      <c r="A951" s="203" t="str">
        <f>IFERROR(__xludf.DUMMYFUNCTION("""COMPUTED_VALUE"""),"BioShock")</f>
        <v>BioShock</v>
      </c>
      <c r="B951" s="204" t="str">
        <f>IFERROR(__xludf.DUMMYFUNCTION("""COMPUTED_VALUE"""),"Xbox")</f>
        <v>Xbox</v>
      </c>
      <c r="C951" s="205"/>
      <c r="D951" s="205" t="str">
        <f>IFERROR(__xludf.DUMMYFUNCTION("""COMPUTED_VALUE"""),"Removed")</f>
        <v>Removed</v>
      </c>
      <c r="E951" s="276">
        <f>IFERROR(__xludf.DUMMYFUNCTION("""COMPUTED_VALUE"""),42887.0)</f>
        <v>42887</v>
      </c>
      <c r="F951" s="166">
        <f>IFERROR(__xludf.DUMMYFUNCTION("""COMPUTED_VALUE"""),43222.0)</f>
        <v>43222</v>
      </c>
      <c r="G951" s="167">
        <f>IFERROR(__xludf.DUMMYFUNCTION("""COMPUTED_VALUE"""),11.033333333333333)</f>
        <v>11.03333333</v>
      </c>
      <c r="H951" s="213">
        <f>IFERROR(__xludf.DUMMYFUNCTION("""COMPUTED_VALUE"""),39315.0)</f>
        <v>39315</v>
      </c>
      <c r="I951" s="167">
        <f>IFERROR(__xludf.DUMMYFUNCTION("""COMPUTED_VALUE"""),9.777777777777779)</f>
        <v>9.777777778</v>
      </c>
      <c r="J951" s="168">
        <f>IFERROR(__xludf.DUMMYFUNCTION("""COMPUTED_VALUE"""),96.0)</f>
        <v>96</v>
      </c>
      <c r="K951" s="168">
        <f>IFERROR(__xludf.DUMMYFUNCTION("""COMPUTED_VALUE"""),12.0)</f>
        <v>12</v>
      </c>
      <c r="L951" s="207" t="str">
        <f>IFERROR(__xludf.DUMMYFUNCTION("""COMPUTED_VALUE"""),"First-Person Shooter / Action-Adventure")</f>
        <v>First-Person Shooter / Action-Adventure</v>
      </c>
    </row>
    <row r="952">
      <c r="A952" s="203" t="str">
        <f>IFERROR(__xludf.DUMMYFUNCTION("""COMPUTED_VALUE"""),"Age of Booty")</f>
        <v>Age of Booty</v>
      </c>
      <c r="B952" s="204" t="str">
        <f>IFERROR(__xludf.DUMMYFUNCTION("""COMPUTED_VALUE"""),"Xbox")</f>
        <v>Xbox</v>
      </c>
      <c r="C952" s="205"/>
      <c r="D952" s="205" t="str">
        <f>IFERROR(__xludf.DUMMYFUNCTION("""COMPUTED_VALUE"""),"Removed")</f>
        <v>Removed</v>
      </c>
      <c r="E952" s="276">
        <f>IFERROR(__xludf.DUMMYFUNCTION("""COMPUTED_VALUE"""),42887.0)</f>
        <v>42887</v>
      </c>
      <c r="F952" s="166">
        <f>IFERROR(__xludf.DUMMYFUNCTION("""COMPUTED_VALUE"""),43221.0)</f>
        <v>43221</v>
      </c>
      <c r="G952" s="167">
        <f>IFERROR(__xludf.DUMMYFUNCTION("""COMPUTED_VALUE"""),11.0)</f>
        <v>11</v>
      </c>
      <c r="H952" s="213">
        <f>IFERROR(__xludf.DUMMYFUNCTION("""COMPUTED_VALUE"""),39736.0)</f>
        <v>39736</v>
      </c>
      <c r="I952" s="167">
        <f>IFERROR(__xludf.DUMMYFUNCTION("""COMPUTED_VALUE"""),8.627777777777778)</f>
        <v>8.627777778</v>
      </c>
      <c r="J952" s="168">
        <f>IFERROR(__xludf.DUMMYFUNCTION("""COMPUTED_VALUE"""),76.0)</f>
        <v>76</v>
      </c>
      <c r="K952" s="168">
        <f>IFERROR(__xludf.DUMMYFUNCTION("""COMPUTED_VALUE"""),8.0)</f>
        <v>8</v>
      </c>
      <c r="L952" s="207" t="str">
        <f>IFERROR(__xludf.DUMMYFUNCTION("""COMPUTED_VALUE"""),"Real-Time Strategy")</f>
        <v>Real-Time Strategy</v>
      </c>
    </row>
    <row r="953">
      <c r="A953" s="203" t="str">
        <f>IFERROR(__xludf.DUMMYFUNCTION("""COMPUTED_VALUE"""),"Bionic Commando: Rearmed 2")</f>
        <v>Bionic Commando: Rearmed 2</v>
      </c>
      <c r="B953" s="204" t="str">
        <f>IFERROR(__xludf.DUMMYFUNCTION("""COMPUTED_VALUE"""),"Xbox")</f>
        <v>Xbox</v>
      </c>
      <c r="C953" s="205"/>
      <c r="D953" s="205" t="str">
        <f>IFERROR(__xludf.DUMMYFUNCTION("""COMPUTED_VALUE"""),"Removed")</f>
        <v>Removed</v>
      </c>
      <c r="E953" s="276">
        <f>IFERROR(__xludf.DUMMYFUNCTION("""COMPUTED_VALUE"""),42887.0)</f>
        <v>42887</v>
      </c>
      <c r="F953" s="166">
        <f>IFERROR(__xludf.DUMMYFUNCTION("""COMPUTED_VALUE"""),43221.0)</f>
        <v>43221</v>
      </c>
      <c r="G953" s="167">
        <f>IFERROR(__xludf.DUMMYFUNCTION("""COMPUTED_VALUE"""),11.0)</f>
        <v>11</v>
      </c>
      <c r="H953" s="213">
        <f>IFERROR(__xludf.DUMMYFUNCTION("""COMPUTED_VALUE"""),40575.0)</f>
        <v>40575</v>
      </c>
      <c r="I953" s="167">
        <f>IFERROR(__xludf.DUMMYFUNCTION("""COMPUTED_VALUE"""),6.333333333333333)</f>
        <v>6.333333333</v>
      </c>
      <c r="J953" s="168">
        <f>IFERROR(__xludf.DUMMYFUNCTION("""COMPUTED_VALUE"""),62.0)</f>
        <v>62</v>
      </c>
      <c r="K953" s="168">
        <f>IFERROR(__xludf.DUMMYFUNCTION("""COMPUTED_VALUE"""),5.5)</f>
        <v>5.5</v>
      </c>
      <c r="L953" s="207" t="str">
        <f>IFERROR(__xludf.DUMMYFUNCTION("""COMPUTED_VALUE"""),"Action / Platformer")</f>
        <v>Action / Platformer</v>
      </c>
    </row>
    <row r="954">
      <c r="A954" s="203" t="str">
        <f>IFERROR(__xludf.DUMMYFUNCTION("""COMPUTED_VALUE"""),"Blood Bowl 2")</f>
        <v>Blood Bowl 2</v>
      </c>
      <c r="B954" s="204" t="str">
        <f>IFERROR(__xludf.DUMMYFUNCTION("""COMPUTED_VALUE"""),"Xbox")</f>
        <v>Xbox</v>
      </c>
      <c r="C954" s="205"/>
      <c r="D954" s="205" t="str">
        <f>IFERROR(__xludf.DUMMYFUNCTION("""COMPUTED_VALUE"""),"Removed")</f>
        <v>Removed</v>
      </c>
      <c r="E954" s="276">
        <f>IFERROR(__xludf.DUMMYFUNCTION("""COMPUTED_VALUE"""),42887.0)</f>
        <v>42887</v>
      </c>
      <c r="F954" s="166">
        <f>IFERROR(__xludf.DUMMYFUNCTION("""COMPUTED_VALUE"""),43221.0)</f>
        <v>43221</v>
      </c>
      <c r="G954" s="167">
        <f>IFERROR(__xludf.DUMMYFUNCTION("""COMPUTED_VALUE"""),11.0)</f>
        <v>11</v>
      </c>
      <c r="H954" s="213">
        <f>IFERROR(__xludf.DUMMYFUNCTION("""COMPUTED_VALUE"""),42269.0)</f>
        <v>42269</v>
      </c>
      <c r="I954" s="167">
        <f>IFERROR(__xludf.DUMMYFUNCTION("""COMPUTED_VALUE"""),1.6916666666666667)</f>
        <v>1.691666667</v>
      </c>
      <c r="J954" s="168">
        <f>IFERROR(__xludf.DUMMYFUNCTION("""COMPUTED_VALUE"""),70.0)</f>
        <v>70</v>
      </c>
      <c r="K954" s="168">
        <f>IFERROR(__xludf.DUMMYFUNCTION("""COMPUTED_VALUE"""),19.0)</f>
        <v>19</v>
      </c>
      <c r="L954" s="207" t="str">
        <f>IFERROR(__xludf.DUMMYFUNCTION("""COMPUTED_VALUE"""),"Strategy / RPG / Football")</f>
        <v>Strategy / RPG / Football</v>
      </c>
    </row>
    <row r="955">
      <c r="A955" s="203" t="str">
        <f>IFERROR(__xludf.DUMMYFUNCTION("""COMPUTED_VALUE"""),"Borderlands")</f>
        <v>Borderlands</v>
      </c>
      <c r="B955" s="204" t="str">
        <f>IFERROR(__xludf.DUMMYFUNCTION("""COMPUTED_VALUE"""),"Xbox")</f>
        <v>Xbox</v>
      </c>
      <c r="C955" s="205"/>
      <c r="D955" s="205" t="str">
        <f>IFERROR(__xludf.DUMMYFUNCTION("""COMPUTED_VALUE"""),"Removed")</f>
        <v>Removed</v>
      </c>
      <c r="E955" s="276">
        <f>IFERROR(__xludf.DUMMYFUNCTION("""COMPUTED_VALUE"""),42887.0)</f>
        <v>42887</v>
      </c>
      <c r="F955" s="166">
        <f>IFERROR(__xludf.DUMMYFUNCTION("""COMPUTED_VALUE"""),43221.0)</f>
        <v>43221</v>
      </c>
      <c r="G955" s="167">
        <f>IFERROR(__xludf.DUMMYFUNCTION("""COMPUTED_VALUE"""),11.0)</f>
        <v>11</v>
      </c>
      <c r="H955" s="213">
        <f>IFERROR(__xludf.DUMMYFUNCTION("""COMPUTED_VALUE"""),40106.0)</f>
        <v>40106</v>
      </c>
      <c r="I955" s="167">
        <f>IFERROR(__xludf.DUMMYFUNCTION("""COMPUTED_VALUE"""),7.613888888888889)</f>
        <v>7.613888889</v>
      </c>
      <c r="J955" s="168">
        <f>IFERROR(__xludf.DUMMYFUNCTION("""COMPUTED_VALUE"""),84.0)</f>
        <v>84</v>
      </c>
      <c r="K955" s="168">
        <f>IFERROR(__xludf.DUMMYFUNCTION("""COMPUTED_VALUE"""),22.5)</f>
        <v>22.5</v>
      </c>
      <c r="L955" s="207" t="str">
        <f>IFERROR(__xludf.DUMMYFUNCTION("""COMPUTED_VALUE"""),"Action / RPG / First-Person Shooter")</f>
        <v>Action / RPG / First-Person Shooter</v>
      </c>
    </row>
    <row r="956">
      <c r="A956" s="203" t="str">
        <f>IFERROR(__xludf.DUMMYFUNCTION("""COMPUTED_VALUE"""),"Bound by Flame")</f>
        <v>Bound by Flame</v>
      </c>
      <c r="B956" s="204" t="str">
        <f>IFERROR(__xludf.DUMMYFUNCTION("""COMPUTED_VALUE"""),"Xbox")</f>
        <v>Xbox</v>
      </c>
      <c r="C956" s="205"/>
      <c r="D956" s="205" t="str">
        <f>IFERROR(__xludf.DUMMYFUNCTION("""COMPUTED_VALUE"""),"Removed")</f>
        <v>Removed</v>
      </c>
      <c r="E956" s="276">
        <f>IFERROR(__xludf.DUMMYFUNCTION("""COMPUTED_VALUE"""),42887.0)</f>
        <v>42887</v>
      </c>
      <c r="F956" s="166">
        <f>IFERROR(__xludf.DUMMYFUNCTION("""COMPUTED_VALUE"""),43221.0)</f>
        <v>43221</v>
      </c>
      <c r="G956" s="167">
        <f>IFERROR(__xludf.DUMMYFUNCTION("""COMPUTED_VALUE"""),11.0)</f>
        <v>11</v>
      </c>
      <c r="H956" s="213">
        <f>IFERROR(__xludf.DUMMYFUNCTION("""COMPUTED_VALUE"""),41768.0)</f>
        <v>41768</v>
      </c>
      <c r="I956" s="167">
        <f>IFERROR(__xludf.DUMMYFUNCTION("""COMPUTED_VALUE"""),3.061111111111111)</f>
        <v>3.061111111</v>
      </c>
      <c r="J956" s="168">
        <f>IFERROR(__xludf.DUMMYFUNCTION("""COMPUTED_VALUE"""),56.0)</f>
        <v>56</v>
      </c>
      <c r="K956" s="168">
        <f>IFERROR(__xludf.DUMMYFUNCTION("""COMPUTED_VALUE"""),13.0)</f>
        <v>13</v>
      </c>
      <c r="L956" s="207" t="str">
        <f>IFERROR(__xludf.DUMMYFUNCTION("""COMPUTED_VALUE"""),"RPG / Action-Adventure")</f>
        <v>RPG / Action-Adventure</v>
      </c>
    </row>
    <row r="957">
      <c r="A957" s="203" t="str">
        <f>IFERROR(__xludf.DUMMYFUNCTION("""COMPUTED_VALUE"""),"de Blob 2")</f>
        <v>de Blob 2</v>
      </c>
      <c r="B957" s="204" t="str">
        <f>IFERROR(__xludf.DUMMYFUNCTION("""COMPUTED_VALUE"""),"Xbox")</f>
        <v>Xbox</v>
      </c>
      <c r="C957" s="205"/>
      <c r="D957" s="205" t="str">
        <f>IFERROR(__xludf.DUMMYFUNCTION("""COMPUTED_VALUE"""),"Removed")</f>
        <v>Removed</v>
      </c>
      <c r="E957" s="276">
        <f>IFERROR(__xludf.DUMMYFUNCTION("""COMPUTED_VALUE"""),42887.0)</f>
        <v>42887</v>
      </c>
      <c r="F957" s="166">
        <f>IFERROR(__xludf.DUMMYFUNCTION("""COMPUTED_VALUE"""),43221.0)</f>
        <v>43221</v>
      </c>
      <c r="G957" s="167">
        <f>IFERROR(__xludf.DUMMYFUNCTION("""COMPUTED_VALUE"""),11.0)</f>
        <v>11</v>
      </c>
      <c r="H957" s="213">
        <f>IFERROR(__xludf.DUMMYFUNCTION("""COMPUTED_VALUE"""),40596.0)</f>
        <v>40596</v>
      </c>
      <c r="I957" s="167">
        <f>IFERROR(__xludf.DUMMYFUNCTION("""COMPUTED_VALUE"""),6.275)</f>
        <v>6.275</v>
      </c>
      <c r="J957" s="168">
        <f>IFERROR(__xludf.DUMMYFUNCTION("""COMPUTED_VALUE"""),76.0)</f>
        <v>76</v>
      </c>
      <c r="K957" s="168">
        <f>IFERROR(__xludf.DUMMYFUNCTION("""COMPUTED_VALUE"""),11.0)</f>
        <v>11</v>
      </c>
      <c r="L957" s="207" t="str">
        <f>IFERROR(__xludf.DUMMYFUNCTION("""COMPUTED_VALUE"""),"Puzzle / Platformer")</f>
        <v>Puzzle / Platformer</v>
      </c>
    </row>
    <row r="958">
      <c r="A958" s="203" t="str">
        <f>IFERROR(__xludf.DUMMYFUNCTION("""COMPUTED_VALUE"""),"Dead Rising 2: Case Zero")</f>
        <v>Dead Rising 2: Case Zero</v>
      </c>
      <c r="B958" s="204" t="str">
        <f>IFERROR(__xludf.DUMMYFUNCTION("""COMPUTED_VALUE"""),"Xbox")</f>
        <v>Xbox</v>
      </c>
      <c r="C958" s="205"/>
      <c r="D958" s="205" t="str">
        <f>IFERROR(__xludf.DUMMYFUNCTION("""COMPUTED_VALUE"""),"Removed")</f>
        <v>Removed</v>
      </c>
      <c r="E958" s="276">
        <f>IFERROR(__xludf.DUMMYFUNCTION("""COMPUTED_VALUE"""),42887.0)</f>
        <v>42887</v>
      </c>
      <c r="F958" s="166">
        <f>IFERROR(__xludf.DUMMYFUNCTION("""COMPUTED_VALUE"""),43221.0)</f>
        <v>43221</v>
      </c>
      <c r="G958" s="167">
        <f>IFERROR(__xludf.DUMMYFUNCTION("""COMPUTED_VALUE"""),11.0)</f>
        <v>11</v>
      </c>
      <c r="H958" s="213">
        <f>IFERROR(__xludf.DUMMYFUNCTION("""COMPUTED_VALUE"""),40421.0)</f>
        <v>40421</v>
      </c>
      <c r="I958" s="167">
        <f>IFERROR(__xludf.DUMMYFUNCTION("""COMPUTED_VALUE"""),6.752777777777778)</f>
        <v>6.752777778</v>
      </c>
      <c r="J958" s="168">
        <f>IFERROR(__xludf.DUMMYFUNCTION("""COMPUTED_VALUE"""),79.0)</f>
        <v>79</v>
      </c>
      <c r="K958" s="168">
        <f>IFERROR(__xludf.DUMMYFUNCTION("""COMPUTED_VALUE"""),2.0)</f>
        <v>2</v>
      </c>
      <c r="L958" s="207" t="str">
        <f>IFERROR(__xludf.DUMMYFUNCTION("""COMPUTED_VALUE"""),"Shooter / Brawler / Action-Adventure")</f>
        <v>Shooter / Brawler / Action-Adventure</v>
      </c>
    </row>
    <row r="959">
      <c r="A959" s="203" t="str">
        <f>IFERROR(__xludf.DUMMYFUNCTION("""COMPUTED_VALUE"""),"Defense Grid 2")</f>
        <v>Defense Grid 2</v>
      </c>
      <c r="B959" s="204" t="str">
        <f>IFERROR(__xludf.DUMMYFUNCTION("""COMPUTED_VALUE"""),"Xbox")</f>
        <v>Xbox</v>
      </c>
      <c r="C959" s="205"/>
      <c r="D959" s="205" t="str">
        <f>IFERROR(__xludf.DUMMYFUNCTION("""COMPUTED_VALUE"""),"Removed")</f>
        <v>Removed</v>
      </c>
      <c r="E959" s="276">
        <f>IFERROR(__xludf.DUMMYFUNCTION("""COMPUTED_VALUE"""),42887.0)</f>
        <v>42887</v>
      </c>
      <c r="F959" s="166">
        <f>IFERROR(__xludf.DUMMYFUNCTION("""COMPUTED_VALUE"""),43221.0)</f>
        <v>43221</v>
      </c>
      <c r="G959" s="167">
        <f>IFERROR(__xludf.DUMMYFUNCTION("""COMPUTED_VALUE"""),11.0)</f>
        <v>11</v>
      </c>
      <c r="H959" s="213">
        <f>IFERROR(__xludf.DUMMYFUNCTION("""COMPUTED_VALUE"""),41905.0)</f>
        <v>41905</v>
      </c>
      <c r="I959" s="167">
        <f>IFERROR(__xludf.DUMMYFUNCTION("""COMPUTED_VALUE"""),2.688888888888889)</f>
        <v>2.688888889</v>
      </c>
      <c r="J959" s="168">
        <f>IFERROR(__xludf.DUMMYFUNCTION("""COMPUTED_VALUE"""),78.0)</f>
        <v>78</v>
      </c>
      <c r="K959" s="168">
        <f>IFERROR(__xludf.DUMMYFUNCTION("""COMPUTED_VALUE"""),10.5)</f>
        <v>10.5</v>
      </c>
      <c r="L959" s="207" t="str">
        <f>IFERROR(__xludf.DUMMYFUNCTION("""COMPUTED_VALUE"""),"Strategy / Real-Time Strategy")</f>
        <v>Strategy / Real-Time Strategy</v>
      </c>
    </row>
    <row r="960">
      <c r="A960" s="203" t="str">
        <f>IFERROR(__xludf.DUMMYFUNCTION("""COMPUTED_VALUE"""),"Dig Dug")</f>
        <v>Dig Dug</v>
      </c>
      <c r="B960" s="204" t="str">
        <f>IFERROR(__xludf.DUMMYFUNCTION("""COMPUTED_VALUE"""),"Xbox")</f>
        <v>Xbox</v>
      </c>
      <c r="C960" s="205"/>
      <c r="D960" s="205" t="str">
        <f>IFERROR(__xludf.DUMMYFUNCTION("""COMPUTED_VALUE"""),"Removed")</f>
        <v>Removed</v>
      </c>
      <c r="E960" s="276">
        <f>IFERROR(__xludf.DUMMYFUNCTION("""COMPUTED_VALUE"""),42887.0)</f>
        <v>42887</v>
      </c>
      <c r="F960" s="166">
        <f>IFERROR(__xludf.DUMMYFUNCTION("""COMPUTED_VALUE"""),43221.0)</f>
        <v>43221</v>
      </c>
      <c r="G960" s="167">
        <f>IFERROR(__xludf.DUMMYFUNCTION("""COMPUTED_VALUE"""),11.0)</f>
        <v>11</v>
      </c>
      <c r="H960" s="213">
        <f>IFERROR(__xludf.DUMMYFUNCTION("""COMPUTED_VALUE"""),30060.0)</f>
        <v>30060</v>
      </c>
      <c r="I960" s="167">
        <f>IFERROR(__xludf.DUMMYFUNCTION("""COMPUTED_VALUE"""),35.11666666666667)</f>
        <v>35.11666667</v>
      </c>
      <c r="J960" s="168">
        <f>IFERROR(__xludf.DUMMYFUNCTION("""COMPUTED_VALUE"""),65.0)</f>
        <v>65</v>
      </c>
      <c r="K960" s="168">
        <f>IFERROR(__xludf.DUMMYFUNCTION("""COMPUTED_VALUE"""),1.0)</f>
        <v>1</v>
      </c>
      <c r="L960" s="207" t="str">
        <f>IFERROR(__xludf.DUMMYFUNCTION("""COMPUTED_VALUE"""),"Action")</f>
        <v>Action</v>
      </c>
    </row>
    <row r="961">
      <c r="A961" s="203" t="str">
        <f>IFERROR(__xludf.DUMMYFUNCTION("""COMPUTED_VALUE"""),"Final Fight: Double Impact")</f>
        <v>Final Fight: Double Impact</v>
      </c>
      <c r="B961" s="204" t="str">
        <f>IFERROR(__xludf.DUMMYFUNCTION("""COMPUTED_VALUE"""),"Xbox")</f>
        <v>Xbox</v>
      </c>
      <c r="C961" s="205"/>
      <c r="D961" s="205" t="str">
        <f>IFERROR(__xludf.DUMMYFUNCTION("""COMPUTED_VALUE"""),"Removed")</f>
        <v>Removed</v>
      </c>
      <c r="E961" s="276">
        <f>IFERROR(__xludf.DUMMYFUNCTION("""COMPUTED_VALUE"""),42887.0)</f>
        <v>42887</v>
      </c>
      <c r="F961" s="166">
        <f>IFERROR(__xludf.DUMMYFUNCTION("""COMPUTED_VALUE"""),43221.0)</f>
        <v>43221</v>
      </c>
      <c r="G961" s="167">
        <f>IFERROR(__xludf.DUMMYFUNCTION("""COMPUTED_VALUE"""),11.0)</f>
        <v>11</v>
      </c>
      <c r="H961" s="213">
        <f>IFERROR(__xludf.DUMMYFUNCTION("""COMPUTED_VALUE"""),40282.0)</f>
        <v>40282</v>
      </c>
      <c r="I961" s="167">
        <f>IFERROR(__xludf.DUMMYFUNCTION("""COMPUTED_VALUE"""),7.1305555555555555)</f>
        <v>7.130555556</v>
      </c>
      <c r="J961" s="168">
        <f>IFERROR(__xludf.DUMMYFUNCTION("""COMPUTED_VALUE"""),77.0)</f>
        <v>77</v>
      </c>
      <c r="K961" s="168">
        <f>IFERROR(__xludf.DUMMYFUNCTION("""COMPUTED_VALUE"""),1.0)</f>
        <v>1</v>
      </c>
      <c r="L961" s="207" t="str">
        <f>IFERROR(__xludf.DUMMYFUNCTION("""COMPUTED_VALUE"""),"Brawler")</f>
        <v>Brawler</v>
      </c>
    </row>
    <row r="962">
      <c r="A962" s="203" t="str">
        <f>IFERROR(__xludf.DUMMYFUNCTION("""COMPUTED_VALUE"""),"LEGO Batman: The Videogame")</f>
        <v>LEGO Batman: The Videogame</v>
      </c>
      <c r="B962" s="204" t="str">
        <f>IFERROR(__xludf.DUMMYFUNCTION("""COMPUTED_VALUE"""),"Xbox")</f>
        <v>Xbox</v>
      </c>
      <c r="C962" s="205"/>
      <c r="D962" s="205" t="str">
        <f>IFERROR(__xludf.DUMMYFUNCTION("""COMPUTED_VALUE"""),"Removed")</f>
        <v>Removed</v>
      </c>
      <c r="E962" s="276">
        <f>IFERROR(__xludf.DUMMYFUNCTION("""COMPUTED_VALUE"""),42887.0)</f>
        <v>42887</v>
      </c>
      <c r="F962" s="166">
        <f>IFERROR(__xludf.DUMMYFUNCTION("""COMPUTED_VALUE"""),43221.0)</f>
        <v>43221</v>
      </c>
      <c r="G962" s="167">
        <f>IFERROR(__xludf.DUMMYFUNCTION("""COMPUTED_VALUE"""),11.0)</f>
        <v>11</v>
      </c>
      <c r="H962" s="213">
        <f>IFERROR(__xludf.DUMMYFUNCTION("""COMPUTED_VALUE"""),39714.0)</f>
        <v>39714</v>
      </c>
      <c r="I962" s="167">
        <f>IFERROR(__xludf.DUMMYFUNCTION("""COMPUTED_VALUE"""),8.688888888888888)</f>
        <v>8.688888889</v>
      </c>
      <c r="J962" s="168">
        <f>IFERROR(__xludf.DUMMYFUNCTION("""COMPUTED_VALUE"""),76.0)</f>
        <v>76</v>
      </c>
      <c r="K962" s="168">
        <f>IFERROR(__xludf.DUMMYFUNCTION("""COMPUTED_VALUE"""),10.0)</f>
        <v>10</v>
      </c>
      <c r="L962" s="207" t="str">
        <f>IFERROR(__xludf.DUMMYFUNCTION("""COMPUTED_VALUE"""),"Brawler / Action-Adventure")</f>
        <v>Brawler / Action-Adventure</v>
      </c>
    </row>
    <row r="963">
      <c r="A963" s="203" t="str">
        <f>IFERROR(__xludf.DUMMYFUNCTION("""COMPUTED_VALUE"""),"Mad Max")</f>
        <v>Mad Max</v>
      </c>
      <c r="B963" s="204" t="str">
        <f>IFERROR(__xludf.DUMMYFUNCTION("""COMPUTED_VALUE"""),"Xbox")</f>
        <v>Xbox</v>
      </c>
      <c r="C963" s="205"/>
      <c r="D963" s="205" t="str">
        <f>IFERROR(__xludf.DUMMYFUNCTION("""COMPUTED_VALUE"""),"Removed")</f>
        <v>Removed</v>
      </c>
      <c r="E963" s="276">
        <f>IFERROR(__xludf.DUMMYFUNCTION("""COMPUTED_VALUE"""),42887.0)</f>
        <v>42887</v>
      </c>
      <c r="F963" s="166">
        <f>IFERROR(__xludf.DUMMYFUNCTION("""COMPUTED_VALUE"""),43221.0)</f>
        <v>43221</v>
      </c>
      <c r="G963" s="167">
        <f>IFERROR(__xludf.DUMMYFUNCTION("""COMPUTED_VALUE"""),11.0)</f>
        <v>11</v>
      </c>
      <c r="H963" s="213">
        <f>IFERROR(__xludf.DUMMYFUNCTION("""COMPUTED_VALUE"""),42248.0)</f>
        <v>42248</v>
      </c>
      <c r="I963" s="167">
        <f>IFERROR(__xludf.DUMMYFUNCTION("""COMPUTED_VALUE"""),1.75)</f>
        <v>1.75</v>
      </c>
      <c r="J963" s="168">
        <f>IFERROR(__xludf.DUMMYFUNCTION("""COMPUTED_VALUE"""),72.0)</f>
        <v>72</v>
      </c>
      <c r="K963" s="168">
        <f>IFERROR(__xludf.DUMMYFUNCTION("""COMPUTED_VALUE"""),19.5)</f>
        <v>19.5</v>
      </c>
      <c r="L963" s="207" t="str">
        <f>IFERROR(__xludf.DUMMYFUNCTION("""COMPUTED_VALUE"""),"Driving/Racing / Shooter / Vehicular Combat")</f>
        <v>Driving/Racing / Shooter / Vehicular Combat</v>
      </c>
    </row>
    <row r="964">
      <c r="A964" s="203" t="str">
        <f>IFERROR(__xludf.DUMMYFUNCTION("""COMPUTED_VALUE"""),"NeoGeo Battle Coliseum")</f>
        <v>NeoGeo Battle Coliseum</v>
      </c>
      <c r="B964" s="204" t="str">
        <f>IFERROR(__xludf.DUMMYFUNCTION("""COMPUTED_VALUE"""),"Xbox")</f>
        <v>Xbox</v>
      </c>
      <c r="C964" s="205"/>
      <c r="D964" s="205" t="str">
        <f>IFERROR(__xludf.DUMMYFUNCTION("""COMPUTED_VALUE"""),"Removed")</f>
        <v>Removed</v>
      </c>
      <c r="E964" s="276">
        <f>IFERROR(__xludf.DUMMYFUNCTION("""COMPUTED_VALUE"""),42887.0)</f>
        <v>42887</v>
      </c>
      <c r="F964" s="166">
        <f>IFERROR(__xludf.DUMMYFUNCTION("""COMPUTED_VALUE"""),43221.0)</f>
        <v>43221</v>
      </c>
      <c r="G964" s="167">
        <f>IFERROR(__xludf.DUMMYFUNCTION("""COMPUTED_VALUE"""),11.0)</f>
        <v>11</v>
      </c>
      <c r="H964" s="213">
        <f>IFERROR(__xludf.DUMMYFUNCTION("""COMPUTED_VALUE"""),38708.0)</f>
        <v>38708</v>
      </c>
      <c r="I964" s="167">
        <f>IFERROR(__xludf.DUMMYFUNCTION("""COMPUTED_VALUE"""),11.441666666666666)</f>
        <v>11.44166667</v>
      </c>
      <c r="J964" s="168">
        <f>IFERROR(__xludf.DUMMYFUNCTION("""COMPUTED_VALUE"""),64.0)</f>
        <v>64</v>
      </c>
      <c r="K964" s="168">
        <f>IFERROR(__xludf.DUMMYFUNCTION("""COMPUTED_VALUE"""),0.5)</f>
        <v>0.5</v>
      </c>
      <c r="L964" s="207" t="str">
        <f>IFERROR(__xludf.DUMMYFUNCTION("""COMPUTED_VALUE"""),"Fighting")</f>
        <v>Fighting</v>
      </c>
    </row>
    <row r="965">
      <c r="A965" s="203" t="str">
        <f>IFERROR(__xludf.DUMMYFUNCTION("""COMPUTED_VALUE"""),"Operation Flashpoint: Dragon Rising")</f>
        <v>Operation Flashpoint: Dragon Rising</v>
      </c>
      <c r="B965" s="204" t="str">
        <f>IFERROR(__xludf.DUMMYFUNCTION("""COMPUTED_VALUE"""),"Xbox")</f>
        <v>Xbox</v>
      </c>
      <c r="C965" s="205"/>
      <c r="D965" s="205" t="str">
        <f>IFERROR(__xludf.DUMMYFUNCTION("""COMPUTED_VALUE"""),"Removed")</f>
        <v>Removed</v>
      </c>
      <c r="E965" s="276">
        <f>IFERROR(__xludf.DUMMYFUNCTION("""COMPUTED_VALUE"""),42887.0)</f>
        <v>42887</v>
      </c>
      <c r="F965" s="166">
        <f>IFERROR(__xludf.DUMMYFUNCTION("""COMPUTED_VALUE"""),43221.0)</f>
        <v>43221</v>
      </c>
      <c r="G965" s="167">
        <f>IFERROR(__xludf.DUMMYFUNCTION("""COMPUTED_VALUE"""),11.0)</f>
        <v>11</v>
      </c>
      <c r="H965" s="213">
        <f>IFERROR(__xludf.DUMMYFUNCTION("""COMPUTED_VALUE"""),40092.0)</f>
        <v>40092</v>
      </c>
      <c r="I965" s="167">
        <f>IFERROR(__xludf.DUMMYFUNCTION("""COMPUTED_VALUE"""),7.652777777777778)</f>
        <v>7.652777778</v>
      </c>
      <c r="J965" s="168">
        <f>IFERROR(__xludf.DUMMYFUNCTION("""COMPUTED_VALUE"""),77.0)</f>
        <v>77</v>
      </c>
      <c r="K965" s="168">
        <f>IFERROR(__xludf.DUMMYFUNCTION("""COMPUTED_VALUE"""),12.0)</f>
        <v>12</v>
      </c>
      <c r="L965" s="207" t="str">
        <f>IFERROR(__xludf.DUMMYFUNCTION("""COMPUTED_VALUE"""),"Action / Strategy / First-Person Shooter")</f>
        <v>Action / Strategy / First-Person Shooter</v>
      </c>
    </row>
    <row r="966">
      <c r="A966" s="203" t="str">
        <f>IFERROR(__xludf.DUMMYFUNCTION("""COMPUTED_VALUE"""),"Pac-Man Championship Edition DX")</f>
        <v>Pac-Man Championship Edition DX</v>
      </c>
      <c r="B966" s="204" t="str">
        <f>IFERROR(__xludf.DUMMYFUNCTION("""COMPUTED_VALUE"""),"Xbox")</f>
        <v>Xbox</v>
      </c>
      <c r="C966" s="205"/>
      <c r="D966" s="205" t="str">
        <f>IFERROR(__xludf.DUMMYFUNCTION("""COMPUTED_VALUE"""),"Removed")</f>
        <v>Removed</v>
      </c>
      <c r="E966" s="276">
        <f>IFERROR(__xludf.DUMMYFUNCTION("""COMPUTED_VALUE"""),42887.0)</f>
        <v>42887</v>
      </c>
      <c r="F966" s="166">
        <f>IFERROR(__xludf.DUMMYFUNCTION("""COMPUTED_VALUE"""),43221.0)</f>
        <v>43221</v>
      </c>
      <c r="G966" s="167">
        <f>IFERROR(__xludf.DUMMYFUNCTION("""COMPUTED_VALUE"""),11.0)</f>
        <v>11</v>
      </c>
      <c r="H966" s="213">
        <f>IFERROR(__xludf.DUMMYFUNCTION("""COMPUTED_VALUE"""),40498.0)</f>
        <v>40498</v>
      </c>
      <c r="I966" s="167">
        <f>IFERROR(__xludf.DUMMYFUNCTION("""COMPUTED_VALUE"""),6.541666666666667)</f>
        <v>6.541666667</v>
      </c>
      <c r="J966" s="168">
        <f>IFERROR(__xludf.DUMMYFUNCTION("""COMPUTED_VALUE"""),93.0)</f>
        <v>93</v>
      </c>
      <c r="K966" s="168">
        <f>IFERROR(__xludf.DUMMYFUNCTION("""COMPUTED_VALUE"""),4.0)</f>
        <v>4</v>
      </c>
      <c r="L966" s="207" t="str">
        <f>IFERROR(__xludf.DUMMYFUNCTION("""COMPUTED_VALUE"""),"Action / Puzzle")</f>
        <v>Action / Puzzle</v>
      </c>
    </row>
    <row r="967">
      <c r="A967" s="203" t="str">
        <f>IFERROR(__xludf.DUMMYFUNCTION("""COMPUTED_VALUE"""),"Sacred 3")</f>
        <v>Sacred 3</v>
      </c>
      <c r="B967" s="204" t="str">
        <f>IFERROR(__xludf.DUMMYFUNCTION("""COMPUTED_VALUE"""),"Xbox")</f>
        <v>Xbox</v>
      </c>
      <c r="C967" s="205"/>
      <c r="D967" s="205" t="str">
        <f>IFERROR(__xludf.DUMMYFUNCTION("""COMPUTED_VALUE"""),"Removed")</f>
        <v>Removed</v>
      </c>
      <c r="E967" s="276">
        <f>IFERROR(__xludf.DUMMYFUNCTION("""COMPUTED_VALUE"""),42887.0)</f>
        <v>42887</v>
      </c>
      <c r="F967" s="166">
        <f>IFERROR(__xludf.DUMMYFUNCTION("""COMPUTED_VALUE"""),43221.0)</f>
        <v>43221</v>
      </c>
      <c r="G967" s="167">
        <f>IFERROR(__xludf.DUMMYFUNCTION("""COMPUTED_VALUE"""),11.0)</f>
        <v>11</v>
      </c>
      <c r="H967" s="213">
        <f>IFERROR(__xludf.DUMMYFUNCTION("""COMPUTED_VALUE"""),41851.0)</f>
        <v>41851</v>
      </c>
      <c r="I967" s="167">
        <f>IFERROR(__xludf.DUMMYFUNCTION("""COMPUTED_VALUE"""),2.8361111111111112)</f>
        <v>2.836111111</v>
      </c>
      <c r="J967" s="168">
        <f>IFERROR(__xludf.DUMMYFUNCTION("""COMPUTED_VALUE"""),51.0)</f>
        <v>51</v>
      </c>
      <c r="K967" s="168">
        <f>IFERROR(__xludf.DUMMYFUNCTION("""COMPUTED_VALUE"""),8.0)</f>
        <v>8</v>
      </c>
      <c r="L967" s="207" t="str">
        <f>IFERROR(__xludf.DUMMYFUNCTION("""COMPUTED_VALUE"""),"RPG / Action-Adventure")</f>
        <v>RPG / Action-Adventure</v>
      </c>
    </row>
    <row r="968">
      <c r="A968" s="203" t="str">
        <f>IFERROR(__xludf.DUMMYFUNCTION("""COMPUTED_VALUE"""),"Sam &amp; Max: Beyond Time and Space")</f>
        <v>Sam &amp; Max: Beyond Time and Space</v>
      </c>
      <c r="B968" s="204" t="str">
        <f>IFERROR(__xludf.DUMMYFUNCTION("""COMPUTED_VALUE"""),"Xbox")</f>
        <v>Xbox</v>
      </c>
      <c r="C968" s="205"/>
      <c r="D968" s="205" t="str">
        <f>IFERROR(__xludf.DUMMYFUNCTION("""COMPUTED_VALUE"""),"Removed")</f>
        <v>Removed</v>
      </c>
      <c r="E968" s="276">
        <f>IFERROR(__xludf.DUMMYFUNCTION("""COMPUTED_VALUE"""),42887.0)</f>
        <v>42887</v>
      </c>
      <c r="F968" s="166">
        <f>IFERROR(__xludf.DUMMYFUNCTION("""COMPUTED_VALUE"""),43221.0)</f>
        <v>43221</v>
      </c>
      <c r="G968" s="167">
        <f>IFERROR(__xludf.DUMMYFUNCTION("""COMPUTED_VALUE"""),11.0)</f>
        <v>11</v>
      </c>
      <c r="H968" s="213">
        <f>IFERROR(__xludf.DUMMYFUNCTION("""COMPUTED_VALUE"""),40869.0)</f>
        <v>40869</v>
      </c>
      <c r="I968" s="167">
        <f>IFERROR(__xludf.DUMMYFUNCTION("""COMPUTED_VALUE"""),5.525)</f>
        <v>5.525</v>
      </c>
      <c r="J968" s="168">
        <f>IFERROR(__xludf.DUMMYFUNCTION("""COMPUTED_VALUE"""),75.0)</f>
        <v>75</v>
      </c>
      <c r="K968" s="168">
        <f>IFERROR(__xludf.DUMMYFUNCTION("""COMPUTED_VALUE"""),14.0)</f>
        <v>14</v>
      </c>
      <c r="L968" s="207" t="str">
        <f>IFERROR(__xludf.DUMMYFUNCTION("""COMPUTED_VALUE"""),"First-Person Shooter")</f>
        <v>First-Person Shooter</v>
      </c>
    </row>
    <row r="969">
      <c r="A969" s="203" t="str">
        <f>IFERROR(__xludf.DUMMYFUNCTION("""COMPUTED_VALUE"""),"Sam &amp; Max: Save the World")</f>
        <v>Sam &amp; Max: Save the World</v>
      </c>
      <c r="B969" s="204" t="str">
        <f>IFERROR(__xludf.DUMMYFUNCTION("""COMPUTED_VALUE"""),"Xbox")</f>
        <v>Xbox</v>
      </c>
      <c r="C969" s="205"/>
      <c r="D969" s="205" t="str">
        <f>IFERROR(__xludf.DUMMYFUNCTION("""COMPUTED_VALUE"""),"Removed")</f>
        <v>Removed</v>
      </c>
      <c r="E969" s="276">
        <f>IFERROR(__xludf.DUMMYFUNCTION("""COMPUTED_VALUE"""),42887.0)</f>
        <v>42887</v>
      </c>
      <c r="F969" s="166">
        <f>IFERROR(__xludf.DUMMYFUNCTION("""COMPUTED_VALUE"""),43221.0)</f>
        <v>43221</v>
      </c>
      <c r="G969" s="167">
        <f>IFERROR(__xludf.DUMMYFUNCTION("""COMPUTED_VALUE"""),11.0)</f>
        <v>11</v>
      </c>
      <c r="H969" s="213">
        <f>IFERROR(__xludf.DUMMYFUNCTION("""COMPUTED_VALUE"""),40869.0)</f>
        <v>40869</v>
      </c>
      <c r="I969" s="167">
        <f>IFERROR(__xludf.DUMMYFUNCTION("""COMPUTED_VALUE"""),5.525)</f>
        <v>5.525</v>
      </c>
      <c r="J969" s="168">
        <f>IFERROR(__xludf.DUMMYFUNCTION("""COMPUTED_VALUE"""),74.0)</f>
        <v>74</v>
      </c>
      <c r="K969" s="168">
        <f>IFERROR(__xludf.DUMMYFUNCTION("""COMPUTED_VALUE"""),13.0)</f>
        <v>13</v>
      </c>
      <c r="L969" s="207" t="str">
        <f>IFERROR(__xludf.DUMMYFUNCTION("""COMPUTED_VALUE"""),"First-Person Shooter")</f>
        <v>First-Person Shooter</v>
      </c>
    </row>
    <row r="970">
      <c r="A970" s="203" t="str">
        <f>IFERROR(__xludf.DUMMYFUNCTION("""COMPUTED_VALUE"""),"SEGA Vintage Collection: Alex Kidd &amp; Co.")</f>
        <v>SEGA Vintage Collection: Alex Kidd &amp; Co.</v>
      </c>
      <c r="B970" s="204" t="str">
        <f>IFERROR(__xludf.DUMMYFUNCTION("""COMPUTED_VALUE"""),"Xbox")</f>
        <v>Xbox</v>
      </c>
      <c r="C970" s="205"/>
      <c r="D970" s="205" t="str">
        <f>IFERROR(__xludf.DUMMYFUNCTION("""COMPUTED_VALUE"""),"Removed")</f>
        <v>Removed</v>
      </c>
      <c r="E970" s="276">
        <f>IFERROR(__xludf.DUMMYFUNCTION("""COMPUTED_VALUE"""),42887.0)</f>
        <v>42887</v>
      </c>
      <c r="F970" s="166">
        <f>IFERROR(__xludf.DUMMYFUNCTION("""COMPUTED_VALUE"""),43221.0)</f>
        <v>43221</v>
      </c>
      <c r="G970" s="167">
        <f>IFERROR(__xludf.DUMMYFUNCTION("""COMPUTED_VALUE"""),11.0)</f>
        <v>11</v>
      </c>
      <c r="H970" s="213">
        <f>IFERROR(__xludf.DUMMYFUNCTION("""COMPUTED_VALUE"""),41052.0)</f>
        <v>41052</v>
      </c>
      <c r="I970" s="167">
        <f>IFERROR(__xludf.DUMMYFUNCTION("""COMPUTED_VALUE"""),5.022222222222222)</f>
        <v>5.022222222</v>
      </c>
      <c r="J970" s="168">
        <f>IFERROR(__xludf.DUMMYFUNCTION("""COMPUTED_VALUE"""),69.0)</f>
        <v>69</v>
      </c>
      <c r="K970" s="168">
        <f>IFERROR(__xludf.DUMMYFUNCTION("""COMPUTED_VALUE"""),5.0)</f>
        <v>5</v>
      </c>
      <c r="L970" s="207" t="str">
        <f>IFERROR(__xludf.DUMMYFUNCTION("""COMPUTED_VALUE"""),"Compilation")</f>
        <v>Compilation</v>
      </c>
    </row>
    <row r="971">
      <c r="A971" s="203" t="str">
        <f>IFERROR(__xludf.DUMMYFUNCTION("""COMPUTED_VALUE"""),"SEGA Vintage Collection: Golden Axe")</f>
        <v>SEGA Vintage Collection: Golden Axe</v>
      </c>
      <c r="B971" s="204" t="str">
        <f>IFERROR(__xludf.DUMMYFUNCTION("""COMPUTED_VALUE"""),"Xbox")</f>
        <v>Xbox</v>
      </c>
      <c r="C971" s="205"/>
      <c r="D971" s="205" t="str">
        <f>IFERROR(__xludf.DUMMYFUNCTION("""COMPUTED_VALUE"""),"Removed")</f>
        <v>Removed</v>
      </c>
      <c r="E971" s="276">
        <f>IFERROR(__xludf.DUMMYFUNCTION("""COMPUTED_VALUE"""),42887.0)</f>
        <v>42887</v>
      </c>
      <c r="F971" s="166">
        <f>IFERROR(__xludf.DUMMYFUNCTION("""COMPUTED_VALUE"""),43221.0)</f>
        <v>43221</v>
      </c>
      <c r="G971" s="167">
        <f>IFERROR(__xludf.DUMMYFUNCTION("""COMPUTED_VALUE"""),11.0)</f>
        <v>11</v>
      </c>
      <c r="H971" s="213">
        <f>IFERROR(__xludf.DUMMYFUNCTION("""COMPUTED_VALUE"""),41059.0)</f>
        <v>41059</v>
      </c>
      <c r="I971" s="167">
        <f>IFERROR(__xludf.DUMMYFUNCTION("""COMPUTED_VALUE"""),5.002777777777778)</f>
        <v>5.002777778</v>
      </c>
      <c r="J971" s="168">
        <f>IFERROR(__xludf.DUMMYFUNCTION("""COMPUTED_VALUE"""),60.0)</f>
        <v>60</v>
      </c>
      <c r="K971" s="168">
        <f>IFERROR(__xludf.DUMMYFUNCTION("""COMPUTED_VALUE"""),1.0)</f>
        <v>1</v>
      </c>
      <c r="L971" s="207" t="str">
        <f>IFERROR(__xludf.DUMMYFUNCTION("""COMPUTED_VALUE"""),"Compilation")</f>
        <v>Compilation</v>
      </c>
    </row>
    <row r="972">
      <c r="A972" s="203" t="str">
        <f>IFERROR(__xludf.DUMMYFUNCTION("""COMPUTED_VALUE"""),"SoulCalibur")</f>
        <v>SoulCalibur</v>
      </c>
      <c r="B972" s="204" t="str">
        <f>IFERROR(__xludf.DUMMYFUNCTION("""COMPUTED_VALUE"""),"Xbox")</f>
        <v>Xbox</v>
      </c>
      <c r="C972" s="205"/>
      <c r="D972" s="205" t="str">
        <f>IFERROR(__xludf.DUMMYFUNCTION("""COMPUTED_VALUE"""),"Removed")</f>
        <v>Removed</v>
      </c>
      <c r="E972" s="276">
        <f>IFERROR(__xludf.DUMMYFUNCTION("""COMPUTED_VALUE"""),42887.0)</f>
        <v>42887</v>
      </c>
      <c r="F972" s="166">
        <f>IFERROR(__xludf.DUMMYFUNCTION("""COMPUTED_VALUE"""),43221.0)</f>
        <v>43221</v>
      </c>
      <c r="G972" s="167">
        <f>IFERROR(__xludf.DUMMYFUNCTION("""COMPUTED_VALUE"""),11.0)</f>
        <v>11</v>
      </c>
      <c r="H972" s="213">
        <f>IFERROR(__xludf.DUMMYFUNCTION("""COMPUTED_VALUE"""),36006.0)</f>
        <v>36006</v>
      </c>
      <c r="I972" s="167">
        <f>IFERROR(__xludf.DUMMYFUNCTION("""COMPUTED_VALUE"""),18.836111111111112)</f>
        <v>18.83611111</v>
      </c>
      <c r="J972" s="168">
        <f>IFERROR(__xludf.DUMMYFUNCTION("""COMPUTED_VALUE"""),79.0)</f>
        <v>79</v>
      </c>
      <c r="K972" s="168">
        <f>IFERROR(__xludf.DUMMYFUNCTION("""COMPUTED_VALUE"""),0.5)</f>
        <v>0.5</v>
      </c>
      <c r="L972" s="207" t="str">
        <f>IFERROR(__xludf.DUMMYFUNCTION("""COMPUTED_VALUE"""),"Fighting")</f>
        <v>Fighting</v>
      </c>
    </row>
    <row r="973">
      <c r="A973" s="203" t="str">
        <f>IFERROR(__xludf.DUMMYFUNCTION("""COMPUTED_VALUE"""),"XCOM: Enemy Within")</f>
        <v>XCOM: Enemy Within</v>
      </c>
      <c r="B973" s="204" t="str">
        <f>IFERROR(__xludf.DUMMYFUNCTION("""COMPUTED_VALUE"""),"Xbox")</f>
        <v>Xbox</v>
      </c>
      <c r="C973" s="205"/>
      <c r="D973" s="205" t="str">
        <f>IFERROR(__xludf.DUMMYFUNCTION("""COMPUTED_VALUE"""),"Removed")</f>
        <v>Removed</v>
      </c>
      <c r="E973" s="276">
        <f>IFERROR(__xludf.DUMMYFUNCTION("""COMPUTED_VALUE"""),42887.0)</f>
        <v>42887</v>
      </c>
      <c r="F973" s="166">
        <f>IFERROR(__xludf.DUMMYFUNCTION("""COMPUTED_VALUE"""),43221.0)</f>
        <v>43221</v>
      </c>
      <c r="G973" s="167">
        <f>IFERROR(__xludf.DUMMYFUNCTION("""COMPUTED_VALUE"""),11.0)</f>
        <v>11</v>
      </c>
      <c r="H973" s="213">
        <f>IFERROR(__xludf.DUMMYFUNCTION("""COMPUTED_VALUE"""),41590.0)</f>
        <v>41590</v>
      </c>
      <c r="I973" s="167">
        <f>IFERROR(__xludf.DUMMYFUNCTION("""COMPUTED_VALUE"""),3.5527777777777776)</f>
        <v>3.552777778</v>
      </c>
      <c r="J973" s="168">
        <f>IFERROR(__xludf.DUMMYFUNCTION("""COMPUTED_VALUE"""),88.0)</f>
        <v>88</v>
      </c>
      <c r="K973" s="168">
        <f>IFERROR(__xludf.DUMMYFUNCTION("""COMPUTED_VALUE"""),27.5)</f>
        <v>27.5</v>
      </c>
      <c r="L973" s="207" t="str">
        <f>IFERROR(__xludf.DUMMYFUNCTION("""COMPUTED_VALUE"""),"Strategy / RPG")</f>
        <v>Strategy / RPG</v>
      </c>
    </row>
    <row r="974">
      <c r="A974" s="203" t="str">
        <f>IFERROR(__xludf.DUMMYFUNCTION("""COMPUTED_VALUE"""),"Lumo")</f>
        <v>Lumo</v>
      </c>
      <c r="B974" s="204" t="str">
        <f>IFERROR(__xludf.DUMMYFUNCTION("""COMPUTED_VALUE"""),"Xbox")</f>
        <v>Xbox</v>
      </c>
      <c r="C974" s="205"/>
      <c r="D974" s="205" t="str">
        <f>IFERROR(__xludf.DUMMYFUNCTION("""COMPUTED_VALUE"""),"Removed")</f>
        <v>Removed</v>
      </c>
      <c r="E974" s="276">
        <f>IFERROR(__xludf.DUMMYFUNCTION("""COMPUTED_VALUE"""),42887.0)</f>
        <v>42887</v>
      </c>
      <c r="F974" s="166">
        <f>IFERROR(__xludf.DUMMYFUNCTION("""COMPUTED_VALUE"""),43220.0)</f>
        <v>43220</v>
      </c>
      <c r="G974" s="167">
        <f>IFERROR(__xludf.DUMMYFUNCTION("""COMPUTED_VALUE"""),10.966666666666667)</f>
        <v>10.96666667</v>
      </c>
      <c r="H974" s="213">
        <f>IFERROR(__xludf.DUMMYFUNCTION("""COMPUTED_VALUE"""),42482.0)</f>
        <v>42482</v>
      </c>
      <c r="I974" s="167">
        <f>IFERROR(__xludf.DUMMYFUNCTION("""COMPUTED_VALUE"""),1.1083333333333334)</f>
        <v>1.108333333</v>
      </c>
      <c r="J974" s="168">
        <f>IFERROR(__xludf.DUMMYFUNCTION("""COMPUTED_VALUE"""),77.0)</f>
        <v>77</v>
      </c>
      <c r="K974" s="168">
        <f>IFERROR(__xludf.DUMMYFUNCTION("""COMPUTED_VALUE"""),5.0)</f>
        <v>5</v>
      </c>
      <c r="L974" s="207" t="str">
        <f>IFERROR(__xludf.DUMMYFUNCTION("""COMPUTED_VALUE"""),"Action-Adventure")</f>
        <v>Action-Adventure</v>
      </c>
    </row>
    <row r="975">
      <c r="A975" s="203" t="str">
        <f>IFERROR(__xludf.DUMMYFUNCTION("""COMPUTED_VALUE"""),"NBA 2K17")</f>
        <v>NBA 2K17</v>
      </c>
      <c r="B975" s="204" t="str">
        <f>IFERROR(__xludf.DUMMYFUNCTION("""COMPUTED_VALUE"""),"Xbox")</f>
        <v>Xbox</v>
      </c>
      <c r="C975" s="205"/>
      <c r="D975" s="205" t="str">
        <f>IFERROR(__xludf.DUMMYFUNCTION("""COMPUTED_VALUE"""),"Removed")</f>
        <v>Removed</v>
      </c>
      <c r="E975" s="276">
        <f>IFERROR(__xludf.DUMMYFUNCTION("""COMPUTED_VALUE"""),43132.0)</f>
        <v>43132</v>
      </c>
      <c r="F975" s="166">
        <f>IFERROR(__xludf.DUMMYFUNCTION("""COMPUTED_VALUE"""),43191.0)</f>
        <v>43191</v>
      </c>
      <c r="G975" s="167">
        <f>IFERROR(__xludf.DUMMYFUNCTION("""COMPUTED_VALUE"""),2.0)</f>
        <v>2</v>
      </c>
      <c r="H975" s="213">
        <f>IFERROR(__xludf.DUMMYFUNCTION("""COMPUTED_VALUE"""),42629.0)</f>
        <v>42629</v>
      </c>
      <c r="I975" s="167">
        <f>IFERROR(__xludf.DUMMYFUNCTION("""COMPUTED_VALUE"""),1.375)</f>
        <v>1.375</v>
      </c>
      <c r="J975" s="168">
        <f>IFERROR(__xludf.DUMMYFUNCTION("""COMPUTED_VALUE"""),90.0)</f>
        <v>90</v>
      </c>
      <c r="K975" s="168">
        <f>IFERROR(__xludf.DUMMYFUNCTION("""COMPUTED_VALUE"""),63.5)</f>
        <v>63.5</v>
      </c>
      <c r="L975" s="207" t="str">
        <f>IFERROR(__xludf.DUMMYFUNCTION("""COMPUTED_VALUE"""),"Sports / Basketball")</f>
        <v>Sports / Basketball</v>
      </c>
    </row>
    <row r="976">
      <c r="A976" s="203" t="str">
        <f>IFERROR(__xludf.DUMMYFUNCTION("""COMPUTED_VALUE"""),"WWE 2K17")</f>
        <v>WWE 2K17</v>
      </c>
      <c r="B976" s="204" t="str">
        <f>IFERROR(__xludf.DUMMYFUNCTION("""COMPUTED_VALUE"""),"Xbox")</f>
        <v>Xbox</v>
      </c>
      <c r="C976" s="205"/>
      <c r="D976" s="205" t="str">
        <f>IFERROR(__xludf.DUMMYFUNCTION("""COMPUTED_VALUE"""),"Removed")</f>
        <v>Removed</v>
      </c>
      <c r="E976" s="276">
        <f>IFERROR(__xludf.DUMMYFUNCTION("""COMPUTED_VALUE"""),43132.0)</f>
        <v>43132</v>
      </c>
      <c r="F976" s="166">
        <f>IFERROR(__xludf.DUMMYFUNCTION("""COMPUTED_VALUE"""),43191.0)</f>
        <v>43191</v>
      </c>
      <c r="G976" s="167">
        <f>IFERROR(__xludf.DUMMYFUNCTION("""COMPUTED_VALUE"""),2.0)</f>
        <v>2</v>
      </c>
      <c r="H976" s="213">
        <f>IFERROR(__xludf.DUMMYFUNCTION("""COMPUTED_VALUE"""),42654.0)</f>
        <v>42654</v>
      </c>
      <c r="I976" s="167">
        <f>IFERROR(__xludf.DUMMYFUNCTION("""COMPUTED_VALUE"""),1.3055555555555556)</f>
        <v>1.305555556</v>
      </c>
      <c r="J976" s="168">
        <f>IFERROR(__xludf.DUMMYFUNCTION("""COMPUTED_VALUE"""),68.0)</f>
        <v>68</v>
      </c>
      <c r="K976" s="168">
        <f>IFERROR(__xludf.DUMMYFUNCTION("""COMPUTED_VALUE"""),13.0)</f>
        <v>13</v>
      </c>
      <c r="L976" s="207" t="str">
        <f>IFERROR(__xludf.DUMMYFUNCTION("""COMPUTED_VALUE"""),"Wrestling")</f>
        <v>Wrestling</v>
      </c>
    </row>
    <row r="977">
      <c r="A977" s="203" t="str">
        <f>IFERROR(__xludf.DUMMYFUNCTION("""COMPUTED_VALUE"""),"Comix Zone")</f>
        <v>Comix Zone</v>
      </c>
      <c r="B977" s="204" t="str">
        <f>IFERROR(__xludf.DUMMYFUNCTION("""COMPUTED_VALUE"""),"Xbox")</f>
        <v>Xbox</v>
      </c>
      <c r="C977" s="205"/>
      <c r="D977" s="205" t="str">
        <f>IFERROR(__xludf.DUMMYFUNCTION("""COMPUTED_VALUE"""),"Removed")</f>
        <v>Removed</v>
      </c>
      <c r="E977" s="276">
        <f>IFERROR(__xludf.DUMMYFUNCTION("""COMPUTED_VALUE"""),42887.0)</f>
        <v>42887</v>
      </c>
      <c r="F977" s="166">
        <f>IFERROR(__xludf.DUMMYFUNCTION("""COMPUTED_VALUE"""),43190.0)</f>
        <v>43190</v>
      </c>
      <c r="G977" s="167">
        <f>IFERROR(__xludf.DUMMYFUNCTION("""COMPUTED_VALUE"""),9.966666666666667)</f>
        <v>9.966666667</v>
      </c>
      <c r="H977" s="213">
        <f>IFERROR(__xludf.DUMMYFUNCTION("""COMPUTED_VALUE"""),34913.0)</f>
        <v>34913</v>
      </c>
      <c r="I977" s="167">
        <f>IFERROR(__xludf.DUMMYFUNCTION("""COMPUTED_VALUE"""),21.830555555555556)</f>
        <v>21.83055556</v>
      </c>
      <c r="J977" s="168">
        <f>IFERROR(__xludf.DUMMYFUNCTION("""COMPUTED_VALUE"""),71.0)</f>
        <v>71</v>
      </c>
      <c r="K977" s="168">
        <f>IFERROR(__xludf.DUMMYFUNCTION("""COMPUTED_VALUE"""),2.0)</f>
        <v>2</v>
      </c>
      <c r="L977" s="207" t="str">
        <f>IFERROR(__xludf.DUMMYFUNCTION("""COMPUTED_VALUE"""),"Action / Brawler")</f>
        <v>Action / Brawler</v>
      </c>
    </row>
    <row r="978">
      <c r="A978" s="203" t="str">
        <f>IFERROR(__xludf.DUMMYFUNCTION("""COMPUTED_VALUE"""),"CAPCOM Arcade Cabinet")</f>
        <v>CAPCOM Arcade Cabinet</v>
      </c>
      <c r="B978" s="204" t="str">
        <f>IFERROR(__xludf.DUMMYFUNCTION("""COMPUTED_VALUE"""),"Xbox")</f>
        <v>Xbox</v>
      </c>
      <c r="C978" s="205"/>
      <c r="D978" s="205" t="str">
        <f>IFERROR(__xludf.DUMMYFUNCTION("""COMPUTED_VALUE"""),"Removed")</f>
        <v>Removed</v>
      </c>
      <c r="E978" s="276">
        <f>IFERROR(__xludf.DUMMYFUNCTION("""COMPUTED_VALUE"""),42887.0)</f>
        <v>42887</v>
      </c>
      <c r="F978" s="166">
        <f>IFERROR(__xludf.DUMMYFUNCTION("""COMPUTED_VALUE"""),43160.0)</f>
        <v>43160</v>
      </c>
      <c r="G978" s="167">
        <f>IFERROR(__xludf.DUMMYFUNCTION("""COMPUTED_VALUE"""),9.0)</f>
        <v>9</v>
      </c>
      <c r="H978" s="213">
        <f>IFERROR(__xludf.DUMMYFUNCTION("""COMPUTED_VALUE"""),41325.0)</f>
        <v>41325</v>
      </c>
      <c r="I978" s="167">
        <f>IFERROR(__xludf.DUMMYFUNCTION("""COMPUTED_VALUE"""),4.280555555555556)</f>
        <v>4.280555556</v>
      </c>
      <c r="J978" s="168">
        <f>IFERROR(__xludf.DUMMYFUNCTION("""COMPUTED_VALUE"""),68.0)</f>
        <v>68</v>
      </c>
      <c r="K978" s="168">
        <f>IFERROR(__xludf.DUMMYFUNCTION("""COMPUTED_VALUE"""),6.0)</f>
        <v>6</v>
      </c>
      <c r="L978" s="207" t="str">
        <f>IFERROR(__xludf.DUMMYFUNCTION("""COMPUTED_VALUE"""),"Action / Compilation / Shoot 'Em Up")</f>
        <v>Action / Compilation / Shoot 'Em Up</v>
      </c>
    </row>
    <row r="979">
      <c r="A979" s="203" t="str">
        <f>IFERROR(__xludf.DUMMYFUNCTION("""COMPUTED_VALUE"""),"Dark Void")</f>
        <v>Dark Void</v>
      </c>
      <c r="B979" s="204" t="str">
        <f>IFERROR(__xludf.DUMMYFUNCTION("""COMPUTED_VALUE"""),"Xbox")</f>
        <v>Xbox</v>
      </c>
      <c r="C979" s="205"/>
      <c r="D979" s="205" t="str">
        <f>IFERROR(__xludf.DUMMYFUNCTION("""COMPUTED_VALUE"""),"Removed")</f>
        <v>Removed</v>
      </c>
      <c r="E979" s="276">
        <f>IFERROR(__xludf.DUMMYFUNCTION("""COMPUTED_VALUE"""),42887.0)</f>
        <v>42887</v>
      </c>
      <c r="F979" s="166">
        <f>IFERROR(__xludf.DUMMYFUNCTION("""COMPUTED_VALUE"""),43160.0)</f>
        <v>43160</v>
      </c>
      <c r="G979" s="167">
        <f>IFERROR(__xludf.DUMMYFUNCTION("""COMPUTED_VALUE"""),9.0)</f>
        <v>9</v>
      </c>
      <c r="H979" s="213">
        <f>IFERROR(__xludf.DUMMYFUNCTION("""COMPUTED_VALUE"""),40193.0)</f>
        <v>40193</v>
      </c>
      <c r="I979" s="167">
        <f>IFERROR(__xludf.DUMMYFUNCTION("""COMPUTED_VALUE"""),7.377777777777778)</f>
        <v>7.377777778</v>
      </c>
      <c r="J979" s="168">
        <f>IFERROR(__xludf.DUMMYFUNCTION("""COMPUTED_VALUE"""),59.0)</f>
        <v>59</v>
      </c>
      <c r="K979" s="168">
        <f>IFERROR(__xludf.DUMMYFUNCTION("""COMPUTED_VALUE"""),7.5)</f>
        <v>7.5</v>
      </c>
      <c r="L979" s="207" t="str">
        <f>IFERROR(__xludf.DUMMYFUNCTION("""COMPUTED_VALUE"""),"Shooter")</f>
        <v>Shooter</v>
      </c>
    </row>
    <row r="980">
      <c r="A980" s="203" t="str">
        <f>IFERROR(__xludf.DUMMYFUNCTION("""COMPUTED_VALUE"""),"FLOCK!")</f>
        <v>FLOCK!</v>
      </c>
      <c r="B980" s="204" t="str">
        <f>IFERROR(__xludf.DUMMYFUNCTION("""COMPUTED_VALUE"""),"Xbox")</f>
        <v>Xbox</v>
      </c>
      <c r="C980" s="205"/>
      <c r="D980" s="205" t="str">
        <f>IFERROR(__xludf.DUMMYFUNCTION("""COMPUTED_VALUE"""),"Removed")</f>
        <v>Removed</v>
      </c>
      <c r="E980" s="276">
        <f>IFERROR(__xludf.DUMMYFUNCTION("""COMPUTED_VALUE"""),42887.0)</f>
        <v>42887</v>
      </c>
      <c r="F980" s="166">
        <f>IFERROR(__xludf.DUMMYFUNCTION("""COMPUTED_VALUE"""),43160.0)</f>
        <v>43160</v>
      </c>
      <c r="G980" s="167">
        <f>IFERROR(__xludf.DUMMYFUNCTION("""COMPUTED_VALUE"""),9.0)</f>
        <v>9</v>
      </c>
      <c r="H980" s="213">
        <f>IFERROR(__xludf.DUMMYFUNCTION("""COMPUTED_VALUE"""),42237.0)</f>
        <v>42237</v>
      </c>
      <c r="I980" s="167">
        <f>IFERROR(__xludf.DUMMYFUNCTION("""COMPUTED_VALUE"""),1.7777777777777777)</f>
        <v>1.777777778</v>
      </c>
      <c r="J980" s="168">
        <f>IFERROR(__xludf.DUMMYFUNCTION("""COMPUTED_VALUE"""),68.0)</f>
        <v>68</v>
      </c>
      <c r="K980" s="168">
        <f>IFERROR(__xludf.DUMMYFUNCTION("""COMPUTED_VALUE"""),3.0)</f>
        <v>3</v>
      </c>
      <c r="L980" s="207" t="str">
        <f>IFERROR(__xludf.DUMMYFUNCTION("""COMPUTED_VALUE"""),"Action")</f>
        <v>Action</v>
      </c>
    </row>
    <row r="981">
      <c r="A981" s="203" t="str">
        <f>IFERROR(__xludf.DUMMYFUNCTION("""COMPUTED_VALUE"""),"SEGA Vintage Collection: Monster World")</f>
        <v>SEGA Vintage Collection: Monster World</v>
      </c>
      <c r="B981" s="204" t="str">
        <f>IFERROR(__xludf.DUMMYFUNCTION("""COMPUTED_VALUE"""),"Xbox")</f>
        <v>Xbox</v>
      </c>
      <c r="C981" s="205"/>
      <c r="D981" s="205" t="str">
        <f>IFERROR(__xludf.DUMMYFUNCTION("""COMPUTED_VALUE"""),"Removed")</f>
        <v>Removed</v>
      </c>
      <c r="E981" s="276">
        <f>IFERROR(__xludf.DUMMYFUNCTION("""COMPUTED_VALUE"""),42887.0)</f>
        <v>42887</v>
      </c>
      <c r="F981" s="166">
        <f>IFERROR(__xludf.DUMMYFUNCTION("""COMPUTED_VALUE"""),43160.0)</f>
        <v>43160</v>
      </c>
      <c r="G981" s="167">
        <f>IFERROR(__xludf.DUMMYFUNCTION("""COMPUTED_VALUE"""),9.0)</f>
        <v>9</v>
      </c>
      <c r="H981" s="213">
        <f>IFERROR(__xludf.DUMMYFUNCTION("""COMPUTED_VALUE"""),41052.0)</f>
        <v>41052</v>
      </c>
      <c r="I981" s="167">
        <f>IFERROR(__xludf.DUMMYFUNCTION("""COMPUTED_VALUE"""),5.022222222222222)</f>
        <v>5.022222222</v>
      </c>
      <c r="J981" s="168">
        <f>IFERROR(__xludf.DUMMYFUNCTION("""COMPUTED_VALUE"""),72.0)</f>
        <v>72</v>
      </c>
      <c r="K981" s="168">
        <f>IFERROR(__xludf.DUMMYFUNCTION("""COMPUTED_VALUE"""),70.0)</f>
        <v>70</v>
      </c>
      <c r="L981" s="207" t="str">
        <f>IFERROR(__xludf.DUMMYFUNCTION("""COMPUTED_VALUE"""),"Compilation")</f>
        <v>Compilation</v>
      </c>
    </row>
    <row r="982">
      <c r="A982" s="203" t="str">
        <f>IFERROR(__xludf.DUMMYFUNCTION("""COMPUTED_VALUE"""),"SEGA Vintage Collection: Streets of Rage")</f>
        <v>SEGA Vintage Collection: Streets of Rage</v>
      </c>
      <c r="B982" s="204" t="str">
        <f>IFERROR(__xludf.DUMMYFUNCTION("""COMPUTED_VALUE"""),"Xbox")</f>
        <v>Xbox</v>
      </c>
      <c r="C982" s="205"/>
      <c r="D982" s="205" t="str">
        <f>IFERROR(__xludf.DUMMYFUNCTION("""COMPUTED_VALUE"""),"Removed")</f>
        <v>Removed</v>
      </c>
      <c r="E982" s="276">
        <f>IFERROR(__xludf.DUMMYFUNCTION("""COMPUTED_VALUE"""),42887.0)</f>
        <v>42887</v>
      </c>
      <c r="F982" s="166">
        <f>IFERROR(__xludf.DUMMYFUNCTION("""COMPUTED_VALUE"""),43160.0)</f>
        <v>43160</v>
      </c>
      <c r="G982" s="167">
        <f>IFERROR(__xludf.DUMMYFUNCTION("""COMPUTED_VALUE"""),9.0)</f>
        <v>9</v>
      </c>
      <c r="H982" s="213">
        <f>IFERROR(__xludf.DUMMYFUNCTION("""COMPUTED_VALUE"""),41059.0)</f>
        <v>41059</v>
      </c>
      <c r="I982" s="167">
        <f>IFERROR(__xludf.DUMMYFUNCTION("""COMPUTED_VALUE"""),5.002777777777778)</f>
        <v>5.002777778</v>
      </c>
      <c r="J982" s="168">
        <f>IFERROR(__xludf.DUMMYFUNCTION("""COMPUTED_VALUE"""),84.0)</f>
        <v>84</v>
      </c>
      <c r="K982" s="168">
        <f>IFERROR(__xludf.DUMMYFUNCTION("""COMPUTED_VALUE"""),1.5)</f>
        <v>1.5</v>
      </c>
      <c r="L982" s="207" t="str">
        <f>IFERROR(__xludf.DUMMYFUNCTION("""COMPUTED_VALUE"""),"Compilation")</f>
        <v>Compilation</v>
      </c>
    </row>
    <row r="983">
      <c r="A983" s="203" t="str">
        <f>IFERROR(__xludf.DUMMYFUNCTION("""COMPUTED_VALUE"""),"Strider")</f>
        <v>Strider</v>
      </c>
      <c r="B983" s="204" t="str">
        <f>IFERROR(__xludf.DUMMYFUNCTION("""COMPUTED_VALUE"""),"Xbox")</f>
        <v>Xbox</v>
      </c>
      <c r="C983" s="205"/>
      <c r="D983" s="205" t="str">
        <f>IFERROR(__xludf.DUMMYFUNCTION("""COMPUTED_VALUE"""),"Removed")</f>
        <v>Removed</v>
      </c>
      <c r="E983" s="276">
        <f>IFERROR(__xludf.DUMMYFUNCTION("""COMPUTED_VALUE"""),42887.0)</f>
        <v>42887</v>
      </c>
      <c r="F983" s="166">
        <f>IFERROR(__xludf.DUMMYFUNCTION("""COMPUTED_VALUE"""),43160.0)</f>
        <v>43160</v>
      </c>
      <c r="G983" s="167">
        <f>IFERROR(__xludf.DUMMYFUNCTION("""COMPUTED_VALUE"""),9.0)</f>
        <v>9</v>
      </c>
      <c r="H983" s="213">
        <f>IFERROR(__xludf.DUMMYFUNCTION("""COMPUTED_VALUE"""),41688.0)</f>
        <v>41688</v>
      </c>
      <c r="I983" s="167">
        <f>IFERROR(__xludf.DUMMYFUNCTION("""COMPUTED_VALUE"""),3.286111111111111)</f>
        <v>3.286111111</v>
      </c>
      <c r="J983" s="168">
        <f>IFERROR(__xludf.DUMMYFUNCTION("""COMPUTED_VALUE"""),76.0)</f>
        <v>76</v>
      </c>
      <c r="K983" s="168">
        <f>IFERROR(__xludf.DUMMYFUNCTION("""COMPUTED_VALUE"""),5.5)</f>
        <v>5.5</v>
      </c>
      <c r="L983" s="207" t="str">
        <f>IFERROR(__xludf.DUMMYFUNCTION("""COMPUTED_VALUE"""),"Platformer / Action-Adventure")</f>
        <v>Platformer / Action-Adventure</v>
      </c>
    </row>
    <row r="984">
      <c r="A984" s="203" t="str">
        <f>IFERROR(__xludf.DUMMYFUNCTION("""COMPUTED_VALUE"""),"Virtua Fighter 5 Final Showdown")</f>
        <v>Virtua Fighter 5 Final Showdown</v>
      </c>
      <c r="B984" s="204" t="str">
        <f>IFERROR(__xludf.DUMMYFUNCTION("""COMPUTED_VALUE"""),"Xbox")</f>
        <v>Xbox</v>
      </c>
      <c r="C984" s="205"/>
      <c r="D984" s="205" t="str">
        <f>IFERROR(__xludf.DUMMYFUNCTION("""COMPUTED_VALUE"""),"Removed")</f>
        <v>Removed</v>
      </c>
      <c r="E984" s="276">
        <f>IFERROR(__xludf.DUMMYFUNCTION("""COMPUTED_VALUE"""),42887.0)</f>
        <v>42887</v>
      </c>
      <c r="F984" s="166">
        <f>IFERROR(__xludf.DUMMYFUNCTION("""COMPUTED_VALUE"""),43160.0)</f>
        <v>43160</v>
      </c>
      <c r="G984" s="167">
        <f>IFERROR(__xludf.DUMMYFUNCTION("""COMPUTED_VALUE"""),9.0)</f>
        <v>9</v>
      </c>
      <c r="H984" s="213">
        <f>IFERROR(__xludf.DUMMYFUNCTION("""COMPUTED_VALUE"""),41065.0)</f>
        <v>41065</v>
      </c>
      <c r="I984" s="167">
        <f>IFERROR(__xludf.DUMMYFUNCTION("""COMPUTED_VALUE"""),4.988888888888889)</f>
        <v>4.988888889</v>
      </c>
      <c r="J984" s="168">
        <f>IFERROR(__xludf.DUMMYFUNCTION("""COMPUTED_VALUE"""),81.0)</f>
        <v>81</v>
      </c>
      <c r="K984" s="168">
        <f>IFERROR(__xludf.DUMMYFUNCTION("""COMPUTED_VALUE"""),0.5)</f>
        <v>0.5</v>
      </c>
      <c r="L984" s="207" t="str">
        <f>IFERROR(__xludf.DUMMYFUNCTION("""COMPUTED_VALUE"""),"Fighting")</f>
        <v>Fighting</v>
      </c>
    </row>
    <row r="985">
      <c r="A985" s="203" t="str">
        <f>IFERROR(__xludf.DUMMYFUNCTION("""COMPUTED_VALUE"""),"WWE 2K16")</f>
        <v>WWE 2K16</v>
      </c>
      <c r="B985" s="204" t="str">
        <f>IFERROR(__xludf.DUMMYFUNCTION("""COMPUTED_VALUE"""),"Xbox")</f>
        <v>Xbox</v>
      </c>
      <c r="C985" s="205"/>
      <c r="D985" s="205" t="str">
        <f>IFERROR(__xludf.DUMMYFUNCTION("""COMPUTED_VALUE"""),"Removed")</f>
        <v>Removed</v>
      </c>
      <c r="E985" s="276">
        <f>IFERROR(__xludf.DUMMYFUNCTION("""COMPUTED_VALUE"""),42887.0)</f>
        <v>42887</v>
      </c>
      <c r="F985" s="166">
        <f>IFERROR(__xludf.DUMMYFUNCTION("""COMPUTED_VALUE"""),43131.0)</f>
        <v>43131</v>
      </c>
      <c r="G985" s="167">
        <f>IFERROR(__xludf.DUMMYFUNCTION("""COMPUTED_VALUE"""),7.966666666666667)</f>
        <v>7.966666667</v>
      </c>
      <c r="H985" s="213">
        <f>IFERROR(__xludf.DUMMYFUNCTION("""COMPUTED_VALUE"""),42304.0)</f>
        <v>42304</v>
      </c>
      <c r="I985" s="167">
        <f>IFERROR(__xludf.DUMMYFUNCTION("""COMPUTED_VALUE"""),1.5944444444444446)</f>
        <v>1.594444444</v>
      </c>
      <c r="J985" s="168">
        <f>IFERROR(__xludf.DUMMYFUNCTION("""COMPUTED_VALUE"""),72.0)</f>
        <v>72</v>
      </c>
      <c r="K985" s="168">
        <f>IFERROR(__xludf.DUMMYFUNCTION("""COMPUTED_VALUE"""),15.5)</f>
        <v>15.5</v>
      </c>
      <c r="L985" s="207" t="str">
        <f>IFERROR(__xludf.DUMMYFUNCTION("""COMPUTED_VALUE"""),"Wrestling")</f>
        <v>Wrestling</v>
      </c>
    </row>
    <row r="986">
      <c r="A986" s="203" t="str">
        <f>IFERROR(__xludf.DUMMYFUNCTION("""COMPUTED_VALUE"""),"NBA 2K16")</f>
        <v>NBA 2K16</v>
      </c>
      <c r="B986" s="204" t="str">
        <f>IFERROR(__xludf.DUMMYFUNCTION("""COMPUTED_VALUE"""),"Xbox")</f>
        <v>Xbox</v>
      </c>
      <c r="C986" s="205"/>
      <c r="D986" s="205" t="str">
        <f>IFERROR(__xludf.DUMMYFUNCTION("""COMPUTED_VALUE"""),"Removed")</f>
        <v>Removed</v>
      </c>
      <c r="E986" s="276">
        <f>IFERROR(__xludf.DUMMYFUNCTION("""COMPUTED_VALUE"""),42887.0)</f>
        <v>42887</v>
      </c>
      <c r="F986" s="166">
        <f>IFERROR(__xludf.DUMMYFUNCTION("""COMPUTED_VALUE"""),43100.0)</f>
        <v>43100</v>
      </c>
      <c r="G986" s="167">
        <f>IFERROR(__xludf.DUMMYFUNCTION("""COMPUTED_VALUE"""),6.966666666666667)</f>
        <v>6.966666667</v>
      </c>
      <c r="H986" s="213">
        <f>IFERROR(__xludf.DUMMYFUNCTION("""COMPUTED_VALUE"""),42272.0)</f>
        <v>42272</v>
      </c>
      <c r="I986" s="167">
        <f>IFERROR(__xludf.DUMMYFUNCTION("""COMPUTED_VALUE"""),1.6833333333333333)</f>
        <v>1.683333333</v>
      </c>
      <c r="J986" s="168">
        <f>IFERROR(__xludf.DUMMYFUNCTION("""COMPUTED_VALUE"""),86.0)</f>
        <v>86</v>
      </c>
      <c r="K986" s="168">
        <f>IFERROR(__xludf.DUMMYFUNCTION("""COMPUTED_VALUE"""),23.5)</f>
        <v>23.5</v>
      </c>
      <c r="L986" s="207" t="str">
        <f>IFERROR(__xludf.DUMMYFUNCTION("""COMPUTED_VALUE"""),"Sports / Basketball")</f>
        <v>Sports / Basketball</v>
      </c>
    </row>
    <row r="987">
      <c r="A987" s="203" t="str">
        <f>IFERROR(__xludf.DUMMYFUNCTION("""COMPUTED_VALUE"""),"Dungeons &amp; Dragons: Chronicles of Mystara")</f>
        <v>Dungeons &amp; Dragons: Chronicles of Mystara</v>
      </c>
      <c r="B987" s="204" t="str">
        <f>IFERROR(__xludf.DUMMYFUNCTION("""COMPUTED_VALUE"""),"Xbox")</f>
        <v>Xbox</v>
      </c>
      <c r="C987" s="205"/>
      <c r="D987" s="205" t="str">
        <f>IFERROR(__xludf.DUMMYFUNCTION("""COMPUTED_VALUE"""),"Removed")</f>
        <v>Removed</v>
      </c>
      <c r="E987" s="276">
        <f>IFERROR(__xludf.DUMMYFUNCTION("""COMPUTED_VALUE"""),42887.0)</f>
        <v>42887</v>
      </c>
      <c r="F987" s="166">
        <f>IFERROR(__xludf.DUMMYFUNCTION("""COMPUTED_VALUE"""),42962.0)</f>
        <v>42962</v>
      </c>
      <c r="G987" s="167">
        <f>IFERROR(__xludf.DUMMYFUNCTION("""COMPUTED_VALUE"""),2.466666666666667)</f>
        <v>2.466666667</v>
      </c>
      <c r="H987" s="213">
        <f>IFERROR(__xludf.DUMMYFUNCTION("""COMPUTED_VALUE"""),41443.0)</f>
        <v>41443</v>
      </c>
      <c r="I987" s="167">
        <f>IFERROR(__xludf.DUMMYFUNCTION("""COMPUTED_VALUE"""),3.952777777777778)</f>
        <v>3.952777778</v>
      </c>
      <c r="J987" s="168">
        <f>IFERROR(__xludf.DUMMYFUNCTION("""COMPUTED_VALUE"""),77.0)</f>
        <v>77</v>
      </c>
      <c r="K987" s="168">
        <f>IFERROR(__xludf.DUMMYFUNCTION("""COMPUTED_VALUE"""),2.0)</f>
        <v>2</v>
      </c>
      <c r="L987" s="207" t="str">
        <f>IFERROR(__xludf.DUMMYFUNCTION("""COMPUTED_VALUE"""),"Action / RPG / Brawler / Action-Adventure")</f>
        <v>Action / RPG / Brawler / Action-Adventure</v>
      </c>
    </row>
    <row r="988">
      <c r="A988" s="203"/>
      <c r="B988" s="204"/>
      <c r="C988" s="205"/>
      <c r="D988" s="205"/>
      <c r="E988" s="276"/>
      <c r="F988" s="166"/>
      <c r="G988" s="167"/>
      <c r="H988" s="213"/>
      <c r="I988" s="167"/>
      <c r="J988" s="168"/>
      <c r="K988" s="169"/>
      <c r="L988" s="207"/>
    </row>
    <row r="989">
      <c r="A989" s="203"/>
      <c r="B989" s="204"/>
      <c r="C989" s="205"/>
      <c r="D989" s="205"/>
      <c r="E989" s="276"/>
      <c r="F989" s="166"/>
      <c r="G989" s="167"/>
      <c r="H989" s="213"/>
      <c r="I989" s="167"/>
      <c r="J989" s="168"/>
      <c r="K989" s="169"/>
      <c r="L989" s="207"/>
    </row>
    <row r="990">
      <c r="A990" s="203"/>
      <c r="B990" s="204"/>
      <c r="C990" s="205"/>
      <c r="D990" s="205"/>
      <c r="E990" s="276"/>
      <c r="F990" s="166"/>
      <c r="G990" s="167"/>
      <c r="H990" s="213"/>
      <c r="I990" s="167"/>
      <c r="J990" s="168"/>
      <c r="K990" s="169"/>
      <c r="L990" s="207"/>
    </row>
    <row r="991">
      <c r="A991" s="203"/>
      <c r="B991" s="204"/>
      <c r="C991" s="205"/>
      <c r="D991" s="205"/>
      <c r="E991" s="276"/>
      <c r="F991" s="166"/>
      <c r="G991" s="167"/>
      <c r="H991" s="213"/>
      <c r="I991" s="167"/>
      <c r="J991" s="168"/>
      <c r="K991" s="169"/>
      <c r="L991" s="207"/>
    </row>
    <row r="992">
      <c r="A992" s="203"/>
      <c r="B992" s="204"/>
      <c r="C992" s="205"/>
      <c r="D992" s="205"/>
      <c r="E992" s="276"/>
      <c r="F992" s="166"/>
      <c r="G992" s="167"/>
      <c r="H992" s="213"/>
      <c r="I992" s="167"/>
      <c r="J992" s="168"/>
      <c r="K992" s="169"/>
      <c r="L992" s="207"/>
    </row>
    <row r="993">
      <c r="A993" s="203"/>
      <c r="B993" s="204"/>
      <c r="C993" s="205"/>
      <c r="D993" s="205"/>
      <c r="E993" s="276"/>
      <c r="F993" s="166"/>
      <c r="G993" s="167"/>
      <c r="H993" s="213"/>
      <c r="I993" s="167"/>
      <c r="J993" s="168"/>
      <c r="K993" s="169"/>
      <c r="L993" s="207"/>
    </row>
    <row r="994">
      <c r="A994" s="203"/>
      <c r="B994" s="204"/>
      <c r="C994" s="205"/>
      <c r="D994" s="205"/>
      <c r="E994" s="276"/>
      <c r="F994" s="166"/>
      <c r="G994" s="167"/>
      <c r="H994" s="213"/>
      <c r="I994" s="167"/>
      <c r="J994" s="168"/>
      <c r="K994" s="169"/>
      <c r="L994" s="207"/>
    </row>
    <row r="995">
      <c r="A995" s="203"/>
      <c r="B995" s="204"/>
      <c r="C995" s="205"/>
      <c r="D995" s="205"/>
      <c r="E995" s="276"/>
      <c r="F995" s="166"/>
      <c r="G995" s="167"/>
      <c r="H995" s="213"/>
      <c r="I995" s="167"/>
      <c r="J995" s="168"/>
      <c r="K995" s="169"/>
      <c r="L995" s="207"/>
    </row>
    <row r="996">
      <c r="A996" s="203"/>
      <c r="B996" s="204"/>
      <c r="C996" s="205"/>
      <c r="D996" s="205"/>
      <c r="E996" s="276"/>
      <c r="F996" s="166"/>
      <c r="G996" s="167"/>
      <c r="H996" s="213"/>
      <c r="I996" s="167"/>
      <c r="J996" s="168"/>
      <c r="K996" s="169"/>
      <c r="L996" s="207"/>
    </row>
    <row r="997">
      <c r="A997" s="203"/>
      <c r="B997" s="204"/>
      <c r="C997" s="205"/>
      <c r="D997" s="205"/>
      <c r="E997" s="276"/>
      <c r="F997" s="166"/>
      <c r="G997" s="167"/>
      <c r="H997" s="213"/>
      <c r="I997" s="167"/>
      <c r="J997" s="168"/>
      <c r="K997" s="169"/>
      <c r="L997" s="207"/>
    </row>
    <row r="998">
      <c r="A998" s="203"/>
      <c r="B998" s="204"/>
      <c r="C998" s="205"/>
      <c r="D998" s="205"/>
      <c r="E998" s="276"/>
      <c r="F998" s="166"/>
      <c r="G998" s="167"/>
      <c r="H998" s="213"/>
      <c r="I998" s="167"/>
      <c r="J998" s="168"/>
      <c r="K998" s="169"/>
      <c r="L998" s="207"/>
    </row>
    <row r="999">
      <c r="A999" s="203"/>
      <c r="B999" s="204"/>
      <c r="C999" s="205"/>
      <c r="D999" s="205"/>
      <c r="E999" s="276"/>
      <c r="F999" s="166"/>
      <c r="G999" s="167"/>
      <c r="H999" s="213"/>
      <c r="I999" s="167"/>
      <c r="J999" s="168"/>
      <c r="K999" s="169"/>
      <c r="L999" s="207"/>
    </row>
    <row r="1000">
      <c r="A1000" s="203"/>
      <c r="B1000" s="204"/>
      <c r="C1000" s="205"/>
      <c r="D1000" s="205"/>
      <c r="E1000" s="276"/>
      <c r="F1000" s="166"/>
      <c r="G1000" s="167"/>
      <c r="H1000" s="213"/>
      <c r="I1000" s="167"/>
      <c r="J1000" s="168"/>
      <c r="K1000" s="169"/>
      <c r="L1000" s="207"/>
    </row>
    <row r="1001">
      <c r="A1001" s="203"/>
      <c r="B1001" s="204"/>
      <c r="C1001" s="205"/>
      <c r="D1001" s="205"/>
      <c r="E1001" s="276"/>
      <c r="F1001" s="166"/>
      <c r="G1001" s="167"/>
      <c r="H1001" s="213"/>
      <c r="I1001" s="167"/>
      <c r="J1001" s="168"/>
      <c r="K1001" s="169"/>
      <c r="L1001" s="207"/>
    </row>
    <row r="1002">
      <c r="A1002" s="203"/>
      <c r="B1002" s="204"/>
      <c r="C1002" s="205"/>
      <c r="D1002" s="205"/>
      <c r="E1002" s="276"/>
      <c r="F1002" s="166"/>
      <c r="G1002" s="167"/>
      <c r="H1002" s="213"/>
      <c r="I1002" s="167"/>
      <c r="J1002" s="168"/>
      <c r="K1002" s="169"/>
      <c r="L1002" s="207"/>
    </row>
    <row r="1003">
      <c r="A1003" s="203"/>
      <c r="B1003" s="204"/>
      <c r="C1003" s="205"/>
      <c r="D1003" s="205"/>
      <c r="E1003" s="276"/>
      <c r="F1003" s="166"/>
      <c r="G1003" s="167"/>
      <c r="H1003" s="213"/>
      <c r="I1003" s="167"/>
      <c r="J1003" s="168"/>
      <c r="K1003" s="169"/>
      <c r="L1003" s="207"/>
    </row>
    <row r="1004">
      <c r="A1004" s="203"/>
      <c r="B1004" s="204"/>
      <c r="C1004" s="205"/>
      <c r="D1004" s="205"/>
      <c r="E1004" s="276"/>
      <c r="F1004" s="166"/>
      <c r="G1004" s="167"/>
      <c r="H1004" s="213"/>
      <c r="I1004" s="167"/>
      <c r="J1004" s="168"/>
      <c r="K1004" s="169"/>
      <c r="L1004" s="207"/>
    </row>
    <row r="1005">
      <c r="A1005" s="203"/>
      <c r="B1005" s="204"/>
      <c r="C1005" s="205"/>
      <c r="D1005" s="205"/>
      <c r="E1005" s="276"/>
      <c r="F1005" s="166"/>
      <c r="G1005" s="167"/>
      <c r="H1005" s="213"/>
      <c r="I1005" s="167"/>
      <c r="J1005" s="168"/>
      <c r="K1005" s="169"/>
      <c r="L1005" s="207"/>
    </row>
    <row r="1006">
      <c r="A1006" s="203"/>
      <c r="B1006" s="204"/>
      <c r="C1006" s="205"/>
      <c r="D1006" s="205"/>
      <c r="E1006" s="276"/>
      <c r="F1006" s="166"/>
      <c r="G1006" s="167"/>
      <c r="H1006" s="213"/>
      <c r="I1006" s="167"/>
      <c r="J1006" s="168"/>
      <c r="K1006" s="169"/>
      <c r="L1006" s="207"/>
    </row>
    <row r="1007">
      <c r="A1007" s="203"/>
      <c r="B1007" s="204"/>
      <c r="C1007" s="205"/>
      <c r="D1007" s="205"/>
      <c r="E1007" s="276"/>
      <c r="F1007" s="166"/>
      <c r="G1007" s="167"/>
      <c r="H1007" s="213"/>
      <c r="I1007" s="167"/>
      <c r="J1007" s="168"/>
      <c r="K1007" s="169"/>
      <c r="L1007" s="207"/>
    </row>
    <row r="1008">
      <c r="A1008" s="203"/>
      <c r="B1008" s="204"/>
      <c r="C1008" s="205"/>
      <c r="D1008" s="205"/>
      <c r="E1008" s="276"/>
      <c r="F1008" s="166"/>
      <c r="G1008" s="167"/>
      <c r="H1008" s="213"/>
      <c r="I1008" s="167"/>
      <c r="J1008" s="168"/>
      <c r="K1008" s="169"/>
      <c r="L1008" s="207"/>
    </row>
    <row r="1009">
      <c r="A1009" s="203"/>
      <c r="B1009" s="204"/>
      <c r="C1009" s="205"/>
      <c r="D1009" s="205"/>
      <c r="E1009" s="276"/>
      <c r="F1009" s="166"/>
      <c r="G1009" s="167"/>
      <c r="H1009" s="213"/>
      <c r="I1009" s="167"/>
      <c r="J1009" s="168"/>
      <c r="K1009" s="169"/>
      <c r="L1009" s="207"/>
    </row>
    <row r="1010">
      <c r="A1010" s="203"/>
      <c r="B1010" s="204"/>
      <c r="C1010" s="205"/>
      <c r="D1010" s="205"/>
      <c r="E1010" s="276"/>
      <c r="F1010" s="166"/>
      <c r="G1010" s="167"/>
      <c r="H1010" s="213"/>
      <c r="I1010" s="167"/>
      <c r="J1010" s="168"/>
      <c r="K1010" s="169"/>
      <c r="L1010" s="207"/>
    </row>
    <row r="1011">
      <c r="A1011" s="203"/>
      <c r="B1011" s="204"/>
      <c r="C1011" s="205"/>
      <c r="D1011" s="205"/>
      <c r="E1011" s="276"/>
      <c r="F1011" s="166"/>
      <c r="G1011" s="167"/>
      <c r="H1011" s="213"/>
      <c r="I1011" s="167"/>
      <c r="J1011" s="168"/>
      <c r="K1011" s="169"/>
      <c r="L1011" s="207"/>
    </row>
    <row r="1012">
      <c r="A1012" s="203"/>
      <c r="B1012" s="204"/>
      <c r="C1012" s="205"/>
      <c r="D1012" s="205"/>
      <c r="E1012" s="276"/>
      <c r="F1012" s="166"/>
      <c r="G1012" s="167"/>
      <c r="H1012" s="213"/>
      <c r="I1012" s="167"/>
      <c r="J1012" s="168"/>
      <c r="K1012" s="169"/>
      <c r="L1012" s="207"/>
    </row>
    <row r="1013">
      <c r="A1013" s="203"/>
      <c r="B1013" s="204"/>
      <c r="C1013" s="205"/>
      <c r="D1013" s="205"/>
      <c r="E1013" s="276"/>
      <c r="F1013" s="166"/>
      <c r="G1013" s="167"/>
      <c r="H1013" s="213"/>
      <c r="I1013" s="167"/>
      <c r="J1013" s="168"/>
      <c r="K1013" s="169"/>
      <c r="L1013" s="207"/>
    </row>
    <row r="1014">
      <c r="A1014" s="203"/>
      <c r="B1014" s="204"/>
      <c r="C1014" s="205"/>
      <c r="D1014" s="205"/>
      <c r="E1014" s="276"/>
      <c r="F1014" s="166"/>
      <c r="G1014" s="167"/>
      <c r="H1014" s="213"/>
      <c r="I1014" s="167"/>
      <c r="J1014" s="168"/>
      <c r="K1014" s="169"/>
      <c r="L1014" s="207"/>
    </row>
    <row r="1015">
      <c r="A1015" s="203"/>
      <c r="B1015" s="204"/>
      <c r="C1015" s="205"/>
      <c r="D1015" s="205"/>
      <c r="E1015" s="276"/>
      <c r="F1015" s="166"/>
      <c r="G1015" s="167"/>
      <c r="H1015" s="213"/>
      <c r="I1015" s="167"/>
      <c r="J1015" s="168"/>
      <c r="K1015" s="169"/>
      <c r="L1015" s="207"/>
    </row>
    <row r="1016">
      <c r="A1016" s="203"/>
      <c r="B1016" s="204"/>
      <c r="C1016" s="205"/>
      <c r="D1016" s="205"/>
      <c r="E1016" s="276"/>
      <c r="F1016" s="166"/>
      <c r="G1016" s="167"/>
      <c r="H1016" s="213"/>
      <c r="I1016" s="167"/>
      <c r="J1016" s="168"/>
      <c r="K1016" s="169"/>
      <c r="L1016" s="207"/>
    </row>
    <row r="1017">
      <c r="A1017" s="203"/>
      <c r="B1017" s="204"/>
      <c r="C1017" s="205"/>
      <c r="D1017" s="205"/>
      <c r="E1017" s="276"/>
      <c r="F1017" s="166"/>
      <c r="G1017" s="167"/>
      <c r="H1017" s="213"/>
      <c r="I1017" s="167"/>
      <c r="J1017" s="168"/>
      <c r="K1017" s="169"/>
      <c r="L1017" s="207"/>
    </row>
    <row r="1018">
      <c r="A1018" s="203"/>
      <c r="B1018" s="204"/>
      <c r="C1018" s="205"/>
      <c r="D1018" s="205"/>
      <c r="E1018" s="276"/>
      <c r="F1018" s="166"/>
      <c r="G1018" s="167"/>
      <c r="H1018" s="213"/>
      <c r="I1018" s="167"/>
      <c r="J1018" s="168"/>
      <c r="K1018" s="169"/>
      <c r="L1018" s="207"/>
    </row>
    <row r="1019">
      <c r="A1019" s="203"/>
      <c r="B1019" s="204"/>
      <c r="C1019" s="205"/>
      <c r="D1019" s="205"/>
      <c r="E1019" s="276"/>
      <c r="F1019" s="166"/>
      <c r="G1019" s="167"/>
      <c r="H1019" s="213"/>
      <c r="I1019" s="167"/>
      <c r="J1019" s="168"/>
      <c r="K1019" s="169"/>
      <c r="L1019" s="207"/>
    </row>
    <row r="1020">
      <c r="A1020" s="203"/>
      <c r="B1020" s="204"/>
      <c r="C1020" s="205"/>
      <c r="D1020" s="205"/>
      <c r="E1020" s="276"/>
      <c r="F1020" s="166"/>
      <c r="G1020" s="167"/>
      <c r="H1020" s="213"/>
      <c r="I1020" s="167"/>
      <c r="J1020" s="168"/>
      <c r="K1020" s="169"/>
      <c r="L1020" s="207"/>
    </row>
    <row r="1021">
      <c r="A1021" s="203"/>
      <c r="B1021" s="204"/>
      <c r="C1021" s="205"/>
      <c r="D1021" s="205"/>
      <c r="E1021" s="276"/>
      <c r="F1021" s="166"/>
      <c r="G1021" s="167"/>
      <c r="H1021" s="213"/>
      <c r="I1021" s="167"/>
      <c r="J1021" s="168"/>
      <c r="K1021" s="169"/>
      <c r="L1021" s="207"/>
    </row>
    <row r="1022">
      <c r="A1022" s="203"/>
      <c r="B1022" s="204"/>
      <c r="C1022" s="205"/>
      <c r="D1022" s="205"/>
      <c r="E1022" s="276"/>
      <c r="F1022" s="166"/>
      <c r="G1022" s="167"/>
      <c r="H1022" s="213"/>
      <c r="I1022" s="167"/>
      <c r="J1022" s="168"/>
      <c r="K1022" s="169"/>
      <c r="L1022" s="207"/>
    </row>
    <row r="1023">
      <c r="A1023" s="203"/>
      <c r="B1023" s="204"/>
      <c r="C1023" s="205"/>
      <c r="D1023" s="205"/>
      <c r="E1023" s="276"/>
      <c r="F1023" s="166"/>
      <c r="G1023" s="167"/>
      <c r="H1023" s="213"/>
      <c r="I1023" s="167"/>
      <c r="J1023" s="168"/>
      <c r="K1023" s="169"/>
      <c r="L1023" s="207"/>
    </row>
    <row r="1024">
      <c r="A1024" s="203"/>
      <c r="B1024" s="204"/>
      <c r="C1024" s="205"/>
      <c r="D1024" s="205"/>
      <c r="E1024" s="276"/>
      <c r="F1024" s="166"/>
      <c r="G1024" s="167"/>
      <c r="H1024" s="213"/>
      <c r="I1024" s="167"/>
      <c r="J1024" s="168"/>
      <c r="K1024" s="169"/>
      <c r="L1024" s="207"/>
    </row>
    <row r="1025">
      <c r="A1025" s="203"/>
      <c r="B1025" s="204"/>
      <c r="C1025" s="205"/>
      <c r="D1025" s="205"/>
      <c r="E1025" s="276"/>
      <c r="F1025" s="166"/>
      <c r="G1025" s="167"/>
      <c r="H1025" s="213"/>
      <c r="I1025" s="167"/>
      <c r="J1025" s="168"/>
      <c r="K1025" s="169"/>
      <c r="L1025" s="207"/>
    </row>
    <row r="1026">
      <c r="A1026" s="203"/>
      <c r="B1026" s="204"/>
      <c r="C1026" s="205"/>
      <c r="D1026" s="205"/>
      <c r="E1026" s="276"/>
      <c r="F1026" s="166"/>
      <c r="G1026" s="167"/>
      <c r="H1026" s="213"/>
      <c r="I1026" s="167"/>
      <c r="J1026" s="168"/>
      <c r="K1026" s="169"/>
      <c r="L1026" s="207"/>
    </row>
    <row r="1027">
      <c r="A1027" s="203"/>
      <c r="B1027" s="204"/>
      <c r="C1027" s="205"/>
      <c r="D1027" s="205"/>
      <c r="E1027" s="276"/>
      <c r="F1027" s="166"/>
      <c r="G1027" s="167"/>
      <c r="H1027" s="213"/>
      <c r="I1027" s="167"/>
      <c r="J1027" s="168"/>
      <c r="K1027" s="169"/>
      <c r="L1027" s="207"/>
    </row>
    <row r="1028">
      <c r="A1028" s="203"/>
      <c r="B1028" s="204"/>
      <c r="C1028" s="205"/>
      <c r="D1028" s="205"/>
      <c r="E1028" s="276"/>
      <c r="F1028" s="166"/>
      <c r="G1028" s="167"/>
      <c r="H1028" s="213"/>
      <c r="I1028" s="167"/>
      <c r="J1028" s="168"/>
      <c r="K1028" s="169"/>
      <c r="L1028" s="207"/>
    </row>
    <row r="1029">
      <c r="A1029" s="203"/>
      <c r="B1029" s="204"/>
      <c r="C1029" s="205"/>
      <c r="D1029" s="205"/>
      <c r="E1029" s="276"/>
      <c r="F1029" s="166"/>
      <c r="G1029" s="167"/>
      <c r="H1029" s="213"/>
      <c r="I1029" s="167"/>
      <c r="J1029" s="168"/>
      <c r="K1029" s="169"/>
      <c r="L1029" s="207"/>
    </row>
    <row r="1030">
      <c r="A1030" s="203"/>
      <c r="B1030" s="204"/>
      <c r="C1030" s="205"/>
      <c r="D1030" s="205"/>
      <c r="E1030" s="276"/>
      <c r="F1030" s="166"/>
      <c r="G1030" s="167"/>
      <c r="H1030" s="213"/>
      <c r="I1030" s="167"/>
      <c r="J1030" s="168"/>
      <c r="K1030" s="169"/>
      <c r="L1030" s="207"/>
    </row>
    <row r="1031">
      <c r="A1031" s="203"/>
      <c r="B1031" s="204"/>
      <c r="C1031" s="205"/>
      <c r="D1031" s="205"/>
      <c r="E1031" s="276"/>
      <c r="F1031" s="166"/>
      <c r="G1031" s="167"/>
      <c r="H1031" s="213"/>
      <c r="I1031" s="167"/>
      <c r="J1031" s="168"/>
      <c r="K1031" s="169"/>
      <c r="L1031" s="207"/>
    </row>
    <row r="1032">
      <c r="A1032" s="203"/>
      <c r="B1032" s="204"/>
      <c r="C1032" s="205"/>
      <c r="D1032" s="205"/>
      <c r="E1032" s="276"/>
      <c r="F1032" s="166"/>
      <c r="G1032" s="167"/>
      <c r="H1032" s="213"/>
      <c r="I1032" s="167"/>
      <c r="J1032" s="168"/>
      <c r="K1032" s="169"/>
      <c r="L1032" s="207"/>
    </row>
    <row r="1033">
      <c r="A1033" s="203"/>
      <c r="B1033" s="204"/>
      <c r="C1033" s="205"/>
      <c r="D1033" s="205"/>
      <c r="E1033" s="276"/>
      <c r="F1033" s="166"/>
      <c r="G1033" s="167"/>
      <c r="H1033" s="213"/>
      <c r="I1033" s="167"/>
      <c r="J1033" s="168"/>
      <c r="K1033" s="169"/>
      <c r="L1033" s="207"/>
    </row>
    <row r="1034">
      <c r="A1034" s="203"/>
      <c r="B1034" s="204"/>
      <c r="C1034" s="205"/>
      <c r="D1034" s="205"/>
      <c r="E1034" s="276"/>
      <c r="F1034" s="166"/>
      <c r="G1034" s="167"/>
      <c r="H1034" s="213"/>
      <c r="I1034" s="167"/>
      <c r="J1034" s="168"/>
      <c r="K1034" s="169"/>
      <c r="L1034" s="207"/>
    </row>
    <row r="1035">
      <c r="A1035" s="203"/>
      <c r="B1035" s="204"/>
      <c r="C1035" s="205"/>
      <c r="D1035" s="205"/>
      <c r="E1035" s="276"/>
      <c r="F1035" s="166"/>
      <c r="G1035" s="167"/>
      <c r="H1035" s="213"/>
      <c r="I1035" s="167"/>
      <c r="J1035" s="168"/>
      <c r="K1035" s="169"/>
      <c r="L1035" s="207"/>
    </row>
    <row r="1036">
      <c r="A1036" s="203"/>
      <c r="B1036" s="204"/>
      <c r="C1036" s="205"/>
      <c r="D1036" s="205"/>
      <c r="E1036" s="276"/>
      <c r="F1036" s="166"/>
      <c r="G1036" s="167"/>
      <c r="H1036" s="213"/>
      <c r="I1036" s="167"/>
      <c r="J1036" s="168"/>
      <c r="K1036" s="169"/>
      <c r="L1036" s="207"/>
    </row>
    <row r="1037">
      <c r="A1037" s="203"/>
      <c r="B1037" s="204"/>
      <c r="C1037" s="205"/>
      <c r="D1037" s="205"/>
      <c r="E1037" s="276"/>
      <c r="F1037" s="166"/>
      <c r="G1037" s="167"/>
      <c r="H1037" s="213"/>
      <c r="I1037" s="167"/>
      <c r="J1037" s="168"/>
      <c r="K1037" s="169"/>
      <c r="L1037" s="207"/>
    </row>
    <row r="1038">
      <c r="A1038" s="203"/>
      <c r="B1038" s="204"/>
      <c r="C1038" s="205"/>
      <c r="D1038" s="205"/>
      <c r="E1038" s="276"/>
      <c r="F1038" s="166"/>
      <c r="G1038" s="167"/>
      <c r="H1038" s="213"/>
      <c r="I1038" s="167"/>
      <c r="J1038" s="168"/>
      <c r="K1038" s="169"/>
      <c r="L1038" s="207"/>
    </row>
    <row r="1039">
      <c r="A1039" s="203"/>
      <c r="B1039" s="204"/>
      <c r="C1039" s="205"/>
      <c r="D1039" s="205"/>
      <c r="E1039" s="276"/>
      <c r="F1039" s="166"/>
      <c r="G1039" s="167"/>
      <c r="H1039" s="213"/>
      <c r="I1039" s="167"/>
      <c r="J1039" s="168"/>
      <c r="K1039" s="169"/>
      <c r="L1039" s="207"/>
    </row>
    <row r="1040">
      <c r="A1040" s="203"/>
      <c r="B1040" s="204"/>
      <c r="C1040" s="205"/>
      <c r="D1040" s="205"/>
      <c r="E1040" s="276"/>
      <c r="F1040" s="166"/>
      <c r="G1040" s="167"/>
      <c r="H1040" s="213"/>
      <c r="I1040" s="167"/>
      <c r="J1040" s="168"/>
      <c r="K1040" s="169"/>
      <c r="L1040" s="207"/>
    </row>
    <row r="1041">
      <c r="A1041" s="203"/>
      <c r="B1041" s="204"/>
      <c r="C1041" s="205"/>
      <c r="D1041" s="205"/>
      <c r="E1041" s="276"/>
      <c r="F1041" s="166"/>
      <c r="G1041" s="167"/>
      <c r="H1041" s="213"/>
      <c r="I1041" s="167"/>
      <c r="J1041" s="168"/>
      <c r="K1041" s="169"/>
      <c r="L1041" s="207"/>
    </row>
    <row r="1042">
      <c r="A1042" s="203"/>
      <c r="B1042" s="204"/>
      <c r="C1042" s="205"/>
      <c r="D1042" s="205"/>
      <c r="E1042" s="276"/>
      <c r="F1042" s="166"/>
      <c r="G1042" s="167"/>
      <c r="H1042" s="213"/>
      <c r="I1042" s="167"/>
      <c r="J1042" s="168"/>
      <c r="K1042" s="169"/>
      <c r="L1042" s="207"/>
    </row>
    <row r="1043">
      <c r="A1043" s="203"/>
      <c r="B1043" s="204"/>
      <c r="C1043" s="205"/>
      <c r="D1043" s="205"/>
      <c r="E1043" s="276"/>
      <c r="F1043" s="166"/>
      <c r="G1043" s="167"/>
      <c r="H1043" s="213"/>
      <c r="I1043" s="167"/>
      <c r="J1043" s="168"/>
      <c r="K1043" s="169"/>
      <c r="L1043" s="207"/>
    </row>
    <row r="1044">
      <c r="A1044" s="203"/>
      <c r="B1044" s="204"/>
      <c r="C1044" s="205"/>
      <c r="D1044" s="205"/>
      <c r="E1044" s="276"/>
      <c r="F1044" s="166"/>
      <c r="G1044" s="167"/>
      <c r="H1044" s="213"/>
      <c r="I1044" s="167"/>
      <c r="J1044" s="168"/>
      <c r="K1044" s="169"/>
      <c r="L1044" s="207"/>
    </row>
    <row r="1045">
      <c r="A1045" s="203"/>
      <c r="B1045" s="204"/>
      <c r="C1045" s="205"/>
      <c r="D1045" s="205"/>
      <c r="E1045" s="276"/>
      <c r="F1045" s="166"/>
      <c r="G1045" s="167"/>
      <c r="H1045" s="213"/>
      <c r="I1045" s="167"/>
      <c r="J1045" s="168"/>
      <c r="K1045" s="169"/>
      <c r="L1045" s="207"/>
    </row>
    <row r="1046">
      <c r="A1046" s="203"/>
      <c r="B1046" s="204"/>
      <c r="C1046" s="205"/>
      <c r="D1046" s="205"/>
      <c r="E1046" s="276"/>
      <c r="F1046" s="166"/>
      <c r="G1046" s="167"/>
      <c r="H1046" s="213"/>
      <c r="I1046" s="167"/>
      <c r="J1046" s="168"/>
      <c r="K1046" s="169"/>
      <c r="L1046" s="207"/>
    </row>
    <row r="1047">
      <c r="A1047" s="203"/>
      <c r="B1047" s="204"/>
      <c r="C1047" s="205"/>
      <c r="D1047" s="205"/>
      <c r="E1047" s="276"/>
      <c r="F1047" s="166"/>
      <c r="G1047" s="167"/>
      <c r="H1047" s="213"/>
      <c r="I1047" s="167"/>
      <c r="J1047" s="168"/>
      <c r="K1047" s="169"/>
      <c r="L1047" s="207"/>
    </row>
    <row r="1048">
      <c r="A1048" s="203"/>
      <c r="B1048" s="204"/>
      <c r="C1048" s="205"/>
      <c r="D1048" s="205"/>
      <c r="E1048" s="276"/>
      <c r="F1048" s="166"/>
      <c r="G1048" s="167"/>
      <c r="H1048" s="213"/>
      <c r="I1048" s="167"/>
      <c r="J1048" s="168"/>
      <c r="K1048" s="169"/>
      <c r="L1048" s="207"/>
    </row>
    <row r="1049">
      <c r="A1049" s="203"/>
      <c r="B1049" s="204"/>
      <c r="C1049" s="205"/>
      <c r="D1049" s="205"/>
      <c r="E1049" s="276"/>
      <c r="F1049" s="166"/>
      <c r="G1049" s="167"/>
      <c r="H1049" s="213"/>
      <c r="I1049" s="167"/>
      <c r="J1049" s="168"/>
      <c r="K1049" s="169"/>
      <c r="L1049" s="207"/>
    </row>
    <row r="1050">
      <c r="A1050" s="203"/>
      <c r="B1050" s="204"/>
      <c r="C1050" s="205"/>
      <c r="D1050" s="205"/>
      <c r="E1050" s="276"/>
      <c r="F1050" s="166"/>
      <c r="G1050" s="167"/>
      <c r="H1050" s="213"/>
      <c r="I1050" s="167"/>
      <c r="J1050" s="168"/>
      <c r="K1050" s="169"/>
      <c r="L1050" s="207"/>
    </row>
    <row r="1051">
      <c r="A1051" s="203"/>
      <c r="B1051" s="204"/>
      <c r="C1051" s="205"/>
      <c r="D1051" s="205"/>
      <c r="E1051" s="276"/>
      <c r="F1051" s="166"/>
      <c r="G1051" s="167"/>
      <c r="H1051" s="213"/>
      <c r="I1051" s="167"/>
      <c r="J1051" s="168"/>
      <c r="K1051" s="169"/>
      <c r="L1051" s="207"/>
    </row>
    <row r="1052">
      <c r="A1052" s="203"/>
      <c r="B1052" s="204"/>
      <c r="C1052" s="205"/>
      <c r="D1052" s="205"/>
      <c r="E1052" s="276"/>
      <c r="F1052" s="166"/>
      <c r="G1052" s="167"/>
      <c r="H1052" s="213"/>
      <c r="I1052" s="167"/>
      <c r="J1052" s="168"/>
      <c r="K1052" s="169"/>
      <c r="L1052" s="207"/>
    </row>
    <row r="1053">
      <c r="A1053" s="203"/>
      <c r="B1053" s="204"/>
      <c r="C1053" s="205"/>
      <c r="D1053" s="205"/>
      <c r="E1053" s="276"/>
      <c r="F1053" s="166"/>
      <c r="G1053" s="167"/>
      <c r="H1053" s="213"/>
      <c r="I1053" s="167"/>
      <c r="J1053" s="168"/>
      <c r="K1053" s="169"/>
      <c r="L1053" s="207"/>
    </row>
    <row r="1054">
      <c r="A1054" s="203"/>
      <c r="B1054" s="204"/>
      <c r="C1054" s="205"/>
      <c r="D1054" s="205"/>
      <c r="E1054" s="276"/>
      <c r="F1054" s="166"/>
      <c r="G1054" s="167"/>
      <c r="H1054" s="213"/>
      <c r="I1054" s="167"/>
      <c r="J1054" s="168"/>
      <c r="K1054" s="169"/>
      <c r="L1054" s="207"/>
    </row>
    <row r="1055">
      <c r="A1055" s="203"/>
      <c r="B1055" s="204"/>
      <c r="C1055" s="205"/>
      <c r="D1055" s="205"/>
      <c r="E1055" s="276"/>
      <c r="F1055" s="166"/>
      <c r="G1055" s="167"/>
      <c r="H1055" s="213"/>
      <c r="I1055" s="167"/>
      <c r="J1055" s="168"/>
      <c r="K1055" s="169"/>
      <c r="L1055" s="207"/>
    </row>
    <row r="1056">
      <c r="A1056" s="203"/>
      <c r="B1056" s="204"/>
      <c r="C1056" s="205"/>
      <c r="D1056" s="205"/>
      <c r="E1056" s="276"/>
      <c r="F1056" s="166"/>
      <c r="G1056" s="167"/>
      <c r="H1056" s="213"/>
      <c r="I1056" s="167"/>
      <c r="J1056" s="168"/>
      <c r="K1056" s="169"/>
      <c r="L1056" s="207"/>
    </row>
    <row r="1057">
      <c r="A1057" s="203"/>
      <c r="B1057" s="204"/>
      <c r="C1057" s="205"/>
      <c r="D1057" s="205"/>
      <c r="E1057" s="276"/>
      <c r="F1057" s="166"/>
      <c r="G1057" s="167"/>
      <c r="H1057" s="213"/>
      <c r="I1057" s="167"/>
      <c r="J1057" s="168"/>
      <c r="K1057" s="169"/>
      <c r="L1057" s="207"/>
    </row>
    <row r="1058">
      <c r="A1058" s="203"/>
      <c r="B1058" s="204"/>
      <c r="C1058" s="205"/>
      <c r="D1058" s="205"/>
      <c r="E1058" s="276"/>
      <c r="F1058" s="166"/>
      <c r="G1058" s="167"/>
      <c r="H1058" s="213"/>
      <c r="I1058" s="167"/>
      <c r="J1058" s="168"/>
      <c r="K1058" s="169"/>
      <c r="L1058" s="207"/>
    </row>
    <row r="1059">
      <c r="A1059" s="203"/>
      <c r="B1059" s="204"/>
      <c r="C1059" s="205"/>
      <c r="D1059" s="205"/>
      <c r="E1059" s="276"/>
      <c r="F1059" s="166"/>
      <c r="G1059" s="167"/>
      <c r="H1059" s="213"/>
      <c r="I1059" s="167"/>
      <c r="J1059" s="168"/>
      <c r="K1059" s="169"/>
      <c r="L1059" s="207"/>
    </row>
    <row r="1060">
      <c r="A1060" s="203"/>
      <c r="B1060" s="204"/>
      <c r="C1060" s="205"/>
      <c r="D1060" s="205"/>
      <c r="E1060" s="276"/>
      <c r="F1060" s="166"/>
      <c r="G1060" s="167"/>
      <c r="H1060" s="213"/>
      <c r="I1060" s="167"/>
      <c r="J1060" s="168"/>
      <c r="K1060" s="169"/>
      <c r="L1060" s="207"/>
    </row>
    <row r="1061">
      <c r="A1061" s="203"/>
      <c r="B1061" s="204"/>
      <c r="C1061" s="205"/>
      <c r="D1061" s="205"/>
      <c r="E1061" s="276"/>
      <c r="F1061" s="166"/>
      <c r="G1061" s="167"/>
      <c r="H1061" s="213"/>
      <c r="I1061" s="167"/>
      <c r="J1061" s="168"/>
      <c r="K1061" s="169"/>
      <c r="L1061" s="207"/>
    </row>
    <row r="1062">
      <c r="A1062" s="203"/>
      <c r="B1062" s="204"/>
      <c r="C1062" s="205"/>
      <c r="D1062" s="205"/>
      <c r="E1062" s="276"/>
      <c r="F1062" s="166"/>
      <c r="G1062" s="167"/>
      <c r="H1062" s="213"/>
      <c r="I1062" s="167"/>
      <c r="J1062" s="168"/>
      <c r="K1062" s="169"/>
      <c r="L1062" s="207"/>
    </row>
    <row r="1063">
      <c r="A1063" s="203"/>
      <c r="B1063" s="204"/>
      <c r="C1063" s="205"/>
      <c r="D1063" s="205"/>
      <c r="E1063" s="276"/>
      <c r="F1063" s="166"/>
      <c r="G1063" s="167"/>
      <c r="H1063" s="213"/>
      <c r="I1063" s="167"/>
      <c r="J1063" s="168"/>
      <c r="K1063" s="169"/>
      <c r="L1063" s="207"/>
    </row>
    <row r="1064">
      <c r="A1064" s="203"/>
      <c r="B1064" s="204"/>
      <c r="C1064" s="205"/>
      <c r="D1064" s="205"/>
      <c r="E1064" s="276"/>
      <c r="F1064" s="166"/>
      <c r="G1064" s="167"/>
      <c r="H1064" s="213"/>
      <c r="I1064" s="167"/>
      <c r="J1064" s="168"/>
      <c r="K1064" s="169"/>
      <c r="L1064" s="207"/>
    </row>
    <row r="1065">
      <c r="A1065" s="203"/>
      <c r="B1065" s="204"/>
      <c r="C1065" s="205"/>
      <c r="D1065" s="205"/>
      <c r="E1065" s="276"/>
      <c r="F1065" s="166"/>
      <c r="G1065" s="167"/>
      <c r="H1065" s="213"/>
      <c r="I1065" s="167"/>
      <c r="J1065" s="168"/>
      <c r="K1065" s="169"/>
      <c r="L1065" s="207"/>
    </row>
    <row r="1066">
      <c r="A1066" s="203"/>
      <c r="B1066" s="204"/>
      <c r="C1066" s="205"/>
      <c r="D1066" s="205"/>
      <c r="E1066" s="276"/>
      <c r="F1066" s="166"/>
      <c r="G1066" s="167"/>
      <c r="H1066" s="213"/>
      <c r="I1066" s="167"/>
      <c r="J1066" s="168"/>
      <c r="K1066" s="169"/>
      <c r="L1066" s="207"/>
    </row>
    <row r="1067">
      <c r="A1067" s="203"/>
      <c r="B1067" s="204"/>
      <c r="C1067" s="205"/>
      <c r="D1067" s="205"/>
      <c r="E1067" s="276"/>
      <c r="F1067" s="166"/>
      <c r="G1067" s="167"/>
      <c r="H1067" s="213"/>
      <c r="I1067" s="167"/>
      <c r="J1067" s="168"/>
      <c r="K1067" s="169"/>
      <c r="L1067" s="207"/>
    </row>
    <row r="1068">
      <c r="A1068" s="203"/>
      <c r="B1068" s="204"/>
      <c r="C1068" s="205"/>
      <c r="D1068" s="205"/>
      <c r="E1068" s="276"/>
      <c r="F1068" s="166"/>
      <c r="G1068" s="167"/>
      <c r="H1068" s="213"/>
      <c r="I1068" s="167"/>
      <c r="J1068" s="168"/>
      <c r="K1068" s="169"/>
      <c r="L1068" s="207"/>
    </row>
    <row r="1069">
      <c r="A1069" s="203"/>
      <c r="B1069" s="204"/>
      <c r="C1069" s="205"/>
      <c r="D1069" s="205"/>
      <c r="E1069" s="276"/>
      <c r="F1069" s="166"/>
      <c r="G1069" s="167"/>
      <c r="H1069" s="213"/>
      <c r="I1069" s="167"/>
      <c r="J1069" s="168"/>
      <c r="K1069" s="169"/>
      <c r="L1069" s="207"/>
    </row>
    <row r="1070">
      <c r="A1070" s="203"/>
      <c r="B1070" s="204"/>
      <c r="C1070" s="205"/>
      <c r="D1070" s="205"/>
      <c r="E1070" s="276"/>
      <c r="F1070" s="166"/>
      <c r="G1070" s="167"/>
      <c r="H1070" s="213"/>
      <c r="I1070" s="167"/>
      <c r="J1070" s="168"/>
      <c r="K1070" s="169"/>
      <c r="L1070" s="207"/>
    </row>
    <row r="1071">
      <c r="A1071" s="203"/>
      <c r="B1071" s="204"/>
      <c r="C1071" s="205"/>
      <c r="D1071" s="205"/>
      <c r="E1071" s="276"/>
      <c r="F1071" s="166"/>
      <c r="G1071" s="167"/>
      <c r="H1071" s="213"/>
      <c r="I1071" s="167"/>
      <c r="J1071" s="168"/>
      <c r="K1071" s="169"/>
      <c r="L1071" s="207"/>
    </row>
    <row r="1072">
      <c r="A1072" s="203"/>
      <c r="B1072" s="204"/>
      <c r="C1072" s="205"/>
      <c r="D1072" s="205"/>
      <c r="E1072" s="276"/>
      <c r="F1072" s="166"/>
      <c r="G1072" s="167"/>
      <c r="H1072" s="213"/>
      <c r="I1072" s="167"/>
      <c r="J1072" s="168"/>
      <c r="K1072" s="169"/>
      <c r="L1072" s="207"/>
    </row>
    <row r="1073">
      <c r="A1073" s="203"/>
      <c r="B1073" s="204"/>
      <c r="C1073" s="205"/>
      <c r="D1073" s="205"/>
      <c r="E1073" s="276"/>
      <c r="F1073" s="166"/>
      <c r="G1073" s="167"/>
      <c r="H1073" s="213"/>
      <c r="I1073" s="167"/>
      <c r="J1073" s="168"/>
      <c r="K1073" s="169"/>
      <c r="L1073" s="207"/>
    </row>
    <row r="1074">
      <c r="A1074" s="203"/>
      <c r="B1074" s="204"/>
      <c r="C1074" s="205"/>
      <c r="D1074" s="205"/>
      <c r="E1074" s="276"/>
      <c r="F1074" s="166"/>
      <c r="G1074" s="167"/>
      <c r="H1074" s="213"/>
      <c r="I1074" s="167"/>
      <c r="J1074" s="168"/>
      <c r="K1074" s="169"/>
      <c r="L1074" s="207"/>
    </row>
    <row r="1075">
      <c r="A1075" s="203"/>
      <c r="B1075" s="204"/>
      <c r="C1075" s="205"/>
      <c r="D1075" s="205"/>
      <c r="E1075" s="276"/>
      <c r="F1075" s="166"/>
      <c r="G1075" s="167"/>
      <c r="H1075" s="213"/>
      <c r="I1075" s="167"/>
      <c r="J1075" s="168"/>
      <c r="K1075" s="169"/>
      <c r="L1075" s="207"/>
    </row>
    <row r="1076">
      <c r="A1076" s="203"/>
      <c r="B1076" s="204"/>
      <c r="C1076" s="205"/>
      <c r="D1076" s="205"/>
      <c r="E1076" s="276"/>
      <c r="F1076" s="166"/>
      <c r="G1076" s="167"/>
      <c r="H1076" s="213"/>
      <c r="I1076" s="167"/>
      <c r="J1076" s="168"/>
      <c r="K1076" s="169"/>
      <c r="L1076" s="207"/>
    </row>
    <row r="1077">
      <c r="A1077" s="203"/>
      <c r="B1077" s="204"/>
      <c r="C1077" s="205"/>
      <c r="D1077" s="205"/>
      <c r="E1077" s="276"/>
      <c r="F1077" s="166"/>
      <c r="G1077" s="167"/>
      <c r="H1077" s="213"/>
      <c r="I1077" s="167"/>
      <c r="J1077" s="168"/>
      <c r="K1077" s="169"/>
      <c r="L1077" s="207"/>
    </row>
    <row r="1078">
      <c r="A1078" s="203"/>
      <c r="B1078" s="204"/>
      <c r="C1078" s="205"/>
      <c r="D1078" s="205"/>
      <c r="E1078" s="276"/>
      <c r="F1078" s="166"/>
      <c r="G1078" s="167"/>
      <c r="H1078" s="213"/>
      <c r="I1078" s="167"/>
      <c r="J1078" s="168"/>
      <c r="K1078" s="169"/>
      <c r="L1078" s="207"/>
    </row>
    <row r="1079">
      <c r="A1079" s="203"/>
      <c r="B1079" s="204"/>
      <c r="C1079" s="205"/>
      <c r="D1079" s="205"/>
      <c r="E1079" s="276"/>
      <c r="F1079" s="166"/>
      <c r="G1079" s="167"/>
      <c r="H1079" s="213"/>
      <c r="I1079" s="167"/>
      <c r="J1079" s="168"/>
      <c r="K1079" s="169"/>
      <c r="L1079" s="207"/>
    </row>
    <row r="1080">
      <c r="A1080" s="203"/>
      <c r="B1080" s="204"/>
      <c r="C1080" s="205"/>
      <c r="D1080" s="205"/>
      <c r="E1080" s="276"/>
      <c r="F1080" s="166"/>
      <c r="G1080" s="167"/>
      <c r="H1080" s="213"/>
      <c r="I1080" s="167"/>
      <c r="J1080" s="168"/>
      <c r="K1080" s="169"/>
      <c r="L1080" s="207"/>
    </row>
    <row r="1081">
      <c r="A1081" s="203"/>
      <c r="B1081" s="204"/>
      <c r="C1081" s="205"/>
      <c r="D1081" s="205"/>
      <c r="E1081" s="276"/>
      <c r="F1081" s="166"/>
      <c r="G1081" s="167"/>
      <c r="H1081" s="213"/>
      <c r="I1081" s="167"/>
      <c r="J1081" s="168"/>
      <c r="K1081" s="169"/>
      <c r="L1081" s="207"/>
    </row>
    <row r="1082">
      <c r="A1082" s="203"/>
      <c r="B1082" s="204"/>
      <c r="C1082" s="205"/>
      <c r="D1082" s="205"/>
      <c r="E1082" s="276"/>
      <c r="F1082" s="166"/>
      <c r="G1082" s="167"/>
      <c r="H1082" s="213"/>
      <c r="I1082" s="167"/>
      <c r="J1082" s="168"/>
      <c r="K1082" s="169"/>
      <c r="L1082" s="207"/>
    </row>
    <row r="1083">
      <c r="A1083" s="203"/>
      <c r="B1083" s="204"/>
      <c r="C1083" s="205"/>
      <c r="D1083" s="205"/>
      <c r="E1083" s="276"/>
      <c r="F1083" s="166"/>
      <c r="G1083" s="167"/>
      <c r="H1083" s="213"/>
      <c r="I1083" s="167"/>
      <c r="J1083" s="168"/>
      <c r="K1083" s="169"/>
      <c r="L1083" s="207"/>
    </row>
    <row r="1084">
      <c r="A1084" s="203"/>
      <c r="B1084" s="204"/>
      <c r="C1084" s="205"/>
      <c r="D1084" s="205"/>
      <c r="E1084" s="276"/>
      <c r="F1084" s="166"/>
      <c r="G1084" s="167"/>
      <c r="H1084" s="213"/>
      <c r="I1084" s="167"/>
      <c r="J1084" s="168"/>
      <c r="K1084" s="169"/>
      <c r="L1084" s="207"/>
    </row>
    <row r="1085">
      <c r="A1085" s="203"/>
      <c r="B1085" s="204"/>
      <c r="C1085" s="205"/>
      <c r="D1085" s="205"/>
      <c r="E1085" s="276"/>
      <c r="F1085" s="166"/>
      <c r="G1085" s="167"/>
      <c r="H1085" s="213"/>
      <c r="I1085" s="167"/>
      <c r="J1085" s="168"/>
      <c r="K1085" s="169"/>
      <c r="L1085" s="207"/>
    </row>
    <row r="1086">
      <c r="A1086" s="203"/>
      <c r="B1086" s="204"/>
      <c r="C1086" s="205"/>
      <c r="D1086" s="205"/>
      <c r="E1086" s="276"/>
      <c r="F1086" s="166"/>
      <c r="G1086" s="167"/>
      <c r="H1086" s="213"/>
      <c r="I1086" s="167"/>
      <c r="J1086" s="168"/>
      <c r="K1086" s="169"/>
      <c r="L1086" s="207"/>
    </row>
    <row r="1087">
      <c r="A1087" s="203"/>
      <c r="B1087" s="204"/>
      <c r="C1087" s="205"/>
      <c r="D1087" s="205"/>
      <c r="E1087" s="276"/>
      <c r="F1087" s="166"/>
      <c r="G1087" s="167"/>
      <c r="H1087" s="213"/>
      <c r="I1087" s="167"/>
      <c r="J1087" s="168"/>
      <c r="K1087" s="169"/>
      <c r="L1087" s="207"/>
    </row>
    <row r="1088">
      <c r="A1088" s="203"/>
      <c r="B1088" s="204"/>
      <c r="C1088" s="205"/>
      <c r="D1088" s="205"/>
      <c r="E1088" s="276"/>
      <c r="F1088" s="166"/>
      <c r="G1088" s="167"/>
      <c r="H1088" s="213"/>
      <c r="I1088" s="167"/>
      <c r="J1088" s="168"/>
      <c r="K1088" s="169"/>
      <c r="L1088" s="207"/>
    </row>
    <row r="1089">
      <c r="A1089" s="203"/>
      <c r="B1089" s="204"/>
      <c r="C1089" s="205"/>
      <c r="D1089" s="205"/>
      <c r="E1089" s="276"/>
      <c r="F1089" s="166"/>
      <c r="G1089" s="167"/>
      <c r="H1089" s="213"/>
      <c r="I1089" s="167"/>
      <c r="J1089" s="168"/>
      <c r="K1089" s="169"/>
      <c r="L1089" s="207"/>
    </row>
    <row r="1090">
      <c r="A1090" s="203"/>
      <c r="B1090" s="204"/>
      <c r="C1090" s="205"/>
      <c r="D1090" s="205"/>
      <c r="E1090" s="276"/>
      <c r="F1090" s="166"/>
      <c r="G1090" s="167"/>
      <c r="H1090" s="213"/>
      <c r="I1090" s="167"/>
      <c r="J1090" s="168"/>
      <c r="K1090" s="169"/>
      <c r="L1090" s="207"/>
    </row>
    <row r="1091">
      <c r="A1091" s="203"/>
      <c r="B1091" s="204"/>
      <c r="C1091" s="205"/>
      <c r="D1091" s="205"/>
      <c r="E1091" s="276"/>
      <c r="F1091" s="166"/>
      <c r="G1091" s="167"/>
      <c r="H1091" s="213"/>
      <c r="I1091" s="167"/>
      <c r="J1091" s="168"/>
      <c r="K1091" s="169"/>
      <c r="L1091" s="207"/>
    </row>
    <row r="1092">
      <c r="A1092" s="203"/>
      <c r="B1092" s="204"/>
      <c r="C1092" s="205"/>
      <c r="D1092" s="205"/>
      <c r="E1092" s="276"/>
      <c r="F1092" s="166"/>
      <c r="G1092" s="167"/>
      <c r="H1092" s="213"/>
      <c r="I1092" s="167"/>
      <c r="J1092" s="168"/>
      <c r="K1092" s="169"/>
      <c r="L1092" s="207"/>
    </row>
    <row r="1093">
      <c r="A1093" s="203"/>
      <c r="B1093" s="204"/>
      <c r="C1093" s="205"/>
      <c r="D1093" s="205"/>
      <c r="E1093" s="276"/>
      <c r="F1093" s="166"/>
      <c r="G1093" s="167"/>
      <c r="H1093" s="213"/>
      <c r="I1093" s="167"/>
      <c r="J1093" s="168"/>
      <c r="K1093" s="169"/>
      <c r="L1093" s="207"/>
    </row>
    <row r="1094">
      <c r="A1094" s="203"/>
      <c r="B1094" s="204"/>
      <c r="C1094" s="205"/>
      <c r="D1094" s="205"/>
      <c r="E1094" s="276"/>
      <c r="F1094" s="166"/>
      <c r="G1094" s="167"/>
      <c r="H1094" s="213"/>
      <c r="I1094" s="167"/>
      <c r="J1094" s="168"/>
      <c r="K1094" s="169"/>
      <c r="L1094" s="207"/>
    </row>
    <row r="1095">
      <c r="A1095" s="203"/>
      <c r="B1095" s="204"/>
      <c r="C1095" s="205"/>
      <c r="D1095" s="205"/>
      <c r="E1095" s="276"/>
      <c r="F1095" s="166"/>
      <c r="G1095" s="167"/>
      <c r="H1095" s="213"/>
      <c r="I1095" s="167"/>
      <c r="J1095" s="168"/>
      <c r="K1095" s="169"/>
      <c r="L1095" s="207"/>
    </row>
    <row r="1096">
      <c r="A1096" s="203"/>
      <c r="B1096" s="204"/>
      <c r="C1096" s="205"/>
      <c r="D1096" s="205"/>
      <c r="E1096" s="276"/>
      <c r="F1096" s="166"/>
      <c r="G1096" s="167"/>
      <c r="H1096" s="213"/>
      <c r="I1096" s="167"/>
      <c r="J1096" s="168"/>
      <c r="K1096" s="169"/>
      <c r="L1096" s="207"/>
    </row>
    <row r="1097">
      <c r="A1097" s="203"/>
      <c r="B1097" s="204"/>
      <c r="C1097" s="205"/>
      <c r="D1097" s="205"/>
      <c r="E1097" s="276"/>
      <c r="F1097" s="166"/>
      <c r="G1097" s="167"/>
      <c r="H1097" s="213"/>
      <c r="I1097" s="167"/>
      <c r="J1097" s="168"/>
      <c r="K1097" s="169"/>
      <c r="L1097" s="207"/>
    </row>
    <row r="1098">
      <c r="A1098" s="203"/>
      <c r="B1098" s="204"/>
      <c r="C1098" s="205"/>
      <c r="D1098" s="205"/>
      <c r="E1098" s="276"/>
      <c r="F1098" s="166"/>
      <c r="G1098" s="167"/>
      <c r="H1098" s="213"/>
      <c r="I1098" s="167"/>
      <c r="J1098" s="168"/>
      <c r="K1098" s="169"/>
      <c r="L1098" s="207"/>
    </row>
    <row r="1099">
      <c r="A1099" s="203"/>
      <c r="B1099" s="204"/>
      <c r="C1099" s="205"/>
      <c r="D1099" s="205"/>
      <c r="E1099" s="276"/>
      <c r="F1099" s="166"/>
      <c r="G1099" s="167"/>
      <c r="H1099" s="213"/>
      <c r="I1099" s="167"/>
      <c r="J1099" s="168"/>
      <c r="K1099" s="169"/>
      <c r="L1099" s="207"/>
    </row>
    <row r="1100">
      <c r="A1100" s="203"/>
      <c r="B1100" s="204"/>
      <c r="C1100" s="205"/>
      <c r="D1100" s="205"/>
      <c r="E1100" s="276"/>
      <c r="F1100" s="166"/>
      <c r="G1100" s="167"/>
      <c r="H1100" s="213"/>
      <c r="I1100" s="167"/>
      <c r="J1100" s="168"/>
      <c r="K1100" s="169"/>
      <c r="L1100" s="207"/>
    </row>
    <row r="1101">
      <c r="A1101" s="203"/>
      <c r="B1101" s="204"/>
      <c r="C1101" s="205"/>
      <c r="D1101" s="205"/>
      <c r="E1101" s="276"/>
      <c r="F1101" s="166"/>
      <c r="G1101" s="167"/>
      <c r="H1101" s="213"/>
      <c r="I1101" s="167"/>
      <c r="J1101" s="168"/>
      <c r="K1101" s="169"/>
      <c r="L1101" s="207"/>
    </row>
    <row r="1102">
      <c r="A1102" s="203"/>
      <c r="B1102" s="204"/>
      <c r="C1102" s="205"/>
      <c r="D1102" s="205"/>
      <c r="E1102" s="276"/>
      <c r="F1102" s="166"/>
      <c r="G1102" s="167"/>
      <c r="H1102" s="213"/>
      <c r="I1102" s="167"/>
      <c r="J1102" s="168"/>
      <c r="K1102" s="169"/>
      <c r="L1102" s="207"/>
    </row>
    <row r="1103">
      <c r="A1103" s="203"/>
      <c r="B1103" s="204"/>
      <c r="C1103" s="205"/>
      <c r="D1103" s="205"/>
      <c r="E1103" s="276"/>
      <c r="F1103" s="166"/>
      <c r="G1103" s="167"/>
      <c r="H1103" s="213"/>
      <c r="I1103" s="167"/>
      <c r="J1103" s="168"/>
      <c r="K1103" s="169"/>
      <c r="L1103" s="207"/>
    </row>
    <row r="1104">
      <c r="A1104" s="203"/>
      <c r="B1104" s="204"/>
      <c r="C1104" s="205"/>
      <c r="D1104" s="205"/>
      <c r="E1104" s="276"/>
      <c r="F1104" s="166"/>
      <c r="G1104" s="167"/>
      <c r="H1104" s="213"/>
      <c r="I1104" s="167"/>
      <c r="J1104" s="168"/>
      <c r="K1104" s="169"/>
      <c r="L1104" s="207"/>
    </row>
    <row r="1105">
      <c r="A1105" s="203"/>
      <c r="B1105" s="204"/>
      <c r="C1105" s="205"/>
      <c r="D1105" s="205"/>
      <c r="E1105" s="276"/>
      <c r="F1105" s="166"/>
      <c r="G1105" s="167"/>
      <c r="H1105" s="213"/>
      <c r="I1105" s="167"/>
      <c r="J1105" s="168"/>
      <c r="K1105" s="169"/>
      <c r="L1105" s="207"/>
    </row>
    <row r="1106">
      <c r="A1106" s="203"/>
      <c r="B1106" s="204"/>
      <c r="C1106" s="205"/>
      <c r="D1106" s="205"/>
      <c r="E1106" s="276"/>
      <c r="F1106" s="166"/>
      <c r="G1106" s="167"/>
      <c r="H1106" s="213"/>
      <c r="I1106" s="167"/>
      <c r="J1106" s="168"/>
      <c r="K1106" s="169"/>
      <c r="L1106" s="207"/>
    </row>
    <row r="1107">
      <c r="A1107" s="203"/>
      <c r="B1107" s="204"/>
      <c r="C1107" s="205"/>
      <c r="D1107" s="205"/>
      <c r="E1107" s="276"/>
      <c r="F1107" s="166"/>
      <c r="G1107" s="167"/>
      <c r="H1107" s="213"/>
      <c r="I1107" s="167"/>
      <c r="J1107" s="168"/>
      <c r="K1107" s="169"/>
      <c r="L1107" s="207"/>
    </row>
    <row r="1108">
      <c r="A1108" s="203"/>
      <c r="B1108" s="204"/>
      <c r="C1108" s="205"/>
      <c r="D1108" s="205"/>
      <c r="E1108" s="276"/>
      <c r="F1108" s="166"/>
      <c r="G1108" s="167"/>
      <c r="H1108" s="213"/>
      <c r="I1108" s="167"/>
      <c r="J1108" s="168"/>
      <c r="K1108" s="169"/>
      <c r="L1108" s="207"/>
    </row>
    <row r="1109">
      <c r="A1109" s="203"/>
      <c r="B1109" s="204"/>
      <c r="C1109" s="205"/>
      <c r="D1109" s="205"/>
      <c r="E1109" s="276"/>
      <c r="F1109" s="166"/>
      <c r="G1109" s="167"/>
      <c r="H1109" s="213"/>
      <c r="I1109" s="167"/>
      <c r="J1109" s="168"/>
      <c r="K1109" s="169"/>
      <c r="L1109" s="207"/>
    </row>
    <row r="1110">
      <c r="A1110" s="203"/>
      <c r="B1110" s="204"/>
      <c r="C1110" s="205"/>
      <c r="D1110" s="205"/>
      <c r="E1110" s="276"/>
      <c r="F1110" s="166"/>
      <c r="G1110" s="167"/>
      <c r="H1110" s="213"/>
      <c r="I1110" s="167"/>
      <c r="J1110" s="168"/>
      <c r="K1110" s="169"/>
      <c r="L1110" s="207"/>
    </row>
    <row r="1111">
      <c r="A1111" s="203"/>
      <c r="B1111" s="204"/>
      <c r="C1111" s="205"/>
      <c r="D1111" s="205"/>
      <c r="E1111" s="276"/>
      <c r="F1111" s="166"/>
      <c r="G1111" s="167"/>
      <c r="H1111" s="213"/>
      <c r="I1111" s="167"/>
      <c r="J1111" s="168"/>
      <c r="K1111" s="169"/>
      <c r="L1111" s="207"/>
    </row>
    <row r="1112">
      <c r="A1112" s="203"/>
      <c r="B1112" s="204"/>
      <c r="C1112" s="205"/>
      <c r="D1112" s="205"/>
      <c r="E1112" s="276"/>
      <c r="F1112" s="166"/>
      <c r="G1112" s="167"/>
      <c r="H1112" s="213"/>
      <c r="I1112" s="167"/>
      <c r="J1112" s="168"/>
      <c r="K1112" s="169"/>
      <c r="L1112" s="207"/>
    </row>
    <row r="1113">
      <c r="A1113" s="203"/>
      <c r="B1113" s="204"/>
      <c r="C1113" s="205"/>
      <c r="D1113" s="205"/>
      <c r="E1113" s="276"/>
      <c r="F1113" s="166"/>
      <c r="G1113" s="167"/>
      <c r="H1113" s="213"/>
      <c r="I1113" s="167"/>
      <c r="J1113" s="168"/>
      <c r="K1113" s="169"/>
      <c r="L1113" s="207"/>
    </row>
    <row r="1114">
      <c r="A1114" s="203"/>
      <c r="B1114" s="204"/>
      <c r="C1114" s="205"/>
      <c r="D1114" s="205"/>
      <c r="E1114" s="276"/>
      <c r="F1114" s="166"/>
      <c r="G1114" s="167"/>
      <c r="H1114" s="213"/>
      <c r="I1114" s="167"/>
      <c r="J1114" s="168"/>
      <c r="K1114" s="169"/>
      <c r="L1114" s="207"/>
    </row>
    <row r="1115">
      <c r="A1115" s="203"/>
      <c r="B1115" s="204"/>
      <c r="C1115" s="205"/>
      <c r="D1115" s="205"/>
      <c r="E1115" s="276"/>
      <c r="F1115" s="166"/>
      <c r="G1115" s="167"/>
      <c r="H1115" s="213"/>
      <c r="I1115" s="167"/>
      <c r="J1115" s="168"/>
      <c r="K1115" s="169"/>
      <c r="L1115" s="207"/>
    </row>
    <row r="1116">
      <c r="A1116" s="203"/>
      <c r="B1116" s="204"/>
      <c r="C1116" s="205"/>
      <c r="D1116" s="205"/>
      <c r="E1116" s="276"/>
      <c r="F1116" s="166"/>
      <c r="G1116" s="167"/>
      <c r="H1116" s="213"/>
      <c r="I1116" s="167"/>
      <c r="J1116" s="168"/>
      <c r="K1116" s="169"/>
      <c r="L1116" s="207"/>
    </row>
    <row r="1117">
      <c r="A1117" s="203"/>
      <c r="B1117" s="204"/>
      <c r="C1117" s="205"/>
      <c r="D1117" s="205"/>
      <c r="E1117" s="276"/>
      <c r="F1117" s="166"/>
      <c r="G1117" s="167"/>
      <c r="H1117" s="213"/>
      <c r="I1117" s="167"/>
      <c r="J1117" s="168"/>
      <c r="K1117" s="169"/>
      <c r="L1117" s="207"/>
    </row>
    <row r="1118">
      <c r="A1118" s="203"/>
      <c r="B1118" s="204"/>
      <c r="C1118" s="205"/>
      <c r="D1118" s="205"/>
      <c r="E1118" s="276"/>
      <c r="F1118" s="166"/>
      <c r="G1118" s="167"/>
      <c r="H1118" s="213"/>
      <c r="I1118" s="167"/>
      <c r="J1118" s="168"/>
      <c r="K1118" s="169"/>
      <c r="L1118" s="207"/>
    </row>
    <row r="1119">
      <c r="A1119" s="203"/>
      <c r="B1119" s="204"/>
      <c r="C1119" s="205"/>
      <c r="D1119" s="205"/>
      <c r="E1119" s="276"/>
      <c r="F1119" s="166"/>
      <c r="G1119" s="167"/>
      <c r="H1119" s="213"/>
      <c r="I1119" s="167"/>
      <c r="J1119" s="168"/>
      <c r="K1119" s="169"/>
      <c r="L1119" s="207"/>
    </row>
    <row r="1120">
      <c r="A1120" s="203"/>
      <c r="B1120" s="204"/>
      <c r="C1120" s="205"/>
      <c r="D1120" s="205"/>
      <c r="E1120" s="276"/>
      <c r="F1120" s="166"/>
      <c r="G1120" s="167"/>
      <c r="H1120" s="213"/>
      <c r="I1120" s="167"/>
      <c r="J1120" s="168"/>
      <c r="K1120" s="169"/>
      <c r="L1120" s="207"/>
    </row>
    <row r="1121">
      <c r="A1121" s="203"/>
      <c r="B1121" s="204"/>
      <c r="C1121" s="205"/>
      <c r="D1121" s="205"/>
      <c r="E1121" s="276"/>
      <c r="F1121" s="166"/>
      <c r="G1121" s="167"/>
      <c r="H1121" s="213"/>
      <c r="I1121" s="167"/>
      <c r="J1121" s="168"/>
      <c r="K1121" s="169"/>
      <c r="L1121" s="207"/>
    </row>
    <row r="1122">
      <c r="A1122" s="203"/>
      <c r="B1122" s="204"/>
      <c r="C1122" s="205"/>
      <c r="D1122" s="205"/>
      <c r="E1122" s="276"/>
      <c r="F1122" s="166"/>
      <c r="G1122" s="167"/>
      <c r="H1122" s="213"/>
      <c r="I1122" s="167"/>
      <c r="J1122" s="168"/>
      <c r="K1122" s="169"/>
      <c r="L1122" s="207"/>
    </row>
    <row r="1123">
      <c r="A1123" s="203"/>
      <c r="B1123" s="204"/>
      <c r="C1123" s="205"/>
      <c r="D1123" s="205"/>
      <c r="E1123" s="276"/>
      <c r="F1123" s="166"/>
      <c r="G1123" s="167"/>
      <c r="H1123" s="213"/>
      <c r="I1123" s="167"/>
      <c r="J1123" s="168"/>
      <c r="K1123" s="169"/>
      <c r="L1123" s="207"/>
    </row>
    <row r="1124">
      <c r="A1124" s="203"/>
      <c r="B1124" s="204"/>
      <c r="C1124" s="205"/>
      <c r="D1124" s="205"/>
      <c r="E1124" s="276"/>
      <c r="F1124" s="166"/>
      <c r="G1124" s="167"/>
      <c r="H1124" s="213"/>
      <c r="I1124" s="167"/>
      <c r="J1124" s="168"/>
      <c r="K1124" s="169"/>
      <c r="L1124" s="207"/>
    </row>
    <row r="1125">
      <c r="A1125" s="203"/>
      <c r="B1125" s="204"/>
      <c r="C1125" s="205"/>
      <c r="D1125" s="205"/>
      <c r="E1125" s="276"/>
      <c r="F1125" s="166"/>
      <c r="G1125" s="167"/>
      <c r="H1125" s="213"/>
      <c r="I1125" s="167"/>
      <c r="J1125" s="168"/>
      <c r="K1125" s="169"/>
      <c r="L1125" s="207"/>
    </row>
    <row r="1126">
      <c r="A1126" s="203"/>
      <c r="B1126" s="204"/>
      <c r="C1126" s="205"/>
      <c r="D1126" s="205"/>
      <c r="E1126" s="276"/>
      <c r="F1126" s="166"/>
      <c r="G1126" s="167"/>
      <c r="H1126" s="213"/>
      <c r="I1126" s="167"/>
      <c r="J1126" s="168"/>
      <c r="K1126" s="169"/>
      <c r="L1126" s="207"/>
    </row>
    <row r="1127">
      <c r="A1127" s="203"/>
      <c r="B1127" s="204"/>
      <c r="C1127" s="205"/>
      <c r="D1127" s="205"/>
      <c r="E1127" s="276"/>
      <c r="F1127" s="166"/>
      <c r="G1127" s="167"/>
      <c r="H1127" s="213"/>
      <c r="I1127" s="167"/>
      <c r="J1127" s="168"/>
      <c r="K1127" s="169"/>
      <c r="L1127" s="207"/>
    </row>
    <row r="1128">
      <c r="A1128" s="203"/>
      <c r="B1128" s="204"/>
      <c r="C1128" s="205"/>
      <c r="D1128" s="205"/>
      <c r="E1128" s="276"/>
      <c r="F1128" s="166"/>
      <c r="G1128" s="167"/>
      <c r="H1128" s="213"/>
      <c r="I1128" s="167"/>
      <c r="J1128" s="168"/>
      <c r="K1128" s="169"/>
      <c r="L1128" s="207"/>
    </row>
    <row r="1129">
      <c r="A1129" s="203"/>
      <c r="B1129" s="204"/>
      <c r="C1129" s="205"/>
      <c r="D1129" s="205"/>
      <c r="E1129" s="276"/>
      <c r="F1129" s="166"/>
      <c r="G1129" s="167"/>
      <c r="H1129" s="213"/>
      <c r="I1129" s="167"/>
      <c r="J1129" s="168"/>
      <c r="K1129" s="169"/>
      <c r="L1129" s="207"/>
    </row>
    <row r="1130">
      <c r="A1130" s="203"/>
      <c r="B1130" s="204"/>
      <c r="C1130" s="205"/>
      <c r="D1130" s="205"/>
      <c r="E1130" s="276"/>
      <c r="F1130" s="166"/>
      <c r="G1130" s="167"/>
      <c r="H1130" s="213"/>
      <c r="I1130" s="167"/>
      <c r="J1130" s="168"/>
      <c r="K1130" s="169"/>
      <c r="L1130" s="207"/>
    </row>
    <row r="1131">
      <c r="A1131" s="203"/>
      <c r="B1131" s="204"/>
      <c r="C1131" s="205"/>
      <c r="D1131" s="205"/>
      <c r="E1131" s="276"/>
      <c r="F1131" s="166"/>
      <c r="G1131" s="167"/>
      <c r="H1131" s="213"/>
      <c r="I1131" s="167"/>
      <c r="J1131" s="168"/>
      <c r="K1131" s="169"/>
      <c r="L1131" s="207"/>
    </row>
    <row r="1132">
      <c r="A1132" s="203"/>
      <c r="B1132" s="204"/>
      <c r="C1132" s="205"/>
      <c r="D1132" s="205"/>
      <c r="E1132" s="276"/>
      <c r="F1132" s="166"/>
      <c r="G1132" s="167"/>
      <c r="H1132" s="213"/>
      <c r="I1132" s="167"/>
      <c r="J1132" s="168"/>
      <c r="K1132" s="169"/>
      <c r="L1132" s="207"/>
    </row>
    <row r="1133">
      <c r="A1133" s="203"/>
      <c r="B1133" s="204"/>
      <c r="C1133" s="205"/>
      <c r="D1133" s="205"/>
      <c r="E1133" s="276"/>
      <c r="F1133" s="166"/>
      <c r="G1133" s="167"/>
      <c r="H1133" s="213"/>
      <c r="I1133" s="167"/>
      <c r="J1133" s="168"/>
      <c r="K1133" s="169"/>
      <c r="L1133" s="207"/>
    </row>
    <row r="1134">
      <c r="A1134" s="203"/>
      <c r="B1134" s="204"/>
      <c r="C1134" s="205"/>
      <c r="D1134" s="205"/>
      <c r="E1134" s="276"/>
      <c r="F1134" s="166"/>
      <c r="G1134" s="167"/>
      <c r="H1134" s="213"/>
      <c r="I1134" s="167"/>
      <c r="J1134" s="168"/>
      <c r="K1134" s="169"/>
      <c r="L1134" s="207"/>
    </row>
    <row r="1135">
      <c r="A1135" s="203"/>
      <c r="B1135" s="204"/>
      <c r="C1135" s="205"/>
      <c r="D1135" s="205"/>
      <c r="E1135" s="276"/>
      <c r="F1135" s="166"/>
      <c r="G1135" s="167"/>
      <c r="H1135" s="213"/>
      <c r="I1135" s="167"/>
      <c r="J1135" s="168"/>
      <c r="K1135" s="169"/>
      <c r="L1135" s="207"/>
    </row>
    <row r="1136">
      <c r="A1136" s="203"/>
      <c r="B1136" s="204"/>
      <c r="C1136" s="205"/>
      <c r="D1136" s="205"/>
      <c r="E1136" s="276"/>
      <c r="F1136" s="166"/>
      <c r="G1136" s="167"/>
      <c r="H1136" s="213"/>
      <c r="I1136" s="167"/>
      <c r="J1136" s="168"/>
      <c r="K1136" s="169"/>
      <c r="L1136" s="207"/>
    </row>
    <row r="1137">
      <c r="A1137" s="203"/>
      <c r="B1137" s="204"/>
      <c r="C1137" s="205"/>
      <c r="D1137" s="205"/>
      <c r="E1137" s="276"/>
      <c r="F1137" s="166"/>
      <c r="G1137" s="167"/>
      <c r="H1137" s="213"/>
      <c r="I1137" s="167"/>
      <c r="J1137" s="168"/>
      <c r="K1137" s="169"/>
      <c r="L1137" s="207"/>
    </row>
    <row r="1138">
      <c r="A1138" s="203"/>
      <c r="B1138" s="204"/>
      <c r="C1138" s="205"/>
      <c r="D1138" s="205"/>
      <c r="E1138" s="276"/>
      <c r="F1138" s="166"/>
      <c r="G1138" s="167"/>
      <c r="H1138" s="213"/>
      <c r="I1138" s="167"/>
      <c r="J1138" s="168"/>
      <c r="K1138" s="169"/>
      <c r="L1138" s="207"/>
    </row>
    <row r="1139">
      <c r="A1139" s="203"/>
      <c r="B1139" s="204"/>
      <c r="C1139" s="205"/>
      <c r="D1139" s="205"/>
      <c r="E1139" s="276"/>
      <c r="F1139" s="166"/>
      <c r="G1139" s="167"/>
      <c r="H1139" s="213"/>
      <c r="I1139" s="167"/>
      <c r="J1139" s="168"/>
      <c r="K1139" s="169"/>
      <c r="L1139" s="207"/>
    </row>
    <row r="1140">
      <c r="A1140" s="203"/>
      <c r="B1140" s="204"/>
      <c r="C1140" s="205"/>
      <c r="D1140" s="205"/>
      <c r="E1140" s="276"/>
      <c r="F1140" s="166"/>
      <c r="G1140" s="167"/>
      <c r="H1140" s="213"/>
      <c r="I1140" s="167"/>
      <c r="J1140" s="168"/>
      <c r="K1140" s="169"/>
      <c r="L1140" s="207"/>
    </row>
    <row r="1141">
      <c r="A1141" s="203"/>
      <c r="B1141" s="204"/>
      <c r="C1141" s="205"/>
      <c r="D1141" s="205"/>
      <c r="E1141" s="276"/>
      <c r="F1141" s="166"/>
      <c r="G1141" s="167"/>
      <c r="H1141" s="213"/>
      <c r="I1141" s="167"/>
      <c r="J1141" s="168"/>
      <c r="K1141" s="169"/>
      <c r="L1141" s="207"/>
    </row>
    <row r="1142">
      <c r="A1142" s="203"/>
      <c r="B1142" s="204"/>
      <c r="C1142" s="205"/>
      <c r="D1142" s="205"/>
      <c r="E1142" s="276"/>
      <c r="F1142" s="166"/>
      <c r="G1142" s="167"/>
      <c r="H1142" s="213"/>
      <c r="I1142" s="167"/>
      <c r="J1142" s="168"/>
      <c r="K1142" s="169"/>
      <c r="L1142" s="207"/>
    </row>
    <row r="1143">
      <c r="A1143" s="203"/>
      <c r="B1143" s="204"/>
      <c r="C1143" s="205"/>
      <c r="D1143" s="205"/>
      <c r="E1143" s="276"/>
      <c r="F1143" s="166"/>
      <c r="G1143" s="167"/>
      <c r="H1143" s="213"/>
      <c r="I1143" s="167"/>
      <c r="J1143" s="168"/>
      <c r="K1143" s="169"/>
      <c r="L1143" s="207"/>
    </row>
    <row r="1144">
      <c r="A1144" s="203"/>
      <c r="B1144" s="204"/>
      <c r="C1144" s="205"/>
      <c r="D1144" s="205"/>
      <c r="E1144" s="276"/>
      <c r="F1144" s="166"/>
      <c r="G1144" s="167"/>
      <c r="H1144" s="213"/>
      <c r="I1144" s="167"/>
      <c r="J1144" s="168"/>
      <c r="K1144" s="169"/>
      <c r="L1144" s="207"/>
    </row>
    <row r="1145">
      <c r="A1145" s="203"/>
      <c r="B1145" s="204"/>
      <c r="C1145" s="205"/>
      <c r="D1145" s="205"/>
      <c r="E1145" s="276"/>
      <c r="F1145" s="166"/>
      <c r="G1145" s="167"/>
      <c r="H1145" s="213"/>
      <c r="I1145" s="167"/>
      <c r="J1145" s="168"/>
      <c r="K1145" s="169"/>
      <c r="L1145" s="207"/>
    </row>
    <row r="1146">
      <c r="A1146" s="203"/>
      <c r="B1146" s="204"/>
      <c r="C1146" s="205"/>
      <c r="D1146" s="205"/>
      <c r="E1146" s="276"/>
      <c r="F1146" s="166"/>
      <c r="G1146" s="167"/>
      <c r="H1146" s="213"/>
      <c r="I1146" s="167"/>
      <c r="J1146" s="168"/>
      <c r="K1146" s="169"/>
      <c r="L1146" s="207"/>
    </row>
    <row r="1147">
      <c r="A1147" s="203"/>
      <c r="B1147" s="204"/>
      <c r="C1147" s="205"/>
      <c r="D1147" s="205"/>
      <c r="E1147" s="276"/>
      <c r="F1147" s="166"/>
      <c r="G1147" s="167"/>
      <c r="H1147" s="213"/>
      <c r="I1147" s="167"/>
      <c r="J1147" s="168"/>
      <c r="K1147" s="169"/>
      <c r="L1147" s="207"/>
    </row>
    <row r="1148">
      <c r="A1148" s="203"/>
      <c r="B1148" s="204"/>
      <c r="C1148" s="205"/>
      <c r="D1148" s="205"/>
      <c r="E1148" s="276"/>
      <c r="F1148" s="166"/>
      <c r="G1148" s="167"/>
      <c r="H1148" s="213"/>
      <c r="I1148" s="167"/>
      <c r="J1148" s="168"/>
      <c r="K1148" s="169"/>
      <c r="L1148" s="207"/>
    </row>
    <row r="1149">
      <c r="A1149" s="203"/>
      <c r="B1149" s="204"/>
      <c r="C1149" s="205"/>
      <c r="D1149" s="205"/>
      <c r="E1149" s="276"/>
      <c r="F1149" s="166"/>
      <c r="G1149" s="167"/>
      <c r="H1149" s="213"/>
      <c r="I1149" s="167"/>
      <c r="J1149" s="168"/>
      <c r="K1149" s="169"/>
      <c r="L1149" s="207"/>
    </row>
    <row r="1150">
      <c r="A1150" s="203"/>
      <c r="B1150" s="204"/>
      <c r="C1150" s="205"/>
      <c r="D1150" s="205"/>
      <c r="E1150" s="276"/>
      <c r="F1150" s="166"/>
      <c r="G1150" s="167"/>
      <c r="H1150" s="213"/>
      <c r="I1150" s="167"/>
      <c r="J1150" s="168"/>
      <c r="K1150" s="169"/>
      <c r="L1150" s="207"/>
    </row>
    <row r="1151">
      <c r="A1151" s="203"/>
      <c r="B1151" s="204"/>
      <c r="C1151" s="205"/>
      <c r="D1151" s="205"/>
      <c r="E1151" s="276"/>
      <c r="F1151" s="166"/>
      <c r="G1151" s="167"/>
      <c r="H1151" s="213"/>
      <c r="I1151" s="167"/>
      <c r="J1151" s="168"/>
      <c r="K1151" s="169"/>
      <c r="L1151" s="207"/>
    </row>
    <row r="1152">
      <c r="A1152" s="203"/>
      <c r="B1152" s="204"/>
      <c r="C1152" s="205"/>
      <c r="D1152" s="205"/>
      <c r="E1152" s="276"/>
      <c r="F1152" s="166"/>
      <c r="G1152" s="167"/>
      <c r="H1152" s="213"/>
      <c r="I1152" s="167"/>
      <c r="J1152" s="168"/>
      <c r="K1152" s="169"/>
      <c r="L1152" s="207"/>
    </row>
    <row r="1153">
      <c r="A1153" s="203"/>
      <c r="B1153" s="204"/>
      <c r="C1153" s="205"/>
      <c r="D1153" s="205"/>
      <c r="E1153" s="276"/>
      <c r="F1153" s="166"/>
      <c r="G1153" s="167"/>
      <c r="H1153" s="213"/>
      <c r="I1153" s="167"/>
      <c r="J1153" s="168"/>
      <c r="K1153" s="169"/>
      <c r="L1153" s="207"/>
    </row>
    <row r="1154">
      <c r="A1154" s="203"/>
      <c r="B1154" s="204"/>
      <c r="C1154" s="205"/>
      <c r="D1154" s="205"/>
      <c r="E1154" s="276"/>
      <c r="F1154" s="166"/>
      <c r="G1154" s="167"/>
      <c r="H1154" s="213"/>
      <c r="I1154" s="167"/>
      <c r="J1154" s="168"/>
      <c r="K1154" s="169"/>
      <c r="L1154" s="207"/>
    </row>
    <row r="1155">
      <c r="A1155" s="203"/>
      <c r="B1155" s="204"/>
      <c r="C1155" s="205"/>
      <c r="D1155" s="205"/>
      <c r="E1155" s="276"/>
      <c r="F1155" s="166"/>
      <c r="G1155" s="167"/>
      <c r="H1155" s="213"/>
      <c r="I1155" s="167"/>
      <c r="J1155" s="168"/>
      <c r="K1155" s="169"/>
      <c r="L1155" s="207"/>
    </row>
    <row r="1156">
      <c r="A1156" s="203"/>
      <c r="B1156" s="204"/>
      <c r="C1156" s="205"/>
      <c r="D1156" s="205"/>
      <c r="E1156" s="276"/>
      <c r="F1156" s="166"/>
      <c r="G1156" s="167"/>
      <c r="H1156" s="213"/>
      <c r="I1156" s="167"/>
      <c r="J1156" s="168"/>
      <c r="K1156" s="169"/>
      <c r="L1156" s="207"/>
    </row>
    <row r="1157">
      <c r="A1157" s="203"/>
      <c r="B1157" s="204"/>
      <c r="C1157" s="205"/>
      <c r="D1157" s="205"/>
      <c r="E1157" s="276"/>
      <c r="F1157" s="166"/>
      <c r="G1157" s="167"/>
      <c r="H1157" s="213"/>
      <c r="I1157" s="167"/>
      <c r="J1157" s="168"/>
      <c r="K1157" s="169"/>
      <c r="L1157" s="207"/>
    </row>
    <row r="1158">
      <c r="A1158" s="203"/>
      <c r="B1158" s="204"/>
      <c r="C1158" s="205"/>
      <c r="D1158" s="205"/>
      <c r="E1158" s="276"/>
      <c r="F1158" s="166"/>
      <c r="G1158" s="167"/>
      <c r="H1158" s="213"/>
      <c r="I1158" s="167"/>
      <c r="J1158" s="168"/>
      <c r="K1158" s="169"/>
      <c r="L1158" s="207"/>
    </row>
    <row r="1159">
      <c r="A1159" s="203"/>
      <c r="B1159" s="204"/>
      <c r="C1159" s="205"/>
      <c r="D1159" s="205"/>
      <c r="E1159" s="276"/>
      <c r="F1159" s="166"/>
      <c r="G1159" s="167"/>
      <c r="H1159" s="213"/>
      <c r="I1159" s="167"/>
      <c r="J1159" s="168"/>
      <c r="K1159" s="169"/>
      <c r="L1159" s="207"/>
    </row>
    <row r="1160">
      <c r="A1160" s="203"/>
      <c r="B1160" s="204"/>
      <c r="C1160" s="205"/>
      <c r="D1160" s="205"/>
      <c r="E1160" s="276"/>
      <c r="F1160" s="166"/>
      <c r="G1160" s="167"/>
      <c r="H1160" s="213"/>
      <c r="I1160" s="167"/>
      <c r="J1160" s="168"/>
      <c r="K1160" s="169"/>
      <c r="L1160" s="207"/>
    </row>
    <row r="1161">
      <c r="A1161" s="203"/>
      <c r="B1161" s="204"/>
      <c r="C1161" s="205"/>
      <c r="D1161" s="205"/>
      <c r="E1161" s="276"/>
      <c r="F1161" s="166"/>
      <c r="G1161" s="167"/>
      <c r="H1161" s="213"/>
      <c r="I1161" s="167"/>
      <c r="J1161" s="168"/>
      <c r="K1161" s="169"/>
      <c r="L1161" s="207"/>
    </row>
    <row r="1162">
      <c r="A1162" s="203"/>
      <c r="B1162" s="204"/>
      <c r="C1162" s="205"/>
      <c r="D1162" s="205"/>
      <c r="E1162" s="276"/>
      <c r="F1162" s="166"/>
      <c r="G1162" s="167"/>
      <c r="H1162" s="213"/>
      <c r="I1162" s="167"/>
      <c r="J1162" s="168"/>
      <c r="K1162" s="169"/>
      <c r="L1162" s="207"/>
    </row>
    <row r="1163">
      <c r="A1163" s="203"/>
      <c r="B1163" s="204"/>
      <c r="C1163" s="205"/>
      <c r="D1163" s="205"/>
      <c r="E1163" s="276"/>
      <c r="F1163" s="166"/>
      <c r="G1163" s="167"/>
      <c r="H1163" s="213"/>
      <c r="I1163" s="167"/>
      <c r="J1163" s="168"/>
      <c r="K1163" s="169"/>
      <c r="L1163" s="207"/>
    </row>
    <row r="1164">
      <c r="A1164" s="203"/>
      <c r="B1164" s="204"/>
      <c r="C1164" s="205"/>
      <c r="D1164" s="205"/>
      <c r="E1164" s="276"/>
      <c r="F1164" s="166"/>
      <c r="G1164" s="167"/>
      <c r="H1164" s="213"/>
      <c r="I1164" s="167"/>
      <c r="J1164" s="168"/>
      <c r="K1164" s="169"/>
      <c r="L1164" s="207"/>
    </row>
    <row r="1165">
      <c r="A1165" s="203"/>
      <c r="B1165" s="204"/>
      <c r="C1165" s="205"/>
      <c r="D1165" s="205"/>
      <c r="E1165" s="276"/>
      <c r="F1165" s="166"/>
      <c r="G1165" s="167"/>
      <c r="H1165" s="213"/>
      <c r="I1165" s="167"/>
      <c r="J1165" s="168"/>
      <c r="K1165" s="169"/>
      <c r="L1165" s="207"/>
    </row>
    <row r="1166">
      <c r="A1166" s="203"/>
      <c r="B1166" s="204"/>
      <c r="C1166" s="205"/>
      <c r="D1166" s="205"/>
      <c r="E1166" s="276"/>
      <c r="F1166" s="166"/>
      <c r="G1166" s="167"/>
      <c r="H1166" s="213"/>
      <c r="I1166" s="167"/>
      <c r="J1166" s="168"/>
      <c r="K1166" s="169"/>
      <c r="L1166" s="207"/>
    </row>
    <row r="1167">
      <c r="A1167" s="203"/>
      <c r="B1167" s="204"/>
      <c r="C1167" s="205"/>
      <c r="D1167" s="205"/>
      <c r="E1167" s="276"/>
      <c r="F1167" s="166"/>
      <c r="G1167" s="167"/>
      <c r="H1167" s="213"/>
      <c r="I1167" s="167"/>
      <c r="J1167" s="168"/>
      <c r="K1167" s="169"/>
      <c r="L1167" s="207"/>
    </row>
    <row r="1168">
      <c r="A1168" s="203"/>
      <c r="B1168" s="204"/>
      <c r="C1168" s="205"/>
      <c r="D1168" s="205"/>
      <c r="E1168" s="276"/>
      <c r="F1168" s="166"/>
      <c r="G1168" s="167"/>
      <c r="H1168" s="213"/>
      <c r="I1168" s="167"/>
      <c r="J1168" s="168"/>
      <c r="K1168" s="169"/>
      <c r="L1168" s="207"/>
    </row>
    <row r="1169">
      <c r="A1169" s="203"/>
      <c r="B1169" s="204"/>
      <c r="C1169" s="205"/>
      <c r="D1169" s="205"/>
      <c r="E1169" s="276"/>
      <c r="F1169" s="166"/>
      <c r="G1169" s="167"/>
      <c r="H1169" s="213"/>
      <c r="I1169" s="167"/>
      <c r="J1169" s="168"/>
      <c r="K1169" s="169"/>
      <c r="L1169" s="207"/>
    </row>
    <row r="1170">
      <c r="A1170" s="203"/>
      <c r="B1170" s="204"/>
      <c r="C1170" s="205"/>
      <c r="D1170" s="205"/>
      <c r="E1170" s="276"/>
      <c r="F1170" s="166"/>
      <c r="G1170" s="167"/>
      <c r="H1170" s="213"/>
      <c r="I1170" s="167"/>
      <c r="J1170" s="168"/>
      <c r="K1170" s="169"/>
      <c r="L1170" s="207"/>
    </row>
    <row r="1171">
      <c r="A1171" s="203"/>
      <c r="B1171" s="204"/>
      <c r="C1171" s="205"/>
      <c r="D1171" s="205"/>
      <c r="E1171" s="276"/>
      <c r="F1171" s="166"/>
      <c r="G1171" s="167"/>
      <c r="H1171" s="213"/>
      <c r="I1171" s="167"/>
      <c r="J1171" s="168"/>
      <c r="K1171" s="169"/>
      <c r="L1171" s="207"/>
    </row>
    <row r="1172">
      <c r="A1172" s="203"/>
      <c r="B1172" s="204"/>
      <c r="C1172" s="205"/>
      <c r="D1172" s="205"/>
      <c r="E1172" s="276"/>
      <c r="F1172" s="166"/>
      <c r="G1172" s="167"/>
      <c r="H1172" s="213"/>
      <c r="I1172" s="167"/>
      <c r="J1172" s="168"/>
      <c r="K1172" s="169"/>
      <c r="L1172" s="207"/>
    </row>
    <row r="1173">
      <c r="A1173" s="203"/>
      <c r="B1173" s="204"/>
      <c r="C1173" s="205"/>
      <c r="D1173" s="205"/>
      <c r="E1173" s="276"/>
      <c r="F1173" s="166"/>
      <c r="G1173" s="167"/>
      <c r="H1173" s="213"/>
      <c r="I1173" s="167"/>
      <c r="J1173" s="168"/>
      <c r="K1173" s="169"/>
      <c r="L1173" s="207"/>
    </row>
    <row r="1174">
      <c r="A1174" s="203"/>
      <c r="B1174" s="204"/>
      <c r="C1174" s="205"/>
      <c r="D1174" s="205"/>
      <c r="E1174" s="276"/>
      <c r="F1174" s="166"/>
      <c r="G1174" s="167"/>
      <c r="H1174" s="213"/>
      <c r="I1174" s="167"/>
      <c r="J1174" s="168"/>
      <c r="K1174" s="169"/>
      <c r="L1174" s="207"/>
    </row>
    <row r="1175">
      <c r="A1175" s="203"/>
      <c r="B1175" s="204"/>
      <c r="C1175" s="205"/>
      <c r="D1175" s="205"/>
      <c r="E1175" s="276"/>
      <c r="F1175" s="166"/>
      <c r="G1175" s="167"/>
      <c r="H1175" s="213"/>
      <c r="I1175" s="167"/>
      <c r="J1175" s="168"/>
      <c r="K1175" s="169"/>
      <c r="L1175" s="207"/>
    </row>
    <row r="1176">
      <c r="A1176" s="203"/>
      <c r="B1176" s="204"/>
      <c r="C1176" s="205"/>
      <c r="D1176" s="205"/>
      <c r="E1176" s="276"/>
      <c r="F1176" s="166"/>
      <c r="G1176" s="167"/>
      <c r="H1176" s="213"/>
      <c r="I1176" s="167"/>
      <c r="J1176" s="168"/>
      <c r="K1176" s="169"/>
      <c r="L1176" s="207"/>
    </row>
    <row r="1177">
      <c r="A1177" s="203"/>
      <c r="B1177" s="204"/>
      <c r="C1177" s="205"/>
      <c r="D1177" s="205"/>
      <c r="E1177" s="276"/>
      <c r="F1177" s="166"/>
      <c r="G1177" s="167"/>
      <c r="H1177" s="213"/>
      <c r="I1177" s="167"/>
      <c r="J1177" s="168"/>
      <c r="K1177" s="169"/>
      <c r="L1177" s="207"/>
    </row>
    <row r="1178">
      <c r="A1178" s="203"/>
      <c r="B1178" s="204"/>
      <c r="C1178" s="205"/>
      <c r="D1178" s="205"/>
      <c r="E1178" s="276"/>
      <c r="F1178" s="166"/>
      <c r="G1178" s="167"/>
      <c r="H1178" s="213"/>
      <c r="I1178" s="167"/>
      <c r="J1178" s="168"/>
      <c r="K1178" s="169"/>
      <c r="L1178" s="207"/>
    </row>
    <row r="1179">
      <c r="A1179" s="203"/>
      <c r="B1179" s="204"/>
      <c r="C1179" s="205"/>
      <c r="D1179" s="205"/>
      <c r="E1179" s="276"/>
      <c r="F1179" s="166"/>
      <c r="G1179" s="167"/>
      <c r="H1179" s="213"/>
      <c r="I1179" s="167"/>
      <c r="J1179" s="168"/>
      <c r="K1179" s="169"/>
      <c r="L1179" s="207"/>
    </row>
    <row r="1180">
      <c r="A1180" s="203"/>
      <c r="B1180" s="204"/>
      <c r="C1180" s="205"/>
      <c r="D1180" s="205"/>
      <c r="E1180" s="276"/>
      <c r="F1180" s="166"/>
      <c r="G1180" s="167"/>
      <c r="H1180" s="213"/>
      <c r="I1180" s="167"/>
      <c r="J1180" s="168"/>
      <c r="K1180" s="169"/>
      <c r="L1180" s="207"/>
    </row>
    <row r="1181">
      <c r="A1181" s="203"/>
      <c r="B1181" s="204"/>
      <c r="C1181" s="205"/>
      <c r="D1181" s="205"/>
      <c r="E1181" s="276"/>
      <c r="F1181" s="166"/>
      <c r="G1181" s="167"/>
      <c r="H1181" s="213"/>
      <c r="I1181" s="167"/>
      <c r="J1181" s="168"/>
      <c r="K1181" s="169"/>
      <c r="L1181" s="207"/>
    </row>
    <row r="1182">
      <c r="A1182" s="203"/>
      <c r="B1182" s="204"/>
      <c r="C1182" s="205"/>
      <c r="D1182" s="205"/>
      <c r="E1182" s="276"/>
      <c r="F1182" s="166"/>
      <c r="G1182" s="167"/>
      <c r="H1182" s="213"/>
      <c r="I1182" s="167"/>
      <c r="J1182" s="168"/>
      <c r="K1182" s="169"/>
      <c r="L1182" s="207"/>
    </row>
    <row r="1183">
      <c r="A1183" s="203"/>
      <c r="B1183" s="204"/>
      <c r="C1183" s="205"/>
      <c r="D1183" s="205"/>
      <c r="E1183" s="276"/>
      <c r="F1183" s="166"/>
      <c r="G1183" s="167"/>
      <c r="H1183" s="213"/>
      <c r="I1183" s="167"/>
      <c r="J1183" s="168"/>
      <c r="K1183" s="169"/>
      <c r="L1183" s="207"/>
    </row>
    <row r="1184">
      <c r="A1184" s="203"/>
      <c r="B1184" s="204"/>
      <c r="C1184" s="205"/>
      <c r="D1184" s="205"/>
      <c r="E1184" s="276"/>
      <c r="F1184" s="166"/>
      <c r="G1184" s="167"/>
      <c r="H1184" s="213"/>
      <c r="I1184" s="167"/>
      <c r="J1184" s="168"/>
      <c r="K1184" s="169"/>
      <c r="L1184" s="207"/>
    </row>
    <row r="1185">
      <c r="A1185" s="203"/>
      <c r="B1185" s="204"/>
      <c r="C1185" s="205"/>
      <c r="D1185" s="205"/>
      <c r="E1185" s="276"/>
      <c r="F1185" s="166"/>
      <c r="G1185" s="167"/>
      <c r="H1185" s="213"/>
      <c r="I1185" s="167"/>
      <c r="J1185" s="168"/>
      <c r="K1185" s="169"/>
      <c r="L1185" s="207"/>
    </row>
    <row r="1186">
      <c r="A1186" s="203"/>
      <c r="B1186" s="204"/>
      <c r="C1186" s="205"/>
      <c r="D1186" s="205"/>
      <c r="E1186" s="276"/>
      <c r="F1186" s="166"/>
      <c r="G1186" s="167"/>
      <c r="H1186" s="213"/>
      <c r="I1186" s="167"/>
      <c r="J1186" s="168"/>
      <c r="K1186" s="169"/>
      <c r="L1186" s="207"/>
    </row>
    <row r="1187">
      <c r="A1187" s="203"/>
      <c r="B1187" s="204"/>
      <c r="C1187" s="205"/>
      <c r="D1187" s="205"/>
      <c r="E1187" s="276"/>
      <c r="F1187" s="166"/>
      <c r="G1187" s="167"/>
      <c r="H1187" s="213"/>
      <c r="I1187" s="167"/>
      <c r="J1187" s="168"/>
      <c r="K1187" s="169"/>
      <c r="L1187" s="207"/>
    </row>
    <row r="1188">
      <c r="A1188" s="203"/>
      <c r="B1188" s="204"/>
      <c r="C1188" s="205"/>
      <c r="D1188" s="205"/>
      <c r="E1188" s="276"/>
      <c r="F1188" s="166"/>
      <c r="G1188" s="167"/>
      <c r="H1188" s="213"/>
      <c r="I1188" s="167"/>
      <c r="J1188" s="168"/>
      <c r="K1188" s="169"/>
      <c r="L1188" s="207"/>
    </row>
    <row r="1189">
      <c r="A1189" s="203"/>
      <c r="B1189" s="204"/>
      <c r="C1189" s="205"/>
      <c r="D1189" s="205"/>
      <c r="E1189" s="276"/>
      <c r="F1189" s="166"/>
      <c r="G1189" s="167"/>
      <c r="H1189" s="213"/>
      <c r="I1189" s="167"/>
      <c r="J1189" s="168"/>
      <c r="K1189" s="169"/>
      <c r="L1189" s="207"/>
    </row>
    <row r="1190">
      <c r="A1190" s="203"/>
      <c r="B1190" s="204"/>
      <c r="C1190" s="205"/>
      <c r="D1190" s="205"/>
      <c r="E1190" s="276"/>
      <c r="F1190" s="166"/>
      <c r="G1190" s="167"/>
      <c r="H1190" s="213"/>
      <c r="I1190" s="167"/>
      <c r="J1190" s="168"/>
      <c r="K1190" s="169"/>
      <c r="L1190" s="207"/>
    </row>
    <row r="1191">
      <c r="A1191" s="203"/>
      <c r="B1191" s="204"/>
      <c r="C1191" s="205"/>
      <c r="D1191" s="205"/>
      <c r="E1191" s="276"/>
      <c r="F1191" s="166"/>
      <c r="G1191" s="167"/>
      <c r="H1191" s="213"/>
      <c r="I1191" s="167"/>
      <c r="J1191" s="168"/>
      <c r="K1191" s="169"/>
      <c r="L1191" s="207"/>
    </row>
    <row r="1192">
      <c r="A1192" s="203"/>
      <c r="B1192" s="204"/>
      <c r="C1192" s="205"/>
      <c r="D1192" s="205"/>
      <c r="E1192" s="276"/>
      <c r="F1192" s="166"/>
      <c r="G1192" s="167"/>
      <c r="H1192" s="213"/>
      <c r="I1192" s="167"/>
      <c r="J1192" s="168"/>
      <c r="K1192" s="169"/>
      <c r="L1192" s="207"/>
    </row>
    <row r="1193">
      <c r="A1193" s="203"/>
      <c r="B1193" s="204"/>
      <c r="C1193" s="205"/>
      <c r="D1193" s="205"/>
      <c r="E1193" s="276"/>
      <c r="F1193" s="166"/>
      <c r="G1193" s="167"/>
      <c r="H1193" s="213"/>
      <c r="I1193" s="167"/>
      <c r="J1193" s="168"/>
      <c r="K1193" s="169"/>
      <c r="L1193" s="207"/>
    </row>
    <row r="1194">
      <c r="A1194" s="203"/>
      <c r="B1194" s="204"/>
      <c r="C1194" s="205"/>
      <c r="D1194" s="205"/>
      <c r="E1194" s="276"/>
      <c r="F1194" s="166"/>
      <c r="G1194" s="167"/>
      <c r="H1194" s="213"/>
      <c r="I1194" s="167"/>
      <c r="J1194" s="168"/>
      <c r="K1194" s="169"/>
      <c r="L1194" s="207"/>
    </row>
    <row r="1195">
      <c r="A1195" s="203"/>
      <c r="B1195" s="204"/>
      <c r="C1195" s="205"/>
      <c r="D1195" s="205"/>
      <c r="E1195" s="276"/>
      <c r="F1195" s="166"/>
      <c r="G1195" s="167"/>
      <c r="H1195" s="213"/>
      <c r="I1195" s="167"/>
      <c r="J1195" s="168"/>
      <c r="K1195" s="169"/>
      <c r="L1195" s="207"/>
    </row>
    <row r="1196">
      <c r="A1196" s="203"/>
      <c r="B1196" s="204"/>
      <c r="C1196" s="205"/>
      <c r="D1196" s="205"/>
      <c r="E1196" s="276"/>
      <c r="F1196" s="166"/>
      <c r="G1196" s="167"/>
      <c r="H1196" s="213"/>
      <c r="I1196" s="167"/>
      <c r="J1196" s="168"/>
      <c r="K1196" s="169"/>
      <c r="L1196" s="207"/>
    </row>
    <row r="1197">
      <c r="A1197" s="203"/>
      <c r="B1197" s="204"/>
      <c r="C1197" s="205"/>
      <c r="D1197" s="205"/>
      <c r="E1197" s="276"/>
      <c r="F1197" s="166"/>
      <c r="G1197" s="167"/>
      <c r="H1197" s="213"/>
      <c r="I1197" s="167"/>
      <c r="J1197" s="168"/>
      <c r="K1197" s="169"/>
      <c r="L1197" s="207"/>
    </row>
    <row r="1198">
      <c r="A1198" s="203"/>
      <c r="B1198" s="204"/>
      <c r="C1198" s="205"/>
      <c r="D1198" s="205"/>
      <c r="E1198" s="276"/>
      <c r="F1198" s="166"/>
      <c r="G1198" s="167"/>
      <c r="H1198" s="213"/>
      <c r="I1198" s="167"/>
      <c r="J1198" s="168"/>
      <c r="K1198" s="169"/>
      <c r="L1198" s="207"/>
    </row>
    <row r="1199">
      <c r="A1199" s="203"/>
      <c r="B1199" s="204"/>
      <c r="C1199" s="205"/>
      <c r="D1199" s="205"/>
      <c r="E1199" s="276"/>
      <c r="F1199" s="166"/>
      <c r="G1199" s="167"/>
      <c r="H1199" s="213"/>
      <c r="I1199" s="167"/>
      <c r="J1199" s="168"/>
      <c r="K1199" s="169"/>
      <c r="L1199" s="207"/>
    </row>
    <row r="1200">
      <c r="A1200" s="203"/>
      <c r="B1200" s="204"/>
      <c r="C1200" s="205"/>
      <c r="D1200" s="205"/>
      <c r="E1200" s="276"/>
      <c r="F1200" s="166"/>
      <c r="G1200" s="167"/>
      <c r="H1200" s="213"/>
      <c r="I1200" s="167"/>
      <c r="J1200" s="168"/>
      <c r="K1200" s="169"/>
      <c r="L1200" s="207"/>
    </row>
    <row r="1201">
      <c r="A1201" s="203"/>
      <c r="B1201" s="204"/>
      <c r="C1201" s="205"/>
      <c r="D1201" s="205"/>
      <c r="E1201" s="276"/>
      <c r="F1201" s="166"/>
      <c r="G1201" s="167"/>
      <c r="H1201" s="213"/>
      <c r="I1201" s="167"/>
      <c r="J1201" s="168"/>
      <c r="K1201" s="169"/>
      <c r="L1201" s="207"/>
    </row>
    <row r="1202">
      <c r="A1202" s="203"/>
      <c r="B1202" s="204"/>
      <c r="C1202" s="205"/>
      <c r="D1202" s="205"/>
      <c r="E1202" s="276"/>
      <c r="F1202" s="166"/>
      <c r="G1202" s="167"/>
      <c r="H1202" s="213"/>
      <c r="I1202" s="167"/>
      <c r="J1202" s="168"/>
      <c r="K1202" s="169"/>
      <c r="L1202" s="207"/>
    </row>
    <row r="1203">
      <c r="A1203" s="203"/>
      <c r="B1203" s="204"/>
      <c r="C1203" s="205"/>
      <c r="D1203" s="205"/>
      <c r="E1203" s="276"/>
      <c r="F1203" s="166"/>
      <c r="G1203" s="167"/>
      <c r="H1203" s="213"/>
      <c r="I1203" s="167"/>
      <c r="J1203" s="168"/>
      <c r="K1203" s="169"/>
      <c r="L1203" s="207"/>
    </row>
    <row r="1204">
      <c r="A1204" s="203"/>
      <c r="B1204" s="204"/>
      <c r="C1204" s="205"/>
      <c r="D1204" s="205"/>
      <c r="E1204" s="276"/>
      <c r="F1204" s="166"/>
      <c r="G1204" s="167"/>
      <c r="H1204" s="213"/>
      <c r="I1204" s="167"/>
      <c r="J1204" s="168"/>
      <c r="K1204" s="169"/>
      <c r="L1204" s="207"/>
    </row>
    <row r="1205">
      <c r="A1205" s="203"/>
      <c r="B1205" s="204"/>
      <c r="C1205" s="205"/>
      <c r="D1205" s="205"/>
      <c r="E1205" s="276"/>
      <c r="F1205" s="166"/>
      <c r="G1205" s="167"/>
      <c r="H1205" s="213"/>
      <c r="I1205" s="167"/>
      <c r="J1205" s="168"/>
      <c r="K1205" s="169"/>
      <c r="L1205" s="207"/>
    </row>
    <row r="1206">
      <c r="A1206" s="203"/>
      <c r="B1206" s="204"/>
      <c r="C1206" s="205"/>
      <c r="D1206" s="205"/>
      <c r="E1206" s="276"/>
      <c r="F1206" s="166"/>
      <c r="G1206" s="167"/>
      <c r="H1206" s="213"/>
      <c r="I1206" s="167"/>
      <c r="J1206" s="168"/>
      <c r="K1206" s="169"/>
      <c r="L1206" s="207"/>
    </row>
    <row r="1207">
      <c r="A1207" s="203"/>
      <c r="B1207" s="204"/>
      <c r="C1207" s="205"/>
      <c r="D1207" s="205"/>
      <c r="E1207" s="276"/>
      <c r="F1207" s="166"/>
      <c r="G1207" s="167"/>
      <c r="H1207" s="213"/>
      <c r="I1207" s="167"/>
      <c r="J1207" s="168"/>
      <c r="K1207" s="169"/>
      <c r="L1207" s="207"/>
    </row>
    <row r="1208">
      <c r="A1208" s="203"/>
      <c r="B1208" s="204"/>
      <c r="C1208" s="205"/>
      <c r="D1208" s="205"/>
      <c r="E1208" s="276"/>
      <c r="F1208" s="166"/>
      <c r="G1208" s="167"/>
      <c r="H1208" s="213"/>
      <c r="I1208" s="167"/>
      <c r="J1208" s="168"/>
      <c r="K1208" s="169"/>
      <c r="L1208" s="207"/>
    </row>
    <row r="1209">
      <c r="A1209" s="203"/>
      <c r="B1209" s="204"/>
      <c r="C1209" s="205"/>
      <c r="D1209" s="205"/>
      <c r="E1209" s="276"/>
      <c r="F1209" s="166"/>
      <c r="G1209" s="167"/>
      <c r="H1209" s="213"/>
      <c r="I1209" s="167"/>
      <c r="J1209" s="168"/>
      <c r="K1209" s="169"/>
      <c r="L1209" s="207"/>
    </row>
    <row r="1210">
      <c r="A1210" s="203"/>
      <c r="B1210" s="204"/>
      <c r="C1210" s="205"/>
      <c r="D1210" s="205"/>
      <c r="E1210" s="276"/>
      <c r="F1210" s="166"/>
      <c r="G1210" s="167"/>
      <c r="H1210" s="213"/>
      <c r="I1210" s="167"/>
      <c r="J1210" s="168"/>
      <c r="K1210" s="169"/>
      <c r="L1210" s="207"/>
    </row>
    <row r="1211">
      <c r="A1211" s="203"/>
      <c r="B1211" s="204"/>
      <c r="C1211" s="205"/>
      <c r="D1211" s="205"/>
      <c r="E1211" s="276"/>
      <c r="F1211" s="166"/>
      <c r="G1211" s="167"/>
      <c r="H1211" s="213"/>
      <c r="I1211" s="167"/>
      <c r="J1211" s="168"/>
      <c r="K1211" s="169"/>
      <c r="L1211" s="207"/>
    </row>
    <row r="1212">
      <c r="A1212" s="203"/>
      <c r="B1212" s="204"/>
      <c r="C1212" s="205"/>
      <c r="D1212" s="205"/>
      <c r="E1212" s="276"/>
      <c r="F1212" s="166"/>
      <c r="G1212" s="167"/>
      <c r="H1212" s="213"/>
      <c r="I1212" s="167"/>
      <c r="J1212" s="168"/>
      <c r="K1212" s="169"/>
      <c r="L1212" s="207"/>
    </row>
    <row r="1213">
      <c r="A1213" s="203"/>
      <c r="B1213" s="204"/>
      <c r="C1213" s="205"/>
      <c r="D1213" s="205"/>
      <c r="E1213" s="276"/>
      <c r="F1213" s="166"/>
      <c r="G1213" s="167"/>
      <c r="H1213" s="213"/>
      <c r="I1213" s="167"/>
      <c r="J1213" s="168"/>
      <c r="K1213" s="169"/>
      <c r="L1213" s="207"/>
    </row>
    <row r="1214">
      <c r="A1214" s="203"/>
      <c r="B1214" s="204"/>
      <c r="C1214" s="205"/>
      <c r="D1214" s="205"/>
      <c r="E1214" s="276"/>
      <c r="F1214" s="166"/>
      <c r="G1214" s="167"/>
      <c r="H1214" s="213"/>
      <c r="I1214" s="167"/>
      <c r="J1214" s="168"/>
      <c r="K1214" s="169"/>
      <c r="L1214" s="207"/>
    </row>
    <row r="1215">
      <c r="A1215" s="203"/>
      <c r="B1215" s="204"/>
      <c r="C1215" s="205"/>
      <c r="D1215" s="205"/>
      <c r="E1215" s="276"/>
      <c r="F1215" s="166"/>
      <c r="G1215" s="167"/>
      <c r="H1215" s="213"/>
      <c r="I1215" s="167"/>
      <c r="J1215" s="168"/>
      <c r="K1215" s="169"/>
      <c r="L1215" s="207"/>
    </row>
    <row r="1216">
      <c r="A1216" s="203"/>
      <c r="B1216" s="204"/>
      <c r="C1216" s="205"/>
      <c r="D1216" s="205"/>
      <c r="E1216" s="276"/>
      <c r="F1216" s="166"/>
      <c r="G1216" s="167"/>
      <c r="H1216" s="213"/>
      <c r="I1216" s="167"/>
      <c r="J1216" s="168"/>
      <c r="K1216" s="169"/>
      <c r="L1216" s="207"/>
    </row>
    <row r="1217">
      <c r="A1217" s="203"/>
      <c r="B1217" s="204"/>
      <c r="C1217" s="205"/>
      <c r="D1217" s="205"/>
      <c r="E1217" s="276"/>
      <c r="F1217" s="166"/>
      <c r="G1217" s="167"/>
      <c r="H1217" s="213"/>
      <c r="I1217" s="167"/>
      <c r="J1217" s="168"/>
      <c r="K1217" s="169"/>
      <c r="L1217" s="207"/>
    </row>
    <row r="1218">
      <c r="A1218" s="203"/>
      <c r="B1218" s="204"/>
      <c r="C1218" s="205"/>
      <c r="D1218" s="205"/>
      <c r="E1218" s="276"/>
      <c r="F1218" s="166"/>
      <c r="G1218" s="167"/>
      <c r="H1218" s="213"/>
      <c r="I1218" s="167"/>
      <c r="J1218" s="168"/>
      <c r="K1218" s="169"/>
      <c r="L1218" s="207"/>
    </row>
    <row r="1219">
      <c r="A1219" s="203"/>
      <c r="B1219" s="204"/>
      <c r="C1219" s="205"/>
      <c r="D1219" s="205"/>
      <c r="E1219" s="276"/>
      <c r="F1219" s="166"/>
      <c r="G1219" s="167"/>
      <c r="H1219" s="213"/>
      <c r="I1219" s="167"/>
      <c r="J1219" s="168"/>
      <c r="K1219" s="169"/>
      <c r="L1219" s="207"/>
    </row>
    <row r="1220">
      <c r="A1220" s="203"/>
      <c r="B1220" s="204"/>
      <c r="C1220" s="205"/>
      <c r="D1220" s="205"/>
      <c r="E1220" s="276"/>
      <c r="F1220" s="166"/>
      <c r="G1220" s="167"/>
      <c r="H1220" s="213"/>
      <c r="I1220" s="167"/>
      <c r="J1220" s="168"/>
      <c r="K1220" s="169"/>
      <c r="L1220" s="207"/>
    </row>
    <row r="1221">
      <c r="A1221" s="203"/>
      <c r="B1221" s="204"/>
      <c r="C1221" s="205"/>
      <c r="D1221" s="205"/>
      <c r="E1221" s="276"/>
      <c r="F1221" s="166"/>
      <c r="G1221" s="167"/>
      <c r="H1221" s="213"/>
      <c r="I1221" s="167"/>
      <c r="J1221" s="168"/>
      <c r="K1221" s="169"/>
      <c r="L1221" s="207"/>
    </row>
    <row r="1222">
      <c r="A1222" s="203"/>
      <c r="B1222" s="204"/>
      <c r="C1222" s="205"/>
      <c r="D1222" s="205"/>
      <c r="E1222" s="276"/>
      <c r="F1222" s="166"/>
      <c r="G1222" s="167"/>
      <c r="H1222" s="213"/>
      <c r="I1222" s="167"/>
      <c r="J1222" s="168"/>
      <c r="K1222" s="169"/>
      <c r="L1222" s="207"/>
    </row>
    <row r="1223">
      <c r="A1223" s="203"/>
      <c r="B1223" s="204"/>
      <c r="C1223" s="205"/>
      <c r="D1223" s="205"/>
      <c r="E1223" s="276"/>
      <c r="F1223" s="166"/>
      <c r="G1223" s="167"/>
      <c r="H1223" s="213"/>
      <c r="I1223" s="167"/>
      <c r="J1223" s="168"/>
      <c r="K1223" s="169"/>
      <c r="L1223" s="207"/>
    </row>
    <row r="1224">
      <c r="A1224" s="203"/>
      <c r="B1224" s="204"/>
      <c r="C1224" s="205"/>
      <c r="D1224" s="205"/>
      <c r="E1224" s="276"/>
      <c r="F1224" s="166"/>
      <c r="G1224" s="167"/>
      <c r="H1224" s="213"/>
      <c r="I1224" s="167"/>
      <c r="J1224" s="168"/>
      <c r="K1224" s="169"/>
      <c r="L1224" s="207"/>
    </row>
    <row r="1225">
      <c r="A1225" s="203"/>
      <c r="B1225" s="204"/>
      <c r="C1225" s="205"/>
      <c r="D1225" s="205"/>
      <c r="E1225" s="276"/>
      <c r="F1225" s="166"/>
      <c r="G1225" s="167"/>
      <c r="H1225" s="213"/>
      <c r="I1225" s="167"/>
      <c r="J1225" s="168"/>
      <c r="K1225" s="169"/>
      <c r="L1225" s="207"/>
    </row>
    <row r="1226">
      <c r="A1226" s="203"/>
      <c r="B1226" s="204"/>
      <c r="C1226" s="205"/>
      <c r="D1226" s="205"/>
      <c r="E1226" s="276"/>
      <c r="F1226" s="166"/>
      <c r="G1226" s="167"/>
      <c r="H1226" s="213"/>
      <c r="I1226" s="167"/>
      <c r="J1226" s="168"/>
      <c r="K1226" s="169"/>
      <c r="L1226" s="207"/>
    </row>
    <row r="1227">
      <c r="A1227" s="203"/>
      <c r="B1227" s="204"/>
      <c r="C1227" s="205"/>
      <c r="D1227" s="205"/>
      <c r="E1227" s="276"/>
      <c r="F1227" s="166"/>
      <c r="G1227" s="167"/>
      <c r="H1227" s="213"/>
      <c r="I1227" s="167"/>
      <c r="J1227" s="168"/>
      <c r="K1227" s="169"/>
      <c r="L1227" s="207"/>
    </row>
    <row r="1228">
      <c r="A1228" s="203"/>
      <c r="B1228" s="204"/>
      <c r="C1228" s="205"/>
      <c r="D1228" s="205"/>
      <c r="E1228" s="276"/>
      <c r="F1228" s="166"/>
      <c r="G1228" s="167"/>
      <c r="H1228" s="213"/>
      <c r="I1228" s="167"/>
      <c r="J1228" s="168"/>
      <c r="K1228" s="169"/>
      <c r="L1228" s="207"/>
    </row>
    <row r="1229">
      <c r="A1229" s="203"/>
      <c r="B1229" s="204"/>
      <c r="C1229" s="205"/>
      <c r="D1229" s="205"/>
      <c r="E1229" s="276"/>
      <c r="F1229" s="166"/>
      <c r="G1229" s="167"/>
      <c r="H1229" s="213"/>
      <c r="I1229" s="167"/>
      <c r="J1229" s="168"/>
      <c r="K1229" s="169"/>
      <c r="L1229" s="207"/>
    </row>
    <row r="1230">
      <c r="A1230" s="203"/>
      <c r="B1230" s="204"/>
      <c r="C1230" s="205"/>
      <c r="D1230" s="205"/>
      <c r="E1230" s="276"/>
      <c r="F1230" s="166"/>
      <c r="G1230" s="167"/>
      <c r="H1230" s="213"/>
      <c r="I1230" s="167"/>
      <c r="J1230" s="168"/>
      <c r="K1230" s="169"/>
      <c r="L1230" s="207"/>
    </row>
    <row r="1231">
      <c r="A1231" s="203"/>
      <c r="B1231" s="204"/>
      <c r="C1231" s="205"/>
      <c r="D1231" s="205"/>
      <c r="E1231" s="276"/>
      <c r="F1231" s="166"/>
      <c r="G1231" s="167"/>
      <c r="H1231" s="213"/>
      <c r="I1231" s="167"/>
      <c r="J1231" s="168"/>
      <c r="K1231" s="169"/>
      <c r="L1231" s="207"/>
    </row>
    <row r="1232">
      <c r="A1232" s="203"/>
      <c r="B1232" s="204"/>
      <c r="C1232" s="205"/>
      <c r="D1232" s="205"/>
      <c r="E1232" s="276"/>
      <c r="F1232" s="166"/>
      <c r="G1232" s="167"/>
      <c r="H1232" s="213"/>
      <c r="I1232" s="167"/>
      <c r="J1232" s="168"/>
      <c r="K1232" s="169"/>
      <c r="L1232" s="207"/>
    </row>
    <row r="1233">
      <c r="A1233" s="203"/>
      <c r="B1233" s="204"/>
      <c r="C1233" s="205"/>
      <c r="D1233" s="205"/>
      <c r="E1233" s="276"/>
      <c r="F1233" s="166"/>
      <c r="G1233" s="167"/>
      <c r="H1233" s="213"/>
      <c r="I1233" s="167"/>
      <c r="J1233" s="168"/>
      <c r="K1233" s="169"/>
      <c r="L1233" s="207"/>
    </row>
    <row r="1234">
      <c r="A1234" s="203"/>
      <c r="B1234" s="204"/>
      <c r="C1234" s="205"/>
      <c r="D1234" s="205"/>
      <c r="E1234" s="276"/>
      <c r="F1234" s="166"/>
      <c r="G1234" s="167"/>
      <c r="H1234" s="213"/>
      <c r="I1234" s="167"/>
      <c r="J1234" s="168"/>
      <c r="K1234" s="169"/>
      <c r="L1234" s="207"/>
    </row>
    <row r="1235">
      <c r="A1235" s="203"/>
      <c r="B1235" s="204"/>
      <c r="C1235" s="205"/>
      <c r="D1235" s="205"/>
      <c r="E1235" s="276"/>
      <c r="F1235" s="166"/>
      <c r="G1235" s="167"/>
      <c r="H1235" s="213"/>
      <c r="I1235" s="167"/>
      <c r="J1235" s="168"/>
      <c r="K1235" s="169"/>
      <c r="L1235" s="207"/>
    </row>
    <row r="1236">
      <c r="A1236" s="203"/>
      <c r="B1236" s="204"/>
      <c r="C1236" s="205"/>
      <c r="D1236" s="205"/>
      <c r="E1236" s="276"/>
      <c r="F1236" s="166"/>
      <c r="G1236" s="167"/>
      <c r="H1236" s="213"/>
      <c r="I1236" s="167"/>
      <c r="J1236" s="168"/>
      <c r="K1236" s="169"/>
      <c r="L1236" s="207"/>
    </row>
    <row r="1237">
      <c r="A1237" s="203"/>
      <c r="B1237" s="204"/>
      <c r="C1237" s="205"/>
      <c r="D1237" s="205"/>
      <c r="E1237" s="276"/>
      <c r="F1237" s="166"/>
      <c r="G1237" s="167"/>
      <c r="H1237" s="213"/>
      <c r="I1237" s="167"/>
      <c r="J1237" s="168"/>
      <c r="K1237" s="169"/>
      <c r="L1237" s="207"/>
    </row>
    <row r="1238">
      <c r="A1238" s="203"/>
      <c r="B1238" s="204"/>
      <c r="C1238" s="205"/>
      <c r="D1238" s="205"/>
      <c r="E1238" s="276"/>
      <c r="F1238" s="166"/>
      <c r="G1238" s="167"/>
      <c r="H1238" s="213"/>
      <c r="I1238" s="167"/>
      <c r="J1238" s="168"/>
      <c r="K1238" s="169"/>
      <c r="L1238" s="207"/>
    </row>
    <row r="1239">
      <c r="A1239" s="203"/>
      <c r="B1239" s="204"/>
      <c r="C1239" s="205"/>
      <c r="D1239" s="205"/>
      <c r="E1239" s="276"/>
      <c r="F1239" s="166"/>
      <c r="G1239" s="167"/>
      <c r="H1239" s="213"/>
      <c r="I1239" s="167"/>
      <c r="J1239" s="168"/>
      <c r="K1239" s="169"/>
      <c r="L1239" s="207"/>
    </row>
    <row r="1240">
      <c r="A1240" s="203"/>
      <c r="B1240" s="204"/>
      <c r="C1240" s="205"/>
      <c r="D1240" s="205"/>
      <c r="E1240" s="276"/>
      <c r="F1240" s="166"/>
      <c r="G1240" s="167"/>
      <c r="H1240" s="213"/>
      <c r="I1240" s="167"/>
      <c r="J1240" s="168"/>
      <c r="K1240" s="169"/>
      <c r="L1240" s="207"/>
    </row>
    <row r="1241">
      <c r="A1241" s="203"/>
      <c r="B1241" s="204"/>
      <c r="C1241" s="205"/>
      <c r="D1241" s="205"/>
      <c r="E1241" s="276"/>
      <c r="F1241" s="166"/>
      <c r="G1241" s="167"/>
      <c r="H1241" s="213"/>
      <c r="I1241" s="167"/>
      <c r="J1241" s="168"/>
      <c r="K1241" s="169"/>
      <c r="L1241" s="207"/>
    </row>
    <row r="1242">
      <c r="A1242" s="203"/>
      <c r="B1242" s="204"/>
      <c r="C1242" s="205"/>
      <c r="D1242" s="205"/>
      <c r="E1242" s="276"/>
      <c r="F1242" s="166"/>
      <c r="G1242" s="167"/>
      <c r="H1242" s="213"/>
      <c r="I1242" s="167"/>
      <c r="J1242" s="168"/>
      <c r="K1242" s="169"/>
      <c r="L1242" s="207"/>
    </row>
    <row r="1243">
      <c r="A1243" s="203"/>
      <c r="B1243" s="204"/>
      <c r="C1243" s="205"/>
      <c r="D1243" s="205"/>
      <c r="E1243" s="276"/>
      <c r="F1243" s="166"/>
      <c r="G1243" s="167"/>
      <c r="H1243" s="213"/>
      <c r="I1243" s="167"/>
      <c r="J1243" s="168"/>
      <c r="K1243" s="169"/>
      <c r="L1243" s="207"/>
    </row>
    <row r="1244">
      <c r="A1244" s="203"/>
      <c r="B1244" s="204"/>
      <c r="C1244" s="205"/>
      <c r="D1244" s="205"/>
      <c r="E1244" s="276"/>
      <c r="F1244" s="166"/>
      <c r="G1244" s="167"/>
      <c r="H1244" s="213"/>
      <c r="I1244" s="167"/>
      <c r="J1244" s="168"/>
      <c r="K1244" s="169"/>
      <c r="L1244" s="207"/>
    </row>
    <row r="1245">
      <c r="A1245" s="203"/>
      <c r="B1245" s="204"/>
      <c r="C1245" s="205"/>
      <c r="D1245" s="205"/>
      <c r="E1245" s="276"/>
      <c r="F1245" s="166"/>
      <c r="G1245" s="167"/>
      <c r="H1245" s="213"/>
      <c r="I1245" s="167"/>
      <c r="J1245" s="168"/>
      <c r="K1245" s="169"/>
      <c r="L1245" s="207"/>
    </row>
    <row r="1246">
      <c r="A1246" s="203"/>
      <c r="B1246" s="204"/>
      <c r="C1246" s="205"/>
      <c r="D1246" s="205"/>
      <c r="E1246" s="276"/>
      <c r="F1246" s="166"/>
      <c r="G1246" s="167"/>
      <c r="H1246" s="213"/>
      <c r="I1246" s="167"/>
      <c r="J1246" s="168"/>
      <c r="K1246" s="169"/>
      <c r="L1246" s="207"/>
    </row>
    <row r="1247">
      <c r="A1247" s="203"/>
      <c r="B1247" s="204"/>
      <c r="C1247" s="205"/>
      <c r="D1247" s="205"/>
      <c r="E1247" s="276"/>
      <c r="F1247" s="166"/>
      <c r="G1247" s="167"/>
      <c r="H1247" s="213"/>
      <c r="I1247" s="167"/>
      <c r="J1247" s="168"/>
      <c r="K1247" s="169"/>
      <c r="L1247" s="207"/>
    </row>
    <row r="1248">
      <c r="A1248" s="203"/>
      <c r="B1248" s="204"/>
      <c r="C1248" s="205"/>
      <c r="D1248" s="205"/>
      <c r="E1248" s="276"/>
      <c r="F1248" s="166"/>
      <c r="G1248" s="167"/>
      <c r="H1248" s="213"/>
      <c r="I1248" s="167"/>
      <c r="J1248" s="168"/>
      <c r="K1248" s="169"/>
      <c r="L1248" s="207"/>
    </row>
    <row r="1249">
      <c r="A1249" s="203"/>
      <c r="B1249" s="204"/>
      <c r="C1249" s="205"/>
      <c r="D1249" s="205"/>
      <c r="E1249" s="276"/>
      <c r="F1249" s="166"/>
      <c r="G1249" s="167"/>
      <c r="H1249" s="213"/>
      <c r="I1249" s="167"/>
      <c r="J1249" s="168"/>
      <c r="K1249" s="169"/>
      <c r="L1249" s="207"/>
    </row>
    <row r="1250">
      <c r="A1250" s="203"/>
      <c r="B1250" s="204"/>
      <c r="C1250" s="205"/>
      <c r="D1250" s="205"/>
      <c r="E1250" s="276"/>
      <c r="F1250" s="166"/>
      <c r="G1250" s="167"/>
      <c r="H1250" s="213"/>
      <c r="I1250" s="167"/>
      <c r="J1250" s="168"/>
      <c r="K1250" s="169"/>
      <c r="L1250" s="207"/>
    </row>
    <row r="1251">
      <c r="A1251" s="203"/>
      <c r="B1251" s="204"/>
      <c r="C1251" s="205"/>
      <c r="D1251" s="205"/>
      <c r="E1251" s="276"/>
      <c r="F1251" s="166"/>
      <c r="G1251" s="167"/>
      <c r="H1251" s="213"/>
      <c r="I1251" s="167"/>
      <c r="J1251" s="168"/>
      <c r="K1251" s="169"/>
      <c r="L1251" s="207"/>
    </row>
    <row r="1252">
      <c r="A1252" s="203"/>
      <c r="B1252" s="204"/>
      <c r="C1252" s="205"/>
      <c r="D1252" s="205"/>
      <c r="E1252" s="276"/>
      <c r="F1252" s="166"/>
      <c r="G1252" s="167"/>
      <c r="H1252" s="213"/>
      <c r="I1252" s="167"/>
      <c r="J1252" s="168"/>
      <c r="K1252" s="169"/>
      <c r="L1252" s="207"/>
    </row>
    <row r="1253">
      <c r="A1253" s="203"/>
      <c r="B1253" s="204"/>
      <c r="C1253" s="205"/>
      <c r="D1253" s="205"/>
      <c r="E1253" s="276"/>
      <c r="F1253" s="166"/>
      <c r="G1253" s="167"/>
      <c r="H1253" s="213"/>
      <c r="I1253" s="167"/>
      <c r="J1253" s="168"/>
      <c r="K1253" s="169"/>
      <c r="L1253" s="207"/>
    </row>
    <row r="1254">
      <c r="A1254" s="203"/>
      <c r="B1254" s="204"/>
      <c r="C1254" s="205"/>
      <c r="D1254" s="205"/>
      <c r="E1254" s="276"/>
      <c r="F1254" s="166"/>
      <c r="G1254" s="167"/>
      <c r="H1254" s="213"/>
      <c r="I1254" s="167"/>
      <c r="J1254" s="168"/>
      <c r="K1254" s="169"/>
      <c r="L1254" s="207"/>
    </row>
    <row r="1255">
      <c r="A1255" s="203"/>
      <c r="B1255" s="204"/>
      <c r="C1255" s="205"/>
      <c r="D1255" s="205"/>
      <c r="E1255" s="276"/>
      <c r="F1255" s="166"/>
      <c r="G1255" s="167"/>
      <c r="H1255" s="213"/>
      <c r="I1255" s="167"/>
      <c r="J1255" s="168"/>
      <c r="K1255" s="169"/>
      <c r="L1255" s="207"/>
    </row>
    <row r="1256">
      <c r="A1256" s="203"/>
      <c r="B1256" s="204"/>
      <c r="C1256" s="205"/>
      <c r="D1256" s="205"/>
      <c r="E1256" s="276"/>
      <c r="F1256" s="166"/>
      <c r="G1256" s="167"/>
      <c r="H1256" s="213"/>
      <c r="I1256" s="167"/>
      <c r="J1256" s="168"/>
      <c r="K1256" s="169"/>
      <c r="L1256" s="207"/>
    </row>
    <row r="1257">
      <c r="A1257" s="203"/>
      <c r="B1257" s="204"/>
      <c r="C1257" s="205"/>
      <c r="D1257" s="205"/>
      <c r="E1257" s="276"/>
      <c r="F1257" s="166"/>
      <c r="G1257" s="167"/>
      <c r="H1257" s="213"/>
      <c r="I1257" s="167"/>
      <c r="J1257" s="168"/>
      <c r="K1257" s="169"/>
      <c r="L1257" s="207"/>
    </row>
    <row r="1258">
      <c r="A1258" s="203"/>
      <c r="B1258" s="204"/>
      <c r="C1258" s="205"/>
      <c r="D1258" s="205"/>
      <c r="E1258" s="276"/>
      <c r="F1258" s="166"/>
      <c r="G1258" s="167"/>
      <c r="H1258" s="213"/>
      <c r="I1258" s="167"/>
      <c r="J1258" s="168"/>
      <c r="K1258" s="169"/>
      <c r="L1258" s="207"/>
    </row>
    <row r="1259">
      <c r="A1259" s="203"/>
      <c r="B1259" s="204"/>
      <c r="C1259" s="205"/>
      <c r="D1259" s="205"/>
      <c r="E1259" s="276"/>
      <c r="F1259" s="166"/>
      <c r="G1259" s="167"/>
      <c r="H1259" s="213"/>
      <c r="I1259" s="167"/>
      <c r="J1259" s="168"/>
      <c r="K1259" s="169"/>
      <c r="L1259" s="207"/>
    </row>
    <row r="1260">
      <c r="A1260" s="203"/>
      <c r="B1260" s="204"/>
      <c r="C1260" s="205"/>
      <c r="D1260" s="205"/>
      <c r="E1260" s="276"/>
      <c r="F1260" s="166"/>
      <c r="G1260" s="167"/>
      <c r="H1260" s="213"/>
      <c r="I1260" s="167"/>
      <c r="J1260" s="168"/>
      <c r="K1260" s="169"/>
      <c r="L1260" s="207"/>
    </row>
    <row r="1261">
      <c r="A1261" s="203"/>
      <c r="B1261" s="204"/>
      <c r="C1261" s="205"/>
      <c r="D1261" s="205"/>
      <c r="E1261" s="276"/>
      <c r="F1261" s="166"/>
      <c r="G1261" s="167"/>
      <c r="H1261" s="213"/>
      <c r="I1261" s="167"/>
      <c r="J1261" s="168"/>
      <c r="K1261" s="169"/>
      <c r="L1261" s="207"/>
    </row>
    <row r="1262">
      <c r="A1262" s="203"/>
      <c r="B1262" s="204"/>
      <c r="C1262" s="205"/>
      <c r="D1262" s="205"/>
      <c r="E1262" s="276"/>
      <c r="F1262" s="166"/>
      <c r="G1262" s="167"/>
      <c r="H1262" s="213"/>
      <c r="I1262" s="167"/>
      <c r="J1262" s="168"/>
      <c r="K1262" s="169"/>
      <c r="L1262" s="207"/>
    </row>
    <row r="1263">
      <c r="A1263" s="203"/>
      <c r="B1263" s="204"/>
      <c r="C1263" s="205"/>
      <c r="D1263" s="205"/>
      <c r="E1263" s="276"/>
      <c r="F1263" s="166"/>
      <c r="G1263" s="167"/>
      <c r="H1263" s="213"/>
      <c r="I1263" s="167"/>
      <c r="J1263" s="168"/>
      <c r="K1263" s="169"/>
      <c r="L1263" s="207"/>
    </row>
    <row r="1264">
      <c r="A1264" s="203"/>
      <c r="B1264" s="204"/>
      <c r="C1264" s="205"/>
      <c r="D1264" s="205"/>
      <c r="E1264" s="276"/>
      <c r="F1264" s="166"/>
      <c r="G1264" s="167"/>
      <c r="H1264" s="213"/>
      <c r="I1264" s="167"/>
      <c r="J1264" s="168"/>
      <c r="K1264" s="169"/>
      <c r="L1264" s="207"/>
    </row>
    <row r="1265">
      <c r="A1265" s="203"/>
      <c r="B1265" s="204"/>
      <c r="C1265" s="205"/>
      <c r="D1265" s="205"/>
      <c r="E1265" s="276"/>
      <c r="F1265" s="166"/>
      <c r="G1265" s="167"/>
      <c r="H1265" s="213"/>
      <c r="I1265" s="167"/>
      <c r="J1265" s="168"/>
      <c r="K1265" s="169"/>
      <c r="L1265" s="207"/>
    </row>
    <row r="1266">
      <c r="A1266" s="203"/>
      <c r="B1266" s="204"/>
      <c r="C1266" s="205"/>
      <c r="D1266" s="205"/>
      <c r="E1266" s="276"/>
      <c r="F1266" s="166"/>
      <c r="G1266" s="167"/>
      <c r="H1266" s="213"/>
      <c r="I1266" s="167"/>
      <c r="J1266" s="168"/>
      <c r="K1266" s="169"/>
      <c r="L1266" s="207"/>
    </row>
    <row r="1267">
      <c r="A1267" s="203"/>
      <c r="B1267" s="204"/>
      <c r="C1267" s="205"/>
      <c r="D1267" s="205"/>
      <c r="E1267" s="276"/>
      <c r="F1267" s="166"/>
      <c r="G1267" s="167"/>
      <c r="H1267" s="213"/>
      <c r="I1267" s="167"/>
      <c r="J1267" s="168"/>
      <c r="K1267" s="169"/>
      <c r="L1267" s="207"/>
    </row>
    <row r="1268">
      <c r="A1268" s="203"/>
      <c r="B1268" s="204"/>
      <c r="C1268" s="205"/>
      <c r="D1268" s="205"/>
      <c r="E1268" s="276"/>
      <c r="F1268" s="166"/>
      <c r="G1268" s="167"/>
      <c r="H1268" s="213"/>
      <c r="I1268" s="167"/>
      <c r="J1268" s="168"/>
      <c r="K1268" s="169"/>
      <c r="L1268" s="207"/>
    </row>
    <row r="1269">
      <c r="A1269" s="203"/>
      <c r="B1269" s="204"/>
      <c r="C1269" s="205"/>
      <c r="D1269" s="205"/>
      <c r="E1269" s="276"/>
      <c r="F1269" s="166"/>
      <c r="G1269" s="167"/>
      <c r="H1269" s="213"/>
      <c r="I1269" s="167"/>
      <c r="J1269" s="168"/>
      <c r="K1269" s="169"/>
      <c r="L1269" s="207"/>
    </row>
    <row r="1270">
      <c r="A1270" s="203"/>
      <c r="B1270" s="204"/>
      <c r="C1270" s="205"/>
      <c r="D1270" s="205"/>
      <c r="E1270" s="276"/>
      <c r="F1270" s="166"/>
      <c r="G1270" s="167"/>
      <c r="H1270" s="213"/>
      <c r="I1270" s="167"/>
      <c r="J1270" s="168"/>
      <c r="K1270" s="169"/>
      <c r="L1270" s="207"/>
    </row>
    <row r="1271">
      <c r="A1271" s="203"/>
      <c r="B1271" s="204"/>
      <c r="C1271" s="205"/>
      <c r="D1271" s="205"/>
      <c r="E1271" s="276"/>
      <c r="F1271" s="166"/>
      <c r="G1271" s="167"/>
      <c r="H1271" s="213"/>
      <c r="I1271" s="167"/>
      <c r="J1271" s="168"/>
      <c r="K1271" s="169"/>
      <c r="L1271" s="207"/>
    </row>
    <row r="1272">
      <c r="A1272" s="203"/>
      <c r="B1272" s="204"/>
      <c r="C1272" s="205"/>
      <c r="D1272" s="205"/>
      <c r="E1272" s="276"/>
      <c r="F1272" s="166"/>
      <c r="G1272" s="167"/>
      <c r="H1272" s="213"/>
      <c r="I1272" s="167"/>
      <c r="J1272" s="168"/>
      <c r="K1272" s="169"/>
      <c r="L1272" s="207"/>
    </row>
    <row r="1273">
      <c r="A1273" s="203"/>
      <c r="B1273" s="204"/>
      <c r="C1273" s="205"/>
      <c r="D1273" s="205"/>
      <c r="E1273" s="276"/>
      <c r="F1273" s="166"/>
      <c r="G1273" s="167"/>
      <c r="H1273" s="213"/>
      <c r="I1273" s="167"/>
      <c r="J1273" s="168"/>
      <c r="K1273" s="169"/>
      <c r="L1273" s="207"/>
    </row>
    <row r="1274">
      <c r="A1274" s="203"/>
      <c r="B1274" s="204"/>
      <c r="C1274" s="205"/>
      <c r="D1274" s="205"/>
      <c r="E1274" s="276"/>
      <c r="F1274" s="166"/>
      <c r="G1274" s="167"/>
      <c r="H1274" s="213"/>
      <c r="I1274" s="167"/>
      <c r="J1274" s="168"/>
      <c r="K1274" s="169"/>
      <c r="L1274" s="207"/>
    </row>
    <row r="1275">
      <c r="A1275" s="203"/>
      <c r="B1275" s="204"/>
      <c r="C1275" s="205"/>
      <c r="D1275" s="205"/>
      <c r="E1275" s="276"/>
      <c r="F1275" s="166"/>
      <c r="G1275" s="167"/>
      <c r="H1275" s="213"/>
      <c r="I1275" s="167"/>
      <c r="J1275" s="168"/>
      <c r="K1275" s="169"/>
      <c r="L1275" s="207"/>
    </row>
    <row r="1276">
      <c r="A1276" s="203"/>
      <c r="B1276" s="204"/>
      <c r="C1276" s="205"/>
      <c r="D1276" s="205"/>
      <c r="E1276" s="276"/>
      <c r="F1276" s="166"/>
      <c r="G1276" s="167"/>
      <c r="H1276" s="213"/>
      <c r="I1276" s="167"/>
      <c r="J1276" s="168"/>
      <c r="K1276" s="169"/>
      <c r="L1276" s="207"/>
    </row>
    <row r="1277">
      <c r="A1277" s="203"/>
      <c r="B1277" s="204"/>
      <c r="C1277" s="205"/>
      <c r="D1277" s="205"/>
      <c r="E1277" s="276"/>
      <c r="F1277" s="166"/>
      <c r="G1277" s="167"/>
      <c r="H1277" s="213"/>
      <c r="I1277" s="167"/>
      <c r="J1277" s="168"/>
      <c r="K1277" s="169"/>
      <c r="L1277" s="207"/>
    </row>
    <row r="1278">
      <c r="A1278" s="203"/>
      <c r="B1278" s="204"/>
      <c r="C1278" s="205"/>
      <c r="D1278" s="205"/>
      <c r="E1278" s="276"/>
      <c r="F1278" s="166"/>
      <c r="G1278" s="167"/>
      <c r="H1278" s="213"/>
      <c r="I1278" s="167"/>
      <c r="J1278" s="168"/>
      <c r="K1278" s="169"/>
      <c r="L1278" s="207"/>
    </row>
    <row r="1279">
      <c r="A1279" s="203"/>
      <c r="B1279" s="204"/>
      <c r="C1279" s="205"/>
      <c r="D1279" s="205"/>
      <c r="E1279" s="276"/>
      <c r="F1279" s="166"/>
      <c r="G1279" s="167"/>
      <c r="H1279" s="213"/>
      <c r="I1279" s="167"/>
      <c r="J1279" s="168"/>
      <c r="K1279" s="169"/>
      <c r="L1279" s="207"/>
    </row>
    <row r="1280">
      <c r="A1280" s="203"/>
      <c r="B1280" s="204"/>
      <c r="C1280" s="205"/>
      <c r="D1280" s="205"/>
      <c r="E1280" s="276"/>
      <c r="F1280" s="166"/>
      <c r="G1280" s="167"/>
      <c r="H1280" s="213"/>
      <c r="I1280" s="167"/>
      <c r="J1280" s="168"/>
      <c r="K1280" s="169"/>
      <c r="L1280" s="207"/>
    </row>
    <row r="1281">
      <c r="A1281" s="203"/>
      <c r="B1281" s="204"/>
      <c r="C1281" s="205"/>
      <c r="D1281" s="205"/>
      <c r="E1281" s="276"/>
      <c r="F1281" s="166"/>
      <c r="G1281" s="167"/>
      <c r="H1281" s="213"/>
      <c r="I1281" s="167"/>
      <c r="J1281" s="168"/>
      <c r="K1281" s="169"/>
      <c r="L1281" s="207"/>
    </row>
    <row r="1282">
      <c r="A1282" s="203"/>
      <c r="B1282" s="204"/>
      <c r="C1282" s="205"/>
      <c r="D1282" s="205"/>
      <c r="E1282" s="276"/>
      <c r="F1282" s="166"/>
      <c r="G1282" s="167"/>
      <c r="H1282" s="213"/>
      <c r="I1282" s="167"/>
      <c r="J1282" s="168"/>
      <c r="K1282" s="169"/>
      <c r="L1282" s="207"/>
    </row>
    <row r="1283">
      <c r="A1283" s="203"/>
      <c r="B1283" s="204"/>
      <c r="C1283" s="205"/>
      <c r="D1283" s="205"/>
      <c r="E1283" s="276"/>
      <c r="F1283" s="166"/>
      <c r="G1283" s="167"/>
      <c r="H1283" s="213"/>
      <c r="I1283" s="167"/>
      <c r="J1283" s="168"/>
      <c r="K1283" s="169"/>
      <c r="L1283" s="207"/>
    </row>
    <row r="1284">
      <c r="A1284" s="203"/>
      <c r="B1284" s="204"/>
      <c r="C1284" s="205"/>
      <c r="D1284" s="205"/>
      <c r="E1284" s="276"/>
      <c r="F1284" s="166"/>
      <c r="G1284" s="167"/>
      <c r="H1284" s="213"/>
      <c r="I1284" s="167"/>
      <c r="J1284" s="168"/>
      <c r="K1284" s="169"/>
      <c r="L1284" s="207"/>
    </row>
    <row r="1285">
      <c r="A1285" s="203"/>
      <c r="B1285" s="204"/>
      <c r="C1285" s="205"/>
      <c r="D1285" s="205"/>
      <c r="E1285" s="276"/>
      <c r="F1285" s="166"/>
      <c r="G1285" s="167"/>
      <c r="H1285" s="213"/>
      <c r="I1285" s="167"/>
      <c r="J1285" s="168"/>
      <c r="K1285" s="169"/>
      <c r="L1285" s="207"/>
    </row>
    <row r="1286">
      <c r="A1286" s="203"/>
      <c r="B1286" s="204"/>
      <c r="C1286" s="205"/>
      <c r="D1286" s="205"/>
      <c r="E1286" s="276"/>
      <c r="F1286" s="166"/>
      <c r="G1286" s="167"/>
      <c r="H1286" s="213"/>
      <c r="I1286" s="167"/>
      <c r="J1286" s="168"/>
      <c r="K1286" s="169"/>
      <c r="L1286" s="207"/>
    </row>
    <row r="1287">
      <c r="A1287" s="203"/>
      <c r="B1287" s="204"/>
      <c r="C1287" s="205"/>
      <c r="D1287" s="205"/>
      <c r="E1287" s="276"/>
      <c r="F1287" s="166"/>
      <c r="G1287" s="167"/>
      <c r="H1287" s="213"/>
      <c r="I1287" s="167"/>
      <c r="J1287" s="168"/>
      <c r="K1287" s="169"/>
      <c r="L1287" s="207"/>
    </row>
    <row r="1288">
      <c r="A1288" s="203"/>
      <c r="B1288" s="204"/>
      <c r="C1288" s="205"/>
      <c r="D1288" s="205"/>
      <c r="E1288" s="276"/>
      <c r="F1288" s="166"/>
      <c r="G1288" s="167"/>
      <c r="H1288" s="213"/>
      <c r="I1288" s="167"/>
      <c r="J1288" s="168"/>
      <c r="K1288" s="169"/>
      <c r="L1288" s="207"/>
    </row>
    <row r="1289">
      <c r="A1289" s="203"/>
      <c r="B1289" s="204"/>
      <c r="C1289" s="205"/>
      <c r="D1289" s="205"/>
      <c r="E1289" s="276"/>
      <c r="F1289" s="166"/>
      <c r="G1289" s="167"/>
      <c r="H1289" s="213"/>
      <c r="I1289" s="167"/>
      <c r="J1289" s="168"/>
      <c r="K1289" s="169"/>
      <c r="L1289" s="207"/>
    </row>
    <row r="1290">
      <c r="A1290" s="203"/>
      <c r="B1290" s="204"/>
      <c r="C1290" s="205"/>
      <c r="D1290" s="205"/>
      <c r="E1290" s="276"/>
      <c r="F1290" s="166"/>
      <c r="G1290" s="167"/>
      <c r="H1290" s="213"/>
      <c r="I1290" s="167"/>
      <c r="J1290" s="168"/>
      <c r="K1290" s="169"/>
      <c r="L1290" s="207"/>
    </row>
    <row r="1291">
      <c r="A1291" s="203"/>
      <c r="B1291" s="204"/>
      <c r="C1291" s="205"/>
      <c r="D1291" s="205"/>
      <c r="E1291" s="276"/>
      <c r="F1291" s="166"/>
      <c r="G1291" s="167"/>
      <c r="H1291" s="213"/>
      <c r="I1291" s="167"/>
      <c r="J1291" s="168"/>
      <c r="K1291" s="169"/>
      <c r="L1291" s="207"/>
    </row>
    <row r="1292">
      <c r="A1292" s="203"/>
      <c r="B1292" s="204"/>
      <c r="C1292" s="205"/>
      <c r="D1292" s="205"/>
      <c r="E1292" s="276"/>
      <c r="F1292" s="166"/>
      <c r="G1292" s="167"/>
      <c r="H1292" s="213"/>
      <c r="I1292" s="167"/>
      <c r="J1292" s="168"/>
      <c r="K1292" s="169"/>
      <c r="L1292" s="207"/>
    </row>
    <row r="1293">
      <c r="A1293" s="203"/>
      <c r="B1293" s="204"/>
      <c r="C1293" s="205"/>
      <c r="D1293" s="205"/>
      <c r="E1293" s="276"/>
      <c r="F1293" s="166"/>
      <c r="G1293" s="167"/>
      <c r="H1293" s="213"/>
      <c r="I1293" s="167"/>
      <c r="J1293" s="168"/>
      <c r="K1293" s="169"/>
      <c r="L1293" s="207"/>
    </row>
    <row r="1294">
      <c r="A1294" s="203"/>
      <c r="B1294" s="204"/>
      <c r="C1294" s="205"/>
      <c r="D1294" s="205"/>
      <c r="E1294" s="276"/>
      <c r="F1294" s="166"/>
      <c r="G1294" s="167"/>
      <c r="H1294" s="213"/>
      <c r="I1294" s="167"/>
      <c r="J1294" s="168"/>
      <c r="K1294" s="169"/>
      <c r="L1294" s="207"/>
    </row>
    <row r="1295">
      <c r="A1295" s="203"/>
      <c r="B1295" s="204"/>
      <c r="C1295" s="205"/>
      <c r="D1295" s="205"/>
      <c r="E1295" s="276"/>
      <c r="F1295" s="166"/>
      <c r="G1295" s="167"/>
      <c r="H1295" s="213"/>
      <c r="I1295" s="167"/>
      <c r="J1295" s="168"/>
      <c r="K1295" s="169"/>
      <c r="L1295" s="207"/>
    </row>
    <row r="1296">
      <c r="A1296" s="203"/>
      <c r="B1296" s="204"/>
      <c r="C1296" s="205"/>
      <c r="D1296" s="205"/>
      <c r="E1296" s="276"/>
      <c r="F1296" s="166"/>
      <c r="G1296" s="167"/>
      <c r="H1296" s="213"/>
      <c r="I1296" s="167"/>
      <c r="J1296" s="168"/>
      <c r="K1296" s="169"/>
      <c r="L1296" s="207"/>
    </row>
    <row r="1297">
      <c r="A1297" s="203"/>
      <c r="B1297" s="204"/>
      <c r="C1297" s="205"/>
      <c r="D1297" s="205"/>
      <c r="E1297" s="276"/>
      <c r="F1297" s="166"/>
      <c r="G1297" s="167"/>
      <c r="H1297" s="213"/>
      <c r="I1297" s="167"/>
      <c r="J1297" s="168"/>
      <c r="K1297" s="169"/>
      <c r="L1297" s="207"/>
    </row>
    <row r="1298">
      <c r="A1298" s="203"/>
      <c r="B1298" s="204"/>
      <c r="C1298" s="205"/>
      <c r="D1298" s="205"/>
      <c r="E1298" s="276"/>
      <c r="F1298" s="166"/>
      <c r="G1298" s="167"/>
      <c r="H1298" s="213"/>
      <c r="I1298" s="167"/>
      <c r="J1298" s="168"/>
      <c r="K1298" s="169"/>
      <c r="L1298" s="207"/>
    </row>
    <row r="1299">
      <c r="A1299" s="203"/>
      <c r="B1299" s="204"/>
      <c r="C1299" s="205"/>
      <c r="D1299" s="205"/>
      <c r="E1299" s="276"/>
      <c r="F1299" s="166"/>
      <c r="G1299" s="167"/>
      <c r="H1299" s="213"/>
      <c r="I1299" s="167"/>
      <c r="J1299" s="168"/>
      <c r="K1299" s="169"/>
      <c r="L1299" s="207"/>
    </row>
    <row r="1300">
      <c r="A1300" s="203"/>
      <c r="B1300" s="204"/>
      <c r="C1300" s="205"/>
      <c r="D1300" s="205"/>
      <c r="E1300" s="276"/>
      <c r="F1300" s="166"/>
      <c r="G1300" s="167"/>
      <c r="H1300" s="213"/>
      <c r="I1300" s="167"/>
      <c r="J1300" s="168"/>
      <c r="K1300" s="169"/>
      <c r="L1300" s="207"/>
    </row>
    <row r="1301">
      <c r="A1301" s="203"/>
      <c r="B1301" s="204"/>
      <c r="C1301" s="205"/>
      <c r="D1301" s="205"/>
      <c r="E1301" s="276"/>
      <c r="F1301" s="166"/>
      <c r="G1301" s="167"/>
      <c r="H1301" s="213"/>
      <c r="I1301" s="167"/>
      <c r="J1301" s="168"/>
      <c r="K1301" s="169"/>
      <c r="L1301" s="207"/>
    </row>
    <row r="1302">
      <c r="A1302" s="203"/>
      <c r="B1302" s="204"/>
      <c r="C1302" s="205"/>
      <c r="D1302" s="205"/>
      <c r="E1302" s="276"/>
      <c r="F1302" s="166"/>
      <c r="G1302" s="167"/>
      <c r="H1302" s="213"/>
      <c r="I1302" s="167"/>
      <c r="J1302" s="168"/>
      <c r="K1302" s="169"/>
      <c r="L1302" s="207"/>
    </row>
    <row r="1303">
      <c r="A1303" s="203"/>
      <c r="B1303" s="204"/>
      <c r="C1303" s="205"/>
      <c r="D1303" s="205"/>
      <c r="E1303" s="276"/>
      <c r="F1303" s="166"/>
      <c r="G1303" s="167"/>
      <c r="H1303" s="213"/>
      <c r="I1303" s="167"/>
      <c r="J1303" s="168"/>
      <c r="K1303" s="169"/>
      <c r="L1303" s="207"/>
    </row>
    <row r="1304">
      <c r="A1304" s="203"/>
      <c r="B1304" s="204"/>
      <c r="C1304" s="205"/>
      <c r="D1304" s="205"/>
      <c r="E1304" s="276"/>
      <c r="F1304" s="166"/>
      <c r="G1304" s="167"/>
      <c r="H1304" s="213"/>
      <c r="I1304" s="167"/>
      <c r="J1304" s="168"/>
      <c r="K1304" s="169"/>
      <c r="L1304" s="207"/>
    </row>
    <row r="1305">
      <c r="A1305" s="203"/>
      <c r="B1305" s="204"/>
      <c r="C1305" s="205"/>
      <c r="D1305" s="205"/>
      <c r="E1305" s="276"/>
      <c r="F1305" s="166"/>
      <c r="G1305" s="167"/>
      <c r="H1305" s="213"/>
      <c r="I1305" s="167"/>
      <c r="J1305" s="168"/>
      <c r="K1305" s="169"/>
      <c r="L1305" s="207"/>
    </row>
    <row r="1306">
      <c r="A1306" s="203"/>
      <c r="B1306" s="204"/>
      <c r="C1306" s="205"/>
      <c r="D1306" s="205"/>
      <c r="E1306" s="276"/>
      <c r="F1306" s="166"/>
      <c r="G1306" s="167"/>
      <c r="H1306" s="213"/>
      <c r="I1306" s="167"/>
      <c r="J1306" s="168"/>
      <c r="K1306" s="169"/>
      <c r="L1306" s="207"/>
    </row>
    <row r="1307">
      <c r="A1307" s="203"/>
      <c r="B1307" s="204"/>
      <c r="C1307" s="205"/>
      <c r="D1307" s="205"/>
      <c r="E1307" s="276"/>
      <c r="F1307" s="166"/>
      <c r="G1307" s="167"/>
      <c r="H1307" s="213"/>
      <c r="I1307" s="167"/>
      <c r="J1307" s="168"/>
      <c r="K1307" s="169"/>
      <c r="L1307" s="207"/>
    </row>
    <row r="1308">
      <c r="A1308" s="203"/>
      <c r="B1308" s="204"/>
      <c r="C1308" s="205"/>
      <c r="D1308" s="205"/>
      <c r="E1308" s="276"/>
      <c r="F1308" s="166"/>
      <c r="G1308" s="167"/>
      <c r="H1308" s="213"/>
      <c r="I1308" s="167"/>
      <c r="J1308" s="168"/>
      <c r="K1308" s="169"/>
      <c r="L1308" s="207"/>
    </row>
    <row r="1309">
      <c r="A1309" s="203"/>
      <c r="B1309" s="204"/>
      <c r="C1309" s="205"/>
      <c r="D1309" s="205"/>
      <c r="E1309" s="276"/>
      <c r="F1309" s="166"/>
      <c r="G1309" s="167"/>
      <c r="H1309" s="213"/>
      <c r="I1309" s="167"/>
      <c r="J1309" s="168"/>
      <c r="K1309" s="169"/>
      <c r="L1309" s="207"/>
    </row>
    <row r="1310">
      <c r="A1310" s="203"/>
      <c r="B1310" s="204"/>
      <c r="C1310" s="205"/>
      <c r="D1310" s="205"/>
      <c r="E1310" s="276"/>
      <c r="F1310" s="166"/>
      <c r="G1310" s="167"/>
      <c r="H1310" s="213"/>
      <c r="I1310" s="167"/>
      <c r="J1310" s="168"/>
      <c r="K1310" s="169"/>
      <c r="L1310" s="207"/>
    </row>
    <row r="1311">
      <c r="A1311" s="203"/>
      <c r="B1311" s="204"/>
      <c r="C1311" s="205"/>
      <c r="D1311" s="205"/>
      <c r="E1311" s="276"/>
      <c r="F1311" s="166"/>
      <c r="G1311" s="167"/>
      <c r="H1311" s="213"/>
      <c r="I1311" s="167"/>
      <c r="J1311" s="168"/>
      <c r="K1311" s="169"/>
      <c r="L1311" s="207"/>
    </row>
    <row r="1312">
      <c r="A1312" s="203"/>
      <c r="B1312" s="204"/>
      <c r="C1312" s="205"/>
      <c r="D1312" s="205"/>
      <c r="E1312" s="276"/>
      <c r="F1312" s="166"/>
      <c r="G1312" s="167"/>
      <c r="H1312" s="213"/>
      <c r="I1312" s="167"/>
      <c r="J1312" s="168"/>
      <c r="K1312" s="169"/>
      <c r="L1312" s="207"/>
    </row>
    <row r="1313">
      <c r="A1313" s="203"/>
      <c r="B1313" s="204"/>
      <c r="C1313" s="205"/>
      <c r="D1313" s="205"/>
      <c r="E1313" s="276"/>
      <c r="F1313" s="166"/>
      <c r="G1313" s="167"/>
      <c r="H1313" s="213"/>
      <c r="I1313" s="167"/>
      <c r="J1313" s="168"/>
      <c r="K1313" s="169"/>
      <c r="L1313" s="207"/>
    </row>
    <row r="1314">
      <c r="A1314" s="203"/>
      <c r="B1314" s="204"/>
      <c r="C1314" s="205"/>
      <c r="D1314" s="205"/>
      <c r="E1314" s="276"/>
      <c r="F1314" s="166"/>
      <c r="G1314" s="167"/>
      <c r="H1314" s="213"/>
      <c r="I1314" s="167"/>
      <c r="J1314" s="168"/>
      <c r="K1314" s="169"/>
      <c r="L1314" s="207"/>
    </row>
    <row r="1315">
      <c r="A1315" s="203"/>
      <c r="B1315" s="204"/>
      <c r="C1315" s="205"/>
      <c r="D1315" s="205"/>
      <c r="E1315" s="276"/>
      <c r="F1315" s="166"/>
      <c r="G1315" s="167"/>
      <c r="H1315" s="213"/>
      <c r="I1315" s="167"/>
      <c r="J1315" s="168"/>
      <c r="K1315" s="169"/>
      <c r="L1315" s="207"/>
    </row>
    <row r="1316">
      <c r="A1316" s="203"/>
      <c r="B1316" s="204"/>
      <c r="C1316" s="205"/>
      <c r="D1316" s="205"/>
      <c r="E1316" s="276"/>
      <c r="F1316" s="166"/>
      <c r="G1316" s="167"/>
      <c r="H1316" s="213"/>
      <c r="I1316" s="167"/>
      <c r="J1316" s="168"/>
      <c r="K1316" s="169"/>
      <c r="L1316" s="207"/>
    </row>
    <row r="1317">
      <c r="A1317" s="203"/>
      <c r="B1317" s="204"/>
      <c r="C1317" s="205"/>
      <c r="D1317" s="205"/>
      <c r="E1317" s="276"/>
      <c r="F1317" s="166"/>
      <c r="G1317" s="167"/>
      <c r="H1317" s="213"/>
      <c r="I1317" s="167"/>
      <c r="J1317" s="168"/>
      <c r="K1317" s="169"/>
      <c r="L1317" s="207"/>
    </row>
    <row r="1318">
      <c r="A1318" s="203"/>
      <c r="B1318" s="204"/>
      <c r="C1318" s="205"/>
      <c r="D1318" s="205"/>
      <c r="E1318" s="276"/>
      <c r="F1318" s="166"/>
      <c r="G1318" s="167"/>
      <c r="H1318" s="213"/>
      <c r="I1318" s="167"/>
      <c r="J1318" s="168"/>
      <c r="K1318" s="169"/>
      <c r="L1318" s="207"/>
    </row>
    <row r="1319">
      <c r="A1319" s="203"/>
      <c r="B1319" s="204"/>
      <c r="C1319" s="205"/>
      <c r="D1319" s="205"/>
      <c r="E1319" s="276"/>
      <c r="F1319" s="166"/>
      <c r="G1319" s="167"/>
      <c r="H1319" s="213"/>
      <c r="I1319" s="167"/>
      <c r="J1319" s="168"/>
      <c r="K1319" s="169"/>
      <c r="L1319" s="207"/>
    </row>
    <row r="1320">
      <c r="A1320" s="203"/>
      <c r="B1320" s="204"/>
      <c r="C1320" s="205"/>
      <c r="D1320" s="205"/>
      <c r="E1320" s="276"/>
      <c r="F1320" s="166"/>
      <c r="G1320" s="167"/>
      <c r="H1320" s="213"/>
      <c r="I1320" s="167"/>
      <c r="J1320" s="168"/>
      <c r="K1320" s="169"/>
      <c r="L1320" s="207"/>
    </row>
    <row r="1321">
      <c r="A1321" s="203"/>
      <c r="B1321" s="204"/>
      <c r="C1321" s="205"/>
      <c r="D1321" s="205"/>
      <c r="E1321" s="276"/>
      <c r="F1321" s="166"/>
      <c r="G1321" s="167"/>
      <c r="H1321" s="213"/>
      <c r="I1321" s="167"/>
      <c r="J1321" s="168"/>
      <c r="K1321" s="169"/>
      <c r="L1321" s="207"/>
    </row>
    <row r="1322">
      <c r="A1322" s="203"/>
      <c r="B1322" s="204"/>
      <c r="C1322" s="205"/>
      <c r="D1322" s="205"/>
      <c r="E1322" s="276"/>
      <c r="F1322" s="166"/>
      <c r="G1322" s="167"/>
      <c r="H1322" s="213"/>
      <c r="I1322" s="167"/>
      <c r="J1322" s="168"/>
      <c r="K1322" s="169"/>
      <c r="L1322" s="207"/>
    </row>
    <row r="1323">
      <c r="A1323" s="203"/>
      <c r="B1323" s="204"/>
      <c r="C1323" s="205"/>
      <c r="D1323" s="205"/>
      <c r="E1323" s="276"/>
      <c r="F1323" s="166"/>
      <c r="G1323" s="167"/>
      <c r="H1323" s="213"/>
      <c r="I1323" s="167"/>
      <c r="J1323" s="168"/>
      <c r="K1323" s="169"/>
      <c r="L1323" s="207"/>
    </row>
    <row r="1324">
      <c r="A1324" s="203"/>
      <c r="B1324" s="204"/>
      <c r="C1324" s="205"/>
      <c r="D1324" s="205"/>
      <c r="E1324" s="276"/>
      <c r="F1324" s="166"/>
      <c r="G1324" s="167"/>
      <c r="H1324" s="213"/>
      <c r="I1324" s="167"/>
      <c r="J1324" s="168"/>
      <c r="K1324" s="169"/>
      <c r="L1324" s="207"/>
    </row>
    <row r="1325">
      <c r="A1325" s="203"/>
      <c r="B1325" s="204"/>
      <c r="C1325" s="205"/>
      <c r="D1325" s="205"/>
      <c r="E1325" s="276"/>
      <c r="F1325" s="166"/>
      <c r="G1325" s="167"/>
      <c r="H1325" s="213"/>
      <c r="I1325" s="167"/>
      <c r="J1325" s="168"/>
      <c r="K1325" s="169"/>
      <c r="L1325" s="207"/>
    </row>
    <row r="1326">
      <c r="A1326" s="203"/>
      <c r="B1326" s="204"/>
      <c r="C1326" s="205"/>
      <c r="D1326" s="205"/>
      <c r="E1326" s="276"/>
      <c r="F1326" s="166"/>
      <c r="G1326" s="167"/>
      <c r="H1326" s="213"/>
      <c r="I1326" s="167"/>
      <c r="J1326" s="168"/>
      <c r="K1326" s="169"/>
      <c r="L1326" s="207"/>
    </row>
    <row r="1327">
      <c r="A1327" s="203"/>
      <c r="B1327" s="204"/>
      <c r="C1327" s="205"/>
      <c r="D1327" s="205"/>
      <c r="E1327" s="276"/>
      <c r="F1327" s="166"/>
      <c r="G1327" s="167"/>
      <c r="H1327" s="213"/>
      <c r="I1327" s="167"/>
      <c r="J1327" s="168"/>
      <c r="K1327" s="169"/>
      <c r="L1327" s="207"/>
    </row>
    <row r="1328">
      <c r="A1328" s="203"/>
      <c r="B1328" s="204"/>
      <c r="C1328" s="205"/>
      <c r="D1328" s="205"/>
      <c r="E1328" s="276"/>
      <c r="F1328" s="166"/>
      <c r="G1328" s="167"/>
      <c r="H1328" s="213"/>
      <c r="I1328" s="167"/>
      <c r="J1328" s="168"/>
      <c r="K1328" s="169"/>
      <c r="L1328" s="207"/>
    </row>
    <row r="1329">
      <c r="A1329" s="203"/>
      <c r="B1329" s="204"/>
      <c r="C1329" s="205"/>
      <c r="D1329" s="205"/>
      <c r="E1329" s="276"/>
      <c r="F1329" s="166"/>
      <c r="G1329" s="167"/>
      <c r="H1329" s="213"/>
      <c r="I1329" s="167"/>
      <c r="J1329" s="168"/>
      <c r="K1329" s="169"/>
      <c r="L1329" s="207"/>
    </row>
    <row r="1330">
      <c r="A1330" s="203"/>
      <c r="B1330" s="204"/>
      <c r="C1330" s="205"/>
      <c r="D1330" s="205"/>
      <c r="E1330" s="276"/>
      <c r="F1330" s="166"/>
      <c r="G1330" s="167"/>
      <c r="H1330" s="213"/>
      <c r="I1330" s="167"/>
      <c r="J1330" s="168"/>
      <c r="K1330" s="169"/>
      <c r="L1330" s="207"/>
    </row>
    <row r="1331">
      <c r="A1331" s="203"/>
      <c r="B1331" s="204"/>
      <c r="C1331" s="205"/>
      <c r="D1331" s="205"/>
      <c r="E1331" s="276"/>
      <c r="F1331" s="166"/>
      <c r="G1331" s="167"/>
      <c r="H1331" s="213"/>
      <c r="I1331" s="167"/>
      <c r="J1331" s="168"/>
      <c r="K1331" s="169"/>
      <c r="L1331" s="207"/>
    </row>
    <row r="1332">
      <c r="A1332" s="203"/>
      <c r="B1332" s="204"/>
      <c r="C1332" s="205"/>
      <c r="D1332" s="205"/>
      <c r="E1332" s="276"/>
      <c r="F1332" s="166"/>
      <c r="G1332" s="167"/>
      <c r="H1332" s="213"/>
      <c r="I1332" s="167"/>
      <c r="J1332" s="168"/>
      <c r="K1332" s="169"/>
      <c r="L1332" s="207"/>
    </row>
    <row r="1333">
      <c r="A1333" s="203"/>
      <c r="B1333" s="204"/>
      <c r="C1333" s="205"/>
      <c r="D1333" s="205"/>
      <c r="E1333" s="276"/>
      <c r="F1333" s="166"/>
      <c r="G1333" s="167"/>
      <c r="H1333" s="213"/>
      <c r="I1333" s="167"/>
      <c r="J1333" s="168"/>
      <c r="K1333" s="169"/>
      <c r="L1333" s="207"/>
    </row>
    <row r="1334">
      <c r="A1334" s="203"/>
      <c r="B1334" s="204"/>
      <c r="C1334" s="205"/>
      <c r="D1334" s="205"/>
      <c r="E1334" s="276"/>
      <c r="F1334" s="166"/>
      <c r="G1334" s="167"/>
      <c r="H1334" s="213"/>
      <c r="I1334" s="167"/>
      <c r="J1334" s="168"/>
      <c r="K1334" s="169"/>
      <c r="L1334" s="207"/>
    </row>
    <row r="1335">
      <c r="A1335" s="203"/>
      <c r="B1335" s="204"/>
      <c r="C1335" s="205"/>
      <c r="D1335" s="205"/>
      <c r="E1335" s="276"/>
      <c r="F1335" s="166"/>
      <c r="G1335" s="167"/>
      <c r="H1335" s="213"/>
      <c r="I1335" s="167"/>
      <c r="J1335" s="168"/>
      <c r="K1335" s="169"/>
      <c r="L1335" s="207"/>
    </row>
    <row r="1336">
      <c r="A1336" s="203"/>
      <c r="B1336" s="204"/>
      <c r="C1336" s="205"/>
      <c r="D1336" s="205"/>
      <c r="E1336" s="276"/>
      <c r="F1336" s="166"/>
      <c r="G1336" s="167"/>
      <c r="H1336" s="213"/>
      <c r="I1336" s="167"/>
      <c r="J1336" s="168"/>
      <c r="K1336" s="169"/>
      <c r="L1336" s="207"/>
    </row>
    <row r="1337">
      <c r="A1337" s="203"/>
      <c r="B1337" s="204"/>
      <c r="C1337" s="205"/>
      <c r="D1337" s="205"/>
      <c r="E1337" s="276"/>
      <c r="F1337" s="166"/>
      <c r="G1337" s="167"/>
      <c r="H1337" s="213"/>
      <c r="I1337" s="167"/>
      <c r="J1337" s="168"/>
      <c r="K1337" s="169"/>
      <c r="L1337" s="207"/>
    </row>
    <row r="1338">
      <c r="A1338" s="203"/>
      <c r="B1338" s="204"/>
      <c r="C1338" s="205"/>
      <c r="D1338" s="205"/>
      <c r="E1338" s="276"/>
      <c r="F1338" s="166"/>
      <c r="G1338" s="167"/>
      <c r="H1338" s="213"/>
      <c r="I1338" s="167"/>
      <c r="J1338" s="168"/>
      <c r="K1338" s="169"/>
      <c r="L1338" s="207"/>
    </row>
    <row r="1339">
      <c r="A1339" s="203"/>
      <c r="B1339" s="204"/>
      <c r="C1339" s="205"/>
      <c r="D1339" s="205"/>
      <c r="E1339" s="276"/>
      <c r="F1339" s="166"/>
      <c r="G1339" s="167"/>
      <c r="H1339" s="213"/>
      <c r="I1339" s="167"/>
      <c r="J1339" s="168"/>
      <c r="K1339" s="169"/>
      <c r="L1339" s="207"/>
    </row>
    <row r="1340">
      <c r="A1340" s="203"/>
      <c r="B1340" s="204"/>
      <c r="C1340" s="205"/>
      <c r="D1340" s="205"/>
      <c r="E1340" s="276"/>
      <c r="F1340" s="166"/>
      <c r="G1340" s="167"/>
      <c r="H1340" s="213"/>
      <c r="I1340" s="167"/>
      <c r="J1340" s="168"/>
      <c r="K1340" s="169"/>
      <c r="L1340" s="207"/>
    </row>
    <row r="1341">
      <c r="A1341" s="203"/>
      <c r="B1341" s="204"/>
      <c r="C1341" s="205"/>
      <c r="D1341" s="205"/>
      <c r="E1341" s="276"/>
      <c r="F1341" s="166"/>
      <c r="G1341" s="167"/>
      <c r="H1341" s="213"/>
      <c r="I1341" s="167"/>
      <c r="J1341" s="168"/>
      <c r="K1341" s="169"/>
      <c r="L1341" s="207"/>
    </row>
    <row r="1342">
      <c r="A1342" s="203"/>
      <c r="B1342" s="204"/>
      <c r="C1342" s="205"/>
      <c r="D1342" s="205"/>
      <c r="E1342" s="276"/>
      <c r="F1342" s="166"/>
      <c r="G1342" s="167"/>
      <c r="H1342" s="213"/>
      <c r="I1342" s="167"/>
      <c r="J1342" s="168"/>
      <c r="K1342" s="169"/>
      <c r="L1342" s="207"/>
    </row>
    <row r="1343">
      <c r="A1343" s="203"/>
      <c r="B1343" s="204"/>
      <c r="C1343" s="205"/>
      <c r="D1343" s="205"/>
      <c r="E1343" s="276"/>
      <c r="F1343" s="166"/>
      <c r="G1343" s="167"/>
      <c r="H1343" s="213"/>
      <c r="I1343" s="167"/>
      <c r="J1343" s="168"/>
      <c r="K1343" s="169"/>
      <c r="L1343" s="207"/>
    </row>
    <row r="1344">
      <c r="A1344" s="203"/>
      <c r="B1344" s="204"/>
      <c r="C1344" s="205"/>
      <c r="D1344" s="205"/>
      <c r="E1344" s="276"/>
      <c r="F1344" s="166"/>
      <c r="G1344" s="167"/>
      <c r="H1344" s="213"/>
      <c r="I1344" s="167"/>
      <c r="J1344" s="168"/>
      <c r="K1344" s="169"/>
      <c r="L1344" s="207"/>
    </row>
    <row r="1345">
      <c r="A1345" s="203"/>
      <c r="B1345" s="204"/>
      <c r="C1345" s="205"/>
      <c r="D1345" s="205"/>
      <c r="E1345" s="276"/>
      <c r="F1345" s="166"/>
      <c r="G1345" s="167"/>
      <c r="H1345" s="213"/>
      <c r="I1345" s="167"/>
      <c r="J1345" s="168"/>
      <c r="K1345" s="169"/>
      <c r="L1345" s="207"/>
    </row>
    <row r="1346">
      <c r="A1346" s="203"/>
      <c r="B1346" s="204"/>
      <c r="C1346" s="205"/>
      <c r="D1346" s="205"/>
      <c r="E1346" s="276"/>
      <c r="F1346" s="166"/>
      <c r="G1346" s="167"/>
      <c r="H1346" s="213"/>
      <c r="I1346" s="167"/>
      <c r="J1346" s="168"/>
      <c r="K1346" s="169"/>
      <c r="L1346" s="207"/>
    </row>
    <row r="1347">
      <c r="A1347" s="203"/>
      <c r="B1347" s="204"/>
      <c r="C1347" s="205"/>
      <c r="D1347" s="205"/>
      <c r="E1347" s="276"/>
      <c r="F1347" s="166"/>
      <c r="G1347" s="167"/>
      <c r="H1347" s="213"/>
      <c r="I1347" s="167"/>
      <c r="J1347" s="168"/>
      <c r="K1347" s="169"/>
      <c r="L1347" s="207"/>
    </row>
    <row r="1348">
      <c r="A1348" s="203"/>
      <c r="B1348" s="204"/>
      <c r="C1348" s="205"/>
      <c r="D1348" s="205"/>
      <c r="E1348" s="276"/>
      <c r="F1348" s="166"/>
      <c r="G1348" s="167"/>
      <c r="H1348" s="213"/>
      <c r="I1348" s="167"/>
      <c r="J1348" s="168"/>
      <c r="K1348" s="169"/>
      <c r="L1348" s="207"/>
    </row>
    <row r="1349">
      <c r="A1349" s="203"/>
      <c r="B1349" s="204"/>
      <c r="C1349" s="205"/>
      <c r="D1349" s="205"/>
      <c r="E1349" s="276"/>
      <c r="F1349" s="166"/>
      <c r="G1349" s="167"/>
      <c r="H1349" s="213"/>
      <c r="I1349" s="167"/>
      <c r="J1349" s="168"/>
      <c r="K1349" s="169"/>
      <c r="L1349" s="207"/>
    </row>
    <row r="1350">
      <c r="A1350" s="203"/>
      <c r="B1350" s="204"/>
      <c r="C1350" s="205"/>
      <c r="D1350" s="205"/>
      <c r="E1350" s="276"/>
      <c r="F1350" s="166"/>
      <c r="G1350" s="167"/>
      <c r="H1350" s="213"/>
      <c r="I1350" s="167"/>
      <c r="J1350" s="168"/>
      <c r="K1350" s="169"/>
      <c r="L1350" s="207"/>
    </row>
    <row r="1351">
      <c r="A1351" s="203"/>
      <c r="B1351" s="204"/>
      <c r="C1351" s="205"/>
      <c r="D1351" s="205"/>
      <c r="E1351" s="276"/>
      <c r="F1351" s="166"/>
      <c r="G1351" s="167"/>
      <c r="H1351" s="213"/>
      <c r="I1351" s="167"/>
      <c r="J1351" s="168"/>
      <c r="K1351" s="169"/>
      <c r="L1351" s="207"/>
    </row>
    <row r="1352">
      <c r="A1352" s="203"/>
      <c r="B1352" s="204"/>
      <c r="C1352" s="205"/>
      <c r="D1352" s="205"/>
      <c r="E1352" s="276"/>
      <c r="F1352" s="166"/>
      <c r="G1352" s="167"/>
      <c r="H1352" s="213"/>
      <c r="I1352" s="167"/>
      <c r="J1352" s="168"/>
      <c r="K1352" s="169"/>
      <c r="L1352" s="207"/>
    </row>
    <row r="1353">
      <c r="A1353" s="203"/>
      <c r="B1353" s="204"/>
      <c r="C1353" s="205"/>
      <c r="D1353" s="205"/>
      <c r="E1353" s="276"/>
      <c r="F1353" s="166"/>
      <c r="G1353" s="167"/>
      <c r="H1353" s="213"/>
      <c r="I1353" s="167"/>
      <c r="J1353" s="168"/>
      <c r="K1353" s="169"/>
      <c r="L1353" s="207"/>
    </row>
    <row r="1354">
      <c r="A1354" s="203"/>
      <c r="B1354" s="204"/>
      <c r="C1354" s="205"/>
      <c r="D1354" s="205"/>
      <c r="E1354" s="276"/>
      <c r="F1354" s="166"/>
      <c r="G1354" s="167"/>
      <c r="H1354" s="213"/>
      <c r="I1354" s="167"/>
      <c r="J1354" s="168"/>
      <c r="K1354" s="169"/>
      <c r="L1354" s="207"/>
    </row>
    <row r="1355">
      <c r="A1355" s="203"/>
      <c r="B1355" s="204"/>
      <c r="C1355" s="205"/>
      <c r="D1355" s="205"/>
      <c r="E1355" s="276"/>
      <c r="F1355" s="166"/>
      <c r="G1355" s="167"/>
      <c r="H1355" s="213"/>
      <c r="I1355" s="167"/>
      <c r="J1355" s="168"/>
      <c r="K1355" s="169"/>
      <c r="L1355" s="207"/>
    </row>
    <row r="1356">
      <c r="A1356" s="203"/>
      <c r="B1356" s="204"/>
      <c r="C1356" s="205"/>
      <c r="D1356" s="205"/>
      <c r="E1356" s="276"/>
      <c r="F1356" s="166"/>
      <c r="G1356" s="167"/>
      <c r="H1356" s="213"/>
      <c r="I1356" s="167"/>
      <c r="J1356" s="168"/>
      <c r="K1356" s="169"/>
      <c r="L1356" s="207"/>
    </row>
    <row r="1357">
      <c r="A1357" s="203"/>
      <c r="B1357" s="204"/>
      <c r="C1357" s="205"/>
      <c r="D1357" s="205"/>
      <c r="E1357" s="276"/>
      <c r="F1357" s="166"/>
      <c r="G1357" s="167"/>
      <c r="H1357" s="213"/>
      <c r="I1357" s="167"/>
      <c r="J1357" s="168"/>
      <c r="K1357" s="169"/>
      <c r="L1357" s="207"/>
    </row>
    <row r="1358">
      <c r="A1358" s="203"/>
      <c r="B1358" s="204"/>
      <c r="C1358" s="205"/>
      <c r="D1358" s="205"/>
      <c r="E1358" s="276"/>
      <c r="F1358" s="166"/>
      <c r="G1358" s="167"/>
      <c r="H1358" s="213"/>
      <c r="I1358" s="167"/>
      <c r="J1358" s="168"/>
      <c r="K1358" s="169"/>
      <c r="L1358" s="207"/>
    </row>
    <row r="1359">
      <c r="A1359" s="203"/>
      <c r="B1359" s="204"/>
      <c r="C1359" s="205"/>
      <c r="D1359" s="205"/>
      <c r="E1359" s="276"/>
      <c r="F1359" s="166"/>
      <c r="G1359" s="167"/>
      <c r="H1359" s="213"/>
      <c r="I1359" s="167"/>
      <c r="J1359" s="168"/>
      <c r="K1359" s="169"/>
      <c r="L1359" s="207"/>
    </row>
    <row r="1360">
      <c r="A1360" s="203"/>
      <c r="B1360" s="204"/>
      <c r="C1360" s="205"/>
      <c r="D1360" s="205"/>
      <c r="E1360" s="276"/>
      <c r="F1360" s="166"/>
      <c r="G1360" s="167"/>
      <c r="H1360" s="213"/>
      <c r="I1360" s="167"/>
      <c r="J1360" s="168"/>
      <c r="K1360" s="169"/>
      <c r="L1360" s="207"/>
    </row>
    <row r="1361">
      <c r="A1361" s="203"/>
      <c r="B1361" s="204"/>
      <c r="C1361" s="205"/>
      <c r="D1361" s="205"/>
      <c r="E1361" s="276"/>
      <c r="F1361" s="166"/>
      <c r="G1361" s="167"/>
      <c r="H1361" s="213"/>
      <c r="I1361" s="167"/>
      <c r="J1361" s="168"/>
      <c r="K1361" s="169"/>
      <c r="L1361" s="207"/>
    </row>
    <row r="1362">
      <c r="A1362" s="203"/>
      <c r="B1362" s="204"/>
      <c r="C1362" s="205"/>
      <c r="D1362" s="205"/>
      <c r="E1362" s="276"/>
      <c r="F1362" s="166"/>
      <c r="G1362" s="167"/>
      <c r="H1362" s="213"/>
      <c r="I1362" s="167"/>
      <c r="J1362" s="168"/>
      <c r="K1362" s="169"/>
      <c r="L1362" s="207"/>
    </row>
    <row r="1363">
      <c r="A1363" s="203"/>
      <c r="B1363" s="204"/>
      <c r="C1363" s="205"/>
      <c r="D1363" s="205"/>
      <c r="E1363" s="276"/>
      <c r="F1363" s="166"/>
      <c r="G1363" s="167"/>
      <c r="H1363" s="213"/>
      <c r="I1363" s="167"/>
      <c r="J1363" s="168"/>
      <c r="K1363" s="169"/>
      <c r="L1363" s="207"/>
    </row>
    <row r="1364">
      <c r="A1364" s="203"/>
      <c r="B1364" s="204"/>
      <c r="C1364" s="205"/>
      <c r="D1364" s="205"/>
      <c r="E1364" s="276"/>
      <c r="F1364" s="166"/>
      <c r="G1364" s="167"/>
      <c r="H1364" s="213"/>
      <c r="I1364" s="167"/>
      <c r="J1364" s="168"/>
      <c r="K1364" s="169"/>
      <c r="L1364" s="207"/>
    </row>
  </sheetData>
  <autoFilter ref="$A$2:$L$863">
    <sortState ref="A2:L863">
      <sortCondition ref="A2:A863"/>
    </sortState>
  </autoFilter>
  <conditionalFormatting sqref="B1">
    <cfRule type="cellIs" dxfId="0" priority="1" operator="equal">
      <formula>"Xbox"</formula>
    </cfRule>
  </conditionalFormatting>
  <conditionalFormatting sqref="A3:A1364">
    <cfRule type="expression" dxfId="1" priority="2">
      <formula>MATCH(A3,INDIRECT("'Xbox Game Studios'!A:A"),0)</formula>
    </cfRule>
  </conditionalFormatting>
  <conditionalFormatting sqref="A3:A1364">
    <cfRule type="expression" dxfId="2" priority="3">
      <formula>MATCH(A3,INDIRECT("'EA Play'!A:A"),0)</formula>
    </cfRule>
  </conditionalFormatting>
  <conditionalFormatting sqref="A3:A1364 D3:D1364">
    <cfRule type="expression" dxfId="3" priority="4">
      <formula>$D3="Coming Soon"</formula>
    </cfRule>
  </conditionalFormatting>
  <conditionalFormatting sqref="A3:A1364 D3:D1364">
    <cfRule type="expression" dxfId="4" priority="5">
      <formula>$D3="Removed"</formula>
    </cfRule>
  </conditionalFormatting>
  <conditionalFormatting sqref="A3:A1364 D3:D1364">
    <cfRule type="expression" dxfId="5" priority="6">
      <formula>$D3="Leaving Soon"</formula>
    </cfRule>
  </conditionalFormatting>
  <conditionalFormatting sqref="E3:E1364 I3:I1364">
    <cfRule type="expression" dxfId="0" priority="7">
      <formula>AND($E3&lt;&gt;"",(($E3-$H3)/365*12)&lt;1)</formula>
    </cfRule>
  </conditionalFormatting>
  <conditionalFormatting sqref="J3:J1364">
    <cfRule type="cellIs" dxfId="2" priority="8" operator="between">
      <formula>75</formula>
      <formula>89</formula>
    </cfRule>
  </conditionalFormatting>
  <conditionalFormatting sqref="J3:J1364">
    <cfRule type="cellIs" dxfId="1" priority="9" operator="between">
      <formula>50</formula>
      <formula>74</formula>
    </cfRule>
  </conditionalFormatting>
  <conditionalFormatting sqref="J3:J1364">
    <cfRule type="cellIs" dxfId="4" priority="10" operator="between">
      <formula>1</formula>
      <formula>49</formula>
    </cfRule>
  </conditionalFormatting>
  <conditionalFormatting sqref="B3:B1364">
    <cfRule type="expression" dxfId="6" priority="11">
      <formula>AND(MATCH(A3,INDIRECT("'Cross Play'!D2:D"),0),MATCH(A3,INDIRECT("'Cross Play'!A2:A"),0))</formula>
    </cfRule>
  </conditionalFormatting>
  <conditionalFormatting sqref="B3:B1364">
    <cfRule type="expression" dxfId="7" priority="12">
      <formula>MATCH(A3,INDIRECT("'Cross Play'!A2:A"),0)</formula>
    </cfRule>
  </conditionalFormatting>
  <conditionalFormatting sqref="B3:B1364">
    <cfRule type="expression" dxfId="8" priority="13">
      <formula>MATCH(A3,INDIRECT("'Cross Play'!D2:D"),0)</formula>
    </cfRule>
  </conditionalFormatting>
  <conditionalFormatting sqref="I3:I1364">
    <cfRule type="colorScale" priority="14">
      <colorScale>
        <cfvo type="min"/>
        <cfvo type="percentile" val="50"/>
        <cfvo type="max"/>
        <color rgb="FFB6D7A8"/>
        <color rgb="FFFFE599"/>
        <color rgb="FFEA9999"/>
      </colorScale>
    </cfRule>
  </conditionalFormatting>
  <conditionalFormatting sqref="A212">
    <cfRule type="notContainsBlanks" dxfId="2" priority="15">
      <formula>LEN(TRIM(A212))&gt;0</formula>
    </cfRule>
  </conditionalFormatting>
  <conditionalFormatting sqref="J2:J1364 K2">
    <cfRule type="cellIs" dxfId="9" priority="16" operator="between">
      <formula>90</formula>
      <formula>100</formula>
    </cfRule>
  </conditionalFormatting>
  <conditionalFormatting sqref="G3:G1364">
    <cfRule type="expression" dxfId="10" priority="17">
      <formula>MATCH(A3,INDIRECT("'Xbox Game Studios'!A:A"),0)</formula>
    </cfRule>
  </conditionalFormatting>
  <conditionalFormatting sqref="G3:G1364">
    <cfRule type="expression" dxfId="10" priority="18">
      <formula>MATCH(A3,INDIRECT("'EA Play'!A:A"),0)</formula>
    </cfRule>
  </conditionalFormatting>
  <conditionalFormatting sqref="G3:G1364">
    <cfRule type="expression" dxfId="5" priority="19">
      <formula>AND(D3="Active",OR(AND(G3&gt;11,G3&lt;13),AND(G3&gt;23,G3&lt;25),AND(G3&gt;35,G3&lt;37)),)</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9.75"/>
    <col customWidth="1" min="3" max="3" width="8.63"/>
    <col customWidth="1" min="4" max="4" width="11.25"/>
  </cols>
  <sheetData>
    <row r="1">
      <c r="A1" s="172" t="s">
        <v>3803</v>
      </c>
      <c r="B1" s="172" t="s">
        <v>2851</v>
      </c>
      <c r="C1" s="172" t="s">
        <v>12</v>
      </c>
      <c r="D1" s="172" t="s">
        <v>11</v>
      </c>
    </row>
    <row r="2">
      <c r="A2" s="190" t="s">
        <v>321</v>
      </c>
      <c r="B2" s="277" t="str">
        <f>VLOOKUP(A2,'Master List'!A:E,2,)</f>
        <v>Xbox</v>
      </c>
      <c r="C2" s="278">
        <f>VLOOKUP(A2,'Master List'!A:E,5,)</f>
        <v>45762</v>
      </c>
      <c r="D2" s="277" t="str">
        <f>VLOOKUP(A2,'Master List'!A:E,4,)</f>
        <v>Active</v>
      </c>
    </row>
    <row r="3">
      <c r="A3" s="190" t="s">
        <v>326</v>
      </c>
      <c r="B3" s="277" t="str">
        <f>VLOOKUP(A3,'Master List'!A:E,2,)</f>
        <v>Xbox</v>
      </c>
      <c r="C3" s="278">
        <f>VLOOKUP(A3,'Master List'!A:E,5,)</f>
        <v>45743</v>
      </c>
      <c r="D3" s="277" t="str">
        <f>VLOOKUP(A3,'Master List'!A:E,4,)</f>
        <v>Active</v>
      </c>
    </row>
    <row r="4">
      <c r="A4" s="190" t="s">
        <v>343</v>
      </c>
      <c r="B4" s="277" t="str">
        <f>VLOOKUP(A4,'Master List'!A:E,2,)</f>
        <v>Xbox / PC</v>
      </c>
      <c r="C4" s="278">
        <f>VLOOKUP(A4,'Master List'!A:E,5,)</f>
        <v>45708</v>
      </c>
      <c r="D4" s="277" t="str">
        <f>VLOOKUP(A4,'Master List'!A:E,4,)</f>
        <v>Active</v>
      </c>
    </row>
    <row r="5">
      <c r="A5" s="190" t="s">
        <v>348</v>
      </c>
      <c r="B5" s="277" t="str">
        <f>VLOOKUP(A5,'Master List'!A:E,2,)</f>
        <v>Xbox / PC</v>
      </c>
      <c r="C5" s="278">
        <f>VLOOKUP(A5,'Master List'!A:E,5,)</f>
        <v>45694</v>
      </c>
      <c r="D5" s="277" t="str">
        <f>VLOOKUP(A5,'Master List'!A:E,4,)</f>
        <v>Active</v>
      </c>
    </row>
    <row r="6">
      <c r="A6" s="180" t="s">
        <v>360</v>
      </c>
      <c r="B6" s="175" t="str">
        <f>VLOOKUP(A6,'Master List'!A:E,2,)</f>
        <v>Xbox</v>
      </c>
      <c r="C6" s="176">
        <f>VLOOKUP(A6,'Master List'!A:E,5,)</f>
        <v>45671</v>
      </c>
      <c r="D6" s="175" t="str">
        <f>VLOOKUP(A6,'Master List'!A:E,4,)</f>
        <v>Active</v>
      </c>
    </row>
    <row r="7">
      <c r="A7" s="190" t="s">
        <v>375</v>
      </c>
      <c r="B7" s="277" t="str">
        <f>VLOOKUP(A7,'Master List'!A:E,2,)</f>
        <v>Xbox / PC</v>
      </c>
      <c r="C7" s="278">
        <f>VLOOKUP(A7,'Master List'!A:E,5,)</f>
        <v>45631</v>
      </c>
      <c r="D7" s="277" t="str">
        <f>VLOOKUP(A7,'Master List'!A:E,4,)</f>
        <v>Active</v>
      </c>
    </row>
    <row r="8">
      <c r="A8" s="190" t="s">
        <v>430</v>
      </c>
      <c r="B8" s="277" t="str">
        <f>VLOOKUP(A8,'Master List'!A:E,2,)</f>
        <v>Xbox / PC</v>
      </c>
      <c r="C8" s="278">
        <f>VLOOKUP(A8,'Master List'!A:E,5,)</f>
        <v>45468</v>
      </c>
      <c r="D8" s="277" t="str">
        <f>VLOOKUP(A8,'Master List'!A:E,4,)</f>
        <v>Active</v>
      </c>
    </row>
    <row r="9">
      <c r="A9" s="190" t="s">
        <v>445</v>
      </c>
      <c r="B9" s="277" t="str">
        <f>VLOOKUP(A9,'Master List'!A:E,2,)</f>
        <v>Xbox / PC</v>
      </c>
      <c r="C9" s="278">
        <f>VLOOKUP(A9,'Master List'!A:E,5,)</f>
        <v>45427</v>
      </c>
      <c r="D9" s="277" t="str">
        <f>VLOOKUP(A9,'Master List'!A:E,4,)</f>
        <v>Active</v>
      </c>
    </row>
    <row r="10">
      <c r="A10" s="190" t="s">
        <v>459</v>
      </c>
      <c r="B10" s="277" t="str">
        <f>VLOOKUP(A10,'Master List'!A:E,2,)</f>
        <v>Xbox / PC</v>
      </c>
      <c r="C10" s="278">
        <f>VLOOKUP(A10,'Master List'!A:E,5,)</f>
        <v>45407</v>
      </c>
      <c r="D10" s="277" t="str">
        <f>VLOOKUP(A10,'Master List'!A:E,4,)</f>
        <v>Active</v>
      </c>
    </row>
    <row r="11">
      <c r="A11" s="190" t="s">
        <v>463</v>
      </c>
      <c r="B11" s="277" t="str">
        <f>VLOOKUP(A11,'Master List'!A:E,2,)</f>
        <v>Xbox</v>
      </c>
      <c r="C11" s="278">
        <f>VLOOKUP(A11,'Master List'!A:E,5,)</f>
        <v>45400</v>
      </c>
      <c r="D11" s="277" t="str">
        <f>VLOOKUP(A11,'Master List'!A:E,4,)</f>
        <v>Active</v>
      </c>
    </row>
    <row r="12">
      <c r="A12" s="190" t="s">
        <v>466</v>
      </c>
      <c r="B12" s="277" t="str">
        <f>VLOOKUP(A12,'Master List'!A:E,2,)</f>
        <v>PC</v>
      </c>
      <c r="C12" s="278">
        <f>VLOOKUP(A12,'Master List'!A:E,5,)</f>
        <v>45398</v>
      </c>
      <c r="D12" s="277" t="str">
        <f>VLOOKUP(A12,'Master List'!A:E,4,)</f>
        <v>Active</v>
      </c>
    </row>
    <row r="13">
      <c r="A13" s="190" t="s">
        <v>467</v>
      </c>
      <c r="B13" s="277" t="str">
        <f>VLOOKUP(A13,'Master List'!A:E,2,)</f>
        <v>PC</v>
      </c>
      <c r="C13" s="278">
        <f>VLOOKUP(A13,'Master List'!A:E,5,)</f>
        <v>45398</v>
      </c>
      <c r="D13" s="277" t="str">
        <f>VLOOKUP(A13,'Master List'!A:E,4,)</f>
        <v>Active</v>
      </c>
    </row>
    <row r="14">
      <c r="A14" s="190" t="s">
        <v>469</v>
      </c>
      <c r="B14" s="277" t="str">
        <f>VLOOKUP(A14,'Master List'!A:E,2,)</f>
        <v>PC</v>
      </c>
      <c r="C14" s="278">
        <f>VLOOKUP(A14,'Master List'!A:E,5,)</f>
        <v>45398</v>
      </c>
      <c r="D14" s="277" t="str">
        <f>VLOOKUP(A14,'Master List'!A:E,4,)</f>
        <v>Active</v>
      </c>
    </row>
    <row r="15">
      <c r="A15" s="190" t="s">
        <v>472</v>
      </c>
      <c r="B15" s="277" t="str">
        <f>VLOOKUP(A15,'Master List'!A:E,2,)</f>
        <v>Xbox / PC</v>
      </c>
      <c r="C15" s="278">
        <f>VLOOKUP(A15,'Master List'!A:E,5,)</f>
        <v>45386</v>
      </c>
      <c r="D15" s="277" t="str">
        <f>VLOOKUP(A15,'Master List'!A:E,4,)</f>
        <v>Active</v>
      </c>
    </row>
    <row r="16">
      <c r="A16" s="190" t="s">
        <v>493</v>
      </c>
      <c r="B16" s="175" t="str">
        <f>VLOOKUP(A16,'Master List'!A:E,2,)</f>
        <v>Xbox / PC</v>
      </c>
      <c r="C16" s="176">
        <f>VLOOKUP(A16,'Master List'!A:E,5,)</f>
        <v>45330</v>
      </c>
      <c r="D16" s="175" t="str">
        <f>VLOOKUP(A16,'Master List'!A:E,4,)</f>
        <v>Active</v>
      </c>
    </row>
    <row r="17">
      <c r="A17" s="180" t="s">
        <v>499</v>
      </c>
      <c r="B17" s="175" t="str">
        <f>VLOOKUP(A17,'Master List'!A:E,2,)</f>
        <v>Xbox / PC</v>
      </c>
      <c r="C17" s="176">
        <f>VLOOKUP(A17,'Master List'!A:E,5,)</f>
        <v>45309</v>
      </c>
      <c r="D17" s="175" t="str">
        <f>VLOOKUP(A17,'Master List'!A:E,4,)</f>
        <v>Active</v>
      </c>
    </row>
    <row r="18">
      <c r="A18" s="190" t="s">
        <v>502</v>
      </c>
      <c r="B18" s="175" t="str">
        <f>VLOOKUP(A18,'Master List'!A:E,2,)</f>
        <v>Xbox / PC</v>
      </c>
      <c r="C18" s="176">
        <f>VLOOKUP(A18,'Master List'!A:E,5,)</f>
        <v>45302</v>
      </c>
      <c r="D18" s="175" t="str">
        <f>VLOOKUP(A18,'Master List'!A:E,4,)</f>
        <v>Active</v>
      </c>
    </row>
    <row r="19">
      <c r="A19" s="190" t="s">
        <v>525</v>
      </c>
      <c r="B19" s="175" t="str">
        <f>VLOOKUP(A19,'Master List'!A:E,2,)</f>
        <v>Xbox / PC</v>
      </c>
      <c r="C19" s="176">
        <f>VLOOKUP(A19,'Master List'!A:E,5,)</f>
        <v>45239</v>
      </c>
      <c r="D19" s="175" t="str">
        <f>VLOOKUP(A19,'Master List'!A:E,4,)</f>
        <v>Active</v>
      </c>
    </row>
    <row r="20">
      <c r="A20" s="180" t="s">
        <v>534</v>
      </c>
      <c r="B20" s="175" t="str">
        <f>VLOOKUP(A20,'Master List'!A:E,2,)</f>
        <v>Xbox / PC</v>
      </c>
      <c r="C20" s="176">
        <f>VLOOKUP(A20,'Master List'!A:E,5,)</f>
        <v>45225</v>
      </c>
      <c r="D20" s="175" t="str">
        <f>VLOOKUP(A20,'Master List'!A:E,4,)</f>
        <v>Active</v>
      </c>
    </row>
    <row r="21">
      <c r="A21" s="190" t="s">
        <v>559</v>
      </c>
      <c r="B21" s="175" t="str">
        <f>VLOOKUP(A21,'Master List'!A:E,2,)</f>
        <v>Xbox / PC</v>
      </c>
      <c r="C21" s="176">
        <f>VLOOKUP(A21,'Master List'!A:E,5,)</f>
        <v>45099</v>
      </c>
      <c r="D21" s="175" t="str">
        <f>VLOOKUP(A21,'Master List'!A:E,4,)</f>
        <v>Active</v>
      </c>
    </row>
    <row r="22">
      <c r="A22" s="180" t="s">
        <v>1423</v>
      </c>
      <c r="B22" s="175" t="str">
        <f>VLOOKUP(A22,'Master List'!A:E,2,)</f>
        <v>Xbox / PC</v>
      </c>
      <c r="C22" s="176">
        <f>VLOOKUP(A22,'Master List'!A:E,5,)</f>
        <v>45062</v>
      </c>
      <c r="D22" s="175" t="str">
        <f>VLOOKUP(A22,'Master List'!A:E,4,)</f>
        <v>Removed</v>
      </c>
    </row>
    <row r="23">
      <c r="A23" s="190" t="s">
        <v>579</v>
      </c>
      <c r="B23" s="277" t="str">
        <f>VLOOKUP(A23,'Master List'!A:E,2,)</f>
        <v>Xbox</v>
      </c>
      <c r="C23" s="278">
        <f>VLOOKUP(A23,'Master List'!A:E,5,)</f>
        <v>45029</v>
      </c>
      <c r="D23" s="277" t="str">
        <f>VLOOKUP(A23,'Master List'!A:E,4,)</f>
        <v>Active</v>
      </c>
    </row>
    <row r="24">
      <c r="A24" s="190" t="s">
        <v>1322</v>
      </c>
      <c r="B24" s="277" t="str">
        <f>VLOOKUP(A24,'Master List'!A:E,2,)</f>
        <v>Xbox / PC</v>
      </c>
      <c r="C24" s="278">
        <f>VLOOKUP(A24,'Master List'!A:E,5,)</f>
        <v>44987</v>
      </c>
      <c r="D24" s="277" t="str">
        <f>VLOOKUP(A24,'Master List'!A:E,4,)</f>
        <v>Removed</v>
      </c>
    </row>
    <row r="25">
      <c r="A25" s="180" t="s">
        <v>589</v>
      </c>
      <c r="B25" s="175" t="str">
        <f>VLOOKUP(A25,'Master List'!A:E,2,)</f>
        <v>Xbox / PC</v>
      </c>
      <c r="C25" s="176">
        <f>VLOOKUP(A25,'Master List'!A:E,5,)</f>
        <v>44966</v>
      </c>
      <c r="D25" s="175" t="str">
        <f>VLOOKUP(A25,'Master List'!A:E,4,)</f>
        <v>Active</v>
      </c>
    </row>
    <row r="26">
      <c r="A26" s="180" t="s">
        <v>594</v>
      </c>
      <c r="B26" s="175" t="str">
        <f>VLOOKUP(A26,'Master List'!A:E,2,)</f>
        <v>PC</v>
      </c>
      <c r="C26" s="176">
        <f>VLOOKUP(A26,'Master List'!A:E,5,)</f>
        <v>44901</v>
      </c>
      <c r="D26" s="175" t="str">
        <f>VLOOKUP(A26,'Master List'!A:E,4,)</f>
        <v>Active</v>
      </c>
    </row>
    <row r="27">
      <c r="A27" s="180" t="s">
        <v>596</v>
      </c>
      <c r="B27" s="175" t="str">
        <f>VLOOKUP(A27,'Master List'!A:E,2,)</f>
        <v>PC</v>
      </c>
      <c r="C27" s="176">
        <f>VLOOKUP(A27,'Master List'!A:E,5,)</f>
        <v>44901</v>
      </c>
      <c r="D27" s="175" t="str">
        <f>VLOOKUP(A27,'Master List'!A:E,4,)</f>
        <v>Active</v>
      </c>
    </row>
    <row r="28">
      <c r="A28" s="180" t="s">
        <v>597</v>
      </c>
      <c r="B28" s="175" t="str">
        <f>VLOOKUP(A28,'Master List'!A:E,2,)</f>
        <v>PC</v>
      </c>
      <c r="C28" s="176">
        <f>VLOOKUP(A28,'Master List'!A:E,5,)</f>
        <v>44901</v>
      </c>
      <c r="D28" s="175" t="str">
        <f>VLOOKUP(A28,'Master List'!A:E,4,)</f>
        <v>Active</v>
      </c>
    </row>
    <row r="29">
      <c r="A29" s="180" t="s">
        <v>620</v>
      </c>
      <c r="B29" s="175" t="str">
        <f>VLOOKUP(A29,'Master List'!A:E,2,)</f>
        <v>Xbox / PC</v>
      </c>
      <c r="C29" s="176">
        <f>VLOOKUP(A29,'Master List'!A:E,5,)</f>
        <v>44887</v>
      </c>
      <c r="D29" s="175" t="str">
        <f>VLOOKUP(A29,'Master List'!A:E,4,)</f>
        <v>Active</v>
      </c>
    </row>
    <row r="30">
      <c r="A30" s="180" t="s">
        <v>642</v>
      </c>
      <c r="B30" s="175" t="str">
        <f>VLOOKUP(A30,'Master List'!A:E,2,)</f>
        <v>Xbox / PC</v>
      </c>
      <c r="C30" s="176">
        <f>VLOOKUP(A30,'Master List'!A:E,5,)</f>
        <v>44805</v>
      </c>
      <c r="D30" s="175" t="str">
        <f>VLOOKUP(A30,'Master List'!A:E,4,)</f>
        <v>Active</v>
      </c>
    </row>
    <row r="31">
      <c r="A31" s="180" t="s">
        <v>1460</v>
      </c>
      <c r="B31" s="175" t="str">
        <f>VLOOKUP(A31,'Master List'!A:E,2,)</f>
        <v>Xbox / PC</v>
      </c>
      <c r="C31" s="176">
        <f>VLOOKUP(A31,'Master List'!A:E,5,)</f>
        <v>44735</v>
      </c>
      <c r="D31" s="175" t="str">
        <f>VLOOKUP(A31,'Master List'!A:E,4,)</f>
        <v>Removed</v>
      </c>
    </row>
    <row r="32">
      <c r="A32" s="180" t="s">
        <v>1491</v>
      </c>
      <c r="B32" s="175" t="str">
        <f>VLOOKUP(A32,'Master List'!A:E,2,)</f>
        <v>Xbox</v>
      </c>
      <c r="C32" s="176">
        <f>VLOOKUP(A32,'Master List'!A:E,5,)</f>
        <v>44693</v>
      </c>
      <c r="D32" s="175" t="str">
        <f>VLOOKUP(A32,'Master List'!A:E,4,)</f>
        <v>Removed</v>
      </c>
    </row>
    <row r="33">
      <c r="A33" s="180" t="s">
        <v>3804</v>
      </c>
      <c r="B33" s="175" t="str">
        <f>VLOOKUP(A33,'Master List'!A:E,2,)</f>
        <v>Xbox / PC</v>
      </c>
      <c r="C33" s="176">
        <f>VLOOKUP(A33,'Master List'!A:E,5,)</f>
        <v>44663</v>
      </c>
      <c r="D33" s="175" t="str">
        <f>VLOOKUP(A33,'Master List'!A:E,4,)</f>
        <v>Active</v>
      </c>
    </row>
    <row r="34">
      <c r="A34" s="180" t="s">
        <v>1522</v>
      </c>
      <c r="B34" s="175" t="str">
        <f>VLOOKUP(A34,'Master List'!A:E,2,)</f>
        <v>Xbox</v>
      </c>
      <c r="C34" s="176">
        <f>VLOOKUP(A34,'Master List'!A:E,5,)</f>
        <v>44644</v>
      </c>
      <c r="D34" s="175" t="str">
        <f>VLOOKUP(A34,'Master List'!A:E,4,)</f>
        <v>Removed</v>
      </c>
    </row>
    <row r="35">
      <c r="A35" s="180" t="s">
        <v>693</v>
      </c>
      <c r="B35" s="175" t="str">
        <f>VLOOKUP(A35,'Master List'!A:E,2,)</f>
        <v>Xbox / PC</v>
      </c>
      <c r="C35" s="176">
        <f>VLOOKUP(A35,'Master List'!A:E,5,)</f>
        <v>44616</v>
      </c>
      <c r="D35" s="175" t="str">
        <f>VLOOKUP(A35,'Master List'!A:E,4,)</f>
        <v>Active</v>
      </c>
    </row>
    <row r="36">
      <c r="A36" s="180" t="s">
        <v>1517</v>
      </c>
      <c r="B36" s="175" t="str">
        <f>VLOOKUP(A36,'Master List'!A:E,2,)</f>
        <v>Xbox / PC</v>
      </c>
      <c r="C36" s="176">
        <f>VLOOKUP(A36,'Master List'!A:E,5,)</f>
        <v>44609</v>
      </c>
      <c r="D36" s="175" t="str">
        <f>VLOOKUP(A36,'Master List'!A:E,4,)</f>
        <v>Removed</v>
      </c>
    </row>
    <row r="37">
      <c r="A37" s="180" t="s">
        <v>700</v>
      </c>
      <c r="B37" s="175" t="str">
        <f>VLOOKUP(A37,'Master List'!A:E,2,)</f>
        <v>PC</v>
      </c>
      <c r="C37" s="176">
        <f>VLOOKUP(A37,'Master List'!A:E,5,)</f>
        <v>44597</v>
      </c>
      <c r="D37" s="175" t="str">
        <f>VLOOKUP(A37,'Master List'!A:E,4,)</f>
        <v>Active</v>
      </c>
    </row>
    <row r="38">
      <c r="A38" s="180" t="s">
        <v>702</v>
      </c>
      <c r="B38" s="175" t="str">
        <f>VLOOKUP(A38,'Master List'!A:E,2,)</f>
        <v>Xbox / PC</v>
      </c>
      <c r="C38" s="176">
        <f>VLOOKUP(A38,'Master List'!A:E,5,)</f>
        <v>44567</v>
      </c>
      <c r="D38" s="175" t="str">
        <f>VLOOKUP(A38,'Master List'!A:E,4,)</f>
        <v>Active</v>
      </c>
    </row>
    <row r="39">
      <c r="A39" s="180" t="s">
        <v>720</v>
      </c>
      <c r="B39" s="175" t="str">
        <f>VLOOKUP(A39,'Master List'!A:E,2,)</f>
        <v>Xbox / PC</v>
      </c>
      <c r="C39" s="176">
        <f>VLOOKUP(A39,'Master List'!A:E,5,)</f>
        <v>44504</v>
      </c>
      <c r="D39" s="175" t="str">
        <f>VLOOKUP(A39,'Master List'!A:E,4,)</f>
        <v>Active</v>
      </c>
    </row>
    <row r="40">
      <c r="A40" s="180" t="s">
        <v>729</v>
      </c>
      <c r="B40" s="175" t="str">
        <f>VLOOKUP(A40,'Master List'!A:E,2,)</f>
        <v>PC</v>
      </c>
      <c r="C40" s="176">
        <f>VLOOKUP(A40,'Master List'!A:E,5,)</f>
        <v>44469</v>
      </c>
      <c r="D40" s="175" t="str">
        <f>VLOOKUP(A40,'Master List'!A:E,4,)</f>
        <v>Active</v>
      </c>
    </row>
    <row r="41">
      <c r="A41" s="180" t="s">
        <v>1853</v>
      </c>
      <c r="B41" s="175" t="str">
        <f>VLOOKUP(A41,'Master List'!A:E,2,)</f>
        <v>Xbox</v>
      </c>
      <c r="C41" s="188">
        <f>VLOOKUP(A41,'Master List'!A:E,5,)</f>
        <v>44418</v>
      </c>
      <c r="D41" s="175" t="str">
        <f>VLOOKUP(A41,'Master List'!A:E,4,)</f>
        <v>Removed</v>
      </c>
    </row>
    <row r="42">
      <c r="A42" s="180" t="s">
        <v>1856</v>
      </c>
      <c r="B42" s="175" t="str">
        <f>VLOOKUP(A42,'Master List'!A:E,2,)</f>
        <v>Xbox</v>
      </c>
      <c r="C42" s="188">
        <f>VLOOKUP(A42,'Master List'!A:E,5,)</f>
        <v>44418</v>
      </c>
      <c r="D42" s="175" t="str">
        <f>VLOOKUP(A42,'Master List'!A:E,4,)</f>
        <v>Removed</v>
      </c>
    </row>
    <row r="43">
      <c r="A43" s="180" t="s">
        <v>741</v>
      </c>
      <c r="B43" s="175" t="str">
        <f>VLOOKUP(A43,'Master List'!A:E,2,)</f>
        <v>PC</v>
      </c>
      <c r="C43" s="176">
        <f>VLOOKUP(A43,'Master List'!A:E,5,)</f>
        <v>44425</v>
      </c>
      <c r="D43" s="175" t="str">
        <f>VLOOKUP(A43,'Master List'!A:E,4,)</f>
        <v>Active</v>
      </c>
    </row>
    <row r="44">
      <c r="A44" s="180" t="s">
        <v>743</v>
      </c>
      <c r="B44" s="175" t="str">
        <f>VLOOKUP(A44,'Master List'!A:E,2,)</f>
        <v>PC</v>
      </c>
      <c r="C44" s="176">
        <f>VLOOKUP(A44,'Master List'!A:E,5,)</f>
        <v>44425</v>
      </c>
      <c r="D44" s="175" t="str">
        <f>VLOOKUP(A44,'Master List'!A:E,4,)</f>
        <v>Active</v>
      </c>
    </row>
    <row r="45">
      <c r="A45" s="180" t="s">
        <v>745</v>
      </c>
      <c r="B45" s="175" t="str">
        <f>VLOOKUP(A45,'Master List'!A:E,2,)</f>
        <v>PC</v>
      </c>
      <c r="C45" s="176">
        <f>VLOOKUP(A45,'Master List'!A:E,5,)</f>
        <v>44425</v>
      </c>
      <c r="D45" s="175" t="str">
        <f>VLOOKUP(A45,'Master List'!A:E,4,)</f>
        <v>Active</v>
      </c>
    </row>
    <row r="46">
      <c r="A46" s="180" t="s">
        <v>748</v>
      </c>
      <c r="B46" s="175" t="str">
        <f>VLOOKUP(A46,'Master List'!A:E,2,)</f>
        <v>Xbox</v>
      </c>
      <c r="C46" s="188">
        <f>VLOOKUP(A46,'Master List'!A:E,5,)</f>
        <v>44418</v>
      </c>
      <c r="D46" s="175" t="str">
        <f>VLOOKUP(A46,'Master List'!A:E,4,)</f>
        <v>Active</v>
      </c>
    </row>
    <row r="47">
      <c r="A47" s="180" t="s">
        <v>1730</v>
      </c>
      <c r="B47" s="175" t="str">
        <f>VLOOKUP(A47,'Master List'!A:E,2,)</f>
        <v>Xbox</v>
      </c>
      <c r="C47" s="176">
        <f>VLOOKUP(A47,'Master List'!A:E,5,)</f>
        <v>44418</v>
      </c>
      <c r="D47" s="175" t="str">
        <f>VLOOKUP(A47,'Master List'!A:E,4,)</f>
        <v>Removed</v>
      </c>
    </row>
    <row r="48">
      <c r="A48" s="180" t="s">
        <v>1543</v>
      </c>
      <c r="B48" s="175" t="str">
        <f>VLOOKUP(A48,'Master List'!A:E,2,)</f>
        <v>Xbox</v>
      </c>
      <c r="C48" s="176">
        <f>VLOOKUP(A48,'Master List'!A:E,5,)</f>
        <v>44418</v>
      </c>
      <c r="D48" s="175" t="str">
        <f>VLOOKUP(A48,'Master List'!A:E,4,)</f>
        <v>Removed</v>
      </c>
    </row>
    <row r="49">
      <c r="A49" s="180" t="s">
        <v>750</v>
      </c>
      <c r="B49" s="175" t="str">
        <f>VLOOKUP(A49,'Master List'!A:E,2,)</f>
        <v>Xbox</v>
      </c>
      <c r="C49" s="176">
        <f>VLOOKUP(A49,'Master List'!A:E,5,)</f>
        <v>44413</v>
      </c>
      <c r="D49" s="175" t="str">
        <f>VLOOKUP(A49,'Master List'!A:E,4,)</f>
        <v>Active</v>
      </c>
    </row>
    <row r="50">
      <c r="A50" s="180" t="s">
        <v>758</v>
      </c>
      <c r="B50" s="175" t="str">
        <f>VLOOKUP(A50,'Master List'!A:E,2,)</f>
        <v>Xbox</v>
      </c>
      <c r="C50" s="176">
        <f>VLOOKUP(A50,'Master List'!A:E,5,)</f>
        <v>44385</v>
      </c>
      <c r="D50" s="175" t="str">
        <f>VLOOKUP(A50,'Master List'!A:E,4,)</f>
        <v>Active</v>
      </c>
    </row>
    <row r="51">
      <c r="A51" s="180" t="s">
        <v>763</v>
      </c>
      <c r="B51" s="175" t="str">
        <f>VLOOKUP(A51,'Master List'!A:E,2,)</f>
        <v>Xbox / PC</v>
      </c>
      <c r="C51" s="176">
        <f>VLOOKUP(A51,'Master List'!A:E,5,)</f>
        <v>44371</v>
      </c>
      <c r="D51" s="175" t="str">
        <f>VLOOKUP(A51,'Master List'!A:E,4,)</f>
        <v>Active</v>
      </c>
    </row>
    <row r="52">
      <c r="A52" s="180" t="s">
        <v>1973</v>
      </c>
      <c r="B52" s="175" t="str">
        <f>VLOOKUP(A52,'Master List'!A:E,2,)</f>
        <v>Xbox / PC</v>
      </c>
      <c r="C52" s="176">
        <f>VLOOKUP(A52,'Master List'!A:E,5,)</f>
        <v>44337</v>
      </c>
      <c r="D52" s="175" t="str">
        <f>VLOOKUP(A52,'Master List'!A:E,4,)</f>
        <v>Removed</v>
      </c>
    </row>
    <row r="53">
      <c r="A53" s="180" t="s">
        <v>1671</v>
      </c>
      <c r="B53" s="175" t="str">
        <f>VLOOKUP(A53,'Master List'!A:E,2,)</f>
        <v>Xbox / PC</v>
      </c>
      <c r="C53" s="176">
        <f>VLOOKUP(A53,'Master List'!A:E,5,)</f>
        <v>44322</v>
      </c>
      <c r="D53" s="175" t="str">
        <f>VLOOKUP(A53,'Master List'!A:E,4,)</f>
        <v>Removed</v>
      </c>
    </row>
    <row r="54">
      <c r="A54" s="180" t="s">
        <v>1692</v>
      </c>
      <c r="B54" s="175" t="str">
        <f>VLOOKUP(A54,'Master List'!A:E,2,)</f>
        <v>Xbox</v>
      </c>
      <c r="C54" s="176">
        <f>VLOOKUP(A54,'Master List'!A:E,5,)</f>
        <v>44298</v>
      </c>
      <c r="D54" s="175" t="str">
        <f>VLOOKUP(A54,'Master List'!A:E,4,)</f>
        <v>Removed</v>
      </c>
    </row>
    <row r="55">
      <c r="A55" s="180" t="s">
        <v>820</v>
      </c>
      <c r="B55" s="175" t="str">
        <f>VLOOKUP(A55,'Master List'!A:E,2,)</f>
        <v>Xbox / PC</v>
      </c>
      <c r="C55" s="176">
        <f>VLOOKUP(A55,'Master List'!A:E,5,)</f>
        <v>44273</v>
      </c>
      <c r="D55" s="175" t="str">
        <f>VLOOKUP(A55,'Master List'!A:E,4,)</f>
        <v>Active</v>
      </c>
    </row>
    <row r="56">
      <c r="A56" s="180" t="s">
        <v>2256</v>
      </c>
      <c r="B56" s="175" t="str">
        <f>VLOOKUP(A56,'Master List'!A:E,2,)</f>
        <v>PC</v>
      </c>
      <c r="C56" s="176">
        <f>VLOOKUP(A56,'Master List'!A:E,5,)</f>
        <v>44273</v>
      </c>
      <c r="D56" s="175" t="str">
        <f>VLOOKUP(A56,'Master List'!A:E,4,)</f>
        <v>Removed</v>
      </c>
    </row>
    <row r="57">
      <c r="A57" s="180" t="s">
        <v>2013</v>
      </c>
      <c r="B57" s="175" t="str">
        <f>VLOOKUP(A57,'Master List'!A:E,2,)</f>
        <v>PC</v>
      </c>
      <c r="C57" s="176">
        <f>VLOOKUP(A57,'Master List'!A:E,5,)</f>
        <v>44273</v>
      </c>
      <c r="D57" s="175" t="str">
        <f>VLOOKUP(A57,'Master List'!A:E,4,)</f>
        <v>Removed</v>
      </c>
    </row>
    <row r="58">
      <c r="A58" s="180" t="s">
        <v>1955</v>
      </c>
      <c r="B58" s="175" t="str">
        <f>VLOOKUP(A58,'Master List'!A:E,2,)</f>
        <v>PC</v>
      </c>
      <c r="C58" s="176">
        <f>VLOOKUP(A58,'Master List'!A:E,5,)</f>
        <v>44273</v>
      </c>
      <c r="D58" s="175" t="str">
        <f>VLOOKUP(A58,'Master List'!A:E,4,)</f>
        <v>Removed</v>
      </c>
    </row>
    <row r="59">
      <c r="A59" s="180" t="s">
        <v>794</v>
      </c>
      <c r="B59" s="175" t="str">
        <f>VLOOKUP(A59,'Master List'!A:E,2,)</f>
        <v>PC</v>
      </c>
      <c r="C59" s="176">
        <f>VLOOKUP(A59,'Master List'!A:E,5,)</f>
        <v>44273</v>
      </c>
      <c r="D59" s="175" t="str">
        <f>VLOOKUP(A59,'Master List'!A:E,4,)</f>
        <v>Active</v>
      </c>
    </row>
    <row r="60">
      <c r="A60" s="180" t="s">
        <v>1956</v>
      </c>
      <c r="B60" s="175" t="str">
        <f>VLOOKUP(A60,'Master List'!A:E,2,)</f>
        <v>PC</v>
      </c>
      <c r="C60" s="176">
        <f>VLOOKUP(A60,'Master List'!A:E,5,)</f>
        <v>44273</v>
      </c>
      <c r="D60" s="175" t="str">
        <f>VLOOKUP(A60,'Master List'!A:E,4,)</f>
        <v>Removed</v>
      </c>
    </row>
    <row r="61">
      <c r="A61" s="180" t="s">
        <v>2152</v>
      </c>
      <c r="B61" s="175" t="str">
        <f>VLOOKUP(A61,'Master List'!A:E,2,)</f>
        <v>PC</v>
      </c>
      <c r="C61" s="176">
        <f>VLOOKUP(A61,'Master List'!A:E,5,)</f>
        <v>44273</v>
      </c>
      <c r="D61" s="175" t="str">
        <f>VLOOKUP(A61,'Master List'!A:E,4,)</f>
        <v>Removed</v>
      </c>
    </row>
    <row r="62">
      <c r="A62" s="180" t="s">
        <v>2216</v>
      </c>
      <c r="B62" s="175" t="str">
        <f>VLOOKUP(A62,'Master List'!A:E,2,)</f>
        <v>PC</v>
      </c>
      <c r="C62" s="176">
        <f>VLOOKUP(A62,'Master List'!A:E,5,)</f>
        <v>44273</v>
      </c>
      <c r="D62" s="175" t="str">
        <f>VLOOKUP(A62,'Master List'!A:E,4,)</f>
        <v>Removed</v>
      </c>
    </row>
    <row r="63">
      <c r="A63" s="180" t="s">
        <v>1957</v>
      </c>
      <c r="B63" s="175" t="str">
        <f>VLOOKUP(A63,'Master List'!A:E,2,)</f>
        <v>PC</v>
      </c>
      <c r="C63" s="176">
        <f>VLOOKUP(A63,'Master List'!A:E,5,)</f>
        <v>44273</v>
      </c>
      <c r="D63" s="175" t="str">
        <f>VLOOKUP(A63,'Master List'!A:E,4,)</f>
        <v>Removed</v>
      </c>
    </row>
    <row r="64">
      <c r="A64" s="180" t="s">
        <v>797</v>
      </c>
      <c r="B64" s="175" t="str">
        <f>VLOOKUP(A64,'Master List'!A:E,2,)</f>
        <v>PC</v>
      </c>
      <c r="C64" s="176">
        <f>VLOOKUP(A64,'Master List'!A:E,5,)</f>
        <v>44273</v>
      </c>
      <c r="D64" s="175" t="str">
        <f>VLOOKUP(A64,'Master List'!A:E,4,)</f>
        <v>Active</v>
      </c>
    </row>
    <row r="65">
      <c r="A65" s="180" t="s">
        <v>799</v>
      </c>
      <c r="B65" s="175" t="str">
        <f>VLOOKUP(A65,'Master List'!A:E,2,)</f>
        <v>PC</v>
      </c>
      <c r="C65" s="176">
        <f>VLOOKUP(A65,'Master List'!A:E,5,)</f>
        <v>44273</v>
      </c>
      <c r="D65" s="175" t="str">
        <f>VLOOKUP(A65,'Master List'!A:E,4,)</f>
        <v>Active</v>
      </c>
    </row>
    <row r="66">
      <c r="A66" s="180" t="s">
        <v>1959</v>
      </c>
      <c r="B66" s="175" t="str">
        <f>VLOOKUP(A66,'Master List'!A:E,2,)</f>
        <v>PC</v>
      </c>
      <c r="C66" s="176">
        <f>VLOOKUP(A66,'Master List'!A:E,5,)</f>
        <v>44273</v>
      </c>
      <c r="D66" s="175" t="str">
        <f>VLOOKUP(A66,'Master List'!A:E,4,)</f>
        <v>Removed</v>
      </c>
    </row>
    <row r="67">
      <c r="A67" s="180" t="s">
        <v>1961</v>
      </c>
      <c r="B67" s="175" t="str">
        <f>VLOOKUP(A67,'Master List'!A:E,2,)</f>
        <v>PC</v>
      </c>
      <c r="C67" s="176">
        <f>VLOOKUP(A67,'Master List'!A:E,5,)</f>
        <v>44273</v>
      </c>
      <c r="D67" s="175" t="str">
        <f>VLOOKUP(A67,'Master List'!A:E,4,)</f>
        <v>Removed</v>
      </c>
    </row>
    <row r="68">
      <c r="A68" s="180" t="s">
        <v>2159</v>
      </c>
      <c r="B68" s="175" t="str">
        <f>VLOOKUP(A68,'Master List'!A:E,2,)</f>
        <v>PC</v>
      </c>
      <c r="C68" s="176">
        <f>VLOOKUP(A68,'Master List'!A:E,5,)</f>
        <v>44273</v>
      </c>
      <c r="D68" s="175" t="str">
        <f>VLOOKUP(A68,'Master List'!A:E,4,)</f>
        <v>Removed</v>
      </c>
    </row>
    <row r="69">
      <c r="A69" s="180" t="s">
        <v>2043</v>
      </c>
      <c r="B69" s="175" t="str">
        <f>VLOOKUP(A69,'Master List'!A:E,2,)</f>
        <v>PC</v>
      </c>
      <c r="C69" s="176">
        <f>VLOOKUP(A69,'Master List'!A:E,5,)</f>
        <v>44273</v>
      </c>
      <c r="D69" s="175" t="str">
        <f>VLOOKUP(A69,'Master List'!A:E,4,)</f>
        <v>Removed</v>
      </c>
    </row>
    <row r="70">
      <c r="A70" s="180" t="s">
        <v>1964</v>
      </c>
      <c r="B70" s="175" t="str">
        <f>VLOOKUP(A70,'Master List'!A:E,2,)</f>
        <v>PC</v>
      </c>
      <c r="C70" s="176">
        <f>VLOOKUP(A70,'Master List'!A:E,5,)</f>
        <v>44273</v>
      </c>
      <c r="D70" s="175" t="str">
        <f>VLOOKUP(A70,'Master List'!A:E,4,)</f>
        <v>Removed</v>
      </c>
    </row>
    <row r="71">
      <c r="A71" s="180" t="s">
        <v>2116</v>
      </c>
      <c r="B71" s="175" t="str">
        <f>VLOOKUP(A71,'Master List'!A:E,2,)</f>
        <v>PC</v>
      </c>
      <c r="C71" s="176">
        <f>VLOOKUP(A71,'Master List'!A:E,5,)</f>
        <v>44273</v>
      </c>
      <c r="D71" s="175" t="str">
        <f>VLOOKUP(A71,'Master List'!A:E,4,)</f>
        <v>Removed</v>
      </c>
    </row>
    <row r="72">
      <c r="A72" s="180" t="s">
        <v>802</v>
      </c>
      <c r="B72" s="175" t="str">
        <f>VLOOKUP(A72,'Master List'!A:E,2,)</f>
        <v>PC</v>
      </c>
      <c r="C72" s="176">
        <f>VLOOKUP(A72,'Master List'!A:E,5,)</f>
        <v>44273</v>
      </c>
      <c r="D72" s="175" t="str">
        <f>VLOOKUP(A72,'Master List'!A:E,4,)</f>
        <v>Active</v>
      </c>
    </row>
    <row r="73">
      <c r="A73" s="180" t="s">
        <v>2053</v>
      </c>
      <c r="B73" s="175" t="str">
        <f>VLOOKUP(A73,'Master List'!A:E,2,)</f>
        <v>PC</v>
      </c>
      <c r="C73" s="176">
        <f>VLOOKUP(A73,'Master List'!A:E,5,)</f>
        <v>44273</v>
      </c>
      <c r="D73" s="175" t="str">
        <f>VLOOKUP(A73,'Master List'!A:E,4,)</f>
        <v>Removed</v>
      </c>
    </row>
    <row r="74">
      <c r="A74" s="180" t="s">
        <v>2014</v>
      </c>
      <c r="B74" s="175" t="str">
        <f>VLOOKUP(A74,'Master List'!A:E,2,)</f>
        <v>PC</v>
      </c>
      <c r="C74" s="176">
        <f>VLOOKUP(A74,'Master List'!A:E,5,)</f>
        <v>44273</v>
      </c>
      <c r="D74" s="175" t="str">
        <f>VLOOKUP(A74,'Master List'!A:E,4,)</f>
        <v>Removed</v>
      </c>
    </row>
    <row r="75">
      <c r="A75" s="180" t="s">
        <v>804</v>
      </c>
      <c r="B75" s="175" t="str">
        <f>VLOOKUP(A75,'Master List'!A:E,2,)</f>
        <v>PC</v>
      </c>
      <c r="C75" s="176">
        <f>VLOOKUP(A75,'Master List'!A:E,5,)</f>
        <v>44273</v>
      </c>
      <c r="D75" s="175" t="str">
        <f>VLOOKUP(A75,'Master List'!A:E,4,)</f>
        <v>Active</v>
      </c>
    </row>
    <row r="76">
      <c r="A76" s="180" t="s">
        <v>2153</v>
      </c>
      <c r="B76" s="175" t="str">
        <f>VLOOKUP(A76,'Master List'!A:E,2,)</f>
        <v>PC</v>
      </c>
      <c r="C76" s="176">
        <f>VLOOKUP(A76,'Master List'!A:E,5,)</f>
        <v>44273</v>
      </c>
      <c r="D76" s="175" t="str">
        <f>VLOOKUP(A76,'Master List'!A:E,4,)</f>
        <v>Removed</v>
      </c>
    </row>
    <row r="77">
      <c r="A77" s="180" t="s">
        <v>2257</v>
      </c>
      <c r="B77" s="175" t="str">
        <f>VLOOKUP(A77,'Master List'!A:E,2,)</f>
        <v>PC</v>
      </c>
      <c r="C77" s="176">
        <f>VLOOKUP(A77,'Master List'!A:E,5,)</f>
        <v>44273</v>
      </c>
      <c r="D77" s="175" t="str">
        <f>VLOOKUP(A77,'Master List'!A:E,4,)</f>
        <v>Removed</v>
      </c>
    </row>
    <row r="78">
      <c r="A78" s="180" t="s">
        <v>805</v>
      </c>
      <c r="B78" s="175" t="str">
        <f>VLOOKUP(A78,'Master List'!A:E,2,)</f>
        <v>PC</v>
      </c>
      <c r="C78" s="176">
        <f>VLOOKUP(A78,'Master List'!A:E,5,)</f>
        <v>44273</v>
      </c>
      <c r="D78" s="175" t="str">
        <f>VLOOKUP(A78,'Master List'!A:E,4,)</f>
        <v>Active</v>
      </c>
    </row>
    <row r="79">
      <c r="A79" s="180" t="s">
        <v>2155</v>
      </c>
      <c r="B79" s="175" t="str">
        <f>VLOOKUP(A79,'Master List'!A:E,2,)</f>
        <v>PC</v>
      </c>
      <c r="C79" s="176">
        <f>VLOOKUP(A79,'Master List'!A:E,5,)</f>
        <v>44273</v>
      </c>
      <c r="D79" s="175" t="str">
        <f>VLOOKUP(A79,'Master List'!A:E,4,)</f>
        <v>Removed</v>
      </c>
    </row>
    <row r="80">
      <c r="A80" s="180" t="s">
        <v>2157</v>
      </c>
      <c r="B80" s="175" t="str">
        <f>VLOOKUP(A80,'Master List'!A:E,2,)</f>
        <v>PC</v>
      </c>
      <c r="C80" s="176">
        <f>VLOOKUP(A80,'Master List'!A:E,5,)</f>
        <v>44273</v>
      </c>
      <c r="D80" s="175" t="str">
        <f>VLOOKUP(A80,'Master List'!A:E,4,)</f>
        <v>Removed</v>
      </c>
    </row>
    <row r="81">
      <c r="A81" s="180" t="s">
        <v>807</v>
      </c>
      <c r="B81" s="175" t="str">
        <f>VLOOKUP(A81,'Master List'!A:E,2,)</f>
        <v>PC</v>
      </c>
      <c r="C81" s="176">
        <f>VLOOKUP(A81,'Master List'!A:E,5,)</f>
        <v>44273</v>
      </c>
      <c r="D81" s="175" t="str">
        <f>VLOOKUP(A81,'Master List'!A:E,4,)</f>
        <v>Active</v>
      </c>
    </row>
    <row r="82">
      <c r="A82" s="180" t="s">
        <v>808</v>
      </c>
      <c r="B82" s="175" t="str">
        <f>VLOOKUP(A82,'Master List'!A:E,2,)</f>
        <v>PC</v>
      </c>
      <c r="C82" s="176">
        <f>VLOOKUP(A82,'Master List'!A:E,5,)</f>
        <v>44273</v>
      </c>
      <c r="D82" s="175" t="str">
        <f>VLOOKUP(A82,'Master List'!A:E,4,)</f>
        <v>Active</v>
      </c>
    </row>
    <row r="83">
      <c r="A83" s="180" t="s">
        <v>2151</v>
      </c>
      <c r="B83" s="175" t="str">
        <f>VLOOKUP(A83,'Master List'!A:E,2,)</f>
        <v>PC</v>
      </c>
      <c r="C83" s="176">
        <f>VLOOKUP(A83,'Master List'!A:E,5,)</f>
        <v>44273</v>
      </c>
      <c r="D83" s="175" t="str">
        <f>VLOOKUP(A83,'Master List'!A:E,4,)</f>
        <v>Removed</v>
      </c>
    </row>
    <row r="84">
      <c r="A84" s="180" t="s">
        <v>811</v>
      </c>
      <c r="B84" s="175" t="str">
        <f>VLOOKUP(A84,'Master List'!A:E,2,)</f>
        <v>PC</v>
      </c>
      <c r="C84" s="176">
        <f>VLOOKUP(A84,'Master List'!A:E,5,)</f>
        <v>44273</v>
      </c>
      <c r="D84" s="175" t="str">
        <f>VLOOKUP(A84,'Master List'!A:E,4,)</f>
        <v>Active</v>
      </c>
    </row>
    <row r="85">
      <c r="A85" s="180" t="s">
        <v>2158</v>
      </c>
      <c r="B85" s="175" t="str">
        <f>VLOOKUP(A85,'Master List'!A:E,2,)</f>
        <v>PC</v>
      </c>
      <c r="C85" s="176">
        <f>VLOOKUP(A85,'Master List'!A:E,5,)</f>
        <v>44273</v>
      </c>
      <c r="D85" s="175" t="str">
        <f>VLOOKUP(A85,'Master List'!A:E,4,)</f>
        <v>Removed</v>
      </c>
    </row>
    <row r="86">
      <c r="A86" s="180" t="s">
        <v>824</v>
      </c>
      <c r="B86" s="175" t="str">
        <f>VLOOKUP(A86,'Master List'!A:E,2,)</f>
        <v>PC</v>
      </c>
      <c r="C86" s="176">
        <f>VLOOKUP(A86,'Master List'!A:E,5,)</f>
        <v>44273</v>
      </c>
      <c r="D86" s="175" t="str">
        <f>VLOOKUP(A86,'Master List'!A:E,4,)</f>
        <v>Active</v>
      </c>
    </row>
    <row r="87">
      <c r="A87" s="180" t="s">
        <v>2016</v>
      </c>
      <c r="B87" s="175" t="str">
        <f>VLOOKUP(A87,'Master List'!A:E,2,)</f>
        <v>PC</v>
      </c>
      <c r="C87" s="176">
        <f>VLOOKUP(A87,'Master List'!A:E,5,)</f>
        <v>44273</v>
      </c>
      <c r="D87" s="175" t="str">
        <f>VLOOKUP(A87,'Master List'!A:E,4,)</f>
        <v>Removed</v>
      </c>
    </row>
    <row r="88">
      <c r="A88" s="180" t="s">
        <v>2259</v>
      </c>
      <c r="B88" s="175" t="str">
        <f>VLOOKUP(A88,'Master List'!A:E,2,)</f>
        <v>PC</v>
      </c>
      <c r="C88" s="176">
        <f>VLOOKUP(A88,'Master List'!A:E,5,)</f>
        <v>44273</v>
      </c>
      <c r="D88" s="175" t="str">
        <f>VLOOKUP(A88,'Master List'!A:E,4,)</f>
        <v>Removed</v>
      </c>
    </row>
    <row r="89">
      <c r="A89" s="180" t="s">
        <v>2117</v>
      </c>
      <c r="B89" s="175" t="str">
        <f>VLOOKUP(A89,'Master List'!A:E,2,)</f>
        <v>PC</v>
      </c>
      <c r="C89" s="176">
        <f>VLOOKUP(A89,'Master List'!A:E,5,)</f>
        <v>44273</v>
      </c>
      <c r="D89" s="175" t="str">
        <f>VLOOKUP(A89,'Master List'!A:E,4,)</f>
        <v>Removed</v>
      </c>
    </row>
    <row r="90">
      <c r="A90" s="180" t="s">
        <v>816</v>
      </c>
      <c r="B90" s="175" t="str">
        <f>VLOOKUP(A90,'Master List'!A:E,2,)</f>
        <v>PC</v>
      </c>
      <c r="C90" s="176">
        <f>VLOOKUP(A90,'Master List'!A:E,5,)</f>
        <v>44273</v>
      </c>
      <c r="D90" s="175" t="str">
        <f>VLOOKUP(A90,'Master List'!A:E,4,)</f>
        <v>Active</v>
      </c>
    </row>
    <row r="91">
      <c r="A91" s="180" t="s">
        <v>814</v>
      </c>
      <c r="B91" s="175" t="str">
        <f>VLOOKUP(A91,'Master List'!A:E,2,)</f>
        <v>PC</v>
      </c>
      <c r="C91" s="176">
        <f>VLOOKUP(A91,'Master List'!A:E,5,)</f>
        <v>44273</v>
      </c>
      <c r="D91" s="175" t="str">
        <f>VLOOKUP(A91,'Master List'!A:E,4,)</f>
        <v>Active</v>
      </c>
    </row>
    <row r="92">
      <c r="A92" s="180" t="s">
        <v>815</v>
      </c>
      <c r="B92" s="175" t="str">
        <f>VLOOKUP(A92,'Master List'!A:E,2,)</f>
        <v>PC</v>
      </c>
      <c r="C92" s="176">
        <f>VLOOKUP(A92,'Master List'!A:E,5,)</f>
        <v>44273</v>
      </c>
      <c r="D92" s="175" t="str">
        <f>VLOOKUP(A92,'Master List'!A:E,4,)</f>
        <v>Active</v>
      </c>
    </row>
    <row r="93">
      <c r="A93" s="180" t="s">
        <v>826</v>
      </c>
      <c r="B93" s="175" t="str">
        <f>VLOOKUP(A93,'Master List'!A:E,2,)</f>
        <v>PC</v>
      </c>
      <c r="C93" s="176">
        <f>VLOOKUP(A93,'Master List'!A:E,5,)</f>
        <v>44273</v>
      </c>
      <c r="D93" s="175" t="str">
        <f>VLOOKUP(A93,'Master List'!A:E,4,)</f>
        <v>Active</v>
      </c>
    </row>
    <row r="94">
      <c r="A94" s="180" t="s">
        <v>817</v>
      </c>
      <c r="B94" s="175" t="str">
        <f>VLOOKUP(A94,'Master List'!A:E,2,)</f>
        <v>PC</v>
      </c>
      <c r="C94" s="176">
        <f>VLOOKUP(A94,'Master List'!A:E,5,)</f>
        <v>44273</v>
      </c>
      <c r="D94" s="175" t="str">
        <f>VLOOKUP(A94,'Master List'!A:E,4,)</f>
        <v>Active</v>
      </c>
    </row>
    <row r="95">
      <c r="A95" s="180" t="s">
        <v>2269</v>
      </c>
      <c r="B95" s="175" t="str">
        <f>VLOOKUP(A95,'Master List'!A:E,2,)</f>
        <v>PC</v>
      </c>
      <c r="C95" s="176">
        <f>VLOOKUP(A95,'Master List'!A:E,5,)</f>
        <v>44273</v>
      </c>
      <c r="D95" s="175" t="str">
        <f>VLOOKUP(A95,'Master List'!A:E,4,)</f>
        <v>Removed</v>
      </c>
    </row>
    <row r="96">
      <c r="A96" s="180" t="s">
        <v>2141</v>
      </c>
      <c r="B96" s="175" t="str">
        <f>VLOOKUP(A96,'Master List'!A:E,2,)</f>
        <v>PC</v>
      </c>
      <c r="C96" s="176">
        <f>VLOOKUP(A96,'Master List'!A:E,5,)</f>
        <v>44273</v>
      </c>
      <c r="D96" s="175" t="str">
        <f>VLOOKUP(A96,'Master List'!A:E,4,)</f>
        <v>Removed</v>
      </c>
    </row>
    <row r="97">
      <c r="A97" s="180" t="s">
        <v>2142</v>
      </c>
      <c r="B97" s="175" t="str">
        <f>VLOOKUP(A97,'Master List'!A:E,2,)</f>
        <v>PC</v>
      </c>
      <c r="C97" s="176">
        <f>VLOOKUP(A97,'Master List'!A:E,5,)</f>
        <v>44273</v>
      </c>
      <c r="D97" s="175" t="str">
        <f>VLOOKUP(A97,'Master List'!A:E,4,)</f>
        <v>Removed</v>
      </c>
    </row>
    <row r="98">
      <c r="A98" s="180" t="s">
        <v>2260</v>
      </c>
      <c r="B98" s="175" t="str">
        <f>VLOOKUP(A98,'Master List'!A:E,2,)</f>
        <v>PC</v>
      </c>
      <c r="C98" s="176">
        <f>VLOOKUP(A98,'Master List'!A:E,5,)</f>
        <v>44273</v>
      </c>
      <c r="D98" s="175" t="str">
        <f>VLOOKUP(A98,'Master List'!A:E,4,)</f>
        <v>Removed</v>
      </c>
    </row>
    <row r="99">
      <c r="A99" s="180" t="s">
        <v>2261</v>
      </c>
      <c r="B99" s="175" t="str">
        <f>VLOOKUP(A99,'Master List'!A:E,2,)</f>
        <v>PC</v>
      </c>
      <c r="C99" s="176">
        <f>VLOOKUP(A99,'Master List'!A:E,5,)</f>
        <v>44273</v>
      </c>
      <c r="D99" s="175" t="str">
        <f>VLOOKUP(A99,'Master List'!A:E,4,)</f>
        <v>Removed</v>
      </c>
    </row>
    <row r="100">
      <c r="A100" s="180" t="s">
        <v>2263</v>
      </c>
      <c r="B100" s="175" t="str">
        <f>VLOOKUP(A100,'Master List'!A:E,2,)</f>
        <v>PC</v>
      </c>
      <c r="C100" s="176">
        <f>VLOOKUP(A100,'Master List'!A:E,5,)</f>
        <v>44273</v>
      </c>
      <c r="D100" s="175" t="str">
        <f>VLOOKUP(A100,'Master List'!A:E,4,)</f>
        <v>Removed</v>
      </c>
    </row>
    <row r="101">
      <c r="A101" s="180" t="s">
        <v>2264</v>
      </c>
      <c r="B101" s="175" t="str">
        <f>VLOOKUP(A101,'Master List'!A:E,2,)</f>
        <v>PC</v>
      </c>
      <c r="C101" s="176">
        <f>VLOOKUP(A101,'Master List'!A:E,5,)</f>
        <v>44273</v>
      </c>
      <c r="D101" s="175" t="str">
        <f>VLOOKUP(A101,'Master List'!A:E,4,)</f>
        <v>Removed</v>
      </c>
    </row>
    <row r="102">
      <c r="A102" s="180" t="s">
        <v>2143</v>
      </c>
      <c r="B102" s="175" t="str">
        <f>VLOOKUP(A102,'Master List'!A:E,2,)</f>
        <v>PC</v>
      </c>
      <c r="C102" s="176">
        <f>VLOOKUP(A102,'Master List'!A:E,5,)</f>
        <v>44273</v>
      </c>
      <c r="D102" s="175" t="str">
        <f>VLOOKUP(A102,'Master List'!A:E,4,)</f>
        <v>Removed</v>
      </c>
    </row>
    <row r="103">
      <c r="A103" s="180" t="s">
        <v>2265</v>
      </c>
      <c r="B103" s="175" t="str">
        <f>VLOOKUP(A103,'Master List'!A:E,2,)</f>
        <v>PC</v>
      </c>
      <c r="C103" s="176">
        <f>VLOOKUP(A103,'Master List'!A:E,5,)</f>
        <v>44273</v>
      </c>
      <c r="D103" s="175" t="str">
        <f>VLOOKUP(A103,'Master List'!A:E,4,)</f>
        <v>Removed</v>
      </c>
    </row>
    <row r="104">
      <c r="A104" s="180" t="s">
        <v>2266</v>
      </c>
      <c r="B104" s="175" t="str">
        <f>VLOOKUP(A104,'Master List'!A:E,2,)</f>
        <v>PC</v>
      </c>
      <c r="C104" s="176">
        <f>VLOOKUP(A104,'Master List'!A:E,5,)</f>
        <v>44273</v>
      </c>
      <c r="D104" s="175" t="str">
        <f>VLOOKUP(A104,'Master List'!A:E,4,)</f>
        <v>Removed</v>
      </c>
    </row>
    <row r="105">
      <c r="A105" s="180" t="s">
        <v>2267</v>
      </c>
      <c r="B105" s="175" t="str">
        <f>VLOOKUP(A105,'Master List'!A:E,2,)</f>
        <v>PC</v>
      </c>
      <c r="C105" s="176">
        <f>VLOOKUP(A105,'Master List'!A:E,5,)</f>
        <v>44273</v>
      </c>
      <c r="D105" s="175" t="str">
        <f>VLOOKUP(A105,'Master List'!A:E,4,)</f>
        <v>Removed</v>
      </c>
    </row>
    <row r="106">
      <c r="A106" s="180" t="s">
        <v>2268</v>
      </c>
      <c r="B106" s="175" t="str">
        <f>VLOOKUP(A106,'Master List'!A:E,2,)</f>
        <v>PC</v>
      </c>
      <c r="C106" s="176">
        <f>VLOOKUP(A106,'Master List'!A:E,5,)</f>
        <v>44273</v>
      </c>
      <c r="D106" s="175" t="str">
        <f>VLOOKUP(A106,'Master List'!A:E,4,)</f>
        <v>Removed</v>
      </c>
    </row>
    <row r="107">
      <c r="A107" s="180" t="s">
        <v>1966</v>
      </c>
      <c r="B107" s="175" t="str">
        <f>VLOOKUP(A107,'Master List'!A:E,2,)</f>
        <v>PC</v>
      </c>
      <c r="C107" s="176">
        <f>VLOOKUP(A107,'Master List'!A:E,5,)</f>
        <v>44273</v>
      </c>
      <c r="D107" s="175" t="str">
        <f>VLOOKUP(A107,'Master List'!A:E,4,)</f>
        <v>Removed</v>
      </c>
    </row>
    <row r="108">
      <c r="A108" s="180" t="s">
        <v>2054</v>
      </c>
      <c r="B108" s="175" t="str">
        <f>VLOOKUP(A108,'Master List'!A:E,2,)</f>
        <v>PC</v>
      </c>
      <c r="C108" s="176">
        <f>VLOOKUP(A108,'Master List'!A:E,5,)</f>
        <v>44273</v>
      </c>
      <c r="D108" s="175" t="str">
        <f>VLOOKUP(A108,'Master List'!A:E,4,)</f>
        <v>Removed</v>
      </c>
    </row>
    <row r="109">
      <c r="A109" s="180" t="s">
        <v>2055</v>
      </c>
      <c r="B109" s="175" t="str">
        <f>VLOOKUP(A109,'Master List'!A:E,2,)</f>
        <v>PC</v>
      </c>
      <c r="C109" s="176">
        <f>VLOOKUP(A109,'Master List'!A:E,5,)</f>
        <v>44273</v>
      </c>
      <c r="D109" s="175" t="str">
        <f>VLOOKUP(A109,'Master List'!A:E,4,)</f>
        <v>Removed</v>
      </c>
    </row>
    <row r="110">
      <c r="A110" s="180" t="s">
        <v>2056</v>
      </c>
      <c r="B110" s="175" t="str">
        <f>VLOOKUP(A110,'Master List'!A:E,2,)</f>
        <v>PC</v>
      </c>
      <c r="C110" s="176">
        <f>VLOOKUP(A110,'Master List'!A:E,5,)</f>
        <v>44273</v>
      </c>
      <c r="D110" s="175" t="str">
        <f>VLOOKUP(A110,'Master List'!A:E,4,)</f>
        <v>Removed</v>
      </c>
    </row>
    <row r="111">
      <c r="A111" s="180" t="s">
        <v>2057</v>
      </c>
      <c r="B111" s="175" t="str">
        <f>VLOOKUP(A111,'Master List'!A:E,2,)</f>
        <v>PC</v>
      </c>
      <c r="C111" s="176">
        <f>VLOOKUP(A111,'Master List'!A:E,5,)</f>
        <v>44273</v>
      </c>
      <c r="D111" s="175" t="str">
        <f>VLOOKUP(A111,'Master List'!A:E,4,)</f>
        <v>Removed</v>
      </c>
    </row>
    <row r="112">
      <c r="A112" s="180" t="s">
        <v>1741</v>
      </c>
      <c r="B112" s="175" t="str">
        <f>VLOOKUP(A112,'Master List'!A:E,2,)</f>
        <v>Xbox / PC</v>
      </c>
      <c r="C112" s="176">
        <f>VLOOKUP(A112,'Master List'!A:E,5,)</f>
        <v>44257</v>
      </c>
      <c r="D112" s="175" t="str">
        <f>VLOOKUP(A112,'Master List'!A:E,4,)</f>
        <v>Removed</v>
      </c>
    </row>
    <row r="113">
      <c r="A113" s="180" t="s">
        <v>838</v>
      </c>
      <c r="B113" s="175" t="str">
        <f>VLOOKUP(A113,'Master List'!A:E,2,)</f>
        <v>Xbox / PC</v>
      </c>
      <c r="C113" s="176">
        <f>VLOOKUP(A113,'Master List'!A:E,5,)</f>
        <v>44252</v>
      </c>
      <c r="D113" s="175" t="str">
        <f>VLOOKUP(A113,'Master List'!A:E,4,)</f>
        <v>Active</v>
      </c>
    </row>
    <row r="114">
      <c r="A114" s="180" t="s">
        <v>2078</v>
      </c>
      <c r="B114" s="175" t="str">
        <f>VLOOKUP(A114,'Master List'!A:E,2,)</f>
        <v>Xbox / PC</v>
      </c>
      <c r="C114" s="176">
        <f>VLOOKUP(A114,'Master List'!A:E,5,)</f>
        <v>44182</v>
      </c>
      <c r="D114" s="175" t="str">
        <f>VLOOKUP(A114,'Master List'!A:E,4,)</f>
        <v>Removed</v>
      </c>
    </row>
    <row r="115">
      <c r="A115" s="180" t="s">
        <v>855</v>
      </c>
      <c r="B115" s="175" t="str">
        <f>VLOOKUP(A115,'Master List'!A:E,2,)</f>
        <v>Xbox</v>
      </c>
      <c r="C115" s="176">
        <f>VLOOKUP(A115,'Master List'!A:E,5,)</f>
        <v>44168</v>
      </c>
      <c r="D115" s="175" t="str">
        <f>VLOOKUP(A115,'Master List'!A:E,4,)</f>
        <v>Active</v>
      </c>
    </row>
    <row r="116">
      <c r="A116" s="180" t="s">
        <v>859</v>
      </c>
      <c r="B116" s="175" t="str">
        <f>VLOOKUP(A116,'Master List'!A:E,2,)</f>
        <v>Xbox / PC</v>
      </c>
      <c r="C116" s="176">
        <f>VLOOKUP(A116,'Master List'!A:E,5,)</f>
        <v>44145</v>
      </c>
      <c r="D116" s="175" t="str">
        <f>VLOOKUP(A116,'Master List'!A:E,4,)</f>
        <v>Active</v>
      </c>
    </row>
    <row r="117">
      <c r="A117" s="180" t="s">
        <v>861</v>
      </c>
      <c r="B117" s="175" t="str">
        <f>VLOOKUP(A117,'Master List'!A:E,2,)</f>
        <v>Xbox / PC</v>
      </c>
      <c r="C117" s="176">
        <f>VLOOKUP(A117,'Master List'!A:E,5,)</f>
        <v>44145</v>
      </c>
      <c r="D117" s="175" t="str">
        <f>VLOOKUP(A117,'Master List'!A:E,4,)</f>
        <v>Active</v>
      </c>
    </row>
    <row r="118">
      <c r="A118" s="180" t="s">
        <v>1214</v>
      </c>
      <c r="B118" s="175" t="str">
        <f>VLOOKUP(A118,'Master List'!A:E,2,)</f>
        <v>Xbox / PC</v>
      </c>
      <c r="C118" s="176">
        <f>VLOOKUP(A118,'Master List'!A:E,5,)</f>
        <v>44145</v>
      </c>
      <c r="D118" s="175" t="str">
        <f>VLOOKUP(A118,'Master List'!A:E,4,)</f>
        <v>Removed</v>
      </c>
    </row>
    <row r="119">
      <c r="A119" s="180" t="s">
        <v>864</v>
      </c>
      <c r="B119" s="175" t="str">
        <f>VLOOKUP(A119,'Master List'!A:E,2,)</f>
        <v>Xbox</v>
      </c>
      <c r="C119" s="176">
        <f>VLOOKUP(A119,'Master List'!A:E,5,)</f>
        <v>44145</v>
      </c>
      <c r="D119" s="175" t="str">
        <f>VLOOKUP(A119,'Master List'!A:E,4,)</f>
        <v>Active</v>
      </c>
    </row>
    <row r="120">
      <c r="A120" s="180" t="s">
        <v>866</v>
      </c>
      <c r="B120" s="175" t="str">
        <f>VLOOKUP(A120,'Master List'!A:E,2,)</f>
        <v>Xbox / PC</v>
      </c>
      <c r="C120" s="176">
        <f>VLOOKUP(A120,'Master List'!A:E,5,)</f>
        <v>44145</v>
      </c>
      <c r="D120" s="175" t="str">
        <f>VLOOKUP(A120,'Master List'!A:E,4,)</f>
        <v>Active</v>
      </c>
    </row>
    <row r="121">
      <c r="A121" s="180" t="s">
        <v>1544</v>
      </c>
      <c r="B121" s="175" t="str">
        <f>VLOOKUP(A121,'Master List'!A:E,2,)</f>
        <v>Xbox</v>
      </c>
      <c r="C121" s="176">
        <f>VLOOKUP(A121,'Master List'!A:E,5,)</f>
        <v>44145</v>
      </c>
      <c r="D121" s="175" t="str">
        <f>VLOOKUP(A121,'Master List'!A:E,4,)</f>
        <v>Removed</v>
      </c>
    </row>
    <row r="122">
      <c r="A122" s="180" t="s">
        <v>869</v>
      </c>
      <c r="B122" s="175" t="str">
        <f>VLOOKUP(A122,'Master List'!A:E,2,)</f>
        <v>Xbox / PC</v>
      </c>
      <c r="C122" s="176">
        <f>VLOOKUP(A122,'Master List'!A:E,5,)</f>
        <v>44145</v>
      </c>
      <c r="D122" s="175" t="str">
        <f>VLOOKUP(A122,'Master List'!A:E,4,)</f>
        <v>Active</v>
      </c>
    </row>
    <row r="123">
      <c r="A123" s="180" t="s">
        <v>872</v>
      </c>
      <c r="B123" s="175" t="str">
        <f>VLOOKUP(A123,'Master List'!A:E,2,)</f>
        <v>Xbox / PC</v>
      </c>
      <c r="C123" s="176">
        <f>VLOOKUP(A123,'Master List'!A:E,5,)</f>
        <v>44145</v>
      </c>
      <c r="D123" s="175" t="str">
        <f>VLOOKUP(A123,'Master List'!A:E,4,)</f>
        <v>Active</v>
      </c>
    </row>
    <row r="124">
      <c r="A124" s="180" t="s">
        <v>873</v>
      </c>
      <c r="B124" s="175" t="str">
        <f>VLOOKUP(A124,'Master List'!A:E,2,)</f>
        <v>Xbox / PC</v>
      </c>
      <c r="C124" s="176">
        <f>VLOOKUP(A124,'Master List'!A:E,5,)</f>
        <v>44145</v>
      </c>
      <c r="D124" s="175" t="str">
        <f>VLOOKUP(A124,'Master List'!A:E,4,)</f>
        <v>Active</v>
      </c>
    </row>
    <row r="125">
      <c r="A125" s="180" t="s">
        <v>1546</v>
      </c>
      <c r="B125" s="175" t="str">
        <f>VLOOKUP(A125,'Master List'!A:E,2,)</f>
        <v>Xbox</v>
      </c>
      <c r="C125" s="176">
        <f>VLOOKUP(A125,'Master List'!A:E,5,)</f>
        <v>44145</v>
      </c>
      <c r="D125" s="175" t="str">
        <f>VLOOKUP(A125,'Master List'!A:E,4,)</f>
        <v>Removed</v>
      </c>
    </row>
    <row r="126">
      <c r="A126" s="180" t="s">
        <v>1548</v>
      </c>
      <c r="B126" s="175" t="str">
        <f>VLOOKUP(A126,'Master List'!A:E,2,)</f>
        <v>Xbox / PC</v>
      </c>
      <c r="C126" s="176">
        <f>VLOOKUP(A126,'Master List'!A:E,5,)</f>
        <v>44145</v>
      </c>
      <c r="D126" s="175" t="str">
        <f>VLOOKUP(A126,'Master List'!A:E,4,)</f>
        <v>Removed</v>
      </c>
    </row>
    <row r="127">
      <c r="A127" s="180" t="s">
        <v>874</v>
      </c>
      <c r="B127" s="175" t="str">
        <f>VLOOKUP(A127,'Master List'!A:E,2,)</f>
        <v>Xbox / PC</v>
      </c>
      <c r="C127" s="176">
        <f>VLOOKUP(A127,'Master List'!A:E,5,)</f>
        <v>44145</v>
      </c>
      <c r="D127" s="175" t="str">
        <f>VLOOKUP(A127,'Master List'!A:E,4,)</f>
        <v>Active</v>
      </c>
    </row>
    <row r="128">
      <c r="A128" s="180" t="s">
        <v>876</v>
      </c>
      <c r="B128" s="175" t="str">
        <f>VLOOKUP(A128,'Master List'!A:E,2,)</f>
        <v>Xbox</v>
      </c>
      <c r="C128" s="176">
        <f>VLOOKUP(A128,'Master List'!A:E,5,)</f>
        <v>44145</v>
      </c>
      <c r="D128" s="175" t="str">
        <f>VLOOKUP(A128,'Master List'!A:E,4,)</f>
        <v>Active</v>
      </c>
    </row>
    <row r="129">
      <c r="A129" s="180" t="s">
        <v>877</v>
      </c>
      <c r="B129" s="175" t="str">
        <f>VLOOKUP(A129,'Master List'!A:E,2,)</f>
        <v>Xbox</v>
      </c>
      <c r="C129" s="176">
        <f>VLOOKUP(A129,'Master List'!A:E,5,)</f>
        <v>44145</v>
      </c>
      <c r="D129" s="175" t="str">
        <f>VLOOKUP(A129,'Master List'!A:E,4,)</f>
        <v>Active</v>
      </c>
    </row>
    <row r="130">
      <c r="A130" s="180" t="s">
        <v>879</v>
      </c>
      <c r="B130" s="175" t="str">
        <f>VLOOKUP(A130,'Master List'!A:E,2,)</f>
        <v>Xbox</v>
      </c>
      <c r="C130" s="176">
        <f>VLOOKUP(A130,'Master List'!A:E,5,)</f>
        <v>44145</v>
      </c>
      <c r="D130" s="175" t="str">
        <f>VLOOKUP(A130,'Master List'!A:E,4,)</f>
        <v>Active</v>
      </c>
    </row>
    <row r="131">
      <c r="A131" s="180" t="s">
        <v>881</v>
      </c>
      <c r="B131" s="175" t="str">
        <f>VLOOKUP(A131,'Master List'!A:E,2,)</f>
        <v>Xbox / PC</v>
      </c>
      <c r="C131" s="176">
        <f>VLOOKUP(A131,'Master List'!A:E,5,)</f>
        <v>44145</v>
      </c>
      <c r="D131" s="175" t="str">
        <f>VLOOKUP(A131,'Master List'!A:E,4,)</f>
        <v>Active</v>
      </c>
    </row>
    <row r="132">
      <c r="A132" s="180" t="s">
        <v>883</v>
      </c>
      <c r="B132" s="175" t="str">
        <f>VLOOKUP(A132,'Master List'!A:E,2,)</f>
        <v>Xbox / PC</v>
      </c>
      <c r="C132" s="176">
        <f>VLOOKUP(A132,'Master List'!A:E,5,)</f>
        <v>44145</v>
      </c>
      <c r="D132" s="175" t="str">
        <f>VLOOKUP(A132,'Master List'!A:E,4,)</f>
        <v>Active</v>
      </c>
    </row>
    <row r="133">
      <c r="A133" s="180" t="s">
        <v>884</v>
      </c>
      <c r="B133" s="175" t="str">
        <f>VLOOKUP(A133,'Master List'!A:E,2,)</f>
        <v>Xbox / PC</v>
      </c>
      <c r="C133" s="176">
        <f>VLOOKUP(A133,'Master List'!A:E,5,)</f>
        <v>44145</v>
      </c>
      <c r="D133" s="175" t="str">
        <f>VLOOKUP(A133,'Master List'!A:E,4,)</f>
        <v>Active</v>
      </c>
    </row>
    <row r="134">
      <c r="A134" s="180" t="s">
        <v>886</v>
      </c>
      <c r="B134" s="175" t="str">
        <f>VLOOKUP(A134,'Master List'!A:E,2,)</f>
        <v>Xbox / PC</v>
      </c>
      <c r="C134" s="176">
        <f>VLOOKUP(A134,'Master List'!A:E,5,)</f>
        <v>44145</v>
      </c>
      <c r="D134" s="175" t="str">
        <f>VLOOKUP(A134,'Master List'!A:E,4,)</f>
        <v>Active</v>
      </c>
    </row>
    <row r="135">
      <c r="A135" s="180" t="s">
        <v>887</v>
      </c>
      <c r="B135" s="175" t="str">
        <f>VLOOKUP(A135,'Master List'!A:E,2,)</f>
        <v>Xbox</v>
      </c>
      <c r="C135" s="176">
        <f>VLOOKUP(A135,'Master List'!A:E,5,)</f>
        <v>44145</v>
      </c>
      <c r="D135" s="175" t="str">
        <f>VLOOKUP(A135,'Master List'!A:E,4,)</f>
        <v>Active</v>
      </c>
    </row>
    <row r="136">
      <c r="A136" s="180" t="s">
        <v>889</v>
      </c>
      <c r="B136" s="175" t="str">
        <f>VLOOKUP(A136,'Master List'!A:E,2,)</f>
        <v>Xbox / PC</v>
      </c>
      <c r="C136" s="176">
        <f>VLOOKUP(A136,'Master List'!A:E,5,)</f>
        <v>44145</v>
      </c>
      <c r="D136" s="175" t="str">
        <f>VLOOKUP(A136,'Master List'!A:E,4,)</f>
        <v>Active</v>
      </c>
    </row>
    <row r="137">
      <c r="A137" s="180" t="s">
        <v>890</v>
      </c>
      <c r="B137" s="175" t="str">
        <f>VLOOKUP(A137,'Master List'!A:E,2,)</f>
        <v>Xbox / PC</v>
      </c>
      <c r="C137" s="176">
        <f>VLOOKUP(A137,'Master List'!A:E,5,)</f>
        <v>44145</v>
      </c>
      <c r="D137" s="175" t="str">
        <f>VLOOKUP(A137,'Master List'!A:E,4,)</f>
        <v>Active</v>
      </c>
    </row>
    <row r="138">
      <c r="A138" s="180" t="s">
        <v>892</v>
      </c>
      <c r="B138" s="175" t="str">
        <f>VLOOKUP(A138,'Master List'!A:E,2,)</f>
        <v>Xbox / PC</v>
      </c>
      <c r="C138" s="176">
        <f>VLOOKUP(A138,'Master List'!A:E,5,)</f>
        <v>44145</v>
      </c>
      <c r="D138" s="175" t="str">
        <f>VLOOKUP(A138,'Master List'!A:E,4,)</f>
        <v>Active</v>
      </c>
    </row>
    <row r="139">
      <c r="A139" s="180" t="s">
        <v>893</v>
      </c>
      <c r="B139" s="175" t="str">
        <f>VLOOKUP(A139,'Master List'!A:E,2,)</f>
        <v>Xbox</v>
      </c>
      <c r="C139" s="176">
        <f>VLOOKUP(A139,'Master List'!A:E,5,)</f>
        <v>44145</v>
      </c>
      <c r="D139" s="175" t="str">
        <f>VLOOKUP(A139,'Master List'!A:E,4,)</f>
        <v>Active</v>
      </c>
    </row>
    <row r="140">
      <c r="A140" s="180" t="s">
        <v>894</v>
      </c>
      <c r="B140" s="175" t="str">
        <f>VLOOKUP(A140,'Master List'!A:E,2,)</f>
        <v>Xbox / PC</v>
      </c>
      <c r="C140" s="176">
        <f>VLOOKUP(A140,'Master List'!A:E,5,)</f>
        <v>44145</v>
      </c>
      <c r="D140" s="175" t="str">
        <f>VLOOKUP(A140,'Master List'!A:E,4,)</f>
        <v>Active</v>
      </c>
    </row>
    <row r="141">
      <c r="A141" s="180" t="s">
        <v>896</v>
      </c>
      <c r="B141" s="175" t="str">
        <f>VLOOKUP(A141,'Master List'!A:E,2,)</f>
        <v>Xbox / PC</v>
      </c>
      <c r="C141" s="176">
        <f>VLOOKUP(A141,'Master List'!A:E,5,)</f>
        <v>44145</v>
      </c>
      <c r="D141" s="175" t="str">
        <f>VLOOKUP(A141,'Master List'!A:E,4,)</f>
        <v>Active</v>
      </c>
    </row>
    <row r="142">
      <c r="A142" s="180" t="s">
        <v>897</v>
      </c>
      <c r="B142" s="175" t="str">
        <f>VLOOKUP(A142,'Master List'!A:E,2,)</f>
        <v>Xbox / PC</v>
      </c>
      <c r="C142" s="176">
        <f>VLOOKUP(A142,'Master List'!A:E,5,)</f>
        <v>44145</v>
      </c>
      <c r="D142" s="175" t="str">
        <f>VLOOKUP(A142,'Master List'!A:E,4,)</f>
        <v>Active</v>
      </c>
    </row>
    <row r="143">
      <c r="A143" s="180" t="s">
        <v>2185</v>
      </c>
      <c r="B143" s="175" t="str">
        <f>VLOOKUP(A143,'Master List'!A:E,2,)</f>
        <v>Xbox</v>
      </c>
      <c r="C143" s="176">
        <f>VLOOKUP(A143,'Master List'!A:E,5,)</f>
        <v>44145</v>
      </c>
      <c r="D143" s="175" t="str">
        <f>VLOOKUP(A143,'Master List'!A:E,4,)</f>
        <v>Removed</v>
      </c>
    </row>
    <row r="144">
      <c r="A144" s="180" t="s">
        <v>2186</v>
      </c>
      <c r="B144" s="175" t="str">
        <f>VLOOKUP(A144,'Master List'!A:E,2,)</f>
        <v>Xbox</v>
      </c>
      <c r="C144" s="176">
        <f>VLOOKUP(A144,'Master List'!A:E,5,)</f>
        <v>44145</v>
      </c>
      <c r="D144" s="175" t="str">
        <f>VLOOKUP(A144,'Master List'!A:E,4,)</f>
        <v>Removed</v>
      </c>
    </row>
    <row r="145">
      <c r="A145" s="180" t="s">
        <v>1335</v>
      </c>
      <c r="B145" s="175" t="str">
        <f>VLOOKUP(A145,'Master List'!A:E,2,)</f>
        <v>Xbox</v>
      </c>
      <c r="C145" s="176">
        <f>VLOOKUP(A145,'Master List'!A:E,5,)</f>
        <v>44145</v>
      </c>
      <c r="D145" s="175" t="str">
        <f>VLOOKUP(A145,'Master List'!A:E,4,)</f>
        <v>Removed</v>
      </c>
    </row>
    <row r="146">
      <c r="A146" s="180" t="s">
        <v>899</v>
      </c>
      <c r="B146" s="175" t="str">
        <f>VLOOKUP(A146,'Master List'!A:E,2,)</f>
        <v>Xbox / PC</v>
      </c>
      <c r="C146" s="176">
        <f>VLOOKUP(A146,'Master List'!A:E,5,)</f>
        <v>44145</v>
      </c>
      <c r="D146" s="175" t="str">
        <f>VLOOKUP(A146,'Master List'!A:E,4,)</f>
        <v>Active</v>
      </c>
    </row>
    <row r="147">
      <c r="A147" s="180" t="s">
        <v>900</v>
      </c>
      <c r="B147" s="175" t="str">
        <f>VLOOKUP(A147,'Master List'!A:E,2,)</f>
        <v>Xbox</v>
      </c>
      <c r="C147" s="176">
        <f>VLOOKUP(A147,'Master List'!A:E,5,)</f>
        <v>44145</v>
      </c>
      <c r="D147" s="175" t="str">
        <f>VLOOKUP(A147,'Master List'!A:E,4,)</f>
        <v>Active</v>
      </c>
    </row>
    <row r="148">
      <c r="A148" s="180" t="s">
        <v>901</v>
      </c>
      <c r="B148" s="175" t="str">
        <f>VLOOKUP(A148,'Master List'!A:E,2,)</f>
        <v>Xbox</v>
      </c>
      <c r="C148" s="176">
        <f>VLOOKUP(A148,'Master List'!A:E,5,)</f>
        <v>44145</v>
      </c>
      <c r="D148" s="175" t="str">
        <f>VLOOKUP(A148,'Master List'!A:E,4,)</f>
        <v>Active</v>
      </c>
    </row>
    <row r="149">
      <c r="A149" s="180" t="s">
        <v>2226</v>
      </c>
      <c r="B149" s="175" t="str">
        <f>VLOOKUP(A149,'Master List'!A:E,2,)</f>
        <v>Xbox / PC</v>
      </c>
      <c r="C149" s="176">
        <f>VLOOKUP(A149,'Master List'!A:E,5,)</f>
        <v>44145</v>
      </c>
      <c r="D149" s="175" t="str">
        <f>VLOOKUP(A149,'Master List'!A:E,4,)</f>
        <v>Removed</v>
      </c>
    </row>
    <row r="150">
      <c r="A150" s="180" t="s">
        <v>2227</v>
      </c>
      <c r="B150" s="175" t="str">
        <f>VLOOKUP(A150,'Master List'!A:E,2,)</f>
        <v>Xbox / PC</v>
      </c>
      <c r="C150" s="176">
        <f>VLOOKUP(A150,'Master List'!A:E,5,)</f>
        <v>44145</v>
      </c>
      <c r="D150" s="175" t="str">
        <f>VLOOKUP(A150,'Master List'!A:E,4,)</f>
        <v>Removed</v>
      </c>
    </row>
    <row r="151">
      <c r="A151" s="180" t="s">
        <v>2228</v>
      </c>
      <c r="B151" s="175" t="str">
        <f>VLOOKUP(A151,'Master List'!A:E,2,)</f>
        <v>Xbox / PC</v>
      </c>
      <c r="C151" s="176">
        <f>VLOOKUP(A151,'Master List'!A:E,5,)</f>
        <v>44145</v>
      </c>
      <c r="D151" s="175" t="str">
        <f>VLOOKUP(A151,'Master List'!A:E,4,)</f>
        <v>Removed</v>
      </c>
    </row>
    <row r="152">
      <c r="A152" s="180" t="s">
        <v>2229</v>
      </c>
      <c r="B152" s="175" t="str">
        <f>VLOOKUP(A152,'Master List'!A:E,2,)</f>
        <v>Xbox / PC</v>
      </c>
      <c r="C152" s="176">
        <f>VLOOKUP(A152,'Master List'!A:E,5,)</f>
        <v>44145</v>
      </c>
      <c r="D152" s="175" t="str">
        <f>VLOOKUP(A152,'Master List'!A:E,4,)</f>
        <v>Removed</v>
      </c>
    </row>
    <row r="153">
      <c r="A153" s="180" t="s">
        <v>2092</v>
      </c>
      <c r="B153" s="175" t="str">
        <f>VLOOKUP(A153,'Master List'!A:E,2,)</f>
        <v>Xbox / PC</v>
      </c>
      <c r="C153" s="176">
        <f>VLOOKUP(A153,'Master List'!A:E,5,)</f>
        <v>44145</v>
      </c>
      <c r="D153" s="175" t="str">
        <f>VLOOKUP(A153,'Master List'!A:E,4,)</f>
        <v>Removed</v>
      </c>
    </row>
    <row r="154">
      <c r="A154" s="180" t="s">
        <v>1939</v>
      </c>
      <c r="B154" s="175" t="str">
        <f>VLOOKUP(A154,'Master List'!A:E,2,)</f>
        <v>Xbox / PC</v>
      </c>
      <c r="C154" s="176">
        <f>VLOOKUP(A154,'Master List'!A:E,5,)</f>
        <v>44145</v>
      </c>
      <c r="D154" s="175" t="str">
        <f>VLOOKUP(A154,'Master List'!A:E,4,)</f>
        <v>Removed</v>
      </c>
    </row>
    <row r="155">
      <c r="A155" s="180" t="s">
        <v>903</v>
      </c>
      <c r="B155" s="175" t="str">
        <f>VLOOKUP(A155,'Master List'!A:E,2,)</f>
        <v>Xbox</v>
      </c>
      <c r="C155" s="176">
        <f>VLOOKUP(A155,'Master List'!A:E,5,)</f>
        <v>44145</v>
      </c>
      <c r="D155" s="175" t="str">
        <f>VLOOKUP(A155,'Master List'!A:E,4,)</f>
        <v>Active</v>
      </c>
    </row>
    <row r="156">
      <c r="A156" s="180" t="s">
        <v>906</v>
      </c>
      <c r="B156" s="175" t="str">
        <f>VLOOKUP(A156,'Master List'!A:E,2,)</f>
        <v>Xbox</v>
      </c>
      <c r="C156" s="176">
        <f>VLOOKUP(A156,'Master List'!A:E,5,)</f>
        <v>44145</v>
      </c>
      <c r="D156" s="175" t="str">
        <f>VLOOKUP(A156,'Master List'!A:E,4,)</f>
        <v>Active</v>
      </c>
    </row>
    <row r="157">
      <c r="A157" s="180" t="s">
        <v>2240</v>
      </c>
      <c r="B157" s="175" t="str">
        <f>VLOOKUP(A157,'Master List'!A:E,2,)</f>
        <v>Xbox</v>
      </c>
      <c r="C157" s="176">
        <f>VLOOKUP(A157,'Master List'!A:E,5,)</f>
        <v>44145</v>
      </c>
      <c r="D157" s="175" t="str">
        <f>VLOOKUP(A157,'Master List'!A:E,4,)</f>
        <v>Removed</v>
      </c>
    </row>
    <row r="158">
      <c r="A158" s="180" t="s">
        <v>2241</v>
      </c>
      <c r="B158" s="175" t="str">
        <f>VLOOKUP(A158,'Master List'!A:E,2,)</f>
        <v>Xbox</v>
      </c>
      <c r="C158" s="176">
        <f>VLOOKUP(A158,'Master List'!A:E,5,)</f>
        <v>44145</v>
      </c>
      <c r="D158" s="175" t="str">
        <f>VLOOKUP(A158,'Master List'!A:E,4,)</f>
        <v>Removed</v>
      </c>
    </row>
    <row r="159">
      <c r="A159" s="180" t="s">
        <v>2242</v>
      </c>
      <c r="B159" s="175" t="str">
        <f>VLOOKUP(A159,'Master List'!A:E,2,)</f>
        <v>Xbox</v>
      </c>
      <c r="C159" s="176">
        <f>VLOOKUP(A159,'Master List'!A:E,5,)</f>
        <v>44145</v>
      </c>
      <c r="D159" s="175" t="str">
        <f>VLOOKUP(A159,'Master List'!A:E,4,)</f>
        <v>Removed</v>
      </c>
    </row>
    <row r="160">
      <c r="A160" s="180" t="s">
        <v>2243</v>
      </c>
      <c r="B160" s="175" t="str">
        <f>VLOOKUP(A160,'Master List'!A:E,2,)</f>
        <v>Xbox</v>
      </c>
      <c r="C160" s="176">
        <f>VLOOKUP(A160,'Master List'!A:E,5,)</f>
        <v>44145</v>
      </c>
      <c r="D160" s="175" t="str">
        <f>VLOOKUP(A160,'Master List'!A:E,4,)</f>
        <v>Removed</v>
      </c>
    </row>
    <row r="161">
      <c r="A161" s="180" t="s">
        <v>2160</v>
      </c>
      <c r="B161" s="175" t="str">
        <f>VLOOKUP(A161,'Master List'!A:E,2,)</f>
        <v>Xbox / PC</v>
      </c>
      <c r="C161" s="176">
        <f>VLOOKUP(A161,'Master List'!A:E,5,)</f>
        <v>44145</v>
      </c>
      <c r="D161" s="175" t="str">
        <f>VLOOKUP(A161,'Master List'!A:E,4,)</f>
        <v>Removed</v>
      </c>
    </row>
    <row r="162">
      <c r="A162" s="180" t="s">
        <v>2010</v>
      </c>
      <c r="B162" s="175" t="str">
        <f>VLOOKUP(A162,'Master List'!A:E,2,)</f>
        <v>Xbox / PC</v>
      </c>
      <c r="C162" s="176">
        <f>VLOOKUP(A162,'Master List'!A:E,5,)</f>
        <v>44145</v>
      </c>
      <c r="D162" s="175" t="str">
        <f>VLOOKUP(A162,'Master List'!A:E,4,)</f>
        <v>Removed</v>
      </c>
    </row>
    <row r="163">
      <c r="A163" s="180" t="s">
        <v>2244</v>
      </c>
      <c r="B163" s="175" t="str">
        <f>VLOOKUP(A163,'Master List'!A:E,2,)</f>
        <v>Xbox</v>
      </c>
      <c r="C163" s="176">
        <f>VLOOKUP(A163,'Master List'!A:E,5,)</f>
        <v>44145</v>
      </c>
      <c r="D163" s="175" t="str">
        <f>VLOOKUP(A163,'Master List'!A:E,4,)</f>
        <v>Removed</v>
      </c>
    </row>
    <row r="164">
      <c r="A164" s="180" t="s">
        <v>909</v>
      </c>
      <c r="B164" s="175" t="str">
        <f>VLOOKUP(A164,'Master List'!A:E,2,)</f>
        <v>Xbox / PC</v>
      </c>
      <c r="C164" s="176">
        <f>VLOOKUP(A164,'Master List'!A:E,5,)</f>
        <v>44145</v>
      </c>
      <c r="D164" s="175" t="str">
        <f>VLOOKUP(A164,'Master List'!A:E,4,)</f>
        <v>Active</v>
      </c>
    </row>
    <row r="165">
      <c r="A165" s="180" t="s">
        <v>911</v>
      </c>
      <c r="B165" s="175" t="str">
        <f>VLOOKUP(A165,'Master List'!A:E,2,)</f>
        <v>Xbox / PC</v>
      </c>
      <c r="C165" s="176">
        <f>VLOOKUP(A165,'Master List'!A:E,5,)</f>
        <v>44145</v>
      </c>
      <c r="D165" s="175" t="str">
        <f>VLOOKUP(A165,'Master List'!A:E,4,)</f>
        <v>Active</v>
      </c>
    </row>
    <row r="166">
      <c r="A166" s="180" t="s">
        <v>914</v>
      </c>
      <c r="B166" s="175" t="str">
        <f>VLOOKUP(A166,'Master List'!A:E,2,)</f>
        <v>Xbox / PC</v>
      </c>
      <c r="C166" s="176">
        <f>VLOOKUP(A166,'Master List'!A:E,5,)</f>
        <v>44145</v>
      </c>
      <c r="D166" s="175" t="str">
        <f>VLOOKUP(A166,'Master List'!A:E,4,)</f>
        <v>Active</v>
      </c>
    </row>
    <row r="167">
      <c r="A167" s="180" t="s">
        <v>916</v>
      </c>
      <c r="B167" s="175" t="str">
        <f>VLOOKUP(A167,'Master List'!A:E,2,)</f>
        <v>Xbox / PC</v>
      </c>
      <c r="C167" s="176">
        <f>VLOOKUP(A167,'Master List'!A:E,5,)</f>
        <v>44145</v>
      </c>
      <c r="D167" s="175" t="str">
        <f>VLOOKUP(A167,'Master List'!A:E,4,)</f>
        <v>Active</v>
      </c>
    </row>
    <row r="168">
      <c r="A168" s="180" t="s">
        <v>917</v>
      </c>
      <c r="B168" s="175" t="str">
        <f>VLOOKUP(A168,'Master List'!A:E,2,)</f>
        <v>Xbox / PC</v>
      </c>
      <c r="C168" s="176">
        <f>VLOOKUP(A168,'Master List'!A:E,5,)</f>
        <v>44145</v>
      </c>
      <c r="D168" s="175" t="str">
        <f>VLOOKUP(A168,'Master List'!A:E,4,)</f>
        <v>Active</v>
      </c>
    </row>
    <row r="169">
      <c r="A169" s="180" t="s">
        <v>920</v>
      </c>
      <c r="B169" s="175" t="str">
        <f>VLOOKUP(A169,'Master List'!A:E,2,)</f>
        <v>Xbox / PC</v>
      </c>
      <c r="C169" s="176">
        <f>VLOOKUP(A169,'Master List'!A:E,5,)</f>
        <v>44145</v>
      </c>
      <c r="D169" s="175" t="str">
        <f>VLOOKUP(A169,'Master List'!A:E,4,)</f>
        <v>Active</v>
      </c>
    </row>
    <row r="170">
      <c r="A170" s="180" t="s">
        <v>2230</v>
      </c>
      <c r="B170" s="175" t="str">
        <f>VLOOKUP(A170,'Master List'!A:E,2,)</f>
        <v>Xbox</v>
      </c>
      <c r="C170" s="176">
        <f>VLOOKUP(A170,'Master List'!A:E,5,)</f>
        <v>44145</v>
      </c>
      <c r="D170" s="175" t="str">
        <f>VLOOKUP(A170,'Master List'!A:E,4,)</f>
        <v>Removed</v>
      </c>
    </row>
    <row r="171">
      <c r="A171" s="180" t="s">
        <v>2344</v>
      </c>
      <c r="B171" s="175" t="str">
        <f>VLOOKUP(A171,'Master List'!A:E,2,)</f>
        <v>Xbox</v>
      </c>
      <c r="C171" s="176">
        <f>VLOOKUP(A171,'Master List'!A:E,5,)</f>
        <v>44145</v>
      </c>
      <c r="D171" s="175" t="str">
        <f>VLOOKUP(A171,'Master List'!A:E,4,)</f>
        <v>Removed</v>
      </c>
    </row>
    <row r="172">
      <c r="A172" s="180" t="s">
        <v>2231</v>
      </c>
      <c r="B172" s="175" t="str">
        <f>VLOOKUP(A172,'Master List'!A:E,2,)</f>
        <v>Xbox</v>
      </c>
      <c r="C172" s="176">
        <f>VLOOKUP(A172,'Master List'!A:E,5,)</f>
        <v>44145</v>
      </c>
      <c r="D172" s="175" t="str">
        <f>VLOOKUP(A172,'Master List'!A:E,4,)</f>
        <v>Removed</v>
      </c>
    </row>
    <row r="173">
      <c r="A173" s="180" t="s">
        <v>921</v>
      </c>
      <c r="B173" s="175" t="str">
        <f>VLOOKUP(A173,'Master List'!A:E,2,)</f>
        <v>Xbox</v>
      </c>
      <c r="C173" s="176">
        <f>VLOOKUP(A173,'Master List'!A:E,5,)</f>
        <v>44145</v>
      </c>
      <c r="D173" s="175" t="str">
        <f>VLOOKUP(A173,'Master List'!A:E,4,)</f>
        <v>Active</v>
      </c>
    </row>
    <row r="174">
      <c r="A174" s="180" t="s">
        <v>923</v>
      </c>
      <c r="B174" s="175" t="str">
        <f>VLOOKUP(A174,'Master List'!A:E,2,)</f>
        <v>Xbox / PC</v>
      </c>
      <c r="C174" s="176">
        <f>VLOOKUP(A174,'Master List'!A:E,5,)</f>
        <v>44145</v>
      </c>
      <c r="D174" s="175" t="str">
        <f>VLOOKUP(A174,'Master List'!A:E,4,)</f>
        <v>Active</v>
      </c>
    </row>
    <row r="175">
      <c r="A175" s="180" t="s">
        <v>925</v>
      </c>
      <c r="B175" s="175" t="str">
        <f>VLOOKUP(A175,'Master List'!A:E,2,)</f>
        <v>Xbox / PC</v>
      </c>
      <c r="C175" s="176">
        <f>VLOOKUP(A175,'Master List'!A:E,5,)</f>
        <v>44145</v>
      </c>
      <c r="D175" s="175" t="str">
        <f>VLOOKUP(A175,'Master List'!A:E,4,)</f>
        <v>Active</v>
      </c>
    </row>
    <row r="176">
      <c r="A176" s="180" t="s">
        <v>926</v>
      </c>
      <c r="B176" s="175" t="str">
        <f>VLOOKUP(A176,'Master List'!A:E,2,)</f>
        <v>Xbox / PC</v>
      </c>
      <c r="C176" s="176">
        <f>VLOOKUP(A176,'Master List'!A:E,5,)</f>
        <v>44145</v>
      </c>
      <c r="D176" s="175" t="str">
        <f>VLOOKUP(A176,'Master List'!A:E,4,)</f>
        <v>Active</v>
      </c>
    </row>
    <row r="177">
      <c r="A177" s="180" t="s">
        <v>928</v>
      </c>
      <c r="B177" s="175" t="str">
        <f>VLOOKUP(A177,'Master List'!A:E,2,)</f>
        <v>Xbox / PC</v>
      </c>
      <c r="C177" s="176">
        <f>VLOOKUP(A177,'Master List'!A:E,5,)</f>
        <v>44145</v>
      </c>
      <c r="D177" s="175" t="str">
        <f>VLOOKUP(A177,'Master List'!A:E,4,)</f>
        <v>Active</v>
      </c>
    </row>
    <row r="178">
      <c r="A178" s="180" t="s">
        <v>2352</v>
      </c>
      <c r="B178" s="175" t="str">
        <f>VLOOKUP(A178,'Master List'!A:E,2,)</f>
        <v>Xbox</v>
      </c>
      <c r="C178" s="176">
        <f>VLOOKUP(A178,'Master List'!A:E,5,)</f>
        <v>44145</v>
      </c>
      <c r="D178" s="175" t="str">
        <f>VLOOKUP(A178,'Master List'!A:E,4,)</f>
        <v>Removed</v>
      </c>
    </row>
    <row r="179">
      <c r="A179" s="180" t="s">
        <v>2245</v>
      </c>
      <c r="B179" s="175" t="str">
        <f>VLOOKUP(A179,'Master List'!A:E,2,)</f>
        <v>Xbox</v>
      </c>
      <c r="C179" s="176">
        <f>VLOOKUP(A179,'Master List'!A:E,5,)</f>
        <v>44145</v>
      </c>
      <c r="D179" s="175" t="str">
        <f>VLOOKUP(A179,'Master List'!A:E,4,)</f>
        <v>Removed</v>
      </c>
    </row>
    <row r="180">
      <c r="A180" s="180" t="s">
        <v>2246</v>
      </c>
      <c r="B180" s="175" t="str">
        <f>VLOOKUP(A180,'Master List'!A:E,2,)</f>
        <v>Xbox</v>
      </c>
      <c r="C180" s="176">
        <f>VLOOKUP(A180,'Master List'!A:E,5,)</f>
        <v>44145</v>
      </c>
      <c r="D180" s="175" t="str">
        <f>VLOOKUP(A180,'Master List'!A:E,4,)</f>
        <v>Removed</v>
      </c>
    </row>
    <row r="181">
      <c r="A181" s="180" t="s">
        <v>1977</v>
      </c>
      <c r="B181" s="175" t="str">
        <f>VLOOKUP(A181,'Master List'!A:E,2,)</f>
        <v>Xbox</v>
      </c>
      <c r="C181" s="176">
        <f>VLOOKUP(A181,'Master List'!A:E,5,)</f>
        <v>44145</v>
      </c>
      <c r="D181" s="175" t="str">
        <f>VLOOKUP(A181,'Master List'!A:E,4,)</f>
        <v>Removed</v>
      </c>
    </row>
    <row r="182">
      <c r="A182" s="180" t="s">
        <v>929</v>
      </c>
      <c r="B182" s="175" t="str">
        <f>VLOOKUP(A182,'Master List'!A:E,2,)</f>
        <v>Xbox / PC</v>
      </c>
      <c r="C182" s="176">
        <f>VLOOKUP(A182,'Master List'!A:E,5,)</f>
        <v>44145</v>
      </c>
      <c r="D182" s="175" t="str">
        <f>VLOOKUP(A182,'Master List'!A:E,4,)</f>
        <v>Active</v>
      </c>
    </row>
    <row r="183">
      <c r="A183" s="180" t="s">
        <v>931</v>
      </c>
      <c r="B183" s="175" t="str">
        <f>VLOOKUP(A183,'Master List'!A:E,2,)</f>
        <v>Xbox</v>
      </c>
      <c r="C183" s="176">
        <f>VLOOKUP(A183,'Master List'!A:E,5,)</f>
        <v>44145</v>
      </c>
      <c r="D183" s="175" t="str">
        <f>VLOOKUP(A183,'Master List'!A:E,4,)</f>
        <v>Active</v>
      </c>
    </row>
    <row r="184">
      <c r="A184" s="180" t="s">
        <v>932</v>
      </c>
      <c r="B184" s="175" t="str">
        <f>VLOOKUP(A184,'Master List'!A:E,2,)</f>
        <v>Xbox / PC</v>
      </c>
      <c r="C184" s="176">
        <f>VLOOKUP(A184,'Master List'!A:E,5,)</f>
        <v>44145</v>
      </c>
      <c r="D184" s="175" t="str">
        <f>VLOOKUP(A184,'Master List'!A:E,4,)</f>
        <v>Active</v>
      </c>
    </row>
    <row r="185">
      <c r="A185" s="180" t="s">
        <v>934</v>
      </c>
      <c r="B185" s="175" t="str">
        <f>VLOOKUP(A185,'Master List'!A:E,2,)</f>
        <v>Xbox / PC</v>
      </c>
      <c r="C185" s="176">
        <f>VLOOKUP(A185,'Master List'!A:E,5,)</f>
        <v>44145</v>
      </c>
      <c r="D185" s="175" t="str">
        <f>VLOOKUP(A185,'Master List'!A:E,4,)</f>
        <v>Active</v>
      </c>
    </row>
    <row r="186">
      <c r="A186" s="180" t="s">
        <v>936</v>
      </c>
      <c r="B186" s="175" t="str">
        <f>VLOOKUP(A186,'Master List'!A:E,2,)</f>
        <v>Xbox / PC</v>
      </c>
      <c r="C186" s="176">
        <f>VLOOKUP(A186,'Master List'!A:E,5,)</f>
        <v>44145</v>
      </c>
      <c r="D186" s="175" t="str">
        <f>VLOOKUP(A186,'Master List'!A:E,4,)</f>
        <v>Active</v>
      </c>
    </row>
    <row r="187">
      <c r="A187" s="180" t="s">
        <v>938</v>
      </c>
      <c r="B187" s="175" t="str">
        <f>VLOOKUP(A187,'Master List'!A:E,2,)</f>
        <v>Xbox / PC</v>
      </c>
      <c r="C187" s="176">
        <f>VLOOKUP(A187,'Master List'!A:E,5,)</f>
        <v>44145</v>
      </c>
      <c r="D187" s="175" t="str">
        <f>VLOOKUP(A187,'Master List'!A:E,4,)</f>
        <v>Active</v>
      </c>
    </row>
    <row r="188">
      <c r="A188" s="180" t="s">
        <v>1560</v>
      </c>
      <c r="B188" s="175" t="str">
        <f>VLOOKUP(A188,'Master List'!A:E,2,)</f>
        <v>Xbox / PC</v>
      </c>
      <c r="C188" s="176">
        <f>VLOOKUP(A188,'Master List'!A:E,5,)</f>
        <v>44145</v>
      </c>
      <c r="D188" s="175" t="str">
        <f>VLOOKUP(A188,'Master List'!A:E,4,)</f>
        <v>Removed</v>
      </c>
    </row>
    <row r="189">
      <c r="A189" s="180" t="s">
        <v>1800</v>
      </c>
      <c r="B189" s="175" t="str">
        <f>VLOOKUP(A189,'Master List'!A:E,2,)</f>
        <v>Xbox</v>
      </c>
      <c r="C189" s="176">
        <f>VLOOKUP(A189,'Master List'!A:E,5,)</f>
        <v>44145</v>
      </c>
      <c r="D189" s="175" t="str">
        <f>VLOOKUP(A189,'Master List'!A:E,4,)</f>
        <v>Removed</v>
      </c>
    </row>
    <row r="190">
      <c r="A190" s="180" t="s">
        <v>939</v>
      </c>
      <c r="B190" s="175" t="str">
        <f>VLOOKUP(A190,'Master List'!A:E,2,)</f>
        <v>Xbox / PC</v>
      </c>
      <c r="C190" s="176">
        <f>VLOOKUP(A190,'Master List'!A:E,5,)</f>
        <v>44145</v>
      </c>
      <c r="D190" s="175" t="str">
        <f>VLOOKUP(A190,'Master List'!A:E,4,)</f>
        <v>Active</v>
      </c>
    </row>
    <row r="191">
      <c r="A191" s="180" t="s">
        <v>2284</v>
      </c>
      <c r="B191" s="175" t="str">
        <f>VLOOKUP(A191,'Master List'!A:E,2,)</f>
        <v>Xbox</v>
      </c>
      <c r="C191" s="176">
        <f>VLOOKUP(A191,'Master List'!A:E,5,)</f>
        <v>44145</v>
      </c>
      <c r="D191" s="175" t="str">
        <f>VLOOKUP(A191,'Master List'!A:E,4,)</f>
        <v>Removed</v>
      </c>
    </row>
    <row r="192">
      <c r="A192" s="180" t="s">
        <v>940</v>
      </c>
      <c r="B192" s="175" t="str">
        <f>VLOOKUP(A192,'Master List'!A:E,2,)</f>
        <v>Xbox</v>
      </c>
      <c r="C192" s="176">
        <f>VLOOKUP(A192,'Master List'!A:E,5,)</f>
        <v>44145</v>
      </c>
      <c r="D192" s="175" t="str">
        <f>VLOOKUP(A192,'Master List'!A:E,4,)</f>
        <v>Active</v>
      </c>
    </row>
    <row r="193">
      <c r="A193" s="180" t="s">
        <v>943</v>
      </c>
      <c r="B193" s="175" t="str">
        <f>VLOOKUP(A193,'Master List'!A:E,2,)</f>
        <v>Xbox</v>
      </c>
      <c r="C193" s="176">
        <f>VLOOKUP(A193,'Master List'!A:E,5,)</f>
        <v>44145</v>
      </c>
      <c r="D193" s="175" t="str">
        <f>VLOOKUP(A193,'Master List'!A:E,4,)</f>
        <v>Active</v>
      </c>
    </row>
    <row r="194">
      <c r="A194" s="180" t="s">
        <v>946</v>
      </c>
      <c r="B194" s="175" t="str">
        <f>VLOOKUP(A194,'Master List'!A:E,2,)</f>
        <v>Xbox / PC</v>
      </c>
      <c r="C194" s="176">
        <f>VLOOKUP(A194,'Master List'!A:E,5,)</f>
        <v>44145</v>
      </c>
      <c r="D194" s="175" t="str">
        <f>VLOOKUP(A194,'Master List'!A:E,4,)</f>
        <v>Active</v>
      </c>
    </row>
    <row r="195">
      <c r="A195" s="180" t="s">
        <v>947</v>
      </c>
      <c r="B195" s="175" t="str">
        <f>VLOOKUP(A195,'Master List'!A:E,2,)</f>
        <v>Xbox / PC</v>
      </c>
      <c r="C195" s="176">
        <f>VLOOKUP(A195,'Master List'!A:E,5,)</f>
        <v>44145</v>
      </c>
      <c r="D195" s="175" t="str">
        <f>VLOOKUP(A195,'Master List'!A:E,4,)</f>
        <v>Active</v>
      </c>
    </row>
    <row r="196">
      <c r="A196" s="180" t="s">
        <v>948</v>
      </c>
      <c r="B196" s="175" t="str">
        <f>VLOOKUP(A196,'Master List'!A:E,2,)</f>
        <v>Xbox / PC</v>
      </c>
      <c r="C196" s="176">
        <f>VLOOKUP(A196,'Master List'!A:E,5,)</f>
        <v>44145</v>
      </c>
      <c r="D196" s="175" t="str">
        <f>VLOOKUP(A196,'Master List'!A:E,4,)</f>
        <v>Active</v>
      </c>
    </row>
    <row r="197">
      <c r="A197" s="180" t="s">
        <v>949</v>
      </c>
      <c r="B197" s="175" t="str">
        <f>VLOOKUP(A197,'Master List'!A:E,2,)</f>
        <v>Xbox / PC</v>
      </c>
      <c r="C197" s="176">
        <f>VLOOKUP(A197,'Master List'!A:E,5,)</f>
        <v>44145</v>
      </c>
      <c r="D197" s="175" t="str">
        <f>VLOOKUP(A197,'Master List'!A:E,4,)</f>
        <v>Active</v>
      </c>
    </row>
    <row r="198">
      <c r="A198" s="180" t="s">
        <v>2025</v>
      </c>
      <c r="B198" s="175" t="str">
        <f>VLOOKUP(A198,'Master List'!A:E,2,)</f>
        <v>Xbox / PC</v>
      </c>
      <c r="C198" s="176">
        <f>VLOOKUP(A198,'Master List'!A:E,5,)</f>
        <v>44145</v>
      </c>
      <c r="D198" s="175" t="str">
        <f>VLOOKUP(A198,'Master List'!A:E,4,)</f>
        <v>Removed</v>
      </c>
    </row>
    <row r="199">
      <c r="A199" s="180" t="s">
        <v>950</v>
      </c>
      <c r="B199" s="175" t="str">
        <f>VLOOKUP(A199,'Master List'!A:E,2,)</f>
        <v>Xbox / PC</v>
      </c>
      <c r="C199" s="176">
        <f>VLOOKUP(A199,'Master List'!A:E,5,)</f>
        <v>44145</v>
      </c>
      <c r="D199" s="175" t="str">
        <f>VLOOKUP(A199,'Master List'!A:E,4,)</f>
        <v>Active</v>
      </c>
    </row>
    <row r="200">
      <c r="A200" s="180" t="s">
        <v>951</v>
      </c>
      <c r="B200" s="175" t="str">
        <f>VLOOKUP(A200,'Master List'!A:E,2,)</f>
        <v>Xbox / PC</v>
      </c>
      <c r="C200" s="176">
        <f>VLOOKUP(A200,'Master List'!A:E,5,)</f>
        <v>44145</v>
      </c>
      <c r="D200" s="175" t="str">
        <f>VLOOKUP(A200,'Master List'!A:E,4,)</f>
        <v>Active</v>
      </c>
    </row>
    <row r="201">
      <c r="A201" s="180" t="s">
        <v>952</v>
      </c>
      <c r="B201" s="175" t="str">
        <f>VLOOKUP(A201,'Master List'!A:E,2,)</f>
        <v>Xbox / PC</v>
      </c>
      <c r="C201" s="176">
        <f>VLOOKUP(A201,'Master List'!A:E,5,)</f>
        <v>44145</v>
      </c>
      <c r="D201" s="175" t="str">
        <f>VLOOKUP(A201,'Master List'!A:E,4,)</f>
        <v>Active</v>
      </c>
    </row>
    <row r="202">
      <c r="A202" s="180" t="s">
        <v>953</v>
      </c>
      <c r="B202" s="175" t="str">
        <f>VLOOKUP(A202,'Master List'!A:E,2,)</f>
        <v>Xbox</v>
      </c>
      <c r="C202" s="176">
        <f>VLOOKUP(A202,'Master List'!A:E,5,)</f>
        <v>44145</v>
      </c>
      <c r="D202" s="175" t="str">
        <f>VLOOKUP(A202,'Master List'!A:E,4,)</f>
        <v>Active</v>
      </c>
    </row>
    <row r="203">
      <c r="A203" s="180" t="s">
        <v>954</v>
      </c>
      <c r="B203" s="175" t="str">
        <f>VLOOKUP(A203,'Master List'!A:E,2,)</f>
        <v>Xbox</v>
      </c>
      <c r="C203" s="176">
        <f>VLOOKUP(A203,'Master List'!A:E,5,)</f>
        <v>44145</v>
      </c>
      <c r="D203" s="175" t="str">
        <f>VLOOKUP(A203,'Master List'!A:E,4,)</f>
        <v>Active</v>
      </c>
    </row>
    <row r="204">
      <c r="A204" s="180" t="s">
        <v>1996</v>
      </c>
      <c r="B204" s="175" t="str">
        <f>VLOOKUP(A204,'Master List'!A:E,2,)</f>
        <v>Xbox / PC</v>
      </c>
      <c r="C204" s="188">
        <f>VLOOKUP(A204,'Master List'!A:E,5,)</f>
        <v>44042</v>
      </c>
      <c r="D204" s="175" t="str">
        <f>VLOOKUP(A204,'Master List'!A:E,4,)</f>
        <v>Removed</v>
      </c>
    </row>
    <row r="205">
      <c r="A205" s="180" t="s">
        <v>3805</v>
      </c>
      <c r="B205" s="175" t="str">
        <f>VLOOKUP(A205,'Master List'!A:E,2,)</f>
        <v>PC</v>
      </c>
      <c r="C205" s="188">
        <f>VLOOKUP(A205,'Master List'!A:E,5,)</f>
        <v>43837</v>
      </c>
      <c r="D205" s="175" t="str">
        <f>VLOOKUP(A205,'Master List'!A:E,4,)</f>
        <v>Removed</v>
      </c>
    </row>
    <row r="206">
      <c r="A206" s="180" t="s">
        <v>2072</v>
      </c>
      <c r="B206" s="175" t="str">
        <f>VLOOKUP(A206,'Master List'!A:E,2,)</f>
        <v>XB1/Series X|S</v>
      </c>
      <c r="C206" s="188">
        <f>VLOOKUP(A206,'Master List'!A:E,5,)</f>
        <v>44531</v>
      </c>
      <c r="D206" s="175" t="str">
        <f>VLOOKUP(A206,'Master List'!A:E,4,)</f>
        <v>GwG Temporary</v>
      </c>
    </row>
    <row r="207">
      <c r="A207" s="180" t="s">
        <v>2144</v>
      </c>
      <c r="B207" s="175" t="str">
        <f>VLOOKUP(A207,'Master List'!A:E,2,)</f>
        <v>PC</v>
      </c>
      <c r="C207" s="188">
        <f>VLOOKUP(A207,'Master List'!A:E,5,)</f>
        <v>43790</v>
      </c>
      <c r="D207" s="175" t="str">
        <f>VLOOKUP(A207,'Master List'!A:E,4,)</f>
        <v>Removed</v>
      </c>
    </row>
    <row r="208">
      <c r="A208" s="180" t="s">
        <v>2133</v>
      </c>
      <c r="B208" s="175" t="str">
        <f>VLOOKUP(A208,'Master List'!A:E,2,)</f>
        <v>XB1/Series X|S</v>
      </c>
      <c r="C208" s="188">
        <f>VLOOKUP(A208,'Master List'!A:E,5,)</f>
        <v>44424</v>
      </c>
      <c r="D208" s="175" t="str">
        <f>VLOOKUP(A208,'Master List'!A:E,4,)</f>
        <v>GwG Temporary</v>
      </c>
    </row>
    <row r="209">
      <c r="A209" s="180" t="s">
        <v>1969</v>
      </c>
      <c r="B209" s="175" t="str">
        <f>VLOOKUP(A209,'Master List'!A:E,2,)</f>
        <v>XB1/Series X|S</v>
      </c>
      <c r="C209" s="188">
        <f>VLOOKUP(A209,'Master List'!A:E,5,)</f>
        <v>44682</v>
      </c>
      <c r="D209" s="175" t="str">
        <f>VLOOKUP(A209,'Master List'!A:E,4,)</f>
        <v>GwG Temporary</v>
      </c>
    </row>
    <row r="210">
      <c r="A210" s="180" t="s">
        <v>1058</v>
      </c>
      <c r="B210" s="175" t="str">
        <f>VLOOKUP(A210,'Master List'!A:E,2,)</f>
        <v>Xbox / PC</v>
      </c>
      <c r="C210" s="188">
        <f>VLOOKUP(A210,'Master List'!A:E,5,)</f>
        <v>43690</v>
      </c>
      <c r="D210" s="175" t="str">
        <f>VLOOKUP(A210,'Master List'!A:E,4,)</f>
        <v>Active</v>
      </c>
    </row>
    <row r="211">
      <c r="A211" s="180" t="s">
        <v>2270</v>
      </c>
      <c r="B211" s="175" t="str">
        <f>VLOOKUP(A211,'Master List'!A:E,2,)</f>
        <v>PC</v>
      </c>
      <c r="C211" s="188">
        <f>VLOOKUP(A211,'Master List'!A:E,5,)</f>
        <v>43625</v>
      </c>
      <c r="D211" s="175" t="str">
        <f>VLOOKUP(A211,'Master List'!A:E,4,)</f>
        <v>Removed</v>
      </c>
    </row>
    <row r="212">
      <c r="A212" s="180" t="s">
        <v>2491</v>
      </c>
      <c r="B212" s="175" t="str">
        <f>VLOOKUP(A212,'Master List'!A:E,2,)</f>
        <v>PC</v>
      </c>
      <c r="C212" s="188">
        <f>VLOOKUP(A212,'Master List'!A:E,5,)</f>
        <v>43625</v>
      </c>
      <c r="D212" s="175" t="str">
        <f>VLOOKUP(A212,'Master List'!A:E,4,)</f>
        <v>Removed</v>
      </c>
    </row>
    <row r="213">
      <c r="A213" s="180" t="s">
        <v>2032</v>
      </c>
      <c r="B213" s="175" t="str">
        <f>VLOOKUP(A213,'Master List'!A:E,2,)</f>
        <v>Xbox</v>
      </c>
      <c r="C213" s="188">
        <f>VLOOKUP(A213,'Master List'!A:E,5,)</f>
        <v>43625</v>
      </c>
      <c r="D213" s="175" t="str">
        <f>VLOOKUP(A213,'Master List'!A:E,4,)</f>
        <v>Removed</v>
      </c>
    </row>
    <row r="214">
      <c r="A214" s="180" t="s">
        <v>2084</v>
      </c>
      <c r="B214" s="175" t="str">
        <f>VLOOKUP(A214,'Master List'!A:E,2,)</f>
        <v>PC</v>
      </c>
      <c r="C214" s="188">
        <f>VLOOKUP(A214,'Master List'!A:E,5,)</f>
        <v>43622</v>
      </c>
      <c r="D214" s="175" t="str">
        <f>VLOOKUP(A214,'Master List'!A:E,4,)</f>
        <v>Removed</v>
      </c>
    </row>
    <row r="215">
      <c r="A215" s="180" t="s">
        <v>1733</v>
      </c>
      <c r="B215" s="175" t="str">
        <f>VLOOKUP(A215,'Master List'!A:E,2,)</f>
        <v>XB1/Series X|S</v>
      </c>
      <c r="C215" s="188">
        <f>VLOOKUP(A215,'Master List'!A:E,5,)</f>
        <v>44958</v>
      </c>
      <c r="D215" s="175" t="str">
        <f>VLOOKUP(A215,'Master List'!A:E,4,)</f>
        <v>GwG Temporary</v>
      </c>
    </row>
    <row r="216">
      <c r="A216" s="180" t="s">
        <v>2342</v>
      </c>
      <c r="B216" s="175" t="str">
        <f>VLOOKUP(A216,'Master List'!A:E,2,)</f>
        <v>PC</v>
      </c>
      <c r="C216" s="188">
        <f>VLOOKUP(A216,'Master List'!A:E,5,)</f>
        <v>43594</v>
      </c>
      <c r="D216" s="175" t="str">
        <f>VLOOKUP(A216,'Master List'!A:E,4,)</f>
        <v>Removed</v>
      </c>
    </row>
    <row r="217">
      <c r="A217" s="180" t="s">
        <v>2163</v>
      </c>
      <c r="B217" s="175" t="str">
        <f>VLOOKUP(A217,'Master List'!A:E,2,)</f>
        <v>PC</v>
      </c>
      <c r="C217" s="188">
        <f>VLOOKUP(A217,'Master List'!A:E,5,)</f>
        <v>43552</v>
      </c>
      <c r="D217" s="175" t="str">
        <f>VLOOKUP(A217,'Master List'!A:E,4,)</f>
        <v>Removed</v>
      </c>
    </row>
    <row r="218">
      <c r="A218" s="180" t="s">
        <v>2094</v>
      </c>
      <c r="B218" s="175" t="str">
        <f>VLOOKUP(A218,'Master List'!A:E,2,)</f>
        <v>PC</v>
      </c>
      <c r="C218" s="188">
        <f>VLOOKUP(A218,'Master List'!A:E,5,)</f>
        <v>43391</v>
      </c>
      <c r="D218" s="175" t="str">
        <f>VLOOKUP(A218,'Master List'!A:E,4,)</f>
        <v>Removed</v>
      </c>
    </row>
    <row r="219">
      <c r="A219" s="180" t="s">
        <v>2118</v>
      </c>
      <c r="B219" s="175" t="str">
        <f>VLOOKUP(A219,'Master List'!A:E,2,)</f>
        <v>PC</v>
      </c>
      <c r="C219" s="188">
        <f>VLOOKUP(A219,'Master List'!A:E,5,)</f>
        <v>43374</v>
      </c>
      <c r="D219" s="175" t="str">
        <f>VLOOKUP(A219,'Master List'!A:E,4,)</f>
        <v>Removed</v>
      </c>
    </row>
    <row r="220">
      <c r="A220" s="180" t="s">
        <v>2271</v>
      </c>
      <c r="B220" s="175" t="str">
        <f>VLOOKUP(A220,'Master List'!A:E,2,)</f>
        <v>PC</v>
      </c>
      <c r="C220" s="188">
        <f>VLOOKUP(A220,'Master List'!A:E,5,)</f>
        <v>43344</v>
      </c>
      <c r="D220" s="175" t="str">
        <f>VLOOKUP(A220,'Master List'!A:E,4,)</f>
        <v>Removed</v>
      </c>
    </row>
    <row r="221">
      <c r="A221" s="180" t="s">
        <v>2239</v>
      </c>
      <c r="B221" s="175" t="str">
        <f>VLOOKUP(A221,'Master List'!A:E,2,)</f>
        <v>Xbox / PC</v>
      </c>
      <c r="C221" s="188">
        <f>VLOOKUP(A221,'Master List'!A:E,5,)</f>
        <v>43291</v>
      </c>
      <c r="D221" s="175" t="str">
        <f>VLOOKUP(A221,'Master List'!A:E,4,)</f>
        <v>Removed</v>
      </c>
    </row>
    <row r="222">
      <c r="A222" s="180" t="s">
        <v>2095</v>
      </c>
      <c r="B222" s="175" t="str">
        <f>VLOOKUP(A222,'Master List'!A:E,2,)</f>
        <v>PC</v>
      </c>
      <c r="C222" s="188">
        <f>VLOOKUP(A222,'Master List'!A:E,5,)</f>
        <v>43160</v>
      </c>
      <c r="D222" s="175" t="str">
        <f>VLOOKUP(A222,'Master List'!A:E,4,)</f>
        <v>Removed</v>
      </c>
    </row>
    <row r="223">
      <c r="A223" s="180" t="s">
        <v>1152</v>
      </c>
      <c r="B223" s="175" t="str">
        <f>VLOOKUP(A223,'Master List'!A:E,2,)</f>
        <v>Xbox / PC</v>
      </c>
      <c r="C223" s="188">
        <f>VLOOKUP(A223,'Master List'!A:E,5,)</f>
        <v>43070</v>
      </c>
      <c r="D223" s="175" t="str">
        <f>VLOOKUP(A223,'Master List'!A:E,4,)</f>
        <v>Active</v>
      </c>
    </row>
    <row r="224">
      <c r="A224" s="180" t="s">
        <v>1980</v>
      </c>
      <c r="B224" s="175" t="str">
        <f>VLOOKUP(A224,'Master List'!A:E,2,)</f>
        <v>XB1/Series X|S</v>
      </c>
      <c r="C224" s="188">
        <f>VLOOKUP(A224,'Master List'!A:E,5,)</f>
        <v>44667</v>
      </c>
      <c r="D224" s="175" t="str">
        <f>VLOOKUP(A224,'Master List'!A:E,4,)</f>
        <v>GwG Temporary</v>
      </c>
    </row>
  </sheetData>
  <autoFilter ref="$A$1:$D$224"/>
  <conditionalFormatting sqref="A1:D1">
    <cfRule type="expression" dxfId="3" priority="1">
      <formula>#REF!="Coming Soon"</formula>
    </cfRule>
  </conditionalFormatting>
  <conditionalFormatting sqref="A1:D1">
    <cfRule type="expression" dxfId="4" priority="2">
      <formula>#REF!="Removed"</formula>
    </cfRule>
  </conditionalFormatting>
  <conditionalFormatting sqref="A1:D1">
    <cfRule type="expression" dxfId="1" priority="3">
      <formula>MATCH(A1,INDIRECT("'Xbox Game Studios'!A:A"),0)</formula>
    </cfRule>
  </conditionalFormatting>
  <conditionalFormatting sqref="A1:D1">
    <cfRule type="expression" dxfId="5" priority="4">
      <formula>#REF!="Leaving Soon"</formula>
    </cfRule>
  </conditionalFormatting>
  <conditionalFormatting sqref="A1:D1">
    <cfRule type="expression" dxfId="2" priority="5">
      <formula>AND(#REF!&lt;&gt;"",((#REF!-#REF!)/365*12)&lt;1)</formula>
    </cfRule>
  </conditionalFormatting>
  <drawing r:id="rId1"/>
</worksheet>
</file>